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85B1DC40-2EE3-4226-A9A4-DF0B31B176BB}" xr6:coauthVersionLast="47" xr6:coauthVersionMax="47" xr10:uidLastSave="{00000000-0000-0000-0000-000000000000}"/>
  <bookViews>
    <workbookView xWindow="1560" yWindow="1650" windowWidth="27240" windowHeight="14550" xr2:uid="{1190A745-3CBE-4E7C-B013-F30ADC4FA98C}"/>
  </bookViews>
  <sheets>
    <sheet name="World Sun Bal" sheetId="1" r:id="rId1"/>
    <sheet name="World Sun Meal Bal" sheetId="2" r:id="rId2"/>
    <sheet name="World Sun Oil Bal" sheetId="3" r:id="rId3"/>
    <sheet name="Major Sunflower Exports" sheetId="4" r:id="rId4"/>
    <sheet name="Major Sun Oil Exports" sheetId="5" r:id="rId5"/>
    <sheet name="Sun Matrix" sheetId="6" r:id="rId6"/>
    <sheet name="Sun Meal Matrix" sheetId="7" r:id="rId7"/>
    <sheet name="Sun Oil Matrix" sheetId="8" r:id="rId8"/>
    <sheet name="Argentina Sun Complex" sheetId="9" r:id="rId9"/>
    <sheet name="EU Sun Complex" sheetId="10" r:id="rId10"/>
    <sheet name="Ukraine Sun Complex" sheetId="11" r:id="rId11"/>
    <sheet name="Russia Sun Complex" sheetId="12" r:id="rId12"/>
    <sheet name="India Sun Complex" sheetId="13" r:id="rId13"/>
    <sheet name="China Sun Complex" sheetId="14" r:id="rId14"/>
    <sheet name="Canada Sun Complex" sheetId="15" r:id="rId15"/>
    <sheet name="Mexico Sun Complex" sheetId="16" r:id="rId16"/>
    <sheet name="Turkey Sun Complex" sheetId="17" r:id="rId17"/>
    <sheet name="Ukraine Exports by Region" sheetId="18" r:id="rId18"/>
    <sheet name="Template" sheetId="19" r:id="rId19"/>
    <sheet name="Ukraine Sun Complex (2)" sheetId="20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Print_Area" localSheetId="13">'China Sun Complex'!$A$1:$AD$44</definedName>
    <definedName name="_xlnm.Print_Area" localSheetId="9">'EU Sun Complex'!$A$1:$AD$44</definedName>
    <definedName name="_xlnm.Print_Area" localSheetId="12">'India Sun Complex'!$A$1:$AD$44</definedName>
    <definedName name="_xlnm.Print_Area" localSheetId="4">'Major Sun Oil Exports'!$A$1:$S$467</definedName>
    <definedName name="_xlnm.Print_Area" localSheetId="3">'Major Sunflower Exports'!$A$1:$S$468</definedName>
    <definedName name="_xlnm.Print_Area" localSheetId="11">'Russia Sun Complex'!$A$1:$AD$44</definedName>
    <definedName name="_xlnm.Print_Area" localSheetId="5">'Sun Matrix'!$A$1:$EP$43</definedName>
    <definedName name="_xlnm.Print_Area" localSheetId="6">'Sun Meal Matrix'!$A$1:$EP$43</definedName>
    <definedName name="_xlnm.Print_Area" localSheetId="7">'Sun Oil Matrix'!$A$1:$EP$43</definedName>
    <definedName name="_xlnm.Print_Area" localSheetId="10">'Ukraine Sun Complex'!$A$1:$AD$43</definedName>
    <definedName name="_xlnm.Print_Area" localSheetId="19">'Ukraine Sun Complex (2)'!$A$1:$AD$43</definedName>
    <definedName name="_xlnm.Print_Area" localSheetId="0">'World Sun Bal'!$A$1:$AD$65</definedName>
    <definedName name="_xlnm.Print_Area" localSheetId="1">'World Sun Meal Bal'!$A$1:$AD$45</definedName>
    <definedName name="_xlnm.Print_Area" localSheetId="2">'World Sun Oil Bal'!$A$1:$AD$57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61" i="20" l="1"/>
  <c r="AC360" i="20"/>
  <c r="AB360" i="20"/>
  <c r="AK360" i="20" s="1"/>
  <c r="AA360" i="20"/>
  <c r="Z360" i="20"/>
  <c r="AM359" i="20"/>
  <c r="AN359" i="20" s="1"/>
  <c r="AD359" i="20"/>
  <c r="AC359" i="20"/>
  <c r="AB359" i="20"/>
  <c r="AK359" i="20" s="1"/>
  <c r="AA359" i="20"/>
  <c r="Z359" i="20"/>
  <c r="AM358" i="20"/>
  <c r="AN358" i="20" s="1"/>
  <c r="AL358" i="20"/>
  <c r="AK358" i="20"/>
  <c r="AD358" i="20"/>
  <c r="AC358" i="20"/>
  <c r="AB358" i="20"/>
  <c r="AA358" i="20"/>
  <c r="AG358" i="20" s="1"/>
  <c r="Z358" i="20"/>
  <c r="AD357" i="20"/>
  <c r="AM357" i="20" s="1"/>
  <c r="AN357" i="20" s="1"/>
  <c r="AC357" i="20"/>
  <c r="AL357" i="20" s="1"/>
  <c r="AB357" i="20"/>
  <c r="AA357" i="20"/>
  <c r="Z357" i="20"/>
  <c r="AL356" i="20"/>
  <c r="AK356" i="20"/>
  <c r="AG356" i="20"/>
  <c r="AC356" i="20"/>
  <c r="AB356" i="20"/>
  <c r="AA356" i="20"/>
  <c r="Z356" i="20"/>
  <c r="AC355" i="20"/>
  <c r="AB355" i="20"/>
  <c r="AA355" i="20"/>
  <c r="Z355" i="20"/>
  <c r="AC354" i="20"/>
  <c r="AB354" i="20"/>
  <c r="AA354" i="20"/>
  <c r="AM353" i="20"/>
  <c r="AN353" i="20" s="1"/>
  <c r="AK353" i="20"/>
  <c r="AG353" i="20"/>
  <c r="AD353" i="20"/>
  <c r="AC353" i="20"/>
  <c r="AB353" i="20"/>
  <c r="AA353" i="20"/>
  <c r="AD352" i="20"/>
  <c r="AC352" i="20"/>
  <c r="AB352" i="20"/>
  <c r="AK352" i="20" s="1"/>
  <c r="AA352" i="20"/>
  <c r="AD351" i="20"/>
  <c r="AC351" i="20"/>
  <c r="AL351" i="20" s="1"/>
  <c r="AB351" i="20"/>
  <c r="AK351" i="20" s="1"/>
  <c r="AA351" i="20"/>
  <c r="AD350" i="20"/>
  <c r="AM350" i="20" s="1"/>
  <c r="AN350" i="20" s="1"/>
  <c r="AC350" i="20"/>
  <c r="AB350" i="20"/>
  <c r="AA350" i="20"/>
  <c r="AG349" i="20"/>
  <c r="AD349" i="20"/>
  <c r="AD361" i="20" s="1"/>
  <c r="AM352" i="20" s="1"/>
  <c r="AN352" i="20" s="1"/>
  <c r="AC349" i="20"/>
  <c r="AC361" i="20" s="1"/>
  <c r="AL354" i="20" s="1"/>
  <c r="AB349" i="20"/>
  <c r="AB361" i="20" s="1"/>
  <c r="AK349" i="20" s="1"/>
  <c r="AA349" i="20"/>
  <c r="AE348" i="20"/>
  <c r="AD348" i="20"/>
  <c r="AC348" i="20"/>
  <c r="AB348" i="20"/>
  <c r="AA348" i="20"/>
  <c r="Z348" i="20"/>
  <c r="Y348" i="20"/>
  <c r="X348" i="20"/>
  <c r="W348" i="20"/>
  <c r="V348" i="20"/>
  <c r="U348" i="20"/>
  <c r="T348" i="20"/>
  <c r="S348" i="20"/>
  <c r="R348" i="20"/>
  <c r="Q348" i="20"/>
  <c r="P348" i="20"/>
  <c r="O348" i="20"/>
  <c r="N348" i="20"/>
  <c r="M348" i="20"/>
  <c r="L348" i="20"/>
  <c r="K348" i="20"/>
  <c r="J348" i="20"/>
  <c r="I348" i="20"/>
  <c r="H348" i="20"/>
  <c r="G348" i="20"/>
  <c r="F348" i="20"/>
  <c r="E348" i="20"/>
  <c r="D348" i="20"/>
  <c r="C348" i="20"/>
  <c r="B348" i="20"/>
  <c r="AI345" i="20"/>
  <c r="AE345" i="20"/>
  <c r="AC345" i="20"/>
  <c r="AB345" i="20"/>
  <c r="AA345" i="20"/>
  <c r="AH344" i="20"/>
  <c r="AE344" i="20"/>
  <c r="AD344" i="20"/>
  <c r="AJ343" i="20"/>
  <c r="AE343" i="20"/>
  <c r="AD343" i="20"/>
  <c r="AJ342" i="20"/>
  <c r="AE342" i="20"/>
  <c r="AD342" i="20"/>
  <c r="AE341" i="20"/>
  <c r="AD341" i="20"/>
  <c r="AJ341" i="20" s="1"/>
  <c r="AE340" i="20"/>
  <c r="AD340" i="20"/>
  <c r="AE339" i="20"/>
  <c r="AD339" i="20"/>
  <c r="AE338" i="20"/>
  <c r="AD338" i="20"/>
  <c r="AD354" i="20" s="1"/>
  <c r="AJ337" i="20"/>
  <c r="AE337" i="20"/>
  <c r="AJ336" i="20"/>
  <c r="AE336" i="20"/>
  <c r="AJ335" i="20"/>
  <c r="AE335" i="20"/>
  <c r="AJ334" i="20"/>
  <c r="AE334" i="20"/>
  <c r="AJ333" i="20"/>
  <c r="AE333" i="20"/>
  <c r="AE332" i="20"/>
  <c r="AD332" i="20"/>
  <c r="AC332" i="20"/>
  <c r="AB332" i="20"/>
  <c r="AA332" i="20"/>
  <c r="Z332" i="20"/>
  <c r="Y332" i="20"/>
  <c r="X332" i="20"/>
  <c r="W332" i="20"/>
  <c r="V332" i="20"/>
  <c r="U332" i="20"/>
  <c r="T332" i="20"/>
  <c r="S332" i="20"/>
  <c r="R332" i="20"/>
  <c r="Q332" i="20"/>
  <c r="P332" i="20"/>
  <c r="O332" i="20"/>
  <c r="N332" i="20"/>
  <c r="M332" i="20"/>
  <c r="L332" i="20"/>
  <c r="K332" i="20"/>
  <c r="J332" i="20"/>
  <c r="I332" i="20"/>
  <c r="H332" i="20"/>
  <c r="G332" i="20"/>
  <c r="F332" i="20"/>
  <c r="E332" i="20"/>
  <c r="D332" i="20"/>
  <c r="C332" i="20"/>
  <c r="B332" i="20"/>
  <c r="AE329" i="20"/>
  <c r="AD329" i="20"/>
  <c r="AC329" i="20"/>
  <c r="AB329" i="20"/>
  <c r="AA329" i="20"/>
  <c r="Z329" i="20"/>
  <c r="Y329" i="20"/>
  <c r="X329" i="20"/>
  <c r="W329" i="20"/>
  <c r="V329" i="20"/>
  <c r="U329" i="20"/>
  <c r="T329" i="20"/>
  <c r="U318" i="20" s="1"/>
  <c r="S329" i="20"/>
  <c r="R329" i="20"/>
  <c r="Q329" i="20"/>
  <c r="P329" i="20"/>
  <c r="O329" i="20"/>
  <c r="N329" i="20"/>
  <c r="M329" i="20"/>
  <c r="L329" i="20"/>
  <c r="K329" i="20"/>
  <c r="J329" i="20"/>
  <c r="I329" i="20"/>
  <c r="H329" i="20"/>
  <c r="G329" i="20"/>
  <c r="F329" i="20"/>
  <c r="E329" i="20"/>
  <c r="F318" i="20" s="1"/>
  <c r="D329" i="20"/>
  <c r="C329" i="20"/>
  <c r="B329" i="20"/>
  <c r="AC328" i="20"/>
  <c r="AC327" i="20"/>
  <c r="AC326" i="20"/>
  <c r="AC311" i="20" s="1"/>
  <c r="AC325" i="20"/>
  <c r="AC324" i="20"/>
  <c r="AC323" i="20"/>
  <c r="Z323" i="20"/>
  <c r="AC322" i="20"/>
  <c r="Z322" i="20"/>
  <c r="S322" i="20"/>
  <c r="S323" i="20" s="1"/>
  <c r="S324" i="20" s="1"/>
  <c r="S325" i="20" s="1"/>
  <c r="R322" i="20"/>
  <c r="R323" i="20" s="1"/>
  <c r="R324" i="20" s="1"/>
  <c r="R325" i="20" s="1"/>
  <c r="R326" i="20" s="1"/>
  <c r="R327" i="20" s="1"/>
  <c r="R328" i="20" s="1"/>
  <c r="AC321" i="20"/>
  <c r="Z321" i="20"/>
  <c r="Z320" i="20"/>
  <c r="R320" i="20"/>
  <c r="R321" i="20" s="1"/>
  <c r="O320" i="20"/>
  <c r="Z319" i="20"/>
  <c r="X319" i="20"/>
  <c r="W319" i="20"/>
  <c r="V319" i="20"/>
  <c r="U319" i="20"/>
  <c r="U320" i="20" s="1"/>
  <c r="U321" i="20" s="1"/>
  <c r="U322" i="20" s="1"/>
  <c r="T319" i="20"/>
  <c r="S319" i="20"/>
  <c r="S320" i="20" s="1"/>
  <c r="S321" i="20" s="1"/>
  <c r="R319" i="20"/>
  <c r="O319" i="20"/>
  <c r="AD318" i="20"/>
  <c r="AC318" i="20"/>
  <c r="AB318" i="20"/>
  <c r="AA318" i="20"/>
  <c r="Z318" i="20"/>
  <c r="X318" i="20"/>
  <c r="W318" i="20"/>
  <c r="V318" i="20"/>
  <c r="T318" i="20"/>
  <c r="S318" i="20"/>
  <c r="R318" i="20"/>
  <c r="O318" i="20"/>
  <c r="L318" i="20"/>
  <c r="H318" i="20"/>
  <c r="G318" i="20"/>
  <c r="D318" i="20"/>
  <c r="D319" i="20" s="1"/>
  <c r="B318" i="20"/>
  <c r="B319" i="20" s="1"/>
  <c r="AE317" i="20"/>
  <c r="AD317" i="20"/>
  <c r="AC317" i="20"/>
  <c r="AB317" i="20"/>
  <c r="AA317" i="20"/>
  <c r="Z317" i="20"/>
  <c r="Y317" i="20"/>
  <c r="X317" i="20"/>
  <c r="W317" i="20"/>
  <c r="V317" i="20"/>
  <c r="U317" i="20"/>
  <c r="T317" i="20"/>
  <c r="S317" i="20"/>
  <c r="R317" i="20"/>
  <c r="Q317" i="20"/>
  <c r="P317" i="20"/>
  <c r="O317" i="20"/>
  <c r="N317" i="20"/>
  <c r="M317" i="20"/>
  <c r="L317" i="20"/>
  <c r="K317" i="20"/>
  <c r="J317" i="20"/>
  <c r="I317" i="20"/>
  <c r="H317" i="20"/>
  <c r="G317" i="20"/>
  <c r="F317" i="20"/>
  <c r="E317" i="20"/>
  <c r="D317" i="20"/>
  <c r="C317" i="20"/>
  <c r="B317" i="20"/>
  <c r="AE301" i="20"/>
  <c r="AD301" i="20"/>
  <c r="AC301" i="20"/>
  <c r="AB301" i="20"/>
  <c r="AA301" i="20"/>
  <c r="Z301" i="20"/>
  <c r="Y301" i="20"/>
  <c r="X301" i="20"/>
  <c r="W301" i="20"/>
  <c r="V301" i="20"/>
  <c r="U301" i="20"/>
  <c r="T301" i="20"/>
  <c r="S301" i="20"/>
  <c r="R301" i="20"/>
  <c r="Q301" i="20"/>
  <c r="P301" i="20"/>
  <c r="O301" i="20"/>
  <c r="N301" i="20"/>
  <c r="M301" i="20"/>
  <c r="L301" i="20"/>
  <c r="K301" i="20"/>
  <c r="J301" i="20"/>
  <c r="I301" i="20"/>
  <c r="H301" i="20"/>
  <c r="G301" i="20"/>
  <c r="F301" i="20"/>
  <c r="E301" i="20"/>
  <c r="D301" i="20"/>
  <c r="C301" i="20"/>
  <c r="B301" i="20"/>
  <c r="AC297" i="20"/>
  <c r="AB297" i="20"/>
  <c r="AA297" i="20"/>
  <c r="Z297" i="20"/>
  <c r="Y297" i="20"/>
  <c r="X297" i="20"/>
  <c r="W297" i="20"/>
  <c r="V297" i="20"/>
  <c r="U297" i="20"/>
  <c r="T297" i="20"/>
  <c r="S297" i="20"/>
  <c r="R297" i="20"/>
  <c r="Q297" i="20"/>
  <c r="P297" i="20"/>
  <c r="O297" i="20"/>
  <c r="N297" i="20"/>
  <c r="M297" i="20"/>
  <c r="L297" i="20"/>
  <c r="K297" i="20"/>
  <c r="J297" i="20"/>
  <c r="I297" i="20"/>
  <c r="H297" i="20"/>
  <c r="G297" i="20"/>
  <c r="F297" i="20"/>
  <c r="E297" i="20"/>
  <c r="D297" i="20"/>
  <c r="C297" i="20"/>
  <c r="B297" i="20"/>
  <c r="AD296" i="20"/>
  <c r="AC296" i="20"/>
  <c r="AI293" i="20" s="1"/>
  <c r="AB296" i="20"/>
  <c r="AA296" i="20"/>
  <c r="Z296" i="20"/>
  <c r="Y296" i="20"/>
  <c r="X296" i="20"/>
  <c r="W296" i="20"/>
  <c r="V296" i="20"/>
  <c r="U296" i="20"/>
  <c r="T296" i="20"/>
  <c r="S296" i="20"/>
  <c r="R296" i="20"/>
  <c r="Q296" i="20"/>
  <c r="P296" i="20"/>
  <c r="O296" i="20"/>
  <c r="N296" i="20"/>
  <c r="M296" i="20"/>
  <c r="L296" i="20"/>
  <c r="K296" i="20"/>
  <c r="J296" i="20"/>
  <c r="I296" i="20"/>
  <c r="H296" i="20"/>
  <c r="G296" i="20"/>
  <c r="F296" i="20"/>
  <c r="E296" i="20"/>
  <c r="D296" i="20"/>
  <c r="C296" i="20"/>
  <c r="B296" i="20"/>
  <c r="AN295" i="20"/>
  <c r="AD295" i="20"/>
  <c r="AC295" i="20"/>
  <c r="AB295" i="20"/>
  <c r="AA295" i="20"/>
  <c r="Z295" i="20"/>
  <c r="Y295" i="20"/>
  <c r="X295" i="20"/>
  <c r="W295" i="20"/>
  <c r="V295" i="20"/>
  <c r="U295" i="20"/>
  <c r="T295" i="20"/>
  <c r="S295" i="20"/>
  <c r="R295" i="20"/>
  <c r="Q295" i="20"/>
  <c r="P295" i="20"/>
  <c r="O295" i="20"/>
  <c r="N295" i="20"/>
  <c r="M295" i="20"/>
  <c r="L295" i="20"/>
  <c r="K295" i="20"/>
  <c r="J295" i="20"/>
  <c r="I295" i="20"/>
  <c r="H295" i="20"/>
  <c r="G295" i="20"/>
  <c r="F295" i="20"/>
  <c r="E295" i="20"/>
  <c r="D295" i="20"/>
  <c r="C295" i="20"/>
  <c r="B295" i="20"/>
  <c r="AI294" i="20"/>
  <c r="AD294" i="20"/>
  <c r="AJ291" i="20" s="1"/>
  <c r="AC294" i="20"/>
  <c r="AI291" i="20" s="1"/>
  <c r="AB294" i="20"/>
  <c r="AA294" i="20"/>
  <c r="Z294" i="20"/>
  <c r="Y294" i="20"/>
  <c r="X294" i="20"/>
  <c r="W294" i="20"/>
  <c r="V294" i="20"/>
  <c r="U294" i="20"/>
  <c r="T294" i="20"/>
  <c r="S294" i="20"/>
  <c r="R294" i="20"/>
  <c r="Q294" i="20"/>
  <c r="P294" i="20"/>
  <c r="O294" i="20"/>
  <c r="N294" i="20"/>
  <c r="M294" i="20"/>
  <c r="L294" i="20"/>
  <c r="K294" i="20"/>
  <c r="J294" i="20"/>
  <c r="I294" i="20"/>
  <c r="H294" i="20"/>
  <c r="G294" i="20"/>
  <c r="F294" i="20"/>
  <c r="E294" i="20"/>
  <c r="D294" i="20"/>
  <c r="C294" i="20"/>
  <c r="B294" i="20"/>
  <c r="AN293" i="20"/>
  <c r="AD293" i="20"/>
  <c r="AC293" i="20"/>
  <c r="AB293" i="20"/>
  <c r="AA293" i="20"/>
  <c r="Z293" i="20"/>
  <c r="Y293" i="20"/>
  <c r="X293" i="20"/>
  <c r="W293" i="20"/>
  <c r="V293" i="20"/>
  <c r="U293" i="20"/>
  <c r="T293" i="20"/>
  <c r="S293" i="20"/>
  <c r="R293" i="20"/>
  <c r="Q293" i="20"/>
  <c r="P293" i="20"/>
  <c r="O293" i="20"/>
  <c r="N293" i="20"/>
  <c r="M293" i="20"/>
  <c r="L293" i="20"/>
  <c r="K293" i="20"/>
  <c r="J293" i="20"/>
  <c r="I293" i="20"/>
  <c r="H293" i="20"/>
  <c r="G293" i="20"/>
  <c r="F293" i="20"/>
  <c r="E293" i="20"/>
  <c r="D293" i="20"/>
  <c r="C293" i="20"/>
  <c r="B293" i="20"/>
  <c r="AN292" i="20"/>
  <c r="AJ292" i="20"/>
  <c r="AI292" i="20"/>
  <c r="AD292" i="20"/>
  <c r="AJ289" i="20" s="1"/>
  <c r="AC292" i="20"/>
  <c r="AI289" i="20" s="1"/>
  <c r="AB292" i="20"/>
  <c r="AA292" i="20"/>
  <c r="Z292" i="20"/>
  <c r="Y292" i="20"/>
  <c r="X292" i="20"/>
  <c r="W292" i="20"/>
  <c r="V292" i="20"/>
  <c r="U292" i="20"/>
  <c r="T292" i="20"/>
  <c r="S292" i="20"/>
  <c r="R292" i="20"/>
  <c r="Q292" i="20"/>
  <c r="P292" i="20"/>
  <c r="O292" i="20"/>
  <c r="N292" i="20"/>
  <c r="M292" i="20"/>
  <c r="L292" i="20"/>
  <c r="K292" i="20"/>
  <c r="J292" i="20"/>
  <c r="I292" i="20"/>
  <c r="H292" i="20"/>
  <c r="G292" i="20"/>
  <c r="F292" i="20"/>
  <c r="E292" i="20"/>
  <c r="D292" i="20"/>
  <c r="C292" i="20"/>
  <c r="B292" i="20"/>
  <c r="AN291" i="20"/>
  <c r="AD291" i="20"/>
  <c r="AC291" i="20"/>
  <c r="AB291" i="20"/>
  <c r="AA291" i="20"/>
  <c r="Z291" i="20"/>
  <c r="Z298" i="20" s="1"/>
  <c r="Z40" i="20" s="1"/>
  <c r="Y291" i="20"/>
  <c r="X291" i="20"/>
  <c r="W291" i="20"/>
  <c r="V291" i="20"/>
  <c r="U291" i="20"/>
  <c r="T291" i="20"/>
  <c r="S291" i="20"/>
  <c r="R291" i="20"/>
  <c r="Q291" i="20"/>
  <c r="P291" i="20"/>
  <c r="O291" i="20"/>
  <c r="N291" i="20"/>
  <c r="M291" i="20"/>
  <c r="L291" i="20"/>
  <c r="K291" i="20"/>
  <c r="J291" i="20"/>
  <c r="I291" i="20"/>
  <c r="H291" i="20"/>
  <c r="G291" i="20"/>
  <c r="F291" i="20"/>
  <c r="E291" i="20"/>
  <c r="D291" i="20"/>
  <c r="D298" i="20" s="1"/>
  <c r="C291" i="20"/>
  <c r="B291" i="20"/>
  <c r="AN290" i="20"/>
  <c r="AJ290" i="20"/>
  <c r="AI290" i="20"/>
  <c r="AD290" i="20"/>
  <c r="AJ287" i="20" s="1"/>
  <c r="AC290" i="20"/>
  <c r="AI287" i="20" s="1"/>
  <c r="AB290" i="20"/>
  <c r="AA290" i="20"/>
  <c r="Z290" i="20"/>
  <c r="Y290" i="20"/>
  <c r="X290" i="20"/>
  <c r="W290" i="20"/>
  <c r="V290" i="20"/>
  <c r="U290" i="20"/>
  <c r="T290" i="20"/>
  <c r="S290" i="20"/>
  <c r="R290" i="20"/>
  <c r="Q290" i="20"/>
  <c r="P290" i="20"/>
  <c r="O290" i="20"/>
  <c r="N290" i="20"/>
  <c r="M290" i="20"/>
  <c r="L290" i="20"/>
  <c r="K290" i="20"/>
  <c r="J290" i="20"/>
  <c r="I290" i="20"/>
  <c r="H290" i="20"/>
  <c r="G290" i="20"/>
  <c r="F290" i="20"/>
  <c r="E290" i="20"/>
  <c r="D290" i="20"/>
  <c r="C290" i="20"/>
  <c r="B290" i="20"/>
  <c r="AD289" i="20"/>
  <c r="AS289" i="20" s="1"/>
  <c r="AC289" i="20"/>
  <c r="AB289" i="20"/>
  <c r="AA289" i="20"/>
  <c r="Z289" i="20"/>
  <c r="Y289" i="20"/>
  <c r="X289" i="20"/>
  <c r="W289" i="20"/>
  <c r="V289" i="20"/>
  <c r="U289" i="20"/>
  <c r="T289" i="20"/>
  <c r="S289" i="20"/>
  <c r="R289" i="20"/>
  <c r="Q289" i="20"/>
  <c r="P289" i="20"/>
  <c r="P298" i="20" s="1"/>
  <c r="O289" i="20"/>
  <c r="N289" i="20"/>
  <c r="M289" i="20"/>
  <c r="L289" i="20"/>
  <c r="K289" i="20"/>
  <c r="J289" i="20"/>
  <c r="I289" i="20"/>
  <c r="H289" i="20"/>
  <c r="G289" i="20"/>
  <c r="F289" i="20"/>
  <c r="E289" i="20"/>
  <c r="E298" i="20" s="1"/>
  <c r="E40" i="20" s="1"/>
  <c r="D289" i="20"/>
  <c r="C289" i="20"/>
  <c r="B289" i="20"/>
  <c r="AS288" i="20"/>
  <c r="AQ288" i="20"/>
  <c r="AJ288" i="20"/>
  <c r="AI288" i="20"/>
  <c r="AD288" i="20"/>
  <c r="AI297" i="20" s="1"/>
  <c r="AC288" i="20"/>
  <c r="AB288" i="20"/>
  <c r="AA288" i="20"/>
  <c r="Z288" i="20"/>
  <c r="Y288" i="20"/>
  <c r="X288" i="20"/>
  <c r="W288" i="20"/>
  <c r="V288" i="20"/>
  <c r="U288" i="20"/>
  <c r="T288" i="20"/>
  <c r="S288" i="20"/>
  <c r="R288" i="20"/>
  <c r="Q288" i="20"/>
  <c r="P288" i="20"/>
  <c r="O288" i="20"/>
  <c r="N288" i="20"/>
  <c r="N298" i="20" s="1"/>
  <c r="M288" i="20"/>
  <c r="L288" i="20"/>
  <c r="K288" i="20"/>
  <c r="K298" i="20" s="1"/>
  <c r="J288" i="20"/>
  <c r="J298" i="20" s="1"/>
  <c r="I288" i="20"/>
  <c r="I298" i="20" s="1"/>
  <c r="H288" i="20"/>
  <c r="G288" i="20"/>
  <c r="F288" i="20"/>
  <c r="E288" i="20"/>
  <c r="D288" i="20"/>
  <c r="C288" i="20"/>
  <c r="B288" i="20"/>
  <c r="AD287" i="20"/>
  <c r="AI296" i="20" s="1"/>
  <c r="AC287" i="20"/>
  <c r="AB287" i="20"/>
  <c r="AA287" i="20"/>
  <c r="Z287" i="20"/>
  <c r="Y287" i="20"/>
  <c r="X287" i="20"/>
  <c r="X298" i="20" s="1"/>
  <c r="X40" i="20" s="1"/>
  <c r="W287" i="20"/>
  <c r="V287" i="20"/>
  <c r="U287" i="20"/>
  <c r="T287" i="20"/>
  <c r="S287" i="20"/>
  <c r="R287" i="20"/>
  <c r="Q287" i="20"/>
  <c r="P287" i="20"/>
  <c r="O287" i="20"/>
  <c r="N287" i="20"/>
  <c r="M287" i="20"/>
  <c r="L287" i="20"/>
  <c r="K287" i="20"/>
  <c r="J287" i="20"/>
  <c r="I287" i="20"/>
  <c r="H287" i="20"/>
  <c r="G287" i="20"/>
  <c r="F287" i="20"/>
  <c r="E287" i="20"/>
  <c r="D287" i="20"/>
  <c r="C287" i="20"/>
  <c r="B287" i="20"/>
  <c r="B298" i="20" s="1"/>
  <c r="AJ286" i="20"/>
  <c r="AI286" i="20"/>
  <c r="AD286" i="20"/>
  <c r="AC286" i="20"/>
  <c r="AC298" i="20" s="1"/>
  <c r="AB286" i="20"/>
  <c r="AB298" i="20" s="1"/>
  <c r="AA286" i="20"/>
  <c r="Z286" i="20"/>
  <c r="Y286" i="20"/>
  <c r="X286" i="20"/>
  <c r="W286" i="20"/>
  <c r="V286" i="20"/>
  <c r="U286" i="20"/>
  <c r="T286" i="20"/>
  <c r="S286" i="20"/>
  <c r="R286" i="20"/>
  <c r="Q286" i="20"/>
  <c r="P286" i="20"/>
  <c r="O286" i="20"/>
  <c r="N286" i="20"/>
  <c r="M286" i="20"/>
  <c r="L286" i="20"/>
  <c r="K286" i="20"/>
  <c r="J286" i="20"/>
  <c r="I286" i="20"/>
  <c r="H286" i="20"/>
  <c r="G286" i="20"/>
  <c r="G298" i="20" s="1"/>
  <c r="F286" i="20"/>
  <c r="F298" i="20" s="1"/>
  <c r="E286" i="20"/>
  <c r="D286" i="20"/>
  <c r="C286" i="20"/>
  <c r="B286" i="20"/>
  <c r="AE285" i="20"/>
  <c r="AD285" i="20"/>
  <c r="AC285" i="20"/>
  <c r="AB285" i="20"/>
  <c r="AA285" i="20"/>
  <c r="Z285" i="20"/>
  <c r="Y285" i="20"/>
  <c r="X285" i="20"/>
  <c r="W285" i="20"/>
  <c r="V285" i="20"/>
  <c r="U285" i="20"/>
  <c r="T285" i="20"/>
  <c r="S285" i="20"/>
  <c r="R285" i="20"/>
  <c r="Q285" i="20"/>
  <c r="P285" i="20"/>
  <c r="O285" i="20"/>
  <c r="N285" i="20"/>
  <c r="M285" i="20"/>
  <c r="L285" i="20"/>
  <c r="K285" i="20"/>
  <c r="J285" i="20"/>
  <c r="I285" i="20"/>
  <c r="H285" i="20"/>
  <c r="G285" i="20"/>
  <c r="F285" i="20"/>
  <c r="E285" i="20"/>
  <c r="D285" i="20"/>
  <c r="C285" i="20"/>
  <c r="B285" i="20"/>
  <c r="AE282" i="20"/>
  <c r="AD282" i="20"/>
  <c r="AC282" i="20"/>
  <c r="AB282" i="20"/>
  <c r="AA282" i="20"/>
  <c r="Z282" i="20"/>
  <c r="AE277" i="20" s="1"/>
  <c r="Y282" i="20"/>
  <c r="X282" i="20"/>
  <c r="W282" i="20"/>
  <c r="V282" i="20"/>
  <c r="I277" i="20" s="1"/>
  <c r="U282" i="20"/>
  <c r="T282" i="20"/>
  <c r="S282" i="20"/>
  <c r="R282" i="20"/>
  <c r="Q282" i="20"/>
  <c r="P282" i="20"/>
  <c r="O282" i="20"/>
  <c r="N282" i="20"/>
  <c r="M282" i="20"/>
  <c r="L282" i="20"/>
  <c r="K282" i="20"/>
  <c r="I282" i="20"/>
  <c r="H282" i="20"/>
  <c r="G282" i="20"/>
  <c r="F282" i="20"/>
  <c r="E282" i="20"/>
  <c r="D282" i="20"/>
  <c r="C282" i="20"/>
  <c r="C272" i="20" s="1"/>
  <c r="B282" i="20"/>
  <c r="AD281" i="20"/>
  <c r="AE280" i="20"/>
  <c r="I280" i="20"/>
  <c r="F280" i="20"/>
  <c r="E280" i="20"/>
  <c r="D280" i="20"/>
  <c r="H279" i="20"/>
  <c r="C278" i="20"/>
  <c r="H277" i="20"/>
  <c r="D277" i="20"/>
  <c r="C277" i="20"/>
  <c r="B277" i="20"/>
  <c r="AE275" i="20"/>
  <c r="H275" i="20"/>
  <c r="C275" i="20"/>
  <c r="G273" i="20"/>
  <c r="F273" i="20"/>
  <c r="C273" i="20"/>
  <c r="AE272" i="20"/>
  <c r="J272" i="20"/>
  <c r="I272" i="20"/>
  <c r="H272" i="20"/>
  <c r="E272" i="20"/>
  <c r="D272" i="20"/>
  <c r="J271" i="20"/>
  <c r="E271" i="20"/>
  <c r="J270" i="20"/>
  <c r="D270" i="20"/>
  <c r="C270" i="20"/>
  <c r="AE269" i="20"/>
  <c r="AD269" i="20"/>
  <c r="AC269" i="20"/>
  <c r="AB269" i="20"/>
  <c r="AA269" i="20"/>
  <c r="Z269" i="20"/>
  <c r="Y269" i="20"/>
  <c r="X269" i="20"/>
  <c r="W269" i="20"/>
  <c r="V269" i="20"/>
  <c r="U269" i="20"/>
  <c r="T269" i="20"/>
  <c r="S269" i="20"/>
  <c r="R269" i="20"/>
  <c r="Q269" i="20"/>
  <c r="P269" i="20"/>
  <c r="O269" i="20"/>
  <c r="N269" i="20"/>
  <c r="M269" i="20"/>
  <c r="L269" i="20"/>
  <c r="K269" i="20"/>
  <c r="J269" i="20"/>
  <c r="I269" i="20"/>
  <c r="H269" i="20"/>
  <c r="G269" i="20"/>
  <c r="F269" i="20"/>
  <c r="E269" i="20"/>
  <c r="D269" i="20"/>
  <c r="C269" i="20"/>
  <c r="B269" i="20"/>
  <c r="Z266" i="20"/>
  <c r="Y266" i="20"/>
  <c r="X266" i="20"/>
  <c r="W266" i="20"/>
  <c r="V266" i="20"/>
  <c r="U266" i="20"/>
  <c r="T266" i="20"/>
  <c r="S266" i="20"/>
  <c r="R266" i="20"/>
  <c r="Q266" i="20"/>
  <c r="P266" i="20"/>
  <c r="O266" i="20"/>
  <c r="N266" i="20"/>
  <c r="M266" i="20"/>
  <c r="L266" i="20"/>
  <c r="K266" i="20"/>
  <c r="J266" i="20"/>
  <c r="I266" i="20"/>
  <c r="H266" i="20"/>
  <c r="G266" i="20"/>
  <c r="F266" i="20"/>
  <c r="E266" i="20"/>
  <c r="D266" i="20"/>
  <c r="C266" i="20"/>
  <c r="B266" i="20"/>
  <c r="AE253" i="20"/>
  <c r="AD253" i="20"/>
  <c r="AC253" i="20"/>
  <c r="AB253" i="20"/>
  <c r="AA253" i="20"/>
  <c r="Z253" i="20"/>
  <c r="Y253" i="20"/>
  <c r="X253" i="20"/>
  <c r="W253" i="20"/>
  <c r="V253" i="20"/>
  <c r="U253" i="20"/>
  <c r="T253" i="20"/>
  <c r="S253" i="20"/>
  <c r="R253" i="20"/>
  <c r="Q253" i="20"/>
  <c r="P253" i="20"/>
  <c r="O253" i="20"/>
  <c r="N253" i="20"/>
  <c r="M253" i="20"/>
  <c r="L253" i="20"/>
  <c r="K253" i="20"/>
  <c r="J253" i="20"/>
  <c r="I253" i="20"/>
  <c r="H253" i="20"/>
  <c r="G253" i="20"/>
  <c r="F253" i="20"/>
  <c r="E253" i="20"/>
  <c r="D253" i="20"/>
  <c r="C253" i="20"/>
  <c r="B253" i="20"/>
  <c r="AA250" i="20"/>
  <c r="AA266" i="20" s="1"/>
  <c r="H249" i="20"/>
  <c r="Y245" i="20"/>
  <c r="O245" i="20"/>
  <c r="C245" i="20"/>
  <c r="C261" i="20" s="1"/>
  <c r="L244" i="20"/>
  <c r="C244" i="20"/>
  <c r="G243" i="20"/>
  <c r="E241" i="20"/>
  <c r="G240" i="20"/>
  <c r="Z239" i="20"/>
  <c r="E239" i="20"/>
  <c r="E255" i="20" s="1"/>
  <c r="C238" i="20"/>
  <c r="BC237" i="20"/>
  <c r="BB237" i="20"/>
  <c r="BA237" i="20"/>
  <c r="AZ237" i="20"/>
  <c r="AY237" i="20"/>
  <c r="AS237" i="20"/>
  <c r="AR237" i="20"/>
  <c r="AQ237" i="20"/>
  <c r="AP237" i="20"/>
  <c r="AO237" i="20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C234" i="20"/>
  <c r="AC33" i="20" s="1"/>
  <c r="AC235" i="20" s="1"/>
  <c r="X234" i="20"/>
  <c r="W234" i="20"/>
  <c r="V234" i="20"/>
  <c r="U234" i="20"/>
  <c r="T234" i="20"/>
  <c r="S234" i="20"/>
  <c r="R234" i="20"/>
  <c r="Q234" i="20"/>
  <c r="P234" i="20"/>
  <c r="O234" i="20"/>
  <c r="N234" i="20"/>
  <c r="M234" i="20"/>
  <c r="L234" i="20"/>
  <c r="K234" i="20"/>
  <c r="J234" i="20"/>
  <c r="I234" i="20"/>
  <c r="H234" i="20"/>
  <c r="G234" i="20"/>
  <c r="F234" i="20"/>
  <c r="E234" i="20"/>
  <c r="D234" i="20"/>
  <c r="C234" i="20"/>
  <c r="C33" i="20" s="1"/>
  <c r="C35" i="20" s="1"/>
  <c r="C41" i="20" s="1"/>
  <c r="C36" i="20" s="1"/>
  <c r="B234" i="20"/>
  <c r="B231" i="20" s="1"/>
  <c r="AC233" i="20"/>
  <c r="Y233" i="20"/>
  <c r="AC232" i="20"/>
  <c r="Y232" i="20"/>
  <c r="Y231" i="20"/>
  <c r="Y230" i="20"/>
  <c r="Y229" i="20"/>
  <c r="AS228" i="20"/>
  <c r="AC231" i="20" s="1"/>
  <c r="Z228" i="20"/>
  <c r="BC227" i="20"/>
  <c r="AS227" i="20"/>
  <c r="AC230" i="20" s="1"/>
  <c r="BC226" i="20"/>
  <c r="AS226" i="20"/>
  <c r="AC229" i="20" s="1"/>
  <c r="BC225" i="20"/>
  <c r="AS225" i="20"/>
  <c r="AC228" i="20" s="1"/>
  <c r="AC308" i="20" s="1"/>
  <c r="AC225" i="20"/>
  <c r="Z225" i="20"/>
  <c r="B225" i="20"/>
  <c r="BC224" i="20"/>
  <c r="BD221" i="20" s="1"/>
  <c r="AS224" i="20"/>
  <c r="AC227" i="20" s="1"/>
  <c r="AP224" i="20"/>
  <c r="Z227" i="20" s="1"/>
  <c r="Z224" i="20"/>
  <c r="BC223" i="20"/>
  <c r="AS223" i="20"/>
  <c r="AC226" i="20" s="1"/>
  <c r="AC306" i="20" s="1"/>
  <c r="AP223" i="20"/>
  <c r="Z226" i="20" s="1"/>
  <c r="Z306" i="20" s="1"/>
  <c r="Z223" i="20"/>
  <c r="BC222" i="20"/>
  <c r="AS222" i="20"/>
  <c r="AP222" i="20"/>
  <c r="Z222" i="20"/>
  <c r="AE221" i="20"/>
  <c r="AD221" i="20"/>
  <c r="AC221" i="20"/>
  <c r="AB221" i="20"/>
  <c r="AA221" i="20"/>
  <c r="Z221" i="20"/>
  <c r="Y221" i="20"/>
  <c r="X221" i="20"/>
  <c r="W221" i="20"/>
  <c r="V221" i="20"/>
  <c r="U221" i="20"/>
  <c r="T221" i="20"/>
  <c r="S221" i="20"/>
  <c r="R221" i="20"/>
  <c r="Q221" i="20"/>
  <c r="P221" i="20"/>
  <c r="O221" i="20"/>
  <c r="N221" i="20"/>
  <c r="M221" i="20"/>
  <c r="L221" i="20"/>
  <c r="K221" i="20"/>
  <c r="J221" i="20"/>
  <c r="I221" i="20"/>
  <c r="H221" i="20"/>
  <c r="G221" i="20"/>
  <c r="F221" i="20"/>
  <c r="E221" i="20"/>
  <c r="D221" i="20"/>
  <c r="C221" i="20"/>
  <c r="B221" i="20"/>
  <c r="AE218" i="20"/>
  <c r="AC217" i="20"/>
  <c r="AG217" i="20" s="1"/>
  <c r="AB217" i="20"/>
  <c r="AA217" i="20"/>
  <c r="Z217" i="20"/>
  <c r="AC216" i="20"/>
  <c r="AB216" i="20"/>
  <c r="AA216" i="20"/>
  <c r="AG216" i="20" s="1"/>
  <c r="Z216" i="20"/>
  <c r="AC215" i="20"/>
  <c r="AB215" i="20"/>
  <c r="AA215" i="20"/>
  <c r="AG215" i="20" s="1"/>
  <c r="Z215" i="20"/>
  <c r="AG214" i="20"/>
  <c r="AC214" i="20"/>
  <c r="AB214" i="20"/>
  <c r="AA214" i="20"/>
  <c r="Z214" i="20"/>
  <c r="AC213" i="20"/>
  <c r="AB213" i="20"/>
  <c r="AA213" i="20"/>
  <c r="AG213" i="20" s="1"/>
  <c r="AG212" i="20"/>
  <c r="AC212" i="20"/>
  <c r="AB212" i="20"/>
  <c r="AA212" i="20"/>
  <c r="AG211" i="20"/>
  <c r="AC211" i="20"/>
  <c r="AB211" i="20"/>
  <c r="AA211" i="20"/>
  <c r="AD210" i="20"/>
  <c r="AC210" i="20"/>
  <c r="AB210" i="20"/>
  <c r="AA210" i="20"/>
  <c r="AG209" i="20"/>
  <c r="AD209" i="20"/>
  <c r="AC209" i="20"/>
  <c r="AB209" i="20"/>
  <c r="AA209" i="20"/>
  <c r="AG208" i="20"/>
  <c r="AD208" i="20"/>
  <c r="AD218" i="20" s="1"/>
  <c r="AC208" i="20"/>
  <c r="AC218" i="20" s="1"/>
  <c r="AB208" i="20"/>
  <c r="AA208" i="20"/>
  <c r="AD207" i="20"/>
  <c r="AC207" i="20"/>
  <c r="AB207" i="20"/>
  <c r="AG207" i="20" s="1"/>
  <c r="AA207" i="20"/>
  <c r="AD206" i="20"/>
  <c r="AC206" i="20"/>
  <c r="AB206" i="20"/>
  <c r="AA206" i="20"/>
  <c r="AE205" i="20"/>
  <c r="AD205" i="20"/>
  <c r="AC205" i="20"/>
  <c r="AB205" i="20"/>
  <c r="AA205" i="20"/>
  <c r="Z205" i="20"/>
  <c r="Y205" i="20"/>
  <c r="X205" i="20"/>
  <c r="W205" i="20"/>
  <c r="V205" i="20"/>
  <c r="U205" i="20"/>
  <c r="T205" i="20"/>
  <c r="S205" i="20"/>
  <c r="R205" i="20"/>
  <c r="Q205" i="20"/>
  <c r="P205" i="20"/>
  <c r="O205" i="20"/>
  <c r="N205" i="20"/>
  <c r="M205" i="20"/>
  <c r="L205" i="20"/>
  <c r="K205" i="20"/>
  <c r="J205" i="20"/>
  <c r="I205" i="20"/>
  <c r="H205" i="20"/>
  <c r="G205" i="20"/>
  <c r="F205" i="20"/>
  <c r="E205" i="20"/>
  <c r="D205" i="20"/>
  <c r="C205" i="20"/>
  <c r="B205" i="20"/>
  <c r="AD202" i="20"/>
  <c r="AC202" i="20"/>
  <c r="AB202" i="20"/>
  <c r="AA202" i="20"/>
  <c r="AE201" i="20"/>
  <c r="AD201" i="20"/>
  <c r="AE200" i="20"/>
  <c r="AD200" i="20"/>
  <c r="AE199" i="20"/>
  <c r="AD199" i="20"/>
  <c r="AE198" i="20"/>
  <c r="AD198" i="20"/>
  <c r="AE197" i="20"/>
  <c r="AD197" i="20"/>
  <c r="AE196" i="20"/>
  <c r="AD196" i="20"/>
  <c r="AE195" i="20"/>
  <c r="AD195" i="20"/>
  <c r="AE194" i="20"/>
  <c r="AE193" i="20"/>
  <c r="AE192" i="20"/>
  <c r="AE191" i="20"/>
  <c r="AE190" i="20"/>
  <c r="AE202" i="20" s="1"/>
  <c r="AE189" i="20"/>
  <c r="AD189" i="20"/>
  <c r="AC189" i="20"/>
  <c r="AB189" i="20"/>
  <c r="AA189" i="20"/>
  <c r="Z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M189" i="20"/>
  <c r="L189" i="20"/>
  <c r="K189" i="20"/>
  <c r="J189" i="20"/>
  <c r="I189" i="20"/>
  <c r="H189" i="20"/>
  <c r="G189" i="20"/>
  <c r="F189" i="20"/>
  <c r="E189" i="20"/>
  <c r="D189" i="20"/>
  <c r="C189" i="20"/>
  <c r="B189" i="20"/>
  <c r="AE186" i="20"/>
  <c r="AD186" i="20"/>
  <c r="AC186" i="20"/>
  <c r="AB186" i="20"/>
  <c r="AA186" i="20"/>
  <c r="Z186" i="20"/>
  <c r="Y186" i="20"/>
  <c r="X186" i="20"/>
  <c r="W186" i="20"/>
  <c r="V186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H186" i="20"/>
  <c r="G186" i="20"/>
  <c r="F186" i="20"/>
  <c r="E186" i="20"/>
  <c r="D186" i="20"/>
  <c r="C186" i="20"/>
  <c r="B186" i="20"/>
  <c r="AC184" i="20"/>
  <c r="AC183" i="20"/>
  <c r="AC182" i="20"/>
  <c r="AC181" i="20"/>
  <c r="AC180" i="20"/>
  <c r="AC179" i="20"/>
  <c r="AC178" i="20"/>
  <c r="I177" i="20"/>
  <c r="AE176" i="20"/>
  <c r="AE177" i="20" s="1"/>
  <c r="T176" i="20"/>
  <c r="Q176" i="20"/>
  <c r="P176" i="20"/>
  <c r="O176" i="20"/>
  <c r="N176" i="20"/>
  <c r="J176" i="20"/>
  <c r="I176" i="20"/>
  <c r="AE175" i="20"/>
  <c r="AB175" i="20"/>
  <c r="Z175" i="20"/>
  <c r="Y175" i="20"/>
  <c r="X175" i="20"/>
  <c r="W175" i="20"/>
  <c r="V175" i="20"/>
  <c r="U175" i="20"/>
  <c r="T175" i="20"/>
  <c r="Q175" i="20"/>
  <c r="P175" i="20"/>
  <c r="O175" i="20"/>
  <c r="N175" i="20"/>
  <c r="J175" i="20"/>
  <c r="I175" i="20"/>
  <c r="C175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H174" i="20"/>
  <c r="G174" i="20"/>
  <c r="F174" i="20"/>
  <c r="E174" i="20"/>
  <c r="D174" i="20"/>
  <c r="C174" i="20"/>
  <c r="B174" i="20"/>
  <c r="AC168" i="20"/>
  <c r="AC163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E158" i="20"/>
  <c r="D158" i="20"/>
  <c r="C158" i="20"/>
  <c r="B158" i="20"/>
  <c r="G155" i="20"/>
  <c r="F155" i="20"/>
  <c r="E155" i="20"/>
  <c r="D155" i="20"/>
  <c r="C155" i="20"/>
  <c r="B155" i="20"/>
  <c r="AD154" i="20"/>
  <c r="AC154" i="20"/>
  <c r="AB154" i="20"/>
  <c r="AA154" i="20"/>
  <c r="Z154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AD153" i="20"/>
  <c r="AC153" i="20"/>
  <c r="AB153" i="20"/>
  <c r="AA153" i="20"/>
  <c r="Z153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AD152" i="20"/>
  <c r="AC152" i="20"/>
  <c r="AB152" i="20"/>
  <c r="AA152" i="20"/>
  <c r="Z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AL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M147" i="20"/>
  <c r="L147" i="20"/>
  <c r="K147" i="20"/>
  <c r="J147" i="20"/>
  <c r="I147" i="20"/>
  <c r="H147" i="20"/>
  <c r="AL146" i="20"/>
  <c r="AD146" i="20"/>
  <c r="AO146" i="20" s="1"/>
  <c r="AC146" i="20"/>
  <c r="AB146" i="20"/>
  <c r="AA146" i="20"/>
  <c r="Z146" i="20"/>
  <c r="Y146" i="20"/>
  <c r="X146" i="20"/>
  <c r="W146" i="20"/>
  <c r="V146" i="20"/>
  <c r="U146" i="20"/>
  <c r="U155" i="20" s="1"/>
  <c r="U27" i="20" s="1"/>
  <c r="T146" i="20"/>
  <c r="S146" i="20"/>
  <c r="R146" i="20"/>
  <c r="Q146" i="20"/>
  <c r="P146" i="20"/>
  <c r="O146" i="20"/>
  <c r="N146" i="20"/>
  <c r="M146" i="20"/>
  <c r="L146" i="20"/>
  <c r="K146" i="20"/>
  <c r="J146" i="20"/>
  <c r="I146" i="20"/>
  <c r="H146" i="20"/>
  <c r="AD145" i="20"/>
  <c r="AC145" i="20"/>
  <c r="AB145" i="20"/>
  <c r="AA145" i="20"/>
  <c r="Z145" i="20"/>
  <c r="Y145" i="20"/>
  <c r="X145" i="20"/>
  <c r="W145" i="20"/>
  <c r="V145" i="20"/>
  <c r="V155" i="20" s="1"/>
  <c r="V27" i="20" s="1"/>
  <c r="U145" i="20"/>
  <c r="T145" i="20"/>
  <c r="S145" i="20"/>
  <c r="R145" i="20"/>
  <c r="Q145" i="20"/>
  <c r="P145" i="20"/>
  <c r="O145" i="20"/>
  <c r="N145" i="20"/>
  <c r="M145" i="20"/>
  <c r="L145" i="20"/>
  <c r="K145" i="20"/>
  <c r="J145" i="20"/>
  <c r="I145" i="20"/>
  <c r="H145" i="20"/>
  <c r="AL144" i="20"/>
  <c r="AD144" i="20"/>
  <c r="AO144" i="20" s="1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O155" i="20" s="1"/>
  <c r="N144" i="20"/>
  <c r="M144" i="20"/>
  <c r="L144" i="20"/>
  <c r="K144" i="20"/>
  <c r="J144" i="20"/>
  <c r="I144" i="20"/>
  <c r="H144" i="20"/>
  <c r="AL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K155" i="20" s="1"/>
  <c r="K27" i="20" s="1"/>
  <c r="J143" i="20"/>
  <c r="J155" i="20" s="1"/>
  <c r="J27" i="20" s="1"/>
  <c r="I143" i="20"/>
  <c r="I155" i="20" s="1"/>
  <c r="I27" i="20" s="1"/>
  <c r="H143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AE139" i="20"/>
  <c r="AD139" i="20"/>
  <c r="AD138" i="20" s="1"/>
  <c r="AC139" i="20"/>
  <c r="AB139" i="20"/>
  <c r="AA139" i="20"/>
  <c r="AA24" i="20" s="1"/>
  <c r="Z139" i="20"/>
  <c r="Z24" i="20" s="1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E139" i="20"/>
  <c r="D139" i="20"/>
  <c r="C139" i="20"/>
  <c r="B139" i="20"/>
  <c r="G138" i="20"/>
  <c r="F138" i="20"/>
  <c r="E138" i="20"/>
  <c r="D138" i="20"/>
  <c r="G137" i="20"/>
  <c r="F137" i="20"/>
  <c r="E137" i="20"/>
  <c r="D137" i="20"/>
  <c r="G136" i="20"/>
  <c r="F136" i="20"/>
  <c r="E136" i="20"/>
  <c r="D136" i="20"/>
  <c r="G135" i="20"/>
  <c r="F135" i="20"/>
  <c r="E135" i="20"/>
  <c r="D135" i="20"/>
  <c r="G134" i="20"/>
  <c r="F134" i="20"/>
  <c r="E134" i="20"/>
  <c r="D134" i="20"/>
  <c r="G133" i="20"/>
  <c r="F133" i="20"/>
  <c r="E133" i="20"/>
  <c r="D133" i="20"/>
  <c r="G132" i="20"/>
  <c r="F132" i="20"/>
  <c r="E132" i="20"/>
  <c r="D132" i="20"/>
  <c r="G131" i="20"/>
  <c r="F131" i="20"/>
  <c r="E131" i="20"/>
  <c r="D131" i="20"/>
  <c r="G130" i="20"/>
  <c r="F130" i="20"/>
  <c r="E130" i="20"/>
  <c r="D130" i="20"/>
  <c r="H129" i="20"/>
  <c r="G129" i="20"/>
  <c r="F129" i="20"/>
  <c r="E129" i="20"/>
  <c r="H128" i="20"/>
  <c r="H139" i="20" s="1"/>
  <c r="H24" i="20" s="1"/>
  <c r="G128" i="20"/>
  <c r="F128" i="20"/>
  <c r="E128" i="20"/>
  <c r="H127" i="20"/>
  <c r="G127" i="20"/>
  <c r="F127" i="20"/>
  <c r="F139" i="20" s="1"/>
  <c r="E127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AA123" i="20"/>
  <c r="N122" i="20"/>
  <c r="M122" i="20"/>
  <c r="U121" i="20"/>
  <c r="C120" i="20"/>
  <c r="Y119" i="20"/>
  <c r="X118" i="20"/>
  <c r="X261" i="20" s="1"/>
  <c r="W118" i="20"/>
  <c r="K118" i="20"/>
  <c r="C118" i="20"/>
  <c r="K117" i="20"/>
  <c r="U116" i="20"/>
  <c r="Q116" i="20"/>
  <c r="E115" i="20"/>
  <c r="D115" i="20"/>
  <c r="C115" i="20"/>
  <c r="U113" i="20"/>
  <c r="E113" i="20"/>
  <c r="G112" i="20"/>
  <c r="F112" i="20"/>
  <c r="O111" i="20"/>
  <c r="B111" i="20"/>
  <c r="AU110" i="20"/>
  <c r="AT110" i="20"/>
  <c r="AS110" i="20"/>
  <c r="AR110" i="20"/>
  <c r="AQ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N106" i="20"/>
  <c r="M106" i="20"/>
  <c r="K106" i="20"/>
  <c r="K122" i="20" s="1"/>
  <c r="I106" i="20"/>
  <c r="I122" i="20" s="1"/>
  <c r="H106" i="20"/>
  <c r="H122" i="20" s="1"/>
  <c r="G106" i="20"/>
  <c r="G122" i="20" s="1"/>
  <c r="F106" i="20"/>
  <c r="F122" i="20" s="1"/>
  <c r="E106" i="20"/>
  <c r="E122" i="20" s="1"/>
  <c r="D106" i="20"/>
  <c r="D122" i="20" s="1"/>
  <c r="C106" i="20"/>
  <c r="C122" i="20" s="1"/>
  <c r="U105" i="20"/>
  <c r="S105" i="20"/>
  <c r="S121" i="20" s="1"/>
  <c r="P105" i="20"/>
  <c r="P121" i="20" s="1"/>
  <c r="O105" i="20"/>
  <c r="O121" i="20" s="1"/>
  <c r="L105" i="20"/>
  <c r="L121" i="20" s="1"/>
  <c r="AC104" i="20"/>
  <c r="Y104" i="20"/>
  <c r="Y120" i="20" s="1"/>
  <c r="S104" i="20"/>
  <c r="S120" i="20" s="1"/>
  <c r="P104" i="20"/>
  <c r="P120" i="20" s="1"/>
  <c r="O104" i="20"/>
  <c r="O120" i="20" s="1"/>
  <c r="N104" i="20"/>
  <c r="N120" i="20" s="1"/>
  <c r="J104" i="20"/>
  <c r="J120" i="20" s="1"/>
  <c r="H104" i="20"/>
  <c r="H120" i="20" s="1"/>
  <c r="G104" i="20"/>
  <c r="G120" i="20" s="1"/>
  <c r="F104" i="20"/>
  <c r="F120" i="20" s="1"/>
  <c r="E104" i="20"/>
  <c r="E120" i="20" s="1"/>
  <c r="D104" i="20"/>
  <c r="D120" i="20" s="1"/>
  <c r="C104" i="20"/>
  <c r="P103" i="20"/>
  <c r="P119" i="20" s="1"/>
  <c r="O103" i="20"/>
  <c r="O119" i="20" s="1"/>
  <c r="M103" i="20"/>
  <c r="M119" i="20" s="1"/>
  <c r="L103" i="20"/>
  <c r="L119" i="20" s="1"/>
  <c r="K103" i="20"/>
  <c r="K119" i="20" s="1"/>
  <c r="J103" i="20"/>
  <c r="J119" i="20" s="1"/>
  <c r="I103" i="20"/>
  <c r="I119" i="20" s="1"/>
  <c r="H103" i="20"/>
  <c r="H119" i="20" s="1"/>
  <c r="G103" i="20"/>
  <c r="G119" i="20" s="1"/>
  <c r="G262" i="20" s="1"/>
  <c r="C103" i="20"/>
  <c r="C119" i="20" s="1"/>
  <c r="X102" i="20"/>
  <c r="W102" i="20"/>
  <c r="U102" i="20"/>
  <c r="U118" i="20" s="1"/>
  <c r="T102" i="20"/>
  <c r="T118" i="20" s="1"/>
  <c r="S102" i="20"/>
  <c r="S118" i="20" s="1"/>
  <c r="R102" i="20"/>
  <c r="R118" i="20" s="1"/>
  <c r="Q102" i="20"/>
  <c r="Q118" i="20" s="1"/>
  <c r="P102" i="20"/>
  <c r="P118" i="20" s="1"/>
  <c r="K102" i="20"/>
  <c r="D102" i="20"/>
  <c r="D118" i="20" s="1"/>
  <c r="V101" i="20"/>
  <c r="V117" i="20" s="1"/>
  <c r="L101" i="20"/>
  <c r="L117" i="20" s="1"/>
  <c r="G101" i="20"/>
  <c r="G117" i="20" s="1"/>
  <c r="AU100" i="20"/>
  <c r="AC103" i="20" s="1"/>
  <c r="AC100" i="20"/>
  <c r="AC164" i="20" s="1"/>
  <c r="U100" i="20"/>
  <c r="S100" i="20"/>
  <c r="S116" i="20" s="1"/>
  <c r="R100" i="20"/>
  <c r="R116" i="20" s="1"/>
  <c r="Q100" i="20"/>
  <c r="M100" i="20"/>
  <c r="M116" i="20" s="1"/>
  <c r="AU99" i="20"/>
  <c r="AC102" i="20" s="1"/>
  <c r="Y99" i="20"/>
  <c r="Y115" i="20" s="1"/>
  <c r="X99" i="20"/>
  <c r="X115" i="20" s="1"/>
  <c r="T99" i="20"/>
  <c r="T115" i="20" s="1"/>
  <c r="E99" i="20"/>
  <c r="D99" i="20"/>
  <c r="C99" i="20"/>
  <c r="AU98" i="20"/>
  <c r="AC101" i="20" s="1"/>
  <c r="AC165" i="20" s="1"/>
  <c r="Z98" i="20"/>
  <c r="Z114" i="20" s="1"/>
  <c r="U98" i="20"/>
  <c r="U114" i="20" s="1"/>
  <c r="R98" i="20"/>
  <c r="R114" i="20" s="1"/>
  <c r="M98" i="20"/>
  <c r="M114" i="20" s="1"/>
  <c r="L98" i="20"/>
  <c r="L114" i="20" s="1"/>
  <c r="K98" i="20"/>
  <c r="K114" i="20" s="1"/>
  <c r="J98" i="20"/>
  <c r="J114" i="20" s="1"/>
  <c r="I98" i="20"/>
  <c r="I114" i="20" s="1"/>
  <c r="G98" i="20"/>
  <c r="G114" i="20" s="1"/>
  <c r="F98" i="20"/>
  <c r="F114" i="20" s="1"/>
  <c r="AU97" i="20"/>
  <c r="U97" i="20"/>
  <c r="T97" i="20"/>
  <c r="T113" i="20" s="1"/>
  <c r="S97" i="20"/>
  <c r="S113" i="20" s="1"/>
  <c r="R97" i="20"/>
  <c r="R113" i="20" s="1"/>
  <c r="Q97" i="20"/>
  <c r="Q113" i="20" s="1"/>
  <c r="P97" i="20"/>
  <c r="P113" i="20" s="1"/>
  <c r="O97" i="20"/>
  <c r="O113" i="20" s="1"/>
  <c r="N97" i="20"/>
  <c r="N113" i="20" s="1"/>
  <c r="M97" i="20"/>
  <c r="M113" i="20" s="1"/>
  <c r="L97" i="20"/>
  <c r="L113" i="20" s="1"/>
  <c r="H97" i="20"/>
  <c r="H113" i="20" s="1"/>
  <c r="AU96" i="20"/>
  <c r="AC99" i="20" s="1"/>
  <c r="Y96" i="20"/>
  <c r="Y112" i="20" s="1"/>
  <c r="W96" i="20"/>
  <c r="W112" i="20" s="1"/>
  <c r="V96" i="20"/>
  <c r="V112" i="20" s="1"/>
  <c r="U96" i="20"/>
  <c r="U112" i="20" s="1"/>
  <c r="P96" i="20"/>
  <c r="P112" i="20" s="1"/>
  <c r="G96" i="20"/>
  <c r="F96" i="20"/>
  <c r="E96" i="20"/>
  <c r="E112" i="20" s="1"/>
  <c r="C96" i="20"/>
  <c r="C112" i="20" s="1"/>
  <c r="AU95" i="20"/>
  <c r="P95" i="20"/>
  <c r="O95" i="20"/>
  <c r="N95" i="20"/>
  <c r="L95" i="20"/>
  <c r="L111" i="20" s="1"/>
  <c r="I95" i="20"/>
  <c r="H95" i="20"/>
  <c r="G95" i="20"/>
  <c r="F95" i="20"/>
  <c r="E95" i="20"/>
  <c r="B95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AC91" i="20"/>
  <c r="AB91" i="20"/>
  <c r="AA91" i="20"/>
  <c r="Z91" i="20"/>
  <c r="Y90" i="20"/>
  <c r="Y106" i="20" s="1"/>
  <c r="Y122" i="20" s="1"/>
  <c r="X90" i="20"/>
  <c r="W90" i="20"/>
  <c r="V90" i="20"/>
  <c r="U90" i="20"/>
  <c r="U248" i="20" s="1"/>
  <c r="T90" i="20"/>
  <c r="S90" i="20"/>
  <c r="R90" i="20"/>
  <c r="Q90" i="20"/>
  <c r="P90" i="20"/>
  <c r="O90" i="20"/>
  <c r="N90" i="20"/>
  <c r="N248" i="20" s="1"/>
  <c r="M90" i="20"/>
  <c r="M248" i="20" s="1"/>
  <c r="L90" i="20"/>
  <c r="K90" i="20"/>
  <c r="K248" i="20" s="1"/>
  <c r="J90" i="20"/>
  <c r="J248" i="20" s="1"/>
  <c r="I90" i="20"/>
  <c r="I248" i="20" s="1"/>
  <c r="H90" i="20"/>
  <c r="H248" i="20" s="1"/>
  <c r="G90" i="20"/>
  <c r="G248" i="20" s="1"/>
  <c r="F90" i="20"/>
  <c r="F248" i="20" s="1"/>
  <c r="E90" i="20"/>
  <c r="E248" i="20" s="1"/>
  <c r="D90" i="20"/>
  <c r="D248" i="20" s="1"/>
  <c r="C90" i="20"/>
  <c r="C248" i="20" s="1"/>
  <c r="Y89" i="20"/>
  <c r="X89" i="20"/>
  <c r="W89" i="20"/>
  <c r="V89" i="20"/>
  <c r="V247" i="20" s="1"/>
  <c r="U89" i="20"/>
  <c r="U247" i="20" s="1"/>
  <c r="T89" i="20"/>
  <c r="S89" i="20"/>
  <c r="S247" i="20" s="1"/>
  <c r="R89" i="20"/>
  <c r="R247" i="20" s="1"/>
  <c r="Q89" i="20"/>
  <c r="Q247" i="20" s="1"/>
  <c r="P89" i="20"/>
  <c r="P247" i="20" s="1"/>
  <c r="O89" i="20"/>
  <c r="O247" i="20" s="1"/>
  <c r="N89" i="20"/>
  <c r="M89" i="20"/>
  <c r="L89" i="20"/>
  <c r="L247" i="20" s="1"/>
  <c r="K89" i="20"/>
  <c r="K105" i="20" s="1"/>
  <c r="K121" i="20" s="1"/>
  <c r="J89" i="20"/>
  <c r="J247" i="20" s="1"/>
  <c r="I89" i="20"/>
  <c r="I247" i="20" s="1"/>
  <c r="H89" i="20"/>
  <c r="H247" i="20" s="1"/>
  <c r="G89" i="20"/>
  <c r="F89" i="20"/>
  <c r="F247" i="20" s="1"/>
  <c r="E89" i="20"/>
  <c r="D89" i="20"/>
  <c r="C89" i="20"/>
  <c r="Y88" i="20"/>
  <c r="X88" i="20"/>
  <c r="X246" i="20" s="1"/>
  <c r="W88" i="20"/>
  <c r="V88" i="20"/>
  <c r="U88" i="20"/>
  <c r="T88" i="20"/>
  <c r="T246" i="20" s="1"/>
  <c r="S88" i="20"/>
  <c r="S246" i="20" s="1"/>
  <c r="R88" i="20"/>
  <c r="Q88" i="20"/>
  <c r="P88" i="20"/>
  <c r="P246" i="20" s="1"/>
  <c r="O88" i="20"/>
  <c r="O246" i="20" s="1"/>
  <c r="N88" i="20"/>
  <c r="N246" i="20" s="1"/>
  <c r="M88" i="20"/>
  <c r="L88" i="20"/>
  <c r="K88" i="20"/>
  <c r="J88" i="20"/>
  <c r="J246" i="20" s="1"/>
  <c r="J262" i="20" s="1"/>
  <c r="I88" i="20"/>
  <c r="H88" i="20"/>
  <c r="H246" i="20" s="1"/>
  <c r="G88" i="20"/>
  <c r="G246" i="20" s="1"/>
  <c r="F88" i="20"/>
  <c r="F246" i="20" s="1"/>
  <c r="E88" i="20"/>
  <c r="E246" i="20" s="1"/>
  <c r="D88" i="20"/>
  <c r="D246" i="20" s="1"/>
  <c r="C88" i="20"/>
  <c r="C246" i="20" s="1"/>
  <c r="Y87" i="20"/>
  <c r="Y103" i="20" s="1"/>
  <c r="X87" i="20"/>
  <c r="X245" i="20" s="1"/>
  <c r="W87" i="20"/>
  <c r="W245" i="20" s="1"/>
  <c r="V87" i="20"/>
  <c r="U87" i="20"/>
  <c r="T87" i="20"/>
  <c r="S87" i="20"/>
  <c r="R87" i="20"/>
  <c r="Q87" i="20"/>
  <c r="P87" i="20"/>
  <c r="P245" i="20" s="1"/>
  <c r="O87" i="20"/>
  <c r="N87" i="20"/>
  <c r="M87" i="20"/>
  <c r="M245" i="20" s="1"/>
  <c r="L87" i="20"/>
  <c r="L245" i="20" s="1"/>
  <c r="K87" i="20"/>
  <c r="K245" i="20" s="1"/>
  <c r="J87" i="20"/>
  <c r="J245" i="20" s="1"/>
  <c r="I87" i="20"/>
  <c r="I245" i="20" s="1"/>
  <c r="H87" i="20"/>
  <c r="H245" i="20" s="1"/>
  <c r="G87" i="20"/>
  <c r="G245" i="20" s="1"/>
  <c r="F87" i="20"/>
  <c r="E87" i="20"/>
  <c r="D87" i="20"/>
  <c r="D103" i="20" s="1"/>
  <c r="D119" i="20" s="1"/>
  <c r="C87" i="20"/>
  <c r="Y86" i="20"/>
  <c r="X86" i="20"/>
  <c r="X244" i="20" s="1"/>
  <c r="W86" i="20"/>
  <c r="W244" i="20" s="1"/>
  <c r="V86" i="20"/>
  <c r="U86" i="20"/>
  <c r="U244" i="20" s="1"/>
  <c r="T86" i="20"/>
  <c r="T244" i="20" s="1"/>
  <c r="S86" i="20"/>
  <c r="S244" i="20" s="1"/>
  <c r="R86" i="20"/>
  <c r="R244" i="20" s="1"/>
  <c r="Q86" i="20"/>
  <c r="Q244" i="20" s="1"/>
  <c r="P86" i="20"/>
  <c r="P244" i="20" s="1"/>
  <c r="O86" i="20"/>
  <c r="N86" i="20"/>
  <c r="M86" i="20"/>
  <c r="L86" i="20"/>
  <c r="L102" i="20" s="1"/>
  <c r="L118" i="20" s="1"/>
  <c r="K86" i="20"/>
  <c r="K244" i="20" s="1"/>
  <c r="K260" i="20" s="1"/>
  <c r="J86" i="20"/>
  <c r="I86" i="20"/>
  <c r="H86" i="20"/>
  <c r="G86" i="20"/>
  <c r="F86" i="20"/>
  <c r="E86" i="20"/>
  <c r="D86" i="20"/>
  <c r="D244" i="20" s="1"/>
  <c r="C86" i="20"/>
  <c r="C102" i="20" s="1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L243" i="20" s="1"/>
  <c r="K85" i="20"/>
  <c r="K101" i="20" s="1"/>
  <c r="J85" i="20"/>
  <c r="J243" i="20" s="1"/>
  <c r="I85" i="20"/>
  <c r="I243" i="20" s="1"/>
  <c r="H85" i="20"/>
  <c r="G85" i="20"/>
  <c r="F85" i="20"/>
  <c r="F243" i="20" s="1"/>
  <c r="E85" i="20"/>
  <c r="E243" i="20" s="1"/>
  <c r="D85" i="20"/>
  <c r="D243" i="20" s="1"/>
  <c r="C85" i="20"/>
  <c r="Z84" i="20"/>
  <c r="Y84" i="20"/>
  <c r="X84" i="20"/>
  <c r="W84" i="20"/>
  <c r="V84" i="20"/>
  <c r="U84" i="20"/>
  <c r="U242" i="20" s="1"/>
  <c r="T84" i="20"/>
  <c r="S84" i="20"/>
  <c r="S242" i="20" s="1"/>
  <c r="R84" i="20"/>
  <c r="R242" i="20" s="1"/>
  <c r="Q84" i="20"/>
  <c r="Q242" i="20" s="1"/>
  <c r="P84" i="20"/>
  <c r="O84" i="20"/>
  <c r="O242" i="20" s="1"/>
  <c r="N84" i="20"/>
  <c r="N242" i="20" s="1"/>
  <c r="M84" i="20"/>
  <c r="M242" i="20" s="1"/>
  <c r="L84" i="20"/>
  <c r="L242" i="20" s="1"/>
  <c r="K84" i="20"/>
  <c r="J84" i="20"/>
  <c r="I84" i="20"/>
  <c r="H84" i="20"/>
  <c r="G84" i="20"/>
  <c r="F84" i="20"/>
  <c r="E84" i="20"/>
  <c r="D84" i="20"/>
  <c r="C84" i="20"/>
  <c r="Y83" i="20"/>
  <c r="Y241" i="20" s="1"/>
  <c r="X83" i="20"/>
  <c r="X241" i="20" s="1"/>
  <c r="W83" i="20"/>
  <c r="W241" i="20" s="1"/>
  <c r="V83" i="20"/>
  <c r="V241" i="20" s="1"/>
  <c r="U83" i="20"/>
  <c r="U241" i="20" s="1"/>
  <c r="T83" i="20"/>
  <c r="T241" i="20" s="1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D241" i="20" s="1"/>
  <c r="C83" i="20"/>
  <c r="C241" i="20" s="1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M240" i="20" s="1"/>
  <c r="L82" i="20"/>
  <c r="L240" i="20" s="1"/>
  <c r="K82" i="20"/>
  <c r="K240" i="20" s="1"/>
  <c r="J82" i="20"/>
  <c r="J240" i="20" s="1"/>
  <c r="I82" i="20"/>
  <c r="I240" i="20" s="1"/>
  <c r="H82" i="20"/>
  <c r="H240" i="20" s="1"/>
  <c r="G82" i="20"/>
  <c r="F82" i="20"/>
  <c r="F240" i="20" s="1"/>
  <c r="E82" i="20"/>
  <c r="E240" i="20" s="1"/>
  <c r="D82" i="20"/>
  <c r="C82" i="20"/>
  <c r="Z81" i="20"/>
  <c r="Z97" i="20" s="1"/>
  <c r="Z113" i="20" s="1"/>
  <c r="Y81" i="20"/>
  <c r="X81" i="20"/>
  <c r="W81" i="20"/>
  <c r="V81" i="20"/>
  <c r="U81" i="20"/>
  <c r="U239" i="20" s="1"/>
  <c r="T81" i="20"/>
  <c r="T239" i="20" s="1"/>
  <c r="S81" i="20"/>
  <c r="S239" i="20" s="1"/>
  <c r="R81" i="20"/>
  <c r="R239" i="20" s="1"/>
  <c r="Q81" i="20"/>
  <c r="Q239" i="20" s="1"/>
  <c r="P81" i="20"/>
  <c r="P239" i="20" s="1"/>
  <c r="O81" i="20"/>
  <c r="O239" i="20" s="1"/>
  <c r="N81" i="20"/>
  <c r="N239" i="20" s="1"/>
  <c r="M81" i="20"/>
  <c r="M239" i="20" s="1"/>
  <c r="L81" i="20"/>
  <c r="L239" i="20" s="1"/>
  <c r="K81" i="20"/>
  <c r="J81" i="20"/>
  <c r="I81" i="20"/>
  <c r="H81" i="20"/>
  <c r="H239" i="20" s="1"/>
  <c r="G81" i="20"/>
  <c r="F81" i="20"/>
  <c r="E81" i="20"/>
  <c r="E97" i="20" s="1"/>
  <c r="D81" i="20"/>
  <c r="C81" i="20"/>
  <c r="Z80" i="20"/>
  <c r="Y80" i="20"/>
  <c r="Y238" i="20" s="1"/>
  <c r="X80" i="20"/>
  <c r="W80" i="20"/>
  <c r="V80" i="20"/>
  <c r="V238" i="20" s="1"/>
  <c r="U80" i="20"/>
  <c r="T80" i="20"/>
  <c r="T238" i="20" s="1"/>
  <c r="S80" i="20"/>
  <c r="R80" i="20"/>
  <c r="Q80" i="20"/>
  <c r="P80" i="20"/>
  <c r="P238" i="20" s="1"/>
  <c r="O80" i="20"/>
  <c r="N80" i="20"/>
  <c r="M80" i="20"/>
  <c r="L80" i="20"/>
  <c r="K80" i="20"/>
  <c r="J80" i="20"/>
  <c r="I80" i="20"/>
  <c r="H80" i="20"/>
  <c r="G80" i="20"/>
  <c r="G238" i="20" s="1"/>
  <c r="F80" i="20"/>
  <c r="F238" i="20" s="1"/>
  <c r="E80" i="20"/>
  <c r="E238" i="20" s="1"/>
  <c r="D80" i="20"/>
  <c r="C80" i="20"/>
  <c r="Z79" i="20"/>
  <c r="Y79" i="20"/>
  <c r="X79" i="20"/>
  <c r="W79" i="20"/>
  <c r="V79" i="20"/>
  <c r="U79" i="20"/>
  <c r="T79" i="20"/>
  <c r="S79" i="20"/>
  <c r="R79" i="20"/>
  <c r="Q79" i="20"/>
  <c r="Q95" i="20" s="1"/>
  <c r="Q111" i="20" s="1"/>
  <c r="P79" i="20"/>
  <c r="O249" i="20" s="1"/>
  <c r="O79" i="20"/>
  <c r="N249" i="20" s="1"/>
  <c r="N79" i="20"/>
  <c r="M249" i="20" s="1"/>
  <c r="M79" i="20"/>
  <c r="L79" i="20"/>
  <c r="K249" i="20" s="1"/>
  <c r="K265" i="20" s="1"/>
  <c r="K79" i="20"/>
  <c r="J79" i="20"/>
  <c r="I79" i="20"/>
  <c r="H79" i="20"/>
  <c r="G249" i="20" s="1"/>
  <c r="G265" i="20" s="1"/>
  <c r="G79" i="20"/>
  <c r="F79" i="20"/>
  <c r="E79" i="20"/>
  <c r="D79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V75" i="20"/>
  <c r="V13" i="20" s="1"/>
  <c r="B75" i="20"/>
  <c r="AI74" i="20"/>
  <c r="AD74" i="20"/>
  <c r="AJ70" i="20" s="1"/>
  <c r="AC74" i="20"/>
  <c r="AI70" i="20" s="1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AJ72" i="20"/>
  <c r="AD72" i="20"/>
  <c r="AJ68" i="20" s="1"/>
  <c r="AC72" i="20"/>
  <c r="AI68" i="20" s="1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AJ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AD70" i="20"/>
  <c r="AJ66" i="20" s="1"/>
  <c r="AC70" i="20"/>
  <c r="AI66" i="20" s="1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AJ69" i="20"/>
  <c r="AI69" i="20"/>
  <c r="AD69" i="20"/>
  <c r="AJ65" i="20" s="1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AD68" i="20"/>
  <c r="AJ64" i="20" s="1"/>
  <c r="AC68" i="20"/>
  <c r="AI64" i="20" s="1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AJ67" i="20"/>
  <c r="AI67" i="20"/>
  <c r="AD67" i="20"/>
  <c r="AJ63" i="20" s="1"/>
  <c r="AC67" i="20"/>
  <c r="AI63" i="20" s="1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AI65" i="20"/>
  <c r="AD65" i="20"/>
  <c r="AI73" i="20" s="1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AE64" i="20"/>
  <c r="AD64" i="20"/>
  <c r="AI72" i="20" s="1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M75" i="20" s="1"/>
  <c r="M13" i="20" s="1"/>
  <c r="L63" i="20"/>
  <c r="K63" i="20"/>
  <c r="J63" i="20"/>
  <c r="I63" i="20"/>
  <c r="H63" i="20"/>
  <c r="G63" i="20"/>
  <c r="F63" i="20"/>
  <c r="E63" i="20"/>
  <c r="D63" i="20"/>
  <c r="C63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AE59" i="20"/>
  <c r="X59" i="20"/>
  <c r="X10" i="20" s="1"/>
  <c r="W59" i="20"/>
  <c r="W10" i="20" s="1"/>
  <c r="V59" i="20"/>
  <c r="V10" i="20" s="1"/>
  <c r="U59" i="20"/>
  <c r="U10" i="20" s="1"/>
  <c r="T59" i="20"/>
  <c r="T10" i="20" s="1"/>
  <c r="H59" i="20"/>
  <c r="G59" i="20"/>
  <c r="F59" i="20"/>
  <c r="E59" i="20"/>
  <c r="D59" i="20"/>
  <c r="C59" i="20"/>
  <c r="B59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AD50" i="20"/>
  <c r="AC50" i="20"/>
  <c r="AB50" i="20"/>
  <c r="AB59" i="20" s="1"/>
  <c r="AB10" i="20" s="1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S59" i="20" s="1"/>
  <c r="S10" i="20" s="1"/>
  <c r="R48" i="20"/>
  <c r="Q48" i="20"/>
  <c r="P48" i="20"/>
  <c r="O48" i="20"/>
  <c r="N48" i="20"/>
  <c r="M48" i="20"/>
  <c r="L48" i="20"/>
  <c r="K48" i="20"/>
  <c r="J48" i="20"/>
  <c r="I48" i="20"/>
  <c r="I59" i="20" s="1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Q59" i="20" s="1"/>
  <c r="Q10" i="20" s="1"/>
  <c r="P47" i="20"/>
  <c r="P59" i="20" s="1"/>
  <c r="O47" i="20"/>
  <c r="N47" i="20"/>
  <c r="M47" i="20"/>
  <c r="L47" i="20"/>
  <c r="K47" i="20"/>
  <c r="J47" i="20"/>
  <c r="I47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Z43" i="20"/>
  <c r="X43" i="20"/>
  <c r="Q41" i="20"/>
  <c r="B41" i="20"/>
  <c r="B36" i="20" s="1"/>
  <c r="AE40" i="20"/>
  <c r="AE298" i="20" s="1"/>
  <c r="AD40" i="20"/>
  <c r="AD298" i="20" s="1"/>
  <c r="AD297" i="20" s="1"/>
  <c r="AJ294" i="20" s="1"/>
  <c r="AC40" i="20"/>
  <c r="AB40" i="20"/>
  <c r="P40" i="20"/>
  <c r="N40" i="20"/>
  <c r="K40" i="20"/>
  <c r="J40" i="20"/>
  <c r="I40" i="20"/>
  <c r="G40" i="20"/>
  <c r="F40" i="20"/>
  <c r="E39" i="20"/>
  <c r="AC35" i="20"/>
  <c r="AC41" i="20" s="1"/>
  <c r="AC36" i="20" s="1"/>
  <c r="AB35" i="20"/>
  <c r="AB41" i="20" s="1"/>
  <c r="AB36" i="20" s="1"/>
  <c r="Y35" i="20"/>
  <c r="Y41" i="20" s="1"/>
  <c r="X35" i="20"/>
  <c r="X41" i="20" s="1"/>
  <c r="X36" i="20" s="1"/>
  <c r="W35" i="20"/>
  <c r="W41" i="20" s="1"/>
  <c r="V35" i="20"/>
  <c r="V41" i="20" s="1"/>
  <c r="U35" i="20"/>
  <c r="U41" i="20" s="1"/>
  <c r="T35" i="20"/>
  <c r="T41" i="20" s="1"/>
  <c r="S35" i="20"/>
  <c r="S41" i="20" s="1"/>
  <c r="Q35" i="20"/>
  <c r="G35" i="20"/>
  <c r="G41" i="20" s="1"/>
  <c r="G36" i="20" s="1"/>
  <c r="E35" i="20"/>
  <c r="E41" i="20" s="1"/>
  <c r="E36" i="20" s="1"/>
  <c r="E314" i="20" s="1"/>
  <c r="B35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F35" i="20" s="1"/>
  <c r="F41" i="20" s="1"/>
  <c r="F36" i="20" s="1"/>
  <c r="E33" i="20"/>
  <c r="D33" i="20"/>
  <c r="AE32" i="20"/>
  <c r="AD32" i="20"/>
  <c r="AC32" i="20"/>
  <c r="AB32" i="20"/>
  <c r="AA32" i="20"/>
  <c r="AA35" i="20" s="1"/>
  <c r="AA41" i="20" s="1"/>
  <c r="Z32" i="20"/>
  <c r="Y32" i="20"/>
  <c r="X32" i="20"/>
  <c r="W32" i="20"/>
  <c r="V32" i="20"/>
  <c r="U32" i="20"/>
  <c r="T32" i="20"/>
  <c r="S32" i="20"/>
  <c r="R32" i="20"/>
  <c r="R35" i="20" s="1"/>
  <c r="R41" i="20" s="1"/>
  <c r="Q32" i="20"/>
  <c r="P32" i="20"/>
  <c r="P35" i="20" s="1"/>
  <c r="P41" i="20" s="1"/>
  <c r="P36" i="20" s="1"/>
  <c r="O32" i="20"/>
  <c r="O35" i="20" s="1"/>
  <c r="O41" i="20" s="1"/>
  <c r="N32" i="20"/>
  <c r="N35" i="20" s="1"/>
  <c r="N41" i="20" s="1"/>
  <c r="N36" i="20" s="1"/>
  <c r="M32" i="20"/>
  <c r="M35" i="20" s="1"/>
  <c r="M41" i="20" s="1"/>
  <c r="L32" i="20"/>
  <c r="K32" i="20"/>
  <c r="J32" i="20"/>
  <c r="I32" i="20"/>
  <c r="H32" i="20"/>
  <c r="H35" i="20" s="1"/>
  <c r="H41" i="20" s="1"/>
  <c r="G32" i="20"/>
  <c r="F32" i="20"/>
  <c r="E32" i="20"/>
  <c r="D32" i="20"/>
  <c r="D35" i="20" s="1"/>
  <c r="D41" i="20" s="1"/>
  <c r="D36" i="20" s="1"/>
  <c r="C32" i="20"/>
  <c r="AE27" i="20"/>
  <c r="AE155" i="20" s="1"/>
  <c r="AC24" i="20"/>
  <c r="AC25" i="20" s="1"/>
  <c r="AC28" i="20" s="1"/>
  <c r="AB24" i="20"/>
  <c r="X24" i="20"/>
  <c r="W24" i="20"/>
  <c r="V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AA23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AE17" i="20"/>
  <c r="AD17" i="20"/>
  <c r="AE8" i="20" s="1"/>
  <c r="AE11" i="20" s="1"/>
  <c r="AE16" i="20" s="1"/>
  <c r="AE15" i="20" s="1"/>
  <c r="AE45" i="20" s="1"/>
  <c r="AE14" i="20"/>
  <c r="AD14" i="20"/>
  <c r="AC14" i="20"/>
  <c r="Y14" i="20"/>
  <c r="S14" i="20"/>
  <c r="R14" i="20"/>
  <c r="Q14" i="20"/>
  <c r="O14" i="20"/>
  <c r="J14" i="20"/>
  <c r="I14" i="20"/>
  <c r="H14" i="20"/>
  <c r="G14" i="20"/>
  <c r="F14" i="20"/>
  <c r="E14" i="20"/>
  <c r="D14" i="20"/>
  <c r="C14" i="20"/>
  <c r="AE13" i="20"/>
  <c r="AE75" i="20" s="1"/>
  <c r="AD13" i="20"/>
  <c r="AE12" i="20"/>
  <c r="AD12" i="20"/>
  <c r="V11" i="20"/>
  <c r="V16" i="20" s="1"/>
  <c r="U11" i="20"/>
  <c r="U16" i="20" s="1"/>
  <c r="I11" i="20"/>
  <c r="I16" i="20" s="1"/>
  <c r="E11" i="20"/>
  <c r="E16" i="20" s="1"/>
  <c r="B11" i="20"/>
  <c r="B16" i="20" s="1"/>
  <c r="AC9" i="20"/>
  <c r="AB9" i="20"/>
  <c r="AB7" i="20" s="1"/>
  <c r="AA9" i="20"/>
  <c r="AA7" i="20" s="1"/>
  <c r="Z9" i="20"/>
  <c r="Z7" i="20" s="1"/>
  <c r="Y9" i="20"/>
  <c r="Y7" i="20" s="1"/>
  <c r="X9" i="20"/>
  <c r="W9" i="20"/>
  <c r="V9" i="20"/>
  <c r="U9" i="20"/>
  <c r="T9" i="20"/>
  <c r="S9" i="20"/>
  <c r="S7" i="20" s="1"/>
  <c r="R9" i="20"/>
  <c r="R7" i="20" s="1"/>
  <c r="Q9" i="20"/>
  <c r="Q7" i="20" s="1"/>
  <c r="P9" i="20"/>
  <c r="O9" i="20"/>
  <c r="N9" i="20"/>
  <c r="M9" i="20"/>
  <c r="L9" i="20"/>
  <c r="K9" i="20"/>
  <c r="J9" i="20"/>
  <c r="J11" i="20" s="1"/>
  <c r="J16" i="20" s="1"/>
  <c r="I9" i="20"/>
  <c r="H9" i="20"/>
  <c r="G9" i="20"/>
  <c r="G7" i="20" s="1"/>
  <c r="F9" i="20"/>
  <c r="F7" i="20" s="1"/>
  <c r="E9" i="20"/>
  <c r="D9" i="20"/>
  <c r="C9" i="20"/>
  <c r="B9" i="20"/>
  <c r="AD8" i="20"/>
  <c r="AC8" i="20"/>
  <c r="AB8" i="20"/>
  <c r="AA8" i="20"/>
  <c r="Z8" i="20"/>
  <c r="Y8" i="20"/>
  <c r="X8" i="20"/>
  <c r="W8" i="20"/>
  <c r="W11" i="20" s="1"/>
  <c r="W16" i="20" s="1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H11" i="20" s="1"/>
  <c r="H16" i="20" s="1"/>
  <c r="G8" i="20"/>
  <c r="G11" i="20" s="1"/>
  <c r="G16" i="20" s="1"/>
  <c r="F8" i="20"/>
  <c r="F11" i="20" s="1"/>
  <c r="F16" i="20" s="1"/>
  <c r="E8" i="20"/>
  <c r="D8" i="20"/>
  <c r="D11" i="20" s="1"/>
  <c r="D16" i="20" s="1"/>
  <c r="C8" i="20"/>
  <c r="C11" i="20" s="1"/>
  <c r="C16" i="20" s="1"/>
  <c r="AE7" i="20"/>
  <c r="K7" i="20"/>
  <c r="J7" i="20"/>
  <c r="H7" i="20"/>
  <c r="D7" i="20"/>
  <c r="C7" i="20"/>
  <c r="B7" i="20"/>
  <c r="BU6" i="20"/>
  <c r="BU8" i="20" s="1"/>
  <c r="AE6" i="20"/>
  <c r="AD6" i="20"/>
  <c r="S6" i="20"/>
  <c r="R6" i="20"/>
  <c r="K6" i="20"/>
  <c r="J6" i="20"/>
  <c r="H6" i="20"/>
  <c r="G6" i="20"/>
  <c r="B6" i="20"/>
  <c r="BS5" i="20"/>
  <c r="BR5" i="20"/>
  <c r="BQ5" i="20"/>
  <c r="BP5" i="20"/>
  <c r="BO5" i="20"/>
  <c r="BN5" i="20"/>
  <c r="BM5" i="20"/>
  <c r="W5" i="20" s="1"/>
  <c r="BL5" i="20"/>
  <c r="V5" i="20" s="1"/>
  <c r="BK5" i="20"/>
  <c r="U5" i="20" s="1"/>
  <c r="BJ5" i="20"/>
  <c r="BI5" i="20"/>
  <c r="S5" i="20" s="1"/>
  <c r="BH5" i="20"/>
  <c r="BG5" i="20"/>
  <c r="BF5" i="20"/>
  <c r="BE5" i="20"/>
  <c r="O5" i="20" s="1"/>
  <c r="O7" i="20" s="1"/>
  <c r="BD5" i="20"/>
  <c r="BC5" i="20"/>
  <c r="BB5" i="20"/>
  <c r="BA5" i="20"/>
  <c r="AZ5" i="20"/>
  <c r="AY5" i="20"/>
  <c r="I5" i="20" s="1"/>
  <c r="AX5" i="20"/>
  <c r="H5" i="20" s="1"/>
  <c r="AW5" i="20"/>
  <c r="AV5" i="20"/>
  <c r="AU5" i="20"/>
  <c r="AT5" i="20"/>
  <c r="AS5" i="20"/>
  <c r="AR5" i="20"/>
  <c r="AQ5" i="20"/>
  <c r="AP5" i="20"/>
  <c r="AO5" i="20"/>
  <c r="AC5" i="20"/>
  <c r="AC6" i="20" s="1"/>
  <c r="AB5" i="20"/>
  <c r="AA5" i="20"/>
  <c r="Z5" i="20"/>
  <c r="Z6" i="20" s="1"/>
  <c r="Y5" i="20"/>
  <c r="X5" i="20"/>
  <c r="R5" i="20"/>
  <c r="Q5" i="20"/>
  <c r="Q6" i="20" s="1"/>
  <c r="P5" i="20"/>
  <c r="P6" i="20" s="1"/>
  <c r="N5" i="20"/>
  <c r="M5" i="20"/>
  <c r="L5" i="20"/>
  <c r="L6" i="20" s="1"/>
  <c r="K5" i="20"/>
  <c r="J5" i="20"/>
  <c r="G5" i="20"/>
  <c r="F5" i="20"/>
  <c r="E5" i="20"/>
  <c r="D5" i="20"/>
  <c r="D6" i="20" s="1"/>
  <c r="C5" i="20"/>
  <c r="C6" i="20" s="1"/>
  <c r="B5" i="20"/>
  <c r="BV4" i="20"/>
  <c r="AF4" i="20" s="1"/>
  <c r="BU4" i="20"/>
  <c r="AE4" i="20"/>
  <c r="AD4" i="20"/>
  <c r="AC4" i="20"/>
  <c r="AB14" i="20" s="1"/>
  <c r="AB4" i="20"/>
  <c r="AA14" i="20" s="1"/>
  <c r="AA4" i="20"/>
  <c r="Z14" i="20" s="1"/>
  <c r="Z4" i="20"/>
  <c r="Y4" i="20"/>
  <c r="X14" i="20" s="1"/>
  <c r="X4" i="20"/>
  <c r="W14" i="20" s="1"/>
  <c r="W4" i="20"/>
  <c r="V14" i="20" s="1"/>
  <c r="V4" i="20"/>
  <c r="U14" i="20" s="1"/>
  <c r="U4" i="20"/>
  <c r="T14" i="20" s="1"/>
  <c r="T4" i="20"/>
  <c r="S4" i="20"/>
  <c r="R4" i="20"/>
  <c r="Q4" i="20"/>
  <c r="P14" i="20" s="1"/>
  <c r="P4" i="20"/>
  <c r="O4" i="20"/>
  <c r="N14" i="20" s="1"/>
  <c r="N4" i="20"/>
  <c r="M14" i="20" s="1"/>
  <c r="M4" i="20"/>
  <c r="L14" i="20" s="1"/>
  <c r="L4" i="20"/>
  <c r="K14" i="20" s="1"/>
  <c r="K4" i="20"/>
  <c r="J4" i="20"/>
  <c r="I4" i="20"/>
  <c r="H4" i="20"/>
  <c r="G4" i="20"/>
  <c r="F4" i="20"/>
  <c r="E4" i="20"/>
  <c r="D4" i="20"/>
  <c r="C4" i="20"/>
  <c r="B14" i="20" s="1"/>
  <c r="B4" i="20"/>
  <c r="AC317" i="19"/>
  <c r="AB317" i="19"/>
  <c r="AA317" i="19"/>
  <c r="Z317" i="19"/>
  <c r="Y317" i="19"/>
  <c r="X317" i="19"/>
  <c r="W317" i="19"/>
  <c r="V317" i="19"/>
  <c r="U317" i="19"/>
  <c r="T317" i="19"/>
  <c r="S317" i="19"/>
  <c r="R317" i="19"/>
  <c r="Q317" i="19"/>
  <c r="P317" i="19"/>
  <c r="O317" i="19"/>
  <c r="N317" i="19"/>
  <c r="M317" i="19"/>
  <c r="L317" i="19"/>
  <c r="K317" i="19"/>
  <c r="J317" i="19"/>
  <c r="I317" i="19"/>
  <c r="H317" i="19"/>
  <c r="G317" i="19"/>
  <c r="F317" i="19"/>
  <c r="E317" i="19"/>
  <c r="D317" i="19"/>
  <c r="C317" i="19"/>
  <c r="B317" i="19"/>
  <c r="AC314" i="19"/>
  <c r="AB314" i="19"/>
  <c r="AA314" i="19"/>
  <c r="Z314" i="19"/>
  <c r="Y314" i="19"/>
  <c r="X314" i="19"/>
  <c r="W314" i="19"/>
  <c r="V314" i="19"/>
  <c r="U314" i="19"/>
  <c r="T314" i="19"/>
  <c r="S314" i="19"/>
  <c r="R314" i="19"/>
  <c r="Q314" i="19"/>
  <c r="P314" i="19"/>
  <c r="O314" i="19"/>
  <c r="N314" i="19"/>
  <c r="M314" i="19"/>
  <c r="L314" i="19"/>
  <c r="K314" i="19"/>
  <c r="J314" i="19"/>
  <c r="I314" i="19"/>
  <c r="H314" i="19"/>
  <c r="I305" i="19" s="1"/>
  <c r="I306" i="19" s="1"/>
  <c r="I307" i="19" s="1"/>
  <c r="G314" i="19"/>
  <c r="G305" i="19" s="1"/>
  <c r="F314" i="19"/>
  <c r="E314" i="19"/>
  <c r="D314" i="19"/>
  <c r="C314" i="19"/>
  <c r="B314" i="19"/>
  <c r="J310" i="19"/>
  <c r="J311" i="19" s="1"/>
  <c r="K306" i="19"/>
  <c r="K307" i="19" s="1"/>
  <c r="J306" i="19"/>
  <c r="J307" i="19" s="1"/>
  <c r="J308" i="19" s="1"/>
  <c r="J309" i="19" s="1"/>
  <c r="G306" i="19"/>
  <c r="G307" i="19" s="1"/>
  <c r="G308" i="19" s="1"/>
  <c r="Y305" i="19"/>
  <c r="K305" i="19"/>
  <c r="J305" i="19"/>
  <c r="X304" i="19"/>
  <c r="X305" i="19" s="1"/>
  <c r="V304" i="19"/>
  <c r="V305" i="19" s="1"/>
  <c r="V306" i="19" s="1"/>
  <c r="V307" i="19" s="1"/>
  <c r="V308" i="19" s="1"/>
  <c r="V309" i="19" s="1"/>
  <c r="V310" i="19" s="1"/>
  <c r="V311" i="19" s="1"/>
  <c r="V312" i="19" s="1"/>
  <c r="V313" i="19" s="1"/>
  <c r="U304" i="19"/>
  <c r="U305" i="19" s="1"/>
  <c r="U306" i="19" s="1"/>
  <c r="U307" i="19" s="1"/>
  <c r="U308" i="19" s="1"/>
  <c r="U309" i="19" s="1"/>
  <c r="U310" i="19" s="1"/>
  <c r="U311" i="19" s="1"/>
  <c r="U312" i="19" s="1"/>
  <c r="U313" i="19" s="1"/>
  <c r="AC303" i="19"/>
  <c r="Z303" i="19"/>
  <c r="Y303" i="19"/>
  <c r="Y304" i="19" s="1"/>
  <c r="X303" i="19"/>
  <c r="V303" i="19"/>
  <c r="U303" i="19"/>
  <c r="O303" i="19"/>
  <c r="K303" i="19"/>
  <c r="K304" i="19" s="1"/>
  <c r="J303" i="19"/>
  <c r="J304" i="19" s="1"/>
  <c r="I303" i="19"/>
  <c r="I304" i="19" s="1"/>
  <c r="H303" i="19"/>
  <c r="H304" i="19" s="1"/>
  <c r="G303" i="19"/>
  <c r="G304" i="19" s="1"/>
  <c r="B303" i="19"/>
  <c r="AC302" i="19"/>
  <c r="AB302" i="19"/>
  <c r="AA302" i="19"/>
  <c r="Z302" i="19"/>
  <c r="Y302" i="19"/>
  <c r="X302" i="19"/>
  <c r="W302" i="19"/>
  <c r="V302" i="19"/>
  <c r="U302" i="19"/>
  <c r="T302" i="19"/>
  <c r="S302" i="19"/>
  <c r="R302" i="19"/>
  <c r="Q302" i="19"/>
  <c r="P302" i="19"/>
  <c r="O302" i="19"/>
  <c r="N302" i="19"/>
  <c r="M302" i="19"/>
  <c r="L302" i="19"/>
  <c r="K302" i="19"/>
  <c r="J302" i="19"/>
  <c r="I302" i="19"/>
  <c r="H302" i="19"/>
  <c r="G302" i="19"/>
  <c r="F302" i="19"/>
  <c r="E302" i="19"/>
  <c r="D302" i="19"/>
  <c r="C302" i="19"/>
  <c r="B302" i="19"/>
  <c r="AC297" i="19"/>
  <c r="AB297" i="19"/>
  <c r="AA297" i="19"/>
  <c r="Z297" i="19"/>
  <c r="AC286" i="19"/>
  <c r="AB286" i="19"/>
  <c r="AA286" i="19"/>
  <c r="Z286" i="19"/>
  <c r="Y286" i="19"/>
  <c r="X286" i="19"/>
  <c r="W286" i="19"/>
  <c r="V286" i="19"/>
  <c r="U286" i="19"/>
  <c r="T286" i="19"/>
  <c r="S286" i="19"/>
  <c r="R286" i="19"/>
  <c r="Q286" i="19"/>
  <c r="P286" i="19"/>
  <c r="O286" i="19"/>
  <c r="N286" i="19"/>
  <c r="M286" i="19"/>
  <c r="L286" i="19"/>
  <c r="K286" i="19"/>
  <c r="J286" i="19"/>
  <c r="I286" i="19"/>
  <c r="H286" i="19"/>
  <c r="G286" i="19"/>
  <c r="F286" i="19"/>
  <c r="E286" i="19"/>
  <c r="D286" i="19"/>
  <c r="C286" i="19"/>
  <c r="B286" i="19"/>
  <c r="Y282" i="19"/>
  <c r="X282" i="19"/>
  <c r="W282" i="19"/>
  <c r="V282" i="19"/>
  <c r="U282" i="19"/>
  <c r="T282" i="19"/>
  <c r="S282" i="19"/>
  <c r="R282" i="19"/>
  <c r="Q282" i="19"/>
  <c r="P282" i="19"/>
  <c r="O282" i="19"/>
  <c r="N282" i="19"/>
  <c r="M282" i="19"/>
  <c r="L282" i="19"/>
  <c r="K282" i="19"/>
  <c r="J282" i="19"/>
  <c r="I282" i="19"/>
  <c r="H282" i="19"/>
  <c r="G282" i="19"/>
  <c r="F282" i="19"/>
  <c r="E282" i="19"/>
  <c r="D282" i="19"/>
  <c r="C282" i="19"/>
  <c r="B282" i="19"/>
  <c r="Y281" i="19"/>
  <c r="X281" i="19"/>
  <c r="W281" i="19"/>
  <c r="V281" i="19"/>
  <c r="U281" i="19"/>
  <c r="U283" i="19" s="1"/>
  <c r="U40" i="19" s="1"/>
  <c r="T281" i="19"/>
  <c r="S281" i="19"/>
  <c r="R281" i="19"/>
  <c r="Q281" i="19"/>
  <c r="P281" i="19"/>
  <c r="O281" i="19"/>
  <c r="N281" i="19"/>
  <c r="M281" i="19"/>
  <c r="L281" i="19"/>
  <c r="K281" i="19"/>
  <c r="J281" i="19"/>
  <c r="I281" i="19"/>
  <c r="H281" i="19"/>
  <c r="G281" i="19"/>
  <c r="F281" i="19"/>
  <c r="E281" i="19"/>
  <c r="D281" i="19"/>
  <c r="C281" i="19"/>
  <c r="B281" i="19"/>
  <c r="Y280" i="19"/>
  <c r="X280" i="19"/>
  <c r="W280" i="19"/>
  <c r="V280" i="19"/>
  <c r="U280" i="19"/>
  <c r="T280" i="19"/>
  <c r="S280" i="19"/>
  <c r="R280" i="19"/>
  <c r="Q280" i="19"/>
  <c r="P280" i="19"/>
  <c r="O280" i="19"/>
  <c r="N280" i="19"/>
  <c r="M280" i="19"/>
  <c r="L280" i="19"/>
  <c r="K280" i="19"/>
  <c r="J280" i="19"/>
  <c r="I280" i="19"/>
  <c r="H280" i="19"/>
  <c r="G280" i="19"/>
  <c r="F280" i="19"/>
  <c r="E280" i="19"/>
  <c r="D280" i="19"/>
  <c r="C280" i="19"/>
  <c r="B280" i="19"/>
  <c r="Y279" i="19"/>
  <c r="X279" i="19"/>
  <c r="W279" i="19"/>
  <c r="V279" i="19"/>
  <c r="U279" i="19"/>
  <c r="T279" i="19"/>
  <c r="S279" i="19"/>
  <c r="R279" i="19"/>
  <c r="Q279" i="19"/>
  <c r="P279" i="19"/>
  <c r="O279" i="19"/>
  <c r="N279" i="19"/>
  <c r="M279" i="19"/>
  <c r="L279" i="19"/>
  <c r="K279" i="19"/>
  <c r="J279" i="19"/>
  <c r="I279" i="19"/>
  <c r="H279" i="19"/>
  <c r="G279" i="19"/>
  <c r="F279" i="19"/>
  <c r="E279" i="19"/>
  <c r="D279" i="19"/>
  <c r="C279" i="19"/>
  <c r="B279" i="19"/>
  <c r="Y278" i="19"/>
  <c r="X278" i="19"/>
  <c r="W278" i="19"/>
  <c r="V278" i="19"/>
  <c r="U278" i="19"/>
  <c r="T278" i="19"/>
  <c r="S278" i="19"/>
  <c r="R278" i="19"/>
  <c r="Q278" i="19"/>
  <c r="P278" i="19"/>
  <c r="O278" i="19"/>
  <c r="N278" i="19"/>
  <c r="M278" i="19"/>
  <c r="L278" i="19"/>
  <c r="K278" i="19"/>
  <c r="J278" i="19"/>
  <c r="I278" i="19"/>
  <c r="H278" i="19"/>
  <c r="G278" i="19"/>
  <c r="F278" i="19"/>
  <c r="E278" i="19"/>
  <c r="D278" i="19"/>
  <c r="C278" i="19"/>
  <c r="B278" i="19"/>
  <c r="Y277" i="19"/>
  <c r="X277" i="19"/>
  <c r="W277" i="19"/>
  <c r="V277" i="19"/>
  <c r="U277" i="19"/>
  <c r="T277" i="19"/>
  <c r="S277" i="19"/>
  <c r="R277" i="19"/>
  <c r="Q277" i="19"/>
  <c r="P277" i="19"/>
  <c r="O277" i="19"/>
  <c r="N277" i="19"/>
  <c r="M277" i="19"/>
  <c r="L277" i="19"/>
  <c r="K277" i="19"/>
  <c r="J277" i="19"/>
  <c r="I277" i="19"/>
  <c r="H277" i="19"/>
  <c r="G277" i="19"/>
  <c r="F277" i="19"/>
  <c r="E277" i="19"/>
  <c r="D277" i="19"/>
  <c r="C277" i="19"/>
  <c r="B277" i="19"/>
  <c r="Y276" i="19"/>
  <c r="X276" i="19"/>
  <c r="W276" i="19"/>
  <c r="V276" i="19"/>
  <c r="U276" i="19"/>
  <c r="T276" i="19"/>
  <c r="S276" i="19"/>
  <c r="R276" i="19"/>
  <c r="Q276" i="19"/>
  <c r="P276" i="19"/>
  <c r="O276" i="19"/>
  <c r="N276" i="19"/>
  <c r="M276" i="19"/>
  <c r="M283" i="19" s="1"/>
  <c r="M40" i="19" s="1"/>
  <c r="L276" i="19"/>
  <c r="K276" i="19"/>
  <c r="J276" i="19"/>
  <c r="I276" i="19"/>
  <c r="H276" i="19"/>
  <c r="G276" i="19"/>
  <c r="F276" i="19"/>
  <c r="E276" i="19"/>
  <c r="D276" i="19"/>
  <c r="C276" i="19"/>
  <c r="B276" i="19"/>
  <c r="Z275" i="19"/>
  <c r="Y275" i="19"/>
  <c r="X275" i="19"/>
  <c r="W275" i="19"/>
  <c r="V275" i="19"/>
  <c r="U275" i="19"/>
  <c r="T275" i="19"/>
  <c r="S275" i="19"/>
  <c r="R275" i="19"/>
  <c r="R283" i="19" s="1"/>
  <c r="R40" i="19" s="1"/>
  <c r="Q275" i="19"/>
  <c r="P275" i="19"/>
  <c r="O275" i="19"/>
  <c r="N275" i="19"/>
  <c r="M275" i="19"/>
  <c r="L275" i="19"/>
  <c r="K275" i="19"/>
  <c r="J275" i="19"/>
  <c r="I275" i="19"/>
  <c r="H275" i="19"/>
  <c r="G275" i="19"/>
  <c r="F275" i="19"/>
  <c r="E275" i="19"/>
  <c r="D275" i="19"/>
  <c r="C275" i="19"/>
  <c r="B275" i="19"/>
  <c r="Z274" i="19"/>
  <c r="Y274" i="19"/>
  <c r="X274" i="19"/>
  <c r="W274" i="19"/>
  <c r="V274" i="19"/>
  <c r="U274" i="19"/>
  <c r="T274" i="19"/>
  <c r="S274" i="19"/>
  <c r="R274" i="19"/>
  <c r="Q274" i="19"/>
  <c r="P274" i="19"/>
  <c r="O274" i="19"/>
  <c r="N274" i="19"/>
  <c r="N283" i="19" s="1"/>
  <c r="N40" i="19" s="1"/>
  <c r="M274" i="19"/>
  <c r="L274" i="19"/>
  <c r="K274" i="19"/>
  <c r="J274" i="19"/>
  <c r="I274" i="19"/>
  <c r="H274" i="19"/>
  <c r="G274" i="19"/>
  <c r="F274" i="19"/>
  <c r="E274" i="19"/>
  <c r="D274" i="19"/>
  <c r="C274" i="19"/>
  <c r="B274" i="19"/>
  <c r="Z273" i="19"/>
  <c r="Y273" i="19"/>
  <c r="X273" i="19"/>
  <c r="X283" i="19" s="1"/>
  <c r="X40" i="19" s="1"/>
  <c r="W273" i="19"/>
  <c r="V273" i="19"/>
  <c r="U273" i="19"/>
  <c r="T273" i="19"/>
  <c r="S273" i="19"/>
  <c r="R273" i="19"/>
  <c r="Q273" i="19"/>
  <c r="P273" i="19"/>
  <c r="O273" i="19"/>
  <c r="N273" i="19"/>
  <c r="M273" i="19"/>
  <c r="L273" i="19"/>
  <c r="K273" i="19"/>
  <c r="J273" i="19"/>
  <c r="I273" i="19"/>
  <c r="H273" i="19"/>
  <c r="G273" i="19"/>
  <c r="F273" i="19"/>
  <c r="E273" i="19"/>
  <c r="D273" i="19"/>
  <c r="C273" i="19"/>
  <c r="B273" i="19"/>
  <c r="Z272" i="19"/>
  <c r="Y272" i="19"/>
  <c r="X272" i="19"/>
  <c r="W272" i="19"/>
  <c r="V272" i="19"/>
  <c r="U272" i="19"/>
  <c r="T272" i="19"/>
  <c r="S272" i="19"/>
  <c r="R272" i="19"/>
  <c r="Q272" i="19"/>
  <c r="P272" i="19"/>
  <c r="O272" i="19"/>
  <c r="N272" i="19"/>
  <c r="M272" i="19"/>
  <c r="L272" i="19"/>
  <c r="K272" i="19"/>
  <c r="K283" i="19" s="1"/>
  <c r="J272" i="19"/>
  <c r="I272" i="19"/>
  <c r="H272" i="19"/>
  <c r="G272" i="19"/>
  <c r="F272" i="19"/>
  <c r="E272" i="19"/>
  <c r="D272" i="19"/>
  <c r="C272" i="19"/>
  <c r="B272" i="19"/>
  <c r="Z271" i="19"/>
  <c r="Y271" i="19"/>
  <c r="X271" i="19"/>
  <c r="W271" i="19"/>
  <c r="V271" i="19"/>
  <c r="U271" i="19"/>
  <c r="T271" i="19"/>
  <c r="S271" i="19"/>
  <c r="R271" i="19"/>
  <c r="Q271" i="19"/>
  <c r="P271" i="19"/>
  <c r="O271" i="19"/>
  <c r="N271" i="19"/>
  <c r="M271" i="19"/>
  <c r="L271" i="19"/>
  <c r="K271" i="19"/>
  <c r="J271" i="19"/>
  <c r="I271" i="19"/>
  <c r="H271" i="19"/>
  <c r="G271" i="19"/>
  <c r="F271" i="19"/>
  <c r="E271" i="19"/>
  <c r="D271" i="19"/>
  <c r="C271" i="19"/>
  <c r="B271" i="19"/>
  <c r="AC270" i="19"/>
  <c r="AB270" i="19"/>
  <c r="AA270" i="19"/>
  <c r="Z270" i="19"/>
  <c r="Y270" i="19"/>
  <c r="X270" i="19"/>
  <c r="W270" i="19"/>
  <c r="V270" i="19"/>
  <c r="U270" i="19"/>
  <c r="T270" i="19"/>
  <c r="S270" i="19"/>
  <c r="R270" i="19"/>
  <c r="Q270" i="19"/>
  <c r="P270" i="19"/>
  <c r="O270" i="19"/>
  <c r="N270" i="19"/>
  <c r="M270" i="19"/>
  <c r="L270" i="19"/>
  <c r="K270" i="19"/>
  <c r="J270" i="19"/>
  <c r="I270" i="19"/>
  <c r="H270" i="19"/>
  <c r="G270" i="19"/>
  <c r="F270" i="19"/>
  <c r="E270" i="19"/>
  <c r="D270" i="19"/>
  <c r="C270" i="19"/>
  <c r="B270" i="19"/>
  <c r="AC267" i="19"/>
  <c r="AB267" i="19"/>
  <c r="AA267" i="19"/>
  <c r="Z267" i="19"/>
  <c r="Z261" i="19" s="1"/>
  <c r="Y267" i="19"/>
  <c r="X267" i="19"/>
  <c r="W267" i="19"/>
  <c r="V267" i="19"/>
  <c r="AA262" i="19" s="1"/>
  <c r="U267" i="19"/>
  <c r="T267" i="19"/>
  <c r="Z262" i="19" s="1"/>
  <c r="S267" i="19"/>
  <c r="R267" i="19"/>
  <c r="I265" i="19" s="1"/>
  <c r="Q267" i="19"/>
  <c r="D266" i="19" s="1"/>
  <c r="P267" i="19"/>
  <c r="D262" i="19" s="1"/>
  <c r="O267" i="19"/>
  <c r="N267" i="19"/>
  <c r="M267" i="19"/>
  <c r="L267" i="19"/>
  <c r="C261" i="19" s="1"/>
  <c r="K267" i="19"/>
  <c r="B266" i="19" s="1"/>
  <c r="J267" i="19"/>
  <c r="I267" i="19"/>
  <c r="H267" i="19"/>
  <c r="G267" i="19"/>
  <c r="F267" i="19"/>
  <c r="E267" i="19"/>
  <c r="D267" i="19"/>
  <c r="C267" i="19"/>
  <c r="B267" i="19"/>
  <c r="E266" i="19"/>
  <c r="F265" i="19"/>
  <c r="B265" i="19"/>
  <c r="AA264" i="19"/>
  <c r="Z264" i="19"/>
  <c r="I264" i="19"/>
  <c r="H264" i="19"/>
  <c r="G264" i="19"/>
  <c r="F264" i="19"/>
  <c r="E264" i="19"/>
  <c r="D264" i="19"/>
  <c r="C264" i="19"/>
  <c r="B264" i="19"/>
  <c r="B263" i="19"/>
  <c r="C262" i="19"/>
  <c r="B262" i="19"/>
  <c r="B261" i="19"/>
  <c r="AB260" i="19"/>
  <c r="AA260" i="19"/>
  <c r="I260" i="19"/>
  <c r="F260" i="19"/>
  <c r="E260" i="19"/>
  <c r="D260" i="19"/>
  <c r="C260" i="19"/>
  <c r="B260" i="19"/>
  <c r="AC259" i="19"/>
  <c r="AA259" i="19"/>
  <c r="B258" i="19"/>
  <c r="AB257" i="19"/>
  <c r="AA257" i="19"/>
  <c r="J257" i="19"/>
  <c r="G257" i="19"/>
  <c r="E257" i="19"/>
  <c r="D257" i="19"/>
  <c r="C257" i="19"/>
  <c r="B257" i="19"/>
  <c r="J256" i="19"/>
  <c r="F256" i="19"/>
  <c r="E256" i="19"/>
  <c r="D256" i="19"/>
  <c r="B256" i="19"/>
  <c r="J255" i="19"/>
  <c r="E255" i="19"/>
  <c r="B255" i="19"/>
  <c r="AC254" i="19"/>
  <c r="AB254" i="19"/>
  <c r="AA254" i="19"/>
  <c r="Z254" i="19"/>
  <c r="Y254" i="19"/>
  <c r="X254" i="19"/>
  <c r="W254" i="19"/>
  <c r="V254" i="19"/>
  <c r="U254" i="19"/>
  <c r="T254" i="19"/>
  <c r="S254" i="19"/>
  <c r="R254" i="19"/>
  <c r="Q254" i="19"/>
  <c r="P254" i="19"/>
  <c r="O254" i="19"/>
  <c r="N254" i="19"/>
  <c r="M254" i="19"/>
  <c r="L254" i="19"/>
  <c r="K254" i="19"/>
  <c r="J254" i="19"/>
  <c r="I254" i="19"/>
  <c r="H254" i="19"/>
  <c r="G254" i="19"/>
  <c r="F254" i="19"/>
  <c r="E254" i="19"/>
  <c r="D254" i="19"/>
  <c r="C254" i="19"/>
  <c r="B254" i="19"/>
  <c r="Z251" i="19"/>
  <c r="Y251" i="19"/>
  <c r="X251" i="19"/>
  <c r="W251" i="19"/>
  <c r="V251" i="19"/>
  <c r="U251" i="19"/>
  <c r="T251" i="19"/>
  <c r="S251" i="19"/>
  <c r="R251" i="19"/>
  <c r="Q251" i="19"/>
  <c r="P251" i="19"/>
  <c r="O251" i="19"/>
  <c r="N251" i="19"/>
  <c r="M251" i="19"/>
  <c r="L251" i="19"/>
  <c r="K251" i="19"/>
  <c r="J251" i="19"/>
  <c r="I251" i="19"/>
  <c r="H251" i="19"/>
  <c r="G251" i="19"/>
  <c r="F251" i="19"/>
  <c r="E251" i="19"/>
  <c r="D251" i="19"/>
  <c r="C251" i="19"/>
  <c r="B251" i="19"/>
  <c r="AC238" i="19"/>
  <c r="AB238" i="19"/>
  <c r="AA238" i="19"/>
  <c r="Z238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AA235" i="19"/>
  <c r="V234" i="19"/>
  <c r="U234" i="19"/>
  <c r="T234" i="19"/>
  <c r="Q234" i="19"/>
  <c r="P234" i="19"/>
  <c r="O233" i="19"/>
  <c r="N233" i="19"/>
  <c r="E233" i="19"/>
  <c r="D231" i="19"/>
  <c r="T230" i="19"/>
  <c r="S230" i="19"/>
  <c r="R230" i="19"/>
  <c r="Q230" i="19"/>
  <c r="Q246" i="19" s="1"/>
  <c r="P230" i="19"/>
  <c r="P246" i="19" s="1"/>
  <c r="X229" i="19"/>
  <c r="X245" i="19" s="1"/>
  <c r="W229" i="19"/>
  <c r="W245" i="19" s="1"/>
  <c r="V229" i="19"/>
  <c r="V245" i="19" s="1"/>
  <c r="P229" i="19"/>
  <c r="V228" i="19"/>
  <c r="E228" i="19"/>
  <c r="E244" i="19" s="1"/>
  <c r="F227" i="19"/>
  <c r="V226" i="19"/>
  <c r="L226" i="19"/>
  <c r="C226" i="19"/>
  <c r="Z225" i="19"/>
  <c r="X225" i="19"/>
  <c r="X224" i="19"/>
  <c r="U223" i="19"/>
  <c r="R223" i="19"/>
  <c r="Q223" i="19"/>
  <c r="P223" i="19"/>
  <c r="N223" i="19"/>
  <c r="M223" i="19"/>
  <c r="M239" i="19" s="1"/>
  <c r="L223" i="19"/>
  <c r="K223" i="19"/>
  <c r="K239" i="19" s="1"/>
  <c r="J223" i="19"/>
  <c r="J239" i="19" s="1"/>
  <c r="AC222" i="19"/>
  <c r="AB222" i="19"/>
  <c r="AA222" i="19"/>
  <c r="Z222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B216" i="19"/>
  <c r="B209" i="19"/>
  <c r="AC206" i="19"/>
  <c r="AB206" i="19"/>
  <c r="AA206" i="19"/>
  <c r="Z206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AC190" i="19"/>
  <c r="AB190" i="19"/>
  <c r="AA190" i="19"/>
  <c r="Z190" i="19"/>
  <c r="Y190" i="19"/>
  <c r="X190" i="19"/>
  <c r="W190" i="19"/>
  <c r="V190" i="19"/>
  <c r="U190" i="19"/>
  <c r="T190" i="19"/>
  <c r="S190" i="19"/>
  <c r="R190" i="19"/>
  <c r="Q190" i="19"/>
  <c r="P190" i="19"/>
  <c r="O190" i="19"/>
  <c r="N190" i="19"/>
  <c r="M190" i="19"/>
  <c r="L190" i="19"/>
  <c r="K190" i="19"/>
  <c r="J190" i="19"/>
  <c r="I190" i="19"/>
  <c r="H190" i="19"/>
  <c r="G190" i="19"/>
  <c r="F190" i="19"/>
  <c r="E190" i="19"/>
  <c r="D190" i="19"/>
  <c r="C190" i="19"/>
  <c r="B190" i="19"/>
  <c r="AC187" i="19"/>
  <c r="AB187" i="19"/>
  <c r="AA187" i="19"/>
  <c r="Z187" i="19"/>
  <c r="Y187" i="19"/>
  <c r="X187" i="19"/>
  <c r="W187" i="19"/>
  <c r="V187" i="19"/>
  <c r="U187" i="19"/>
  <c r="T187" i="19"/>
  <c r="S187" i="19"/>
  <c r="R187" i="19"/>
  <c r="Q187" i="19"/>
  <c r="P187" i="19"/>
  <c r="O187" i="19"/>
  <c r="N187" i="19"/>
  <c r="M187" i="19"/>
  <c r="L187" i="19"/>
  <c r="K187" i="19"/>
  <c r="J187" i="19"/>
  <c r="I187" i="19"/>
  <c r="H187" i="19"/>
  <c r="G187" i="19"/>
  <c r="F187" i="19"/>
  <c r="E187" i="19"/>
  <c r="D187" i="19"/>
  <c r="C187" i="19"/>
  <c r="B187" i="19"/>
  <c r="X178" i="19"/>
  <c r="Y177" i="19"/>
  <c r="Y178" i="19" s="1"/>
  <c r="X177" i="19"/>
  <c r="V177" i="19"/>
  <c r="V178" i="19" s="1"/>
  <c r="T177" i="19"/>
  <c r="F177" i="19"/>
  <c r="C177" i="19"/>
  <c r="C178" i="19" s="1"/>
  <c r="B177" i="19"/>
  <c r="Y176" i="19"/>
  <c r="X176" i="19"/>
  <c r="V176" i="19"/>
  <c r="T176" i="19"/>
  <c r="S176" i="19"/>
  <c r="R176" i="19"/>
  <c r="O176" i="19"/>
  <c r="J176" i="19"/>
  <c r="I176" i="19"/>
  <c r="F176" i="19"/>
  <c r="D176" i="19"/>
  <c r="C176" i="19"/>
  <c r="B176" i="19"/>
  <c r="AC175" i="19"/>
  <c r="AB175" i="19"/>
  <c r="AA175" i="19"/>
  <c r="Z175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AC159" i="19"/>
  <c r="AB159" i="19"/>
  <c r="AA159" i="19"/>
  <c r="Z159" i="19"/>
  <c r="Y159" i="19"/>
  <c r="X159" i="19"/>
  <c r="W159" i="19"/>
  <c r="V159" i="19"/>
  <c r="U159" i="19"/>
  <c r="T159" i="19"/>
  <c r="S159" i="19"/>
  <c r="R159" i="19"/>
  <c r="Q159" i="19"/>
  <c r="P159" i="19"/>
  <c r="O159" i="19"/>
  <c r="N159" i="19"/>
  <c r="M159" i="19"/>
  <c r="L159" i="19"/>
  <c r="K159" i="19"/>
  <c r="J159" i="19"/>
  <c r="I159" i="19"/>
  <c r="H159" i="19"/>
  <c r="G159" i="19"/>
  <c r="F159" i="19"/>
  <c r="E159" i="19"/>
  <c r="D159" i="19"/>
  <c r="C159" i="19"/>
  <c r="B159" i="19"/>
  <c r="AC156" i="19"/>
  <c r="AB156" i="19"/>
  <c r="AA156" i="19"/>
  <c r="Z156" i="19"/>
  <c r="O156" i="19"/>
  <c r="N156" i="19"/>
  <c r="M156" i="19"/>
  <c r="L156" i="19"/>
  <c r="G156" i="19"/>
  <c r="F156" i="19"/>
  <c r="E156" i="19"/>
  <c r="D156" i="19"/>
  <c r="C156" i="19"/>
  <c r="B156" i="19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H156" i="19" s="1"/>
  <c r="H27" i="19" s="1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Z148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Z147" i="19"/>
  <c r="Y147" i="19"/>
  <c r="X147" i="19"/>
  <c r="W147" i="19"/>
  <c r="V147" i="19"/>
  <c r="U147" i="19"/>
  <c r="T147" i="19"/>
  <c r="S147" i="19"/>
  <c r="R147" i="19"/>
  <c r="Q147" i="19"/>
  <c r="P147" i="19"/>
  <c r="O147" i="19"/>
  <c r="N147" i="19"/>
  <c r="M147" i="19"/>
  <c r="L147" i="19"/>
  <c r="K147" i="19"/>
  <c r="J147" i="19"/>
  <c r="I147" i="19"/>
  <c r="H147" i="19"/>
  <c r="Z146" i="19"/>
  <c r="Y146" i="19"/>
  <c r="X146" i="19"/>
  <c r="X162" i="19" s="1"/>
  <c r="W146" i="19"/>
  <c r="V146" i="19"/>
  <c r="U146" i="19"/>
  <c r="T146" i="19"/>
  <c r="S146" i="19"/>
  <c r="R146" i="19"/>
  <c r="Q146" i="19"/>
  <c r="P146" i="19"/>
  <c r="O146" i="19"/>
  <c r="N146" i="19"/>
  <c r="M146" i="19"/>
  <c r="L146" i="19"/>
  <c r="K146" i="19"/>
  <c r="J146" i="19"/>
  <c r="I146" i="19"/>
  <c r="H146" i="19"/>
  <c r="Z145" i="19"/>
  <c r="Y145" i="19"/>
  <c r="X145" i="19"/>
  <c r="W145" i="19"/>
  <c r="V145" i="19"/>
  <c r="U145" i="19"/>
  <c r="T145" i="19"/>
  <c r="S145" i="19"/>
  <c r="R145" i="19"/>
  <c r="Q145" i="19"/>
  <c r="Q156" i="19" s="1"/>
  <c r="Q27" i="19" s="1"/>
  <c r="P145" i="19"/>
  <c r="O145" i="19"/>
  <c r="N145" i="19"/>
  <c r="M145" i="19"/>
  <c r="L145" i="19"/>
  <c r="K145" i="19"/>
  <c r="J145" i="19"/>
  <c r="I145" i="19"/>
  <c r="H145" i="19"/>
  <c r="Z144" i="19"/>
  <c r="Y144" i="19"/>
  <c r="X144" i="19"/>
  <c r="W144" i="19"/>
  <c r="V144" i="19"/>
  <c r="U144" i="19"/>
  <c r="T144" i="19"/>
  <c r="S144" i="19"/>
  <c r="S156" i="19" s="1"/>
  <c r="S27" i="19" s="1"/>
  <c r="R144" i="19"/>
  <c r="Q144" i="19"/>
  <c r="P144" i="19"/>
  <c r="O144" i="19"/>
  <c r="N144" i="19"/>
  <c r="M144" i="19"/>
  <c r="L144" i="19"/>
  <c r="K144" i="19"/>
  <c r="J144" i="19"/>
  <c r="I144" i="19"/>
  <c r="H144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AC140" i="19"/>
  <c r="AB140" i="19"/>
  <c r="AA140" i="19"/>
  <c r="Z140" i="19"/>
  <c r="Y140" i="19"/>
  <c r="X140" i="19"/>
  <c r="W140" i="19"/>
  <c r="V140" i="19"/>
  <c r="U140" i="19"/>
  <c r="T140" i="19"/>
  <c r="S140" i="19"/>
  <c r="S24" i="19" s="1"/>
  <c r="R140" i="19"/>
  <c r="R24" i="19" s="1"/>
  <c r="Q140" i="19"/>
  <c r="Q24" i="19" s="1"/>
  <c r="P140" i="19"/>
  <c r="P24" i="19" s="1"/>
  <c r="O140" i="19"/>
  <c r="O24" i="19" s="1"/>
  <c r="N140" i="19"/>
  <c r="M140" i="19"/>
  <c r="L140" i="19"/>
  <c r="K140" i="19"/>
  <c r="K24" i="19" s="1"/>
  <c r="J140" i="19"/>
  <c r="J24" i="19" s="1"/>
  <c r="I140" i="19"/>
  <c r="I24" i="19" s="1"/>
  <c r="H140" i="19"/>
  <c r="H24" i="19" s="1"/>
  <c r="D140" i="19"/>
  <c r="C140" i="19"/>
  <c r="B140" i="19"/>
  <c r="G139" i="19"/>
  <c r="F139" i="19"/>
  <c r="E139" i="19"/>
  <c r="D139" i="19"/>
  <c r="B139" i="19"/>
  <c r="AA138" i="19"/>
  <c r="Z138" i="19"/>
  <c r="AC138" i="19" s="1"/>
  <c r="G138" i="19"/>
  <c r="F138" i="19"/>
  <c r="E138" i="19"/>
  <c r="D138" i="19"/>
  <c r="B138" i="19"/>
  <c r="AB137" i="19"/>
  <c r="AA137" i="19"/>
  <c r="Z137" i="19"/>
  <c r="G137" i="19"/>
  <c r="F137" i="19"/>
  <c r="E137" i="19"/>
  <c r="D137" i="19"/>
  <c r="G136" i="19"/>
  <c r="F136" i="19"/>
  <c r="E136" i="19"/>
  <c r="D136" i="19"/>
  <c r="Z135" i="19"/>
  <c r="G135" i="19"/>
  <c r="F135" i="19"/>
  <c r="E135" i="19"/>
  <c r="D135" i="19"/>
  <c r="B135" i="19"/>
  <c r="G134" i="19"/>
  <c r="F134" i="19"/>
  <c r="E134" i="19"/>
  <c r="D134" i="19"/>
  <c r="G133" i="19"/>
  <c r="F133" i="19"/>
  <c r="E133" i="19"/>
  <c r="D133" i="19"/>
  <c r="B133" i="19"/>
  <c r="AB132" i="19"/>
  <c r="AA132" i="19"/>
  <c r="AC132" i="19" s="1"/>
  <c r="G132" i="19"/>
  <c r="F132" i="19"/>
  <c r="E132" i="19"/>
  <c r="D132" i="19"/>
  <c r="B132" i="19"/>
  <c r="AA131" i="19"/>
  <c r="AC131" i="19" s="1"/>
  <c r="G131" i="19"/>
  <c r="F131" i="19"/>
  <c r="E131" i="19"/>
  <c r="D131" i="19"/>
  <c r="AB130" i="19"/>
  <c r="AA130" i="19"/>
  <c r="AC130" i="19" s="1"/>
  <c r="H130" i="19"/>
  <c r="G130" i="19"/>
  <c r="F130" i="19"/>
  <c r="E130" i="19"/>
  <c r="H129" i="19"/>
  <c r="G129" i="19"/>
  <c r="F129" i="19"/>
  <c r="E129" i="19"/>
  <c r="B129" i="19"/>
  <c r="AB128" i="19"/>
  <c r="AA128" i="19"/>
  <c r="H128" i="19"/>
  <c r="G128" i="19"/>
  <c r="F128" i="19"/>
  <c r="E128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AA124" i="19"/>
  <c r="O123" i="19"/>
  <c r="W122" i="19"/>
  <c r="V121" i="19"/>
  <c r="H121" i="19"/>
  <c r="G121" i="19"/>
  <c r="F121" i="19"/>
  <c r="D121" i="19"/>
  <c r="F120" i="19"/>
  <c r="Y119" i="19"/>
  <c r="P119" i="19"/>
  <c r="H119" i="19"/>
  <c r="J118" i="19"/>
  <c r="I118" i="19"/>
  <c r="E118" i="19"/>
  <c r="G117" i="19"/>
  <c r="F117" i="19"/>
  <c r="V116" i="19"/>
  <c r="H116" i="19"/>
  <c r="N115" i="19"/>
  <c r="J115" i="19"/>
  <c r="I115" i="19"/>
  <c r="I242" i="19" s="1"/>
  <c r="T114" i="19"/>
  <c r="P114" i="19"/>
  <c r="M114" i="19"/>
  <c r="L114" i="19"/>
  <c r="Z113" i="19"/>
  <c r="N113" i="19"/>
  <c r="M113" i="19"/>
  <c r="W112" i="19"/>
  <c r="V112" i="19"/>
  <c r="T112" i="19"/>
  <c r="B112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07" i="19"/>
  <c r="Y123" i="19" s="1"/>
  <c r="R107" i="19"/>
  <c r="R123" i="19" s="1"/>
  <c r="Q107" i="19"/>
  <c r="Q123" i="19" s="1"/>
  <c r="P107" i="19"/>
  <c r="P123" i="19" s="1"/>
  <c r="O107" i="19"/>
  <c r="N107" i="19"/>
  <c r="N123" i="19" s="1"/>
  <c r="M107" i="19"/>
  <c r="M123" i="19" s="1"/>
  <c r="L107" i="19"/>
  <c r="L123" i="19" s="1"/>
  <c r="K107" i="19"/>
  <c r="K123" i="19" s="1"/>
  <c r="J107" i="19"/>
  <c r="J123" i="19" s="1"/>
  <c r="W106" i="19"/>
  <c r="U106" i="19"/>
  <c r="U122" i="19" s="1"/>
  <c r="T106" i="19"/>
  <c r="T122" i="19" s="1"/>
  <c r="S106" i="19"/>
  <c r="S122" i="19" s="1"/>
  <c r="Q106" i="19"/>
  <c r="Q122" i="19" s="1"/>
  <c r="P106" i="19"/>
  <c r="P122" i="19" s="1"/>
  <c r="L106" i="19"/>
  <c r="L122" i="19" s="1"/>
  <c r="K106" i="19"/>
  <c r="K122" i="19" s="1"/>
  <c r="J106" i="19"/>
  <c r="J122" i="19" s="1"/>
  <c r="I106" i="19"/>
  <c r="I122" i="19" s="1"/>
  <c r="X105" i="19"/>
  <c r="X121" i="19" s="1"/>
  <c r="W105" i="19"/>
  <c r="W121" i="19" s="1"/>
  <c r="V105" i="19"/>
  <c r="P105" i="19"/>
  <c r="P121" i="19" s="1"/>
  <c r="M105" i="19"/>
  <c r="M121" i="19" s="1"/>
  <c r="L105" i="19"/>
  <c r="L121" i="19" s="1"/>
  <c r="K105" i="19"/>
  <c r="K121" i="19" s="1"/>
  <c r="J105" i="19"/>
  <c r="J121" i="19" s="1"/>
  <c r="I105" i="19"/>
  <c r="I121" i="19" s="1"/>
  <c r="H105" i="19"/>
  <c r="G105" i="19"/>
  <c r="F105" i="19"/>
  <c r="E105" i="19"/>
  <c r="E121" i="19" s="1"/>
  <c r="X104" i="19"/>
  <c r="X120" i="19" s="1"/>
  <c r="N104" i="19"/>
  <c r="N120" i="19" s="1"/>
  <c r="M104" i="19"/>
  <c r="M120" i="19" s="1"/>
  <c r="K104" i="19"/>
  <c r="K120" i="19" s="1"/>
  <c r="J104" i="19"/>
  <c r="J120" i="19" s="1"/>
  <c r="I104" i="19"/>
  <c r="I120" i="19" s="1"/>
  <c r="H104" i="19"/>
  <c r="H120" i="19" s="1"/>
  <c r="G104" i="19"/>
  <c r="G120" i="19" s="1"/>
  <c r="F104" i="19"/>
  <c r="Y103" i="19"/>
  <c r="V103" i="19"/>
  <c r="V119" i="19" s="1"/>
  <c r="Q103" i="19"/>
  <c r="Q119" i="19" s="1"/>
  <c r="P103" i="19"/>
  <c r="O103" i="19"/>
  <c r="O119" i="19" s="1"/>
  <c r="N103" i="19"/>
  <c r="N119" i="19" s="1"/>
  <c r="M103" i="19"/>
  <c r="M119" i="19" s="1"/>
  <c r="L103" i="19"/>
  <c r="L119" i="19" s="1"/>
  <c r="H103" i="19"/>
  <c r="X102" i="19"/>
  <c r="X118" i="19" s="1"/>
  <c r="W102" i="19"/>
  <c r="W118" i="19" s="1"/>
  <c r="V102" i="19"/>
  <c r="V118" i="19" s="1"/>
  <c r="U102" i="19"/>
  <c r="U118" i="19" s="1"/>
  <c r="T102" i="19"/>
  <c r="T118" i="19" s="1"/>
  <c r="S102" i="19"/>
  <c r="S118" i="19" s="1"/>
  <c r="R102" i="19"/>
  <c r="R118" i="19" s="1"/>
  <c r="Z101" i="19"/>
  <c r="Z117" i="19" s="1"/>
  <c r="Y101" i="19"/>
  <c r="Y117" i="19" s="1"/>
  <c r="X101" i="19"/>
  <c r="X117" i="19" s="1"/>
  <c r="T101" i="19"/>
  <c r="T117" i="19" s="1"/>
  <c r="S101" i="19"/>
  <c r="S117" i="19" s="1"/>
  <c r="S244" i="19" s="1"/>
  <c r="R101" i="19"/>
  <c r="R117" i="19" s="1"/>
  <c r="Q101" i="19"/>
  <c r="Q117" i="19" s="1"/>
  <c r="P101" i="19"/>
  <c r="P117" i="19" s="1"/>
  <c r="H101" i="19"/>
  <c r="H117" i="19" s="1"/>
  <c r="G101" i="19"/>
  <c r="F101" i="19"/>
  <c r="E101" i="19"/>
  <c r="E117" i="19" s="1"/>
  <c r="D101" i="19"/>
  <c r="D117" i="19" s="1"/>
  <c r="C101" i="19"/>
  <c r="C117" i="19" s="1"/>
  <c r="Z100" i="19"/>
  <c r="Z116" i="19" s="1"/>
  <c r="Y100" i="19"/>
  <c r="Y116" i="19" s="1"/>
  <c r="Y243" i="19" s="1"/>
  <c r="X100" i="19"/>
  <c r="X116" i="19" s="1"/>
  <c r="W100" i="19"/>
  <c r="W116" i="19" s="1"/>
  <c r="V100" i="19"/>
  <c r="R100" i="19"/>
  <c r="R116" i="19" s="1"/>
  <c r="Q100" i="19"/>
  <c r="Q116" i="19" s="1"/>
  <c r="K100" i="19"/>
  <c r="K116" i="19" s="1"/>
  <c r="J100" i="19"/>
  <c r="J116" i="19" s="1"/>
  <c r="I100" i="19"/>
  <c r="I116" i="19" s="1"/>
  <c r="H100" i="19"/>
  <c r="D100" i="19"/>
  <c r="D116" i="19" s="1"/>
  <c r="C100" i="19"/>
  <c r="C116" i="19" s="1"/>
  <c r="V99" i="19"/>
  <c r="V115" i="19" s="1"/>
  <c r="U99" i="19"/>
  <c r="U115" i="19" s="1"/>
  <c r="P99" i="19"/>
  <c r="P115" i="19" s="1"/>
  <c r="O99" i="19"/>
  <c r="O115" i="19" s="1"/>
  <c r="N99" i="19"/>
  <c r="J99" i="19"/>
  <c r="I99" i="19"/>
  <c r="G99" i="19"/>
  <c r="G115" i="19" s="1"/>
  <c r="F99" i="19"/>
  <c r="F115" i="19" s="1"/>
  <c r="E99" i="19"/>
  <c r="E115" i="19" s="1"/>
  <c r="D99" i="19"/>
  <c r="D115" i="19" s="1"/>
  <c r="X98" i="19"/>
  <c r="X114" i="19" s="1"/>
  <c r="W98" i="19"/>
  <c r="W114" i="19" s="1"/>
  <c r="U98" i="19"/>
  <c r="U114" i="19" s="1"/>
  <c r="T98" i="19"/>
  <c r="N98" i="19"/>
  <c r="N114" i="19" s="1"/>
  <c r="M98" i="19"/>
  <c r="L98" i="19"/>
  <c r="J98" i="19"/>
  <c r="J114" i="19" s="1"/>
  <c r="I98" i="19"/>
  <c r="I114" i="19" s="1"/>
  <c r="H98" i="19"/>
  <c r="H114" i="19" s="1"/>
  <c r="G98" i="19"/>
  <c r="G114" i="19" s="1"/>
  <c r="D98" i="19"/>
  <c r="D114" i="19" s="1"/>
  <c r="C98" i="19"/>
  <c r="Z97" i="19"/>
  <c r="J97" i="19"/>
  <c r="G97" i="19"/>
  <c r="G113" i="19" s="1"/>
  <c r="F97" i="19"/>
  <c r="E97" i="19"/>
  <c r="E113" i="19" s="1"/>
  <c r="D97" i="19"/>
  <c r="D113" i="19" s="1"/>
  <c r="T96" i="19"/>
  <c r="S96" i="19"/>
  <c r="R96" i="19"/>
  <c r="M96" i="19"/>
  <c r="M112" i="19" s="1"/>
  <c r="L96" i="19"/>
  <c r="K96" i="19"/>
  <c r="K112" i="19" s="1"/>
  <c r="J96" i="19"/>
  <c r="J112" i="19" s="1"/>
  <c r="E96" i="19"/>
  <c r="D96" i="19"/>
  <c r="D112" i="19" s="1"/>
  <c r="B96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AC92" i="19"/>
  <c r="AB92" i="19"/>
  <c r="AA92" i="19"/>
  <c r="Z92" i="19"/>
  <c r="Y91" i="19"/>
  <c r="Y233" i="19" s="1"/>
  <c r="X91" i="19"/>
  <c r="X233" i="19" s="1"/>
  <c r="W91" i="19"/>
  <c r="V91" i="19"/>
  <c r="U91" i="19"/>
  <c r="T91" i="19"/>
  <c r="S91" i="19"/>
  <c r="R91" i="19"/>
  <c r="R233" i="19" s="1"/>
  <c r="Q91" i="19"/>
  <c r="Q233" i="19" s="1"/>
  <c r="P91" i="19"/>
  <c r="P233" i="19" s="1"/>
  <c r="O91" i="19"/>
  <c r="N91" i="19"/>
  <c r="M91" i="19"/>
  <c r="M233" i="19" s="1"/>
  <c r="L91" i="19"/>
  <c r="L233" i="19" s="1"/>
  <c r="K91" i="19"/>
  <c r="K233" i="19" s="1"/>
  <c r="J91" i="19"/>
  <c r="J233" i="19" s="1"/>
  <c r="I91" i="19"/>
  <c r="I233" i="19" s="1"/>
  <c r="H91" i="19"/>
  <c r="G91" i="19"/>
  <c r="F91" i="19"/>
  <c r="F107" i="19" s="1"/>
  <c r="F123" i="19" s="1"/>
  <c r="E91" i="19"/>
  <c r="E107" i="19" s="1"/>
  <c r="E123" i="19" s="1"/>
  <c r="D91" i="19"/>
  <c r="C91" i="19"/>
  <c r="Y90" i="19"/>
  <c r="X90" i="19"/>
  <c r="W90" i="19"/>
  <c r="W232" i="19" s="1"/>
  <c r="V90" i="19"/>
  <c r="V232" i="19" s="1"/>
  <c r="U90" i="19"/>
  <c r="U232" i="19" s="1"/>
  <c r="T90" i="19"/>
  <c r="T232" i="19" s="1"/>
  <c r="S90" i="19"/>
  <c r="S232" i="19" s="1"/>
  <c r="R90" i="19"/>
  <c r="Q90" i="19"/>
  <c r="Q232" i="19" s="1"/>
  <c r="P90" i="19"/>
  <c r="P232" i="19" s="1"/>
  <c r="O90" i="19"/>
  <c r="N90" i="19"/>
  <c r="M90" i="19"/>
  <c r="L90" i="19"/>
  <c r="L232" i="19" s="1"/>
  <c r="K90" i="19"/>
  <c r="K232" i="19" s="1"/>
  <c r="J90" i="19"/>
  <c r="J232" i="19" s="1"/>
  <c r="J248" i="19" s="1"/>
  <c r="I90" i="19"/>
  <c r="I232" i="19" s="1"/>
  <c r="H90" i="19"/>
  <c r="H232" i="19" s="1"/>
  <c r="G90" i="19"/>
  <c r="G232" i="19" s="1"/>
  <c r="F90" i="19"/>
  <c r="E90" i="19"/>
  <c r="D90" i="19"/>
  <c r="C90" i="19"/>
  <c r="Y89" i="19"/>
  <c r="Y231" i="19" s="1"/>
  <c r="X89" i="19"/>
  <c r="X231" i="19" s="1"/>
  <c r="W89" i="19"/>
  <c r="W231" i="19" s="1"/>
  <c r="V89" i="19"/>
  <c r="V231" i="19" s="1"/>
  <c r="U89" i="19"/>
  <c r="T89" i="19"/>
  <c r="S89" i="19"/>
  <c r="R89" i="19"/>
  <c r="Q89" i="19"/>
  <c r="P89" i="19"/>
  <c r="P231" i="19" s="1"/>
  <c r="O89" i="19"/>
  <c r="O231" i="19" s="1"/>
  <c r="N89" i="19"/>
  <c r="M89" i="19"/>
  <c r="M231" i="19" s="1"/>
  <c r="L89" i="19"/>
  <c r="L231" i="19" s="1"/>
  <c r="K89" i="19"/>
  <c r="K231" i="19" s="1"/>
  <c r="J89" i="19"/>
  <c r="J231" i="19" s="1"/>
  <c r="I89" i="19"/>
  <c r="I231" i="19" s="1"/>
  <c r="H89" i="19"/>
  <c r="H231" i="19" s="1"/>
  <c r="H247" i="19" s="1"/>
  <c r="G89" i="19"/>
  <c r="G231" i="19" s="1"/>
  <c r="G247" i="19" s="1"/>
  <c r="F89" i="19"/>
  <c r="F231" i="19" s="1"/>
  <c r="F247" i="19" s="1"/>
  <c r="E89" i="19"/>
  <c r="E231" i="19" s="1"/>
  <c r="D89" i="19"/>
  <c r="D105" i="19" s="1"/>
  <c r="C89" i="19"/>
  <c r="C231" i="19" s="1"/>
  <c r="Y88" i="19"/>
  <c r="X88" i="19"/>
  <c r="X230" i="19" s="1"/>
  <c r="W88" i="19"/>
  <c r="W104" i="19" s="1"/>
  <c r="W120" i="19" s="1"/>
  <c r="W247" i="19" s="1"/>
  <c r="V88" i="19"/>
  <c r="U88" i="19"/>
  <c r="T88" i="19"/>
  <c r="T104" i="19" s="1"/>
  <c r="T120" i="19" s="1"/>
  <c r="S88" i="19"/>
  <c r="S104" i="19" s="1"/>
  <c r="S120" i="19" s="1"/>
  <c r="R88" i="19"/>
  <c r="R104" i="19" s="1"/>
  <c r="R120" i="19" s="1"/>
  <c r="Q88" i="19"/>
  <c r="Q104" i="19" s="1"/>
  <c r="Q120" i="19" s="1"/>
  <c r="P88" i="19"/>
  <c r="P104" i="19" s="1"/>
  <c r="P120" i="19" s="1"/>
  <c r="O88" i="19"/>
  <c r="N88" i="19"/>
  <c r="N230" i="19" s="1"/>
  <c r="N246" i="19" s="1"/>
  <c r="M88" i="19"/>
  <c r="M230" i="19" s="1"/>
  <c r="L88" i="19"/>
  <c r="K88" i="19"/>
  <c r="K230" i="19" s="1"/>
  <c r="J88" i="19"/>
  <c r="J230" i="19" s="1"/>
  <c r="I88" i="19"/>
  <c r="I230" i="19" s="1"/>
  <c r="H88" i="19"/>
  <c r="H230" i="19" s="1"/>
  <c r="G88" i="19"/>
  <c r="G230" i="19" s="1"/>
  <c r="F88" i="19"/>
  <c r="F230" i="19" s="1"/>
  <c r="E88" i="19"/>
  <c r="D88" i="19"/>
  <c r="C88" i="19"/>
  <c r="Y87" i="19"/>
  <c r="Y229" i="19" s="1"/>
  <c r="X87" i="19"/>
  <c r="X103" i="19" s="1"/>
  <c r="X119" i="19" s="1"/>
  <c r="W87" i="19"/>
  <c r="V87" i="19"/>
  <c r="U87" i="19"/>
  <c r="T87" i="19"/>
  <c r="S87" i="19"/>
  <c r="R87" i="19"/>
  <c r="Q87" i="19"/>
  <c r="Q229" i="19" s="1"/>
  <c r="P87" i="19"/>
  <c r="O87" i="19"/>
  <c r="O229" i="19" s="1"/>
  <c r="N87" i="19"/>
  <c r="N229" i="19" s="1"/>
  <c r="M87" i="19"/>
  <c r="M229" i="19" s="1"/>
  <c r="L87" i="19"/>
  <c r="L229" i="19" s="1"/>
  <c r="K87" i="19"/>
  <c r="J87" i="19"/>
  <c r="I87" i="19"/>
  <c r="H87" i="19"/>
  <c r="H229" i="19" s="1"/>
  <c r="G87" i="19"/>
  <c r="F87" i="19"/>
  <c r="E87" i="19"/>
  <c r="D87" i="19"/>
  <c r="C87" i="19"/>
  <c r="Z86" i="19"/>
  <c r="Z228" i="19" s="1"/>
  <c r="Z244" i="19" s="1"/>
  <c r="Y86" i="19"/>
  <c r="Y228" i="19" s="1"/>
  <c r="X86" i="19"/>
  <c r="X228" i="19" s="1"/>
  <c r="W86" i="19"/>
  <c r="W228" i="19" s="1"/>
  <c r="V86" i="19"/>
  <c r="U86" i="19"/>
  <c r="U228" i="19" s="1"/>
  <c r="T86" i="19"/>
  <c r="T228" i="19" s="1"/>
  <c r="S86" i="19"/>
  <c r="S228" i="19" s="1"/>
  <c r="R86" i="19"/>
  <c r="R228" i="19" s="1"/>
  <c r="Q86" i="19"/>
  <c r="P86" i="19"/>
  <c r="O86" i="19"/>
  <c r="N86" i="19"/>
  <c r="N228" i="19" s="1"/>
  <c r="M86" i="19"/>
  <c r="M228" i="19" s="1"/>
  <c r="L86" i="19"/>
  <c r="K86" i="19"/>
  <c r="J86" i="19"/>
  <c r="J102" i="19" s="1"/>
  <c r="I86" i="19"/>
  <c r="I102" i="19" s="1"/>
  <c r="H86" i="19"/>
  <c r="G86" i="19"/>
  <c r="F86" i="19"/>
  <c r="E86" i="19"/>
  <c r="E102" i="19" s="1"/>
  <c r="D86" i="19"/>
  <c r="C86" i="19"/>
  <c r="Z85" i="19"/>
  <c r="Z227" i="19" s="1"/>
  <c r="Z243" i="19" s="1"/>
  <c r="Y85" i="19"/>
  <c r="Y227" i="19" s="1"/>
  <c r="X85" i="19"/>
  <c r="X227" i="19" s="1"/>
  <c r="W85" i="19"/>
  <c r="V85" i="19"/>
  <c r="U85" i="19"/>
  <c r="T85" i="19"/>
  <c r="T227" i="19" s="1"/>
  <c r="S85" i="19"/>
  <c r="S227" i="19" s="1"/>
  <c r="R85" i="19"/>
  <c r="R227" i="19" s="1"/>
  <c r="R243" i="19" s="1"/>
  <c r="Q85" i="19"/>
  <c r="Q227" i="19" s="1"/>
  <c r="P85" i="19"/>
  <c r="P227" i="19" s="1"/>
  <c r="O85" i="19"/>
  <c r="N85" i="19"/>
  <c r="M85" i="19"/>
  <c r="L85" i="19"/>
  <c r="L101" i="19" s="1"/>
  <c r="L117" i="19" s="1"/>
  <c r="K85" i="19"/>
  <c r="J85" i="19"/>
  <c r="I85" i="19"/>
  <c r="H85" i="19"/>
  <c r="H227" i="19" s="1"/>
  <c r="H243" i="19" s="1"/>
  <c r="G85" i="19"/>
  <c r="G227" i="19" s="1"/>
  <c r="F85" i="19"/>
  <c r="E85" i="19"/>
  <c r="E227" i="19" s="1"/>
  <c r="D85" i="19"/>
  <c r="D227" i="19" s="1"/>
  <c r="C85" i="19"/>
  <c r="C227" i="19" s="1"/>
  <c r="Z84" i="19"/>
  <c r="Z226" i="19" s="1"/>
  <c r="Y84" i="19"/>
  <c r="Y226" i="19" s="1"/>
  <c r="X84" i="19"/>
  <c r="X226" i="19" s="1"/>
  <c r="W84" i="19"/>
  <c r="W226" i="19" s="1"/>
  <c r="V84" i="19"/>
  <c r="U84" i="19"/>
  <c r="U226" i="19" s="1"/>
  <c r="U242" i="19" s="1"/>
  <c r="T84" i="19"/>
  <c r="T226" i="19" s="1"/>
  <c r="S84" i="19"/>
  <c r="S226" i="19" s="1"/>
  <c r="R84" i="19"/>
  <c r="R226" i="19" s="1"/>
  <c r="Q84" i="19"/>
  <c r="Q226" i="19" s="1"/>
  <c r="P84" i="19"/>
  <c r="O84" i="19"/>
  <c r="N84" i="19"/>
  <c r="M84" i="19"/>
  <c r="L84" i="19"/>
  <c r="L100" i="19" s="1"/>
  <c r="L116" i="19" s="1"/>
  <c r="K84" i="19"/>
  <c r="K226" i="19" s="1"/>
  <c r="J84" i="19"/>
  <c r="J226" i="19" s="1"/>
  <c r="I84" i="19"/>
  <c r="I226" i="19" s="1"/>
  <c r="H84" i="19"/>
  <c r="H226" i="19" s="1"/>
  <c r="G84" i="19"/>
  <c r="F84" i="19"/>
  <c r="E84" i="19"/>
  <c r="D84" i="19"/>
  <c r="D226" i="19" s="1"/>
  <c r="C84" i="19"/>
  <c r="Z83" i="19"/>
  <c r="Z99" i="19" s="1"/>
  <c r="Z115" i="19" s="1"/>
  <c r="Y83" i="19"/>
  <c r="X83" i="19"/>
  <c r="X99" i="19" s="1"/>
  <c r="X115" i="19" s="1"/>
  <c r="W83" i="19"/>
  <c r="W225" i="19" s="1"/>
  <c r="W241" i="19" s="1"/>
  <c r="V83" i="19"/>
  <c r="V225" i="19" s="1"/>
  <c r="U83" i="19"/>
  <c r="T83" i="19"/>
  <c r="S83" i="19"/>
  <c r="R83" i="19"/>
  <c r="R225" i="19" s="1"/>
  <c r="Q83" i="19"/>
  <c r="Q225" i="19" s="1"/>
  <c r="P83" i="19"/>
  <c r="P225" i="19" s="1"/>
  <c r="O83" i="19"/>
  <c r="O225" i="19" s="1"/>
  <c r="N83" i="19"/>
  <c r="N225" i="19" s="1"/>
  <c r="M83" i="19"/>
  <c r="L83" i="19"/>
  <c r="K83" i="19"/>
  <c r="J83" i="19"/>
  <c r="J225" i="19" s="1"/>
  <c r="I83" i="19"/>
  <c r="I225" i="19" s="1"/>
  <c r="H83" i="19"/>
  <c r="G83" i="19"/>
  <c r="G225" i="19" s="1"/>
  <c r="F83" i="19"/>
  <c r="F225" i="19" s="1"/>
  <c r="E83" i="19"/>
  <c r="E225" i="19" s="1"/>
  <c r="D83" i="19"/>
  <c r="D225" i="19" s="1"/>
  <c r="D241" i="19" s="1"/>
  <c r="C83" i="19"/>
  <c r="Z82" i="19"/>
  <c r="Y82" i="19"/>
  <c r="X82" i="19"/>
  <c r="W82" i="19"/>
  <c r="W224" i="19" s="1"/>
  <c r="V82" i="19"/>
  <c r="V224" i="19" s="1"/>
  <c r="U82" i="19"/>
  <c r="U224" i="19" s="1"/>
  <c r="T82" i="19"/>
  <c r="T224" i="19" s="1"/>
  <c r="S82" i="19"/>
  <c r="R82" i="19"/>
  <c r="Q82" i="19"/>
  <c r="P82" i="19"/>
  <c r="P98" i="19" s="1"/>
  <c r="O82" i="19"/>
  <c r="N82" i="19"/>
  <c r="N224" i="19" s="1"/>
  <c r="M82" i="19"/>
  <c r="M224" i="19" s="1"/>
  <c r="L82" i="19"/>
  <c r="L224" i="19" s="1"/>
  <c r="K82" i="19"/>
  <c r="J82" i="19"/>
  <c r="J224" i="19" s="1"/>
  <c r="I82" i="19"/>
  <c r="I224" i="19" s="1"/>
  <c r="H82" i="19"/>
  <c r="H224" i="19" s="1"/>
  <c r="G82" i="19"/>
  <c r="G224" i="19" s="1"/>
  <c r="F82" i="19"/>
  <c r="F224" i="19" s="1"/>
  <c r="E82" i="19"/>
  <c r="E224" i="19" s="1"/>
  <c r="E240" i="19" s="1"/>
  <c r="D82" i="19"/>
  <c r="D224" i="19" s="1"/>
  <c r="C82" i="19"/>
  <c r="C224" i="19" s="1"/>
  <c r="Z81" i="19"/>
  <c r="Z223" i="19" s="1"/>
  <c r="Y81" i="19"/>
  <c r="X81" i="19"/>
  <c r="W81" i="19"/>
  <c r="V81" i="19"/>
  <c r="U81" i="19"/>
  <c r="T81" i="19"/>
  <c r="S81" i="19"/>
  <c r="R81" i="19"/>
  <c r="R97" i="19" s="1"/>
  <c r="R113" i="19" s="1"/>
  <c r="Q81" i="19"/>
  <c r="Q97" i="19" s="1"/>
  <c r="Q113" i="19" s="1"/>
  <c r="P81" i="19"/>
  <c r="P97" i="19" s="1"/>
  <c r="P113" i="19" s="1"/>
  <c r="O81" i="19"/>
  <c r="O97" i="19" s="1"/>
  <c r="O113" i="19" s="1"/>
  <c r="N81" i="19"/>
  <c r="N97" i="19" s="1"/>
  <c r="M81" i="19"/>
  <c r="M97" i="19" s="1"/>
  <c r="L81" i="19"/>
  <c r="L97" i="19" s="1"/>
  <c r="L113" i="19" s="1"/>
  <c r="K81" i="19"/>
  <c r="J81" i="19"/>
  <c r="I81" i="19"/>
  <c r="I223" i="19" s="1"/>
  <c r="H81" i="19"/>
  <c r="G81" i="19"/>
  <c r="G223" i="19" s="1"/>
  <c r="F81" i="19"/>
  <c r="F223" i="19" s="1"/>
  <c r="E81" i="19"/>
  <c r="E223" i="19" s="1"/>
  <c r="D81" i="19"/>
  <c r="D223" i="19" s="1"/>
  <c r="C81" i="19"/>
  <c r="Z80" i="19"/>
  <c r="Y80" i="19"/>
  <c r="X80" i="19"/>
  <c r="W80" i="19"/>
  <c r="W96" i="19" s="1"/>
  <c r="V80" i="19"/>
  <c r="V96" i="19" s="1"/>
  <c r="U80" i="19"/>
  <c r="T80" i="19"/>
  <c r="S234" i="19" s="1"/>
  <c r="S80" i="19"/>
  <c r="R234" i="19" s="1"/>
  <c r="R80" i="19"/>
  <c r="Q80" i="19"/>
  <c r="P80" i="19"/>
  <c r="O80" i="19"/>
  <c r="N234" i="19" s="1"/>
  <c r="N80" i="19"/>
  <c r="M80" i="19"/>
  <c r="M92" i="19" s="1"/>
  <c r="M12" i="19" s="1"/>
  <c r="M93" i="19" s="1"/>
  <c r="L80" i="19"/>
  <c r="K234" i="19" s="1"/>
  <c r="K80" i="19"/>
  <c r="J234" i="19" s="1"/>
  <c r="J80" i="19"/>
  <c r="I234" i="19" s="1"/>
  <c r="I80" i="19"/>
  <c r="H80" i="19"/>
  <c r="G80" i="19"/>
  <c r="F80" i="19"/>
  <c r="E80" i="19"/>
  <c r="D80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B79" i="19"/>
  <c r="AC76" i="19"/>
  <c r="AB76" i="19"/>
  <c r="AA76" i="19"/>
  <c r="Z76" i="19"/>
  <c r="R76" i="19"/>
  <c r="R13" i="19" s="1"/>
  <c r="P76" i="19"/>
  <c r="P13" i="19" s="1"/>
  <c r="K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M76" i="19" s="1"/>
  <c r="L71" i="19"/>
  <c r="K71" i="19"/>
  <c r="J71" i="19"/>
  <c r="I71" i="19"/>
  <c r="H71" i="19"/>
  <c r="G71" i="19"/>
  <c r="F71" i="19"/>
  <c r="E71" i="19"/>
  <c r="D71" i="19"/>
  <c r="C71" i="19"/>
  <c r="Y70" i="19"/>
  <c r="X70" i="19"/>
  <c r="W70" i="19"/>
  <c r="V70" i="19"/>
  <c r="U70" i="19"/>
  <c r="T70" i="19"/>
  <c r="S70" i="19"/>
  <c r="R70" i="19"/>
  <c r="Q70" i="19"/>
  <c r="Q76" i="19" s="1"/>
  <c r="Q13" i="19" s="1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Z69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L76" i="19" s="1"/>
  <c r="L13" i="19" s="1"/>
  <c r="K68" i="19"/>
  <c r="J68" i="19"/>
  <c r="J76" i="19" s="1"/>
  <c r="J13" i="19" s="1"/>
  <c r="I68" i="19"/>
  <c r="H68" i="19"/>
  <c r="G68" i="19"/>
  <c r="F68" i="19"/>
  <c r="E68" i="19"/>
  <c r="D68" i="19"/>
  <c r="C68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N76" i="19" s="1"/>
  <c r="N13" i="19" s="1"/>
  <c r="M67" i="19"/>
  <c r="L67" i="19"/>
  <c r="K67" i="19"/>
  <c r="J67" i="19"/>
  <c r="I67" i="19"/>
  <c r="H67" i="19"/>
  <c r="G67" i="19"/>
  <c r="F67" i="19"/>
  <c r="E67" i="19"/>
  <c r="D67" i="19"/>
  <c r="C67" i="19"/>
  <c r="Z66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Z64" i="19"/>
  <c r="Y64" i="19"/>
  <c r="X64" i="19"/>
  <c r="X76" i="19" s="1"/>
  <c r="X13" i="19" s="1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AC63" i="19"/>
  <c r="AB63" i="19"/>
  <c r="AA63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B63" i="19"/>
  <c r="AC60" i="19"/>
  <c r="AB60" i="19"/>
  <c r="AA60" i="19"/>
  <c r="Z60" i="19"/>
  <c r="Y60" i="19"/>
  <c r="X60" i="19"/>
  <c r="W60" i="19"/>
  <c r="V60" i="19"/>
  <c r="U60" i="19"/>
  <c r="AA58" i="19" s="1"/>
  <c r="T60" i="19"/>
  <c r="S60" i="19"/>
  <c r="R60" i="19"/>
  <c r="Q60" i="19"/>
  <c r="P60" i="19"/>
  <c r="O60" i="19"/>
  <c r="N60" i="19"/>
  <c r="M60" i="19"/>
  <c r="L60" i="19"/>
  <c r="K60" i="19"/>
  <c r="J60" i="19"/>
  <c r="I60" i="19"/>
  <c r="I55" i="19" s="1"/>
  <c r="H60" i="19"/>
  <c r="G60" i="19"/>
  <c r="G59" i="19" s="1"/>
  <c r="F60" i="19"/>
  <c r="E60" i="19"/>
  <c r="D60" i="19"/>
  <c r="C60" i="19"/>
  <c r="B60" i="19"/>
  <c r="Z58" i="19"/>
  <c r="G57" i="19"/>
  <c r="H56" i="19"/>
  <c r="G56" i="19"/>
  <c r="G55" i="19"/>
  <c r="D55" i="19"/>
  <c r="I54" i="19"/>
  <c r="H54" i="19"/>
  <c r="G54" i="19"/>
  <c r="H52" i="19"/>
  <c r="G52" i="19"/>
  <c r="G51" i="19"/>
  <c r="G50" i="19"/>
  <c r="F50" i="19"/>
  <c r="G49" i="19"/>
  <c r="F49" i="19"/>
  <c r="B49" i="19"/>
  <c r="AB48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B47" i="19"/>
  <c r="AB41" i="19"/>
  <c r="Y41" i="19"/>
  <c r="T41" i="19"/>
  <c r="G41" i="19"/>
  <c r="F41" i="19"/>
  <c r="E41" i="19"/>
  <c r="B41" i="19"/>
  <c r="B36" i="19" s="1"/>
  <c r="AB40" i="19"/>
  <c r="AB283" i="19" s="1"/>
  <c r="K40" i="19"/>
  <c r="AC36" i="19"/>
  <c r="AC299" i="19" s="1"/>
  <c r="AB36" i="19"/>
  <c r="AB299" i="19" s="1"/>
  <c r="AA36" i="19"/>
  <c r="AA299" i="19" s="1"/>
  <c r="Z36" i="19"/>
  <c r="Z299" i="19" s="1"/>
  <c r="M36" i="19"/>
  <c r="AB35" i="19"/>
  <c r="AA35" i="19"/>
  <c r="AA41" i="19" s="1"/>
  <c r="AA40" i="19" s="1"/>
  <c r="AA283" i="19" s="1"/>
  <c r="Z35" i="19"/>
  <c r="Z41" i="19" s="1"/>
  <c r="Z40" i="19" s="1"/>
  <c r="Z283" i="19" s="1"/>
  <c r="W35" i="19"/>
  <c r="W41" i="19" s="1"/>
  <c r="V35" i="19"/>
  <c r="V41" i="19" s="1"/>
  <c r="U35" i="19"/>
  <c r="U41" i="19" s="1"/>
  <c r="U36" i="19" s="1"/>
  <c r="Q35" i="19"/>
  <c r="Q41" i="19" s="1"/>
  <c r="E35" i="19"/>
  <c r="B35" i="19"/>
  <c r="Y34" i="19"/>
  <c r="Y35" i="19" s="1"/>
  <c r="X34" i="19"/>
  <c r="W34" i="19"/>
  <c r="V34" i="19"/>
  <c r="U34" i="19"/>
  <c r="T34" i="19"/>
  <c r="T35" i="19" s="1"/>
  <c r="S34" i="19"/>
  <c r="R34" i="19"/>
  <c r="Q34" i="19"/>
  <c r="P34" i="19"/>
  <c r="P35" i="19" s="1"/>
  <c r="P41" i="19" s="1"/>
  <c r="O34" i="19"/>
  <c r="N34" i="19"/>
  <c r="M34" i="19"/>
  <c r="L34" i="19"/>
  <c r="K34" i="19"/>
  <c r="J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L35" i="19" s="1"/>
  <c r="L41" i="19" s="1"/>
  <c r="K33" i="19"/>
  <c r="J33" i="19"/>
  <c r="I33" i="19"/>
  <c r="H33" i="19"/>
  <c r="G33" i="19"/>
  <c r="F33" i="19"/>
  <c r="E33" i="19"/>
  <c r="D33" i="19"/>
  <c r="C33" i="19"/>
  <c r="AC32" i="19"/>
  <c r="AB32" i="19"/>
  <c r="AA32" i="19"/>
  <c r="Z32" i="19"/>
  <c r="Y32" i="19"/>
  <c r="X32" i="19"/>
  <c r="X35" i="19" s="1"/>
  <c r="X41" i="19" s="1"/>
  <c r="W32" i="19"/>
  <c r="V32" i="19"/>
  <c r="U32" i="19"/>
  <c r="T32" i="19"/>
  <c r="S32" i="19"/>
  <c r="R32" i="19"/>
  <c r="R35" i="19" s="1"/>
  <c r="R41" i="19" s="1"/>
  <c r="R36" i="19" s="1"/>
  <c r="Q32" i="19"/>
  <c r="P32" i="19"/>
  <c r="O32" i="19"/>
  <c r="O35" i="19" s="1"/>
  <c r="O41" i="19" s="1"/>
  <c r="N32" i="19"/>
  <c r="M32" i="19"/>
  <c r="M35" i="19" s="1"/>
  <c r="M41" i="19" s="1"/>
  <c r="L32" i="19"/>
  <c r="K32" i="19"/>
  <c r="K35" i="19" s="1"/>
  <c r="K41" i="19" s="1"/>
  <c r="K36" i="19" s="1"/>
  <c r="J32" i="19"/>
  <c r="I32" i="19"/>
  <c r="H32" i="19"/>
  <c r="G32" i="19"/>
  <c r="G35" i="19" s="1"/>
  <c r="F32" i="19"/>
  <c r="F35" i="19" s="1"/>
  <c r="E32" i="19"/>
  <c r="D32" i="19"/>
  <c r="D35" i="19" s="1"/>
  <c r="D41" i="19" s="1"/>
  <c r="D36" i="19" s="1"/>
  <c r="C32" i="19"/>
  <c r="C35" i="19" s="1"/>
  <c r="C41" i="19" s="1"/>
  <c r="C36" i="19" s="1"/>
  <c r="N27" i="19"/>
  <c r="M27" i="19"/>
  <c r="L27" i="19"/>
  <c r="Y24" i="19"/>
  <c r="X24" i="19"/>
  <c r="W24" i="19"/>
  <c r="V24" i="19"/>
  <c r="U24" i="19"/>
  <c r="T24" i="19"/>
  <c r="N24" i="19"/>
  <c r="L24" i="19"/>
  <c r="AA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J160" i="19" s="1"/>
  <c r="I22" i="19"/>
  <c r="H22" i="19"/>
  <c r="G22" i="19"/>
  <c r="F22" i="19"/>
  <c r="E22" i="19"/>
  <c r="D22" i="19"/>
  <c r="C22" i="19"/>
  <c r="L16" i="19"/>
  <c r="J16" i="19"/>
  <c r="I16" i="19"/>
  <c r="B16" i="19"/>
  <c r="V14" i="19"/>
  <c r="U14" i="19"/>
  <c r="N14" i="19"/>
  <c r="M14" i="19"/>
  <c r="L14" i="19"/>
  <c r="K14" i="19"/>
  <c r="J14" i="19"/>
  <c r="I14" i="19"/>
  <c r="H14" i="19"/>
  <c r="F14" i="19"/>
  <c r="D14" i="19"/>
  <c r="L11" i="19"/>
  <c r="J11" i="19"/>
  <c r="I11" i="19"/>
  <c r="H11" i="19"/>
  <c r="H16" i="19" s="1"/>
  <c r="B11" i="19"/>
  <c r="X10" i="19"/>
  <c r="W10" i="19"/>
  <c r="V10" i="19"/>
  <c r="T10" i="19"/>
  <c r="S10" i="19"/>
  <c r="R10" i="19"/>
  <c r="Q10" i="19"/>
  <c r="P10" i="19"/>
  <c r="N10" i="19"/>
  <c r="N11" i="19" s="1"/>
  <c r="N16" i="19" s="1"/>
  <c r="L10" i="19"/>
  <c r="K10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Q7" i="19" s="1"/>
  <c r="P9" i="19"/>
  <c r="O9" i="19"/>
  <c r="N9" i="19"/>
  <c r="M9" i="19"/>
  <c r="M7" i="19" s="1"/>
  <c r="L9" i="19"/>
  <c r="K9" i="19"/>
  <c r="J9" i="19"/>
  <c r="I9" i="19"/>
  <c r="H9" i="19"/>
  <c r="G9" i="19"/>
  <c r="G7" i="19" s="1"/>
  <c r="F9" i="19"/>
  <c r="E9" i="19"/>
  <c r="D9" i="19"/>
  <c r="C9" i="19"/>
  <c r="B9" i="19"/>
  <c r="AC8" i="19"/>
  <c r="AB8" i="19"/>
  <c r="AB11" i="19" s="1"/>
  <c r="AB16" i="19" s="1"/>
  <c r="AB15" i="19" s="1"/>
  <c r="AA8" i="19"/>
  <c r="AA11" i="19" s="1"/>
  <c r="AA16" i="19" s="1"/>
  <c r="AA15" i="19" s="1"/>
  <c r="Z8" i="19"/>
  <c r="Z11" i="19" s="1"/>
  <c r="Z16" i="19" s="1"/>
  <c r="Z15" i="19" s="1"/>
  <c r="Y8" i="19"/>
  <c r="X8" i="19"/>
  <c r="X11" i="19" s="1"/>
  <c r="X16" i="19" s="1"/>
  <c r="W8" i="19"/>
  <c r="W11" i="19" s="1"/>
  <c r="W16" i="19" s="1"/>
  <c r="V8" i="19"/>
  <c r="V11" i="19" s="1"/>
  <c r="V16" i="19" s="1"/>
  <c r="U8" i="19"/>
  <c r="T8" i="19"/>
  <c r="S8" i="19"/>
  <c r="R8" i="19"/>
  <c r="Q8" i="19"/>
  <c r="Q11" i="19" s="1"/>
  <c r="Q16" i="19" s="1"/>
  <c r="P8" i="19"/>
  <c r="O8" i="19"/>
  <c r="N8" i="19"/>
  <c r="M8" i="19"/>
  <c r="L8" i="19"/>
  <c r="K8" i="19"/>
  <c r="J8" i="19"/>
  <c r="I8" i="19"/>
  <c r="H8" i="19"/>
  <c r="G8" i="19"/>
  <c r="F8" i="19"/>
  <c r="F11" i="19" s="1"/>
  <c r="F16" i="19" s="1"/>
  <c r="E8" i="19"/>
  <c r="E11" i="19" s="1"/>
  <c r="E16" i="19" s="1"/>
  <c r="D8" i="19"/>
  <c r="D11" i="19" s="1"/>
  <c r="D16" i="19" s="1"/>
  <c r="C8" i="19"/>
  <c r="C11" i="19" s="1"/>
  <c r="C16" i="19" s="1"/>
  <c r="AB7" i="19"/>
  <c r="Z7" i="19"/>
  <c r="Y7" i="19"/>
  <c r="X7" i="19"/>
  <c r="J7" i="19"/>
  <c r="I7" i="19"/>
  <c r="H7" i="19"/>
  <c r="F7" i="19"/>
  <c r="E7" i="19"/>
  <c r="D7" i="19"/>
  <c r="AC7" i="19" s="1"/>
  <c r="C7" i="19"/>
  <c r="B7" i="19"/>
  <c r="X6" i="19"/>
  <c r="K6" i="19"/>
  <c r="E6" i="19"/>
  <c r="B6" i="19"/>
  <c r="Z5" i="19"/>
  <c r="Y5" i="19"/>
  <c r="X5" i="19"/>
  <c r="W5" i="19"/>
  <c r="V5" i="19"/>
  <c r="U5" i="19"/>
  <c r="U6" i="19" s="1"/>
  <c r="T5" i="19"/>
  <c r="T6" i="19" s="1"/>
  <c r="S5" i="19"/>
  <c r="S6" i="19" s="1"/>
  <c r="R5" i="19"/>
  <c r="Q5" i="19"/>
  <c r="P5" i="19"/>
  <c r="O5" i="19"/>
  <c r="O6" i="19" s="1"/>
  <c r="N5" i="19"/>
  <c r="N6" i="19" s="1"/>
  <c r="M5" i="19"/>
  <c r="M6" i="19" s="1"/>
  <c r="L5" i="19"/>
  <c r="L6" i="19" s="1"/>
  <c r="K5" i="19"/>
  <c r="J5" i="19"/>
  <c r="J6" i="19" s="1"/>
  <c r="I5" i="19"/>
  <c r="I6" i="19" s="1"/>
  <c r="H5" i="19"/>
  <c r="G5" i="19"/>
  <c r="F5" i="19"/>
  <c r="E5" i="19"/>
  <c r="D5" i="19"/>
  <c r="C5" i="19"/>
  <c r="B5" i="19"/>
  <c r="Z4" i="19"/>
  <c r="Y4" i="19"/>
  <c r="X4" i="19"/>
  <c r="W14" i="19" s="1"/>
  <c r="W4" i="19"/>
  <c r="V4" i="19"/>
  <c r="U4" i="19"/>
  <c r="T14" i="19" s="1"/>
  <c r="T4" i="19"/>
  <c r="S14" i="19" s="1"/>
  <c r="S4" i="19"/>
  <c r="R14" i="19" s="1"/>
  <c r="R4" i="19"/>
  <c r="Q14" i="19" s="1"/>
  <c r="Q4" i="19"/>
  <c r="P14" i="19" s="1"/>
  <c r="P4" i="19"/>
  <c r="O14" i="19" s="1"/>
  <c r="O4" i="19"/>
  <c r="N4" i="19"/>
  <c r="M4" i="19"/>
  <c r="L4" i="19"/>
  <c r="K4" i="19"/>
  <c r="J4" i="19"/>
  <c r="I4" i="19"/>
  <c r="H4" i="19"/>
  <c r="G4" i="19"/>
  <c r="G6" i="19" s="1"/>
  <c r="F4" i="19"/>
  <c r="E4" i="19"/>
  <c r="D4" i="19"/>
  <c r="C4" i="19"/>
  <c r="B4" i="19"/>
  <c r="AE317" i="17"/>
  <c r="AD317" i="17"/>
  <c r="AC317" i="17"/>
  <c r="AB317" i="17"/>
  <c r="AA317" i="17"/>
  <c r="Z317" i="17"/>
  <c r="Y317" i="17"/>
  <c r="X317" i="17"/>
  <c r="W317" i="17"/>
  <c r="V317" i="17"/>
  <c r="U317" i="17"/>
  <c r="T317" i="17"/>
  <c r="S317" i="17"/>
  <c r="R317" i="17"/>
  <c r="Q317" i="17"/>
  <c r="P317" i="17"/>
  <c r="O317" i="17"/>
  <c r="N317" i="17"/>
  <c r="M317" i="17"/>
  <c r="L317" i="17"/>
  <c r="K317" i="17"/>
  <c r="J317" i="17"/>
  <c r="I317" i="17"/>
  <c r="H317" i="17"/>
  <c r="G317" i="17"/>
  <c r="F317" i="17"/>
  <c r="E317" i="17"/>
  <c r="D317" i="17"/>
  <c r="C317" i="17"/>
  <c r="B317" i="17"/>
  <c r="AE314" i="17"/>
  <c r="AD314" i="17"/>
  <c r="AC314" i="17"/>
  <c r="AB314" i="17"/>
  <c r="AB306" i="17" s="1"/>
  <c r="AB307" i="17" s="1"/>
  <c r="AA314" i="17"/>
  <c r="Z314" i="17"/>
  <c r="Y314" i="17"/>
  <c r="X314" i="17"/>
  <c r="W314" i="17"/>
  <c r="V314" i="17"/>
  <c r="U314" i="17"/>
  <c r="T314" i="17"/>
  <c r="S314" i="17"/>
  <c r="R314" i="17"/>
  <c r="Q314" i="17"/>
  <c r="P314" i="17"/>
  <c r="O314" i="17"/>
  <c r="N314" i="17"/>
  <c r="M314" i="17"/>
  <c r="L314" i="17"/>
  <c r="K314" i="17"/>
  <c r="J314" i="17"/>
  <c r="I314" i="17"/>
  <c r="H314" i="17"/>
  <c r="G314" i="17"/>
  <c r="F314" i="17"/>
  <c r="E314" i="17"/>
  <c r="D314" i="17"/>
  <c r="C314" i="17"/>
  <c r="B314" i="17"/>
  <c r="AB305" i="17"/>
  <c r="P305" i="17"/>
  <c r="AB304" i="17"/>
  <c r="P304" i="17"/>
  <c r="I304" i="17"/>
  <c r="H304" i="17"/>
  <c r="F304" i="17"/>
  <c r="AB303" i="17"/>
  <c r="R303" i="17"/>
  <c r="Q303" i="17"/>
  <c r="P303" i="17"/>
  <c r="M303" i="17"/>
  <c r="M304" i="17" s="1"/>
  <c r="L303" i="17"/>
  <c r="L304" i="17" s="1"/>
  <c r="I303" i="17"/>
  <c r="H303" i="17"/>
  <c r="F303" i="17"/>
  <c r="B303" i="17"/>
  <c r="AE302" i="17"/>
  <c r="AD302" i="17"/>
  <c r="AC302" i="17"/>
  <c r="AB302" i="17"/>
  <c r="AA302" i="17"/>
  <c r="Z302" i="17"/>
  <c r="Y302" i="17"/>
  <c r="X302" i="17"/>
  <c r="W302" i="17"/>
  <c r="V302" i="17"/>
  <c r="U302" i="17"/>
  <c r="T302" i="17"/>
  <c r="S302" i="17"/>
  <c r="R302" i="17"/>
  <c r="Q302" i="17"/>
  <c r="P302" i="17"/>
  <c r="O302" i="17"/>
  <c r="N302" i="17"/>
  <c r="M302" i="17"/>
  <c r="L302" i="17"/>
  <c r="K302" i="17"/>
  <c r="J302" i="17"/>
  <c r="I302" i="17"/>
  <c r="H302" i="17"/>
  <c r="G302" i="17"/>
  <c r="F302" i="17"/>
  <c r="E302" i="17"/>
  <c r="D302" i="17"/>
  <c r="C302" i="17"/>
  <c r="B302" i="17"/>
  <c r="AD299" i="17"/>
  <c r="R299" i="17"/>
  <c r="M298" i="17"/>
  <c r="AD296" i="17"/>
  <c r="S296" i="17"/>
  <c r="Q296" i="17"/>
  <c r="AE293" i="17"/>
  <c r="AD293" i="17"/>
  <c r="S293" i="17"/>
  <c r="O293" i="17"/>
  <c r="M293" i="17"/>
  <c r="J293" i="17"/>
  <c r="J291" i="17"/>
  <c r="T290" i="17"/>
  <c r="O290" i="17"/>
  <c r="K290" i="17"/>
  <c r="J290" i="17"/>
  <c r="B290" i="17"/>
  <c r="J288" i="17"/>
  <c r="AE286" i="17"/>
  <c r="AD286" i="17"/>
  <c r="AC286" i="17"/>
  <c r="AB286" i="17"/>
  <c r="AA286" i="17"/>
  <c r="Z286" i="17"/>
  <c r="Y286" i="17"/>
  <c r="X286" i="17"/>
  <c r="W286" i="17"/>
  <c r="V286" i="17"/>
  <c r="U286" i="17"/>
  <c r="T286" i="17"/>
  <c r="S286" i="17"/>
  <c r="R286" i="17"/>
  <c r="Q286" i="17"/>
  <c r="P286" i="17"/>
  <c r="O286" i="17"/>
  <c r="N286" i="17"/>
  <c r="M286" i="17"/>
  <c r="L286" i="17"/>
  <c r="K286" i="17"/>
  <c r="J286" i="17"/>
  <c r="I286" i="17"/>
  <c r="H286" i="17"/>
  <c r="G286" i="17"/>
  <c r="F286" i="17"/>
  <c r="E286" i="17"/>
  <c r="D286" i="17"/>
  <c r="C286" i="17"/>
  <c r="B286" i="17"/>
  <c r="G283" i="17"/>
  <c r="F283" i="17"/>
  <c r="E283" i="17"/>
  <c r="D283" i="17"/>
  <c r="C283" i="17"/>
  <c r="B283" i="17"/>
  <c r="AC282" i="17"/>
  <c r="AB282" i="17"/>
  <c r="AB283" i="17" s="1"/>
  <c r="AB40" i="17" s="1"/>
  <c r="AA282" i="17"/>
  <c r="Z282" i="17"/>
  <c r="Y282" i="17"/>
  <c r="X282" i="17"/>
  <c r="W282" i="17"/>
  <c r="V282" i="17"/>
  <c r="U282" i="17"/>
  <c r="T282" i="17"/>
  <c r="S282" i="17"/>
  <c r="R282" i="17"/>
  <c r="Q282" i="17"/>
  <c r="P282" i="17"/>
  <c r="O282" i="17"/>
  <c r="N282" i="17"/>
  <c r="M282" i="17"/>
  <c r="L282" i="17"/>
  <c r="K282" i="17"/>
  <c r="J282" i="17"/>
  <c r="I282" i="17"/>
  <c r="H282" i="17"/>
  <c r="G282" i="17"/>
  <c r="AC281" i="17"/>
  <c r="AB281" i="17"/>
  <c r="AA281" i="17"/>
  <c r="Z281" i="17"/>
  <c r="Y281" i="17"/>
  <c r="X281" i="17"/>
  <c r="W281" i="17"/>
  <c r="V281" i="17"/>
  <c r="U281" i="17"/>
  <c r="T281" i="17"/>
  <c r="S281" i="17"/>
  <c r="R281" i="17"/>
  <c r="Q281" i="17"/>
  <c r="P281" i="17"/>
  <c r="O281" i="17"/>
  <c r="N281" i="17"/>
  <c r="M281" i="17"/>
  <c r="L281" i="17"/>
  <c r="K281" i="17"/>
  <c r="J281" i="17"/>
  <c r="I281" i="17"/>
  <c r="H281" i="17"/>
  <c r="G281" i="17"/>
  <c r="AC280" i="17"/>
  <c r="AB280" i="17"/>
  <c r="AA280" i="17"/>
  <c r="Z280" i="17"/>
  <c r="Y280" i="17"/>
  <c r="X280" i="17"/>
  <c r="W280" i="17"/>
  <c r="V280" i="17"/>
  <c r="U280" i="17"/>
  <c r="T280" i="17"/>
  <c r="S280" i="17"/>
  <c r="R280" i="17"/>
  <c r="Q280" i="17"/>
  <c r="P280" i="17"/>
  <c r="O280" i="17"/>
  <c r="N280" i="17"/>
  <c r="M280" i="17"/>
  <c r="L280" i="17"/>
  <c r="K280" i="17"/>
  <c r="J280" i="17"/>
  <c r="I280" i="17"/>
  <c r="H280" i="17"/>
  <c r="G280" i="17"/>
  <c r="AC279" i="17"/>
  <c r="AB279" i="17"/>
  <c r="AA279" i="17"/>
  <c r="Z279" i="17"/>
  <c r="Y279" i="17"/>
  <c r="X279" i="17"/>
  <c r="W279" i="17"/>
  <c r="V279" i="17"/>
  <c r="U279" i="17"/>
  <c r="T279" i="17"/>
  <c r="S279" i="17"/>
  <c r="R279" i="17"/>
  <c r="Q279" i="17"/>
  <c r="P279" i="17"/>
  <c r="O279" i="17"/>
  <c r="N279" i="17"/>
  <c r="M279" i="17"/>
  <c r="L279" i="17"/>
  <c r="K279" i="17"/>
  <c r="J279" i="17"/>
  <c r="I279" i="17"/>
  <c r="H279" i="17"/>
  <c r="G279" i="17"/>
  <c r="AC278" i="17"/>
  <c r="AB278" i="17"/>
  <c r="AA278" i="17"/>
  <c r="Z278" i="17"/>
  <c r="Y278" i="17"/>
  <c r="X278" i="17"/>
  <c r="W278" i="17"/>
  <c r="V278" i="17"/>
  <c r="U278" i="17"/>
  <c r="T278" i="17"/>
  <c r="S278" i="17"/>
  <c r="R278" i="17"/>
  <c r="Q278" i="17"/>
  <c r="P278" i="17"/>
  <c r="O278" i="17"/>
  <c r="N278" i="17"/>
  <c r="M278" i="17"/>
  <c r="L278" i="17"/>
  <c r="K278" i="17"/>
  <c r="J278" i="17"/>
  <c r="I278" i="17"/>
  <c r="H278" i="17"/>
  <c r="G278" i="17"/>
  <c r="AC277" i="17"/>
  <c r="AB277" i="17"/>
  <c r="AA277" i="17"/>
  <c r="Z277" i="17"/>
  <c r="Y277" i="17"/>
  <c r="X277" i="17"/>
  <c r="W277" i="17"/>
  <c r="V277" i="17"/>
  <c r="U277" i="17"/>
  <c r="T277" i="17"/>
  <c r="S277" i="17"/>
  <c r="R277" i="17"/>
  <c r="Q277" i="17"/>
  <c r="P277" i="17"/>
  <c r="O277" i="17"/>
  <c r="N277" i="17"/>
  <c r="M277" i="17"/>
  <c r="L277" i="17"/>
  <c r="K277" i="17"/>
  <c r="J277" i="17"/>
  <c r="I277" i="17"/>
  <c r="H277" i="17"/>
  <c r="G277" i="17"/>
  <c r="AD276" i="17"/>
  <c r="AC276" i="17"/>
  <c r="AB276" i="17"/>
  <c r="AA276" i="17"/>
  <c r="Z276" i="17"/>
  <c r="Y276" i="17"/>
  <c r="X276" i="17"/>
  <c r="W276" i="17"/>
  <c r="V276" i="17"/>
  <c r="U276" i="17"/>
  <c r="T276" i="17"/>
  <c r="S276" i="17"/>
  <c r="R276" i="17"/>
  <c r="Q276" i="17"/>
  <c r="P276" i="17"/>
  <c r="O276" i="17"/>
  <c r="N276" i="17"/>
  <c r="M276" i="17"/>
  <c r="L276" i="17"/>
  <c r="K276" i="17"/>
  <c r="J276" i="17"/>
  <c r="I276" i="17"/>
  <c r="H276" i="17"/>
  <c r="G276" i="17"/>
  <c r="AD275" i="17"/>
  <c r="AC275" i="17"/>
  <c r="AB275" i="17"/>
  <c r="AA275" i="17"/>
  <c r="Z275" i="17"/>
  <c r="Y275" i="17"/>
  <c r="X275" i="17"/>
  <c r="W275" i="17"/>
  <c r="V275" i="17"/>
  <c r="U275" i="17"/>
  <c r="T275" i="17"/>
  <c r="S275" i="17"/>
  <c r="R275" i="17"/>
  <c r="Q275" i="17"/>
  <c r="P275" i="17"/>
  <c r="O275" i="17"/>
  <c r="N275" i="17"/>
  <c r="M275" i="17"/>
  <c r="L275" i="17"/>
  <c r="K275" i="17"/>
  <c r="J275" i="17"/>
  <c r="I275" i="17"/>
  <c r="H275" i="17"/>
  <c r="G275" i="17"/>
  <c r="AD274" i="17"/>
  <c r="AC274" i="17"/>
  <c r="AB274" i="17"/>
  <c r="AA274" i="17"/>
  <c r="Z274" i="17"/>
  <c r="Y274" i="17"/>
  <c r="X274" i="17"/>
  <c r="W274" i="17"/>
  <c r="V274" i="17"/>
  <c r="U274" i="17"/>
  <c r="T274" i="17"/>
  <c r="S274" i="17"/>
  <c r="R274" i="17"/>
  <c r="Q274" i="17"/>
  <c r="P274" i="17"/>
  <c r="O274" i="17"/>
  <c r="N274" i="17"/>
  <c r="M274" i="17"/>
  <c r="L274" i="17"/>
  <c r="K274" i="17"/>
  <c r="J274" i="17"/>
  <c r="I274" i="17"/>
  <c r="H274" i="17"/>
  <c r="G274" i="17"/>
  <c r="AD273" i="17"/>
  <c r="AC273" i="17"/>
  <c r="AC283" i="17" s="1"/>
  <c r="AB273" i="17"/>
  <c r="AA273" i="17"/>
  <c r="Z273" i="17"/>
  <c r="Y273" i="17"/>
  <c r="X273" i="17"/>
  <c r="W273" i="17"/>
  <c r="V273" i="17"/>
  <c r="U273" i="17"/>
  <c r="T273" i="17"/>
  <c r="S273" i="17"/>
  <c r="R273" i="17"/>
  <c r="Q273" i="17"/>
  <c r="P273" i="17"/>
  <c r="O273" i="17"/>
  <c r="N273" i="17"/>
  <c r="M273" i="17"/>
  <c r="L273" i="17"/>
  <c r="K273" i="17"/>
  <c r="J273" i="17"/>
  <c r="I273" i="17"/>
  <c r="H273" i="17"/>
  <c r="AD272" i="17"/>
  <c r="AC272" i="17"/>
  <c r="AB272" i="17"/>
  <c r="AA272" i="17"/>
  <c r="Z272" i="17"/>
  <c r="Y272" i="17"/>
  <c r="X272" i="17"/>
  <c r="W272" i="17"/>
  <c r="V272" i="17"/>
  <c r="U272" i="17"/>
  <c r="T272" i="17"/>
  <c r="S272" i="17"/>
  <c r="R272" i="17"/>
  <c r="Q272" i="17"/>
  <c r="P272" i="17"/>
  <c r="O272" i="17"/>
  <c r="N272" i="17"/>
  <c r="M272" i="17"/>
  <c r="L272" i="17"/>
  <c r="K272" i="17"/>
  <c r="J272" i="17"/>
  <c r="I272" i="17"/>
  <c r="H272" i="17"/>
  <c r="H283" i="17" s="1"/>
  <c r="AD271" i="17"/>
  <c r="AC271" i="17"/>
  <c r="AB271" i="17"/>
  <c r="AA271" i="17"/>
  <c r="AA283" i="17" s="1"/>
  <c r="AA40" i="17" s="1"/>
  <c r="Z271" i="17"/>
  <c r="Y271" i="17"/>
  <c r="X271" i="17"/>
  <c r="W271" i="17"/>
  <c r="V271" i="17"/>
  <c r="U271" i="17"/>
  <c r="T271" i="17"/>
  <c r="S271" i="17"/>
  <c r="R271" i="17"/>
  <c r="R283" i="17" s="1"/>
  <c r="R40" i="17" s="1"/>
  <c r="Q271" i="17"/>
  <c r="P271" i="17"/>
  <c r="O271" i="17"/>
  <c r="N271" i="17"/>
  <c r="M271" i="17"/>
  <c r="L271" i="17"/>
  <c r="K271" i="17"/>
  <c r="J271" i="17"/>
  <c r="I271" i="17"/>
  <c r="H271" i="17"/>
  <c r="AE270" i="17"/>
  <c r="AD270" i="17"/>
  <c r="AC270" i="17"/>
  <c r="AB270" i="17"/>
  <c r="AA270" i="17"/>
  <c r="Z270" i="17"/>
  <c r="Y270" i="17"/>
  <c r="X270" i="17"/>
  <c r="W270" i="17"/>
  <c r="V270" i="17"/>
  <c r="U270" i="17"/>
  <c r="T270" i="17"/>
  <c r="S270" i="17"/>
  <c r="R270" i="17"/>
  <c r="Q270" i="17"/>
  <c r="P270" i="17"/>
  <c r="O270" i="17"/>
  <c r="N270" i="17"/>
  <c r="M270" i="17"/>
  <c r="L270" i="17"/>
  <c r="K270" i="17"/>
  <c r="J270" i="17"/>
  <c r="I270" i="17"/>
  <c r="H270" i="17"/>
  <c r="G270" i="17"/>
  <c r="F270" i="17"/>
  <c r="E270" i="17"/>
  <c r="D270" i="17"/>
  <c r="C270" i="17"/>
  <c r="B270" i="17"/>
  <c r="AE267" i="17"/>
  <c r="AD267" i="17"/>
  <c r="S267" i="17"/>
  <c r="S34" i="17" s="1"/>
  <c r="G267" i="17"/>
  <c r="F267" i="17"/>
  <c r="E267" i="17"/>
  <c r="D267" i="17"/>
  <c r="C267" i="17"/>
  <c r="B267" i="17"/>
  <c r="AC266" i="17"/>
  <c r="AB266" i="17"/>
  <c r="AA266" i="17"/>
  <c r="Z266" i="17"/>
  <c r="Y266" i="17"/>
  <c r="X266" i="17"/>
  <c r="W266" i="17"/>
  <c r="V266" i="17"/>
  <c r="U266" i="17"/>
  <c r="T266" i="17"/>
  <c r="S266" i="17"/>
  <c r="R266" i="17"/>
  <c r="Q266" i="17"/>
  <c r="P266" i="17"/>
  <c r="O266" i="17"/>
  <c r="N266" i="17"/>
  <c r="M266" i="17"/>
  <c r="L266" i="17"/>
  <c r="K266" i="17"/>
  <c r="J266" i="17"/>
  <c r="I266" i="17"/>
  <c r="H266" i="17"/>
  <c r="G266" i="17"/>
  <c r="AC265" i="17"/>
  <c r="AB265" i="17"/>
  <c r="AA265" i="17"/>
  <c r="Z265" i="17"/>
  <c r="Y265" i="17"/>
  <c r="X265" i="17"/>
  <c r="W265" i="17"/>
  <c r="V265" i="17"/>
  <c r="U265" i="17"/>
  <c r="T265" i="17"/>
  <c r="S265" i="17"/>
  <c r="R265" i="17"/>
  <c r="Q265" i="17"/>
  <c r="P265" i="17"/>
  <c r="O265" i="17"/>
  <c r="N265" i="17"/>
  <c r="M265" i="17"/>
  <c r="L265" i="17"/>
  <c r="K265" i="17"/>
  <c r="J265" i="17"/>
  <c r="I265" i="17"/>
  <c r="H265" i="17"/>
  <c r="G265" i="17"/>
  <c r="AC264" i="17"/>
  <c r="AC267" i="17" s="1"/>
  <c r="AB264" i="17"/>
  <c r="AA264" i="17"/>
  <c r="Z264" i="17"/>
  <c r="Y264" i="17"/>
  <c r="X264" i="17"/>
  <c r="W264" i="17"/>
  <c r="V264" i="17"/>
  <c r="U264" i="17"/>
  <c r="T264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AC263" i="17"/>
  <c r="AB263" i="17"/>
  <c r="AA263" i="17"/>
  <c r="Z263" i="17"/>
  <c r="Y263" i="17"/>
  <c r="X263" i="17"/>
  <c r="W263" i="17"/>
  <c r="V263" i="17"/>
  <c r="U263" i="17"/>
  <c r="T263" i="17"/>
  <c r="S263" i="17"/>
  <c r="R263" i="17"/>
  <c r="Q263" i="17"/>
  <c r="P263" i="17"/>
  <c r="O263" i="17"/>
  <c r="N263" i="17"/>
  <c r="M263" i="17"/>
  <c r="L263" i="17"/>
  <c r="K263" i="17"/>
  <c r="J263" i="17"/>
  <c r="I263" i="17"/>
  <c r="H263" i="17"/>
  <c r="G263" i="17"/>
  <c r="AC262" i="17"/>
  <c r="AB262" i="17"/>
  <c r="AA262" i="17"/>
  <c r="Z262" i="17"/>
  <c r="Y262" i="17"/>
  <c r="X262" i="17"/>
  <c r="W262" i="17"/>
  <c r="V262" i="17"/>
  <c r="U262" i="17"/>
  <c r="T262" i="17"/>
  <c r="S262" i="17"/>
  <c r="R262" i="17"/>
  <c r="Q262" i="17"/>
  <c r="P262" i="17"/>
  <c r="O262" i="17"/>
  <c r="N262" i="17"/>
  <c r="M262" i="17"/>
  <c r="L262" i="17"/>
  <c r="K262" i="17"/>
  <c r="J262" i="17"/>
  <c r="I262" i="17"/>
  <c r="H262" i="17"/>
  <c r="G262" i="17"/>
  <c r="AC261" i="17"/>
  <c r="AB261" i="17"/>
  <c r="AA261" i="17"/>
  <c r="Z261" i="17"/>
  <c r="Y261" i="17"/>
  <c r="X261" i="17"/>
  <c r="W261" i="17"/>
  <c r="V261" i="17"/>
  <c r="U261" i="17"/>
  <c r="T261" i="17"/>
  <c r="S261" i="17"/>
  <c r="R261" i="17"/>
  <c r="Q261" i="17"/>
  <c r="P261" i="17"/>
  <c r="O261" i="17"/>
  <c r="N261" i="17"/>
  <c r="M261" i="17"/>
  <c r="L261" i="17"/>
  <c r="K261" i="17"/>
  <c r="J261" i="17"/>
  <c r="I261" i="17"/>
  <c r="H261" i="17"/>
  <c r="G261" i="17"/>
  <c r="AD260" i="17"/>
  <c r="AC260" i="17"/>
  <c r="AB260" i="17"/>
  <c r="AA260" i="17"/>
  <c r="Z260" i="17"/>
  <c r="Y260" i="17"/>
  <c r="X260" i="17"/>
  <c r="W260" i="17"/>
  <c r="V260" i="17"/>
  <c r="U260" i="17"/>
  <c r="T260" i="17"/>
  <c r="S260" i="17"/>
  <c r="R260" i="17"/>
  <c r="Q260" i="17"/>
  <c r="P260" i="17"/>
  <c r="O260" i="17"/>
  <c r="N260" i="17"/>
  <c r="M260" i="17"/>
  <c r="L260" i="17"/>
  <c r="K260" i="17"/>
  <c r="J260" i="17"/>
  <c r="I260" i="17"/>
  <c r="H260" i="17"/>
  <c r="G260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AD258" i="17"/>
  <c r="AC258" i="17"/>
  <c r="AB258" i="17"/>
  <c r="AA258" i="17"/>
  <c r="Z258" i="17"/>
  <c r="Y258" i="17"/>
  <c r="X258" i="17"/>
  <c r="W258" i="17"/>
  <c r="V258" i="17"/>
  <c r="U258" i="17"/>
  <c r="T258" i="17"/>
  <c r="S258" i="17"/>
  <c r="R258" i="17"/>
  <c r="Q258" i="17"/>
  <c r="P258" i="17"/>
  <c r="O258" i="17"/>
  <c r="N258" i="17"/>
  <c r="N267" i="17" s="1"/>
  <c r="M258" i="17"/>
  <c r="L258" i="17"/>
  <c r="K258" i="17"/>
  <c r="J258" i="17"/>
  <c r="I258" i="17"/>
  <c r="H258" i="17"/>
  <c r="G258" i="17"/>
  <c r="AD257" i="17"/>
  <c r="AC257" i="17"/>
  <c r="AB257" i="17"/>
  <c r="AA257" i="17"/>
  <c r="Z257" i="17"/>
  <c r="Y257" i="17"/>
  <c r="X257" i="17"/>
  <c r="W257" i="17"/>
  <c r="V257" i="17"/>
  <c r="U257" i="17"/>
  <c r="T257" i="17"/>
  <c r="S257" i="17"/>
  <c r="R257" i="17"/>
  <c r="Q257" i="17"/>
  <c r="P257" i="17"/>
  <c r="O257" i="17"/>
  <c r="N257" i="17"/>
  <c r="M257" i="17"/>
  <c r="L257" i="17"/>
  <c r="K257" i="17"/>
  <c r="J257" i="17"/>
  <c r="I257" i="17"/>
  <c r="H257" i="17"/>
  <c r="AD256" i="17"/>
  <c r="AC256" i="17"/>
  <c r="AB256" i="17"/>
  <c r="AA256" i="17"/>
  <c r="Z256" i="17"/>
  <c r="Y256" i="17"/>
  <c r="X256" i="17"/>
  <c r="W256" i="17"/>
  <c r="V256" i="17"/>
  <c r="U256" i="17"/>
  <c r="T256" i="17"/>
  <c r="T267" i="17" s="1"/>
  <c r="T34" i="17" s="1"/>
  <c r="S256" i="17"/>
  <c r="R256" i="17"/>
  <c r="R267" i="17" s="1"/>
  <c r="R34" i="17" s="1"/>
  <c r="Q256" i="17"/>
  <c r="P256" i="17"/>
  <c r="P267" i="17" s="1"/>
  <c r="P34" i="17" s="1"/>
  <c r="O256" i="17"/>
  <c r="N256" i="17"/>
  <c r="M256" i="17"/>
  <c r="L256" i="17"/>
  <c r="K256" i="17"/>
  <c r="J256" i="17"/>
  <c r="I256" i="17"/>
  <c r="H256" i="17"/>
  <c r="AD255" i="17"/>
  <c r="AC255" i="17"/>
  <c r="AB255" i="17"/>
  <c r="AA255" i="17"/>
  <c r="Z255" i="17"/>
  <c r="Y255" i="17"/>
  <c r="X255" i="17"/>
  <c r="W255" i="17"/>
  <c r="V255" i="17"/>
  <c r="U255" i="17"/>
  <c r="U267" i="17" s="1"/>
  <c r="U34" i="17" s="1"/>
  <c r="T255" i="17"/>
  <c r="S255" i="17"/>
  <c r="R255" i="17"/>
  <c r="Q255" i="17"/>
  <c r="P255" i="17"/>
  <c r="O255" i="17"/>
  <c r="N255" i="17"/>
  <c r="M255" i="17"/>
  <c r="L255" i="17"/>
  <c r="K255" i="17"/>
  <c r="J255" i="17"/>
  <c r="I255" i="17"/>
  <c r="H255" i="17"/>
  <c r="AE254" i="17"/>
  <c r="AD254" i="17"/>
  <c r="AC254" i="17"/>
  <c r="AB254" i="17"/>
  <c r="AA254" i="17"/>
  <c r="Z254" i="17"/>
  <c r="Y254" i="17"/>
  <c r="X254" i="17"/>
  <c r="W254" i="17"/>
  <c r="V254" i="17"/>
  <c r="U254" i="17"/>
  <c r="T254" i="17"/>
  <c r="S254" i="17"/>
  <c r="R254" i="17"/>
  <c r="Q254" i="17"/>
  <c r="P254" i="17"/>
  <c r="O254" i="17"/>
  <c r="N254" i="17"/>
  <c r="M254" i="17"/>
  <c r="L254" i="17"/>
  <c r="K254" i="17"/>
  <c r="J254" i="17"/>
  <c r="I254" i="17"/>
  <c r="H254" i="17"/>
  <c r="G254" i="17"/>
  <c r="F254" i="17"/>
  <c r="E254" i="17"/>
  <c r="D254" i="17"/>
  <c r="C254" i="17"/>
  <c r="B254" i="17"/>
  <c r="AC251" i="17"/>
  <c r="AB251" i="17"/>
  <c r="AA251" i="17"/>
  <c r="Z251" i="17"/>
  <c r="Y251" i="17"/>
  <c r="X251" i="17"/>
  <c r="W251" i="17"/>
  <c r="V251" i="17"/>
  <c r="U251" i="17"/>
  <c r="T251" i="17"/>
  <c r="S251" i="17"/>
  <c r="R251" i="17"/>
  <c r="Q251" i="17"/>
  <c r="P251" i="17"/>
  <c r="O251" i="17"/>
  <c r="N251" i="17"/>
  <c r="M251" i="17"/>
  <c r="L251" i="17"/>
  <c r="K251" i="17"/>
  <c r="J251" i="17"/>
  <c r="I251" i="17"/>
  <c r="H251" i="17"/>
  <c r="G251" i="17"/>
  <c r="F251" i="17"/>
  <c r="E251" i="17"/>
  <c r="D251" i="17"/>
  <c r="C251" i="17"/>
  <c r="B251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E235" i="17"/>
  <c r="AE222" i="17"/>
  <c r="AD222" i="17"/>
  <c r="AC222" i="17"/>
  <c r="AB222" i="17"/>
  <c r="AA222" i="17"/>
  <c r="Z222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AE206" i="17"/>
  <c r="AD206" i="17"/>
  <c r="AC206" i="17"/>
  <c r="AB206" i="17"/>
  <c r="AA206" i="17"/>
  <c r="Z206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AE190" i="17"/>
  <c r="AD190" i="17"/>
  <c r="AC190" i="17"/>
  <c r="AB190" i="17"/>
  <c r="AA190" i="17"/>
  <c r="Z190" i="17"/>
  <c r="Y190" i="17"/>
  <c r="X190" i="17"/>
  <c r="W190" i="17"/>
  <c r="V190" i="17"/>
  <c r="U190" i="17"/>
  <c r="T190" i="17"/>
  <c r="S190" i="17"/>
  <c r="R190" i="17"/>
  <c r="Q190" i="17"/>
  <c r="P190" i="17"/>
  <c r="O190" i="17"/>
  <c r="N190" i="17"/>
  <c r="M190" i="17"/>
  <c r="L190" i="17"/>
  <c r="K190" i="17"/>
  <c r="J190" i="17"/>
  <c r="I190" i="17"/>
  <c r="H190" i="17"/>
  <c r="G190" i="17"/>
  <c r="F190" i="17"/>
  <c r="E190" i="17"/>
  <c r="D190" i="17"/>
  <c r="C190" i="17"/>
  <c r="B190" i="17"/>
  <c r="AE187" i="17"/>
  <c r="AD187" i="17"/>
  <c r="AC187" i="17"/>
  <c r="AC176" i="17" s="1"/>
  <c r="AB187" i="17"/>
  <c r="AA187" i="17"/>
  <c r="Z187" i="17"/>
  <c r="Y187" i="17"/>
  <c r="X187" i="17"/>
  <c r="W187" i="17"/>
  <c r="V187" i="17"/>
  <c r="U187" i="17"/>
  <c r="T187" i="17"/>
  <c r="S187" i="17"/>
  <c r="T176" i="17" s="1"/>
  <c r="R187" i="17"/>
  <c r="Q187" i="17"/>
  <c r="P187" i="17"/>
  <c r="O187" i="17"/>
  <c r="N187" i="17"/>
  <c r="M187" i="17"/>
  <c r="L187" i="17"/>
  <c r="K187" i="17"/>
  <c r="K177" i="17" s="1"/>
  <c r="J187" i="17"/>
  <c r="I187" i="17"/>
  <c r="H187" i="17"/>
  <c r="G187" i="17"/>
  <c r="F187" i="17"/>
  <c r="E187" i="17"/>
  <c r="D187" i="17"/>
  <c r="C187" i="17"/>
  <c r="B187" i="17"/>
  <c r="G179" i="17"/>
  <c r="I178" i="17"/>
  <c r="G178" i="17"/>
  <c r="F178" i="17"/>
  <c r="AE177" i="17"/>
  <c r="AE178" i="17" s="1"/>
  <c r="AC177" i="17"/>
  <c r="AC178" i="17" s="1"/>
  <c r="AB177" i="17"/>
  <c r="I177" i="17"/>
  <c r="G177" i="17"/>
  <c r="F177" i="17"/>
  <c r="AE176" i="17"/>
  <c r="AB176" i="17"/>
  <c r="S176" i="17"/>
  <c r="N176" i="17"/>
  <c r="M176" i="17"/>
  <c r="L176" i="17"/>
  <c r="K176" i="17"/>
  <c r="J176" i="17"/>
  <c r="I176" i="17"/>
  <c r="H176" i="17"/>
  <c r="G176" i="17"/>
  <c r="F176" i="17"/>
  <c r="AE175" i="17"/>
  <c r="AD175" i="17"/>
  <c r="AC175" i="17"/>
  <c r="AB175" i="17"/>
  <c r="AA175" i="17"/>
  <c r="Z175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AE159" i="17"/>
  <c r="AD159" i="17"/>
  <c r="AC159" i="17"/>
  <c r="AB159" i="17"/>
  <c r="AA159" i="17"/>
  <c r="Z159" i="17"/>
  <c r="Y159" i="17"/>
  <c r="X159" i="17"/>
  <c r="W159" i="17"/>
  <c r="V159" i="17"/>
  <c r="U159" i="17"/>
  <c r="T159" i="17"/>
  <c r="S159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C159" i="17"/>
  <c r="B159" i="17"/>
  <c r="AE156" i="17"/>
  <c r="AD156" i="17"/>
  <c r="AB156" i="17"/>
  <c r="AB27" i="17" s="1"/>
  <c r="R156" i="17"/>
  <c r="G156" i="17"/>
  <c r="F156" i="17"/>
  <c r="E156" i="17"/>
  <c r="D156" i="17"/>
  <c r="C156" i="17"/>
  <c r="B156" i="17"/>
  <c r="AC155" i="17"/>
  <c r="AB155" i="17"/>
  <c r="AA155" i="17"/>
  <c r="Z155" i="17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AC154" i="17"/>
  <c r="AB154" i="17"/>
  <c r="AA154" i="17"/>
  <c r="Z154" i="17"/>
  <c r="Y154" i="17"/>
  <c r="X154" i="17"/>
  <c r="W154" i="17"/>
  <c r="W156" i="17" s="1"/>
  <c r="W27" i="17" s="1"/>
  <c r="V154" i="17"/>
  <c r="U154" i="17"/>
  <c r="T154" i="17"/>
  <c r="T156" i="17" s="1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AC153" i="17"/>
  <c r="AB153" i="17"/>
  <c r="AA153" i="17"/>
  <c r="Z153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AC152" i="17"/>
  <c r="AB152" i="17"/>
  <c r="AA152" i="17"/>
  <c r="Z152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AC151" i="17"/>
  <c r="AB151" i="17"/>
  <c r="AA151" i="17"/>
  <c r="Z151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AC150" i="17"/>
  <c r="AB150" i="17"/>
  <c r="AA150" i="17"/>
  <c r="Z150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AD149" i="17"/>
  <c r="AC149" i="17"/>
  <c r="AB149" i="17"/>
  <c r="AA149" i="17"/>
  <c r="Z149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AD148" i="17"/>
  <c r="AC148" i="17"/>
  <c r="AB148" i="17"/>
  <c r="AA148" i="17"/>
  <c r="Z148" i="17"/>
  <c r="Y148" i="17"/>
  <c r="X148" i="17"/>
  <c r="W148" i="17"/>
  <c r="V148" i="17"/>
  <c r="U148" i="17"/>
  <c r="T148" i="17"/>
  <c r="S148" i="17"/>
  <c r="S156" i="17" s="1"/>
  <c r="S27" i="17" s="1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AD147" i="17"/>
  <c r="AC147" i="17"/>
  <c r="AB147" i="17"/>
  <c r="AA147" i="17"/>
  <c r="Z147" i="17"/>
  <c r="Z156" i="17" s="1"/>
  <c r="Z27" i="17" s="1"/>
  <c r="Y147" i="17"/>
  <c r="X147" i="17"/>
  <c r="X156" i="17" s="1"/>
  <c r="W147" i="17"/>
  <c r="V147" i="17"/>
  <c r="U147" i="17"/>
  <c r="T147" i="17"/>
  <c r="S147" i="17"/>
  <c r="R147" i="17"/>
  <c r="Q147" i="17"/>
  <c r="P147" i="17"/>
  <c r="O147" i="17"/>
  <c r="N147" i="17"/>
  <c r="M147" i="17"/>
  <c r="L147" i="17"/>
  <c r="K147" i="17"/>
  <c r="J147" i="17"/>
  <c r="I147" i="17"/>
  <c r="H147" i="17"/>
  <c r="H156" i="17" s="1"/>
  <c r="G147" i="17"/>
  <c r="AD146" i="17"/>
  <c r="AC146" i="17"/>
  <c r="AB146" i="17"/>
  <c r="AA146" i="17"/>
  <c r="Z146" i="17"/>
  <c r="Y146" i="17"/>
  <c r="X146" i="17"/>
  <c r="W146" i="17"/>
  <c r="V146" i="17"/>
  <c r="U146" i="17"/>
  <c r="T146" i="17"/>
  <c r="S146" i="17"/>
  <c r="R146" i="17"/>
  <c r="Q146" i="17"/>
  <c r="P146" i="17"/>
  <c r="O146" i="17"/>
  <c r="N146" i="17"/>
  <c r="M146" i="17"/>
  <c r="L146" i="17"/>
  <c r="K146" i="17"/>
  <c r="J146" i="17"/>
  <c r="I146" i="17"/>
  <c r="H146" i="17"/>
  <c r="AD145" i="17"/>
  <c r="AC145" i="17"/>
  <c r="AB145" i="17"/>
  <c r="AA145" i="17"/>
  <c r="Z145" i="17"/>
  <c r="Y145" i="17"/>
  <c r="X145" i="17"/>
  <c r="W145" i="17"/>
  <c r="V145" i="17"/>
  <c r="U145" i="17"/>
  <c r="T145" i="17"/>
  <c r="S145" i="17"/>
  <c r="R145" i="17"/>
  <c r="Q145" i="17"/>
  <c r="P145" i="17"/>
  <c r="O145" i="17"/>
  <c r="N145" i="17"/>
  <c r="M145" i="17"/>
  <c r="L145" i="17"/>
  <c r="K145" i="17"/>
  <c r="J145" i="17"/>
  <c r="I145" i="17"/>
  <c r="H145" i="17"/>
  <c r="AD144" i="17"/>
  <c r="AC144" i="17"/>
  <c r="AB144" i="17"/>
  <c r="AA144" i="17"/>
  <c r="Z144" i="17"/>
  <c r="Y144" i="17"/>
  <c r="X144" i="17"/>
  <c r="W144" i="17"/>
  <c r="V144" i="17"/>
  <c r="U144" i="17"/>
  <c r="U156" i="17" s="1"/>
  <c r="U27" i="17" s="1"/>
  <c r="T144" i="17"/>
  <c r="S144" i="17"/>
  <c r="R144" i="17"/>
  <c r="Q144" i="17"/>
  <c r="P144" i="17"/>
  <c r="P156" i="17" s="1"/>
  <c r="P27" i="17" s="1"/>
  <c r="O144" i="17"/>
  <c r="O156" i="17" s="1"/>
  <c r="O27" i="17" s="1"/>
  <c r="N144" i="17"/>
  <c r="N156" i="17" s="1"/>
  <c r="N27" i="17" s="1"/>
  <c r="M144" i="17"/>
  <c r="M156" i="17" s="1"/>
  <c r="M27" i="17" s="1"/>
  <c r="L144" i="17"/>
  <c r="K144" i="17"/>
  <c r="J144" i="17"/>
  <c r="I144" i="17"/>
  <c r="H144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AD140" i="17"/>
  <c r="AC140" i="17"/>
  <c r="AB140" i="17"/>
  <c r="AB24" i="17" s="1"/>
  <c r="G140" i="17"/>
  <c r="F140" i="17"/>
  <c r="E140" i="17"/>
  <c r="D140" i="17"/>
  <c r="C140" i="17"/>
  <c r="B140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N140" i="17" s="1"/>
  <c r="N24" i="17" s="1"/>
  <c r="M138" i="17"/>
  <c r="L138" i="17"/>
  <c r="K138" i="17"/>
  <c r="J138" i="17"/>
  <c r="I138" i="17"/>
  <c r="H138" i="17"/>
  <c r="G138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AC136" i="17"/>
  <c r="AB136" i="17"/>
  <c r="AA136" i="17"/>
  <c r="Z136" i="17"/>
  <c r="Y136" i="17"/>
  <c r="X136" i="17"/>
  <c r="W136" i="17"/>
  <c r="V136" i="17"/>
  <c r="U136" i="17"/>
  <c r="T136" i="17"/>
  <c r="S136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AC134" i="17"/>
  <c r="AB134" i="17"/>
  <c r="AA134" i="17"/>
  <c r="Z134" i="17"/>
  <c r="Y134" i="17"/>
  <c r="X134" i="17"/>
  <c r="W134" i="17"/>
  <c r="V134" i="17"/>
  <c r="U134" i="17"/>
  <c r="T134" i="17"/>
  <c r="S134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K140" i="17" s="1"/>
  <c r="K24" i="17" s="1"/>
  <c r="J128" i="17"/>
  <c r="I128" i="17"/>
  <c r="H128" i="17"/>
  <c r="H140" i="17" s="1"/>
  <c r="H24" i="17" s="1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AD124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AE92" i="17"/>
  <c r="AD92" i="17"/>
  <c r="AC92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E76" i="17"/>
  <c r="AD76" i="17"/>
  <c r="M76" i="17"/>
  <c r="F76" i="17"/>
  <c r="E76" i="17"/>
  <c r="D76" i="17"/>
  <c r="C76" i="17"/>
  <c r="B76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AC71" i="17"/>
  <c r="AB71" i="17"/>
  <c r="AA71" i="17"/>
  <c r="AA76" i="17" s="1"/>
  <c r="AA13" i="17" s="1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AD69" i="17"/>
  <c r="AC69" i="17"/>
  <c r="AB69" i="17"/>
  <c r="AA69" i="17"/>
  <c r="Z69" i="17"/>
  <c r="Y69" i="17"/>
  <c r="X69" i="17"/>
  <c r="W69" i="17"/>
  <c r="V69" i="17"/>
  <c r="U69" i="17"/>
  <c r="T69" i="17"/>
  <c r="T76" i="17" s="1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AD68" i="17"/>
  <c r="AC68" i="17"/>
  <c r="AB68" i="17"/>
  <c r="AB76" i="17" s="1"/>
  <c r="AB13" i="17" s="1"/>
  <c r="AA68" i="17"/>
  <c r="Z68" i="17"/>
  <c r="Y68" i="17"/>
  <c r="X68" i="17"/>
  <c r="W68" i="17"/>
  <c r="W76" i="17" s="1"/>
  <c r="W13" i="17" s="1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H76" i="17" s="1"/>
  <c r="H13" i="17" s="1"/>
  <c r="G68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AD65" i="17"/>
  <c r="AC65" i="17"/>
  <c r="AB65" i="17"/>
  <c r="AA65" i="17"/>
  <c r="Z65" i="17"/>
  <c r="Y65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AD64" i="17"/>
  <c r="AC64" i="17"/>
  <c r="AB64" i="17"/>
  <c r="AA64" i="17"/>
  <c r="Z64" i="17"/>
  <c r="Y64" i="17"/>
  <c r="X64" i="17"/>
  <c r="W64" i="17"/>
  <c r="V64" i="17"/>
  <c r="U64" i="17"/>
  <c r="U76" i="17" s="1"/>
  <c r="U13" i="17" s="1"/>
  <c r="T64" i="17"/>
  <c r="S64" i="17"/>
  <c r="S76" i="17" s="1"/>
  <c r="S13" i="17" s="1"/>
  <c r="R64" i="17"/>
  <c r="R76" i="17" s="1"/>
  <c r="R13" i="17" s="1"/>
  <c r="Q64" i="17"/>
  <c r="P64" i="17"/>
  <c r="O64" i="17"/>
  <c r="N64" i="17"/>
  <c r="M64" i="17"/>
  <c r="L64" i="17"/>
  <c r="K64" i="17"/>
  <c r="J64" i="17"/>
  <c r="I64" i="17"/>
  <c r="H64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E60" i="17"/>
  <c r="AD60" i="17"/>
  <c r="AB60" i="17"/>
  <c r="AB10" i="17" s="1"/>
  <c r="AB11" i="17" s="1"/>
  <c r="AB16" i="17" s="1"/>
  <c r="S60" i="17"/>
  <c r="S10" i="17" s="1"/>
  <c r="N60" i="17"/>
  <c r="L60" i="17"/>
  <c r="G60" i="17"/>
  <c r="F60" i="17"/>
  <c r="E60" i="17"/>
  <c r="D60" i="17"/>
  <c r="C60" i="17"/>
  <c r="B60" i="17"/>
  <c r="AC59" i="17"/>
  <c r="AB59" i="17"/>
  <c r="AA59" i="17"/>
  <c r="Z59" i="17"/>
  <c r="Y59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AC58" i="17"/>
  <c r="AB58" i="17"/>
  <c r="AA58" i="17"/>
  <c r="Z58" i="17"/>
  <c r="Y58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AC57" i="17"/>
  <c r="AB57" i="17"/>
  <c r="AA57" i="17"/>
  <c r="Z57" i="17"/>
  <c r="Y57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J60" i="17" s="1"/>
  <c r="J10" i="17" s="1"/>
  <c r="J11" i="17" s="1"/>
  <c r="J16" i="17" s="1"/>
  <c r="I52" i="17"/>
  <c r="H52" i="17"/>
  <c r="G52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AD49" i="17"/>
  <c r="AC49" i="17"/>
  <c r="AB49" i="17"/>
  <c r="AA49" i="17"/>
  <c r="Z49" i="17"/>
  <c r="Y49" i="17"/>
  <c r="X49" i="17"/>
  <c r="W49" i="17"/>
  <c r="V49" i="17"/>
  <c r="U49" i="17"/>
  <c r="U60" i="17" s="1"/>
  <c r="U10" i="17" s="1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AD48" i="17"/>
  <c r="AC48" i="17"/>
  <c r="AB48" i="17"/>
  <c r="AA48" i="17"/>
  <c r="Z48" i="17"/>
  <c r="Y48" i="17"/>
  <c r="Y60" i="17" s="1"/>
  <c r="Y10" i="17" s="1"/>
  <c r="Y11" i="17" s="1"/>
  <c r="Y16" i="17" s="1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I60" i="17" s="1"/>
  <c r="I10" i="17" s="1"/>
  <c r="H48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H40" i="17"/>
  <c r="AE36" i="17"/>
  <c r="AE299" i="17" s="1"/>
  <c r="AD36" i="17"/>
  <c r="AC36" i="17"/>
  <c r="AC299" i="17" s="1"/>
  <c r="AB36" i="17"/>
  <c r="AB299" i="17" s="1"/>
  <c r="AA36" i="17"/>
  <c r="AA299" i="17" s="1"/>
  <c r="Z36" i="17"/>
  <c r="Z299" i="17" s="1"/>
  <c r="Y36" i="17"/>
  <c r="Y299" i="17" s="1"/>
  <c r="X36" i="17"/>
  <c r="X299" i="17" s="1"/>
  <c r="W36" i="17"/>
  <c r="W299" i="17" s="1"/>
  <c r="V36" i="17"/>
  <c r="V299" i="17" s="1"/>
  <c r="U36" i="17"/>
  <c r="U299" i="17" s="1"/>
  <c r="T36" i="17"/>
  <c r="T299" i="17" s="1"/>
  <c r="S36" i="17"/>
  <c r="S299" i="17" s="1"/>
  <c r="R36" i="17"/>
  <c r="Q36" i="17"/>
  <c r="Q299" i="17" s="1"/>
  <c r="P36" i="17"/>
  <c r="P299" i="17" s="1"/>
  <c r="O36" i="17"/>
  <c r="O299" i="17" s="1"/>
  <c r="O298" i="17" s="1"/>
  <c r="N36" i="17"/>
  <c r="N299" i="17" s="1"/>
  <c r="M36" i="17"/>
  <c r="M299" i="17" s="1"/>
  <c r="L36" i="17"/>
  <c r="L299" i="17" s="1"/>
  <c r="L298" i="17" s="1"/>
  <c r="K36" i="17"/>
  <c r="K299" i="17" s="1"/>
  <c r="J36" i="17"/>
  <c r="J299" i="17" s="1"/>
  <c r="I36" i="17"/>
  <c r="I299" i="17" s="1"/>
  <c r="H36" i="17"/>
  <c r="H299" i="17" s="1"/>
  <c r="G36" i="17"/>
  <c r="G299" i="17" s="1"/>
  <c r="G297" i="17" s="1"/>
  <c r="F36" i="17"/>
  <c r="F299" i="17" s="1"/>
  <c r="F297" i="17" s="1"/>
  <c r="E36" i="17"/>
  <c r="E299" i="17" s="1"/>
  <c r="E297" i="17" s="1"/>
  <c r="D36" i="17"/>
  <c r="D299" i="17" s="1"/>
  <c r="D297" i="17" s="1"/>
  <c r="C36" i="17"/>
  <c r="C299" i="17" s="1"/>
  <c r="B36" i="17"/>
  <c r="B299" i="17" s="1"/>
  <c r="AE33" i="17"/>
  <c r="AC33" i="17"/>
  <c r="AC219" i="17" s="1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T27" i="17"/>
  <c r="R27" i="17"/>
  <c r="AE24" i="17"/>
  <c r="AE140" i="17" s="1"/>
  <c r="AD24" i="17"/>
  <c r="AC24" i="17"/>
  <c r="AD23" i="17"/>
  <c r="AD25" i="17" s="1"/>
  <c r="AD28" i="17" s="1"/>
  <c r="AD26" i="17" s="1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G18" i="17"/>
  <c r="F16" i="17"/>
  <c r="E16" i="17"/>
  <c r="D16" i="17"/>
  <c r="D18" i="17" s="1"/>
  <c r="C16" i="17"/>
  <c r="C18" i="17" s="1"/>
  <c r="B16" i="17"/>
  <c r="AB14" i="17"/>
  <c r="W14" i="17"/>
  <c r="V14" i="17"/>
  <c r="U14" i="17"/>
  <c r="T14" i="17"/>
  <c r="S14" i="17"/>
  <c r="R14" i="17"/>
  <c r="P14" i="17"/>
  <c r="M14" i="17"/>
  <c r="H14" i="17"/>
  <c r="F14" i="17"/>
  <c r="AD13" i="17"/>
  <c r="AC13" i="17"/>
  <c r="T13" i="17"/>
  <c r="AD11" i="17"/>
  <c r="AD16" i="17" s="1"/>
  <c r="AD18" i="17" s="1"/>
  <c r="F11" i="17"/>
  <c r="E11" i="17"/>
  <c r="D11" i="17"/>
  <c r="C11" i="17"/>
  <c r="B11" i="17"/>
  <c r="AC10" i="17"/>
  <c r="AC11" i="17" s="1"/>
  <c r="AC16" i="17" s="1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G11" i="17" s="1"/>
  <c r="G16" i="17" s="1"/>
  <c r="F8" i="17"/>
  <c r="E8" i="17"/>
  <c r="D8" i="17"/>
  <c r="C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C6" i="17"/>
  <c r="AB6" i="17"/>
  <c r="Y6" i="17"/>
  <c r="V6" i="17"/>
  <c r="N6" i="17"/>
  <c r="K6" i="17"/>
  <c r="I6" i="17"/>
  <c r="H6" i="17"/>
  <c r="G6" i="17"/>
  <c r="F6" i="17"/>
  <c r="C6" i="17"/>
  <c r="AC4" i="17"/>
  <c r="AB4" i="17"/>
  <c r="AA14" i="17" s="1"/>
  <c r="AA4" i="17"/>
  <c r="Z4" i="17"/>
  <c r="Y4" i="17"/>
  <c r="X14" i="17" s="1"/>
  <c r="X4" i="17"/>
  <c r="X6" i="17" s="1"/>
  <c r="W4" i="17"/>
  <c r="W6" i="17" s="1"/>
  <c r="V4" i="17"/>
  <c r="U4" i="17"/>
  <c r="U6" i="17" s="1"/>
  <c r="T4" i="17"/>
  <c r="T6" i="17" s="1"/>
  <c r="S4" i="17"/>
  <c r="S6" i="17" s="1"/>
  <c r="R4" i="17"/>
  <c r="Q4" i="17"/>
  <c r="Q6" i="17" s="1"/>
  <c r="P4" i="17"/>
  <c r="O4" i="17"/>
  <c r="N14" i="17" s="1"/>
  <c r="N4" i="17"/>
  <c r="M4" i="17"/>
  <c r="L4" i="17"/>
  <c r="K4" i="17"/>
  <c r="J14" i="17" s="1"/>
  <c r="J4" i="17"/>
  <c r="I4" i="17"/>
  <c r="H4" i="17"/>
  <c r="G14" i="17" s="1"/>
  <c r="G4" i="17"/>
  <c r="F4" i="17"/>
  <c r="E14" i="17" s="1"/>
  <c r="E4" i="17"/>
  <c r="D4" i="17"/>
  <c r="C4" i="17"/>
  <c r="B14" i="17" s="1"/>
  <c r="B4" i="17"/>
  <c r="B6" i="17" s="1"/>
  <c r="AE317" i="16"/>
  <c r="AD317" i="16"/>
  <c r="AC317" i="16"/>
  <c r="AB317" i="16"/>
  <c r="AA317" i="16"/>
  <c r="Z317" i="16"/>
  <c r="Y317" i="16"/>
  <c r="X317" i="16"/>
  <c r="W317" i="16"/>
  <c r="V317" i="16"/>
  <c r="U317" i="16"/>
  <c r="T317" i="16"/>
  <c r="S317" i="16"/>
  <c r="R317" i="16"/>
  <c r="Q317" i="16"/>
  <c r="P317" i="16"/>
  <c r="O317" i="16"/>
  <c r="N317" i="16"/>
  <c r="M317" i="16"/>
  <c r="L317" i="16"/>
  <c r="K317" i="16"/>
  <c r="J317" i="16"/>
  <c r="I317" i="16"/>
  <c r="H317" i="16"/>
  <c r="G317" i="16"/>
  <c r="F317" i="16"/>
  <c r="E317" i="16"/>
  <c r="D317" i="16"/>
  <c r="C317" i="16"/>
  <c r="B317" i="16"/>
  <c r="AE314" i="16"/>
  <c r="AD314" i="16"/>
  <c r="AC314" i="16"/>
  <c r="AB314" i="16"/>
  <c r="AA314" i="16"/>
  <c r="Z314" i="16"/>
  <c r="Y314" i="16"/>
  <c r="X314" i="16"/>
  <c r="W314" i="16"/>
  <c r="V314" i="16"/>
  <c r="U314" i="16"/>
  <c r="T314" i="16"/>
  <c r="S314" i="16"/>
  <c r="R314" i="16"/>
  <c r="Q314" i="16"/>
  <c r="P314" i="16"/>
  <c r="O314" i="16"/>
  <c r="N314" i="16"/>
  <c r="M314" i="16"/>
  <c r="L314" i="16"/>
  <c r="K314" i="16"/>
  <c r="J314" i="16"/>
  <c r="I314" i="16"/>
  <c r="H314" i="16"/>
  <c r="G314" i="16"/>
  <c r="F314" i="16"/>
  <c r="E314" i="16"/>
  <c r="D314" i="16"/>
  <c r="C314" i="16"/>
  <c r="B314" i="16"/>
  <c r="X306" i="16"/>
  <c r="O306" i="16"/>
  <c r="X305" i="16"/>
  <c r="W305" i="16"/>
  <c r="B305" i="16"/>
  <c r="AE304" i="16"/>
  <c r="X304" i="16"/>
  <c r="W304" i="16"/>
  <c r="B304" i="16"/>
  <c r="AE303" i="16"/>
  <c r="AC303" i="16"/>
  <c r="AB303" i="16"/>
  <c r="X303" i="16"/>
  <c r="W303" i="16"/>
  <c r="Q303" i="16"/>
  <c r="P303" i="16"/>
  <c r="O303" i="16"/>
  <c r="O304" i="16" s="1"/>
  <c r="O305" i="16" s="1"/>
  <c r="M303" i="16"/>
  <c r="M304" i="16" s="1"/>
  <c r="L303" i="16"/>
  <c r="L304" i="16" s="1"/>
  <c r="J303" i="16"/>
  <c r="I303" i="16"/>
  <c r="I304" i="16" s="1"/>
  <c r="B303" i="16"/>
  <c r="AE302" i="16"/>
  <c r="AD302" i="16"/>
  <c r="AC302" i="16"/>
  <c r="AB302" i="16"/>
  <c r="AA302" i="16"/>
  <c r="Z302" i="16"/>
  <c r="Y302" i="16"/>
  <c r="X302" i="16"/>
  <c r="W302" i="16"/>
  <c r="V302" i="16"/>
  <c r="U302" i="16"/>
  <c r="T302" i="16"/>
  <c r="S302" i="16"/>
  <c r="R302" i="16"/>
  <c r="Q302" i="16"/>
  <c r="P302" i="16"/>
  <c r="O302" i="16"/>
  <c r="N302" i="16"/>
  <c r="M302" i="16"/>
  <c r="L302" i="16"/>
  <c r="K302" i="16"/>
  <c r="J302" i="16"/>
  <c r="I302" i="16"/>
  <c r="H302" i="16"/>
  <c r="G302" i="16"/>
  <c r="F302" i="16"/>
  <c r="E302" i="16"/>
  <c r="D302" i="16"/>
  <c r="C302" i="16"/>
  <c r="B302" i="16"/>
  <c r="B298" i="16"/>
  <c r="AB297" i="16"/>
  <c r="F297" i="16"/>
  <c r="AD295" i="16"/>
  <c r="X295" i="16"/>
  <c r="V295" i="16"/>
  <c r="P295" i="16"/>
  <c r="S294" i="16"/>
  <c r="Q294" i="16"/>
  <c r="AC293" i="16"/>
  <c r="X293" i="16"/>
  <c r="V293" i="16"/>
  <c r="Q292" i="16"/>
  <c r="X291" i="16"/>
  <c r="W291" i="16"/>
  <c r="V291" i="16"/>
  <c r="U291" i="16"/>
  <c r="X290" i="16"/>
  <c r="V290" i="16"/>
  <c r="O290" i="16"/>
  <c r="M290" i="16"/>
  <c r="AB289" i="16"/>
  <c r="X288" i="16"/>
  <c r="V288" i="16"/>
  <c r="K287" i="16"/>
  <c r="I287" i="16"/>
  <c r="AE286" i="16"/>
  <c r="AD286" i="16"/>
  <c r="AC286" i="16"/>
  <c r="AB286" i="16"/>
  <c r="AA286" i="16"/>
  <c r="Z286" i="16"/>
  <c r="Y286" i="16"/>
  <c r="X286" i="16"/>
  <c r="W286" i="16"/>
  <c r="V286" i="16"/>
  <c r="U286" i="16"/>
  <c r="T286" i="16"/>
  <c r="S286" i="16"/>
  <c r="R286" i="16"/>
  <c r="Q286" i="16"/>
  <c r="P286" i="16"/>
  <c r="O286" i="16"/>
  <c r="N286" i="16"/>
  <c r="M286" i="16"/>
  <c r="L286" i="16"/>
  <c r="K286" i="16"/>
  <c r="J286" i="16"/>
  <c r="I286" i="16"/>
  <c r="H286" i="16"/>
  <c r="G286" i="16"/>
  <c r="F286" i="16"/>
  <c r="E286" i="16"/>
  <c r="D286" i="16"/>
  <c r="C286" i="16"/>
  <c r="B286" i="16"/>
  <c r="E283" i="16"/>
  <c r="E40" i="16" s="1"/>
  <c r="C283" i="16"/>
  <c r="B283" i="16"/>
  <c r="AC282" i="16"/>
  <c r="AB282" i="16"/>
  <c r="AA282" i="16"/>
  <c r="Z282" i="16"/>
  <c r="Y282" i="16"/>
  <c r="X282" i="16"/>
  <c r="W282" i="16"/>
  <c r="V282" i="16"/>
  <c r="U282" i="16"/>
  <c r="T282" i="16"/>
  <c r="S282" i="16"/>
  <c r="R282" i="16"/>
  <c r="Q282" i="16"/>
  <c r="P282" i="16"/>
  <c r="O282" i="16"/>
  <c r="N282" i="16"/>
  <c r="M282" i="16"/>
  <c r="L282" i="16"/>
  <c r="K282" i="16"/>
  <c r="J282" i="16"/>
  <c r="I282" i="16"/>
  <c r="H282" i="16"/>
  <c r="G282" i="16"/>
  <c r="F282" i="16"/>
  <c r="E282" i="16"/>
  <c r="D282" i="16"/>
  <c r="C282" i="16"/>
  <c r="AC281" i="16"/>
  <c r="AB281" i="16"/>
  <c r="AA281" i="16"/>
  <c r="Z281" i="16"/>
  <c r="Y281" i="16"/>
  <c r="X281" i="16"/>
  <c r="W281" i="16"/>
  <c r="V281" i="16"/>
  <c r="U281" i="16"/>
  <c r="T281" i="16"/>
  <c r="S281" i="16"/>
  <c r="R281" i="16"/>
  <c r="Q281" i="16"/>
  <c r="P281" i="16"/>
  <c r="O281" i="16"/>
  <c r="N281" i="16"/>
  <c r="M281" i="16"/>
  <c r="L281" i="16"/>
  <c r="K281" i="16"/>
  <c r="J281" i="16"/>
  <c r="I281" i="16"/>
  <c r="H281" i="16"/>
  <c r="G281" i="16"/>
  <c r="F281" i="16"/>
  <c r="E281" i="16"/>
  <c r="D281" i="16"/>
  <c r="C281" i="16"/>
  <c r="AC280" i="16"/>
  <c r="AB280" i="16"/>
  <c r="AA280" i="16"/>
  <c r="Z280" i="16"/>
  <c r="Y280" i="16"/>
  <c r="X280" i="16"/>
  <c r="W280" i="16"/>
  <c r="V280" i="16"/>
  <c r="U280" i="16"/>
  <c r="T280" i="16"/>
  <c r="S280" i="16"/>
  <c r="R280" i="16"/>
  <c r="Q280" i="16"/>
  <c r="P280" i="16"/>
  <c r="O280" i="16"/>
  <c r="N280" i="16"/>
  <c r="M280" i="16"/>
  <c r="L280" i="16"/>
  <c r="K280" i="16"/>
  <c r="J280" i="16"/>
  <c r="I280" i="16"/>
  <c r="H280" i="16"/>
  <c r="G280" i="16"/>
  <c r="F280" i="16"/>
  <c r="E280" i="16"/>
  <c r="D280" i="16"/>
  <c r="C280" i="16"/>
  <c r="AC279" i="16"/>
  <c r="AB279" i="16"/>
  <c r="AA279" i="16"/>
  <c r="Z279" i="16"/>
  <c r="Y279" i="16"/>
  <c r="X279" i="16"/>
  <c r="W279" i="16"/>
  <c r="V279" i="16"/>
  <c r="U279" i="16"/>
  <c r="T279" i="16"/>
  <c r="S279" i="16"/>
  <c r="R279" i="16"/>
  <c r="Q279" i="16"/>
  <c r="P279" i="16"/>
  <c r="O279" i="16"/>
  <c r="N279" i="16"/>
  <c r="M279" i="16"/>
  <c r="L279" i="16"/>
  <c r="K279" i="16"/>
  <c r="J279" i="16"/>
  <c r="I279" i="16"/>
  <c r="H279" i="16"/>
  <c r="G279" i="16"/>
  <c r="F279" i="16"/>
  <c r="E279" i="16"/>
  <c r="D279" i="16"/>
  <c r="C279" i="16"/>
  <c r="AC278" i="16"/>
  <c r="AB278" i="16"/>
  <c r="AA278" i="16"/>
  <c r="Z278" i="16"/>
  <c r="Y278" i="16"/>
  <c r="X278" i="16"/>
  <c r="W278" i="16"/>
  <c r="V278" i="16"/>
  <c r="U278" i="16"/>
  <c r="T278" i="16"/>
  <c r="S278" i="16"/>
  <c r="R278" i="16"/>
  <c r="Q278" i="16"/>
  <c r="P278" i="16"/>
  <c r="O278" i="16"/>
  <c r="N278" i="16"/>
  <c r="M278" i="16"/>
  <c r="L278" i="16"/>
  <c r="K278" i="16"/>
  <c r="J278" i="16"/>
  <c r="I278" i="16"/>
  <c r="H278" i="16"/>
  <c r="G278" i="16"/>
  <c r="F278" i="16"/>
  <c r="E278" i="16"/>
  <c r="D278" i="16"/>
  <c r="C278" i="16"/>
  <c r="AC277" i="16"/>
  <c r="AB277" i="16"/>
  <c r="AA277" i="16"/>
  <c r="Z277" i="16"/>
  <c r="Y277" i="16"/>
  <c r="X277" i="16"/>
  <c r="W277" i="16"/>
  <c r="V277" i="16"/>
  <c r="U277" i="16"/>
  <c r="T277" i="16"/>
  <c r="S277" i="16"/>
  <c r="R277" i="16"/>
  <c r="Q277" i="16"/>
  <c r="P277" i="16"/>
  <c r="O277" i="16"/>
  <c r="N277" i="16"/>
  <c r="M277" i="16"/>
  <c r="L277" i="16"/>
  <c r="K277" i="16"/>
  <c r="J277" i="16"/>
  <c r="I277" i="16"/>
  <c r="H277" i="16"/>
  <c r="G277" i="16"/>
  <c r="G283" i="16" s="1"/>
  <c r="G40" i="16" s="1"/>
  <c r="F277" i="16"/>
  <c r="E277" i="16"/>
  <c r="D277" i="16"/>
  <c r="C277" i="16"/>
  <c r="AC276" i="16"/>
  <c r="AB276" i="16"/>
  <c r="AA276" i="16"/>
  <c r="Z276" i="16"/>
  <c r="Y276" i="16"/>
  <c r="X276" i="16"/>
  <c r="W276" i="16"/>
  <c r="V276" i="16"/>
  <c r="U276" i="16"/>
  <c r="T276" i="16"/>
  <c r="S276" i="16"/>
  <c r="R276" i="16"/>
  <c r="Q276" i="16"/>
  <c r="P276" i="16"/>
  <c r="O276" i="16"/>
  <c r="N276" i="16"/>
  <c r="M276" i="16"/>
  <c r="L276" i="16"/>
  <c r="K276" i="16"/>
  <c r="J276" i="16"/>
  <c r="I276" i="16"/>
  <c r="H276" i="16"/>
  <c r="G276" i="16"/>
  <c r="F276" i="16"/>
  <c r="F283" i="16" s="1"/>
  <c r="F40" i="16" s="1"/>
  <c r="E276" i="16"/>
  <c r="D276" i="16"/>
  <c r="C276" i="16"/>
  <c r="AC275" i="16"/>
  <c r="AB275" i="16"/>
  <c r="AA275" i="16"/>
  <c r="Z275" i="16"/>
  <c r="Y275" i="16"/>
  <c r="X275" i="16"/>
  <c r="W275" i="16"/>
  <c r="V275" i="16"/>
  <c r="U275" i="16"/>
  <c r="T275" i="16"/>
  <c r="S275" i="16"/>
  <c r="R275" i="16"/>
  <c r="Q275" i="16"/>
  <c r="P275" i="16"/>
  <c r="O275" i="16"/>
  <c r="N275" i="16"/>
  <c r="M275" i="16"/>
  <c r="L275" i="16"/>
  <c r="K275" i="16"/>
  <c r="J275" i="16"/>
  <c r="I275" i="16"/>
  <c r="H275" i="16"/>
  <c r="G275" i="16"/>
  <c r="F275" i="16"/>
  <c r="E275" i="16"/>
  <c r="D275" i="16"/>
  <c r="C275" i="16"/>
  <c r="AC274" i="16"/>
  <c r="AB274" i="16"/>
  <c r="AA274" i="16"/>
  <c r="Z274" i="16"/>
  <c r="Y274" i="16"/>
  <c r="X274" i="16"/>
  <c r="W274" i="16"/>
  <c r="V274" i="16"/>
  <c r="U274" i="16"/>
  <c r="T274" i="16"/>
  <c r="S274" i="16"/>
  <c r="R274" i="16"/>
  <c r="Q274" i="16"/>
  <c r="P274" i="16"/>
  <c r="O274" i="16"/>
  <c r="N274" i="16"/>
  <c r="M274" i="16"/>
  <c r="L274" i="16"/>
  <c r="K274" i="16"/>
  <c r="J274" i="16"/>
  <c r="I274" i="16"/>
  <c r="H274" i="16"/>
  <c r="G274" i="16"/>
  <c r="F274" i="16"/>
  <c r="E274" i="16"/>
  <c r="D274" i="16"/>
  <c r="D283" i="16" s="1"/>
  <c r="C274" i="16"/>
  <c r="AC273" i="16"/>
  <c r="AB273" i="16"/>
  <c r="AA273" i="16"/>
  <c r="Z273" i="16"/>
  <c r="Y273" i="16"/>
  <c r="X273" i="16"/>
  <c r="W273" i="16"/>
  <c r="V273" i="16"/>
  <c r="U273" i="16"/>
  <c r="T273" i="16"/>
  <c r="S273" i="16"/>
  <c r="R273" i="16"/>
  <c r="Q273" i="16"/>
  <c r="P273" i="16"/>
  <c r="O273" i="16"/>
  <c r="N273" i="16"/>
  <c r="M273" i="16"/>
  <c r="L273" i="16"/>
  <c r="K273" i="16"/>
  <c r="J273" i="16"/>
  <c r="I273" i="16"/>
  <c r="H273" i="16"/>
  <c r="H283" i="16" s="1"/>
  <c r="H40" i="16" s="1"/>
  <c r="G273" i="16"/>
  <c r="F273" i="16"/>
  <c r="E273" i="16"/>
  <c r="D273" i="16"/>
  <c r="AD272" i="16"/>
  <c r="AC272" i="16"/>
  <c r="AB272" i="16"/>
  <c r="AA272" i="16"/>
  <c r="Z272" i="16"/>
  <c r="Y272" i="16"/>
  <c r="X272" i="16"/>
  <c r="W272" i="16"/>
  <c r="V272" i="16"/>
  <c r="U272" i="16"/>
  <c r="T272" i="16"/>
  <c r="S272" i="16"/>
  <c r="R272" i="16"/>
  <c r="Q272" i="16"/>
  <c r="P272" i="16"/>
  <c r="O272" i="16"/>
  <c r="N272" i="16"/>
  <c r="M272" i="16"/>
  <c r="L272" i="16"/>
  <c r="K272" i="16"/>
  <c r="J272" i="16"/>
  <c r="I272" i="16"/>
  <c r="H272" i="16"/>
  <c r="G272" i="16"/>
  <c r="F272" i="16"/>
  <c r="E272" i="16"/>
  <c r="D272" i="16"/>
  <c r="AD271" i="16"/>
  <c r="AC271" i="16"/>
  <c r="AC283" i="16" s="1"/>
  <c r="AB271" i="16"/>
  <c r="AB283" i="16" s="1"/>
  <c r="AB40" i="16" s="1"/>
  <c r="AA271" i="16"/>
  <c r="AA283" i="16" s="1"/>
  <c r="Z271" i="16"/>
  <c r="Y271" i="16"/>
  <c r="X271" i="16"/>
  <c r="W271" i="16"/>
  <c r="V271" i="16"/>
  <c r="V283" i="16" s="1"/>
  <c r="U271" i="16"/>
  <c r="T271" i="16"/>
  <c r="S271" i="16"/>
  <c r="R271" i="16"/>
  <c r="Q271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D271" i="16"/>
  <c r="AE270" i="16"/>
  <c r="AD270" i="16"/>
  <c r="AC270" i="16"/>
  <c r="AB270" i="16"/>
  <c r="AA270" i="16"/>
  <c r="Z270" i="16"/>
  <c r="Y270" i="16"/>
  <c r="X270" i="16"/>
  <c r="W270" i="16"/>
  <c r="V270" i="16"/>
  <c r="U270" i="16"/>
  <c r="T270" i="16"/>
  <c r="S270" i="16"/>
  <c r="R270" i="16"/>
  <c r="Q270" i="16"/>
  <c r="P270" i="16"/>
  <c r="O270" i="16"/>
  <c r="N270" i="16"/>
  <c r="M270" i="16"/>
  <c r="L270" i="16"/>
  <c r="K270" i="16"/>
  <c r="J270" i="16"/>
  <c r="I270" i="16"/>
  <c r="H270" i="16"/>
  <c r="G270" i="16"/>
  <c r="F270" i="16"/>
  <c r="E270" i="16"/>
  <c r="D270" i="16"/>
  <c r="C270" i="16"/>
  <c r="B270" i="16"/>
  <c r="AE267" i="16"/>
  <c r="AD267" i="16"/>
  <c r="C267" i="16"/>
  <c r="B267" i="16"/>
  <c r="AC266" i="16"/>
  <c r="AB266" i="16"/>
  <c r="AA266" i="16"/>
  <c r="Z266" i="16"/>
  <c r="Y266" i="16"/>
  <c r="X266" i="16"/>
  <c r="W266" i="16"/>
  <c r="V266" i="16"/>
  <c r="U266" i="16"/>
  <c r="T266" i="16"/>
  <c r="S266" i="16"/>
  <c r="R266" i="16"/>
  <c r="Q266" i="16"/>
  <c r="P266" i="16"/>
  <c r="O266" i="16"/>
  <c r="N266" i="16"/>
  <c r="M266" i="16"/>
  <c r="L266" i="16"/>
  <c r="K266" i="16"/>
  <c r="J266" i="16"/>
  <c r="I266" i="16"/>
  <c r="H266" i="16"/>
  <c r="G266" i="16"/>
  <c r="F266" i="16"/>
  <c r="E266" i="16"/>
  <c r="D266" i="16"/>
  <c r="C266" i="16"/>
  <c r="AC265" i="16"/>
  <c r="AB265" i="16"/>
  <c r="AA265" i="16"/>
  <c r="Z265" i="16"/>
  <c r="Y265" i="16"/>
  <c r="X265" i="16"/>
  <c r="W265" i="16"/>
  <c r="V265" i="16"/>
  <c r="U265" i="16"/>
  <c r="T265" i="16"/>
  <c r="S265" i="16"/>
  <c r="R265" i="16"/>
  <c r="Q265" i="16"/>
  <c r="P265" i="16"/>
  <c r="O265" i="16"/>
  <c r="N265" i="16"/>
  <c r="M265" i="16"/>
  <c r="L265" i="16"/>
  <c r="K265" i="16"/>
  <c r="J265" i="16"/>
  <c r="I265" i="16"/>
  <c r="H265" i="16"/>
  <c r="G265" i="16"/>
  <c r="F265" i="16"/>
  <c r="E265" i="16"/>
  <c r="D265" i="16"/>
  <c r="C265" i="16"/>
  <c r="AC264" i="16"/>
  <c r="AB264" i="16"/>
  <c r="AA264" i="16"/>
  <c r="Z264" i="16"/>
  <c r="Y264" i="16"/>
  <c r="X264" i="16"/>
  <c r="W264" i="16"/>
  <c r="V264" i="16"/>
  <c r="U264" i="16"/>
  <c r="T264" i="16"/>
  <c r="S264" i="16"/>
  <c r="R264" i="16"/>
  <c r="Q264" i="16"/>
  <c r="P264" i="16"/>
  <c r="O264" i="16"/>
  <c r="N264" i="16"/>
  <c r="M264" i="16"/>
  <c r="L264" i="16"/>
  <c r="K264" i="16"/>
  <c r="J264" i="16"/>
  <c r="I264" i="16"/>
  <c r="H264" i="16"/>
  <c r="G264" i="16"/>
  <c r="F264" i="16"/>
  <c r="E264" i="16"/>
  <c r="D264" i="16"/>
  <c r="C264" i="16"/>
  <c r="AC263" i="16"/>
  <c r="AB263" i="16"/>
  <c r="AA263" i="16"/>
  <c r="Z263" i="16"/>
  <c r="Y263" i="16"/>
  <c r="X263" i="16"/>
  <c r="W263" i="16"/>
  <c r="V263" i="16"/>
  <c r="U263" i="16"/>
  <c r="T263" i="16"/>
  <c r="S263" i="16"/>
  <c r="R263" i="16"/>
  <c r="Q263" i="16"/>
  <c r="P263" i="16"/>
  <c r="O263" i="16"/>
  <c r="N263" i="16"/>
  <c r="M263" i="16"/>
  <c r="L263" i="16"/>
  <c r="K263" i="16"/>
  <c r="J263" i="16"/>
  <c r="I263" i="16"/>
  <c r="H263" i="16"/>
  <c r="G263" i="16"/>
  <c r="F263" i="16"/>
  <c r="E263" i="16"/>
  <c r="D263" i="16"/>
  <c r="C263" i="16"/>
  <c r="AC262" i="16"/>
  <c r="AB262" i="16"/>
  <c r="AA262" i="16"/>
  <c r="Z262" i="16"/>
  <c r="Y262" i="16"/>
  <c r="X262" i="16"/>
  <c r="W262" i="16"/>
  <c r="V262" i="16"/>
  <c r="U262" i="16"/>
  <c r="T262" i="16"/>
  <c r="S262" i="16"/>
  <c r="R262" i="16"/>
  <c r="Q262" i="16"/>
  <c r="P262" i="16"/>
  <c r="O262" i="16"/>
  <c r="N262" i="16"/>
  <c r="M262" i="16"/>
  <c r="L262" i="16"/>
  <c r="K262" i="16"/>
  <c r="J262" i="16"/>
  <c r="I262" i="16"/>
  <c r="H262" i="16"/>
  <c r="G262" i="16"/>
  <c r="F262" i="16"/>
  <c r="E262" i="16"/>
  <c r="D262" i="16"/>
  <c r="C262" i="16"/>
  <c r="AC261" i="16"/>
  <c r="AB261" i="16"/>
  <c r="AA261" i="16"/>
  <c r="Z261" i="16"/>
  <c r="Y261" i="16"/>
  <c r="X261" i="16"/>
  <c r="W261" i="16"/>
  <c r="V261" i="16"/>
  <c r="U261" i="16"/>
  <c r="T261" i="16"/>
  <c r="S261" i="16"/>
  <c r="R261" i="16"/>
  <c r="Q261" i="16"/>
  <c r="P261" i="16"/>
  <c r="O261" i="16"/>
  <c r="N261" i="16"/>
  <c r="M261" i="16"/>
  <c r="L261" i="16"/>
  <c r="K261" i="16"/>
  <c r="J261" i="16"/>
  <c r="I261" i="16"/>
  <c r="H261" i="16"/>
  <c r="G261" i="16"/>
  <c r="F261" i="16"/>
  <c r="E261" i="16"/>
  <c r="D261" i="16"/>
  <c r="C261" i="16"/>
  <c r="AC260" i="16"/>
  <c r="AB260" i="16"/>
  <c r="AA260" i="16"/>
  <c r="Z260" i="16"/>
  <c r="Y260" i="16"/>
  <c r="X260" i="16"/>
  <c r="W260" i="16"/>
  <c r="V260" i="16"/>
  <c r="U260" i="16"/>
  <c r="T260" i="16"/>
  <c r="S260" i="16"/>
  <c r="R260" i="16"/>
  <c r="Q260" i="16"/>
  <c r="P260" i="16"/>
  <c r="O260" i="16"/>
  <c r="N260" i="16"/>
  <c r="M260" i="16"/>
  <c r="L260" i="16"/>
  <c r="K260" i="16"/>
  <c r="J260" i="16"/>
  <c r="I260" i="16"/>
  <c r="H260" i="16"/>
  <c r="G260" i="16"/>
  <c r="F260" i="16"/>
  <c r="E260" i="16"/>
  <c r="D260" i="16"/>
  <c r="C260" i="16"/>
  <c r="AC259" i="16"/>
  <c r="AB259" i="16"/>
  <c r="AA259" i="16"/>
  <c r="Z259" i="16"/>
  <c r="Y259" i="16"/>
  <c r="X259" i="16"/>
  <c r="W259" i="16"/>
  <c r="V259" i="16"/>
  <c r="U259" i="16"/>
  <c r="T259" i="16"/>
  <c r="S259" i="16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D259" i="16"/>
  <c r="C259" i="16"/>
  <c r="AC258" i="16"/>
  <c r="AB258" i="16"/>
  <c r="AA258" i="16"/>
  <c r="Z258" i="16"/>
  <c r="Y258" i="16"/>
  <c r="X258" i="16"/>
  <c r="W258" i="16"/>
  <c r="V258" i="16"/>
  <c r="U258" i="16"/>
  <c r="T258" i="16"/>
  <c r="S258" i="16"/>
  <c r="R258" i="16"/>
  <c r="Q258" i="16"/>
  <c r="P258" i="16"/>
  <c r="O258" i="16"/>
  <c r="N258" i="16"/>
  <c r="M258" i="16"/>
  <c r="L258" i="16"/>
  <c r="K258" i="16"/>
  <c r="J258" i="16"/>
  <c r="I258" i="16"/>
  <c r="H258" i="16"/>
  <c r="G258" i="16"/>
  <c r="F258" i="16"/>
  <c r="E258" i="16"/>
  <c r="D258" i="16"/>
  <c r="C258" i="16"/>
  <c r="AD257" i="16"/>
  <c r="AC257" i="16"/>
  <c r="AB257" i="16"/>
  <c r="AA257" i="16"/>
  <c r="Z257" i="16"/>
  <c r="Y257" i="16"/>
  <c r="X257" i="16"/>
  <c r="W257" i="16"/>
  <c r="V257" i="16"/>
  <c r="U257" i="16"/>
  <c r="T257" i="16"/>
  <c r="S257" i="16"/>
  <c r="R257" i="16"/>
  <c r="Q257" i="16"/>
  <c r="P257" i="16"/>
  <c r="O257" i="16"/>
  <c r="N257" i="16"/>
  <c r="M257" i="16"/>
  <c r="L257" i="16"/>
  <c r="K257" i="16"/>
  <c r="J257" i="16"/>
  <c r="I257" i="16"/>
  <c r="H257" i="16"/>
  <c r="G257" i="16"/>
  <c r="F257" i="16"/>
  <c r="E257" i="16"/>
  <c r="D257" i="16"/>
  <c r="AD256" i="16"/>
  <c r="AC256" i="16"/>
  <c r="AB256" i="16"/>
  <c r="AA256" i="16"/>
  <c r="Z256" i="16"/>
  <c r="Y256" i="16"/>
  <c r="X256" i="16"/>
  <c r="W256" i="16"/>
  <c r="V256" i="16"/>
  <c r="U256" i="16"/>
  <c r="T256" i="16"/>
  <c r="S256" i="16"/>
  <c r="R256" i="16"/>
  <c r="Q256" i="16"/>
  <c r="P256" i="16"/>
  <c r="O256" i="16"/>
  <c r="N256" i="16"/>
  <c r="M256" i="16"/>
  <c r="L256" i="16"/>
  <c r="K256" i="16"/>
  <c r="J256" i="16"/>
  <c r="I256" i="16"/>
  <c r="H256" i="16"/>
  <c r="G256" i="16"/>
  <c r="F256" i="16"/>
  <c r="E256" i="16"/>
  <c r="D256" i="16"/>
  <c r="AD255" i="16"/>
  <c r="AC255" i="16"/>
  <c r="AC267" i="16" s="1"/>
  <c r="AB255" i="16"/>
  <c r="AA255" i="16"/>
  <c r="Z255" i="16"/>
  <c r="Y255" i="16"/>
  <c r="X255" i="16"/>
  <c r="W255" i="16"/>
  <c r="V255" i="16"/>
  <c r="U255" i="16"/>
  <c r="T255" i="16"/>
  <c r="S255" i="16"/>
  <c r="R255" i="16"/>
  <c r="Q255" i="16"/>
  <c r="P255" i="16"/>
  <c r="O255" i="16"/>
  <c r="N255" i="16"/>
  <c r="M255" i="16"/>
  <c r="L255" i="16"/>
  <c r="K255" i="16"/>
  <c r="J255" i="16"/>
  <c r="I255" i="16"/>
  <c r="H255" i="16"/>
  <c r="G255" i="16"/>
  <c r="G267" i="16" s="1"/>
  <c r="G34" i="16" s="1"/>
  <c r="F255" i="16"/>
  <c r="E255" i="16"/>
  <c r="D255" i="16"/>
  <c r="AE254" i="16"/>
  <c r="AD254" i="16"/>
  <c r="AC254" i="16"/>
  <c r="AB254" i="16"/>
  <c r="AA254" i="16"/>
  <c r="Z254" i="16"/>
  <c r="Y254" i="16"/>
  <c r="X254" i="16"/>
  <c r="W254" i="16"/>
  <c r="V254" i="16"/>
  <c r="U254" i="16"/>
  <c r="T254" i="16"/>
  <c r="S254" i="16"/>
  <c r="R254" i="16"/>
  <c r="Q254" i="16"/>
  <c r="P254" i="16"/>
  <c r="O254" i="16"/>
  <c r="N254" i="16"/>
  <c r="M254" i="16"/>
  <c r="L254" i="16"/>
  <c r="K254" i="16"/>
  <c r="J254" i="16"/>
  <c r="I254" i="16"/>
  <c r="H254" i="16"/>
  <c r="G254" i="16"/>
  <c r="F254" i="16"/>
  <c r="E254" i="16"/>
  <c r="D254" i="16"/>
  <c r="C254" i="16"/>
  <c r="B254" i="16"/>
  <c r="Z251" i="16"/>
  <c r="Y251" i="16"/>
  <c r="X251" i="16"/>
  <c r="W251" i="16"/>
  <c r="V251" i="16"/>
  <c r="U251" i="16"/>
  <c r="T251" i="16"/>
  <c r="S251" i="16"/>
  <c r="R251" i="16"/>
  <c r="Q251" i="16"/>
  <c r="P251" i="16"/>
  <c r="O251" i="16"/>
  <c r="N251" i="16"/>
  <c r="M251" i="16"/>
  <c r="L251" i="16"/>
  <c r="K251" i="16"/>
  <c r="J251" i="16"/>
  <c r="I251" i="16"/>
  <c r="H251" i="16"/>
  <c r="G251" i="16"/>
  <c r="F251" i="16"/>
  <c r="E251" i="16"/>
  <c r="D251" i="16"/>
  <c r="C251" i="16"/>
  <c r="B251" i="16"/>
  <c r="AE238" i="16"/>
  <c r="AD238" i="16"/>
  <c r="AC238" i="16"/>
  <c r="AB238" i="16"/>
  <c r="AA238" i="16"/>
  <c r="Z238" i="16"/>
  <c r="Y238" i="16"/>
  <c r="X238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AE235" i="16"/>
  <c r="AE222" i="16"/>
  <c r="AD222" i="16"/>
  <c r="AC222" i="16"/>
  <c r="AB222" i="16"/>
  <c r="AA222" i="16"/>
  <c r="Z222" i="16"/>
  <c r="Y222" i="16"/>
  <c r="X222" i="16"/>
  <c r="W222" i="16"/>
  <c r="V222" i="16"/>
  <c r="U222" i="16"/>
  <c r="T222" i="16"/>
  <c r="S222" i="16"/>
  <c r="R222" i="16"/>
  <c r="Q222" i="16"/>
  <c r="P222" i="16"/>
  <c r="O222" i="16"/>
  <c r="N222" i="16"/>
  <c r="M222" i="16"/>
  <c r="L222" i="16"/>
  <c r="K222" i="16"/>
  <c r="J222" i="16"/>
  <c r="I222" i="16"/>
  <c r="H222" i="16"/>
  <c r="G222" i="16"/>
  <c r="F222" i="16"/>
  <c r="E222" i="16"/>
  <c r="D222" i="16"/>
  <c r="C222" i="16"/>
  <c r="B222" i="16"/>
  <c r="AE206" i="16"/>
  <c r="AD206" i="16"/>
  <c r="AC206" i="16"/>
  <c r="AB206" i="16"/>
  <c r="AA206" i="16"/>
  <c r="Z206" i="16"/>
  <c r="Y206" i="16"/>
  <c r="X206" i="16"/>
  <c r="W206" i="16"/>
  <c r="V206" i="16"/>
  <c r="U206" i="16"/>
  <c r="T206" i="16"/>
  <c r="S206" i="16"/>
  <c r="R206" i="16"/>
  <c r="Q206" i="16"/>
  <c r="P206" i="16"/>
  <c r="O206" i="16"/>
  <c r="N206" i="16"/>
  <c r="M206" i="16"/>
  <c r="L206" i="16"/>
  <c r="K206" i="16"/>
  <c r="J206" i="16"/>
  <c r="I206" i="16"/>
  <c r="H206" i="16"/>
  <c r="G206" i="16"/>
  <c r="F206" i="16"/>
  <c r="E206" i="16"/>
  <c r="D206" i="16"/>
  <c r="C206" i="16"/>
  <c r="B206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C190" i="16"/>
  <c r="B190" i="16"/>
  <c r="AE187" i="16"/>
  <c r="AD187" i="16"/>
  <c r="AC187" i="16"/>
  <c r="AB187" i="16"/>
  <c r="AA187" i="16"/>
  <c r="Z187" i="16"/>
  <c r="Y187" i="16"/>
  <c r="X187" i="16"/>
  <c r="W187" i="16"/>
  <c r="V187" i="16"/>
  <c r="U187" i="16"/>
  <c r="T187" i="16"/>
  <c r="S187" i="16"/>
  <c r="R187" i="16"/>
  <c r="Q187" i="16"/>
  <c r="P187" i="16"/>
  <c r="O187" i="16"/>
  <c r="N187" i="16"/>
  <c r="M187" i="16"/>
  <c r="N176" i="16" s="1"/>
  <c r="L187" i="16"/>
  <c r="K187" i="16"/>
  <c r="J187" i="16"/>
  <c r="I187" i="16"/>
  <c r="H187" i="16"/>
  <c r="G187" i="16"/>
  <c r="F187" i="16"/>
  <c r="E187" i="16"/>
  <c r="D187" i="16"/>
  <c r="C187" i="16"/>
  <c r="B187" i="16"/>
  <c r="M177" i="16"/>
  <c r="J177" i="16"/>
  <c r="J178" i="16" s="1"/>
  <c r="AA176" i="16"/>
  <c r="Z176" i="16"/>
  <c r="Y176" i="16"/>
  <c r="X176" i="16"/>
  <c r="W176" i="16"/>
  <c r="V176" i="16"/>
  <c r="U176" i="16"/>
  <c r="T176" i="16"/>
  <c r="M176" i="16"/>
  <c r="K176" i="16"/>
  <c r="K177" i="16" s="1"/>
  <c r="J176" i="16"/>
  <c r="F176" i="16"/>
  <c r="E176" i="16"/>
  <c r="D176" i="16"/>
  <c r="C176" i="16"/>
  <c r="B176" i="16"/>
  <c r="AE175" i="16"/>
  <c r="AD175" i="16"/>
  <c r="AC175" i="16"/>
  <c r="AB175" i="16"/>
  <c r="AA175" i="16"/>
  <c r="Z175" i="16"/>
  <c r="Y175" i="16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D175" i="16"/>
  <c r="C175" i="16"/>
  <c r="B175" i="16"/>
  <c r="AE159" i="16"/>
  <c r="AD159" i="16"/>
  <c r="AC159" i="16"/>
  <c r="AB159" i="16"/>
  <c r="AA159" i="16"/>
  <c r="Z159" i="16"/>
  <c r="Y159" i="16"/>
  <c r="X159" i="16"/>
  <c r="W159" i="16"/>
  <c r="V159" i="16"/>
  <c r="U159" i="16"/>
  <c r="T159" i="16"/>
  <c r="S159" i="16"/>
  <c r="R159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C159" i="16"/>
  <c r="B159" i="16"/>
  <c r="AE156" i="16"/>
  <c r="AD156" i="16"/>
  <c r="C156" i="16"/>
  <c r="B156" i="16"/>
  <c r="AC155" i="16"/>
  <c r="AB155" i="16"/>
  <c r="AA155" i="16"/>
  <c r="Z155" i="16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AC154" i="16"/>
  <c r="AB154" i="16"/>
  <c r="AA154" i="16"/>
  <c r="Z154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AC153" i="16"/>
  <c r="AB153" i="16"/>
  <c r="AA153" i="16"/>
  <c r="Z153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AC152" i="16"/>
  <c r="AB152" i="16"/>
  <c r="AA152" i="16"/>
  <c r="Z152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AC151" i="16"/>
  <c r="AB151" i="16"/>
  <c r="AA151" i="16"/>
  <c r="Z151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AC150" i="16"/>
  <c r="AB150" i="16"/>
  <c r="AA150" i="16"/>
  <c r="Z150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AC149" i="16"/>
  <c r="AB149" i="16"/>
  <c r="AA149" i="16"/>
  <c r="Z149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AC148" i="16"/>
  <c r="AB148" i="16"/>
  <c r="AA148" i="16"/>
  <c r="Z148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AC147" i="16"/>
  <c r="AB147" i="16"/>
  <c r="AA147" i="16"/>
  <c r="Z147" i="16"/>
  <c r="Y147" i="16"/>
  <c r="X147" i="16"/>
  <c r="W147" i="16"/>
  <c r="V147" i="16"/>
  <c r="U147" i="16"/>
  <c r="T147" i="16"/>
  <c r="S147" i="16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AC146" i="16"/>
  <c r="AB146" i="16"/>
  <c r="AA146" i="16"/>
  <c r="Z146" i="16"/>
  <c r="Y146" i="16"/>
  <c r="X146" i="16"/>
  <c r="W146" i="16"/>
  <c r="V146" i="16"/>
  <c r="U146" i="16"/>
  <c r="T146" i="16"/>
  <c r="S146" i="16"/>
  <c r="R146" i="16"/>
  <c r="Q146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AD145" i="16"/>
  <c r="AC145" i="16"/>
  <c r="AB145" i="16"/>
  <c r="AA145" i="16"/>
  <c r="Z145" i="16"/>
  <c r="Y145" i="16"/>
  <c r="X145" i="16"/>
  <c r="W145" i="16"/>
  <c r="V145" i="16"/>
  <c r="U145" i="16"/>
  <c r="T145" i="16"/>
  <c r="S145" i="16"/>
  <c r="R145" i="16"/>
  <c r="Q145" i="16"/>
  <c r="P145" i="16"/>
  <c r="O145" i="16"/>
  <c r="O156" i="16" s="1"/>
  <c r="O27" i="16" s="1"/>
  <c r="N145" i="16"/>
  <c r="M145" i="16"/>
  <c r="L145" i="16"/>
  <c r="L156" i="16" s="1"/>
  <c r="L27" i="16" s="1"/>
  <c r="K145" i="16"/>
  <c r="K156" i="16" s="1"/>
  <c r="K27" i="16" s="1"/>
  <c r="J145" i="16"/>
  <c r="I145" i="16"/>
  <c r="H145" i="16"/>
  <c r="G145" i="16"/>
  <c r="F145" i="16"/>
  <c r="E145" i="16"/>
  <c r="D145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R156" i="16" s="1"/>
  <c r="R27" i="16" s="1"/>
  <c r="Q144" i="16"/>
  <c r="Q156" i="16" s="1"/>
  <c r="Q27" i="16" s="1"/>
  <c r="P144" i="16"/>
  <c r="P156" i="16" s="1"/>
  <c r="P27" i="16" s="1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AE140" i="16"/>
  <c r="AD140" i="16"/>
  <c r="T140" i="16"/>
  <c r="T24" i="16" s="1"/>
  <c r="P140" i="16"/>
  <c r="P24" i="16" s="1"/>
  <c r="C140" i="16"/>
  <c r="B140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D140" i="16" s="1"/>
  <c r="C138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AC136" i="16"/>
  <c r="AB136" i="16"/>
  <c r="AA136" i="16"/>
  <c r="Z136" i="16"/>
  <c r="Y136" i="16"/>
  <c r="X136" i="16"/>
  <c r="W136" i="16"/>
  <c r="V136" i="16"/>
  <c r="U136" i="16"/>
  <c r="T136" i="16"/>
  <c r="S136" i="16"/>
  <c r="R136" i="16"/>
  <c r="Q136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C136" i="16"/>
  <c r="AC135" i="16"/>
  <c r="AB135" i="16"/>
  <c r="AA135" i="16"/>
  <c r="Z135" i="16"/>
  <c r="Y135" i="16"/>
  <c r="X135" i="16"/>
  <c r="W135" i="16"/>
  <c r="V135" i="16"/>
  <c r="U135" i="16"/>
  <c r="T135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C135" i="16"/>
  <c r="AC134" i="16"/>
  <c r="AB134" i="16"/>
  <c r="AA134" i="16"/>
  <c r="Z134" i="16"/>
  <c r="Y134" i="16"/>
  <c r="X134" i="16"/>
  <c r="W134" i="16"/>
  <c r="V134" i="16"/>
  <c r="U134" i="16"/>
  <c r="T134" i="16"/>
  <c r="S134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Q140" i="16" s="1"/>
  <c r="Q24" i="16" s="1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F140" i="16" s="1"/>
  <c r="F24" i="16" s="1"/>
  <c r="E129" i="16"/>
  <c r="D129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N140" i="16" s="1"/>
  <c r="N24" i="16" s="1"/>
  <c r="M128" i="16"/>
  <c r="L128" i="16"/>
  <c r="K128" i="16"/>
  <c r="J128" i="16"/>
  <c r="I128" i="16"/>
  <c r="H128" i="16"/>
  <c r="G128" i="16"/>
  <c r="F128" i="16"/>
  <c r="E128" i="16"/>
  <c r="D128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AB124" i="16"/>
  <c r="AA124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AE92" i="16"/>
  <c r="AD92" i="16"/>
  <c r="AC92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B79" i="16"/>
  <c r="AE76" i="16"/>
  <c r="AD76" i="16"/>
  <c r="J76" i="16"/>
  <c r="F76" i="16"/>
  <c r="F13" i="16" s="1"/>
  <c r="C76" i="16"/>
  <c r="B76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AC69" i="16"/>
  <c r="AB69" i="16"/>
  <c r="AA69" i="16"/>
  <c r="Z69" i="16"/>
  <c r="Y69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H76" i="16" s="1"/>
  <c r="H13" i="16" s="1"/>
  <c r="G68" i="16"/>
  <c r="G76" i="16" s="1"/>
  <c r="G13" i="16" s="1"/>
  <c r="F68" i="16"/>
  <c r="E68" i="16"/>
  <c r="D68" i="16"/>
  <c r="C68" i="16"/>
  <c r="AC67" i="16"/>
  <c r="AB67" i="16"/>
  <c r="AA67" i="16"/>
  <c r="Z67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L76" i="16" s="1"/>
  <c r="L13" i="16" s="1"/>
  <c r="K67" i="16"/>
  <c r="J67" i="16"/>
  <c r="I67" i="16"/>
  <c r="H67" i="16"/>
  <c r="G67" i="16"/>
  <c r="F67" i="16"/>
  <c r="E67" i="16"/>
  <c r="D67" i="16"/>
  <c r="C67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I76" i="16" s="1"/>
  <c r="I13" i="16" s="1"/>
  <c r="H66" i="16"/>
  <c r="G66" i="16"/>
  <c r="F66" i="16"/>
  <c r="E66" i="16"/>
  <c r="D66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R76" i="16" s="1"/>
  <c r="Q65" i="16"/>
  <c r="P65" i="16"/>
  <c r="P76" i="16" s="1"/>
  <c r="P13" i="16" s="1"/>
  <c r="O65" i="16"/>
  <c r="O76" i="16" s="1"/>
  <c r="O13" i="16" s="1"/>
  <c r="N65" i="16"/>
  <c r="M65" i="16"/>
  <c r="L65" i="16"/>
  <c r="K65" i="16"/>
  <c r="J65" i="16"/>
  <c r="I65" i="16"/>
  <c r="H65" i="16"/>
  <c r="G65" i="16"/>
  <c r="F65" i="16"/>
  <c r="E65" i="16"/>
  <c r="D65" i="16"/>
  <c r="AD64" i="16"/>
  <c r="AC64" i="16"/>
  <c r="AC76" i="16" s="1"/>
  <c r="AB64" i="16"/>
  <c r="AA64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AE60" i="16"/>
  <c r="AD60" i="16"/>
  <c r="C60" i="16"/>
  <c r="B60" i="16"/>
  <c r="AC59" i="16"/>
  <c r="AB59" i="16"/>
  <c r="AA59" i="16"/>
  <c r="Z59" i="16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AC57" i="16"/>
  <c r="AB57" i="16"/>
  <c r="AA57" i="16"/>
  <c r="Z57" i="16"/>
  <c r="Y57" i="16"/>
  <c r="X57" i="16"/>
  <c r="W57" i="16"/>
  <c r="V57" i="16"/>
  <c r="U57" i="16"/>
  <c r="T57" i="16"/>
  <c r="S57" i="16"/>
  <c r="R57" i="16"/>
  <c r="Q57" i="16"/>
  <c r="P57" i="16"/>
  <c r="P60" i="16" s="1"/>
  <c r="P10" i="16" s="1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AC56" i="16"/>
  <c r="AB56" i="16"/>
  <c r="AA56" i="16"/>
  <c r="Z56" i="16"/>
  <c r="Y56" i="16"/>
  <c r="X56" i="16"/>
  <c r="W56" i="16"/>
  <c r="V56" i="16"/>
  <c r="V60" i="16" s="1"/>
  <c r="V10" i="16" s="1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L60" i="16" s="1"/>
  <c r="K54" i="16"/>
  <c r="J54" i="16"/>
  <c r="I54" i="16"/>
  <c r="H54" i="16"/>
  <c r="G54" i="16"/>
  <c r="F54" i="16"/>
  <c r="E54" i="16"/>
  <c r="D54" i="16"/>
  <c r="C54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AC51" i="16"/>
  <c r="AB51" i="16"/>
  <c r="AA51" i="16"/>
  <c r="Z51" i="16"/>
  <c r="Z60" i="16" s="1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AD48" i="16"/>
  <c r="AC48" i="16"/>
  <c r="AB48" i="16"/>
  <c r="AA48" i="16"/>
  <c r="AA60" i="16" s="1"/>
  <c r="AA10" i="16" s="1"/>
  <c r="AA11" i="16" s="1"/>
  <c r="AA16" i="16" s="1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A40" i="16"/>
  <c r="V40" i="16"/>
  <c r="D40" i="16"/>
  <c r="AE36" i="16"/>
  <c r="AE299" i="16" s="1"/>
  <c r="AD36" i="16"/>
  <c r="AD299" i="16" s="1"/>
  <c r="AC36" i="16"/>
  <c r="AC299" i="16" s="1"/>
  <c r="AC297" i="16" s="1"/>
  <c r="AB36" i="16"/>
  <c r="AB299" i="16" s="1"/>
  <c r="AA36" i="16"/>
  <c r="AA299" i="16" s="1"/>
  <c r="Z36" i="16"/>
  <c r="Z299" i="16" s="1"/>
  <c r="Y36" i="16"/>
  <c r="Y299" i="16" s="1"/>
  <c r="X36" i="16"/>
  <c r="X299" i="16" s="1"/>
  <c r="X294" i="16" s="1"/>
  <c r="W36" i="16"/>
  <c r="W299" i="16" s="1"/>
  <c r="W290" i="16" s="1"/>
  <c r="V36" i="16"/>
  <c r="V299" i="16" s="1"/>
  <c r="V294" i="16" s="1"/>
  <c r="U36" i="16"/>
  <c r="U299" i="16" s="1"/>
  <c r="T36" i="16"/>
  <c r="T299" i="16" s="1"/>
  <c r="S36" i="16"/>
  <c r="S299" i="16" s="1"/>
  <c r="S288" i="16" s="1"/>
  <c r="R36" i="16"/>
  <c r="R299" i="16" s="1"/>
  <c r="Q36" i="16"/>
  <c r="Q299" i="16" s="1"/>
  <c r="P36" i="16"/>
  <c r="P299" i="16" s="1"/>
  <c r="P287" i="16" s="1"/>
  <c r="P207" i="16" s="1"/>
  <c r="O36" i="16"/>
  <c r="O299" i="16" s="1"/>
  <c r="N36" i="16"/>
  <c r="N299" i="16" s="1"/>
  <c r="N290" i="16" s="1"/>
  <c r="M36" i="16"/>
  <c r="M299" i="16" s="1"/>
  <c r="L36" i="16"/>
  <c r="L299" i="16" s="1"/>
  <c r="K36" i="16"/>
  <c r="K299" i="16" s="1"/>
  <c r="J36" i="16"/>
  <c r="J299" i="16" s="1"/>
  <c r="J287" i="16" s="1"/>
  <c r="I36" i="16"/>
  <c r="I299" i="16" s="1"/>
  <c r="H36" i="16"/>
  <c r="H299" i="16" s="1"/>
  <c r="G36" i="16"/>
  <c r="G299" i="16" s="1"/>
  <c r="F36" i="16"/>
  <c r="F299" i="16" s="1"/>
  <c r="E36" i="16"/>
  <c r="E299" i="16" s="1"/>
  <c r="D36" i="16"/>
  <c r="D299" i="16" s="1"/>
  <c r="C36" i="16"/>
  <c r="C299" i="16" s="1"/>
  <c r="B36" i="16"/>
  <c r="B299" i="16" s="1"/>
  <c r="B297" i="16" s="1"/>
  <c r="AE33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D24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C16" i="16"/>
  <c r="B16" i="16"/>
  <c r="Y14" i="16"/>
  <c r="X14" i="16"/>
  <c r="W14" i="16"/>
  <c r="V14" i="16"/>
  <c r="U14" i="16"/>
  <c r="T14" i="16"/>
  <c r="S14" i="16"/>
  <c r="R14" i="16"/>
  <c r="P14" i="16"/>
  <c r="O14" i="16"/>
  <c r="J14" i="16"/>
  <c r="I14" i="16"/>
  <c r="E14" i="16"/>
  <c r="D14" i="16"/>
  <c r="R13" i="16"/>
  <c r="J13" i="16"/>
  <c r="AD11" i="16"/>
  <c r="AD16" i="16" s="1"/>
  <c r="AC11" i="16"/>
  <c r="AC16" i="16" s="1"/>
  <c r="B11" i="16"/>
  <c r="Z10" i="16"/>
  <c r="L10" i="16"/>
  <c r="L11" i="16" s="1"/>
  <c r="L16" i="16" s="1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C11" i="16" s="1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S6" i="16"/>
  <c r="P6" i="16"/>
  <c r="N6" i="16"/>
  <c r="M6" i="16"/>
  <c r="L6" i="16"/>
  <c r="K6" i="16"/>
  <c r="J6" i="16"/>
  <c r="I6" i="16"/>
  <c r="H6" i="16"/>
  <c r="G6" i="16"/>
  <c r="F6" i="16"/>
  <c r="D6" i="16"/>
  <c r="AE5" i="16"/>
  <c r="AF5" i="16" s="1"/>
  <c r="Z4" i="16"/>
  <c r="Z6" i="16" s="1"/>
  <c r="Y4" i="16"/>
  <c r="Y6" i="16" s="1"/>
  <c r="X4" i="16"/>
  <c r="X6" i="16" s="1"/>
  <c r="W4" i="16"/>
  <c r="W6" i="16" s="1"/>
  <c r="V4" i="16"/>
  <c r="V6" i="16" s="1"/>
  <c r="U4" i="16"/>
  <c r="U6" i="16" s="1"/>
  <c r="T4" i="16"/>
  <c r="T6" i="16" s="1"/>
  <c r="S4" i="16"/>
  <c r="R4" i="16"/>
  <c r="Q14" i="16" s="1"/>
  <c r="Q4" i="16"/>
  <c r="Q6" i="16" s="1"/>
  <c r="P4" i="16"/>
  <c r="O4" i="16"/>
  <c r="N14" i="16" s="1"/>
  <c r="N4" i="16"/>
  <c r="M14" i="16" s="1"/>
  <c r="M4" i="16"/>
  <c r="L14" i="16" s="1"/>
  <c r="L4" i="16"/>
  <c r="K14" i="16" s="1"/>
  <c r="K4" i="16"/>
  <c r="J4" i="16"/>
  <c r="I4" i="16"/>
  <c r="H14" i="16" s="1"/>
  <c r="H4" i="16"/>
  <c r="G14" i="16" s="1"/>
  <c r="G4" i="16"/>
  <c r="F4" i="16"/>
  <c r="E4" i="16"/>
  <c r="E6" i="16" s="1"/>
  <c r="D4" i="16"/>
  <c r="C4" i="16"/>
  <c r="B4" i="16"/>
  <c r="B6" i="16" s="1"/>
  <c r="AE317" i="15"/>
  <c r="AD317" i="15"/>
  <c r="AC317" i="15"/>
  <c r="AB317" i="15"/>
  <c r="AA317" i="15"/>
  <c r="Z317" i="15"/>
  <c r="Y317" i="15"/>
  <c r="X317" i="15"/>
  <c r="W317" i="15"/>
  <c r="V317" i="15"/>
  <c r="U317" i="15"/>
  <c r="T317" i="15"/>
  <c r="S317" i="15"/>
  <c r="R317" i="15"/>
  <c r="Q317" i="15"/>
  <c r="P317" i="15"/>
  <c r="O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E314" i="15"/>
  <c r="AD314" i="15"/>
  <c r="AC314" i="15"/>
  <c r="AB314" i="15"/>
  <c r="AA314" i="15"/>
  <c r="Z314" i="15"/>
  <c r="Y314" i="15"/>
  <c r="X314" i="15"/>
  <c r="W314" i="15"/>
  <c r="V314" i="15"/>
  <c r="U314" i="15"/>
  <c r="T314" i="15"/>
  <c r="S314" i="15"/>
  <c r="R314" i="15"/>
  <c r="Q314" i="15"/>
  <c r="P314" i="15"/>
  <c r="O314" i="15"/>
  <c r="N314" i="15"/>
  <c r="M314" i="15"/>
  <c r="L314" i="15"/>
  <c r="K314" i="15"/>
  <c r="J314" i="15"/>
  <c r="I314" i="15"/>
  <c r="H314" i="15"/>
  <c r="H306" i="15" s="1"/>
  <c r="G314" i="15"/>
  <c r="F314" i="15"/>
  <c r="E314" i="15"/>
  <c r="D314" i="15"/>
  <c r="C314" i="15"/>
  <c r="B314" i="15"/>
  <c r="F307" i="15"/>
  <c r="E307" i="15"/>
  <c r="E308" i="15" s="1"/>
  <c r="G306" i="15"/>
  <c r="H305" i="15"/>
  <c r="Y304" i="15"/>
  <c r="H304" i="15"/>
  <c r="G304" i="15"/>
  <c r="G305" i="15" s="1"/>
  <c r="F304" i="15"/>
  <c r="F305" i="15" s="1"/>
  <c r="F306" i="15" s="1"/>
  <c r="E304" i="15"/>
  <c r="E305" i="15" s="1"/>
  <c r="E306" i="15" s="1"/>
  <c r="AE303" i="15"/>
  <c r="AD303" i="15"/>
  <c r="AC303" i="15"/>
  <c r="AB303" i="15"/>
  <c r="AA303" i="15"/>
  <c r="Y303" i="15"/>
  <c r="X303" i="15"/>
  <c r="W303" i="15"/>
  <c r="R303" i="15"/>
  <c r="P303" i="15"/>
  <c r="P304" i="15" s="1"/>
  <c r="O303" i="15"/>
  <c r="N303" i="15"/>
  <c r="K303" i="15"/>
  <c r="I303" i="15"/>
  <c r="H303" i="15"/>
  <c r="G303" i="15"/>
  <c r="F303" i="15"/>
  <c r="E303" i="15"/>
  <c r="B303" i="15"/>
  <c r="AE302" i="15"/>
  <c r="AD302" i="15"/>
  <c r="AC302" i="15"/>
  <c r="AB302" i="15"/>
  <c r="AA302" i="15"/>
  <c r="Z302" i="15"/>
  <c r="Y302" i="15"/>
  <c r="X302" i="15"/>
  <c r="W302" i="15"/>
  <c r="V302" i="15"/>
  <c r="U302" i="15"/>
  <c r="T302" i="15"/>
  <c r="S302" i="15"/>
  <c r="R302" i="15"/>
  <c r="Q302" i="15"/>
  <c r="P302" i="15"/>
  <c r="O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F299" i="15"/>
  <c r="Q298" i="15"/>
  <c r="P298" i="15"/>
  <c r="AD297" i="15"/>
  <c r="AC297" i="15"/>
  <c r="AB297" i="15"/>
  <c r="AA297" i="15"/>
  <c r="K297" i="15"/>
  <c r="H297" i="15"/>
  <c r="AD296" i="15"/>
  <c r="AB295" i="15"/>
  <c r="AB294" i="15"/>
  <c r="N294" i="15"/>
  <c r="M294" i="15"/>
  <c r="J294" i="15"/>
  <c r="I294" i="15"/>
  <c r="K293" i="15"/>
  <c r="J293" i="15"/>
  <c r="T292" i="15"/>
  <c r="O292" i="15"/>
  <c r="I292" i="15"/>
  <c r="H292" i="15"/>
  <c r="G292" i="15"/>
  <c r="Q291" i="15"/>
  <c r="AE288" i="15"/>
  <c r="AD288" i="15"/>
  <c r="AC288" i="15"/>
  <c r="AB288" i="15"/>
  <c r="AA288" i="15"/>
  <c r="P287" i="15"/>
  <c r="P207" i="15" s="1"/>
  <c r="AE286" i="15"/>
  <c r="AD286" i="15"/>
  <c r="AC286" i="15"/>
  <c r="AB286" i="15"/>
  <c r="AA286" i="15"/>
  <c r="Z286" i="15"/>
  <c r="Y286" i="15"/>
  <c r="X286" i="15"/>
  <c r="W286" i="15"/>
  <c r="V286" i="15"/>
  <c r="U286" i="15"/>
  <c r="T286" i="15"/>
  <c r="S286" i="15"/>
  <c r="R286" i="15"/>
  <c r="Q286" i="15"/>
  <c r="P286" i="15"/>
  <c r="O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P283" i="15"/>
  <c r="C283" i="15"/>
  <c r="B283" i="15"/>
  <c r="AC282" i="15"/>
  <c r="AB282" i="15"/>
  <c r="AA282" i="15"/>
  <c r="Z282" i="15"/>
  <c r="Y282" i="15"/>
  <c r="X282" i="15"/>
  <c r="W282" i="15"/>
  <c r="V282" i="15"/>
  <c r="U282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AC281" i="15"/>
  <c r="AB281" i="15"/>
  <c r="AA281" i="15"/>
  <c r="Z281" i="15"/>
  <c r="Y281" i="15"/>
  <c r="X281" i="15"/>
  <c r="W281" i="15"/>
  <c r="V281" i="15"/>
  <c r="U281" i="15"/>
  <c r="T281" i="15"/>
  <c r="S281" i="15"/>
  <c r="R281" i="15"/>
  <c r="Q281" i="15"/>
  <c r="P281" i="15"/>
  <c r="O281" i="15"/>
  <c r="N281" i="15"/>
  <c r="M281" i="15"/>
  <c r="L281" i="15"/>
  <c r="K281" i="15"/>
  <c r="J281" i="15"/>
  <c r="I281" i="15"/>
  <c r="H281" i="15"/>
  <c r="H283" i="15" s="1"/>
  <c r="H40" i="15" s="1"/>
  <c r="G281" i="15"/>
  <c r="F281" i="15"/>
  <c r="E281" i="15"/>
  <c r="D281" i="15"/>
  <c r="C281" i="15"/>
  <c r="AC280" i="15"/>
  <c r="AB280" i="15"/>
  <c r="AA280" i="15"/>
  <c r="Z280" i="15"/>
  <c r="Y280" i="15"/>
  <c r="X280" i="15"/>
  <c r="W280" i="15"/>
  <c r="V280" i="15"/>
  <c r="U280" i="15"/>
  <c r="T280" i="15"/>
  <c r="S280" i="15"/>
  <c r="R280" i="15"/>
  <c r="Q280" i="15"/>
  <c r="P280" i="15"/>
  <c r="O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AC279" i="15"/>
  <c r="AB279" i="15"/>
  <c r="AA279" i="15"/>
  <c r="Z279" i="15"/>
  <c r="Y279" i="15"/>
  <c r="X279" i="15"/>
  <c r="W279" i="15"/>
  <c r="V279" i="15"/>
  <c r="U279" i="15"/>
  <c r="T279" i="15"/>
  <c r="S279" i="15"/>
  <c r="R279" i="15"/>
  <c r="Q279" i="15"/>
  <c r="P279" i="15"/>
  <c r="O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AD278" i="15"/>
  <c r="AC278" i="15"/>
  <c r="AB278" i="15"/>
  <c r="AA278" i="15"/>
  <c r="Z278" i="15"/>
  <c r="Y278" i="15"/>
  <c r="X278" i="15"/>
  <c r="W278" i="15"/>
  <c r="V278" i="15"/>
  <c r="U278" i="15"/>
  <c r="T278" i="15"/>
  <c r="S278" i="15"/>
  <c r="R278" i="15"/>
  <c r="Q278" i="15"/>
  <c r="P278" i="15"/>
  <c r="O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AD277" i="15"/>
  <c r="AC277" i="15"/>
  <c r="AB277" i="15"/>
  <c r="AA277" i="15"/>
  <c r="Z277" i="15"/>
  <c r="Y277" i="15"/>
  <c r="X277" i="15"/>
  <c r="W277" i="15"/>
  <c r="V277" i="15"/>
  <c r="U277" i="15"/>
  <c r="T277" i="15"/>
  <c r="S277" i="15"/>
  <c r="R277" i="15"/>
  <c r="Q277" i="15"/>
  <c r="P277" i="15"/>
  <c r="O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AD276" i="15"/>
  <c r="AC276" i="15"/>
  <c r="AB276" i="15"/>
  <c r="AA276" i="15"/>
  <c r="Z276" i="15"/>
  <c r="Y276" i="15"/>
  <c r="X276" i="15"/>
  <c r="W276" i="15"/>
  <c r="V276" i="15"/>
  <c r="U276" i="15"/>
  <c r="T276" i="15"/>
  <c r="S276" i="15"/>
  <c r="R276" i="15"/>
  <c r="Q276" i="15"/>
  <c r="P276" i="15"/>
  <c r="O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AD275" i="15"/>
  <c r="AC275" i="15"/>
  <c r="AB275" i="15"/>
  <c r="AA275" i="15"/>
  <c r="Z275" i="15"/>
  <c r="Y275" i="15"/>
  <c r="X275" i="15"/>
  <c r="W275" i="15"/>
  <c r="V275" i="15"/>
  <c r="U275" i="15"/>
  <c r="T275" i="15"/>
  <c r="S275" i="15"/>
  <c r="R275" i="15"/>
  <c r="Q275" i="15"/>
  <c r="P275" i="15"/>
  <c r="O275" i="15"/>
  <c r="N275" i="15"/>
  <c r="M275" i="15"/>
  <c r="L275" i="15"/>
  <c r="K275" i="15"/>
  <c r="J275" i="15"/>
  <c r="I275" i="15"/>
  <c r="H275" i="15"/>
  <c r="G275" i="15"/>
  <c r="F275" i="15"/>
  <c r="E275" i="15"/>
  <c r="D275" i="15"/>
  <c r="AD274" i="15"/>
  <c r="AC274" i="15"/>
  <c r="AB274" i="15"/>
  <c r="AA274" i="15"/>
  <c r="Z274" i="15"/>
  <c r="Y274" i="15"/>
  <c r="X274" i="15"/>
  <c r="W274" i="15"/>
  <c r="V274" i="15"/>
  <c r="U274" i="15"/>
  <c r="T274" i="15"/>
  <c r="S274" i="15"/>
  <c r="R274" i="15"/>
  <c r="Q274" i="15"/>
  <c r="P274" i="15"/>
  <c r="O274" i="15"/>
  <c r="N274" i="15"/>
  <c r="M274" i="15"/>
  <c r="L274" i="15"/>
  <c r="K274" i="15"/>
  <c r="J274" i="15"/>
  <c r="I274" i="15"/>
  <c r="H274" i="15"/>
  <c r="G274" i="15"/>
  <c r="F274" i="15"/>
  <c r="E274" i="15"/>
  <c r="D274" i="15"/>
  <c r="AD273" i="15"/>
  <c r="AC273" i="15"/>
  <c r="AB273" i="15"/>
  <c r="AA273" i="15"/>
  <c r="Z273" i="15"/>
  <c r="Y273" i="15"/>
  <c r="X273" i="15"/>
  <c r="W273" i="15"/>
  <c r="V273" i="15"/>
  <c r="U273" i="15"/>
  <c r="T273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AD272" i="15"/>
  <c r="AC272" i="15"/>
  <c r="AC283" i="15" s="1"/>
  <c r="AB272" i="15"/>
  <c r="AA272" i="15"/>
  <c r="Z272" i="15"/>
  <c r="Y272" i="15"/>
  <c r="X272" i="15"/>
  <c r="W272" i="15"/>
  <c r="V272" i="15"/>
  <c r="U272" i="15"/>
  <c r="T272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AD271" i="15"/>
  <c r="AC271" i="15"/>
  <c r="AB271" i="15"/>
  <c r="AA271" i="15"/>
  <c r="Z271" i="15"/>
  <c r="Y271" i="15"/>
  <c r="X271" i="15"/>
  <c r="W271" i="15"/>
  <c r="V271" i="15"/>
  <c r="U271" i="15"/>
  <c r="T271" i="15"/>
  <c r="T283" i="15" s="1"/>
  <c r="S271" i="15"/>
  <c r="S283" i="15" s="1"/>
  <c r="R271" i="15"/>
  <c r="R283" i="15" s="1"/>
  <c r="Q271" i="15"/>
  <c r="P271" i="15"/>
  <c r="O271" i="15"/>
  <c r="N271" i="15"/>
  <c r="M271" i="15"/>
  <c r="L271" i="15"/>
  <c r="L283" i="15" s="1"/>
  <c r="K271" i="15"/>
  <c r="J271" i="15"/>
  <c r="I271" i="15"/>
  <c r="H271" i="15"/>
  <c r="G271" i="15"/>
  <c r="F271" i="15"/>
  <c r="E271" i="15"/>
  <c r="D271" i="15"/>
  <c r="AE270" i="15"/>
  <c r="AD270" i="15"/>
  <c r="AC270" i="15"/>
  <c r="AB270" i="15"/>
  <c r="AA270" i="15"/>
  <c r="Z270" i="15"/>
  <c r="Y270" i="15"/>
  <c r="X270" i="15"/>
  <c r="W270" i="15"/>
  <c r="V270" i="15"/>
  <c r="U270" i="15"/>
  <c r="T270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E267" i="15"/>
  <c r="AD267" i="15"/>
  <c r="AA267" i="15"/>
  <c r="Z267" i="15"/>
  <c r="C267" i="15"/>
  <c r="B267" i="15"/>
  <c r="AC266" i="15"/>
  <c r="AB266" i="15"/>
  <c r="AA266" i="15"/>
  <c r="Z266" i="15"/>
  <c r="Y266" i="15"/>
  <c r="X266" i="15"/>
  <c r="W266" i="15"/>
  <c r="V266" i="15"/>
  <c r="U266" i="15"/>
  <c r="T266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AC265" i="15"/>
  <c r="AB265" i="15"/>
  <c r="AA265" i="15"/>
  <c r="Z265" i="15"/>
  <c r="Y265" i="15"/>
  <c r="X265" i="15"/>
  <c r="W265" i="15"/>
  <c r="V265" i="15"/>
  <c r="U265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AC264" i="15"/>
  <c r="AB264" i="15"/>
  <c r="AA264" i="15"/>
  <c r="Z264" i="15"/>
  <c r="Y264" i="15"/>
  <c r="X264" i="15"/>
  <c r="W264" i="15"/>
  <c r="V264" i="15"/>
  <c r="U264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D267" i="15" s="1"/>
  <c r="C264" i="15"/>
  <c r="AC263" i="15"/>
  <c r="AB263" i="15"/>
  <c r="AA263" i="15"/>
  <c r="Z263" i="15"/>
  <c r="Y263" i="15"/>
  <c r="X263" i="15"/>
  <c r="W263" i="15"/>
  <c r="V263" i="15"/>
  <c r="U263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AD262" i="15"/>
  <c r="AC262" i="15"/>
  <c r="AB262" i="15"/>
  <c r="AA262" i="15"/>
  <c r="Z262" i="15"/>
  <c r="Y262" i="15"/>
  <c r="X262" i="15"/>
  <c r="W262" i="15"/>
  <c r="V262" i="15"/>
  <c r="U262" i="15"/>
  <c r="T262" i="15"/>
  <c r="S262" i="15"/>
  <c r="R262" i="15"/>
  <c r="Q262" i="15"/>
  <c r="P262" i="15"/>
  <c r="O262" i="15"/>
  <c r="N262" i="15"/>
  <c r="M262" i="15"/>
  <c r="L262" i="15"/>
  <c r="K262" i="15"/>
  <c r="J262" i="15"/>
  <c r="I262" i="15"/>
  <c r="I267" i="15" s="1"/>
  <c r="H262" i="15"/>
  <c r="G262" i="15"/>
  <c r="F262" i="15"/>
  <c r="E262" i="15"/>
  <c r="D262" i="15"/>
  <c r="C262" i="15"/>
  <c r="AD261" i="15"/>
  <c r="AC261" i="15"/>
  <c r="AB261" i="15"/>
  <c r="AA261" i="15"/>
  <c r="Z261" i="15"/>
  <c r="Y261" i="15"/>
  <c r="X261" i="15"/>
  <c r="W261" i="15"/>
  <c r="V261" i="15"/>
  <c r="U261" i="15"/>
  <c r="T261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AD260" i="15"/>
  <c r="AC260" i="15"/>
  <c r="AB260" i="15"/>
  <c r="AA260" i="15"/>
  <c r="Z260" i="15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AD259" i="15"/>
  <c r="AC259" i="15"/>
  <c r="AB259" i="15"/>
  <c r="AA259" i="15"/>
  <c r="Z259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AD258" i="15"/>
  <c r="AC258" i="15"/>
  <c r="AB258" i="15"/>
  <c r="AA258" i="15"/>
  <c r="Z258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AD257" i="15"/>
  <c r="AC257" i="15"/>
  <c r="AC267" i="15" s="1"/>
  <c r="AB257" i="15"/>
  <c r="AB267" i="15" s="1"/>
  <c r="AA257" i="15"/>
  <c r="Z257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AD256" i="15"/>
  <c r="AC256" i="15"/>
  <c r="AB256" i="15"/>
  <c r="AA256" i="15"/>
  <c r="Z256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J267" i="15" s="1"/>
  <c r="J34" i="15" s="1"/>
  <c r="I256" i="15"/>
  <c r="H256" i="15"/>
  <c r="G256" i="15"/>
  <c r="F256" i="15"/>
  <c r="E256" i="15"/>
  <c r="E267" i="15" s="1"/>
  <c r="E34" i="15" s="1"/>
  <c r="D256" i="15"/>
  <c r="AD255" i="15"/>
  <c r="AC255" i="15"/>
  <c r="AB255" i="15"/>
  <c r="AA255" i="15"/>
  <c r="Z255" i="15"/>
  <c r="Y255" i="15"/>
  <c r="X255" i="15"/>
  <c r="W255" i="15"/>
  <c r="V255" i="15"/>
  <c r="U255" i="15"/>
  <c r="T255" i="15"/>
  <c r="T267" i="15" s="1"/>
  <c r="T34" i="15" s="1"/>
  <c r="S255" i="15"/>
  <c r="S267" i="15" s="1"/>
  <c r="S34" i="15" s="1"/>
  <c r="R255" i="15"/>
  <c r="Q255" i="15"/>
  <c r="Q267" i="15" s="1"/>
  <c r="Q34" i="15" s="1"/>
  <c r="P255" i="15"/>
  <c r="O255" i="15"/>
  <c r="N255" i="15"/>
  <c r="M255" i="15"/>
  <c r="L255" i="15"/>
  <c r="K255" i="15"/>
  <c r="K267" i="15" s="1"/>
  <c r="J255" i="15"/>
  <c r="I255" i="15"/>
  <c r="H255" i="15"/>
  <c r="G255" i="15"/>
  <c r="F255" i="15"/>
  <c r="E255" i="15"/>
  <c r="D255" i="15"/>
  <c r="AE254" i="15"/>
  <c r="AD254" i="15"/>
  <c r="AC254" i="15"/>
  <c r="AB254" i="15"/>
  <c r="AA254" i="15"/>
  <c r="Z254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Z251" i="15"/>
  <c r="Y251" i="15"/>
  <c r="X251" i="15"/>
  <c r="W251" i="15"/>
  <c r="V251" i="15"/>
  <c r="U251" i="15"/>
  <c r="T251" i="15"/>
  <c r="S251" i="15"/>
  <c r="R251" i="15"/>
  <c r="Q251" i="15"/>
  <c r="P251" i="15"/>
  <c r="O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E238" i="15"/>
  <c r="AD238" i="15"/>
  <c r="AC238" i="15"/>
  <c r="AB238" i="15"/>
  <c r="AA238" i="15"/>
  <c r="Z238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C235" i="15"/>
  <c r="AA235" i="15"/>
  <c r="AB235" i="15" s="1"/>
  <c r="AE222" i="15"/>
  <c r="AD222" i="15"/>
  <c r="AC222" i="15"/>
  <c r="AB222" i="15"/>
  <c r="AA222" i="15"/>
  <c r="Z222" i="15"/>
  <c r="Y222" i="15"/>
  <c r="X222" i="15"/>
  <c r="W222" i="15"/>
  <c r="V222" i="15"/>
  <c r="U222" i="15"/>
  <c r="T222" i="15"/>
  <c r="S222" i="15"/>
  <c r="R222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O207" i="15"/>
  <c r="AE206" i="15"/>
  <c r="AD206" i="15"/>
  <c r="AC206" i="15"/>
  <c r="AB206" i="15"/>
  <c r="AA206" i="15"/>
  <c r="Z206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E190" i="15"/>
  <c r="AD190" i="15"/>
  <c r="AC190" i="15"/>
  <c r="AB190" i="15"/>
  <c r="AA190" i="15"/>
  <c r="Z190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E187" i="15"/>
  <c r="AD187" i="15"/>
  <c r="AE179" i="15" s="1"/>
  <c r="AC187" i="15"/>
  <c r="AB187" i="15"/>
  <c r="AA187" i="15"/>
  <c r="Z187" i="15"/>
  <c r="Y187" i="15"/>
  <c r="X187" i="15"/>
  <c r="W187" i="15"/>
  <c r="V187" i="15"/>
  <c r="U187" i="15"/>
  <c r="T187" i="15"/>
  <c r="S187" i="15"/>
  <c r="R187" i="15"/>
  <c r="Q187" i="15"/>
  <c r="P187" i="15"/>
  <c r="O187" i="15"/>
  <c r="N187" i="15"/>
  <c r="M187" i="15"/>
  <c r="L187" i="15"/>
  <c r="K187" i="15"/>
  <c r="J187" i="15"/>
  <c r="K176" i="15" s="1"/>
  <c r="I187" i="15"/>
  <c r="H187" i="15"/>
  <c r="G187" i="15"/>
  <c r="F187" i="15"/>
  <c r="E187" i="15"/>
  <c r="D187" i="15"/>
  <c r="C187" i="15"/>
  <c r="B187" i="15"/>
  <c r="AD178" i="15"/>
  <c r="AE177" i="15"/>
  <c r="AE178" i="15" s="1"/>
  <c r="AD177" i="15"/>
  <c r="M177" i="15"/>
  <c r="L177" i="15"/>
  <c r="J177" i="15"/>
  <c r="I177" i="15"/>
  <c r="H177" i="15"/>
  <c r="AE176" i="15"/>
  <c r="AD176" i="15"/>
  <c r="Z176" i="15"/>
  <c r="V176" i="15"/>
  <c r="S176" i="15"/>
  <c r="R176" i="15"/>
  <c r="O176" i="15"/>
  <c r="M176" i="15"/>
  <c r="L176" i="15"/>
  <c r="J176" i="15"/>
  <c r="I176" i="15"/>
  <c r="H176" i="15"/>
  <c r="D176" i="15"/>
  <c r="AE175" i="15"/>
  <c r="AD175" i="15"/>
  <c r="AC175" i="15"/>
  <c r="AB175" i="15"/>
  <c r="AA175" i="15"/>
  <c r="Z175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E156" i="15"/>
  <c r="AD156" i="15"/>
  <c r="B156" i="15"/>
  <c r="AC155" i="15"/>
  <c r="AB155" i="15"/>
  <c r="AA155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AC154" i="15"/>
  <c r="AB154" i="15"/>
  <c r="AA154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AC153" i="15"/>
  <c r="AB153" i="15"/>
  <c r="AA153" i="15"/>
  <c r="Z153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AD151" i="15"/>
  <c r="AC151" i="15"/>
  <c r="AB151" i="15"/>
  <c r="AA151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AD150" i="15"/>
  <c r="AC150" i="15"/>
  <c r="AB150" i="15"/>
  <c r="AA150" i="15"/>
  <c r="Z150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AD148" i="15"/>
  <c r="AC148" i="15"/>
  <c r="AB148" i="15"/>
  <c r="AB156" i="15" s="1"/>
  <c r="AA148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AD144" i="15"/>
  <c r="AC144" i="15"/>
  <c r="AB144" i="15"/>
  <c r="AA144" i="15"/>
  <c r="Z144" i="15"/>
  <c r="Y144" i="15"/>
  <c r="X144" i="15"/>
  <c r="X156" i="15" s="1"/>
  <c r="W144" i="15"/>
  <c r="W156" i="15" s="1"/>
  <c r="W27" i="15" s="1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C140" i="15"/>
  <c r="B140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AC136" i="15"/>
  <c r="AB136" i="15"/>
  <c r="AA136" i="15"/>
  <c r="Z136" i="15"/>
  <c r="Y136" i="15"/>
  <c r="X136" i="15"/>
  <c r="W136" i="15"/>
  <c r="V136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AD135" i="15"/>
  <c r="AC135" i="15"/>
  <c r="AB135" i="15"/>
  <c r="AA135" i="15"/>
  <c r="Z135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J140" i="15" s="1"/>
  <c r="J24" i="15" s="1"/>
  <c r="I135" i="15"/>
  <c r="H135" i="15"/>
  <c r="G135" i="15"/>
  <c r="F135" i="15"/>
  <c r="E135" i="15"/>
  <c r="D135" i="15"/>
  <c r="C135" i="15"/>
  <c r="AD134" i="15"/>
  <c r="AC134" i="15"/>
  <c r="AB134" i="15"/>
  <c r="AA134" i="15"/>
  <c r="Z134" i="15"/>
  <c r="Y134" i="15"/>
  <c r="X134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AD131" i="15"/>
  <c r="AC131" i="15"/>
  <c r="AB131" i="15"/>
  <c r="AA131" i="15"/>
  <c r="Z131" i="15"/>
  <c r="Y131" i="15"/>
  <c r="X131" i="15"/>
  <c r="W131" i="15"/>
  <c r="V131" i="15"/>
  <c r="U131" i="15"/>
  <c r="T131" i="15"/>
  <c r="T140" i="15" s="1"/>
  <c r="T24" i="15" s="1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AD130" i="15"/>
  <c r="AC130" i="15"/>
  <c r="AB130" i="15"/>
  <c r="AA130" i="15"/>
  <c r="Z130" i="15"/>
  <c r="Y130" i="15"/>
  <c r="X130" i="15"/>
  <c r="X140" i="15" s="1"/>
  <c r="X24" i="15" s="1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K140" i="15" s="1"/>
  <c r="K24" i="15" s="1"/>
  <c r="J129" i="15"/>
  <c r="I129" i="15"/>
  <c r="I140" i="15" s="1"/>
  <c r="I24" i="15" s="1"/>
  <c r="H129" i="15"/>
  <c r="G129" i="15"/>
  <c r="F129" i="15"/>
  <c r="E129" i="15"/>
  <c r="D129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P140" i="15" s="1"/>
  <c r="P24" i="15" s="1"/>
  <c r="O128" i="15"/>
  <c r="N128" i="15"/>
  <c r="N140" i="15" s="1"/>
  <c r="N24" i="15" s="1"/>
  <c r="M128" i="15"/>
  <c r="L128" i="15"/>
  <c r="K128" i="15"/>
  <c r="J128" i="15"/>
  <c r="I128" i="15"/>
  <c r="H128" i="15"/>
  <c r="G128" i="15"/>
  <c r="F128" i="15"/>
  <c r="E128" i="15"/>
  <c r="D128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A124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E92" i="15"/>
  <c r="AD92" i="15"/>
  <c r="AC92" i="15"/>
  <c r="AB92" i="15"/>
  <c r="AA92" i="15"/>
  <c r="Z92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E76" i="15"/>
  <c r="AD76" i="15"/>
  <c r="X76" i="15"/>
  <c r="X13" i="15" s="1"/>
  <c r="C76" i="15"/>
  <c r="B76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Q76" i="15" s="1"/>
  <c r="Q13" i="15" s="1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J76" i="15" s="1"/>
  <c r="J13" i="15" s="1"/>
  <c r="I67" i="15"/>
  <c r="H67" i="15"/>
  <c r="G67" i="15"/>
  <c r="F67" i="15"/>
  <c r="E67" i="15"/>
  <c r="D67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P76" i="15" s="1"/>
  <c r="P13" i="15" s="1"/>
  <c r="O66" i="15"/>
  <c r="N66" i="15"/>
  <c r="M66" i="15"/>
  <c r="L66" i="15"/>
  <c r="K66" i="15"/>
  <c r="J66" i="15"/>
  <c r="I66" i="15"/>
  <c r="H66" i="15"/>
  <c r="G66" i="15"/>
  <c r="F66" i="15"/>
  <c r="E66" i="15"/>
  <c r="D66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AD64" i="15"/>
  <c r="AC64" i="15"/>
  <c r="AB64" i="15"/>
  <c r="AA64" i="15"/>
  <c r="Z64" i="15"/>
  <c r="Y64" i="15"/>
  <c r="X64" i="15"/>
  <c r="W64" i="15"/>
  <c r="V64" i="15"/>
  <c r="U64" i="15"/>
  <c r="U76" i="15" s="1"/>
  <c r="U13" i="15" s="1"/>
  <c r="T64" i="15"/>
  <c r="T76" i="15" s="1"/>
  <c r="T13" i="15" s="1"/>
  <c r="S64" i="15"/>
  <c r="S76" i="15" s="1"/>
  <c r="S13" i="15" s="1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D60" i="15"/>
  <c r="E60" i="15"/>
  <c r="E10" i="15" s="1"/>
  <c r="C60" i="15"/>
  <c r="B60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AE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F60" i="15" s="1"/>
  <c r="F10" i="15" s="1"/>
  <c r="E54" i="15"/>
  <c r="D54" i="15"/>
  <c r="C54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L60" i="15" s="1"/>
  <c r="K53" i="15"/>
  <c r="J53" i="15"/>
  <c r="I53" i="15"/>
  <c r="H53" i="15"/>
  <c r="G53" i="15"/>
  <c r="F53" i="15"/>
  <c r="E53" i="15"/>
  <c r="D53" i="15"/>
  <c r="C53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D60" i="15" s="1"/>
  <c r="D10" i="15" s="1"/>
  <c r="D11" i="15" s="1"/>
  <c r="D16" i="15" s="1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M60" i="15" s="1"/>
  <c r="L50" i="15"/>
  <c r="K50" i="15"/>
  <c r="J50" i="15"/>
  <c r="I50" i="15"/>
  <c r="H50" i="15"/>
  <c r="G50" i="15"/>
  <c r="F50" i="15"/>
  <c r="E50" i="15"/>
  <c r="D50" i="15"/>
  <c r="AE49" i="15"/>
  <c r="AD49" i="15"/>
  <c r="AC49" i="15"/>
  <c r="AB49" i="15"/>
  <c r="AA49" i="15"/>
  <c r="Z49" i="15"/>
  <c r="Y49" i="15"/>
  <c r="X49" i="15"/>
  <c r="W49" i="15"/>
  <c r="W60" i="15" s="1"/>
  <c r="W10" i="15" s="1"/>
  <c r="V49" i="15"/>
  <c r="U49" i="15"/>
  <c r="U60" i="15" s="1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AE48" i="15"/>
  <c r="AD48" i="15"/>
  <c r="AC48" i="15"/>
  <c r="AC60" i="15" s="1"/>
  <c r="AB48" i="15"/>
  <c r="AA48" i="15"/>
  <c r="Z48" i="15"/>
  <c r="Y48" i="15"/>
  <c r="X48" i="15"/>
  <c r="W48" i="15"/>
  <c r="V48" i="15"/>
  <c r="U48" i="15"/>
  <c r="T48" i="15"/>
  <c r="S48" i="15"/>
  <c r="S60" i="15" s="1"/>
  <c r="S10" i="15" s="1"/>
  <c r="S11" i="15" s="1"/>
  <c r="S16" i="15" s="1"/>
  <c r="R48" i="15"/>
  <c r="Q48" i="15"/>
  <c r="P48" i="15"/>
  <c r="O48" i="15"/>
  <c r="N48" i="15"/>
  <c r="M48" i="15"/>
  <c r="L48" i="15"/>
  <c r="K48" i="15"/>
  <c r="J48" i="15"/>
  <c r="I48" i="15"/>
  <c r="H48" i="15"/>
  <c r="G48" i="15"/>
  <c r="G60" i="15" s="1"/>
  <c r="G10" i="15" s="1"/>
  <c r="F48" i="15"/>
  <c r="E48" i="15"/>
  <c r="D48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T40" i="15"/>
  <c r="S40" i="15"/>
  <c r="R40" i="15"/>
  <c r="P40" i="15"/>
  <c r="L40" i="15"/>
  <c r="AE36" i="15"/>
  <c r="AE299" i="15" s="1"/>
  <c r="AD36" i="15"/>
  <c r="AD299" i="15" s="1"/>
  <c r="AC36" i="15"/>
  <c r="AC299" i="15" s="1"/>
  <c r="AB36" i="15"/>
  <c r="AB299" i="15" s="1"/>
  <c r="AA36" i="15"/>
  <c r="AA299" i="15" s="1"/>
  <c r="Z36" i="15"/>
  <c r="Z299" i="15" s="1"/>
  <c r="Y36" i="15"/>
  <c r="Y299" i="15" s="1"/>
  <c r="X36" i="15"/>
  <c r="X299" i="15" s="1"/>
  <c r="W36" i="15"/>
  <c r="W299" i="15" s="1"/>
  <c r="V36" i="15"/>
  <c r="V299" i="15" s="1"/>
  <c r="U36" i="15"/>
  <c r="U299" i="15" s="1"/>
  <c r="T36" i="15"/>
  <c r="T299" i="15" s="1"/>
  <c r="S36" i="15"/>
  <c r="S299" i="15" s="1"/>
  <c r="R36" i="15"/>
  <c r="R299" i="15" s="1"/>
  <c r="Q36" i="15"/>
  <c r="Q299" i="15" s="1"/>
  <c r="Q288" i="15" s="1"/>
  <c r="P36" i="15"/>
  <c r="P299" i="15" s="1"/>
  <c r="O36" i="15"/>
  <c r="O299" i="15" s="1"/>
  <c r="O287" i="15" s="1"/>
  <c r="N36" i="15"/>
  <c r="N299" i="15" s="1"/>
  <c r="M36" i="15"/>
  <c r="M299" i="15" s="1"/>
  <c r="L36" i="15"/>
  <c r="L299" i="15" s="1"/>
  <c r="L290" i="15" s="1"/>
  <c r="K36" i="15"/>
  <c r="K299" i="15" s="1"/>
  <c r="K290" i="15" s="1"/>
  <c r="J36" i="15"/>
  <c r="J299" i="15" s="1"/>
  <c r="I36" i="15"/>
  <c r="I299" i="15" s="1"/>
  <c r="I290" i="15" s="1"/>
  <c r="H36" i="15"/>
  <c r="H299" i="15" s="1"/>
  <c r="G36" i="15"/>
  <c r="G299" i="15" s="1"/>
  <c r="F36" i="15"/>
  <c r="E36" i="15"/>
  <c r="E299" i="15" s="1"/>
  <c r="D36" i="15"/>
  <c r="D299" i="15" s="1"/>
  <c r="D292" i="15" s="1"/>
  <c r="C36" i="15"/>
  <c r="C299" i="15" s="1"/>
  <c r="C292" i="15" s="1"/>
  <c r="B36" i="15"/>
  <c r="B299" i="15" s="1"/>
  <c r="Z35" i="15"/>
  <c r="Z41" i="15" s="1"/>
  <c r="Z40" i="15" s="1"/>
  <c r="K34" i="15"/>
  <c r="I34" i="15"/>
  <c r="D34" i="15"/>
  <c r="AC33" i="15"/>
  <c r="AC219" i="15" s="1"/>
  <c r="AA33" i="15"/>
  <c r="AA219" i="15" s="1"/>
  <c r="Z33" i="15"/>
  <c r="Z219" i="15" s="1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AE24" i="15"/>
  <c r="AE140" i="15" s="1"/>
  <c r="AD24" i="15"/>
  <c r="AD140" i="15" s="1"/>
  <c r="AC24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E16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F11" i="15"/>
  <c r="F16" i="15" s="1"/>
  <c r="E11" i="15"/>
  <c r="B11" i="15"/>
  <c r="B16" i="15" s="1"/>
  <c r="AE10" i="15"/>
  <c r="AE60" i="15" s="1"/>
  <c r="AD10" i="15"/>
  <c r="AC10" i="15"/>
  <c r="U10" i="15"/>
  <c r="U11" i="15" s="1"/>
  <c r="U16" i="15" s="1"/>
  <c r="M10" i="15"/>
  <c r="M11" i="15" s="1"/>
  <c r="M16" i="15" s="1"/>
  <c r="L10" i="15"/>
  <c r="L11" i="15" s="1"/>
  <c r="L16" i="15" s="1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G11" i="15" s="1"/>
  <c r="G16" i="15" s="1"/>
  <c r="F8" i="15"/>
  <c r="E8" i="15"/>
  <c r="D8" i="15"/>
  <c r="C8" i="15"/>
  <c r="C11" i="15" s="1"/>
  <c r="C16" i="15" s="1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A5" i="15"/>
  <c r="Z4" i="15"/>
  <c r="AH317" i="14"/>
  <c r="AG317" i="14"/>
  <c r="AF317" i="14"/>
  <c r="AE317" i="14"/>
  <c r="AD317" i="14"/>
  <c r="AC317" i="14"/>
  <c r="AB317" i="14"/>
  <c r="AA317" i="14"/>
  <c r="Z317" i="14"/>
  <c r="Y317" i="14"/>
  <c r="X317" i="14"/>
  <c r="W317" i="14"/>
  <c r="V317" i="14"/>
  <c r="U317" i="14"/>
  <c r="T317" i="14"/>
  <c r="S317" i="14"/>
  <c r="R317" i="14"/>
  <c r="Q317" i="14"/>
  <c r="P317" i="14"/>
  <c r="O317" i="14"/>
  <c r="N317" i="14"/>
  <c r="M317" i="14"/>
  <c r="L317" i="14"/>
  <c r="K317" i="14"/>
  <c r="J317" i="14"/>
  <c r="I317" i="14"/>
  <c r="H317" i="14"/>
  <c r="G317" i="14"/>
  <c r="F317" i="14"/>
  <c r="E317" i="14"/>
  <c r="D317" i="14"/>
  <c r="C317" i="14"/>
  <c r="B317" i="14"/>
  <c r="AH314" i="14"/>
  <c r="AG314" i="14"/>
  <c r="AF314" i="14"/>
  <c r="AE314" i="14"/>
  <c r="AD314" i="14"/>
  <c r="AC314" i="14"/>
  <c r="AB314" i="14"/>
  <c r="AA314" i="14"/>
  <c r="Z314" i="14"/>
  <c r="Y314" i="14"/>
  <c r="X314" i="14"/>
  <c r="W314" i="14"/>
  <c r="V314" i="14"/>
  <c r="U314" i="14"/>
  <c r="T314" i="14"/>
  <c r="S314" i="14"/>
  <c r="R314" i="14"/>
  <c r="Q314" i="14"/>
  <c r="P314" i="14"/>
  <c r="O314" i="14"/>
  <c r="N314" i="14"/>
  <c r="O303" i="14" s="1"/>
  <c r="M314" i="14"/>
  <c r="L314" i="14"/>
  <c r="K314" i="14"/>
  <c r="J314" i="14"/>
  <c r="I314" i="14"/>
  <c r="H314" i="14"/>
  <c r="G314" i="14"/>
  <c r="F314" i="14"/>
  <c r="E314" i="14"/>
  <c r="D314" i="14"/>
  <c r="C314" i="14"/>
  <c r="B314" i="14"/>
  <c r="Y304" i="14"/>
  <c r="X304" i="14"/>
  <c r="W304" i="14"/>
  <c r="U304" i="14"/>
  <c r="C304" i="14"/>
  <c r="B304" i="14"/>
  <c r="Y303" i="14"/>
  <c r="X303" i="14"/>
  <c r="W303" i="14"/>
  <c r="U303" i="14"/>
  <c r="T303" i="14"/>
  <c r="S303" i="14"/>
  <c r="R303" i="14"/>
  <c r="Q303" i="14"/>
  <c r="P303" i="14"/>
  <c r="M303" i="14"/>
  <c r="L303" i="14"/>
  <c r="K303" i="14"/>
  <c r="J303" i="14"/>
  <c r="C303" i="14"/>
  <c r="B303" i="14"/>
  <c r="AH302" i="14"/>
  <c r="AG302" i="14"/>
  <c r="AF302" i="14"/>
  <c r="AE302" i="14"/>
  <c r="AD302" i="14"/>
  <c r="AC302" i="14"/>
  <c r="AB302" i="14"/>
  <c r="AA302" i="14"/>
  <c r="Z302" i="14"/>
  <c r="Y302" i="14"/>
  <c r="X302" i="14"/>
  <c r="W302" i="14"/>
  <c r="V302" i="14"/>
  <c r="U302" i="14"/>
  <c r="T302" i="14"/>
  <c r="S302" i="14"/>
  <c r="R302" i="14"/>
  <c r="Q302" i="14"/>
  <c r="P302" i="14"/>
  <c r="O302" i="14"/>
  <c r="N302" i="14"/>
  <c r="M302" i="14"/>
  <c r="L302" i="14"/>
  <c r="K302" i="14"/>
  <c r="J302" i="14"/>
  <c r="I302" i="14"/>
  <c r="H302" i="14"/>
  <c r="G302" i="14"/>
  <c r="F302" i="14"/>
  <c r="E302" i="14"/>
  <c r="D302" i="14"/>
  <c r="C302" i="14"/>
  <c r="B302" i="14"/>
  <c r="AH299" i="14"/>
  <c r="G299" i="14"/>
  <c r="AH286" i="14"/>
  <c r="AG286" i="14"/>
  <c r="AF286" i="14"/>
  <c r="AE286" i="14"/>
  <c r="AD286" i="14"/>
  <c r="AC286" i="14"/>
  <c r="AB286" i="14"/>
  <c r="AA286" i="14"/>
  <c r="Z286" i="14"/>
  <c r="Y286" i="14"/>
  <c r="X286" i="14"/>
  <c r="W286" i="14"/>
  <c r="V286" i="14"/>
  <c r="U286" i="14"/>
  <c r="T286" i="14"/>
  <c r="S286" i="14"/>
  <c r="R286" i="14"/>
  <c r="Q286" i="14"/>
  <c r="P286" i="14"/>
  <c r="O286" i="14"/>
  <c r="N286" i="14"/>
  <c r="M286" i="14"/>
  <c r="L286" i="14"/>
  <c r="K286" i="14"/>
  <c r="J286" i="14"/>
  <c r="I286" i="14"/>
  <c r="H286" i="14"/>
  <c r="G286" i="14"/>
  <c r="F286" i="14"/>
  <c r="E286" i="14"/>
  <c r="D286" i="14"/>
  <c r="C286" i="14"/>
  <c r="B286" i="14"/>
  <c r="AD283" i="14"/>
  <c r="C283" i="14"/>
  <c r="B283" i="14"/>
  <c r="AC282" i="14"/>
  <c r="AB282" i="14"/>
  <c r="AA282" i="14"/>
  <c r="Z282" i="14"/>
  <c r="Y282" i="14"/>
  <c r="X282" i="14"/>
  <c r="W282" i="14"/>
  <c r="V282" i="14"/>
  <c r="U282" i="14"/>
  <c r="T282" i="14"/>
  <c r="S282" i="14"/>
  <c r="R282" i="14"/>
  <c r="Q282" i="14"/>
  <c r="P282" i="14"/>
  <c r="O282" i="14"/>
  <c r="N282" i="14"/>
  <c r="M282" i="14"/>
  <c r="L282" i="14"/>
  <c r="K282" i="14"/>
  <c r="J282" i="14"/>
  <c r="I282" i="14"/>
  <c r="H282" i="14"/>
  <c r="G282" i="14"/>
  <c r="F282" i="14"/>
  <c r="E282" i="14"/>
  <c r="D282" i="14"/>
  <c r="C282" i="14"/>
  <c r="AC281" i="14"/>
  <c r="AB281" i="14"/>
  <c r="AA281" i="14"/>
  <c r="Z281" i="14"/>
  <c r="Y281" i="14"/>
  <c r="X281" i="14"/>
  <c r="W281" i="14"/>
  <c r="V281" i="14"/>
  <c r="U281" i="14"/>
  <c r="T281" i="14"/>
  <c r="S281" i="14"/>
  <c r="R281" i="14"/>
  <c r="R283" i="14" s="1"/>
  <c r="R40" i="14" s="1"/>
  <c r="Q281" i="14"/>
  <c r="P281" i="14"/>
  <c r="O281" i="14"/>
  <c r="N281" i="14"/>
  <c r="M281" i="14"/>
  <c r="L281" i="14"/>
  <c r="K281" i="14"/>
  <c r="J281" i="14"/>
  <c r="I281" i="14"/>
  <c r="H281" i="14"/>
  <c r="G281" i="14"/>
  <c r="F281" i="14"/>
  <c r="E281" i="14"/>
  <c r="D281" i="14"/>
  <c r="C281" i="14"/>
  <c r="AC280" i="14"/>
  <c r="AB280" i="14"/>
  <c r="AA280" i="14"/>
  <c r="Z280" i="14"/>
  <c r="Y280" i="14"/>
  <c r="X280" i="14"/>
  <c r="W280" i="14"/>
  <c r="V280" i="14"/>
  <c r="U280" i="14"/>
  <c r="T280" i="14"/>
  <c r="S280" i="14"/>
  <c r="R280" i="14"/>
  <c r="Q280" i="14"/>
  <c r="P280" i="14"/>
  <c r="O280" i="14"/>
  <c r="N280" i="14"/>
  <c r="M280" i="14"/>
  <c r="L280" i="14"/>
  <c r="K280" i="14"/>
  <c r="J280" i="14"/>
  <c r="I280" i="14"/>
  <c r="H280" i="14"/>
  <c r="G280" i="14"/>
  <c r="F280" i="14"/>
  <c r="E280" i="14"/>
  <c r="D280" i="14"/>
  <c r="C280" i="14"/>
  <c r="AC279" i="14"/>
  <c r="AB279" i="14"/>
  <c r="AA279" i="14"/>
  <c r="Z279" i="14"/>
  <c r="Y279" i="14"/>
  <c r="X279" i="14"/>
  <c r="W279" i="14"/>
  <c r="V279" i="14"/>
  <c r="U279" i="14"/>
  <c r="T279" i="14"/>
  <c r="S279" i="14"/>
  <c r="R279" i="14"/>
  <c r="Q279" i="14"/>
  <c r="P279" i="14"/>
  <c r="O279" i="14"/>
  <c r="N279" i="14"/>
  <c r="M279" i="14"/>
  <c r="L279" i="14"/>
  <c r="K279" i="14"/>
  <c r="J279" i="14"/>
  <c r="I279" i="14"/>
  <c r="H279" i="14"/>
  <c r="G279" i="14"/>
  <c r="F279" i="14"/>
  <c r="E279" i="14"/>
  <c r="D279" i="14"/>
  <c r="C279" i="14"/>
  <c r="AC278" i="14"/>
  <c r="AB278" i="14"/>
  <c r="AA278" i="14"/>
  <c r="Z278" i="14"/>
  <c r="Y278" i="14"/>
  <c r="X278" i="14"/>
  <c r="W278" i="14"/>
  <c r="V278" i="14"/>
  <c r="U278" i="14"/>
  <c r="T278" i="14"/>
  <c r="S278" i="14"/>
  <c r="S283" i="14" s="1"/>
  <c r="S40" i="14" s="1"/>
  <c r="R278" i="14"/>
  <c r="Q278" i="14"/>
  <c r="P278" i="14"/>
  <c r="O278" i="14"/>
  <c r="N278" i="14"/>
  <c r="M278" i="14"/>
  <c r="L278" i="14"/>
  <c r="K278" i="14"/>
  <c r="J278" i="14"/>
  <c r="I278" i="14"/>
  <c r="H278" i="14"/>
  <c r="G278" i="14"/>
  <c r="F278" i="14"/>
  <c r="E278" i="14"/>
  <c r="D278" i="14"/>
  <c r="C278" i="14"/>
  <c r="AC277" i="14"/>
  <c r="AB277" i="14"/>
  <c r="AA277" i="14"/>
  <c r="Z277" i="14"/>
  <c r="Y277" i="14"/>
  <c r="X277" i="14"/>
  <c r="W277" i="14"/>
  <c r="V277" i="14"/>
  <c r="U277" i="14"/>
  <c r="T277" i="14"/>
  <c r="S277" i="14"/>
  <c r="R277" i="14"/>
  <c r="Q277" i="14"/>
  <c r="P277" i="14"/>
  <c r="O277" i="14"/>
  <c r="N277" i="14"/>
  <c r="M277" i="14"/>
  <c r="L277" i="14"/>
  <c r="K277" i="14"/>
  <c r="J277" i="14"/>
  <c r="I277" i="14"/>
  <c r="H277" i="14"/>
  <c r="G277" i="14"/>
  <c r="F277" i="14"/>
  <c r="E277" i="14"/>
  <c r="D277" i="14"/>
  <c r="C277" i="14"/>
  <c r="AD276" i="14"/>
  <c r="AC276" i="14"/>
  <c r="AB276" i="14"/>
  <c r="AA276" i="14"/>
  <c r="Z276" i="14"/>
  <c r="Y276" i="14"/>
  <c r="X276" i="14"/>
  <c r="W276" i="14"/>
  <c r="V276" i="14"/>
  <c r="U276" i="14"/>
  <c r="T276" i="14"/>
  <c r="S276" i="14"/>
  <c r="R276" i="14"/>
  <c r="Q276" i="14"/>
  <c r="P276" i="14"/>
  <c r="O276" i="14"/>
  <c r="N276" i="14"/>
  <c r="M276" i="14"/>
  <c r="L276" i="14"/>
  <c r="K276" i="14"/>
  <c r="J276" i="14"/>
  <c r="I276" i="14"/>
  <c r="H276" i="14"/>
  <c r="G276" i="14"/>
  <c r="F276" i="14"/>
  <c r="E276" i="14"/>
  <c r="D276" i="14"/>
  <c r="C276" i="14"/>
  <c r="AD275" i="14"/>
  <c r="AC275" i="14"/>
  <c r="AB275" i="14"/>
  <c r="AA275" i="14"/>
  <c r="Z275" i="14"/>
  <c r="Y275" i="14"/>
  <c r="X275" i="14"/>
  <c r="W275" i="14"/>
  <c r="V275" i="14"/>
  <c r="U275" i="14"/>
  <c r="T275" i="14"/>
  <c r="S275" i="14"/>
  <c r="R275" i="14"/>
  <c r="Q275" i="14"/>
  <c r="P275" i="14"/>
  <c r="O275" i="14"/>
  <c r="N275" i="14"/>
  <c r="M275" i="14"/>
  <c r="L275" i="14"/>
  <c r="K275" i="14"/>
  <c r="J275" i="14"/>
  <c r="I275" i="14"/>
  <c r="H275" i="14"/>
  <c r="G275" i="14"/>
  <c r="F275" i="14"/>
  <c r="E275" i="14"/>
  <c r="D275" i="14"/>
  <c r="C275" i="14"/>
  <c r="AD274" i="14"/>
  <c r="AC274" i="14"/>
  <c r="AB274" i="14"/>
  <c r="AA274" i="14"/>
  <c r="Z274" i="14"/>
  <c r="Y274" i="14"/>
  <c r="X274" i="14"/>
  <c r="W274" i="14"/>
  <c r="V274" i="14"/>
  <c r="U274" i="14"/>
  <c r="T274" i="14"/>
  <c r="S274" i="14"/>
  <c r="R274" i="14"/>
  <c r="Q274" i="14"/>
  <c r="P274" i="14"/>
  <c r="O274" i="14"/>
  <c r="N274" i="14"/>
  <c r="M274" i="14"/>
  <c r="L274" i="14"/>
  <c r="K274" i="14"/>
  <c r="J274" i="14"/>
  <c r="I274" i="14"/>
  <c r="H274" i="14"/>
  <c r="G274" i="14"/>
  <c r="F274" i="14"/>
  <c r="E274" i="14"/>
  <c r="D274" i="14"/>
  <c r="C274" i="14"/>
  <c r="AD273" i="14"/>
  <c r="AC273" i="14"/>
  <c r="AB273" i="14"/>
  <c r="AA273" i="14"/>
  <c r="Z273" i="14"/>
  <c r="Y273" i="14"/>
  <c r="X273" i="14"/>
  <c r="W273" i="14"/>
  <c r="V273" i="14"/>
  <c r="U273" i="14"/>
  <c r="T273" i="14"/>
  <c r="S273" i="14"/>
  <c r="R273" i="14"/>
  <c r="Q273" i="14"/>
  <c r="P273" i="14"/>
  <c r="O273" i="14"/>
  <c r="N273" i="14"/>
  <c r="M273" i="14"/>
  <c r="L273" i="14"/>
  <c r="K273" i="14"/>
  <c r="J273" i="14"/>
  <c r="I273" i="14"/>
  <c r="H273" i="14"/>
  <c r="G273" i="14"/>
  <c r="F273" i="14"/>
  <c r="E273" i="14"/>
  <c r="D273" i="14"/>
  <c r="AD272" i="14"/>
  <c r="AC272" i="14"/>
  <c r="AB272" i="14"/>
  <c r="AA272" i="14"/>
  <c r="Z272" i="14"/>
  <c r="Z283" i="14" s="1"/>
  <c r="Z40" i="14" s="1"/>
  <c r="Y272" i="14"/>
  <c r="X272" i="14"/>
  <c r="W272" i="14"/>
  <c r="V272" i="14"/>
  <c r="U272" i="14"/>
  <c r="T272" i="14"/>
  <c r="S272" i="14"/>
  <c r="R272" i="14"/>
  <c r="Q272" i="14"/>
  <c r="P272" i="14"/>
  <c r="O272" i="14"/>
  <c r="N272" i="14"/>
  <c r="M272" i="14"/>
  <c r="L272" i="14"/>
  <c r="K272" i="14"/>
  <c r="J272" i="14"/>
  <c r="I272" i="14"/>
  <c r="H272" i="14"/>
  <c r="G272" i="14"/>
  <c r="F272" i="14"/>
  <c r="E272" i="14"/>
  <c r="D272" i="14"/>
  <c r="D283" i="14" s="1"/>
  <c r="D40" i="14" s="1"/>
  <c r="AD271" i="14"/>
  <c r="AC271" i="14"/>
  <c r="AB271" i="14"/>
  <c r="AA271" i="14"/>
  <c r="Z271" i="14"/>
  <c r="Y271" i="14"/>
  <c r="X271" i="14"/>
  <c r="W271" i="14"/>
  <c r="V271" i="14"/>
  <c r="U271" i="14"/>
  <c r="T271" i="14"/>
  <c r="S271" i="14"/>
  <c r="R271" i="14"/>
  <c r="Q271" i="14"/>
  <c r="P271" i="14"/>
  <c r="O271" i="14"/>
  <c r="N271" i="14"/>
  <c r="M271" i="14"/>
  <c r="L271" i="14"/>
  <c r="L283" i="14" s="1"/>
  <c r="L40" i="14" s="1"/>
  <c r="K271" i="14"/>
  <c r="J271" i="14"/>
  <c r="I271" i="14"/>
  <c r="H271" i="14"/>
  <c r="G271" i="14"/>
  <c r="F271" i="14"/>
  <c r="E271" i="14"/>
  <c r="D271" i="14"/>
  <c r="AH270" i="14"/>
  <c r="AG270" i="14"/>
  <c r="AF270" i="14"/>
  <c r="AE270" i="14"/>
  <c r="AD270" i="14"/>
  <c r="AC270" i="14"/>
  <c r="AB270" i="14"/>
  <c r="AA270" i="14"/>
  <c r="Z270" i="14"/>
  <c r="Y270" i="14"/>
  <c r="X270" i="14"/>
  <c r="W270" i="14"/>
  <c r="V270" i="14"/>
  <c r="U270" i="14"/>
  <c r="T270" i="14"/>
  <c r="S270" i="14"/>
  <c r="R270" i="14"/>
  <c r="Q270" i="14"/>
  <c r="P270" i="14"/>
  <c r="O270" i="14"/>
  <c r="N270" i="14"/>
  <c r="M270" i="14"/>
  <c r="L270" i="14"/>
  <c r="K270" i="14"/>
  <c r="J270" i="14"/>
  <c r="I270" i="14"/>
  <c r="H270" i="14"/>
  <c r="G270" i="14"/>
  <c r="F270" i="14"/>
  <c r="E270" i="14"/>
  <c r="D270" i="14"/>
  <c r="C270" i="14"/>
  <c r="B270" i="14"/>
  <c r="AE267" i="14"/>
  <c r="I267" i="14"/>
  <c r="I34" i="14" s="1"/>
  <c r="F267" i="14"/>
  <c r="F34" i="14" s="1"/>
  <c r="E267" i="14"/>
  <c r="D267" i="14"/>
  <c r="D34" i="14" s="1"/>
  <c r="C267" i="14"/>
  <c r="B267" i="14"/>
  <c r="AC266" i="14"/>
  <c r="AB266" i="14"/>
  <c r="AA266" i="14"/>
  <c r="Z266" i="14"/>
  <c r="Y266" i="14"/>
  <c r="X266" i="14"/>
  <c r="W266" i="14"/>
  <c r="V266" i="14"/>
  <c r="U266" i="14"/>
  <c r="T266" i="14"/>
  <c r="S266" i="14"/>
  <c r="R266" i="14"/>
  <c r="Q266" i="14"/>
  <c r="P266" i="14"/>
  <c r="O266" i="14"/>
  <c r="N266" i="14"/>
  <c r="M266" i="14"/>
  <c r="L266" i="14"/>
  <c r="K266" i="14"/>
  <c r="J266" i="14"/>
  <c r="I266" i="14"/>
  <c r="H266" i="14"/>
  <c r="G266" i="14"/>
  <c r="F266" i="14"/>
  <c r="E266" i="14"/>
  <c r="D266" i="14"/>
  <c r="C266" i="14"/>
  <c r="AC265" i="14"/>
  <c r="AB265" i="14"/>
  <c r="AA265" i="14"/>
  <c r="Z265" i="14"/>
  <c r="Y265" i="14"/>
  <c r="X265" i="14"/>
  <c r="W265" i="14"/>
  <c r="V265" i="14"/>
  <c r="U265" i="14"/>
  <c r="T265" i="14"/>
  <c r="S265" i="14"/>
  <c r="R265" i="14"/>
  <c r="Q265" i="14"/>
  <c r="P265" i="14"/>
  <c r="O265" i="14"/>
  <c r="N265" i="14"/>
  <c r="M265" i="14"/>
  <c r="L265" i="14"/>
  <c r="K265" i="14"/>
  <c r="J265" i="14"/>
  <c r="I265" i="14"/>
  <c r="H265" i="14"/>
  <c r="G265" i="14"/>
  <c r="F265" i="14"/>
  <c r="E265" i="14"/>
  <c r="D265" i="14"/>
  <c r="C265" i="14"/>
  <c r="AD264" i="14"/>
  <c r="AC264" i="14"/>
  <c r="AB264" i="14"/>
  <c r="AA264" i="14"/>
  <c r="Z264" i="14"/>
  <c r="Y264" i="14"/>
  <c r="X264" i="14"/>
  <c r="W264" i="14"/>
  <c r="V264" i="14"/>
  <c r="U264" i="14"/>
  <c r="T264" i="14"/>
  <c r="S264" i="14"/>
  <c r="R264" i="14"/>
  <c r="Q264" i="14"/>
  <c r="P264" i="14"/>
  <c r="O264" i="14"/>
  <c r="N264" i="14"/>
  <c r="M264" i="14"/>
  <c r="L264" i="14"/>
  <c r="K264" i="14"/>
  <c r="J264" i="14"/>
  <c r="I264" i="14"/>
  <c r="H264" i="14"/>
  <c r="G264" i="14"/>
  <c r="F264" i="14"/>
  <c r="E264" i="14"/>
  <c r="D264" i="14"/>
  <c r="C264" i="14"/>
  <c r="AD263" i="14"/>
  <c r="AC263" i="14"/>
  <c r="AB263" i="14"/>
  <c r="AA263" i="14"/>
  <c r="Z263" i="14"/>
  <c r="Y263" i="14"/>
  <c r="X263" i="14"/>
  <c r="W263" i="14"/>
  <c r="V263" i="14"/>
  <c r="U263" i="14"/>
  <c r="T263" i="14"/>
  <c r="S263" i="14"/>
  <c r="R263" i="14"/>
  <c r="Q263" i="14"/>
  <c r="P263" i="14"/>
  <c r="O263" i="14"/>
  <c r="N263" i="14"/>
  <c r="M263" i="14"/>
  <c r="L263" i="14"/>
  <c r="K263" i="14"/>
  <c r="J263" i="14"/>
  <c r="I263" i="14"/>
  <c r="H263" i="14"/>
  <c r="G263" i="14"/>
  <c r="F263" i="14"/>
  <c r="E263" i="14"/>
  <c r="D263" i="14"/>
  <c r="C263" i="14"/>
  <c r="AD262" i="14"/>
  <c r="AC262" i="14"/>
  <c r="AB262" i="14"/>
  <c r="AA262" i="14"/>
  <c r="Z262" i="14"/>
  <c r="Y262" i="14"/>
  <c r="X262" i="14"/>
  <c r="W262" i="14"/>
  <c r="V262" i="14"/>
  <c r="U262" i="14"/>
  <c r="T262" i="14"/>
  <c r="S262" i="14"/>
  <c r="R262" i="14"/>
  <c r="Q262" i="14"/>
  <c r="P262" i="14"/>
  <c r="O262" i="14"/>
  <c r="N262" i="14"/>
  <c r="M262" i="14"/>
  <c r="L262" i="14"/>
  <c r="K262" i="14"/>
  <c r="J262" i="14"/>
  <c r="I262" i="14"/>
  <c r="H262" i="14"/>
  <c r="G262" i="14"/>
  <c r="F262" i="14"/>
  <c r="E262" i="14"/>
  <c r="D262" i="14"/>
  <c r="C262" i="14"/>
  <c r="AD261" i="14"/>
  <c r="AC261" i="14"/>
  <c r="AB261" i="14"/>
  <c r="AA261" i="14"/>
  <c r="Z261" i="14"/>
  <c r="Y261" i="14"/>
  <c r="X261" i="14"/>
  <c r="W261" i="14"/>
  <c r="V261" i="14"/>
  <c r="U261" i="14"/>
  <c r="T261" i="14"/>
  <c r="S261" i="14"/>
  <c r="R261" i="14"/>
  <c r="Q261" i="14"/>
  <c r="P261" i="14"/>
  <c r="O261" i="14"/>
  <c r="N261" i="14"/>
  <c r="M261" i="14"/>
  <c r="M267" i="14" s="1"/>
  <c r="L261" i="14"/>
  <c r="K261" i="14"/>
  <c r="K267" i="14" s="1"/>
  <c r="K34" i="14" s="1"/>
  <c r="J261" i="14"/>
  <c r="I261" i="14"/>
  <c r="H261" i="14"/>
  <c r="H267" i="14" s="1"/>
  <c r="H34" i="14" s="1"/>
  <c r="G261" i="14"/>
  <c r="F261" i="14"/>
  <c r="E261" i="14"/>
  <c r="D261" i="14"/>
  <c r="C261" i="14"/>
  <c r="AD260" i="14"/>
  <c r="AC260" i="14"/>
  <c r="AB260" i="14"/>
  <c r="AA260" i="14"/>
  <c r="Z260" i="14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AD259" i="14"/>
  <c r="AC259" i="14"/>
  <c r="AB259" i="14"/>
  <c r="AA259" i="14"/>
  <c r="Z259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G267" i="14" s="1"/>
  <c r="G34" i="14" s="1"/>
  <c r="F259" i="14"/>
  <c r="E259" i="14"/>
  <c r="D259" i="14"/>
  <c r="C259" i="14"/>
  <c r="AD258" i="14"/>
  <c r="AC258" i="14"/>
  <c r="AB258" i="14"/>
  <c r="AA258" i="14"/>
  <c r="Z258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AD257" i="14"/>
  <c r="AC257" i="14"/>
  <c r="AB257" i="14"/>
  <c r="AA257" i="14"/>
  <c r="Z257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J267" i="14" s="1"/>
  <c r="J34" i="14" s="1"/>
  <c r="I257" i="14"/>
  <c r="H257" i="14"/>
  <c r="G257" i="14"/>
  <c r="F257" i="14"/>
  <c r="E257" i="14"/>
  <c r="D257" i="14"/>
  <c r="AD256" i="14"/>
  <c r="AC256" i="14"/>
  <c r="AB256" i="14"/>
  <c r="AA256" i="14"/>
  <c r="Z256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AD255" i="14"/>
  <c r="AC255" i="14"/>
  <c r="AB255" i="14"/>
  <c r="AA255" i="14"/>
  <c r="Z255" i="14"/>
  <c r="Y255" i="14"/>
  <c r="X255" i="14"/>
  <c r="W255" i="14"/>
  <c r="W267" i="14" s="1"/>
  <c r="V255" i="14"/>
  <c r="U255" i="14"/>
  <c r="U267" i="14" s="1"/>
  <c r="U34" i="14" s="1"/>
  <c r="T255" i="14"/>
  <c r="T267" i="14" s="1"/>
  <c r="T34" i="14" s="1"/>
  <c r="S255" i="14"/>
  <c r="R255" i="14"/>
  <c r="R267" i="14" s="1"/>
  <c r="R34" i="14" s="1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AH254" i="14"/>
  <c r="AG254" i="14"/>
  <c r="AF254" i="14"/>
  <c r="AE254" i="14"/>
  <c r="AD254" i="14"/>
  <c r="AC254" i="14"/>
  <c r="AB254" i="14"/>
  <c r="AA254" i="14"/>
  <c r="Z254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AD251" i="14"/>
  <c r="AC251" i="14"/>
  <c r="AB251" i="14"/>
  <c r="AA251" i="14"/>
  <c r="Z251" i="14"/>
  <c r="Y251" i="14"/>
  <c r="X251" i="14"/>
  <c r="W251" i="14"/>
  <c r="V251" i="14"/>
  <c r="U251" i="14"/>
  <c r="T251" i="14"/>
  <c r="S251" i="14"/>
  <c r="R251" i="14"/>
  <c r="Q251" i="14"/>
  <c r="P251" i="14"/>
  <c r="O251" i="14"/>
  <c r="N251" i="14"/>
  <c r="M251" i="14"/>
  <c r="L251" i="14"/>
  <c r="K251" i="14"/>
  <c r="J251" i="14"/>
  <c r="I251" i="14"/>
  <c r="H251" i="14"/>
  <c r="G251" i="14"/>
  <c r="F251" i="14"/>
  <c r="E251" i="14"/>
  <c r="D251" i="14"/>
  <c r="C251" i="14"/>
  <c r="B251" i="14"/>
  <c r="Y248" i="14"/>
  <c r="W246" i="14"/>
  <c r="S246" i="14"/>
  <c r="S242" i="14"/>
  <c r="AH238" i="14"/>
  <c r="AG238" i="14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E235" i="14"/>
  <c r="AE234" i="14" s="1"/>
  <c r="AD234" i="14"/>
  <c r="AC234" i="14"/>
  <c r="AB234" i="14"/>
  <c r="AA234" i="14"/>
  <c r="Z234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AD233" i="14"/>
  <c r="AC233" i="14"/>
  <c r="AB233" i="14"/>
  <c r="AA233" i="14"/>
  <c r="Z233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AD232" i="14"/>
  <c r="AC232" i="14"/>
  <c r="AB232" i="14"/>
  <c r="AA232" i="14"/>
  <c r="Z232" i="14"/>
  <c r="Y232" i="14"/>
  <c r="X232" i="14"/>
  <c r="W232" i="14"/>
  <c r="V232" i="14"/>
  <c r="U232" i="14"/>
  <c r="T232" i="14"/>
  <c r="S232" i="14"/>
  <c r="R232" i="14"/>
  <c r="Q232" i="14"/>
  <c r="P232" i="14"/>
  <c r="O232" i="14"/>
  <c r="N232" i="14"/>
  <c r="M232" i="14"/>
  <c r="L232" i="14"/>
  <c r="K232" i="14"/>
  <c r="J232" i="14"/>
  <c r="I232" i="14"/>
  <c r="H232" i="14"/>
  <c r="G232" i="14"/>
  <c r="F232" i="14"/>
  <c r="E232" i="14"/>
  <c r="D232" i="14"/>
  <c r="C232" i="14"/>
  <c r="B232" i="14"/>
  <c r="AD231" i="14"/>
  <c r="AC231" i="14"/>
  <c r="AB231" i="14"/>
  <c r="AA231" i="14"/>
  <c r="Z231" i="14"/>
  <c r="Y231" i="14"/>
  <c r="X231" i="14"/>
  <c r="W231" i="14"/>
  <c r="W215" i="14" s="1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AD230" i="14"/>
  <c r="AC230" i="14"/>
  <c r="AB230" i="14"/>
  <c r="AA230" i="14"/>
  <c r="Z230" i="14"/>
  <c r="Y230" i="14"/>
  <c r="X230" i="14"/>
  <c r="W230" i="14"/>
  <c r="V230" i="14"/>
  <c r="U230" i="14"/>
  <c r="T230" i="14"/>
  <c r="S230" i="14"/>
  <c r="S214" i="14" s="1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AD229" i="14"/>
  <c r="AC229" i="14"/>
  <c r="AB229" i="14"/>
  <c r="AB245" i="14" s="1"/>
  <c r="AA229" i="14"/>
  <c r="Z229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AD228" i="14"/>
  <c r="AC228" i="14"/>
  <c r="AB228" i="14"/>
  <c r="AA228" i="14"/>
  <c r="Z228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AD227" i="14"/>
  <c r="AC227" i="14"/>
  <c r="AB227" i="14"/>
  <c r="AA227" i="14"/>
  <c r="Z227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AD226" i="14"/>
  <c r="AC226" i="14"/>
  <c r="AB226" i="14"/>
  <c r="AB210" i="14" s="1"/>
  <c r="AA226" i="14"/>
  <c r="Z226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AD225" i="14"/>
  <c r="AC225" i="14"/>
  <c r="AB225" i="14"/>
  <c r="AA225" i="14"/>
  <c r="Z225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AE224" i="14"/>
  <c r="AD224" i="14"/>
  <c r="AC224" i="14"/>
  <c r="AB224" i="14"/>
  <c r="AA224" i="14"/>
  <c r="Z224" i="14"/>
  <c r="Y224" i="14"/>
  <c r="X224" i="14"/>
  <c r="W224" i="14"/>
  <c r="V224" i="14"/>
  <c r="U224" i="14"/>
  <c r="T224" i="14"/>
  <c r="S224" i="14"/>
  <c r="S208" i="14" s="1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AD223" i="14"/>
  <c r="AC223" i="14"/>
  <c r="AB223" i="14"/>
  <c r="AB207" i="14" s="1"/>
  <c r="AA223" i="14"/>
  <c r="Z223" i="14"/>
  <c r="Y223" i="14"/>
  <c r="X223" i="14"/>
  <c r="W223" i="14"/>
  <c r="V223" i="14"/>
  <c r="U223" i="14"/>
  <c r="T223" i="14"/>
  <c r="S223" i="14"/>
  <c r="R223" i="14"/>
  <c r="Q223" i="14"/>
  <c r="P223" i="14"/>
  <c r="O223" i="14"/>
  <c r="N223" i="14"/>
  <c r="M223" i="14"/>
  <c r="L223" i="14"/>
  <c r="K223" i="14"/>
  <c r="J223" i="14"/>
  <c r="I223" i="14"/>
  <c r="H223" i="14"/>
  <c r="G223" i="14"/>
  <c r="F223" i="14"/>
  <c r="E223" i="14"/>
  <c r="D223" i="14"/>
  <c r="C223" i="14"/>
  <c r="B223" i="14"/>
  <c r="AH222" i="14"/>
  <c r="AG222" i="14"/>
  <c r="AF222" i="14"/>
  <c r="AE222" i="14"/>
  <c r="AD222" i="14"/>
  <c r="AC222" i="14"/>
  <c r="AB222" i="14"/>
  <c r="AA222" i="14"/>
  <c r="Z222" i="14"/>
  <c r="Y222" i="14"/>
  <c r="X222" i="14"/>
  <c r="W222" i="14"/>
  <c r="V222" i="14"/>
  <c r="U222" i="14"/>
  <c r="T222" i="14"/>
  <c r="S222" i="14"/>
  <c r="R222" i="14"/>
  <c r="Q222" i="14"/>
  <c r="P222" i="14"/>
  <c r="O222" i="14"/>
  <c r="N222" i="14"/>
  <c r="M222" i="14"/>
  <c r="L222" i="14"/>
  <c r="K222" i="14"/>
  <c r="J222" i="14"/>
  <c r="I222" i="14"/>
  <c r="H222" i="14"/>
  <c r="G222" i="14"/>
  <c r="F222" i="14"/>
  <c r="E222" i="14"/>
  <c r="D222" i="14"/>
  <c r="C222" i="14"/>
  <c r="B222" i="14"/>
  <c r="V215" i="14"/>
  <c r="S215" i="14"/>
  <c r="W214" i="14"/>
  <c r="AC213" i="14"/>
  <c r="AB213" i="14"/>
  <c r="W213" i="14"/>
  <c r="V213" i="14"/>
  <c r="S213" i="14"/>
  <c r="AC212" i="14"/>
  <c r="AB212" i="14"/>
  <c r="Z212" i="14"/>
  <c r="W212" i="14"/>
  <c r="Z211" i="14"/>
  <c r="AB209" i="14"/>
  <c r="Z209" i="14"/>
  <c r="W209" i="14"/>
  <c r="V209" i="14"/>
  <c r="U209" i="14"/>
  <c r="AC208" i="14"/>
  <c r="AB208" i="14"/>
  <c r="W208" i="14"/>
  <c r="W288" i="14" s="1"/>
  <c r="S207" i="14"/>
  <c r="S287" i="14" s="1"/>
  <c r="AH206" i="14"/>
  <c r="AG206" i="14"/>
  <c r="AF206" i="14"/>
  <c r="AE206" i="14"/>
  <c r="AD206" i="14"/>
  <c r="AC206" i="14"/>
  <c r="AB206" i="14"/>
  <c r="AA206" i="14"/>
  <c r="Z206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AH190" i="14"/>
  <c r="AG190" i="14"/>
  <c r="AF190" i="14"/>
  <c r="AE190" i="14"/>
  <c r="AD190" i="14"/>
  <c r="AC190" i="14"/>
  <c r="AB190" i="14"/>
  <c r="AA190" i="14"/>
  <c r="Z190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AH187" i="14"/>
  <c r="AG187" i="14"/>
  <c r="AF187" i="14"/>
  <c r="AE187" i="14"/>
  <c r="AD187" i="14"/>
  <c r="AC187" i="14"/>
  <c r="AB187" i="14"/>
  <c r="AA187" i="14"/>
  <c r="Z187" i="14"/>
  <c r="Y187" i="14"/>
  <c r="X187" i="14"/>
  <c r="W187" i="14"/>
  <c r="V187" i="14"/>
  <c r="U187" i="14"/>
  <c r="T187" i="14"/>
  <c r="S187" i="14"/>
  <c r="R187" i="14"/>
  <c r="Q187" i="14"/>
  <c r="P187" i="14"/>
  <c r="O187" i="14"/>
  <c r="N187" i="14"/>
  <c r="M187" i="14"/>
  <c r="L187" i="14"/>
  <c r="K187" i="14"/>
  <c r="J187" i="14"/>
  <c r="I187" i="14"/>
  <c r="H187" i="14"/>
  <c r="G187" i="14"/>
  <c r="F187" i="14"/>
  <c r="E187" i="14"/>
  <c r="D187" i="14"/>
  <c r="C187" i="14"/>
  <c r="B187" i="14"/>
  <c r="E179" i="14"/>
  <c r="E178" i="14"/>
  <c r="AH176" i="14"/>
  <c r="AG176" i="14"/>
  <c r="AF176" i="14"/>
  <c r="AE176" i="14"/>
  <c r="AD176" i="14"/>
  <c r="AC176" i="14"/>
  <c r="AB176" i="14"/>
  <c r="AA176" i="14"/>
  <c r="Z176" i="14"/>
  <c r="N176" i="14"/>
  <c r="M176" i="14"/>
  <c r="L176" i="14"/>
  <c r="K176" i="14"/>
  <c r="J176" i="14"/>
  <c r="I176" i="14"/>
  <c r="H176" i="14"/>
  <c r="G176" i="14"/>
  <c r="F176" i="14"/>
  <c r="E176" i="14"/>
  <c r="E177" i="14" s="1"/>
  <c r="D176" i="14"/>
  <c r="AH175" i="14"/>
  <c r="AG175" i="14"/>
  <c r="AF175" i="14"/>
  <c r="AE175" i="14"/>
  <c r="AD175" i="14"/>
  <c r="AC175" i="14"/>
  <c r="AB175" i="14"/>
  <c r="AA175" i="14"/>
  <c r="Z175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AH159" i="14"/>
  <c r="AG159" i="14"/>
  <c r="AF159" i="14"/>
  <c r="AE159" i="14"/>
  <c r="AD159" i="14"/>
  <c r="AC159" i="14"/>
  <c r="AB159" i="14"/>
  <c r="AA159" i="14"/>
  <c r="Z159" i="14"/>
  <c r="Y159" i="14"/>
  <c r="X159" i="14"/>
  <c r="W159" i="14"/>
  <c r="V159" i="14"/>
  <c r="U159" i="14"/>
  <c r="T159" i="14"/>
  <c r="S159" i="14"/>
  <c r="R159" i="14"/>
  <c r="Q159" i="14"/>
  <c r="P159" i="14"/>
  <c r="O159" i="14"/>
  <c r="N159" i="14"/>
  <c r="M159" i="14"/>
  <c r="L159" i="14"/>
  <c r="K159" i="14"/>
  <c r="J159" i="14"/>
  <c r="I159" i="14"/>
  <c r="H159" i="14"/>
  <c r="G159" i="14"/>
  <c r="F159" i="14"/>
  <c r="E159" i="14"/>
  <c r="D159" i="14"/>
  <c r="C159" i="14"/>
  <c r="B159" i="14"/>
  <c r="AH156" i="14"/>
  <c r="AG156" i="14"/>
  <c r="AF156" i="14"/>
  <c r="AE156" i="14"/>
  <c r="AD156" i="14"/>
  <c r="AC156" i="14"/>
  <c r="AC27" i="14" s="1"/>
  <c r="N156" i="14"/>
  <c r="N27" i="14" s="1"/>
  <c r="L156" i="14"/>
  <c r="L27" i="14" s="1"/>
  <c r="K156" i="14"/>
  <c r="K27" i="14" s="1"/>
  <c r="J156" i="14"/>
  <c r="J27" i="14" s="1"/>
  <c r="I156" i="14"/>
  <c r="I27" i="14" s="1"/>
  <c r="C156" i="14"/>
  <c r="B156" i="14"/>
  <c r="AC155" i="14"/>
  <c r="AB155" i="14"/>
  <c r="AA155" i="14"/>
  <c r="Z155" i="14"/>
  <c r="Y155" i="14"/>
  <c r="X155" i="14"/>
  <c r="W155" i="14"/>
  <c r="V155" i="14"/>
  <c r="U155" i="14"/>
  <c r="T155" i="14"/>
  <c r="S155" i="14"/>
  <c r="R155" i="14"/>
  <c r="Q155" i="14"/>
  <c r="P155" i="14"/>
  <c r="P156" i="14" s="1"/>
  <c r="P27" i="14" s="1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AC154" i="14"/>
  <c r="AB154" i="14"/>
  <c r="AA154" i="14"/>
  <c r="Z154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H156" i="14" s="1"/>
  <c r="H27" i="14" s="1"/>
  <c r="G154" i="14"/>
  <c r="F154" i="14"/>
  <c r="E154" i="14"/>
  <c r="D154" i="14"/>
  <c r="C154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AC151" i="14"/>
  <c r="AB151" i="14"/>
  <c r="AA151" i="14"/>
  <c r="Z151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AC150" i="14"/>
  <c r="AB150" i="14"/>
  <c r="AA150" i="14"/>
  <c r="Z150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AD149" i="14"/>
  <c r="AC149" i="14"/>
  <c r="AB149" i="14"/>
  <c r="AA149" i="14"/>
  <c r="Z149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AD148" i="14"/>
  <c r="AC148" i="14"/>
  <c r="AB148" i="14"/>
  <c r="AA148" i="14"/>
  <c r="Z148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AD147" i="14"/>
  <c r="AC147" i="14"/>
  <c r="AB147" i="14"/>
  <c r="AA147" i="14"/>
  <c r="Z147" i="14"/>
  <c r="Y147" i="14"/>
  <c r="X147" i="14"/>
  <c r="W147" i="14"/>
  <c r="V147" i="14"/>
  <c r="U147" i="14"/>
  <c r="T147" i="14"/>
  <c r="S147" i="14"/>
  <c r="R147" i="14"/>
  <c r="Q147" i="14"/>
  <c r="P147" i="14"/>
  <c r="O147" i="14"/>
  <c r="N147" i="14"/>
  <c r="M147" i="14"/>
  <c r="L147" i="14"/>
  <c r="K147" i="14"/>
  <c r="J147" i="14"/>
  <c r="I147" i="14"/>
  <c r="H147" i="14"/>
  <c r="G147" i="14"/>
  <c r="F147" i="14"/>
  <c r="E147" i="14"/>
  <c r="D147" i="14"/>
  <c r="C147" i="14"/>
  <c r="AD146" i="14"/>
  <c r="AC146" i="14"/>
  <c r="AB146" i="14"/>
  <c r="AA146" i="14"/>
  <c r="Z146" i="14"/>
  <c r="Y146" i="14"/>
  <c r="X146" i="14"/>
  <c r="W146" i="14"/>
  <c r="V146" i="14"/>
  <c r="U146" i="14"/>
  <c r="T146" i="14"/>
  <c r="S146" i="14"/>
  <c r="R146" i="14"/>
  <c r="Q146" i="14"/>
  <c r="P146" i="14"/>
  <c r="O146" i="14"/>
  <c r="N146" i="14"/>
  <c r="M146" i="14"/>
  <c r="M156" i="14" s="1"/>
  <c r="M27" i="14" s="1"/>
  <c r="L146" i="14"/>
  <c r="K146" i="14"/>
  <c r="J146" i="14"/>
  <c r="I146" i="14"/>
  <c r="H146" i="14"/>
  <c r="G146" i="14"/>
  <c r="G156" i="14" s="1"/>
  <c r="G27" i="14" s="1"/>
  <c r="F146" i="14"/>
  <c r="E146" i="14"/>
  <c r="D146" i="14"/>
  <c r="AD145" i="14"/>
  <c r="AC145" i="14"/>
  <c r="AB145" i="14"/>
  <c r="AA145" i="14"/>
  <c r="Z145" i="14"/>
  <c r="Y145" i="14"/>
  <c r="X145" i="14"/>
  <c r="W145" i="14"/>
  <c r="V145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I145" i="14"/>
  <c r="H145" i="14"/>
  <c r="G145" i="14"/>
  <c r="F145" i="14"/>
  <c r="E145" i="14"/>
  <c r="D145" i="14"/>
  <c r="AD144" i="14"/>
  <c r="AC144" i="14"/>
  <c r="AB144" i="14"/>
  <c r="AA144" i="14"/>
  <c r="Z144" i="14"/>
  <c r="Y144" i="14"/>
  <c r="X144" i="14"/>
  <c r="W144" i="14"/>
  <c r="V144" i="14"/>
  <c r="U144" i="14"/>
  <c r="U156" i="14" s="1"/>
  <c r="U27" i="14" s="1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AH140" i="14"/>
  <c r="AG140" i="14"/>
  <c r="AF140" i="14"/>
  <c r="AD140" i="14"/>
  <c r="K140" i="14"/>
  <c r="K24" i="14" s="1"/>
  <c r="J140" i="14"/>
  <c r="G140" i="14"/>
  <c r="C140" i="14"/>
  <c r="B140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AC136" i="14"/>
  <c r="AB136" i="14"/>
  <c r="AA136" i="14"/>
  <c r="Z136" i="14"/>
  <c r="Y136" i="14"/>
  <c r="X136" i="14"/>
  <c r="W136" i="14"/>
  <c r="V136" i="14"/>
  <c r="U136" i="14"/>
  <c r="T136" i="14"/>
  <c r="S136" i="14"/>
  <c r="R136" i="14"/>
  <c r="Q136" i="14"/>
  <c r="P136" i="14"/>
  <c r="O136" i="14"/>
  <c r="N136" i="14"/>
  <c r="M136" i="14"/>
  <c r="L136" i="14"/>
  <c r="K136" i="14"/>
  <c r="J136" i="14"/>
  <c r="I136" i="14"/>
  <c r="H136" i="14"/>
  <c r="G136" i="14"/>
  <c r="F136" i="14"/>
  <c r="E136" i="14"/>
  <c r="D136" i="14"/>
  <c r="C136" i="14"/>
  <c r="AC135" i="14"/>
  <c r="AB135" i="14"/>
  <c r="AA135" i="14"/>
  <c r="Z135" i="14"/>
  <c r="Y135" i="14"/>
  <c r="X135" i="14"/>
  <c r="W135" i="14"/>
  <c r="V135" i="14"/>
  <c r="U135" i="14"/>
  <c r="T135" i="14"/>
  <c r="S135" i="14"/>
  <c r="R135" i="14"/>
  <c r="Q135" i="14"/>
  <c r="P135" i="14"/>
  <c r="O135" i="14"/>
  <c r="N135" i="14"/>
  <c r="M135" i="14"/>
  <c r="L135" i="14"/>
  <c r="K135" i="14"/>
  <c r="J135" i="14"/>
  <c r="I135" i="14"/>
  <c r="H135" i="14"/>
  <c r="G135" i="14"/>
  <c r="F135" i="14"/>
  <c r="E135" i="14"/>
  <c r="D135" i="14"/>
  <c r="C135" i="14"/>
  <c r="AC134" i="14"/>
  <c r="AB134" i="14"/>
  <c r="AA134" i="14"/>
  <c r="Z134" i="14"/>
  <c r="Y134" i="14"/>
  <c r="X134" i="14"/>
  <c r="W134" i="14"/>
  <c r="V134" i="14"/>
  <c r="U134" i="14"/>
  <c r="T134" i="14"/>
  <c r="S134" i="14"/>
  <c r="R134" i="14"/>
  <c r="Q134" i="14"/>
  <c r="P134" i="14"/>
  <c r="O134" i="14"/>
  <c r="N134" i="14"/>
  <c r="M134" i="14"/>
  <c r="L134" i="14"/>
  <c r="K134" i="14"/>
  <c r="J134" i="14"/>
  <c r="I134" i="14"/>
  <c r="H134" i="14"/>
  <c r="G134" i="14"/>
  <c r="F134" i="14"/>
  <c r="E134" i="14"/>
  <c r="D134" i="14"/>
  <c r="C134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AD129" i="14"/>
  <c r="AC129" i="14"/>
  <c r="AB129" i="14"/>
  <c r="AA129" i="14"/>
  <c r="Z129" i="14"/>
  <c r="Y129" i="14"/>
  <c r="X129" i="14"/>
  <c r="W129" i="14"/>
  <c r="W140" i="14" s="1"/>
  <c r="W24" i="14" s="1"/>
  <c r="V129" i="14"/>
  <c r="U129" i="14"/>
  <c r="T129" i="14"/>
  <c r="S129" i="14"/>
  <c r="S140" i="14" s="1"/>
  <c r="S24" i="14" s="1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AD128" i="14"/>
  <c r="AC128" i="14"/>
  <c r="AC140" i="14" s="1"/>
  <c r="AC24" i="14" s="1"/>
  <c r="AB128" i="14"/>
  <c r="AA128" i="14"/>
  <c r="Z128" i="14"/>
  <c r="Z140" i="14" s="1"/>
  <c r="Z24" i="14" s="1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I140" i="14" s="1"/>
  <c r="I24" i="14" s="1"/>
  <c r="H128" i="14"/>
  <c r="G128" i="14"/>
  <c r="F128" i="14"/>
  <c r="E128" i="14"/>
  <c r="E140" i="14" s="1"/>
  <c r="E24" i="14" s="1"/>
  <c r="D128" i="14"/>
  <c r="D140" i="14" s="1"/>
  <c r="D24" i="14" s="1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AF124" i="14"/>
  <c r="AE124" i="14"/>
  <c r="AG124" i="14" s="1"/>
  <c r="AC123" i="14"/>
  <c r="AB123" i="14"/>
  <c r="Y123" i="14"/>
  <c r="Y250" i="14" s="1"/>
  <c r="W122" i="14"/>
  <c r="V122" i="14"/>
  <c r="U122" i="14"/>
  <c r="AC121" i="14"/>
  <c r="AB121" i="14"/>
  <c r="AA121" i="14"/>
  <c r="AA248" i="14" s="1"/>
  <c r="Z121" i="14"/>
  <c r="Z248" i="14" s="1"/>
  <c r="Y118" i="14"/>
  <c r="W118" i="14"/>
  <c r="V118" i="14"/>
  <c r="U118" i="14"/>
  <c r="S118" i="14"/>
  <c r="AB117" i="14"/>
  <c r="Y116" i="14"/>
  <c r="V116" i="14"/>
  <c r="U116" i="14"/>
  <c r="S116" i="14"/>
  <c r="X115" i="14"/>
  <c r="X242" i="14" s="1"/>
  <c r="AA114" i="14"/>
  <c r="W114" i="14"/>
  <c r="V114" i="14"/>
  <c r="S114" i="14"/>
  <c r="W112" i="14"/>
  <c r="S112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07" i="14"/>
  <c r="W106" i="14"/>
  <c r="V106" i="14"/>
  <c r="U106" i="14"/>
  <c r="S106" i="14"/>
  <c r="S122" i="14" s="1"/>
  <c r="AC105" i="14"/>
  <c r="AB105" i="14"/>
  <c r="AA105" i="14"/>
  <c r="Z105" i="14"/>
  <c r="Y105" i="14"/>
  <c r="Y121" i="14" s="1"/>
  <c r="X105" i="14"/>
  <c r="X121" i="14" s="1"/>
  <c r="X248" i="14" s="1"/>
  <c r="T105" i="14"/>
  <c r="T121" i="14" s="1"/>
  <c r="T248" i="14" s="1"/>
  <c r="AA104" i="14"/>
  <c r="AA120" i="14" s="1"/>
  <c r="AA247" i="14" s="1"/>
  <c r="Z104" i="14"/>
  <c r="Z120" i="14" s="1"/>
  <c r="Z247" i="14" s="1"/>
  <c r="Y104" i="14"/>
  <c r="Y120" i="14" s="1"/>
  <c r="Y247" i="14" s="1"/>
  <c r="W104" i="14"/>
  <c r="W120" i="14" s="1"/>
  <c r="V104" i="14"/>
  <c r="V120" i="14" s="1"/>
  <c r="U104" i="14"/>
  <c r="U120" i="14" s="1"/>
  <c r="S104" i="14"/>
  <c r="S120" i="14" s="1"/>
  <c r="AB103" i="14"/>
  <c r="AB119" i="14" s="1"/>
  <c r="AC102" i="14"/>
  <c r="AC118" i="14" s="1"/>
  <c r="AA102" i="14"/>
  <c r="AA118" i="14" s="1"/>
  <c r="Z102" i="14"/>
  <c r="Z118" i="14" s="1"/>
  <c r="W102" i="14"/>
  <c r="V102" i="14"/>
  <c r="S102" i="14"/>
  <c r="T101" i="14"/>
  <c r="T117" i="14" s="1"/>
  <c r="T244" i="14" s="1"/>
  <c r="W100" i="14"/>
  <c r="W116" i="14" s="1"/>
  <c r="V100" i="14"/>
  <c r="U100" i="14"/>
  <c r="S100" i="14"/>
  <c r="AB99" i="14"/>
  <c r="AB115" i="14" s="1"/>
  <c r="AA99" i="14"/>
  <c r="AA115" i="14" s="1"/>
  <c r="AA242" i="14" s="1"/>
  <c r="Z99" i="14"/>
  <c r="Z115" i="14" s="1"/>
  <c r="Z242" i="14" s="1"/>
  <c r="Y99" i="14"/>
  <c r="Y115" i="14" s="1"/>
  <c r="Y242" i="14" s="1"/>
  <c r="X99" i="14"/>
  <c r="AA98" i="14"/>
  <c r="W98" i="14"/>
  <c r="V98" i="14"/>
  <c r="U98" i="14"/>
  <c r="U114" i="14" s="1"/>
  <c r="S98" i="14"/>
  <c r="AC97" i="14"/>
  <c r="AC113" i="14" s="1"/>
  <c r="AB97" i="14"/>
  <c r="AB113" i="14" s="1"/>
  <c r="W96" i="14"/>
  <c r="S96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AH92" i="14"/>
  <c r="AG92" i="14"/>
  <c r="AF92" i="14"/>
  <c r="AE92" i="14"/>
  <c r="AD92" i="14"/>
  <c r="AC92" i="14"/>
  <c r="AB92" i="14"/>
  <c r="AB86" i="14" s="1"/>
  <c r="AB102" i="14" s="1"/>
  <c r="AB118" i="14" s="1"/>
  <c r="AA92" i="14"/>
  <c r="AA81" i="14" s="1"/>
  <c r="Z92" i="14"/>
  <c r="Y92" i="14"/>
  <c r="Y84" i="14" s="1"/>
  <c r="Y100" i="14" s="1"/>
  <c r="X92" i="14"/>
  <c r="X84" i="14" s="1"/>
  <c r="X100" i="14" s="1"/>
  <c r="X116" i="14" s="1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C91" i="14"/>
  <c r="AC107" i="14" s="1"/>
  <c r="AB91" i="14"/>
  <c r="AB107" i="14" s="1"/>
  <c r="AA91" i="14"/>
  <c r="Z91" i="14"/>
  <c r="Z218" i="14" s="1"/>
  <c r="Y91" i="14"/>
  <c r="Y218" i="14" s="1"/>
  <c r="X91" i="14"/>
  <c r="W91" i="14"/>
  <c r="V91" i="14"/>
  <c r="U91" i="14"/>
  <c r="T91" i="14"/>
  <c r="S91" i="14"/>
  <c r="R91" i="14" s="1"/>
  <c r="AC90" i="14"/>
  <c r="AC106" i="14" s="1"/>
  <c r="AC122" i="14" s="1"/>
  <c r="AB90" i="14"/>
  <c r="AA90" i="14"/>
  <c r="AA106" i="14" s="1"/>
  <c r="AA122" i="14" s="1"/>
  <c r="AA249" i="14" s="1"/>
  <c r="Z90" i="14"/>
  <c r="Y90" i="14"/>
  <c r="Y106" i="14" s="1"/>
  <c r="Y122" i="14" s="1"/>
  <c r="Y249" i="14" s="1"/>
  <c r="X90" i="14"/>
  <c r="W90" i="14"/>
  <c r="V90" i="14"/>
  <c r="V217" i="14" s="1"/>
  <c r="U90" i="14"/>
  <c r="S90" i="14"/>
  <c r="AC89" i="14"/>
  <c r="AB89" i="14"/>
  <c r="AA89" i="14"/>
  <c r="AA216" i="14" s="1"/>
  <c r="Z89" i="14"/>
  <c r="Z216" i="14" s="1"/>
  <c r="Y89" i="14"/>
  <c r="Y216" i="14" s="1"/>
  <c r="X89" i="14"/>
  <c r="X216" i="14" s="1"/>
  <c r="W89" i="14"/>
  <c r="V89" i="14"/>
  <c r="U89" i="14"/>
  <c r="T89" i="14"/>
  <c r="S89" i="14"/>
  <c r="AC88" i="14"/>
  <c r="AC104" i="14" s="1"/>
  <c r="AC120" i="14" s="1"/>
  <c r="AB88" i="14"/>
  <c r="AA88" i="14"/>
  <c r="AA215" i="14" s="1"/>
  <c r="Z88" i="14"/>
  <c r="Z215" i="14" s="1"/>
  <c r="Y88" i="14"/>
  <c r="Y215" i="14" s="1"/>
  <c r="X88" i="14"/>
  <c r="W88" i="14"/>
  <c r="V88" i="14"/>
  <c r="U88" i="14"/>
  <c r="U215" i="14" s="1"/>
  <c r="T88" i="14"/>
  <c r="T215" i="14" s="1"/>
  <c r="S88" i="14"/>
  <c r="AC87" i="14"/>
  <c r="AC214" i="14" s="1"/>
  <c r="AB87" i="14"/>
  <c r="AB214" i="14" s="1"/>
  <c r="AA87" i="14"/>
  <c r="AA214" i="14" s="1"/>
  <c r="Z87" i="14"/>
  <c r="Z103" i="14" s="1"/>
  <c r="Z119" i="14" s="1"/>
  <c r="Z246" i="14" s="1"/>
  <c r="Y87" i="14"/>
  <c r="Y214" i="14" s="1"/>
  <c r="X87" i="14"/>
  <c r="W87" i="14"/>
  <c r="W103" i="14" s="1"/>
  <c r="W119" i="14" s="1"/>
  <c r="V87" i="14"/>
  <c r="U87" i="14"/>
  <c r="S87" i="14"/>
  <c r="S103" i="14" s="1"/>
  <c r="S119" i="14" s="1"/>
  <c r="AC86" i="14"/>
  <c r="AA86" i="14"/>
  <c r="Z86" i="14"/>
  <c r="Y86" i="14"/>
  <c r="Y102" i="14" s="1"/>
  <c r="X86" i="14"/>
  <c r="X102" i="14" s="1"/>
  <c r="X118" i="14" s="1"/>
  <c r="X245" i="14" s="1"/>
  <c r="W86" i="14"/>
  <c r="V86" i="14"/>
  <c r="U86" i="14"/>
  <c r="U102" i="14" s="1"/>
  <c r="S86" i="14"/>
  <c r="AC85" i="14"/>
  <c r="AC101" i="14" s="1"/>
  <c r="AC117" i="14" s="1"/>
  <c r="AB85" i="14"/>
  <c r="AB101" i="14" s="1"/>
  <c r="AA85" i="14"/>
  <c r="Z85" i="14"/>
  <c r="Z101" i="14" s="1"/>
  <c r="Z117" i="14" s="1"/>
  <c r="Z244" i="14" s="1"/>
  <c r="Y85" i="14"/>
  <c r="X85" i="14"/>
  <c r="W85" i="14"/>
  <c r="W101" i="14" s="1"/>
  <c r="W117" i="14" s="1"/>
  <c r="W244" i="14" s="1"/>
  <c r="V85" i="14"/>
  <c r="U85" i="14"/>
  <c r="T85" i="14"/>
  <c r="T212" i="14" s="1"/>
  <c r="S85" i="14"/>
  <c r="AC84" i="14"/>
  <c r="AB84" i="14"/>
  <c r="AA84" i="14"/>
  <c r="Z84" i="14"/>
  <c r="Z100" i="14" s="1"/>
  <c r="Z116" i="14" s="1"/>
  <c r="W84" i="14"/>
  <c r="V84" i="14"/>
  <c r="U84" i="14"/>
  <c r="S84" i="14"/>
  <c r="S211" i="14" s="1"/>
  <c r="AC83" i="14"/>
  <c r="AC210" i="14" s="1"/>
  <c r="AB83" i="14"/>
  <c r="AA83" i="14"/>
  <c r="AA210" i="14" s="1"/>
  <c r="Z83" i="14"/>
  <c r="Z210" i="14" s="1"/>
  <c r="Y83" i="14"/>
  <c r="Y210" i="14" s="1"/>
  <c r="X83" i="14"/>
  <c r="X210" i="14" s="1"/>
  <c r="W83" i="14"/>
  <c r="V83" i="14"/>
  <c r="U83" i="14"/>
  <c r="T83" i="14"/>
  <c r="T210" i="14" s="1"/>
  <c r="S83" i="14"/>
  <c r="S99" i="14" s="1"/>
  <c r="S115" i="14" s="1"/>
  <c r="AD82" i="14"/>
  <c r="AC82" i="14"/>
  <c r="AB82" i="14"/>
  <c r="AA82" i="14"/>
  <c r="Z82" i="14"/>
  <c r="Z98" i="14" s="1"/>
  <c r="Z114" i="14" s="1"/>
  <c r="Y82" i="14"/>
  <c r="Y209" i="14" s="1"/>
  <c r="X82" i="14"/>
  <c r="X209" i="14" s="1"/>
  <c r="W82" i="14"/>
  <c r="V82" i="14"/>
  <c r="U82" i="14"/>
  <c r="S82" i="14"/>
  <c r="AC81" i="14"/>
  <c r="AB81" i="14"/>
  <c r="Z81" i="14"/>
  <c r="Z97" i="14" s="1"/>
  <c r="Z113" i="14" s="1"/>
  <c r="Z240" i="14" s="1"/>
  <c r="Y81" i="14"/>
  <c r="Y208" i="14" s="1"/>
  <c r="W81" i="14"/>
  <c r="W97" i="14" s="1"/>
  <c r="W113" i="14" s="1"/>
  <c r="W240" i="14" s="1"/>
  <c r="V81" i="14"/>
  <c r="U81" i="14"/>
  <c r="S81" i="14"/>
  <c r="S97" i="14" s="1"/>
  <c r="S113" i="14" s="1"/>
  <c r="S240" i="14" s="1"/>
  <c r="AD80" i="14"/>
  <c r="AC80" i="14"/>
  <c r="AC96" i="14" s="1"/>
  <c r="AC112" i="14" s="1"/>
  <c r="AB80" i="14"/>
  <c r="AB96" i="14" s="1"/>
  <c r="AA80" i="14"/>
  <c r="Z80" i="14"/>
  <c r="Y80" i="14"/>
  <c r="Y96" i="14" s="1"/>
  <c r="X80" i="14"/>
  <c r="X96" i="14" s="1"/>
  <c r="W80" i="14"/>
  <c r="V80" i="14"/>
  <c r="U80" i="14"/>
  <c r="U96" i="14" s="1"/>
  <c r="S80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H76" i="14"/>
  <c r="AG76" i="14"/>
  <c r="AF76" i="14"/>
  <c r="AE76" i="14"/>
  <c r="AD76" i="14"/>
  <c r="V76" i="14"/>
  <c r="V13" i="14" s="1"/>
  <c r="U76" i="14"/>
  <c r="U13" i="14" s="1"/>
  <c r="P76" i="14"/>
  <c r="P13" i="14" s="1"/>
  <c r="G76" i="14"/>
  <c r="G13" i="14" s="1"/>
  <c r="F76" i="14"/>
  <c r="F13" i="14" s="1"/>
  <c r="C76" i="14"/>
  <c r="B76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Q76" i="14" s="1"/>
  <c r="Q13" i="14" s="1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AN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AD68" i="14"/>
  <c r="AN68" i="14" s="1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AN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AD64" i="14"/>
  <c r="AC64" i="14"/>
  <c r="AB64" i="14"/>
  <c r="AA64" i="14"/>
  <c r="Z64" i="14"/>
  <c r="Y64" i="14"/>
  <c r="Y76" i="14" s="1"/>
  <c r="X64" i="14"/>
  <c r="X76" i="14" s="1"/>
  <c r="W64" i="14"/>
  <c r="W76" i="14" s="1"/>
  <c r="W13" i="14" s="1"/>
  <c r="V64" i="14"/>
  <c r="U64" i="14"/>
  <c r="T64" i="14"/>
  <c r="T76" i="14" s="1"/>
  <c r="T13" i="14" s="1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H60" i="14"/>
  <c r="AG60" i="14"/>
  <c r="AF60" i="14"/>
  <c r="AE60" i="14"/>
  <c r="AD60" i="14"/>
  <c r="V60" i="14"/>
  <c r="V10" i="14" s="1"/>
  <c r="V11" i="14" s="1"/>
  <c r="V16" i="14" s="1"/>
  <c r="T60" i="14"/>
  <c r="T10" i="14" s="1"/>
  <c r="S60" i="14"/>
  <c r="S10" i="14" s="1"/>
  <c r="J60" i="14"/>
  <c r="J10" i="14" s="1"/>
  <c r="J11" i="14" s="1"/>
  <c r="J16" i="14" s="1"/>
  <c r="F60" i="14"/>
  <c r="F10" i="14" s="1"/>
  <c r="F11" i="14" s="1"/>
  <c r="F16" i="14" s="1"/>
  <c r="E60" i="14"/>
  <c r="E10" i="14" s="1"/>
  <c r="E11" i="14" s="1"/>
  <c r="E16" i="14" s="1"/>
  <c r="C60" i="14"/>
  <c r="B60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AC58" i="14"/>
  <c r="AB58" i="14"/>
  <c r="AA58" i="14"/>
  <c r="Z58" i="14"/>
  <c r="Z60" i="14" s="1"/>
  <c r="Y58" i="14"/>
  <c r="X58" i="14"/>
  <c r="W58" i="14"/>
  <c r="W60" i="14" s="1"/>
  <c r="W10" i="14" s="1"/>
  <c r="W11" i="14" s="1"/>
  <c r="W16" i="14" s="1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AD50" i="14"/>
  <c r="AC50" i="14"/>
  <c r="AB50" i="14"/>
  <c r="AB60" i="14" s="1"/>
  <c r="AB10" i="14" s="1"/>
  <c r="AB11" i="14" s="1"/>
  <c r="AB16" i="14" s="1"/>
  <c r="AA50" i="14"/>
  <c r="Z50" i="14"/>
  <c r="Y50" i="14"/>
  <c r="X50" i="14"/>
  <c r="W50" i="14"/>
  <c r="V50" i="14"/>
  <c r="U50" i="14"/>
  <c r="U60" i="14" s="1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I60" i="14" s="1"/>
  <c r="I10" i="14" s="1"/>
  <c r="I11" i="14" s="1"/>
  <c r="I16" i="14" s="1"/>
  <c r="H49" i="14"/>
  <c r="G49" i="14"/>
  <c r="F49" i="14"/>
  <c r="E49" i="14"/>
  <c r="D49" i="14"/>
  <c r="AD48" i="14"/>
  <c r="AC48" i="14"/>
  <c r="AC60" i="14" s="1"/>
  <c r="AC10" i="14" s="1"/>
  <c r="AC11" i="14" s="1"/>
  <c r="AC16" i="14" s="1"/>
  <c r="AB48" i="14"/>
  <c r="AA48" i="14"/>
  <c r="Z48" i="14"/>
  <c r="Y48" i="14"/>
  <c r="X48" i="14"/>
  <c r="W48" i="14"/>
  <c r="V48" i="14"/>
  <c r="U48" i="14"/>
  <c r="T48" i="14"/>
  <c r="S48" i="14"/>
  <c r="R48" i="14"/>
  <c r="R60" i="14" s="1"/>
  <c r="R10" i="14" s="1"/>
  <c r="R11" i="14" s="1"/>
  <c r="R16" i="14" s="1"/>
  <c r="Q48" i="14"/>
  <c r="P48" i="14"/>
  <c r="O48" i="14"/>
  <c r="N48" i="14"/>
  <c r="M48" i="14"/>
  <c r="L48" i="14"/>
  <c r="K48" i="14"/>
  <c r="J48" i="14"/>
  <c r="I48" i="14"/>
  <c r="H48" i="14"/>
  <c r="G48" i="14"/>
  <c r="G60" i="14" s="1"/>
  <c r="G10" i="14" s="1"/>
  <c r="G11" i="14" s="1"/>
  <c r="G16" i="14" s="1"/>
  <c r="F48" i="14"/>
  <c r="E48" i="14"/>
  <c r="D48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H39" i="14"/>
  <c r="AG39" i="14"/>
  <c r="AG36" i="14" s="1"/>
  <c r="AG299" i="14" s="1"/>
  <c r="AF39" i="14"/>
  <c r="AF36" i="14" s="1"/>
  <c r="AF299" i="14" s="1"/>
  <c r="AE39" i="14"/>
  <c r="AH36" i="14"/>
  <c r="AE36" i="14"/>
  <c r="AE299" i="14" s="1"/>
  <c r="AD36" i="14"/>
  <c r="AD299" i="14" s="1"/>
  <c r="AC36" i="14"/>
  <c r="AC299" i="14" s="1"/>
  <c r="AB36" i="14"/>
  <c r="AB299" i="14" s="1"/>
  <c r="AA36" i="14"/>
  <c r="AA299" i="14" s="1"/>
  <c r="Z36" i="14"/>
  <c r="Z299" i="14" s="1"/>
  <c r="Y36" i="14"/>
  <c r="Y299" i="14" s="1"/>
  <c r="X36" i="14"/>
  <c r="X299" i="14" s="1"/>
  <c r="W36" i="14"/>
  <c r="W299" i="14" s="1"/>
  <c r="V36" i="14"/>
  <c r="V299" i="14" s="1"/>
  <c r="U36" i="14"/>
  <c r="U299" i="14" s="1"/>
  <c r="T36" i="14"/>
  <c r="T299" i="14" s="1"/>
  <c r="S36" i="14"/>
  <c r="S299" i="14" s="1"/>
  <c r="R36" i="14"/>
  <c r="R299" i="14" s="1"/>
  <c r="Q36" i="14"/>
  <c r="Q299" i="14" s="1"/>
  <c r="P36" i="14"/>
  <c r="P299" i="14" s="1"/>
  <c r="O36" i="14"/>
  <c r="O299" i="14" s="1"/>
  <c r="N36" i="14"/>
  <c r="N299" i="14" s="1"/>
  <c r="M36" i="14"/>
  <c r="M299" i="14" s="1"/>
  <c r="L36" i="14"/>
  <c r="L299" i="14" s="1"/>
  <c r="K36" i="14"/>
  <c r="K299" i="14" s="1"/>
  <c r="J36" i="14"/>
  <c r="J299" i="14" s="1"/>
  <c r="I36" i="14"/>
  <c r="I299" i="14" s="1"/>
  <c r="H36" i="14"/>
  <c r="H299" i="14" s="1"/>
  <c r="G36" i="14"/>
  <c r="F36" i="14"/>
  <c r="F299" i="14" s="1"/>
  <c r="E36" i="14"/>
  <c r="E299" i="14" s="1"/>
  <c r="D36" i="14"/>
  <c r="D299" i="14" s="1"/>
  <c r="C36" i="14"/>
  <c r="C299" i="14" s="1"/>
  <c r="B36" i="14"/>
  <c r="B299" i="14" s="1"/>
  <c r="AH34" i="14"/>
  <c r="AH267" i="14" s="1"/>
  <c r="AG34" i="14"/>
  <c r="AG267" i="14" s="1"/>
  <c r="AF34" i="14"/>
  <c r="AF267" i="14" s="1"/>
  <c r="AD34" i="14"/>
  <c r="AD267" i="14" s="1"/>
  <c r="W34" i="14"/>
  <c r="M34" i="14"/>
  <c r="E34" i="14"/>
  <c r="AC33" i="14"/>
  <c r="AB33" i="14"/>
  <c r="AA33" i="14"/>
  <c r="Z33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AD26" i="14"/>
  <c r="AE24" i="14"/>
  <c r="AE140" i="14" s="1"/>
  <c r="J24" i="14"/>
  <c r="G24" i="14"/>
  <c r="AG23" i="14"/>
  <c r="AD23" i="14"/>
  <c r="AC23" i="14"/>
  <c r="AB23" i="14"/>
  <c r="AA23" i="14"/>
  <c r="AH22" i="14"/>
  <c r="AG22" i="14"/>
  <c r="AF22" i="14"/>
  <c r="AE22" i="14"/>
  <c r="AD22" i="14"/>
  <c r="AD25" i="14" s="1"/>
  <c r="AD28" i="14" s="1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AD16" i="14"/>
  <c r="Y14" i="14"/>
  <c r="X14" i="14"/>
  <c r="W14" i="14"/>
  <c r="V14" i="14"/>
  <c r="M14" i="14"/>
  <c r="L14" i="14"/>
  <c r="D14" i="14"/>
  <c r="C14" i="14"/>
  <c r="B14" i="14"/>
  <c r="AD11" i="14"/>
  <c r="B11" i="14"/>
  <c r="B16" i="14" s="1"/>
  <c r="B15" i="14" s="1"/>
  <c r="B46" i="14" s="1"/>
  <c r="U10" i="14"/>
  <c r="U11" i="14" s="1"/>
  <c r="U16" i="14" s="1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C11" i="14" s="1"/>
  <c r="C16" i="14" s="1"/>
  <c r="C15" i="14" s="1"/>
  <c r="C46" i="14" s="1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Z6" i="14"/>
  <c r="Y6" i="14"/>
  <c r="X6" i="14"/>
  <c r="W6" i="14"/>
  <c r="V6" i="14"/>
  <c r="U6" i="14"/>
  <c r="T6" i="14"/>
  <c r="S6" i="14"/>
  <c r="R6" i="14"/>
  <c r="Q6" i="14"/>
  <c r="P6" i="14"/>
  <c r="O6" i="14"/>
  <c r="E6" i="14"/>
  <c r="D6" i="14"/>
  <c r="C6" i="14"/>
  <c r="B6" i="14"/>
  <c r="AF5" i="14"/>
  <c r="AE5" i="14"/>
  <c r="Z4" i="14"/>
  <c r="Y4" i="14"/>
  <c r="X4" i="14"/>
  <c r="W4" i="14"/>
  <c r="V4" i="14"/>
  <c r="U14" i="14" s="1"/>
  <c r="U4" i="14"/>
  <c r="T14" i="14" s="1"/>
  <c r="T4" i="14"/>
  <c r="S14" i="14" s="1"/>
  <c r="S4" i="14"/>
  <c r="R14" i="14" s="1"/>
  <c r="R4" i="14"/>
  <c r="Q14" i="14" s="1"/>
  <c r="Q4" i="14"/>
  <c r="P14" i="14" s="1"/>
  <c r="P4" i="14"/>
  <c r="O14" i="14" s="1"/>
  <c r="O4" i="14"/>
  <c r="N14" i="14" s="1"/>
  <c r="N4" i="14"/>
  <c r="N6" i="14" s="1"/>
  <c r="M4" i="14"/>
  <c r="M6" i="14" s="1"/>
  <c r="L4" i="14"/>
  <c r="K14" i="14" s="1"/>
  <c r="K4" i="14"/>
  <c r="J4" i="14"/>
  <c r="I4" i="14"/>
  <c r="H4" i="14"/>
  <c r="G4" i="14"/>
  <c r="F4" i="14"/>
  <c r="E4" i="14"/>
  <c r="D4" i="14"/>
  <c r="C4" i="14"/>
  <c r="AA4" i="14" s="1"/>
  <c r="B4" i="14"/>
  <c r="AE317" i="13"/>
  <c r="AD317" i="13"/>
  <c r="AC317" i="13"/>
  <c r="AB317" i="13"/>
  <c r="AA317" i="13"/>
  <c r="Z317" i="13"/>
  <c r="Y317" i="13"/>
  <c r="X317" i="13"/>
  <c r="W317" i="13"/>
  <c r="V317" i="13"/>
  <c r="U317" i="13"/>
  <c r="T317" i="13"/>
  <c r="S317" i="13"/>
  <c r="R317" i="13"/>
  <c r="Q317" i="13"/>
  <c r="P317" i="13"/>
  <c r="O317" i="13"/>
  <c r="N317" i="13"/>
  <c r="M317" i="13"/>
  <c r="L317" i="13"/>
  <c r="K317" i="13"/>
  <c r="J317" i="13"/>
  <c r="I317" i="13"/>
  <c r="H317" i="13"/>
  <c r="G317" i="13"/>
  <c r="F317" i="13"/>
  <c r="E317" i="13"/>
  <c r="D317" i="13"/>
  <c r="C317" i="13"/>
  <c r="B317" i="13"/>
  <c r="AE314" i="13"/>
  <c r="AD314" i="13"/>
  <c r="AC314" i="13"/>
  <c r="AB314" i="13"/>
  <c r="AA314" i="13"/>
  <c r="Z314" i="13"/>
  <c r="Y314" i="13"/>
  <c r="X314" i="13"/>
  <c r="W314" i="13"/>
  <c r="V314" i="13"/>
  <c r="U314" i="13"/>
  <c r="T314" i="13"/>
  <c r="U303" i="13" s="1"/>
  <c r="S314" i="13"/>
  <c r="S306" i="13" s="1"/>
  <c r="R314" i="13"/>
  <c r="Q314" i="13"/>
  <c r="P314" i="13"/>
  <c r="O314" i="13"/>
  <c r="N314" i="13"/>
  <c r="M314" i="13"/>
  <c r="L314" i="13"/>
  <c r="K314" i="13"/>
  <c r="J314" i="13"/>
  <c r="I314" i="13"/>
  <c r="H314" i="13"/>
  <c r="G314" i="13"/>
  <c r="F314" i="13"/>
  <c r="E314" i="13"/>
  <c r="D314" i="13"/>
  <c r="C314" i="13"/>
  <c r="B314" i="13"/>
  <c r="T306" i="13"/>
  <c r="T304" i="13"/>
  <c r="T305" i="13" s="1"/>
  <c r="S304" i="13"/>
  <c r="S305" i="13" s="1"/>
  <c r="P304" i="13"/>
  <c r="P305" i="13" s="1"/>
  <c r="AE303" i="13"/>
  <c r="AD303" i="13"/>
  <c r="AC303" i="13"/>
  <c r="AB303" i="13"/>
  <c r="T303" i="13"/>
  <c r="S303" i="13"/>
  <c r="P303" i="13"/>
  <c r="M303" i="13"/>
  <c r="L303" i="13"/>
  <c r="G303" i="13"/>
  <c r="F303" i="13"/>
  <c r="C303" i="13"/>
  <c r="AE302" i="13"/>
  <c r="AD302" i="13"/>
  <c r="AC302" i="13"/>
  <c r="AB302" i="13"/>
  <c r="AA302" i="13"/>
  <c r="Z302" i="13"/>
  <c r="Y302" i="13"/>
  <c r="X302" i="13"/>
  <c r="W302" i="13"/>
  <c r="V302" i="13"/>
  <c r="U302" i="13"/>
  <c r="T302" i="13"/>
  <c r="S302" i="13"/>
  <c r="R302" i="13"/>
  <c r="Q302" i="13"/>
  <c r="P302" i="13"/>
  <c r="O302" i="13"/>
  <c r="N302" i="13"/>
  <c r="M302" i="13"/>
  <c r="L302" i="13"/>
  <c r="K302" i="13"/>
  <c r="J302" i="13"/>
  <c r="I302" i="13"/>
  <c r="H302" i="13"/>
  <c r="G302" i="13"/>
  <c r="F302" i="13"/>
  <c r="E302" i="13"/>
  <c r="D302" i="13"/>
  <c r="C302" i="13"/>
  <c r="B302" i="13"/>
  <c r="D299" i="13"/>
  <c r="AE298" i="13"/>
  <c r="AD298" i="13"/>
  <c r="AC298" i="13"/>
  <c r="AB298" i="13"/>
  <c r="J298" i="13"/>
  <c r="I298" i="13"/>
  <c r="F298" i="13"/>
  <c r="E298" i="13"/>
  <c r="C298" i="13"/>
  <c r="V297" i="13"/>
  <c r="N297" i="13"/>
  <c r="AE296" i="13"/>
  <c r="AD296" i="13"/>
  <c r="W296" i="13"/>
  <c r="V296" i="13"/>
  <c r="R296" i="13"/>
  <c r="I296" i="13"/>
  <c r="AC295" i="13"/>
  <c r="AB295" i="13"/>
  <c r="Q295" i="13"/>
  <c r="N295" i="13"/>
  <c r="M295" i="13"/>
  <c r="K295" i="13"/>
  <c r="J295" i="13"/>
  <c r="I295" i="13"/>
  <c r="H295" i="13"/>
  <c r="O294" i="13"/>
  <c r="N294" i="13"/>
  <c r="M294" i="13"/>
  <c r="AD293" i="13"/>
  <c r="AB293" i="13"/>
  <c r="AA293" i="13"/>
  <c r="J293" i="13"/>
  <c r="H293" i="13"/>
  <c r="E293" i="13"/>
  <c r="AE292" i="13"/>
  <c r="AD292" i="13"/>
  <c r="S292" i="13"/>
  <c r="M292" i="13"/>
  <c r="H292" i="13"/>
  <c r="G292" i="13"/>
  <c r="Z291" i="13"/>
  <c r="X291" i="13"/>
  <c r="W291" i="13"/>
  <c r="V291" i="13"/>
  <c r="R291" i="13"/>
  <c r="AA290" i="13"/>
  <c r="M290" i="13"/>
  <c r="J290" i="13"/>
  <c r="I290" i="13"/>
  <c r="H290" i="13"/>
  <c r="G290" i="13"/>
  <c r="F290" i="13"/>
  <c r="R289" i="13"/>
  <c r="Q289" i="13"/>
  <c r="N289" i="13"/>
  <c r="M289" i="13"/>
  <c r="L289" i="13"/>
  <c r="K289" i="13"/>
  <c r="J289" i="13"/>
  <c r="I289" i="13"/>
  <c r="H289" i="13"/>
  <c r="AE287" i="13"/>
  <c r="AD287" i="13"/>
  <c r="AA287" i="13"/>
  <c r="Y287" i="13"/>
  <c r="G287" i="13"/>
  <c r="B287" i="13"/>
  <c r="AE286" i="13"/>
  <c r="AD286" i="13"/>
  <c r="AC286" i="13"/>
  <c r="AB286" i="13"/>
  <c r="AA286" i="13"/>
  <c r="Z286" i="13"/>
  <c r="Y286" i="13"/>
  <c r="X286" i="13"/>
  <c r="W286" i="13"/>
  <c r="V286" i="13"/>
  <c r="U286" i="13"/>
  <c r="T286" i="13"/>
  <c r="S286" i="13"/>
  <c r="R286" i="13"/>
  <c r="Q286" i="13"/>
  <c r="P286" i="13"/>
  <c r="O286" i="13"/>
  <c r="N286" i="13"/>
  <c r="M286" i="13"/>
  <c r="L286" i="13"/>
  <c r="K286" i="13"/>
  <c r="J286" i="13"/>
  <c r="I286" i="13"/>
  <c r="H286" i="13"/>
  <c r="G286" i="13"/>
  <c r="F286" i="13"/>
  <c r="E286" i="13"/>
  <c r="D286" i="13"/>
  <c r="C286" i="13"/>
  <c r="B286" i="13"/>
  <c r="AD283" i="13"/>
  <c r="G283" i="13"/>
  <c r="F283" i="13"/>
  <c r="E283" i="13"/>
  <c r="D283" i="13"/>
  <c r="C283" i="13"/>
  <c r="B283" i="13"/>
  <c r="AC282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AC281" i="13"/>
  <c r="AB281" i="13"/>
  <c r="AA281" i="13"/>
  <c r="Z281" i="13"/>
  <c r="Y281" i="13"/>
  <c r="X281" i="13"/>
  <c r="W281" i="13"/>
  <c r="V281" i="13"/>
  <c r="U281" i="13"/>
  <c r="T281" i="13"/>
  <c r="S281" i="13"/>
  <c r="R281" i="13"/>
  <c r="Q281" i="13"/>
  <c r="P281" i="13"/>
  <c r="O281" i="13"/>
  <c r="N281" i="13"/>
  <c r="M281" i="13"/>
  <c r="L281" i="13"/>
  <c r="K281" i="13"/>
  <c r="J281" i="13"/>
  <c r="I281" i="13"/>
  <c r="H281" i="13"/>
  <c r="G281" i="13"/>
  <c r="AC280" i="13"/>
  <c r="AB280" i="13"/>
  <c r="AA280" i="13"/>
  <c r="Z280" i="13"/>
  <c r="Y280" i="13"/>
  <c r="X280" i="13"/>
  <c r="W280" i="13"/>
  <c r="V280" i="13"/>
  <c r="U280" i="13"/>
  <c r="T280" i="13"/>
  <c r="S280" i="13"/>
  <c r="R280" i="13"/>
  <c r="Q280" i="13"/>
  <c r="P280" i="13"/>
  <c r="O280" i="13"/>
  <c r="N280" i="13"/>
  <c r="M280" i="13"/>
  <c r="L280" i="13"/>
  <c r="K280" i="13"/>
  <c r="J280" i="13"/>
  <c r="I280" i="13"/>
  <c r="H280" i="13"/>
  <c r="H283" i="13" s="1"/>
  <c r="H40" i="13" s="1"/>
  <c r="G280" i="13"/>
  <c r="AC279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O279" i="13"/>
  <c r="N279" i="13"/>
  <c r="M279" i="13"/>
  <c r="L279" i="13"/>
  <c r="K279" i="13"/>
  <c r="J279" i="13"/>
  <c r="I279" i="13"/>
  <c r="H279" i="13"/>
  <c r="G279" i="13"/>
  <c r="AC278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O278" i="13"/>
  <c r="N278" i="13"/>
  <c r="M278" i="13"/>
  <c r="L278" i="13"/>
  <c r="K278" i="13"/>
  <c r="J278" i="13"/>
  <c r="I278" i="13"/>
  <c r="H278" i="13"/>
  <c r="G278" i="13"/>
  <c r="AC277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O277" i="13"/>
  <c r="N277" i="13"/>
  <c r="M277" i="13"/>
  <c r="L277" i="13"/>
  <c r="K277" i="13"/>
  <c r="J277" i="13"/>
  <c r="I277" i="13"/>
  <c r="H277" i="13"/>
  <c r="G277" i="13"/>
  <c r="AC276" i="13"/>
  <c r="AB276" i="13"/>
  <c r="AA276" i="13"/>
  <c r="Z276" i="13"/>
  <c r="Y276" i="13"/>
  <c r="X276" i="13"/>
  <c r="W276" i="13"/>
  <c r="V276" i="13"/>
  <c r="U276" i="13"/>
  <c r="T276" i="13"/>
  <c r="S276" i="13"/>
  <c r="R276" i="13"/>
  <c r="Q276" i="13"/>
  <c r="P276" i="13"/>
  <c r="O276" i="13"/>
  <c r="N276" i="13"/>
  <c r="M276" i="13"/>
  <c r="L276" i="13"/>
  <c r="K276" i="13"/>
  <c r="J276" i="13"/>
  <c r="I276" i="13"/>
  <c r="H276" i="13"/>
  <c r="G276" i="13"/>
  <c r="AD275" i="13"/>
  <c r="AC275" i="13"/>
  <c r="AB275" i="13"/>
  <c r="AA275" i="13"/>
  <c r="Z275" i="13"/>
  <c r="Y275" i="13"/>
  <c r="X275" i="13"/>
  <c r="W275" i="13"/>
  <c r="V275" i="13"/>
  <c r="U275" i="13"/>
  <c r="T275" i="13"/>
  <c r="S275" i="13"/>
  <c r="R275" i="13"/>
  <c r="Q275" i="13"/>
  <c r="P275" i="13"/>
  <c r="O275" i="13"/>
  <c r="N275" i="13"/>
  <c r="M275" i="13"/>
  <c r="L275" i="13"/>
  <c r="K275" i="13"/>
  <c r="J275" i="13"/>
  <c r="I275" i="13"/>
  <c r="H275" i="13"/>
  <c r="G275" i="13"/>
  <c r="AD274" i="13"/>
  <c r="AC274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O274" i="13"/>
  <c r="N274" i="13"/>
  <c r="M274" i="13"/>
  <c r="L274" i="13"/>
  <c r="K274" i="13"/>
  <c r="J274" i="13"/>
  <c r="I274" i="13"/>
  <c r="H274" i="13"/>
  <c r="G274" i="13"/>
  <c r="AD273" i="13"/>
  <c r="AC273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O273" i="13"/>
  <c r="N273" i="13"/>
  <c r="M273" i="13"/>
  <c r="L273" i="13"/>
  <c r="K273" i="13"/>
  <c r="J273" i="13"/>
  <c r="I273" i="13"/>
  <c r="H273" i="13"/>
  <c r="AD272" i="13"/>
  <c r="AC272" i="13"/>
  <c r="AB272" i="13"/>
  <c r="AA272" i="13"/>
  <c r="Z272" i="13"/>
  <c r="Y272" i="13"/>
  <c r="X272" i="13"/>
  <c r="W272" i="13"/>
  <c r="W283" i="13" s="1"/>
  <c r="W40" i="13" s="1"/>
  <c r="V272" i="13"/>
  <c r="U272" i="13"/>
  <c r="U283" i="13" s="1"/>
  <c r="U40" i="13" s="1"/>
  <c r="T272" i="13"/>
  <c r="S272" i="13"/>
  <c r="S283" i="13" s="1"/>
  <c r="S40" i="13" s="1"/>
  <c r="R272" i="13"/>
  <c r="Q272" i="13"/>
  <c r="P272" i="13"/>
  <c r="O272" i="13"/>
  <c r="N272" i="13"/>
  <c r="M272" i="13"/>
  <c r="L272" i="13"/>
  <c r="K272" i="13"/>
  <c r="J272" i="13"/>
  <c r="I272" i="13"/>
  <c r="H272" i="13"/>
  <c r="AD271" i="13"/>
  <c r="AC271" i="13"/>
  <c r="AB271" i="13"/>
  <c r="AB283" i="13" s="1"/>
  <c r="AB40" i="13" s="1"/>
  <c r="AA271" i="13"/>
  <c r="AA283" i="13" s="1"/>
  <c r="Z271" i="13"/>
  <c r="Z283" i="13" s="1"/>
  <c r="Z40" i="13" s="1"/>
  <c r="Y271" i="13"/>
  <c r="Y283" i="13" s="1"/>
  <c r="Y40" i="13" s="1"/>
  <c r="X271" i="13"/>
  <c r="X283" i="13" s="1"/>
  <c r="W271" i="13"/>
  <c r="V271" i="13"/>
  <c r="U271" i="13"/>
  <c r="T271" i="13"/>
  <c r="S271" i="13"/>
  <c r="R271" i="13"/>
  <c r="Q271" i="13"/>
  <c r="P271" i="13"/>
  <c r="O271" i="13"/>
  <c r="N271" i="13"/>
  <c r="M271" i="13"/>
  <c r="L271" i="13"/>
  <c r="K271" i="13"/>
  <c r="J271" i="13"/>
  <c r="I271" i="13"/>
  <c r="H271" i="13"/>
  <c r="AE270" i="13"/>
  <c r="AD270" i="13"/>
  <c r="AC270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O270" i="13"/>
  <c r="N270" i="13"/>
  <c r="M270" i="13"/>
  <c r="L270" i="13"/>
  <c r="K270" i="13"/>
  <c r="J270" i="13"/>
  <c r="I270" i="13"/>
  <c r="H270" i="13"/>
  <c r="G270" i="13"/>
  <c r="F270" i="13"/>
  <c r="E270" i="13"/>
  <c r="D270" i="13"/>
  <c r="C270" i="13"/>
  <c r="B270" i="13"/>
  <c r="AE267" i="13"/>
  <c r="AD267" i="13"/>
  <c r="G267" i="13"/>
  <c r="F267" i="13"/>
  <c r="E267" i="13"/>
  <c r="D267" i="13"/>
  <c r="C267" i="13"/>
  <c r="B267" i="13"/>
  <c r="AC266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O266" i="13"/>
  <c r="N266" i="13"/>
  <c r="M266" i="13"/>
  <c r="L266" i="13"/>
  <c r="K266" i="13"/>
  <c r="J266" i="13"/>
  <c r="I266" i="13"/>
  <c r="H266" i="13"/>
  <c r="G266" i="13"/>
  <c r="AC265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O265" i="13"/>
  <c r="N265" i="13"/>
  <c r="M265" i="13"/>
  <c r="L265" i="13"/>
  <c r="K265" i="13"/>
  <c r="J265" i="13"/>
  <c r="I265" i="13"/>
  <c r="H265" i="13"/>
  <c r="G265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G264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O263" i="13"/>
  <c r="N263" i="13"/>
  <c r="M263" i="13"/>
  <c r="L263" i="13"/>
  <c r="K263" i="13"/>
  <c r="J263" i="13"/>
  <c r="I263" i="13"/>
  <c r="H263" i="13"/>
  <c r="G263" i="13"/>
  <c r="AC262" i="13"/>
  <c r="AB262" i="13"/>
  <c r="AA262" i="13"/>
  <c r="Z262" i="13"/>
  <c r="Y262" i="13"/>
  <c r="X262" i="13"/>
  <c r="W262" i="13"/>
  <c r="V262" i="13"/>
  <c r="U262" i="13"/>
  <c r="T262" i="13"/>
  <c r="S262" i="13"/>
  <c r="S267" i="13" s="1"/>
  <c r="S34" i="13" s="1"/>
  <c r="R262" i="13"/>
  <c r="R267" i="13" s="1"/>
  <c r="R34" i="13" s="1"/>
  <c r="Q262" i="13"/>
  <c r="P262" i="13"/>
  <c r="O262" i="13"/>
  <c r="N262" i="13"/>
  <c r="M262" i="13"/>
  <c r="L262" i="13"/>
  <c r="K262" i="13"/>
  <c r="J262" i="13"/>
  <c r="I262" i="13"/>
  <c r="H262" i="13"/>
  <c r="G262" i="13"/>
  <c r="AC261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O261" i="13"/>
  <c r="N261" i="13"/>
  <c r="M261" i="13"/>
  <c r="L261" i="13"/>
  <c r="K261" i="13"/>
  <c r="J261" i="13"/>
  <c r="I261" i="13"/>
  <c r="H261" i="13"/>
  <c r="G261" i="13"/>
  <c r="AC260" i="13"/>
  <c r="AB260" i="13"/>
  <c r="AA260" i="13"/>
  <c r="Z260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AD259" i="13"/>
  <c r="AC259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Q267" i="13" s="1"/>
  <c r="Q34" i="13" s="1"/>
  <c r="P259" i="13"/>
  <c r="O259" i="13"/>
  <c r="N259" i="13"/>
  <c r="M259" i="13"/>
  <c r="L259" i="13"/>
  <c r="K259" i="13"/>
  <c r="J259" i="13"/>
  <c r="I259" i="13"/>
  <c r="H259" i="13"/>
  <c r="G259" i="13"/>
  <c r="AD258" i="13"/>
  <c r="AC258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AD257" i="13"/>
  <c r="AC257" i="13"/>
  <c r="AB257" i="13"/>
  <c r="AA257" i="13"/>
  <c r="Z257" i="13"/>
  <c r="Y257" i="13"/>
  <c r="X257" i="13"/>
  <c r="W257" i="13"/>
  <c r="V257" i="13"/>
  <c r="U257" i="13"/>
  <c r="T257" i="13"/>
  <c r="T267" i="13" s="1"/>
  <c r="T34" i="13" s="1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AD256" i="13"/>
  <c r="AC256" i="13"/>
  <c r="AB256" i="13"/>
  <c r="AA256" i="13"/>
  <c r="Z256" i="13"/>
  <c r="Y256" i="13"/>
  <c r="X256" i="13"/>
  <c r="W256" i="13"/>
  <c r="V256" i="13"/>
  <c r="U256" i="13"/>
  <c r="U267" i="13" s="1"/>
  <c r="U34" i="13" s="1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AD255" i="13"/>
  <c r="AC255" i="13"/>
  <c r="AB255" i="13"/>
  <c r="AA255" i="13"/>
  <c r="Z255" i="13"/>
  <c r="Z267" i="13" s="1"/>
  <c r="Z34" i="13" s="1"/>
  <c r="Y255" i="13"/>
  <c r="X255" i="13"/>
  <c r="W255" i="13"/>
  <c r="W267" i="13" s="1"/>
  <c r="W34" i="13" s="1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H267" i="13" s="1"/>
  <c r="H34" i="13" s="1"/>
  <c r="AE254" i="13"/>
  <c r="AD254" i="13"/>
  <c r="AC254" i="13"/>
  <c r="AB254" i="13"/>
  <c r="AA254" i="13"/>
  <c r="Z254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AD251" i="13"/>
  <c r="AC251" i="13"/>
  <c r="AB251" i="13"/>
  <c r="AA251" i="13"/>
  <c r="Z251" i="13"/>
  <c r="Y251" i="13"/>
  <c r="X251" i="13"/>
  <c r="W251" i="13"/>
  <c r="V251" i="13"/>
  <c r="U251" i="13"/>
  <c r="T251" i="13"/>
  <c r="S251" i="13"/>
  <c r="R251" i="13"/>
  <c r="Q251" i="13"/>
  <c r="P251" i="13"/>
  <c r="O251" i="13"/>
  <c r="N251" i="13"/>
  <c r="M251" i="13"/>
  <c r="L251" i="13"/>
  <c r="K251" i="13"/>
  <c r="J251" i="13"/>
  <c r="I251" i="13"/>
  <c r="H251" i="13"/>
  <c r="G251" i="13"/>
  <c r="F251" i="13"/>
  <c r="E251" i="13"/>
  <c r="D251" i="13"/>
  <c r="C251" i="13"/>
  <c r="B251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AE235" i="13"/>
  <c r="AE251" i="13" s="1"/>
  <c r="AE222" i="13"/>
  <c r="AD222" i="13"/>
  <c r="AC222" i="13"/>
  <c r="AB222" i="13"/>
  <c r="AA222" i="13"/>
  <c r="Z222" i="13"/>
  <c r="Y222" i="13"/>
  <c r="X222" i="13"/>
  <c r="W222" i="13"/>
  <c r="V222" i="13"/>
  <c r="U222" i="13"/>
  <c r="T222" i="13"/>
  <c r="S222" i="13"/>
  <c r="R222" i="13"/>
  <c r="Q222" i="13"/>
  <c r="P222" i="13"/>
  <c r="O222" i="13"/>
  <c r="N222" i="13"/>
  <c r="M222" i="13"/>
  <c r="L222" i="13"/>
  <c r="K222" i="13"/>
  <c r="J222" i="13"/>
  <c r="I222" i="13"/>
  <c r="H222" i="13"/>
  <c r="G222" i="13"/>
  <c r="F222" i="13"/>
  <c r="E222" i="13"/>
  <c r="D222" i="13"/>
  <c r="C222" i="13"/>
  <c r="B222" i="13"/>
  <c r="AE206" i="13"/>
  <c r="AD206" i="13"/>
  <c r="AC206" i="13"/>
  <c r="AB206" i="13"/>
  <c r="AA206" i="13"/>
  <c r="Z206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AE190" i="13"/>
  <c r="AD190" i="13"/>
  <c r="AC190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AE187" i="13"/>
  <c r="AD187" i="13"/>
  <c r="AC187" i="13"/>
  <c r="AB187" i="13"/>
  <c r="AA187" i="13"/>
  <c r="Z187" i="13"/>
  <c r="Y187" i="13"/>
  <c r="X187" i="13"/>
  <c r="W187" i="13"/>
  <c r="V187" i="13"/>
  <c r="U187" i="13"/>
  <c r="V176" i="13" s="1"/>
  <c r="T187" i="13"/>
  <c r="S187" i="13"/>
  <c r="R187" i="13"/>
  <c r="Q187" i="13"/>
  <c r="P187" i="13"/>
  <c r="O187" i="13"/>
  <c r="N187" i="13"/>
  <c r="M187" i="13"/>
  <c r="L187" i="13"/>
  <c r="K187" i="13"/>
  <c r="J187" i="13"/>
  <c r="I187" i="13"/>
  <c r="H187" i="13"/>
  <c r="G187" i="13"/>
  <c r="F187" i="13"/>
  <c r="E187" i="13"/>
  <c r="D187" i="13"/>
  <c r="C187" i="13"/>
  <c r="B187" i="13"/>
  <c r="AB177" i="13"/>
  <c r="M177" i="13"/>
  <c r="L177" i="13"/>
  <c r="J177" i="13"/>
  <c r="AB176" i="13"/>
  <c r="W176" i="13"/>
  <c r="U176" i="13"/>
  <c r="U177" i="13" s="1"/>
  <c r="T176" i="13"/>
  <c r="T177" i="13" s="1"/>
  <c r="P176" i="13"/>
  <c r="O176" i="13"/>
  <c r="N176" i="13"/>
  <c r="M176" i="13"/>
  <c r="L176" i="13"/>
  <c r="K176" i="13"/>
  <c r="J176" i="13"/>
  <c r="I176" i="13"/>
  <c r="AE175" i="13"/>
  <c r="AD175" i="13"/>
  <c r="AC175" i="13"/>
  <c r="AB175" i="13"/>
  <c r="AA175" i="13"/>
  <c r="Z175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AE159" i="13"/>
  <c r="AD159" i="13"/>
  <c r="AC159" i="13"/>
  <c r="AB159" i="13"/>
  <c r="AA159" i="13"/>
  <c r="Z159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B159" i="13"/>
  <c r="AE156" i="13"/>
  <c r="AD156" i="13"/>
  <c r="G156" i="13"/>
  <c r="F156" i="13"/>
  <c r="E156" i="13"/>
  <c r="D156" i="13"/>
  <c r="C156" i="13"/>
  <c r="B156" i="13"/>
  <c r="AC155" i="13"/>
  <c r="AB155" i="13"/>
  <c r="AA155" i="13"/>
  <c r="Z155" i="13"/>
  <c r="Y155" i="13"/>
  <c r="X155" i="13"/>
  <c r="W155" i="13"/>
  <c r="V155" i="13"/>
  <c r="U155" i="13"/>
  <c r="T155" i="13"/>
  <c r="S155" i="13"/>
  <c r="R155" i="13"/>
  <c r="Q155" i="13"/>
  <c r="P155" i="13"/>
  <c r="O155" i="13"/>
  <c r="N155" i="13"/>
  <c r="M155" i="13"/>
  <c r="L155" i="13"/>
  <c r="K155" i="13"/>
  <c r="J155" i="13"/>
  <c r="I155" i="13"/>
  <c r="H155" i="13"/>
  <c r="G155" i="13"/>
  <c r="AC154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O154" i="13"/>
  <c r="N154" i="13"/>
  <c r="M154" i="13"/>
  <c r="L154" i="13"/>
  <c r="K154" i="13"/>
  <c r="J154" i="13"/>
  <c r="I154" i="13"/>
  <c r="H154" i="13"/>
  <c r="G154" i="13"/>
  <c r="AC153" i="13"/>
  <c r="AB153" i="13"/>
  <c r="AA153" i="13"/>
  <c r="Z153" i="13"/>
  <c r="Y153" i="13"/>
  <c r="X153" i="13"/>
  <c r="W153" i="13"/>
  <c r="V153" i="13"/>
  <c r="U153" i="13"/>
  <c r="T153" i="13"/>
  <c r="S153" i="13"/>
  <c r="R153" i="13"/>
  <c r="Q153" i="13"/>
  <c r="P153" i="13"/>
  <c r="O153" i="13"/>
  <c r="N153" i="13"/>
  <c r="M153" i="13"/>
  <c r="L153" i="13"/>
  <c r="K153" i="13"/>
  <c r="J153" i="13"/>
  <c r="I153" i="13"/>
  <c r="H153" i="13"/>
  <c r="G153" i="13"/>
  <c r="AC152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O152" i="13"/>
  <c r="N152" i="13"/>
  <c r="M152" i="13"/>
  <c r="L152" i="13"/>
  <c r="K152" i="13"/>
  <c r="J152" i="13"/>
  <c r="I152" i="13"/>
  <c r="H152" i="13"/>
  <c r="G152" i="13"/>
  <c r="AC151" i="13"/>
  <c r="AB151" i="13"/>
  <c r="AA151" i="13"/>
  <c r="Z151" i="13"/>
  <c r="Y151" i="13"/>
  <c r="X151" i="13"/>
  <c r="W151" i="13"/>
  <c r="V151" i="13"/>
  <c r="U151" i="13"/>
  <c r="T151" i="13"/>
  <c r="S151" i="13"/>
  <c r="R151" i="13"/>
  <c r="Q151" i="13"/>
  <c r="P151" i="13"/>
  <c r="O151" i="13"/>
  <c r="N151" i="13"/>
  <c r="M151" i="13"/>
  <c r="L151" i="13"/>
  <c r="K151" i="13"/>
  <c r="J151" i="13"/>
  <c r="I151" i="13"/>
  <c r="H151" i="13"/>
  <c r="G151" i="13"/>
  <c r="AC150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AC149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O149" i="13"/>
  <c r="N149" i="13"/>
  <c r="M149" i="13"/>
  <c r="L149" i="13"/>
  <c r="K149" i="13"/>
  <c r="J149" i="13"/>
  <c r="I149" i="13"/>
  <c r="H149" i="13"/>
  <c r="G149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AD147" i="13"/>
  <c r="AC147" i="13"/>
  <c r="AB147" i="13"/>
  <c r="AA147" i="13"/>
  <c r="Z147" i="13"/>
  <c r="Y147" i="13"/>
  <c r="X147" i="13"/>
  <c r="W147" i="13"/>
  <c r="V147" i="13"/>
  <c r="U147" i="13"/>
  <c r="T147" i="13"/>
  <c r="S147" i="13"/>
  <c r="S156" i="13" s="1"/>
  <c r="S27" i="13" s="1"/>
  <c r="R147" i="13"/>
  <c r="Q147" i="13"/>
  <c r="P147" i="13"/>
  <c r="O147" i="13"/>
  <c r="N147" i="13"/>
  <c r="M147" i="13"/>
  <c r="L147" i="13"/>
  <c r="K147" i="13"/>
  <c r="J147" i="13"/>
  <c r="I147" i="13"/>
  <c r="H147" i="13"/>
  <c r="G147" i="13"/>
  <c r="AD146" i="13"/>
  <c r="AC146" i="13"/>
  <c r="AB146" i="13"/>
  <c r="AA146" i="13"/>
  <c r="Z146" i="13"/>
  <c r="Z156" i="13" s="1"/>
  <c r="Z27" i="13" s="1"/>
  <c r="Y146" i="13"/>
  <c r="X146" i="13"/>
  <c r="W146" i="13"/>
  <c r="W156" i="13" s="1"/>
  <c r="W27" i="13" s="1"/>
  <c r="V146" i="13"/>
  <c r="V156" i="13" s="1"/>
  <c r="V27" i="13" s="1"/>
  <c r="U146" i="13"/>
  <c r="T146" i="13"/>
  <c r="S146" i="13"/>
  <c r="R146" i="13"/>
  <c r="Q146" i="13"/>
  <c r="P146" i="13"/>
  <c r="O146" i="13"/>
  <c r="N146" i="13"/>
  <c r="M146" i="13"/>
  <c r="L146" i="13"/>
  <c r="K146" i="13"/>
  <c r="J146" i="13"/>
  <c r="I146" i="13"/>
  <c r="H146" i="13"/>
  <c r="AD145" i="13"/>
  <c r="AC145" i="13"/>
  <c r="AB145" i="13"/>
  <c r="AA145" i="13"/>
  <c r="AA156" i="13" s="1"/>
  <c r="AA27" i="13" s="1"/>
  <c r="Z145" i="13"/>
  <c r="Y145" i="13"/>
  <c r="X145" i="13"/>
  <c r="W145" i="13"/>
  <c r="V145" i="13"/>
  <c r="U145" i="13"/>
  <c r="T145" i="13"/>
  <c r="S145" i="13"/>
  <c r="R145" i="13"/>
  <c r="Q145" i="13"/>
  <c r="P145" i="13"/>
  <c r="O145" i="13"/>
  <c r="N145" i="13"/>
  <c r="M145" i="13"/>
  <c r="L145" i="13"/>
  <c r="K145" i="13"/>
  <c r="J145" i="13"/>
  <c r="I145" i="13"/>
  <c r="H145" i="13"/>
  <c r="H156" i="13" s="1"/>
  <c r="H27" i="13" s="1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P156" i="13" s="1"/>
  <c r="P27" i="13" s="1"/>
  <c r="O144" i="13"/>
  <c r="N144" i="13"/>
  <c r="M144" i="13"/>
  <c r="L144" i="13"/>
  <c r="L156" i="13" s="1"/>
  <c r="K144" i="13"/>
  <c r="K156" i="13" s="1"/>
  <c r="J144" i="13"/>
  <c r="J156" i="13" s="1"/>
  <c r="J27" i="13" s="1"/>
  <c r="I144" i="13"/>
  <c r="H144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AE140" i="13"/>
  <c r="AD140" i="13"/>
  <c r="AB140" i="13"/>
  <c r="AB24" i="13" s="1"/>
  <c r="AA140" i="13"/>
  <c r="AA24" i="13" s="1"/>
  <c r="Q140" i="13"/>
  <c r="Q24" i="13" s="1"/>
  <c r="N140" i="13"/>
  <c r="M140" i="13"/>
  <c r="L140" i="13"/>
  <c r="K140" i="13"/>
  <c r="H140" i="13"/>
  <c r="H24" i="13" s="1"/>
  <c r="G140" i="13"/>
  <c r="F140" i="13"/>
  <c r="E140" i="13"/>
  <c r="D140" i="13"/>
  <c r="C140" i="13"/>
  <c r="B140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AC136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O136" i="13"/>
  <c r="N136" i="13"/>
  <c r="M136" i="13"/>
  <c r="L136" i="13"/>
  <c r="K136" i="13"/>
  <c r="J136" i="13"/>
  <c r="I136" i="13"/>
  <c r="H136" i="13"/>
  <c r="G136" i="13"/>
  <c r="AC135" i="13"/>
  <c r="AB135" i="13"/>
  <c r="AA135" i="13"/>
  <c r="Z135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G135" i="13"/>
  <c r="AC134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O134" i="13"/>
  <c r="N134" i="13"/>
  <c r="M134" i="13"/>
  <c r="L134" i="13"/>
  <c r="K134" i="13"/>
  <c r="J134" i="13"/>
  <c r="I134" i="13"/>
  <c r="H134" i="13"/>
  <c r="G134" i="13"/>
  <c r="AC133" i="13"/>
  <c r="AB133" i="13"/>
  <c r="AA133" i="13"/>
  <c r="Z133" i="13"/>
  <c r="Y133" i="13"/>
  <c r="X133" i="13"/>
  <c r="W133" i="13"/>
  <c r="W140" i="13" s="1"/>
  <c r="W24" i="13" s="1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AD132" i="13"/>
  <c r="AC132" i="13"/>
  <c r="AC140" i="13" s="1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AD128" i="13"/>
  <c r="AC128" i="13"/>
  <c r="AB128" i="13"/>
  <c r="AA128" i="13"/>
  <c r="Z128" i="13"/>
  <c r="Y128" i="13"/>
  <c r="X128" i="13"/>
  <c r="W128" i="13"/>
  <c r="V128" i="13"/>
  <c r="U128" i="13"/>
  <c r="U140" i="13" s="1"/>
  <c r="U24" i="13" s="1"/>
  <c r="T128" i="13"/>
  <c r="S128" i="13"/>
  <c r="R128" i="13"/>
  <c r="R140" i="13" s="1"/>
  <c r="R24" i="13" s="1"/>
  <c r="Q128" i="13"/>
  <c r="P128" i="13"/>
  <c r="O128" i="13"/>
  <c r="N128" i="13"/>
  <c r="M128" i="13"/>
  <c r="L128" i="13"/>
  <c r="K128" i="13"/>
  <c r="J128" i="13"/>
  <c r="I128" i="13"/>
  <c r="H128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AE124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AE92" i="13"/>
  <c r="AD92" i="13"/>
  <c r="AC92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AE76" i="13"/>
  <c r="AD76" i="13"/>
  <c r="G76" i="13"/>
  <c r="F76" i="13"/>
  <c r="E76" i="13"/>
  <c r="D76" i="13"/>
  <c r="C76" i="13"/>
  <c r="B76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P76" i="13" s="1"/>
  <c r="P13" i="13" s="1"/>
  <c r="O68" i="13"/>
  <c r="N68" i="13"/>
  <c r="M68" i="13"/>
  <c r="L68" i="13"/>
  <c r="K68" i="13"/>
  <c r="J68" i="13"/>
  <c r="I68" i="13"/>
  <c r="H68" i="13"/>
  <c r="G68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B63" i="13"/>
  <c r="AE60" i="13"/>
  <c r="AD60" i="13"/>
  <c r="O60" i="13"/>
  <c r="M60" i="13"/>
  <c r="L60" i="13"/>
  <c r="G60" i="13"/>
  <c r="F60" i="13"/>
  <c r="E60" i="13"/>
  <c r="D60" i="13"/>
  <c r="C60" i="13"/>
  <c r="B60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P60" i="13" s="1"/>
  <c r="P10" i="13" s="1"/>
  <c r="O52" i="13"/>
  <c r="N52" i="13"/>
  <c r="M52" i="13"/>
  <c r="L52" i="13"/>
  <c r="K52" i="13"/>
  <c r="J52" i="13"/>
  <c r="I52" i="13"/>
  <c r="H52" i="13"/>
  <c r="G52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R60" i="13" s="1"/>
  <c r="R10" i="13" s="1"/>
  <c r="Q51" i="13"/>
  <c r="P51" i="13"/>
  <c r="O51" i="13"/>
  <c r="N51" i="13"/>
  <c r="M51" i="13"/>
  <c r="L51" i="13"/>
  <c r="K51" i="13"/>
  <c r="J51" i="13"/>
  <c r="I51" i="13"/>
  <c r="H51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J60" i="13" s="1"/>
  <c r="J10" i="13" s="1"/>
  <c r="J11" i="13" s="1"/>
  <c r="J16" i="13" s="1"/>
  <c r="I49" i="13"/>
  <c r="I60" i="13" s="1"/>
  <c r="I10" i="13" s="1"/>
  <c r="I11" i="13" s="1"/>
  <c r="I16" i="13" s="1"/>
  <c r="H49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AA40" i="13"/>
  <c r="AE36" i="13"/>
  <c r="AE299" i="13" s="1"/>
  <c r="AD36" i="13"/>
  <c r="AD299" i="13" s="1"/>
  <c r="AC36" i="13"/>
  <c r="AC299" i="13" s="1"/>
  <c r="AC293" i="13" s="1"/>
  <c r="AB36" i="13"/>
  <c r="AB299" i="13" s="1"/>
  <c r="AA36" i="13"/>
  <c r="AA299" i="13" s="1"/>
  <c r="AA296" i="13" s="1"/>
  <c r="Z36" i="13"/>
  <c r="Z299" i="13" s="1"/>
  <c r="Y36" i="13"/>
  <c r="Y299" i="13" s="1"/>
  <c r="X36" i="13"/>
  <c r="X299" i="13" s="1"/>
  <c r="W36" i="13"/>
  <c r="W299" i="13" s="1"/>
  <c r="W297" i="13" s="1"/>
  <c r="V36" i="13"/>
  <c r="V299" i="13" s="1"/>
  <c r="V290" i="13" s="1"/>
  <c r="U36" i="13"/>
  <c r="U299" i="13" s="1"/>
  <c r="T36" i="13"/>
  <c r="T299" i="13" s="1"/>
  <c r="S36" i="13"/>
  <c r="S299" i="13" s="1"/>
  <c r="R36" i="13"/>
  <c r="R299" i="13" s="1"/>
  <c r="R294" i="13" s="1"/>
  <c r="Q36" i="13"/>
  <c r="Q299" i="13" s="1"/>
  <c r="P36" i="13"/>
  <c r="P299" i="13" s="1"/>
  <c r="O36" i="13"/>
  <c r="O299" i="13" s="1"/>
  <c r="O292" i="13" s="1"/>
  <c r="N36" i="13"/>
  <c r="N299" i="13" s="1"/>
  <c r="N292" i="13" s="1"/>
  <c r="M36" i="13"/>
  <c r="M299" i="13" s="1"/>
  <c r="M297" i="13" s="1"/>
  <c r="L36" i="13"/>
  <c r="L299" i="13" s="1"/>
  <c r="L294" i="13" s="1"/>
  <c r="K36" i="13"/>
  <c r="K299" i="13" s="1"/>
  <c r="K292" i="13" s="1"/>
  <c r="J36" i="13"/>
  <c r="J299" i="13" s="1"/>
  <c r="J292" i="13" s="1"/>
  <c r="I36" i="13"/>
  <c r="I299" i="13" s="1"/>
  <c r="I292" i="13" s="1"/>
  <c r="H36" i="13"/>
  <c r="H299" i="13" s="1"/>
  <c r="H298" i="13" s="1"/>
  <c r="G36" i="13"/>
  <c r="G299" i="13" s="1"/>
  <c r="F36" i="13"/>
  <c r="F299" i="13" s="1"/>
  <c r="F287" i="13" s="1"/>
  <c r="E36" i="13"/>
  <c r="E299" i="13" s="1"/>
  <c r="D36" i="13"/>
  <c r="C36" i="13"/>
  <c r="C299" i="13" s="1"/>
  <c r="C287" i="13" s="1"/>
  <c r="B36" i="13"/>
  <c r="B299" i="13" s="1"/>
  <c r="AD35" i="13"/>
  <c r="AD41" i="13" s="1"/>
  <c r="AC35" i="13"/>
  <c r="AC41" i="13" s="1"/>
  <c r="AC40" i="13" s="1"/>
  <c r="AE33" i="13"/>
  <c r="AD33" i="13"/>
  <c r="AD219" i="13" s="1"/>
  <c r="AC33" i="13"/>
  <c r="AC219" i="13" s="1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AC27" i="13"/>
  <c r="AD25" i="13"/>
  <c r="AD28" i="13" s="1"/>
  <c r="AD26" i="13" s="1"/>
  <c r="AC24" i="13"/>
  <c r="AD23" i="13"/>
  <c r="AC23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F16" i="13"/>
  <c r="C16" i="13"/>
  <c r="B16" i="13"/>
  <c r="Y14" i="13"/>
  <c r="S14" i="13"/>
  <c r="N14" i="13"/>
  <c r="M14" i="13"/>
  <c r="I14" i="13"/>
  <c r="H14" i="13"/>
  <c r="G14" i="13"/>
  <c r="F14" i="13"/>
  <c r="D14" i="13"/>
  <c r="C14" i="13"/>
  <c r="AD11" i="13"/>
  <c r="AD16" i="13" s="1"/>
  <c r="P11" i="13"/>
  <c r="P16" i="13" s="1"/>
  <c r="F11" i="13"/>
  <c r="E11" i="13"/>
  <c r="E16" i="13" s="1"/>
  <c r="D11" i="13"/>
  <c r="D16" i="13" s="1"/>
  <c r="C11" i="13"/>
  <c r="B11" i="13"/>
  <c r="AE8" i="13"/>
  <c r="AD8" i="13"/>
  <c r="AC8" i="13"/>
  <c r="AC11" i="13" s="1"/>
  <c r="AC16" i="13" s="1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G11" i="13" s="1"/>
  <c r="G16" i="13" s="1"/>
  <c r="F8" i="13"/>
  <c r="E8" i="13"/>
  <c r="D8" i="13"/>
  <c r="C8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A7" i="13" s="1"/>
  <c r="AA6" i="13"/>
  <c r="Z6" i="13"/>
  <c r="N6" i="13"/>
  <c r="M6" i="13"/>
  <c r="L6" i="13"/>
  <c r="J6" i="13"/>
  <c r="I6" i="13"/>
  <c r="H6" i="13"/>
  <c r="G6" i="13"/>
  <c r="D6" i="13"/>
  <c r="AE5" i="13"/>
  <c r="AB4" i="13"/>
  <c r="AA4" i="13"/>
  <c r="Z14" i="13" s="1"/>
  <c r="Z4" i="13"/>
  <c r="Y4" i="13"/>
  <c r="Y6" i="13" s="1"/>
  <c r="X4" i="13"/>
  <c r="W4" i="13"/>
  <c r="V4" i="13"/>
  <c r="U14" i="13" s="1"/>
  <c r="U4" i="13"/>
  <c r="T4" i="13"/>
  <c r="T6" i="13" s="1"/>
  <c r="S4" i="13"/>
  <c r="R4" i="13"/>
  <c r="R6" i="13" s="1"/>
  <c r="Q4" i="13"/>
  <c r="P14" i="13" s="1"/>
  <c r="P4" i="13"/>
  <c r="O14" i="13" s="1"/>
  <c r="O4" i="13"/>
  <c r="O6" i="13" s="1"/>
  <c r="N4" i="13"/>
  <c r="M4" i="13"/>
  <c r="L14" i="13" s="1"/>
  <c r="L4" i="13"/>
  <c r="K14" i="13" s="1"/>
  <c r="K4" i="13"/>
  <c r="J14" i="13" s="1"/>
  <c r="J4" i="13"/>
  <c r="I4" i="13"/>
  <c r="H4" i="13"/>
  <c r="G4" i="13"/>
  <c r="F4" i="13"/>
  <c r="E4" i="13"/>
  <c r="D4" i="13"/>
  <c r="C4" i="13"/>
  <c r="C6" i="13" s="1"/>
  <c r="B4" i="13"/>
  <c r="B6" i="13" s="1"/>
  <c r="AD330" i="12"/>
  <c r="AC330" i="12"/>
  <c r="AE317" i="12"/>
  <c r="AD317" i="12"/>
  <c r="AC317" i="12"/>
  <c r="AB317" i="12"/>
  <c r="AA317" i="12"/>
  <c r="Z317" i="12"/>
  <c r="Y317" i="12"/>
  <c r="X317" i="12"/>
  <c r="W317" i="12"/>
  <c r="V317" i="12"/>
  <c r="U317" i="12"/>
  <c r="T317" i="12"/>
  <c r="S317" i="12"/>
  <c r="R317" i="12"/>
  <c r="Q317" i="12"/>
  <c r="P317" i="12"/>
  <c r="O317" i="12"/>
  <c r="N317" i="12"/>
  <c r="M317" i="12"/>
  <c r="L317" i="12"/>
  <c r="K317" i="12"/>
  <c r="J317" i="12"/>
  <c r="I317" i="12"/>
  <c r="H317" i="12"/>
  <c r="G317" i="12"/>
  <c r="F317" i="12"/>
  <c r="E317" i="12"/>
  <c r="D317" i="12"/>
  <c r="C317" i="12"/>
  <c r="B317" i="12"/>
  <c r="AC314" i="12"/>
  <c r="AB314" i="12"/>
  <c r="AA314" i="12"/>
  <c r="Z314" i="12"/>
  <c r="Y314" i="12"/>
  <c r="X314" i="12"/>
  <c r="W314" i="12"/>
  <c r="V314" i="12"/>
  <c r="U314" i="12"/>
  <c r="T314" i="12"/>
  <c r="T303" i="12" s="1"/>
  <c r="S314" i="12"/>
  <c r="R314" i="12"/>
  <c r="Q314" i="12"/>
  <c r="P314" i="12"/>
  <c r="O314" i="12"/>
  <c r="N314" i="12"/>
  <c r="M314" i="12"/>
  <c r="L314" i="12"/>
  <c r="K314" i="12"/>
  <c r="J314" i="12"/>
  <c r="I314" i="12"/>
  <c r="H314" i="12"/>
  <c r="G314" i="12"/>
  <c r="F314" i="12"/>
  <c r="E314" i="12"/>
  <c r="D314" i="12"/>
  <c r="C314" i="12"/>
  <c r="B314" i="12"/>
  <c r="J312" i="12"/>
  <c r="J306" i="12"/>
  <c r="J307" i="12" s="1"/>
  <c r="J308" i="12" s="1"/>
  <c r="J309" i="12" s="1"/>
  <c r="J310" i="12" s="1"/>
  <c r="J311" i="12" s="1"/>
  <c r="I306" i="12"/>
  <c r="D305" i="12"/>
  <c r="D306" i="12" s="1"/>
  <c r="D307" i="12" s="1"/>
  <c r="D308" i="12" s="1"/>
  <c r="AB304" i="12"/>
  <c r="AA304" i="12"/>
  <c r="AA305" i="12" s="1"/>
  <c r="AA306" i="12" s="1"/>
  <c r="AA307" i="12" s="1"/>
  <c r="AA308" i="12" s="1"/>
  <c r="Z304" i="12"/>
  <c r="J304" i="12"/>
  <c r="J305" i="12" s="1"/>
  <c r="I304" i="12"/>
  <c r="I305" i="12" s="1"/>
  <c r="F304" i="12"/>
  <c r="E304" i="12"/>
  <c r="D304" i="12"/>
  <c r="AB303" i="12"/>
  <c r="AA303" i="12"/>
  <c r="Z303" i="12"/>
  <c r="X303" i="12"/>
  <c r="W303" i="12"/>
  <c r="V303" i="12"/>
  <c r="O303" i="12"/>
  <c r="N303" i="12"/>
  <c r="J303" i="12"/>
  <c r="I303" i="12"/>
  <c r="G303" i="12"/>
  <c r="F303" i="12"/>
  <c r="E303" i="12"/>
  <c r="D303" i="12"/>
  <c r="B303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O302" i="12"/>
  <c r="N302" i="12"/>
  <c r="M302" i="12"/>
  <c r="L302" i="12"/>
  <c r="K302" i="12"/>
  <c r="J302" i="12"/>
  <c r="I302" i="12"/>
  <c r="H302" i="12"/>
  <c r="G302" i="12"/>
  <c r="F302" i="12"/>
  <c r="E302" i="12"/>
  <c r="D302" i="12"/>
  <c r="C302" i="12"/>
  <c r="B302" i="12"/>
  <c r="AB299" i="12"/>
  <c r="I299" i="12"/>
  <c r="H299" i="12"/>
  <c r="G299" i="12"/>
  <c r="F299" i="12"/>
  <c r="E299" i="12"/>
  <c r="AE298" i="12"/>
  <c r="Z298" i="12"/>
  <c r="Y298" i="12"/>
  <c r="S298" i="12"/>
  <c r="X297" i="12"/>
  <c r="U297" i="12"/>
  <c r="K297" i="12"/>
  <c r="H297" i="12"/>
  <c r="B297" i="12"/>
  <c r="AD296" i="12"/>
  <c r="AC296" i="12"/>
  <c r="Y296" i="12"/>
  <c r="T296" i="12"/>
  <c r="F295" i="12"/>
  <c r="B295" i="12"/>
  <c r="AE294" i="12"/>
  <c r="AB294" i="12"/>
  <c r="AA294" i="12"/>
  <c r="N294" i="12"/>
  <c r="B294" i="12"/>
  <c r="AE293" i="12"/>
  <c r="Q293" i="12"/>
  <c r="K293" i="12"/>
  <c r="I293" i="12"/>
  <c r="E293" i="12"/>
  <c r="AD292" i="12"/>
  <c r="Z292" i="12"/>
  <c r="Y292" i="12"/>
  <c r="X292" i="12"/>
  <c r="W292" i="12"/>
  <c r="AA291" i="12"/>
  <c r="Z291" i="12"/>
  <c r="O291" i="12"/>
  <c r="L291" i="12"/>
  <c r="G291" i="12"/>
  <c r="F291" i="12"/>
  <c r="W290" i="12"/>
  <c r="R290" i="12"/>
  <c r="B290" i="12"/>
  <c r="AA289" i="12"/>
  <c r="O289" i="12"/>
  <c r="J289" i="12"/>
  <c r="J209" i="12" s="1"/>
  <c r="I289" i="12"/>
  <c r="D289" i="12"/>
  <c r="C289" i="12"/>
  <c r="B289" i="12"/>
  <c r="AE288" i="12"/>
  <c r="AD288" i="12"/>
  <c r="AE287" i="12"/>
  <c r="Z287" i="12"/>
  <c r="Z207" i="12" s="1"/>
  <c r="Z81" i="12" s="1"/>
  <c r="Z97" i="12" s="1"/>
  <c r="Z113" i="12" s="1"/>
  <c r="U287" i="12"/>
  <c r="T287" i="12"/>
  <c r="P287" i="12"/>
  <c r="O287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D286" i="12"/>
  <c r="C286" i="12"/>
  <c r="B286" i="12"/>
  <c r="AE283" i="12"/>
  <c r="AD283" i="12"/>
  <c r="E283" i="12"/>
  <c r="D283" i="12"/>
  <c r="C283" i="12"/>
  <c r="B283" i="12"/>
  <c r="AC282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O282" i="12"/>
  <c r="N282" i="12"/>
  <c r="M282" i="12"/>
  <c r="L282" i="12"/>
  <c r="K282" i="12"/>
  <c r="J282" i="12"/>
  <c r="I282" i="12"/>
  <c r="H282" i="12"/>
  <c r="G282" i="12"/>
  <c r="F282" i="12"/>
  <c r="E282" i="12"/>
  <c r="AC281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O281" i="12"/>
  <c r="N281" i="12"/>
  <c r="M281" i="12"/>
  <c r="L281" i="12"/>
  <c r="K281" i="12"/>
  <c r="J281" i="12"/>
  <c r="I281" i="12"/>
  <c r="H281" i="12"/>
  <c r="G281" i="12"/>
  <c r="F281" i="12"/>
  <c r="E281" i="12"/>
  <c r="AC280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O280" i="12"/>
  <c r="N280" i="12"/>
  <c r="M280" i="12"/>
  <c r="L280" i="12"/>
  <c r="K280" i="12"/>
  <c r="J280" i="12"/>
  <c r="I280" i="12"/>
  <c r="H280" i="12"/>
  <c r="G280" i="12"/>
  <c r="F280" i="12"/>
  <c r="E280" i="12"/>
  <c r="AC279" i="12"/>
  <c r="AB279" i="12"/>
  <c r="AA279" i="12"/>
  <c r="Z279" i="12"/>
  <c r="Y279" i="12"/>
  <c r="Y283" i="12" s="1"/>
  <c r="X279" i="12"/>
  <c r="W279" i="12"/>
  <c r="V279" i="12"/>
  <c r="U279" i="12"/>
  <c r="T279" i="12"/>
  <c r="S279" i="12"/>
  <c r="R279" i="12"/>
  <c r="Q279" i="12"/>
  <c r="P279" i="12"/>
  <c r="O279" i="12"/>
  <c r="N279" i="12"/>
  <c r="M279" i="12"/>
  <c r="L279" i="12"/>
  <c r="K279" i="12"/>
  <c r="J279" i="12"/>
  <c r="I279" i="12"/>
  <c r="H279" i="12"/>
  <c r="G279" i="12"/>
  <c r="F279" i="12"/>
  <c r="E279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O278" i="12"/>
  <c r="N278" i="12"/>
  <c r="M278" i="12"/>
  <c r="L278" i="12"/>
  <c r="K278" i="12"/>
  <c r="J278" i="12"/>
  <c r="I278" i="12"/>
  <c r="H278" i="12"/>
  <c r="G278" i="12"/>
  <c r="F278" i="12"/>
  <c r="E278" i="12"/>
  <c r="AC277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O277" i="12"/>
  <c r="N277" i="12"/>
  <c r="M277" i="12"/>
  <c r="L277" i="12"/>
  <c r="K277" i="12"/>
  <c r="J277" i="12"/>
  <c r="I277" i="12"/>
  <c r="H277" i="12"/>
  <c r="G277" i="12"/>
  <c r="F277" i="12"/>
  <c r="E277" i="12"/>
  <c r="AC276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O276" i="12"/>
  <c r="N276" i="12"/>
  <c r="M276" i="12"/>
  <c r="L276" i="12"/>
  <c r="K276" i="12"/>
  <c r="J276" i="12"/>
  <c r="I276" i="12"/>
  <c r="H276" i="12"/>
  <c r="G276" i="12"/>
  <c r="F276" i="12"/>
  <c r="E276" i="12"/>
  <c r="AC275" i="12"/>
  <c r="AB275" i="12"/>
  <c r="AA275" i="12"/>
  <c r="Z275" i="12"/>
  <c r="Y275" i="12"/>
  <c r="X275" i="12"/>
  <c r="W275" i="12"/>
  <c r="V275" i="12"/>
  <c r="U275" i="12"/>
  <c r="T275" i="12"/>
  <c r="S275" i="12"/>
  <c r="R275" i="12"/>
  <c r="Q275" i="12"/>
  <c r="P275" i="12"/>
  <c r="O275" i="12"/>
  <c r="N275" i="12"/>
  <c r="M275" i="12"/>
  <c r="L275" i="12"/>
  <c r="K275" i="12"/>
  <c r="J275" i="12"/>
  <c r="I275" i="12"/>
  <c r="H275" i="12"/>
  <c r="G275" i="12"/>
  <c r="F275" i="12"/>
  <c r="E275" i="12"/>
  <c r="AD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M274" i="12"/>
  <c r="L274" i="12"/>
  <c r="K274" i="12"/>
  <c r="J274" i="12"/>
  <c r="I274" i="12"/>
  <c r="H274" i="12"/>
  <c r="G274" i="12"/>
  <c r="F274" i="12"/>
  <c r="E274" i="12"/>
  <c r="AD273" i="12"/>
  <c r="AC273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O273" i="12"/>
  <c r="N273" i="12"/>
  <c r="M273" i="12"/>
  <c r="L273" i="12"/>
  <c r="L283" i="12" s="1"/>
  <c r="L40" i="12" s="1"/>
  <c r="K273" i="12"/>
  <c r="K283" i="12" s="1"/>
  <c r="K40" i="12" s="1"/>
  <c r="J273" i="12"/>
  <c r="I273" i="12"/>
  <c r="H273" i="12"/>
  <c r="G273" i="12"/>
  <c r="F273" i="12"/>
  <c r="E273" i="12"/>
  <c r="AD272" i="12"/>
  <c r="AC272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O283" i="12" s="1"/>
  <c r="O40" i="12" s="1"/>
  <c r="N272" i="12"/>
  <c r="M272" i="12"/>
  <c r="M283" i="12" s="1"/>
  <c r="M40" i="12" s="1"/>
  <c r="L272" i="12"/>
  <c r="K272" i="12"/>
  <c r="J272" i="12"/>
  <c r="I272" i="12"/>
  <c r="H272" i="12"/>
  <c r="G272" i="12"/>
  <c r="F272" i="12"/>
  <c r="AD271" i="12"/>
  <c r="AC271" i="12"/>
  <c r="AB271" i="12"/>
  <c r="AA271" i="12"/>
  <c r="Z271" i="12"/>
  <c r="Y271" i="12"/>
  <c r="X271" i="12"/>
  <c r="W271" i="12"/>
  <c r="V271" i="12"/>
  <c r="U271" i="12"/>
  <c r="T271" i="12"/>
  <c r="T283" i="12" s="1"/>
  <c r="T40" i="12" s="1"/>
  <c r="S271" i="12"/>
  <c r="S283" i="12" s="1"/>
  <c r="S40" i="12" s="1"/>
  <c r="R271" i="12"/>
  <c r="Q271" i="12"/>
  <c r="P271" i="12"/>
  <c r="O271" i="12"/>
  <c r="N271" i="12"/>
  <c r="M271" i="12"/>
  <c r="L271" i="12"/>
  <c r="K271" i="12"/>
  <c r="J271" i="12"/>
  <c r="I271" i="12"/>
  <c r="H271" i="12"/>
  <c r="G271" i="12"/>
  <c r="F271" i="12"/>
  <c r="AE270" i="12"/>
  <c r="AD270" i="12"/>
  <c r="AC270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O270" i="12"/>
  <c r="N270" i="12"/>
  <c r="M270" i="12"/>
  <c r="L270" i="12"/>
  <c r="K270" i="12"/>
  <c r="J270" i="12"/>
  <c r="I270" i="12"/>
  <c r="H270" i="12"/>
  <c r="G270" i="12"/>
  <c r="F270" i="12"/>
  <c r="E270" i="12"/>
  <c r="D270" i="12"/>
  <c r="C270" i="12"/>
  <c r="B270" i="12"/>
  <c r="AE267" i="12"/>
  <c r="AD267" i="12"/>
  <c r="X267" i="12"/>
  <c r="S267" i="12"/>
  <c r="S34" i="12" s="1"/>
  <c r="E267" i="12"/>
  <c r="D267" i="12"/>
  <c r="C267" i="12"/>
  <c r="B267" i="12"/>
  <c r="AC266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M266" i="12"/>
  <c r="L266" i="12"/>
  <c r="K266" i="12"/>
  <c r="J266" i="12"/>
  <c r="I266" i="12"/>
  <c r="H266" i="12"/>
  <c r="G266" i="12"/>
  <c r="F266" i="12"/>
  <c r="E266" i="12"/>
  <c r="AC265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G265" i="12"/>
  <c r="F265" i="12"/>
  <c r="E265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G264" i="12"/>
  <c r="F264" i="12"/>
  <c r="E264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M263" i="12"/>
  <c r="L263" i="12"/>
  <c r="K263" i="12"/>
  <c r="J263" i="12"/>
  <c r="I263" i="12"/>
  <c r="H263" i="12"/>
  <c r="G263" i="12"/>
  <c r="F263" i="12"/>
  <c r="E263" i="12"/>
  <c r="AC262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M262" i="12"/>
  <c r="L262" i="12"/>
  <c r="K262" i="12"/>
  <c r="J262" i="12"/>
  <c r="I262" i="12"/>
  <c r="H262" i="12"/>
  <c r="G262" i="12"/>
  <c r="F262" i="12"/>
  <c r="E262" i="12"/>
  <c r="AC261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O261" i="12"/>
  <c r="N261" i="12"/>
  <c r="M261" i="12"/>
  <c r="L261" i="12"/>
  <c r="K261" i="12"/>
  <c r="J261" i="12"/>
  <c r="I261" i="12"/>
  <c r="H261" i="12"/>
  <c r="G261" i="12"/>
  <c r="F261" i="12"/>
  <c r="E261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M260" i="12"/>
  <c r="L260" i="12"/>
  <c r="K260" i="12"/>
  <c r="J260" i="12"/>
  <c r="I260" i="12"/>
  <c r="H260" i="12"/>
  <c r="G260" i="12"/>
  <c r="F260" i="12"/>
  <c r="E260" i="12"/>
  <c r="AC259" i="12"/>
  <c r="AB259" i="12"/>
  <c r="AA259" i="12"/>
  <c r="Z259" i="12"/>
  <c r="Y259" i="12"/>
  <c r="X259" i="12"/>
  <c r="W259" i="12"/>
  <c r="V259" i="12"/>
  <c r="U259" i="12"/>
  <c r="T259" i="12"/>
  <c r="S259" i="12"/>
  <c r="R259" i="12"/>
  <c r="Q259" i="12"/>
  <c r="P259" i="12"/>
  <c r="O259" i="12"/>
  <c r="N259" i="12"/>
  <c r="M259" i="12"/>
  <c r="L259" i="12"/>
  <c r="K259" i="12"/>
  <c r="J259" i="12"/>
  <c r="I259" i="12"/>
  <c r="H259" i="12"/>
  <c r="G259" i="12"/>
  <c r="F259" i="12"/>
  <c r="E259" i="12"/>
  <c r="AD258" i="12"/>
  <c r="AC258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O258" i="12"/>
  <c r="N258" i="12"/>
  <c r="M258" i="12"/>
  <c r="L258" i="12"/>
  <c r="K258" i="12"/>
  <c r="J258" i="12"/>
  <c r="I258" i="12"/>
  <c r="H258" i="12"/>
  <c r="G258" i="12"/>
  <c r="F258" i="12"/>
  <c r="E258" i="12"/>
  <c r="AD257" i="12"/>
  <c r="AC257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O257" i="12"/>
  <c r="N257" i="12"/>
  <c r="M257" i="12"/>
  <c r="L257" i="12"/>
  <c r="K257" i="12"/>
  <c r="J257" i="12"/>
  <c r="I257" i="12"/>
  <c r="H257" i="12"/>
  <c r="G257" i="12"/>
  <c r="G267" i="12" s="1"/>
  <c r="G34" i="12" s="1"/>
  <c r="F257" i="12"/>
  <c r="E257" i="12"/>
  <c r="AD256" i="12"/>
  <c r="AC256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O256" i="12"/>
  <c r="O267" i="12" s="1"/>
  <c r="O34" i="12" s="1"/>
  <c r="N256" i="12"/>
  <c r="M256" i="12"/>
  <c r="L256" i="12"/>
  <c r="K256" i="12"/>
  <c r="J256" i="12"/>
  <c r="I256" i="12"/>
  <c r="H256" i="12"/>
  <c r="G256" i="12"/>
  <c r="F256" i="12"/>
  <c r="AD255" i="12"/>
  <c r="AC255" i="12"/>
  <c r="AB255" i="12"/>
  <c r="AA255" i="12"/>
  <c r="Z255" i="12"/>
  <c r="Y255" i="12"/>
  <c r="X255" i="12"/>
  <c r="W255" i="12"/>
  <c r="V255" i="12"/>
  <c r="U255" i="12"/>
  <c r="U267" i="12" s="1"/>
  <c r="U34" i="12" s="1"/>
  <c r="T255" i="12"/>
  <c r="T267" i="12" s="1"/>
  <c r="T34" i="12" s="1"/>
  <c r="S255" i="12"/>
  <c r="R255" i="12"/>
  <c r="Q255" i="12"/>
  <c r="P255" i="12"/>
  <c r="P267" i="12" s="1"/>
  <c r="P34" i="12" s="1"/>
  <c r="O255" i="12"/>
  <c r="N255" i="12"/>
  <c r="M255" i="12"/>
  <c r="L255" i="12"/>
  <c r="K255" i="12"/>
  <c r="J255" i="12"/>
  <c r="J267" i="12" s="1"/>
  <c r="J34" i="12" s="1"/>
  <c r="I255" i="12"/>
  <c r="H255" i="12"/>
  <c r="G255" i="12"/>
  <c r="F255" i="12"/>
  <c r="AE254" i="12"/>
  <c r="AD254" i="12"/>
  <c r="AC254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O254" i="12"/>
  <c r="N254" i="12"/>
  <c r="M254" i="12"/>
  <c r="L254" i="12"/>
  <c r="K254" i="12"/>
  <c r="J254" i="12"/>
  <c r="I254" i="12"/>
  <c r="H254" i="12"/>
  <c r="G254" i="12"/>
  <c r="F254" i="12"/>
  <c r="E254" i="12"/>
  <c r="D254" i="12"/>
  <c r="C254" i="12"/>
  <c r="B254" i="12"/>
  <c r="Z251" i="12"/>
  <c r="Y251" i="12"/>
  <c r="X251" i="12"/>
  <c r="W251" i="12"/>
  <c r="V251" i="12"/>
  <c r="U251" i="12"/>
  <c r="T251" i="12"/>
  <c r="S251" i="12"/>
  <c r="R251" i="12"/>
  <c r="Q251" i="12"/>
  <c r="P251" i="12"/>
  <c r="O251" i="12"/>
  <c r="N251" i="12"/>
  <c r="M251" i="12"/>
  <c r="L251" i="12"/>
  <c r="K251" i="12"/>
  <c r="J251" i="12"/>
  <c r="I251" i="12"/>
  <c r="H251" i="12"/>
  <c r="G251" i="12"/>
  <c r="F251" i="12"/>
  <c r="E251" i="12"/>
  <c r="D251" i="12"/>
  <c r="C251" i="12"/>
  <c r="B251" i="12"/>
  <c r="AE238" i="12"/>
  <c r="AD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AC235" i="12"/>
  <c r="AB235" i="12"/>
  <c r="AA235" i="12"/>
  <c r="J227" i="12"/>
  <c r="AE222" i="12"/>
  <c r="AD222" i="12"/>
  <c r="AC222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O222" i="12"/>
  <c r="N222" i="12"/>
  <c r="M222" i="12"/>
  <c r="L222" i="12"/>
  <c r="K222" i="12"/>
  <c r="J222" i="12"/>
  <c r="I222" i="12"/>
  <c r="H222" i="12"/>
  <c r="G222" i="12"/>
  <c r="F222" i="12"/>
  <c r="E222" i="12"/>
  <c r="D222" i="12"/>
  <c r="C222" i="12"/>
  <c r="B222" i="12"/>
  <c r="AE206" i="12"/>
  <c r="AD206" i="12"/>
  <c r="AC206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O206" i="12"/>
  <c r="N206" i="12"/>
  <c r="M206" i="12"/>
  <c r="L206" i="12"/>
  <c r="K206" i="12"/>
  <c r="J206" i="12"/>
  <c r="I206" i="12"/>
  <c r="H206" i="12"/>
  <c r="G206" i="12"/>
  <c r="F206" i="12"/>
  <c r="E206" i="12"/>
  <c r="D206" i="12"/>
  <c r="C206" i="12"/>
  <c r="B206" i="12"/>
  <c r="AE190" i="12"/>
  <c r="AD190" i="12"/>
  <c r="AC190" i="12"/>
  <c r="AB190" i="12"/>
  <c r="AA190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M190" i="12"/>
  <c r="L190" i="12"/>
  <c r="K190" i="12"/>
  <c r="J190" i="12"/>
  <c r="I190" i="12"/>
  <c r="H190" i="12"/>
  <c r="G190" i="12"/>
  <c r="F190" i="12"/>
  <c r="E190" i="12"/>
  <c r="D190" i="12"/>
  <c r="C190" i="12"/>
  <c r="B190" i="12"/>
  <c r="AE187" i="12"/>
  <c r="AD187" i="12"/>
  <c r="AC187" i="12"/>
  <c r="AB187" i="12"/>
  <c r="AA187" i="12"/>
  <c r="Z187" i="12"/>
  <c r="Y187" i="12"/>
  <c r="X187" i="12"/>
  <c r="W187" i="12"/>
  <c r="V187" i="12"/>
  <c r="U187" i="12"/>
  <c r="V176" i="12" s="1"/>
  <c r="T187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G187" i="12"/>
  <c r="F187" i="12"/>
  <c r="E187" i="12"/>
  <c r="D187" i="12"/>
  <c r="C187" i="12"/>
  <c r="B187" i="12"/>
  <c r="E178" i="12"/>
  <c r="AA177" i="12"/>
  <c r="V177" i="12"/>
  <c r="M177" i="12"/>
  <c r="K177" i="12"/>
  <c r="E177" i="12"/>
  <c r="AB176" i="12"/>
  <c r="AA176" i="12"/>
  <c r="X176" i="12"/>
  <c r="S176" i="12"/>
  <c r="P176" i="12"/>
  <c r="M176" i="12"/>
  <c r="L176" i="12"/>
  <c r="K176" i="12"/>
  <c r="F176" i="12"/>
  <c r="F177" i="12" s="1"/>
  <c r="E176" i="12"/>
  <c r="B176" i="12"/>
  <c r="AE175" i="12"/>
  <c r="AD175" i="12"/>
  <c r="AC175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H175" i="12"/>
  <c r="G175" i="12"/>
  <c r="F175" i="12"/>
  <c r="E175" i="12"/>
  <c r="D175" i="12"/>
  <c r="C175" i="12"/>
  <c r="B175" i="12"/>
  <c r="B172" i="12"/>
  <c r="AE159" i="12"/>
  <c r="AD159" i="12"/>
  <c r="AC159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F159" i="12"/>
  <c r="E159" i="12"/>
  <c r="D159" i="12"/>
  <c r="C159" i="12"/>
  <c r="B159" i="12"/>
  <c r="AE156" i="12"/>
  <c r="AD156" i="12"/>
  <c r="O156" i="12"/>
  <c r="O27" i="12" s="1"/>
  <c r="K156" i="12"/>
  <c r="K27" i="12" s="1"/>
  <c r="E156" i="12"/>
  <c r="D156" i="12"/>
  <c r="C156" i="12"/>
  <c r="B156" i="12"/>
  <c r="AC155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AC154" i="12"/>
  <c r="AB154" i="12"/>
  <c r="AA154" i="12"/>
  <c r="Z154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AC153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AC152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AC151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AC150" i="12"/>
  <c r="AB150" i="12"/>
  <c r="AA150" i="12"/>
  <c r="Z150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AC149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J156" i="12" s="1"/>
  <c r="J27" i="12" s="1"/>
  <c r="I148" i="12"/>
  <c r="I156" i="12" s="1"/>
  <c r="I27" i="12" s="1"/>
  <c r="H148" i="12"/>
  <c r="G148" i="12"/>
  <c r="F148" i="12"/>
  <c r="E148" i="12"/>
  <c r="AD147" i="12"/>
  <c r="AC147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AD146" i="12"/>
  <c r="AC146" i="12"/>
  <c r="AB146" i="12"/>
  <c r="AA146" i="12"/>
  <c r="Z146" i="12"/>
  <c r="Y146" i="12"/>
  <c r="X146" i="12"/>
  <c r="W146" i="12"/>
  <c r="V146" i="12"/>
  <c r="U146" i="12"/>
  <c r="T146" i="12"/>
  <c r="S146" i="12"/>
  <c r="R146" i="12"/>
  <c r="Q146" i="12"/>
  <c r="P146" i="12"/>
  <c r="O146" i="12"/>
  <c r="N146" i="12"/>
  <c r="M146" i="12"/>
  <c r="L146" i="12"/>
  <c r="K146" i="12"/>
  <c r="J146" i="12"/>
  <c r="I146" i="12"/>
  <c r="H146" i="12"/>
  <c r="G146" i="12"/>
  <c r="F146" i="12"/>
  <c r="AD145" i="12"/>
  <c r="AC145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AD144" i="12"/>
  <c r="AC144" i="12"/>
  <c r="AB144" i="12"/>
  <c r="AA144" i="12"/>
  <c r="Z144" i="12"/>
  <c r="Y144" i="12"/>
  <c r="X144" i="12"/>
  <c r="W144" i="12"/>
  <c r="V144" i="12"/>
  <c r="U144" i="12"/>
  <c r="U156" i="12" s="1"/>
  <c r="U27" i="12" s="1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AE143" i="12"/>
  <c r="AD143" i="12"/>
  <c r="AC143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AE140" i="12"/>
  <c r="AD140" i="12"/>
  <c r="E140" i="12"/>
  <c r="D140" i="12"/>
  <c r="C140" i="12"/>
  <c r="B140" i="12"/>
  <c r="AC139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AC138" i="12"/>
  <c r="AB138" i="12"/>
  <c r="AA138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AC137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AC136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O136" i="12"/>
  <c r="N136" i="12"/>
  <c r="M136" i="12"/>
  <c r="L136" i="12"/>
  <c r="K136" i="12"/>
  <c r="J136" i="12"/>
  <c r="I136" i="12"/>
  <c r="H136" i="12"/>
  <c r="G136" i="12"/>
  <c r="F136" i="12"/>
  <c r="E136" i="12"/>
  <c r="AC135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G135" i="12"/>
  <c r="F135" i="12"/>
  <c r="E135" i="12"/>
  <c r="AC134" i="12"/>
  <c r="AB134" i="12"/>
  <c r="AA134" i="12"/>
  <c r="Z134" i="12"/>
  <c r="Y134" i="12"/>
  <c r="X134" i="12"/>
  <c r="W134" i="12"/>
  <c r="V134" i="12"/>
  <c r="U134" i="12"/>
  <c r="T134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E134" i="12"/>
  <c r="AC133" i="12"/>
  <c r="AB133" i="12"/>
  <c r="AA133" i="12"/>
  <c r="Z133" i="12"/>
  <c r="Y133" i="12"/>
  <c r="X133" i="12"/>
  <c r="W133" i="12"/>
  <c r="V133" i="12"/>
  <c r="U133" i="12"/>
  <c r="T133" i="12"/>
  <c r="S133" i="12"/>
  <c r="S140" i="12" s="1"/>
  <c r="S24" i="12" s="1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AC132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AD131" i="12"/>
  <c r="AC131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AD130" i="12"/>
  <c r="AC130" i="12"/>
  <c r="AB130" i="12"/>
  <c r="AA130" i="12"/>
  <c r="Z130" i="12"/>
  <c r="Z140" i="12" s="1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AD129" i="12"/>
  <c r="AC129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H140" i="12" s="1"/>
  <c r="H24" i="12" s="1"/>
  <c r="G129" i="12"/>
  <c r="F129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P140" i="12" s="1"/>
  <c r="P24" i="12" s="1"/>
  <c r="O128" i="12"/>
  <c r="O140" i="12" s="1"/>
  <c r="O24" i="12" s="1"/>
  <c r="N128" i="12"/>
  <c r="N140" i="12" s="1"/>
  <c r="N24" i="12" s="1"/>
  <c r="M128" i="12"/>
  <c r="M140" i="12" s="1"/>
  <c r="M24" i="12" s="1"/>
  <c r="L128" i="12"/>
  <c r="K128" i="12"/>
  <c r="J128" i="12"/>
  <c r="I128" i="12"/>
  <c r="H128" i="12"/>
  <c r="G128" i="12"/>
  <c r="F128" i="12"/>
  <c r="AE127" i="12"/>
  <c r="AD127" i="12"/>
  <c r="AC127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AC124" i="12"/>
  <c r="AB124" i="12"/>
  <c r="AA124" i="12"/>
  <c r="B112" i="12"/>
  <c r="AE111" i="12"/>
  <c r="AD111" i="12"/>
  <c r="AC111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B96" i="12"/>
  <c r="AE95" i="12"/>
  <c r="AD95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AE92" i="12"/>
  <c r="AD92" i="12"/>
  <c r="AC92" i="12"/>
  <c r="AB92" i="12"/>
  <c r="AA92" i="12"/>
  <c r="Z92" i="12"/>
  <c r="J83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B79" i="12"/>
  <c r="AE76" i="12"/>
  <c r="P76" i="12"/>
  <c r="P13" i="12" s="1"/>
  <c r="M76" i="12"/>
  <c r="M13" i="12" s="1"/>
  <c r="L76" i="12"/>
  <c r="K76" i="12"/>
  <c r="J76" i="12"/>
  <c r="J13" i="12" s="1"/>
  <c r="E76" i="12"/>
  <c r="E13" i="12" s="1"/>
  <c r="C76" i="12"/>
  <c r="B76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I76" i="12" s="1"/>
  <c r="I13" i="12" s="1"/>
  <c r="H72" i="12"/>
  <c r="G72" i="12"/>
  <c r="F72" i="12"/>
  <c r="F76" i="12" s="1"/>
  <c r="F13" i="12" s="1"/>
  <c r="E72" i="12"/>
  <c r="D72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AD64" i="12"/>
  <c r="AC64" i="12"/>
  <c r="AB64" i="12"/>
  <c r="AA64" i="12"/>
  <c r="AA76" i="12" s="1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B63" i="12"/>
  <c r="AE60" i="12"/>
  <c r="AD60" i="12"/>
  <c r="W60" i="12"/>
  <c r="W10" i="12" s="1"/>
  <c r="S60" i="12"/>
  <c r="S10" i="12" s="1"/>
  <c r="R60" i="12"/>
  <c r="R10" i="12" s="1"/>
  <c r="Q60" i="12"/>
  <c r="Q10" i="12" s="1"/>
  <c r="O60" i="12"/>
  <c r="O10" i="12" s="1"/>
  <c r="E60" i="12"/>
  <c r="D60" i="12"/>
  <c r="C60" i="12"/>
  <c r="B60" i="12"/>
  <c r="AC59" i="12"/>
  <c r="AB59" i="12"/>
  <c r="AA59" i="12"/>
  <c r="Z59" i="12"/>
  <c r="Y59" i="12"/>
  <c r="X59" i="12"/>
  <c r="W59" i="12"/>
  <c r="V59" i="12"/>
  <c r="U59" i="12"/>
  <c r="T59" i="12"/>
  <c r="T60" i="12" s="1"/>
  <c r="T10" i="12" s="1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N60" i="12" s="1"/>
  <c r="N10" i="12" s="1"/>
  <c r="N11" i="12" s="1"/>
  <c r="N16" i="12" s="1"/>
  <c r="M57" i="12"/>
  <c r="L57" i="12"/>
  <c r="K57" i="12"/>
  <c r="J57" i="12"/>
  <c r="I57" i="12"/>
  <c r="H57" i="12"/>
  <c r="G57" i="12"/>
  <c r="F57" i="12"/>
  <c r="E57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AD50" i="12"/>
  <c r="AC50" i="12"/>
  <c r="AB50" i="12"/>
  <c r="AA50" i="12"/>
  <c r="Z50" i="12"/>
  <c r="Y50" i="12"/>
  <c r="X50" i="12"/>
  <c r="X60" i="12" s="1"/>
  <c r="X10" i="12" s="1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P60" i="12" s="1"/>
  <c r="P10" i="12" s="1"/>
  <c r="O48" i="12"/>
  <c r="N48" i="12"/>
  <c r="M48" i="12"/>
  <c r="L48" i="12"/>
  <c r="K48" i="12"/>
  <c r="J48" i="12"/>
  <c r="I48" i="12"/>
  <c r="I60" i="12" s="1"/>
  <c r="H48" i="12"/>
  <c r="G48" i="12"/>
  <c r="F48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E41" i="12"/>
  <c r="AD41" i="12"/>
  <c r="AE36" i="12"/>
  <c r="AE299" i="12" s="1"/>
  <c r="AE291" i="12" s="1"/>
  <c r="AD36" i="12"/>
  <c r="AD299" i="12" s="1"/>
  <c r="AD297" i="12" s="1"/>
  <c r="AC36" i="12"/>
  <c r="AC299" i="12" s="1"/>
  <c r="AB36" i="12"/>
  <c r="AA36" i="12"/>
  <c r="AA299" i="12" s="1"/>
  <c r="AA297" i="12" s="1"/>
  <c r="Z36" i="12"/>
  <c r="Z299" i="12" s="1"/>
  <c r="Z297" i="12" s="1"/>
  <c r="Y36" i="12"/>
  <c r="Y299" i="12" s="1"/>
  <c r="Y297" i="12" s="1"/>
  <c r="X36" i="12"/>
  <c r="X299" i="12" s="1"/>
  <c r="W36" i="12"/>
  <c r="W299" i="12" s="1"/>
  <c r="W297" i="12" s="1"/>
  <c r="V36" i="12"/>
  <c r="V299" i="12" s="1"/>
  <c r="U36" i="12"/>
  <c r="U299" i="12" s="1"/>
  <c r="U291" i="12" s="1"/>
  <c r="T36" i="12"/>
  <c r="T299" i="12" s="1"/>
  <c r="S36" i="12"/>
  <c r="S299" i="12" s="1"/>
  <c r="R36" i="12"/>
  <c r="R299" i="12" s="1"/>
  <c r="Q36" i="12"/>
  <c r="Q299" i="12" s="1"/>
  <c r="P36" i="12"/>
  <c r="P299" i="12" s="1"/>
  <c r="P296" i="12" s="1"/>
  <c r="O36" i="12"/>
  <c r="O299" i="12" s="1"/>
  <c r="O295" i="12" s="1"/>
  <c r="N36" i="12"/>
  <c r="N299" i="12" s="1"/>
  <c r="M36" i="12"/>
  <c r="M299" i="12" s="1"/>
  <c r="L36" i="12"/>
  <c r="L299" i="12" s="1"/>
  <c r="K36" i="12"/>
  <c r="K299" i="12" s="1"/>
  <c r="K291" i="12" s="1"/>
  <c r="J36" i="12"/>
  <c r="J299" i="12" s="1"/>
  <c r="J291" i="12" s="1"/>
  <c r="J211" i="12" s="1"/>
  <c r="J85" i="12" s="1"/>
  <c r="J101" i="12" s="1"/>
  <c r="J117" i="12" s="1"/>
  <c r="I36" i="12"/>
  <c r="H36" i="12"/>
  <c r="G36" i="12"/>
  <c r="F36" i="12"/>
  <c r="E36" i="12"/>
  <c r="D36" i="12"/>
  <c r="D299" i="12" s="1"/>
  <c r="D294" i="12" s="1"/>
  <c r="C36" i="12"/>
  <c r="C299" i="12" s="1"/>
  <c r="C294" i="12" s="1"/>
  <c r="B36" i="12"/>
  <c r="B299" i="12" s="1"/>
  <c r="AD35" i="12"/>
  <c r="AD42" i="12" s="1"/>
  <c r="X34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Z24" i="12"/>
  <c r="AB23" i="12"/>
  <c r="AA23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AD17" i="12"/>
  <c r="AD16" i="12"/>
  <c r="AD15" i="12" s="1"/>
  <c r="AD46" i="12" s="1"/>
  <c r="H16" i="12"/>
  <c r="AD14" i="12"/>
  <c r="AC14" i="12"/>
  <c r="Y14" i="12"/>
  <c r="O14" i="12"/>
  <c r="N14" i="12"/>
  <c r="AD13" i="12"/>
  <c r="AD76" i="12" s="1"/>
  <c r="AA13" i="12"/>
  <c r="AD12" i="12"/>
  <c r="AD11" i="12"/>
  <c r="J11" i="12"/>
  <c r="J16" i="12" s="1"/>
  <c r="I11" i="12"/>
  <c r="I16" i="12" s="1"/>
  <c r="H11" i="12"/>
  <c r="G11" i="12"/>
  <c r="G16" i="12" s="1"/>
  <c r="AY10" i="12"/>
  <c r="AX10" i="12"/>
  <c r="AW10" i="12"/>
  <c r="AV10" i="12"/>
  <c r="AU10" i="12"/>
  <c r="AT10" i="12"/>
  <c r="AS10" i="12"/>
  <c r="AR10" i="12"/>
  <c r="AQ10" i="12"/>
  <c r="AP10" i="12"/>
  <c r="Y9" i="12"/>
  <c r="X9" i="12"/>
  <c r="W9" i="12"/>
  <c r="V9" i="12"/>
  <c r="U9" i="12"/>
  <c r="S9" i="12"/>
  <c r="R9" i="12"/>
  <c r="P9" i="12"/>
  <c r="O9" i="12"/>
  <c r="N9" i="12"/>
  <c r="M9" i="12"/>
  <c r="L9" i="12"/>
  <c r="L7" i="12" s="1"/>
  <c r="K9" i="12"/>
  <c r="J9" i="12"/>
  <c r="I9" i="12"/>
  <c r="I7" i="12" s="1"/>
  <c r="H9" i="12"/>
  <c r="G9" i="12"/>
  <c r="E9" i="12"/>
  <c r="D9" i="12"/>
  <c r="D7" i="12" s="1"/>
  <c r="AV8" i="12"/>
  <c r="AT8" i="12"/>
  <c r="AQ8" i="12"/>
  <c r="AP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O11" i="12" s="1"/>
  <c r="O16" i="12" s="1"/>
  <c r="N8" i="12"/>
  <c r="M8" i="12"/>
  <c r="L8" i="12"/>
  <c r="K8" i="12"/>
  <c r="J8" i="12"/>
  <c r="I8" i="12"/>
  <c r="H8" i="12"/>
  <c r="G8" i="12"/>
  <c r="F8" i="12"/>
  <c r="E8" i="12"/>
  <c r="D8" i="12"/>
  <c r="C8" i="12"/>
  <c r="BD7" i="12"/>
  <c r="BC7" i="12"/>
  <c r="BB7" i="12"/>
  <c r="BA7" i="12"/>
  <c r="AZ7" i="12"/>
  <c r="AY7" i="12"/>
  <c r="AY4" i="12" s="1"/>
  <c r="AX7" i="12"/>
  <c r="AX8" i="12" s="1"/>
  <c r="AW7" i="12"/>
  <c r="AW8" i="12" s="1"/>
  <c r="AV7" i="12"/>
  <c r="AU7" i="12"/>
  <c r="AU8" i="12" s="1"/>
  <c r="AT7" i="12"/>
  <c r="AS7" i="12"/>
  <c r="AR7" i="12"/>
  <c r="AQ7" i="12"/>
  <c r="AP7" i="12"/>
  <c r="AO7" i="12"/>
  <c r="AO8" i="12" s="1"/>
  <c r="AD7" i="12"/>
  <c r="AC7" i="12"/>
  <c r="AB7" i="12"/>
  <c r="AA7" i="12"/>
  <c r="Z7" i="12"/>
  <c r="P7" i="12"/>
  <c r="O7" i="12"/>
  <c r="N7" i="12"/>
  <c r="M7" i="12"/>
  <c r="AD6" i="12"/>
  <c r="Z6" i="12"/>
  <c r="Q6" i="12"/>
  <c r="P6" i="12"/>
  <c r="Y5" i="12"/>
  <c r="T5" i="12"/>
  <c r="S5" i="12"/>
  <c r="R5" i="12"/>
  <c r="Q5" i="12"/>
  <c r="Q9" i="12" s="1"/>
  <c r="P5" i="12"/>
  <c r="O5" i="12"/>
  <c r="N5" i="12"/>
  <c r="M5" i="12"/>
  <c r="L5" i="12"/>
  <c r="J5" i="12"/>
  <c r="I5" i="12"/>
  <c r="H5" i="12"/>
  <c r="H4" i="12" s="1"/>
  <c r="G14" i="12" s="1"/>
  <c r="G5" i="12"/>
  <c r="G4" i="12" s="1"/>
  <c r="F14" i="12" s="1"/>
  <c r="F5" i="12"/>
  <c r="E5" i="12"/>
  <c r="D5" i="12"/>
  <c r="C5" i="12"/>
  <c r="B5" i="12"/>
  <c r="BD4" i="12"/>
  <c r="BD10" i="12" s="1"/>
  <c r="BC4" i="12"/>
  <c r="BC10" i="12" s="1"/>
  <c r="BB4" i="12"/>
  <c r="BB10" i="12" s="1"/>
  <c r="BA4" i="12"/>
  <c r="AZ4" i="12"/>
  <c r="AZ10" i="12" s="1"/>
  <c r="AS4" i="12"/>
  <c r="K5" i="12" s="1"/>
  <c r="AR4" i="12"/>
  <c r="Z4" i="12"/>
  <c r="R4" i="12"/>
  <c r="R6" i="12" s="1"/>
  <c r="Q4" i="12"/>
  <c r="P14" i="12" s="1"/>
  <c r="P4" i="12"/>
  <c r="O4" i="12"/>
  <c r="O6" i="12" s="1"/>
  <c r="N4" i="12"/>
  <c r="M14" i="12" s="1"/>
  <c r="M4" i="12"/>
  <c r="L14" i="12" s="1"/>
  <c r="L4" i="12"/>
  <c r="AG361" i="11"/>
  <c r="AF361" i="11"/>
  <c r="AE361" i="11"/>
  <c r="AD361" i="11"/>
  <c r="AP350" i="11" s="1"/>
  <c r="AQ350" i="11" s="1"/>
  <c r="AC361" i="11"/>
  <c r="AB361" i="11"/>
  <c r="AA361" i="11"/>
  <c r="AC360" i="11"/>
  <c r="AB360" i="11"/>
  <c r="AI360" i="11" s="1"/>
  <c r="AA360" i="11"/>
  <c r="Z360" i="11"/>
  <c r="AI359" i="11"/>
  <c r="AC359" i="11"/>
  <c r="AB359" i="11"/>
  <c r="AA359" i="11"/>
  <c r="Z359" i="11"/>
  <c r="AD358" i="11"/>
  <c r="AC358" i="11"/>
  <c r="AB358" i="11"/>
  <c r="AA358" i="11"/>
  <c r="Z358" i="11"/>
  <c r="AI357" i="11"/>
  <c r="AD357" i="11"/>
  <c r="AP357" i="11" s="1"/>
  <c r="AQ357" i="11" s="1"/>
  <c r="AC357" i="11"/>
  <c r="AB357" i="11"/>
  <c r="AA357" i="11"/>
  <c r="Z357" i="11"/>
  <c r="AD356" i="11"/>
  <c r="AP356" i="11" s="1"/>
  <c r="AQ356" i="11" s="1"/>
  <c r="AC356" i="11"/>
  <c r="AO356" i="11" s="1"/>
  <c r="AB356" i="11"/>
  <c r="AA356" i="11"/>
  <c r="Z356" i="11"/>
  <c r="AC355" i="11"/>
  <c r="AB355" i="11"/>
  <c r="AI355" i="11" s="1"/>
  <c r="AA355" i="11"/>
  <c r="Z355" i="11"/>
  <c r="AD354" i="11"/>
  <c r="AP354" i="11" s="1"/>
  <c r="AQ354" i="11" s="1"/>
  <c r="AC354" i="11"/>
  <c r="AB354" i="11"/>
  <c r="AA354" i="11"/>
  <c r="AQ353" i="11"/>
  <c r="AP353" i="11"/>
  <c r="AD353" i="11"/>
  <c r="AC353" i="11"/>
  <c r="AO353" i="11" s="1"/>
  <c r="AB353" i="11"/>
  <c r="AA353" i="11"/>
  <c r="AD352" i="11"/>
  <c r="AC352" i="11"/>
  <c r="AO352" i="11" s="1"/>
  <c r="AB352" i="11"/>
  <c r="AA352" i="11"/>
  <c r="AD351" i="11"/>
  <c r="AC351" i="11"/>
  <c r="AB351" i="11"/>
  <c r="AA351" i="11"/>
  <c r="AI350" i="11"/>
  <c r="AD350" i="11"/>
  <c r="AC350" i="11"/>
  <c r="AB350" i="11"/>
  <c r="AA350" i="11"/>
  <c r="AD349" i="11"/>
  <c r="AC349" i="11"/>
  <c r="AO349" i="11" s="1"/>
  <c r="AB349" i="11"/>
  <c r="AA349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L345" i="11"/>
  <c r="AC345" i="11"/>
  <c r="AB345" i="11"/>
  <c r="AA345" i="11"/>
  <c r="AK344" i="11"/>
  <c r="AG344" i="11"/>
  <c r="AF344" i="11"/>
  <c r="AE344" i="11"/>
  <c r="AD344" i="11"/>
  <c r="AM343" i="11"/>
  <c r="AG343" i="11"/>
  <c r="AF343" i="11"/>
  <c r="AE343" i="11"/>
  <c r="AD343" i="11"/>
  <c r="AD359" i="11" s="1"/>
  <c r="AP359" i="11" s="1"/>
  <c r="AQ359" i="11" s="1"/>
  <c r="AM342" i="11"/>
  <c r="AG342" i="11"/>
  <c r="AF342" i="11"/>
  <c r="AE342" i="11"/>
  <c r="AD342" i="11"/>
  <c r="AG341" i="11"/>
  <c r="AF341" i="11"/>
  <c r="AE341" i="11"/>
  <c r="AD341" i="11"/>
  <c r="AM341" i="11" s="1"/>
  <c r="AM340" i="11"/>
  <c r="AG340" i="11"/>
  <c r="AF340" i="11"/>
  <c r="AE340" i="11"/>
  <c r="AD340" i="11"/>
  <c r="AG339" i="11"/>
  <c r="AF339" i="11"/>
  <c r="AE339" i="11"/>
  <c r="AD339" i="11"/>
  <c r="AD355" i="11" s="1"/>
  <c r="AP355" i="11" s="1"/>
  <c r="AQ355" i="11" s="1"/>
  <c r="AM338" i="11"/>
  <c r="AG338" i="11"/>
  <c r="AF338" i="11"/>
  <c r="AE338" i="11"/>
  <c r="AD338" i="11"/>
  <c r="AM337" i="11"/>
  <c r="AG337" i="11"/>
  <c r="AF337" i="11"/>
  <c r="AE337" i="11"/>
  <c r="AM336" i="11"/>
  <c r="AG336" i="11"/>
  <c r="AF336" i="11"/>
  <c r="AE336" i="11"/>
  <c r="AM335" i="11"/>
  <c r="AG335" i="11"/>
  <c r="AF335" i="11"/>
  <c r="AE335" i="11"/>
  <c r="AM334" i="11"/>
  <c r="AG334" i="11"/>
  <c r="AF334" i="11"/>
  <c r="AE334" i="11"/>
  <c r="AM333" i="11"/>
  <c r="AG333" i="11"/>
  <c r="AG345" i="11" s="1"/>
  <c r="AF333" i="11"/>
  <c r="AF345" i="11" s="1"/>
  <c r="AE333" i="11"/>
  <c r="AE345" i="11" s="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U318" i="11" s="1"/>
  <c r="U319" i="11" s="1"/>
  <c r="S329" i="11"/>
  <c r="R329" i="11"/>
  <c r="Q329" i="11"/>
  <c r="P329" i="11"/>
  <c r="O329" i="11"/>
  <c r="N329" i="11"/>
  <c r="M329" i="11"/>
  <c r="L329" i="11"/>
  <c r="K329" i="11"/>
  <c r="K319" i="11" s="1"/>
  <c r="J329" i="11"/>
  <c r="I329" i="11"/>
  <c r="H329" i="11"/>
  <c r="G329" i="11"/>
  <c r="F329" i="11"/>
  <c r="E329" i="11"/>
  <c r="D329" i="11"/>
  <c r="C329" i="11"/>
  <c r="B329" i="11"/>
  <c r="AC328" i="11"/>
  <c r="R328" i="11"/>
  <c r="AC327" i="11"/>
  <c r="AC326" i="11"/>
  <c r="AC325" i="11"/>
  <c r="AC324" i="11"/>
  <c r="AC309" i="11" s="1"/>
  <c r="AC323" i="11"/>
  <c r="Z323" i="11"/>
  <c r="AC322" i="11"/>
  <c r="Z322" i="11"/>
  <c r="AC321" i="11"/>
  <c r="Z321" i="11"/>
  <c r="R321" i="11"/>
  <c r="R322" i="11" s="1"/>
  <c r="R323" i="11" s="1"/>
  <c r="R324" i="11" s="1"/>
  <c r="R325" i="11" s="1"/>
  <c r="R326" i="11" s="1"/>
  <c r="R327" i="11" s="1"/>
  <c r="Z320" i="11"/>
  <c r="O320" i="11"/>
  <c r="O321" i="11" s="1"/>
  <c r="O322" i="11" s="1"/>
  <c r="K320" i="11"/>
  <c r="T319" i="11"/>
  <c r="S319" i="11"/>
  <c r="R319" i="11"/>
  <c r="R320" i="11" s="1"/>
  <c r="P319" i="11"/>
  <c r="O319" i="11"/>
  <c r="B319" i="11"/>
  <c r="B320" i="11" s="1"/>
  <c r="AG318" i="11"/>
  <c r="AE318" i="11"/>
  <c r="AD318" i="11"/>
  <c r="AC318" i="11"/>
  <c r="AB318" i="11"/>
  <c r="AA318" i="11"/>
  <c r="Z318" i="11"/>
  <c r="Y318" i="11"/>
  <c r="Y319" i="11" s="1"/>
  <c r="X318" i="11"/>
  <c r="T318" i="11"/>
  <c r="S318" i="11"/>
  <c r="R318" i="11"/>
  <c r="P318" i="11"/>
  <c r="O318" i="11"/>
  <c r="L318" i="11"/>
  <c r="K318" i="11"/>
  <c r="I318" i="11"/>
  <c r="H318" i="11"/>
  <c r="G318" i="11"/>
  <c r="F318" i="11"/>
  <c r="D318" i="11"/>
  <c r="C318" i="11"/>
  <c r="C319" i="11" s="1"/>
  <c r="C320" i="11" s="1"/>
  <c r="B318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C312" i="11"/>
  <c r="B310" i="11"/>
  <c r="D306" i="11"/>
  <c r="C306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X298" i="11"/>
  <c r="X40" i="11" s="1"/>
  <c r="X43" i="11" s="1"/>
  <c r="C298" i="11"/>
  <c r="AM297" i="11"/>
  <c r="AL297" i="11"/>
  <c r="AE297" i="11"/>
  <c r="AD297" i="11"/>
  <c r="AC297" i="11"/>
  <c r="AL294" i="11" s="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E296" i="11"/>
  <c r="AD296" i="11"/>
  <c r="AM293" i="11" s="1"/>
  <c r="AC296" i="11"/>
  <c r="AL293" i="11" s="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Q295" i="11"/>
  <c r="AM295" i="11"/>
  <c r="AL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M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Q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Q298" i="11" s="1"/>
  <c r="Q40" i="11" s="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M292" i="11"/>
  <c r="AL292" i="11"/>
  <c r="AE292" i="11"/>
  <c r="AD292" i="11"/>
  <c r="AC292" i="11"/>
  <c r="AL289" i="11" s="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G298" i="11" s="1"/>
  <c r="G40" i="11" s="1"/>
  <c r="F292" i="11"/>
  <c r="E292" i="11"/>
  <c r="D292" i="11"/>
  <c r="C292" i="11"/>
  <c r="B292" i="11"/>
  <c r="AF291" i="11"/>
  <c r="AE291" i="11"/>
  <c r="AD291" i="11"/>
  <c r="AC291" i="11"/>
  <c r="AL288" i="11" s="1"/>
  <c r="AB291" i="11"/>
  <c r="AA291" i="11"/>
  <c r="Z291" i="11"/>
  <c r="Y291" i="11"/>
  <c r="Y298" i="11" s="1"/>
  <c r="X291" i="11"/>
  <c r="W291" i="11"/>
  <c r="V291" i="11"/>
  <c r="U291" i="11"/>
  <c r="U298" i="11" s="1"/>
  <c r="U40" i="11" s="1"/>
  <c r="T291" i="11"/>
  <c r="T298" i="11" s="1"/>
  <c r="T40" i="11" s="1"/>
  <c r="T11" i="3" s="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Q290" i="11"/>
  <c r="AM290" i="11"/>
  <c r="AL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T289" i="11"/>
  <c r="AF289" i="11"/>
  <c r="AE289" i="11"/>
  <c r="AD289" i="11"/>
  <c r="AC289" i="11"/>
  <c r="AL286" i="11" s="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V288" i="11"/>
  <c r="AF288" i="11"/>
  <c r="AE288" i="11"/>
  <c r="AD288" i="11"/>
  <c r="AT288" i="11" s="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T287" i="11"/>
  <c r="AM287" i="11"/>
  <c r="AL287" i="11"/>
  <c r="AF287" i="11"/>
  <c r="AE287" i="11"/>
  <c r="AM296" i="11" s="1"/>
  <c r="AD287" i="11"/>
  <c r="AL296" i="11" s="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P298" i="11" s="1"/>
  <c r="P40" i="11" s="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F286" i="11"/>
  <c r="AE286" i="11"/>
  <c r="AE298" i="11" s="1"/>
  <c r="AE40" i="11" s="1"/>
  <c r="AD286" i="11"/>
  <c r="AV286" i="11" s="1"/>
  <c r="AC286" i="11"/>
  <c r="AB286" i="11"/>
  <c r="AA286" i="11"/>
  <c r="Z286" i="11"/>
  <c r="Z298" i="11" s="1"/>
  <c r="Z40" i="11" s="1"/>
  <c r="Z43" i="11" s="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J298" i="11" s="1"/>
  <c r="J40" i="11" s="1"/>
  <c r="I286" i="11"/>
  <c r="I298" i="11" s="1"/>
  <c r="I40" i="11" s="1"/>
  <c r="H286" i="11"/>
  <c r="G286" i="11"/>
  <c r="F286" i="11"/>
  <c r="E286" i="11"/>
  <c r="D286" i="11"/>
  <c r="D298" i="11" s="1"/>
  <c r="C286" i="11"/>
  <c r="B286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G282" i="11"/>
  <c r="AF282" i="11"/>
  <c r="AC282" i="11"/>
  <c r="AB282" i="11"/>
  <c r="AA282" i="11"/>
  <c r="Z282" i="11"/>
  <c r="Y282" i="11"/>
  <c r="Y34" i="11" s="1"/>
  <c r="Y35" i="11" s="1"/>
  <c r="Y41" i="11" s="1"/>
  <c r="Y36" i="11" s="1"/>
  <c r="X282" i="11"/>
  <c r="X34" i="11" s="1"/>
  <c r="W282" i="11"/>
  <c r="V282" i="11"/>
  <c r="U282" i="11"/>
  <c r="T282" i="11"/>
  <c r="S282" i="11"/>
  <c r="R282" i="11"/>
  <c r="F278" i="11" s="1"/>
  <c r="Q282" i="11"/>
  <c r="P282" i="11"/>
  <c r="O282" i="11"/>
  <c r="N282" i="11"/>
  <c r="M282" i="11"/>
  <c r="L282" i="11"/>
  <c r="K282" i="11"/>
  <c r="I282" i="11"/>
  <c r="H282" i="11"/>
  <c r="G282" i="11"/>
  <c r="G281" i="11" s="1"/>
  <c r="F282" i="11"/>
  <c r="F272" i="11" s="1"/>
  <c r="E282" i="11"/>
  <c r="D282" i="11"/>
  <c r="C282" i="11"/>
  <c r="B282" i="11"/>
  <c r="AE281" i="11"/>
  <c r="AD281" i="11"/>
  <c r="AE280" i="11"/>
  <c r="AD280" i="11"/>
  <c r="F280" i="11"/>
  <c r="AE279" i="11"/>
  <c r="AD279" i="11"/>
  <c r="AE278" i="11"/>
  <c r="AD278" i="11"/>
  <c r="I278" i="11"/>
  <c r="G278" i="11"/>
  <c r="AE277" i="11"/>
  <c r="AD277" i="11"/>
  <c r="AE276" i="11"/>
  <c r="AE282" i="11" s="1"/>
  <c r="AE34" i="11" s="1"/>
  <c r="AD276" i="11"/>
  <c r="I276" i="11"/>
  <c r="G276" i="11"/>
  <c r="F276" i="11"/>
  <c r="E276" i="11"/>
  <c r="AF275" i="11"/>
  <c r="AE275" i="11"/>
  <c r="AD275" i="11"/>
  <c r="AF274" i="11"/>
  <c r="AE274" i="11"/>
  <c r="AD274" i="11"/>
  <c r="G274" i="11"/>
  <c r="F274" i="11"/>
  <c r="E274" i="11"/>
  <c r="AF273" i="11"/>
  <c r="AE273" i="11"/>
  <c r="AD273" i="11"/>
  <c r="G273" i="11"/>
  <c r="F273" i="11"/>
  <c r="AF272" i="11"/>
  <c r="AE272" i="11"/>
  <c r="AD272" i="11"/>
  <c r="J272" i="11"/>
  <c r="G272" i="11"/>
  <c r="AF271" i="11"/>
  <c r="AE271" i="11"/>
  <c r="AD271" i="11"/>
  <c r="J271" i="11"/>
  <c r="G271" i="11"/>
  <c r="F271" i="11"/>
  <c r="D271" i="11"/>
  <c r="C271" i="11"/>
  <c r="AF270" i="11"/>
  <c r="AE270" i="11"/>
  <c r="J270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U265" i="11"/>
  <c r="S259" i="11"/>
  <c r="V257" i="11"/>
  <c r="R255" i="11"/>
  <c r="O255" i="11"/>
  <c r="W254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P249" i="11"/>
  <c r="P265" i="11" s="1"/>
  <c r="D249" i="11"/>
  <c r="D265" i="11" s="1"/>
  <c r="C249" i="11"/>
  <c r="B249" i="11"/>
  <c r="B265" i="11" s="1"/>
  <c r="AC248" i="11"/>
  <c r="L248" i="11"/>
  <c r="L264" i="11" s="1"/>
  <c r="E248" i="11"/>
  <c r="E264" i="11" s="1"/>
  <c r="D248" i="11"/>
  <c r="B248" i="11"/>
  <c r="P247" i="11"/>
  <c r="L247" i="11"/>
  <c r="H247" i="11"/>
  <c r="E247" i="11"/>
  <c r="D247" i="11"/>
  <c r="C247" i="11"/>
  <c r="C263" i="11" s="1"/>
  <c r="O246" i="11"/>
  <c r="N246" i="11"/>
  <c r="J246" i="11"/>
  <c r="J262" i="11" s="1"/>
  <c r="I246" i="11"/>
  <c r="H246" i="11"/>
  <c r="G246" i="11"/>
  <c r="G262" i="11" s="1"/>
  <c r="C246" i="11"/>
  <c r="B246" i="11"/>
  <c r="M245" i="11"/>
  <c r="L245" i="11"/>
  <c r="L261" i="11" s="1"/>
  <c r="J245" i="11"/>
  <c r="F245" i="11"/>
  <c r="C245" i="11"/>
  <c r="W244" i="11"/>
  <c r="V244" i="11"/>
  <c r="M244" i="11"/>
  <c r="L244" i="11"/>
  <c r="I244" i="11"/>
  <c r="H244" i="11"/>
  <c r="H260" i="11" s="1"/>
  <c r="G244" i="11"/>
  <c r="F244" i="11"/>
  <c r="D244" i="11"/>
  <c r="D260" i="11" s="1"/>
  <c r="K243" i="11"/>
  <c r="J243" i="11"/>
  <c r="H243" i="11"/>
  <c r="D243" i="11"/>
  <c r="U242" i="11"/>
  <c r="T242" i="11"/>
  <c r="R242" i="11"/>
  <c r="N242" i="11"/>
  <c r="K242" i="11"/>
  <c r="K258" i="11" s="1"/>
  <c r="J242" i="11"/>
  <c r="H242" i="11"/>
  <c r="G242" i="11"/>
  <c r="F242" i="11"/>
  <c r="X241" i="11"/>
  <c r="Q241" i="11"/>
  <c r="K241" i="11"/>
  <c r="W240" i="11"/>
  <c r="W256" i="11" s="1"/>
  <c r="V240" i="11"/>
  <c r="V256" i="11" s="1"/>
  <c r="U240" i="11"/>
  <c r="S240" i="11"/>
  <c r="R240" i="11"/>
  <c r="P240" i="11"/>
  <c r="L240" i="11"/>
  <c r="I240" i="11"/>
  <c r="H240" i="11"/>
  <c r="V239" i="11"/>
  <c r="S239" i="11"/>
  <c r="R239" i="11"/>
  <c r="M239" i="11"/>
  <c r="V238" i="11"/>
  <c r="U238" i="11"/>
  <c r="U254" i="11" s="1"/>
  <c r="T238" i="11"/>
  <c r="T254" i="11" s="1"/>
  <c r="S238" i="11"/>
  <c r="R238" i="11"/>
  <c r="Q238" i="11"/>
  <c r="Q254" i="11" s="1"/>
  <c r="P238" i="11"/>
  <c r="BF237" i="11"/>
  <c r="BE237" i="11"/>
  <c r="BD237" i="11"/>
  <c r="BC237" i="11"/>
  <c r="BB237" i="11"/>
  <c r="AV237" i="11"/>
  <c r="AU237" i="11"/>
  <c r="AT237" i="11"/>
  <c r="AS237" i="11"/>
  <c r="AR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X234" i="11"/>
  <c r="W234" i="11"/>
  <c r="W33" i="11" s="1"/>
  <c r="W35" i="11" s="1"/>
  <c r="W41" i="11" s="1"/>
  <c r="V234" i="11"/>
  <c r="U234" i="11"/>
  <c r="T234" i="11"/>
  <c r="S234" i="11"/>
  <c r="S33" i="11" s="1"/>
  <c r="R234" i="11"/>
  <c r="Q234" i="11"/>
  <c r="P234" i="11"/>
  <c r="O234" i="11"/>
  <c r="N234" i="11"/>
  <c r="M234" i="11"/>
  <c r="L234" i="11"/>
  <c r="K234" i="11"/>
  <c r="J234" i="11"/>
  <c r="J33" i="11" s="1"/>
  <c r="I234" i="11"/>
  <c r="H234" i="11"/>
  <c r="G234" i="11"/>
  <c r="F234" i="11"/>
  <c r="E234" i="11"/>
  <c r="D234" i="11"/>
  <c r="B229" i="11" s="1"/>
  <c r="C234" i="11"/>
  <c r="B234" i="11"/>
  <c r="AC233" i="11"/>
  <c r="Y233" i="11"/>
  <c r="B233" i="11"/>
  <c r="C79" i="11" s="1"/>
  <c r="C95" i="11" s="1"/>
  <c r="C111" i="11" s="1"/>
  <c r="AC232" i="11"/>
  <c r="Y232" i="11"/>
  <c r="B232" i="11"/>
  <c r="Y231" i="11"/>
  <c r="Y247" i="11" s="1"/>
  <c r="B231" i="11"/>
  <c r="Y230" i="11"/>
  <c r="B230" i="11"/>
  <c r="B88" i="11" s="1"/>
  <c r="Y229" i="11"/>
  <c r="Y245" i="11" s="1"/>
  <c r="AV228" i="11"/>
  <c r="AC231" i="11" s="1"/>
  <c r="Z228" i="11"/>
  <c r="BF227" i="11"/>
  <c r="AV227" i="11"/>
  <c r="AC230" i="11" s="1"/>
  <c r="AC227" i="11"/>
  <c r="B227" i="11"/>
  <c r="BF226" i="11"/>
  <c r="AV226" i="11"/>
  <c r="AC229" i="11" s="1"/>
  <c r="BF225" i="11"/>
  <c r="AV225" i="11"/>
  <c r="AC228" i="11" s="1"/>
  <c r="AC244" i="11" s="1"/>
  <c r="AC225" i="11"/>
  <c r="Z225" i="11"/>
  <c r="B225" i="11"/>
  <c r="BF224" i="11"/>
  <c r="AV224" i="11"/>
  <c r="AS224" i="11"/>
  <c r="Z227" i="11" s="1"/>
  <c r="Z224" i="11"/>
  <c r="B224" i="11"/>
  <c r="BF223" i="11"/>
  <c r="AV223" i="11"/>
  <c r="AC226" i="11" s="1"/>
  <c r="AS223" i="11"/>
  <c r="Z226" i="11" s="1"/>
  <c r="Z223" i="11"/>
  <c r="Z81" i="11" s="1"/>
  <c r="Z97" i="11" s="1"/>
  <c r="Z113" i="11" s="1"/>
  <c r="BF222" i="11"/>
  <c r="AV222" i="11"/>
  <c r="AS222" i="11"/>
  <c r="Z222" i="11"/>
  <c r="B222" i="11"/>
  <c r="BG221" i="11"/>
  <c r="AW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G218" i="11"/>
  <c r="AF218" i="11"/>
  <c r="AE218" i="11"/>
  <c r="AD218" i="11"/>
  <c r="AC217" i="11"/>
  <c r="AB217" i="11"/>
  <c r="AA217" i="11"/>
  <c r="Z217" i="11"/>
  <c r="AC216" i="11"/>
  <c r="AB216" i="11"/>
  <c r="AJ216" i="11" s="1"/>
  <c r="AA216" i="11"/>
  <c r="Z216" i="11"/>
  <c r="AC215" i="11"/>
  <c r="AB215" i="11"/>
  <c r="AJ215" i="11" s="1"/>
  <c r="AA215" i="11"/>
  <c r="Z215" i="11"/>
  <c r="AC214" i="11"/>
  <c r="AB214" i="11"/>
  <c r="AA214" i="11"/>
  <c r="AJ214" i="11" s="1"/>
  <c r="Z214" i="11"/>
  <c r="AC213" i="11"/>
  <c r="AB213" i="11"/>
  <c r="AA213" i="11"/>
  <c r="AJ213" i="11" s="1"/>
  <c r="AC212" i="11"/>
  <c r="AB212" i="11"/>
  <c r="AA212" i="11"/>
  <c r="AJ212" i="11" s="1"/>
  <c r="AC211" i="11"/>
  <c r="AB211" i="11"/>
  <c r="AJ211" i="11" s="1"/>
  <c r="AA211" i="11"/>
  <c r="AJ210" i="11"/>
  <c r="AD210" i="11"/>
  <c r="AC210" i="11"/>
  <c r="AB210" i="11"/>
  <c r="AA210" i="11"/>
  <c r="AD209" i="11"/>
  <c r="AC209" i="11"/>
  <c r="AB209" i="11"/>
  <c r="AJ209" i="11" s="1"/>
  <c r="AA209" i="11"/>
  <c r="AD208" i="11"/>
  <c r="AC208" i="11"/>
  <c r="AB208" i="11"/>
  <c r="AA208" i="11"/>
  <c r="AD207" i="11"/>
  <c r="AC207" i="11"/>
  <c r="AB207" i="11"/>
  <c r="AJ207" i="11" s="1"/>
  <c r="AA207" i="11"/>
  <c r="AA218" i="11" s="1"/>
  <c r="AJ206" i="11"/>
  <c r="AD206" i="11"/>
  <c r="AC206" i="11"/>
  <c r="AB206" i="11"/>
  <c r="AA206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C202" i="11"/>
  <c r="AB202" i="11"/>
  <c r="AA202" i="11"/>
  <c r="AG201" i="11"/>
  <c r="AF201" i="11"/>
  <c r="AE201" i="11"/>
  <c r="AD201" i="11"/>
  <c r="AG200" i="11"/>
  <c r="AF200" i="11"/>
  <c r="AE200" i="11"/>
  <c r="AD200" i="11"/>
  <c r="AG199" i="11"/>
  <c r="AF199" i="11"/>
  <c r="AE199" i="11"/>
  <c r="AD199" i="11"/>
  <c r="AG198" i="11"/>
  <c r="AF198" i="11"/>
  <c r="AE198" i="11"/>
  <c r="AD198" i="11"/>
  <c r="AG197" i="11"/>
  <c r="AF197" i="11"/>
  <c r="AE197" i="11"/>
  <c r="AD197" i="11"/>
  <c r="AD202" i="11" s="1"/>
  <c r="AG196" i="11"/>
  <c r="AF196" i="11"/>
  <c r="AE196" i="11"/>
  <c r="AD196" i="11"/>
  <c r="AG195" i="11"/>
  <c r="AF195" i="11"/>
  <c r="AE195" i="11"/>
  <c r="AD195" i="11"/>
  <c r="AG194" i="11"/>
  <c r="AF194" i="11"/>
  <c r="AE194" i="11"/>
  <c r="AG193" i="11"/>
  <c r="AF193" i="11"/>
  <c r="AE193" i="11"/>
  <c r="AG192" i="11"/>
  <c r="AF192" i="11"/>
  <c r="AE192" i="11"/>
  <c r="AG191" i="11"/>
  <c r="AF191" i="11"/>
  <c r="AE191" i="11"/>
  <c r="AE202" i="11" s="1"/>
  <c r="AG190" i="11"/>
  <c r="AF190" i="11"/>
  <c r="AF202" i="11" s="1"/>
  <c r="AE190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C175" i="11" s="1"/>
  <c r="AC184" i="11"/>
  <c r="AC183" i="11"/>
  <c r="AC182" i="11"/>
  <c r="AC181" i="11"/>
  <c r="AC180" i="11"/>
  <c r="AC179" i="11"/>
  <c r="AC178" i="11"/>
  <c r="AC163" i="11" s="1"/>
  <c r="M177" i="11"/>
  <c r="L177" i="11"/>
  <c r="L178" i="11" s="1"/>
  <c r="P176" i="11"/>
  <c r="M176" i="11"/>
  <c r="E176" i="11"/>
  <c r="AG175" i="11"/>
  <c r="AF175" i="11"/>
  <c r="AE175" i="11"/>
  <c r="AD175" i="11"/>
  <c r="AA175" i="11"/>
  <c r="P175" i="11"/>
  <c r="O175" i="11"/>
  <c r="M175" i="11"/>
  <c r="L175" i="11"/>
  <c r="L176" i="11" s="1"/>
  <c r="K175" i="11"/>
  <c r="J175" i="11"/>
  <c r="I175" i="11"/>
  <c r="H175" i="11"/>
  <c r="E175" i="11"/>
  <c r="D175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C165" i="11"/>
  <c r="K159" i="11"/>
  <c r="J159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G155" i="11"/>
  <c r="F155" i="11"/>
  <c r="E155" i="11"/>
  <c r="D155" i="11"/>
  <c r="C155" i="11"/>
  <c r="B155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AE151" i="11"/>
  <c r="AD151" i="11"/>
  <c r="AC151" i="11"/>
  <c r="AB151" i="11"/>
  <c r="AA151" i="11"/>
  <c r="AA155" i="11" s="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AF148" i="11"/>
  <c r="AE148" i="11"/>
  <c r="AD148" i="11"/>
  <c r="AC148" i="11"/>
  <c r="AB148" i="11"/>
  <c r="AA148" i="11"/>
  <c r="Z148" i="11"/>
  <c r="Y148" i="11"/>
  <c r="X148" i="11"/>
  <c r="X155" i="11" s="1"/>
  <c r="X27" i="11" s="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AO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AF146" i="11"/>
  <c r="AE146" i="11"/>
  <c r="AD146" i="11"/>
  <c r="AO146" i="11" s="1"/>
  <c r="AC146" i="11"/>
  <c r="AB146" i="11"/>
  <c r="AA146" i="11"/>
  <c r="Z146" i="11"/>
  <c r="Y146" i="11"/>
  <c r="Y155" i="11" s="1"/>
  <c r="Y27" i="11" s="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AR145" i="11"/>
  <c r="AF145" i="11"/>
  <c r="AE145" i="11"/>
  <c r="AD145" i="11"/>
  <c r="AO145" i="11" s="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AF144" i="11"/>
  <c r="AE144" i="11"/>
  <c r="AE155" i="11" s="1"/>
  <c r="AE27" i="11" s="1"/>
  <c r="AD144" i="11"/>
  <c r="AR144" i="11" s="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K155" i="11" s="1"/>
  <c r="K27" i="11" s="1"/>
  <c r="J144" i="11"/>
  <c r="I144" i="11"/>
  <c r="H144" i="11"/>
  <c r="AO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G139" i="11"/>
  <c r="AF139" i="11"/>
  <c r="AC139" i="11"/>
  <c r="AB139" i="11"/>
  <c r="AA139" i="11"/>
  <c r="Z139" i="11"/>
  <c r="Y139" i="11"/>
  <c r="Y24" i="11" s="1"/>
  <c r="X139" i="11"/>
  <c r="W139" i="11"/>
  <c r="V139" i="11"/>
  <c r="U139" i="11"/>
  <c r="T139" i="11"/>
  <c r="B133" i="11" s="1"/>
  <c r="S139" i="11"/>
  <c r="R139" i="11"/>
  <c r="R24" i="11" s="1"/>
  <c r="Q139" i="11"/>
  <c r="P139" i="11"/>
  <c r="O139" i="11"/>
  <c r="N139" i="11"/>
  <c r="N24" i="11" s="1"/>
  <c r="M139" i="11"/>
  <c r="L139" i="11"/>
  <c r="K139" i="11"/>
  <c r="J139" i="11"/>
  <c r="I139" i="11"/>
  <c r="D139" i="11"/>
  <c r="C139" i="11"/>
  <c r="B139" i="11"/>
  <c r="AE138" i="11"/>
  <c r="AD138" i="11"/>
  <c r="AD139" i="11" s="1"/>
  <c r="AD24" i="11" s="1"/>
  <c r="G138" i="11"/>
  <c r="F138" i="11"/>
  <c r="E138" i="11"/>
  <c r="D138" i="11"/>
  <c r="AF137" i="11"/>
  <c r="AE137" i="11"/>
  <c r="G137" i="11"/>
  <c r="F137" i="11"/>
  <c r="E137" i="11"/>
  <c r="D137" i="11"/>
  <c r="AF136" i="11"/>
  <c r="AE136" i="11"/>
  <c r="G136" i="11"/>
  <c r="F136" i="11"/>
  <c r="E136" i="11"/>
  <c r="D136" i="11"/>
  <c r="AF135" i="11"/>
  <c r="AE135" i="11"/>
  <c r="G135" i="11"/>
  <c r="F135" i="11"/>
  <c r="E135" i="11"/>
  <c r="D135" i="11"/>
  <c r="AE134" i="11"/>
  <c r="G134" i="11"/>
  <c r="F134" i="11"/>
  <c r="E134" i="11"/>
  <c r="D134" i="11"/>
  <c r="AF133" i="11"/>
  <c r="AE133" i="11"/>
  <c r="G133" i="11"/>
  <c r="F133" i="11"/>
  <c r="E133" i="11"/>
  <c r="D133" i="11"/>
  <c r="AF132" i="11"/>
  <c r="AE132" i="11"/>
  <c r="G132" i="11"/>
  <c r="F132" i="11"/>
  <c r="E132" i="11"/>
  <c r="D132" i="11"/>
  <c r="AF131" i="11"/>
  <c r="AE131" i="11"/>
  <c r="G131" i="11"/>
  <c r="F131" i="11"/>
  <c r="E131" i="11"/>
  <c r="D131" i="11"/>
  <c r="B131" i="11"/>
  <c r="AF130" i="11"/>
  <c r="AE130" i="11"/>
  <c r="G130" i="11"/>
  <c r="F130" i="11"/>
  <c r="E130" i="11"/>
  <c r="D130" i="11"/>
  <c r="AF129" i="11"/>
  <c r="AE129" i="11"/>
  <c r="H129" i="11"/>
  <c r="G129" i="11"/>
  <c r="F129" i="11"/>
  <c r="E129" i="11"/>
  <c r="AF128" i="11"/>
  <c r="AE128" i="11"/>
  <c r="H128" i="11"/>
  <c r="G128" i="11"/>
  <c r="F128" i="11"/>
  <c r="E128" i="11"/>
  <c r="B128" i="11"/>
  <c r="AF127" i="11"/>
  <c r="AE127" i="11"/>
  <c r="H127" i="11"/>
  <c r="G127" i="11"/>
  <c r="F127" i="11"/>
  <c r="E127" i="11"/>
  <c r="E139" i="11" s="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G123" i="11"/>
  <c r="Y121" i="11"/>
  <c r="W121" i="11"/>
  <c r="U121" i="11"/>
  <c r="D121" i="11"/>
  <c r="N120" i="11"/>
  <c r="I120" i="11"/>
  <c r="H120" i="11"/>
  <c r="T119" i="11"/>
  <c r="C119" i="11"/>
  <c r="L118" i="11"/>
  <c r="G118" i="11"/>
  <c r="F118" i="11"/>
  <c r="W117" i="11"/>
  <c r="V117" i="11"/>
  <c r="J116" i="11"/>
  <c r="V115" i="11"/>
  <c r="P115" i="11"/>
  <c r="O115" i="11"/>
  <c r="N115" i="11"/>
  <c r="O114" i="11"/>
  <c r="I114" i="11"/>
  <c r="Z112" i="11"/>
  <c r="J112" i="11"/>
  <c r="W111" i="11"/>
  <c r="Q111" i="11"/>
  <c r="BA110" i="11"/>
  <c r="AZ110" i="11"/>
  <c r="AY110" i="11"/>
  <c r="AX110" i="11"/>
  <c r="AW110" i="11"/>
  <c r="AV110" i="11"/>
  <c r="AU110" i="11"/>
  <c r="AT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C106" i="11"/>
  <c r="AC122" i="11" s="1"/>
  <c r="X106" i="11"/>
  <c r="X122" i="11" s="1"/>
  <c r="U106" i="11"/>
  <c r="U122" i="11" s="1"/>
  <c r="T106" i="11"/>
  <c r="T122" i="11" s="1"/>
  <c r="Q106" i="11"/>
  <c r="Q122" i="11" s="1"/>
  <c r="P106" i="11"/>
  <c r="P122" i="11" s="1"/>
  <c r="J106" i="11"/>
  <c r="J122" i="11" s="1"/>
  <c r="F106" i="11"/>
  <c r="F122" i="11" s="1"/>
  <c r="E106" i="11"/>
  <c r="E122" i="11" s="1"/>
  <c r="D106" i="11"/>
  <c r="D122" i="11" s="1"/>
  <c r="B106" i="11"/>
  <c r="B122" i="11" s="1"/>
  <c r="W105" i="11"/>
  <c r="U105" i="11"/>
  <c r="Q105" i="11"/>
  <c r="Q121" i="11" s="1"/>
  <c r="O105" i="11"/>
  <c r="O121" i="11" s="1"/>
  <c r="N105" i="11"/>
  <c r="N121" i="11" s="1"/>
  <c r="L105" i="11"/>
  <c r="L121" i="11" s="1"/>
  <c r="I105" i="11"/>
  <c r="I121" i="11" s="1"/>
  <c r="H105" i="11"/>
  <c r="H121" i="11" s="1"/>
  <c r="E105" i="11"/>
  <c r="E121" i="11" s="1"/>
  <c r="D105" i="11"/>
  <c r="AC104" i="11"/>
  <c r="X104" i="11"/>
  <c r="X120" i="11" s="1"/>
  <c r="V104" i="11"/>
  <c r="V120" i="11" s="1"/>
  <c r="S104" i="11"/>
  <c r="S120" i="11" s="1"/>
  <c r="R104" i="11"/>
  <c r="R120" i="11" s="1"/>
  <c r="O104" i="11"/>
  <c r="O120" i="11" s="1"/>
  <c r="N104" i="11"/>
  <c r="G104" i="11"/>
  <c r="G120" i="11" s="1"/>
  <c r="C104" i="11"/>
  <c r="C120" i="11" s="1"/>
  <c r="B104" i="11"/>
  <c r="B120" i="11" s="1"/>
  <c r="Y103" i="11"/>
  <c r="Y119" i="11" s="1"/>
  <c r="X103" i="11"/>
  <c r="X119" i="11" s="1"/>
  <c r="U103" i="11"/>
  <c r="U119" i="11" s="1"/>
  <c r="T103" i="11"/>
  <c r="S103" i="11"/>
  <c r="S119" i="11" s="1"/>
  <c r="Q103" i="11"/>
  <c r="Q119" i="11" s="1"/>
  <c r="M103" i="11"/>
  <c r="M119" i="11" s="1"/>
  <c r="L103" i="11"/>
  <c r="L119" i="11" s="1"/>
  <c r="J103" i="11"/>
  <c r="J119" i="11" s="1"/>
  <c r="G103" i="11"/>
  <c r="G119" i="11" s="1"/>
  <c r="F103" i="11"/>
  <c r="F119" i="11" s="1"/>
  <c r="C103" i="11"/>
  <c r="AC102" i="11"/>
  <c r="Z102" i="11"/>
  <c r="Z118" i="11" s="1"/>
  <c r="Y102" i="11"/>
  <c r="Y118" i="11" s="1"/>
  <c r="X102" i="11"/>
  <c r="X118" i="11" s="1"/>
  <c r="W102" i="11"/>
  <c r="W118" i="11" s="1"/>
  <c r="V102" i="11"/>
  <c r="V118" i="11" s="1"/>
  <c r="T102" i="11"/>
  <c r="T118" i="11" s="1"/>
  <c r="Q102" i="11"/>
  <c r="Q118" i="11" s="1"/>
  <c r="P102" i="11"/>
  <c r="P118" i="11" s="1"/>
  <c r="M102" i="11"/>
  <c r="M118" i="11" s="1"/>
  <c r="L102" i="11"/>
  <c r="H102" i="11"/>
  <c r="H118" i="11" s="1"/>
  <c r="F102" i="11"/>
  <c r="C102" i="11"/>
  <c r="C118" i="11" s="1"/>
  <c r="W101" i="11"/>
  <c r="V101" i="11"/>
  <c r="R101" i="11"/>
  <c r="R117" i="11" s="1"/>
  <c r="Q101" i="11"/>
  <c r="Q117" i="11" s="1"/>
  <c r="K101" i="11"/>
  <c r="K117" i="11" s="1"/>
  <c r="J101" i="11"/>
  <c r="J117" i="11" s="1"/>
  <c r="H101" i="11"/>
  <c r="H117" i="11" s="1"/>
  <c r="E101" i="11"/>
  <c r="E117" i="11" s="1"/>
  <c r="D101" i="11"/>
  <c r="D117" i="11" s="1"/>
  <c r="AX100" i="11"/>
  <c r="AC103" i="11" s="1"/>
  <c r="AC167" i="11" s="1"/>
  <c r="U100" i="11"/>
  <c r="U116" i="11" s="1"/>
  <c r="S100" i="11"/>
  <c r="S116" i="11" s="1"/>
  <c r="O100" i="11"/>
  <c r="O116" i="11" s="1"/>
  <c r="L100" i="11"/>
  <c r="L116" i="11" s="1"/>
  <c r="K100" i="11"/>
  <c r="K116" i="11" s="1"/>
  <c r="E100" i="11"/>
  <c r="E116" i="11" s="1"/>
  <c r="AX99" i="11"/>
  <c r="V99" i="11"/>
  <c r="R99" i="11"/>
  <c r="R115" i="11" s="1"/>
  <c r="Q99" i="11"/>
  <c r="Q115" i="11" s="1"/>
  <c r="P99" i="11"/>
  <c r="O99" i="11"/>
  <c r="N99" i="11"/>
  <c r="M99" i="11"/>
  <c r="M115" i="11" s="1"/>
  <c r="L99" i="11"/>
  <c r="L115" i="11" s="1"/>
  <c r="K99" i="11"/>
  <c r="K115" i="11" s="1"/>
  <c r="AX98" i="11"/>
  <c r="AC101" i="11" s="1"/>
  <c r="W98" i="11"/>
  <c r="W114" i="11" s="1"/>
  <c r="U98" i="11"/>
  <c r="U114" i="11" s="1"/>
  <c r="S98" i="11"/>
  <c r="S114" i="11" s="1"/>
  <c r="P98" i="11"/>
  <c r="P114" i="11" s="1"/>
  <c r="O98" i="11"/>
  <c r="L98" i="11"/>
  <c r="K98" i="11"/>
  <c r="K114" i="11" s="1"/>
  <c r="I98" i="11"/>
  <c r="H98" i="11"/>
  <c r="H114" i="11" s="1"/>
  <c r="G98" i="11"/>
  <c r="G114" i="11" s="1"/>
  <c r="F98" i="11"/>
  <c r="F114" i="11" s="1"/>
  <c r="E98" i="11"/>
  <c r="E114" i="11" s="1"/>
  <c r="AX97" i="11"/>
  <c r="AC100" i="11" s="1"/>
  <c r="AC116" i="11" s="1"/>
  <c r="W97" i="11"/>
  <c r="W113" i="11" s="1"/>
  <c r="V97" i="11"/>
  <c r="V113" i="11" s="1"/>
  <c r="S97" i="11"/>
  <c r="S113" i="11" s="1"/>
  <c r="R97" i="11"/>
  <c r="R113" i="11" s="1"/>
  <c r="M97" i="11"/>
  <c r="L97" i="11"/>
  <c r="L161" i="11" s="1"/>
  <c r="K97" i="11"/>
  <c r="K113" i="11" s="1"/>
  <c r="E97" i="11"/>
  <c r="E113" i="11" s="1"/>
  <c r="D97" i="11"/>
  <c r="D113" i="11" s="1"/>
  <c r="AX96" i="11"/>
  <c r="AC99" i="11" s="1"/>
  <c r="U96" i="11"/>
  <c r="O96" i="11"/>
  <c r="O112" i="11" s="1"/>
  <c r="L96" i="11"/>
  <c r="L112" i="11" s="1"/>
  <c r="K96" i="11"/>
  <c r="J96" i="11"/>
  <c r="H96" i="11"/>
  <c r="H112" i="11" s="1"/>
  <c r="G96" i="11"/>
  <c r="G112" i="11" s="1"/>
  <c r="F96" i="11"/>
  <c r="F112" i="11" s="1"/>
  <c r="C96" i="11"/>
  <c r="AX95" i="11"/>
  <c r="AC98" i="11" s="1"/>
  <c r="W95" i="11"/>
  <c r="V95" i="11"/>
  <c r="U95" i="11"/>
  <c r="U111" i="11" s="1"/>
  <c r="T95" i="11"/>
  <c r="T111" i="11" s="1"/>
  <c r="Q95" i="11"/>
  <c r="P95" i="11"/>
  <c r="L95" i="11"/>
  <c r="K95" i="11"/>
  <c r="J95" i="11"/>
  <c r="E95" i="11"/>
  <c r="E111" i="11" s="1"/>
  <c r="B95" i="11"/>
  <c r="B111" i="11" s="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C90" i="11"/>
  <c r="Y90" i="11"/>
  <c r="Y106" i="11" s="1"/>
  <c r="Y122" i="11" s="1"/>
  <c r="X90" i="11"/>
  <c r="X248" i="11" s="1"/>
  <c r="W90" i="11"/>
  <c r="W248" i="11" s="1"/>
  <c r="V90" i="11"/>
  <c r="V248" i="11" s="1"/>
  <c r="U90" i="11"/>
  <c r="U248" i="11" s="1"/>
  <c r="T90" i="11"/>
  <c r="T248" i="11" s="1"/>
  <c r="S90" i="11"/>
  <c r="R90" i="11"/>
  <c r="Q90" i="11"/>
  <c r="Q248" i="11" s="1"/>
  <c r="P90" i="11"/>
  <c r="P248" i="11" s="1"/>
  <c r="O90" i="11"/>
  <c r="N90" i="11"/>
  <c r="M90" i="11"/>
  <c r="L90" i="11"/>
  <c r="L106" i="11" s="1"/>
  <c r="L122" i="11" s="1"/>
  <c r="K90" i="11"/>
  <c r="J90" i="11"/>
  <c r="J248" i="11" s="1"/>
  <c r="I90" i="11"/>
  <c r="H90" i="11"/>
  <c r="G90" i="11"/>
  <c r="G248" i="11" s="1"/>
  <c r="F90" i="11"/>
  <c r="F248" i="11" s="1"/>
  <c r="E90" i="11"/>
  <c r="D90" i="11"/>
  <c r="C90" i="11"/>
  <c r="C248" i="11" s="1"/>
  <c r="B90" i="11"/>
  <c r="AC89" i="11"/>
  <c r="AC105" i="11" s="1"/>
  <c r="AC121" i="11" s="1"/>
  <c r="Y89" i="11"/>
  <c r="Y105" i="11" s="1"/>
  <c r="X89" i="11"/>
  <c r="W89" i="11"/>
  <c r="W247" i="11" s="1"/>
  <c r="V89" i="11"/>
  <c r="U89" i="11"/>
  <c r="U247" i="11" s="1"/>
  <c r="T89" i="11"/>
  <c r="T247" i="11" s="1"/>
  <c r="S89" i="11"/>
  <c r="R89" i="11"/>
  <c r="Q89" i="11"/>
  <c r="Q247" i="11" s="1"/>
  <c r="P89" i="11"/>
  <c r="P105" i="11" s="1"/>
  <c r="P121" i="11" s="1"/>
  <c r="O89" i="11"/>
  <c r="O247" i="11" s="1"/>
  <c r="O263" i="11" s="1"/>
  <c r="N89" i="11"/>
  <c r="N247" i="11" s="1"/>
  <c r="N263" i="11" s="1"/>
  <c r="M89" i="11"/>
  <c r="M247" i="11" s="1"/>
  <c r="L89" i="11"/>
  <c r="K89" i="11"/>
  <c r="K247" i="11" s="1"/>
  <c r="J89" i="11"/>
  <c r="J247" i="11" s="1"/>
  <c r="I89" i="11"/>
  <c r="I247" i="11" s="1"/>
  <c r="H89" i="11"/>
  <c r="G89" i="11"/>
  <c r="F89" i="11"/>
  <c r="E89" i="11"/>
  <c r="D89" i="11"/>
  <c r="C89" i="11"/>
  <c r="C105" i="11" s="1"/>
  <c r="C121" i="11" s="1"/>
  <c r="B89" i="11"/>
  <c r="B105" i="11" s="1"/>
  <c r="B121" i="11" s="1"/>
  <c r="AC88" i="11"/>
  <c r="X88" i="11"/>
  <c r="X246" i="11" s="1"/>
  <c r="X262" i="11" s="1"/>
  <c r="W88" i="11"/>
  <c r="W246" i="11" s="1"/>
  <c r="V88" i="11"/>
  <c r="V246" i="11" s="1"/>
  <c r="U88" i="11"/>
  <c r="U246" i="11" s="1"/>
  <c r="T88" i="11"/>
  <c r="T246" i="11" s="1"/>
  <c r="S88" i="11"/>
  <c r="S246" i="11" s="1"/>
  <c r="R88" i="11"/>
  <c r="R246" i="11" s="1"/>
  <c r="Q88" i="11"/>
  <c r="P88" i="11"/>
  <c r="O88" i="11"/>
  <c r="N88" i="11"/>
  <c r="M88" i="11"/>
  <c r="L88" i="11"/>
  <c r="K88" i="11"/>
  <c r="K104" i="11" s="1"/>
  <c r="K120" i="11" s="1"/>
  <c r="J88" i="11"/>
  <c r="J104" i="11" s="1"/>
  <c r="J120" i="11" s="1"/>
  <c r="I88" i="11"/>
  <c r="I104" i="11" s="1"/>
  <c r="H88" i="11"/>
  <c r="H104" i="11" s="1"/>
  <c r="G88" i="11"/>
  <c r="F88" i="11"/>
  <c r="E88" i="11"/>
  <c r="D88" i="11"/>
  <c r="C88" i="11"/>
  <c r="Y87" i="11"/>
  <c r="X87" i="11"/>
  <c r="X245" i="11" s="1"/>
  <c r="X261" i="11" s="1"/>
  <c r="W87" i="11"/>
  <c r="V87" i="11"/>
  <c r="U87" i="11"/>
  <c r="U245" i="11" s="1"/>
  <c r="T87" i="11"/>
  <c r="T245" i="11" s="1"/>
  <c r="S87" i="11"/>
  <c r="S245" i="11" s="1"/>
  <c r="R87" i="11"/>
  <c r="R245" i="11" s="1"/>
  <c r="Q87" i="11"/>
  <c r="Q245" i="11" s="1"/>
  <c r="P87" i="11"/>
  <c r="P245" i="11" s="1"/>
  <c r="P261" i="11" s="1"/>
  <c r="O87" i="11"/>
  <c r="O245" i="11" s="1"/>
  <c r="N87" i="11"/>
  <c r="N245" i="11" s="1"/>
  <c r="M87" i="11"/>
  <c r="L87" i="11"/>
  <c r="K87" i="11"/>
  <c r="K245" i="11" s="1"/>
  <c r="J87" i="11"/>
  <c r="I87" i="11"/>
  <c r="I245" i="11" s="1"/>
  <c r="H87" i="11"/>
  <c r="H245" i="11" s="1"/>
  <c r="G87" i="11"/>
  <c r="G245" i="11" s="1"/>
  <c r="F87" i="11"/>
  <c r="E87" i="11"/>
  <c r="D87" i="11"/>
  <c r="C87" i="11"/>
  <c r="AC86" i="11"/>
  <c r="Z86" i="11"/>
  <c r="Z244" i="11" s="1"/>
  <c r="Y86" i="11"/>
  <c r="Y244" i="11" s="1"/>
  <c r="X86" i="11"/>
  <c r="X244" i="11" s="1"/>
  <c r="W86" i="11"/>
  <c r="V86" i="11"/>
  <c r="U86" i="11"/>
  <c r="U244" i="11" s="1"/>
  <c r="T86" i="11"/>
  <c r="T244" i="11" s="1"/>
  <c r="S86" i="11"/>
  <c r="S244" i="11" s="1"/>
  <c r="R86" i="11"/>
  <c r="R244" i="11" s="1"/>
  <c r="Q86" i="11"/>
  <c r="Q244" i="11" s="1"/>
  <c r="P86" i="11"/>
  <c r="P244" i="11" s="1"/>
  <c r="O86" i="11"/>
  <c r="N86" i="11"/>
  <c r="M86" i="11"/>
  <c r="L86" i="11"/>
  <c r="K86" i="11"/>
  <c r="K102" i="11" s="1"/>
  <c r="K118" i="11" s="1"/>
  <c r="J86" i="11"/>
  <c r="J102" i="11" s="1"/>
  <c r="J118" i="11" s="1"/>
  <c r="I86" i="11"/>
  <c r="I102" i="11" s="1"/>
  <c r="I118" i="11" s="1"/>
  <c r="H86" i="11"/>
  <c r="G86" i="11"/>
  <c r="G102" i="11" s="1"/>
  <c r="F86" i="11"/>
  <c r="E86" i="11"/>
  <c r="E102" i="11" s="1"/>
  <c r="E118" i="11" s="1"/>
  <c r="D86" i="11"/>
  <c r="D102" i="11" s="1"/>
  <c r="D118" i="11" s="1"/>
  <c r="C86" i="11"/>
  <c r="C244" i="11" s="1"/>
  <c r="Y85" i="11"/>
  <c r="X85" i="11"/>
  <c r="W85" i="11"/>
  <c r="W243" i="11" s="1"/>
  <c r="V85" i="11"/>
  <c r="V243" i="11" s="1"/>
  <c r="U85" i="11"/>
  <c r="T85" i="11"/>
  <c r="S85" i="11"/>
  <c r="S243" i="11" s="1"/>
  <c r="R85" i="11"/>
  <c r="R243" i="11" s="1"/>
  <c r="R259" i="11" s="1"/>
  <c r="Q85" i="11"/>
  <c r="Q243" i="11" s="1"/>
  <c r="P85" i="11"/>
  <c r="O85" i="11"/>
  <c r="N85" i="11"/>
  <c r="M85" i="11"/>
  <c r="L85" i="11"/>
  <c r="K85" i="11"/>
  <c r="J85" i="11"/>
  <c r="I85" i="11"/>
  <c r="I243" i="11" s="1"/>
  <c r="H85" i="11"/>
  <c r="G85" i="11"/>
  <c r="G243" i="11" s="1"/>
  <c r="F85" i="11"/>
  <c r="F243" i="11" s="1"/>
  <c r="E85" i="11"/>
  <c r="E243" i="11" s="1"/>
  <c r="D85" i="11"/>
  <c r="C85" i="11"/>
  <c r="AC84" i="11"/>
  <c r="AC242" i="11" s="1"/>
  <c r="Z84" i="11"/>
  <c r="Z100" i="11" s="1"/>
  <c r="Z116" i="11" s="1"/>
  <c r="Y84" i="11"/>
  <c r="Y242" i="11" s="1"/>
  <c r="X84" i="11"/>
  <c r="X242" i="11" s="1"/>
  <c r="W84" i="11"/>
  <c r="V84" i="11"/>
  <c r="U84" i="11"/>
  <c r="T84" i="11"/>
  <c r="T100" i="11" s="1"/>
  <c r="T116" i="11" s="1"/>
  <c r="S84" i="11"/>
  <c r="S242" i="11" s="1"/>
  <c r="R84" i="11"/>
  <c r="R100" i="11" s="1"/>
  <c r="R116" i="11" s="1"/>
  <c r="Q84" i="11"/>
  <c r="Q242" i="11" s="1"/>
  <c r="P84" i="11"/>
  <c r="P242" i="11" s="1"/>
  <c r="O84" i="11"/>
  <c r="O242" i="11" s="1"/>
  <c r="N84" i="11"/>
  <c r="N100" i="11" s="1"/>
  <c r="N116" i="11" s="1"/>
  <c r="M84" i="11"/>
  <c r="L84" i="11"/>
  <c r="L242" i="11" s="1"/>
  <c r="K84" i="11"/>
  <c r="J84" i="11"/>
  <c r="J100" i="11" s="1"/>
  <c r="I84" i="11"/>
  <c r="I100" i="11" s="1"/>
  <c r="I116" i="11" s="1"/>
  <c r="H84" i="11"/>
  <c r="H100" i="11" s="1"/>
  <c r="H116" i="11" s="1"/>
  <c r="G84" i="11"/>
  <c r="G100" i="11" s="1"/>
  <c r="G116" i="11" s="1"/>
  <c r="F84" i="11"/>
  <c r="F100" i="11" s="1"/>
  <c r="F116" i="11" s="1"/>
  <c r="E84" i="11"/>
  <c r="E242" i="11" s="1"/>
  <c r="D84" i="11"/>
  <c r="C84" i="11"/>
  <c r="Y83" i="11"/>
  <c r="Y241" i="11" s="1"/>
  <c r="X83" i="11"/>
  <c r="X99" i="11" s="1"/>
  <c r="X115" i="11" s="1"/>
  <c r="W83" i="11"/>
  <c r="V83" i="11"/>
  <c r="V241" i="11" s="1"/>
  <c r="U83" i="11"/>
  <c r="U241" i="11" s="1"/>
  <c r="U257" i="11" s="1"/>
  <c r="T83" i="11"/>
  <c r="T241" i="11" s="1"/>
  <c r="S83" i="11"/>
  <c r="R83" i="11"/>
  <c r="R241" i="11" s="1"/>
  <c r="R257" i="11" s="1"/>
  <c r="Q83" i="11"/>
  <c r="P83" i="11"/>
  <c r="P241" i="11" s="1"/>
  <c r="P257" i="11" s="1"/>
  <c r="O83" i="11"/>
  <c r="O241" i="11" s="1"/>
  <c r="O257" i="11" s="1"/>
  <c r="N83" i="11"/>
  <c r="N241" i="11" s="1"/>
  <c r="M83" i="11"/>
  <c r="M241" i="11" s="1"/>
  <c r="L83" i="11"/>
  <c r="L241" i="11" s="1"/>
  <c r="K83" i="11"/>
  <c r="J83" i="11"/>
  <c r="I83" i="11"/>
  <c r="I241" i="11" s="1"/>
  <c r="I257" i="11" s="1"/>
  <c r="H83" i="11"/>
  <c r="H241" i="11" s="1"/>
  <c r="G83" i="11"/>
  <c r="G241" i="11" s="1"/>
  <c r="F83" i="11"/>
  <c r="F241" i="11" s="1"/>
  <c r="E83" i="11"/>
  <c r="E241" i="11" s="1"/>
  <c r="D83" i="11"/>
  <c r="D241" i="11" s="1"/>
  <c r="C83" i="11"/>
  <c r="C241" i="11" s="1"/>
  <c r="Z82" i="11"/>
  <c r="Y82" i="11"/>
  <c r="Y240" i="11" s="1"/>
  <c r="X82" i="11"/>
  <c r="X240" i="11" s="1"/>
  <c r="W82" i="11"/>
  <c r="V82" i="11"/>
  <c r="V98" i="11" s="1"/>
  <c r="V114" i="11" s="1"/>
  <c r="U82" i="11"/>
  <c r="T82" i="11"/>
  <c r="T98" i="11" s="1"/>
  <c r="T114" i="11" s="1"/>
  <c r="T257" i="11" s="1"/>
  <c r="S82" i="11"/>
  <c r="R82" i="11"/>
  <c r="R98" i="11" s="1"/>
  <c r="R114" i="11" s="1"/>
  <c r="Q82" i="11"/>
  <c r="Q240" i="11" s="1"/>
  <c r="P82" i="11"/>
  <c r="O82" i="11"/>
  <c r="O240" i="11" s="1"/>
  <c r="N82" i="11"/>
  <c r="N240" i="11" s="1"/>
  <c r="M82" i="11"/>
  <c r="M240" i="11" s="1"/>
  <c r="L82" i="11"/>
  <c r="K82" i="11"/>
  <c r="K240" i="11" s="1"/>
  <c r="K256" i="11" s="1"/>
  <c r="J82" i="11"/>
  <c r="I82" i="11"/>
  <c r="H82" i="11"/>
  <c r="G82" i="11"/>
  <c r="G240" i="11" s="1"/>
  <c r="F82" i="11"/>
  <c r="F240" i="11" s="1"/>
  <c r="F256" i="11" s="1"/>
  <c r="E82" i="11"/>
  <c r="E240" i="11" s="1"/>
  <c r="D82" i="11"/>
  <c r="C82" i="11"/>
  <c r="C240" i="11" s="1"/>
  <c r="B82" i="11"/>
  <c r="B98" i="11" s="1"/>
  <c r="B114" i="11" s="1"/>
  <c r="Y81" i="11"/>
  <c r="Y239" i="11" s="1"/>
  <c r="X81" i="11"/>
  <c r="X239" i="11" s="1"/>
  <c r="W81" i="11"/>
  <c r="W239" i="11" s="1"/>
  <c r="V81" i="11"/>
  <c r="U81" i="11"/>
  <c r="T81" i="11"/>
  <c r="S81" i="11"/>
  <c r="R81" i="11"/>
  <c r="Q81" i="11"/>
  <c r="P81" i="11"/>
  <c r="O81" i="11"/>
  <c r="O239" i="11" s="1"/>
  <c r="N81" i="11"/>
  <c r="N239" i="11" s="1"/>
  <c r="M81" i="11"/>
  <c r="L81" i="11"/>
  <c r="L239" i="11" s="1"/>
  <c r="K81" i="11"/>
  <c r="K239" i="11" s="1"/>
  <c r="J81" i="11"/>
  <c r="I81" i="11"/>
  <c r="H81" i="11"/>
  <c r="G81" i="11"/>
  <c r="G97" i="11" s="1"/>
  <c r="G113" i="11" s="1"/>
  <c r="F81" i="11"/>
  <c r="F97" i="11" s="1"/>
  <c r="F113" i="11" s="1"/>
  <c r="E81" i="11"/>
  <c r="E239" i="11" s="1"/>
  <c r="D81" i="11"/>
  <c r="D239" i="11" s="1"/>
  <c r="C81" i="11"/>
  <c r="C239" i="11" s="1"/>
  <c r="Z80" i="11"/>
  <c r="Z96" i="11" s="1"/>
  <c r="Y80" i="11"/>
  <c r="Y238" i="11" s="1"/>
  <c r="X80" i="11"/>
  <c r="X238" i="11" s="1"/>
  <c r="W80" i="11"/>
  <c r="W238" i="11" s="1"/>
  <c r="V80" i="11"/>
  <c r="U80" i="11"/>
  <c r="U91" i="11" s="1"/>
  <c r="U12" i="11" s="1"/>
  <c r="U92" i="11" s="1"/>
  <c r="T80" i="11"/>
  <c r="T96" i="11" s="1"/>
  <c r="S80" i="11"/>
  <c r="S96" i="11" s="1"/>
  <c r="S112" i="11" s="1"/>
  <c r="R80" i="11"/>
  <c r="R96" i="11" s="1"/>
  <c r="R112" i="11" s="1"/>
  <c r="Q80" i="11"/>
  <c r="Q96" i="11" s="1"/>
  <c r="Q112" i="11" s="1"/>
  <c r="P80" i="11"/>
  <c r="O80" i="11"/>
  <c r="O238" i="11" s="1"/>
  <c r="N80" i="11"/>
  <c r="N238" i="11" s="1"/>
  <c r="M80" i="11"/>
  <c r="M238" i="11" s="1"/>
  <c r="L80" i="11"/>
  <c r="L238" i="11" s="1"/>
  <c r="K80" i="11"/>
  <c r="K238" i="11" s="1"/>
  <c r="J80" i="11"/>
  <c r="J238" i="11" s="1"/>
  <c r="I80" i="11"/>
  <c r="H80" i="11"/>
  <c r="H238" i="11" s="1"/>
  <c r="G80" i="11"/>
  <c r="G238" i="11" s="1"/>
  <c r="F80" i="11"/>
  <c r="F238" i="11" s="1"/>
  <c r="E80" i="11"/>
  <c r="D80" i="11"/>
  <c r="D238" i="11" s="1"/>
  <c r="C80" i="11"/>
  <c r="C238" i="11" s="1"/>
  <c r="C254" i="11" s="1"/>
  <c r="B80" i="11"/>
  <c r="AD79" i="11"/>
  <c r="Z79" i="11"/>
  <c r="Y249" i="11" s="1"/>
  <c r="Y265" i="11" s="1"/>
  <c r="Y79" i="11"/>
  <c r="X249" i="11" s="1"/>
  <c r="X79" i="11"/>
  <c r="W249" i="11" s="1"/>
  <c r="W79" i="11"/>
  <c r="V249" i="11" s="1"/>
  <c r="V79" i="11"/>
  <c r="U249" i="11" s="1"/>
  <c r="U79" i="11"/>
  <c r="T249" i="11" s="1"/>
  <c r="T79" i="11"/>
  <c r="S249" i="11" s="1"/>
  <c r="S79" i="11"/>
  <c r="R249" i="11" s="1"/>
  <c r="R79" i="11"/>
  <c r="Q79" i="11"/>
  <c r="P79" i="11"/>
  <c r="O249" i="11" s="1"/>
  <c r="O79" i="11"/>
  <c r="N79" i="11"/>
  <c r="M79" i="11"/>
  <c r="L79" i="11"/>
  <c r="K79" i="11"/>
  <c r="J79" i="11"/>
  <c r="I79" i="11"/>
  <c r="H79" i="11"/>
  <c r="G79" i="11"/>
  <c r="F79" i="11"/>
  <c r="E79" i="11"/>
  <c r="D79" i="11"/>
  <c r="D95" i="11" s="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G75" i="11"/>
  <c r="AF75" i="11"/>
  <c r="AA75" i="11"/>
  <c r="AA13" i="11" s="1"/>
  <c r="R75" i="11"/>
  <c r="R13" i="11" s="1"/>
  <c r="B75" i="11"/>
  <c r="AE74" i="11"/>
  <c r="AD74" i="11"/>
  <c r="AM70" i="11" s="1"/>
  <c r="AC74" i="11"/>
  <c r="AL70" i="11" s="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AM73" i="11"/>
  <c r="AL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AE72" i="11"/>
  <c r="AD72" i="11"/>
  <c r="AC72" i="11"/>
  <c r="AL68" i="11" s="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AM71" i="11"/>
  <c r="AL71" i="11"/>
  <c r="AE71" i="11"/>
  <c r="AD71" i="11"/>
  <c r="AC71" i="11"/>
  <c r="AL67" i="11" s="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AE70" i="11"/>
  <c r="AD70" i="11"/>
  <c r="AM66" i="11" s="1"/>
  <c r="AC70" i="11"/>
  <c r="AL66" i="11" s="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AL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L75" i="11" s="1"/>
  <c r="L13" i="11" s="1"/>
  <c r="K69" i="11"/>
  <c r="J69" i="11"/>
  <c r="I69" i="11"/>
  <c r="H69" i="11"/>
  <c r="G69" i="11"/>
  <c r="F69" i="11"/>
  <c r="E69" i="11"/>
  <c r="D69" i="11"/>
  <c r="C69" i="11"/>
  <c r="AM68" i="11"/>
  <c r="AF68" i="11"/>
  <c r="AE68" i="11"/>
  <c r="AE75" i="11" s="1"/>
  <c r="AD68" i="11"/>
  <c r="AC68" i="11"/>
  <c r="AL64" i="11" s="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AM67" i="11"/>
  <c r="AF67" i="11"/>
  <c r="AE67" i="11"/>
  <c r="AD67" i="11"/>
  <c r="AM63" i="11" s="1"/>
  <c r="AC67" i="11"/>
  <c r="AL63" i="11" s="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AF66" i="11"/>
  <c r="AE66" i="11"/>
  <c r="AM74" i="11" s="1"/>
  <c r="AD66" i="11"/>
  <c r="AL74" i="11" s="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AM65" i="11"/>
  <c r="AL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AM64" i="11"/>
  <c r="AF64" i="11"/>
  <c r="AE64" i="11"/>
  <c r="AM72" i="11" s="1"/>
  <c r="AD64" i="11"/>
  <c r="AL72" i="11" s="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M75" i="11" s="1"/>
  <c r="M13" i="11" s="1"/>
  <c r="L64" i="11"/>
  <c r="K64" i="11"/>
  <c r="J64" i="11"/>
  <c r="I64" i="11"/>
  <c r="I75" i="11" s="1"/>
  <c r="I13" i="11" s="1"/>
  <c r="H64" i="11"/>
  <c r="G64" i="11"/>
  <c r="F64" i="11"/>
  <c r="E64" i="11"/>
  <c r="D64" i="11"/>
  <c r="C64" i="11"/>
  <c r="AF63" i="11"/>
  <c r="AE63" i="11"/>
  <c r="AD63" i="11"/>
  <c r="AC63" i="11"/>
  <c r="AC75" i="11" s="1"/>
  <c r="AB63" i="11"/>
  <c r="AA63" i="11"/>
  <c r="Z63" i="11"/>
  <c r="Y63" i="11"/>
  <c r="X63" i="11"/>
  <c r="W63" i="11"/>
  <c r="V63" i="11"/>
  <c r="U63" i="11"/>
  <c r="U75" i="11" s="1"/>
  <c r="U13" i="11" s="1"/>
  <c r="T63" i="11"/>
  <c r="S63" i="11"/>
  <c r="R63" i="11"/>
  <c r="Q63" i="11"/>
  <c r="Q75" i="11" s="1"/>
  <c r="P63" i="11"/>
  <c r="O63" i="11"/>
  <c r="N63" i="11"/>
  <c r="M63" i="11"/>
  <c r="L63" i="11"/>
  <c r="K63" i="11"/>
  <c r="J63" i="11"/>
  <c r="I63" i="11"/>
  <c r="H63" i="11"/>
  <c r="G63" i="11"/>
  <c r="G75" i="11" s="1"/>
  <c r="G13" i="11" s="1"/>
  <c r="F63" i="11"/>
  <c r="E63" i="11"/>
  <c r="D63" i="11"/>
  <c r="C63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G59" i="11"/>
  <c r="AF59" i="11"/>
  <c r="T59" i="11"/>
  <c r="T10" i="11" s="1"/>
  <c r="H59" i="11"/>
  <c r="G59" i="11"/>
  <c r="F59" i="11"/>
  <c r="E59" i="11"/>
  <c r="D59" i="11"/>
  <c r="C59" i="11"/>
  <c r="B59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AE54" i="11"/>
  <c r="AD54" i="11"/>
  <c r="AC54" i="11"/>
  <c r="AB54" i="11"/>
  <c r="AA54" i="11"/>
  <c r="Z54" i="11"/>
  <c r="Y54" i="11"/>
  <c r="X54" i="11"/>
  <c r="W54" i="11"/>
  <c r="V54" i="11"/>
  <c r="U54" i="11"/>
  <c r="U59" i="11" s="1"/>
  <c r="U10" i="11" s="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R59" i="11" s="1"/>
  <c r="R10" i="11" s="1"/>
  <c r="R11" i="11" s="1"/>
  <c r="R16" i="11" s="1"/>
  <c r="Q49" i="11"/>
  <c r="P49" i="11"/>
  <c r="O49" i="11"/>
  <c r="N49" i="11"/>
  <c r="M49" i="11"/>
  <c r="L49" i="11"/>
  <c r="K49" i="11"/>
  <c r="J49" i="11"/>
  <c r="I49" i="11"/>
  <c r="AF48" i="11"/>
  <c r="AE48" i="11"/>
  <c r="AD48" i="11"/>
  <c r="AC48" i="11"/>
  <c r="AB48" i="11"/>
  <c r="AA48" i="11"/>
  <c r="Z48" i="11"/>
  <c r="Y48" i="11"/>
  <c r="X48" i="11"/>
  <c r="X59" i="11" s="1"/>
  <c r="X10" i="11" s="1"/>
  <c r="X11" i="11" s="1"/>
  <c r="X16" i="11" s="1"/>
  <c r="W48" i="11"/>
  <c r="V48" i="11"/>
  <c r="V59" i="11" s="1"/>
  <c r="V10" i="11" s="1"/>
  <c r="V11" i="11" s="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AF47" i="11"/>
  <c r="AE47" i="11"/>
  <c r="AD47" i="11"/>
  <c r="AC47" i="11"/>
  <c r="AB47" i="11"/>
  <c r="AB59" i="11" s="1"/>
  <c r="AB10" i="11" s="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Y43" i="11"/>
  <c r="L41" i="11"/>
  <c r="K41" i="11"/>
  <c r="I41" i="11"/>
  <c r="I36" i="11" s="1"/>
  <c r="H41" i="11"/>
  <c r="F41" i="11"/>
  <c r="AG40" i="11"/>
  <c r="AG298" i="11" s="1"/>
  <c r="AF40" i="11"/>
  <c r="AF298" i="11" s="1"/>
  <c r="Y40" i="11"/>
  <c r="D39" i="11"/>
  <c r="C39" i="11"/>
  <c r="B39" i="11"/>
  <c r="AB35" i="11"/>
  <c r="AB41" i="11" s="1"/>
  <c r="U35" i="11"/>
  <c r="U41" i="11" s="1"/>
  <c r="L35" i="11"/>
  <c r="K35" i="11"/>
  <c r="G35" i="11"/>
  <c r="G41" i="11" s="1"/>
  <c r="F35" i="11"/>
  <c r="E35" i="11"/>
  <c r="E41" i="11" s="1"/>
  <c r="B35" i="11"/>
  <c r="B41" i="11" s="1"/>
  <c r="B36" i="11" s="1"/>
  <c r="B314" i="11" s="1"/>
  <c r="AC34" i="11"/>
  <c r="AC35" i="11" s="1"/>
  <c r="AC41" i="11" s="1"/>
  <c r="AB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AG33" i="11"/>
  <c r="AG35" i="11" s="1"/>
  <c r="AG41" i="11" s="1"/>
  <c r="AG36" i="11" s="1"/>
  <c r="AF33" i="11"/>
  <c r="AF35" i="11" s="1"/>
  <c r="AF41" i="11" s="1"/>
  <c r="AF36" i="11" s="1"/>
  <c r="AE33" i="11"/>
  <c r="AD33" i="11"/>
  <c r="AC33" i="11"/>
  <c r="AC235" i="11" s="1"/>
  <c r="AB33" i="11"/>
  <c r="AA33" i="11"/>
  <c r="Z33" i="11"/>
  <c r="Y33" i="11"/>
  <c r="X33" i="11"/>
  <c r="V33" i="11"/>
  <c r="U33" i="11"/>
  <c r="T33" i="11"/>
  <c r="R33" i="11"/>
  <c r="Q33" i="11"/>
  <c r="P33" i="11"/>
  <c r="O33" i="11"/>
  <c r="N33" i="11"/>
  <c r="M33" i="11"/>
  <c r="L33" i="11"/>
  <c r="K33" i="11"/>
  <c r="I33" i="11"/>
  <c r="H33" i="11"/>
  <c r="G33" i="11"/>
  <c r="F33" i="11"/>
  <c r="E33" i="11"/>
  <c r="D33" i="11"/>
  <c r="C33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V35" i="11" s="1"/>
  <c r="V41" i="11" s="1"/>
  <c r="U32" i="11"/>
  <c r="T32" i="11"/>
  <c r="S32" i="11"/>
  <c r="R32" i="11"/>
  <c r="R35" i="11" s="1"/>
  <c r="R41" i="11" s="1"/>
  <c r="Q32" i="11"/>
  <c r="P32" i="11"/>
  <c r="O32" i="11"/>
  <c r="N32" i="11"/>
  <c r="M32" i="11"/>
  <c r="L32" i="11"/>
  <c r="K32" i="11"/>
  <c r="J32" i="11"/>
  <c r="I32" i="11"/>
  <c r="I35" i="11" s="1"/>
  <c r="H32" i="11"/>
  <c r="H35" i="11" s="1"/>
  <c r="G32" i="11"/>
  <c r="F32" i="11"/>
  <c r="E32" i="11"/>
  <c r="D32" i="11"/>
  <c r="D35" i="11" s="1"/>
  <c r="D41" i="11" s="1"/>
  <c r="D36" i="11" s="1"/>
  <c r="D314" i="11" s="1"/>
  <c r="D311" i="11" s="1"/>
  <c r="C32" i="11"/>
  <c r="C35" i="11" s="1"/>
  <c r="C41" i="11" s="1"/>
  <c r="C36" i="11" s="1"/>
  <c r="C314" i="11" s="1"/>
  <c r="AG27" i="11"/>
  <c r="AG155" i="11" s="1"/>
  <c r="AF27" i="11"/>
  <c r="AF155" i="11" s="1"/>
  <c r="AA27" i="11"/>
  <c r="AD25" i="11"/>
  <c r="AD28" i="11" s="1"/>
  <c r="AC24" i="11"/>
  <c r="AB24" i="11"/>
  <c r="AA24" i="11"/>
  <c r="Z24" i="11"/>
  <c r="X24" i="11"/>
  <c r="W24" i="11"/>
  <c r="V24" i="11"/>
  <c r="U24" i="11"/>
  <c r="T24" i="11"/>
  <c r="S24" i="11"/>
  <c r="Q24" i="11"/>
  <c r="P24" i="11"/>
  <c r="O24" i="11"/>
  <c r="M24" i="11"/>
  <c r="K24" i="11"/>
  <c r="J24" i="11"/>
  <c r="I24" i="11"/>
  <c r="AG22" i="11"/>
  <c r="AF22" i="11"/>
  <c r="AE22" i="11"/>
  <c r="AD22" i="11"/>
  <c r="AC22" i="11"/>
  <c r="AC25" i="11" s="1"/>
  <c r="AC28" i="11" s="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P159" i="11" s="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V16" i="11"/>
  <c r="BZ15" i="11"/>
  <c r="BY15" i="11"/>
  <c r="BX15" i="11"/>
  <c r="BW15" i="11"/>
  <c r="BV15" i="11"/>
  <c r="BU15" i="11"/>
  <c r="BT15" i="11"/>
  <c r="Z14" i="11"/>
  <c r="X14" i="11"/>
  <c r="W14" i="11"/>
  <c r="V14" i="11"/>
  <c r="T14" i="11"/>
  <c r="S14" i="11"/>
  <c r="R14" i="11"/>
  <c r="P14" i="11"/>
  <c r="L14" i="11"/>
  <c r="E14" i="11"/>
  <c r="D14" i="11"/>
  <c r="AF13" i="11"/>
  <c r="Q13" i="11"/>
  <c r="J11" i="11"/>
  <c r="J16" i="11" s="1"/>
  <c r="H11" i="11"/>
  <c r="H16" i="11" s="1"/>
  <c r="G11" i="11"/>
  <c r="G16" i="11" s="1"/>
  <c r="F11" i="11"/>
  <c r="F16" i="11" s="1"/>
  <c r="D11" i="11"/>
  <c r="D16" i="11" s="1"/>
  <c r="AE9" i="11"/>
  <c r="AD9" i="11"/>
  <c r="AA9" i="11"/>
  <c r="Z9" i="11"/>
  <c r="Y9" i="11"/>
  <c r="X9" i="11"/>
  <c r="W9" i="11"/>
  <c r="V9" i="11"/>
  <c r="U9" i="11"/>
  <c r="T9" i="11"/>
  <c r="T7" i="11" s="1"/>
  <c r="S9" i="11"/>
  <c r="R9" i="11"/>
  <c r="R7" i="11" s="1"/>
  <c r="Q9" i="11"/>
  <c r="P9" i="11"/>
  <c r="O9" i="11"/>
  <c r="O7" i="11" s="1"/>
  <c r="N9" i="11"/>
  <c r="M9" i="11"/>
  <c r="L9" i="11"/>
  <c r="L7" i="11" s="1"/>
  <c r="K9" i="11"/>
  <c r="J9" i="11"/>
  <c r="I9" i="11"/>
  <c r="I7" i="11" s="1"/>
  <c r="H9" i="11"/>
  <c r="G9" i="11"/>
  <c r="F9" i="11"/>
  <c r="F7" i="11" s="1"/>
  <c r="E9" i="11"/>
  <c r="E7" i="11" s="1"/>
  <c r="D9" i="11"/>
  <c r="C9" i="11"/>
  <c r="B9" i="11"/>
  <c r="B11" i="11" s="1"/>
  <c r="B16" i="11" s="1"/>
  <c r="BZ8" i="11"/>
  <c r="BY8" i="11"/>
  <c r="AF9" i="11" s="1"/>
  <c r="BX8" i="11"/>
  <c r="BV8" i="11"/>
  <c r="AC9" i="11" s="1"/>
  <c r="BU8" i="11"/>
  <c r="AG8" i="11"/>
  <c r="AF8" i="11"/>
  <c r="AF11" i="11" s="1"/>
  <c r="AF16" i="11" s="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E11" i="11" s="1"/>
  <c r="E16" i="11" s="1"/>
  <c r="D8" i="11"/>
  <c r="C8" i="11"/>
  <c r="C11" i="11" s="1"/>
  <c r="C16" i="11" s="1"/>
  <c r="AD7" i="11"/>
  <c r="AA7" i="11"/>
  <c r="Z7" i="11"/>
  <c r="V7" i="11"/>
  <c r="U7" i="11"/>
  <c r="Q7" i="11"/>
  <c r="BX6" i="11"/>
  <c r="AE6" i="11"/>
  <c r="AA6" i="11"/>
  <c r="T6" i="11"/>
  <c r="P6" i="11"/>
  <c r="J6" i="11"/>
  <c r="BW5" i="11"/>
  <c r="BW6" i="11" s="1"/>
  <c r="BV5" i="11"/>
  <c r="AC5" i="11" s="1"/>
  <c r="AC6" i="11" s="1"/>
  <c r="BT5" i="11"/>
  <c r="BS5" i="11"/>
  <c r="Z5" i="11" s="1"/>
  <c r="Z6" i="11" s="1"/>
  <c r="BR5" i="11"/>
  <c r="Y5" i="11" s="1"/>
  <c r="BQ5" i="11"/>
  <c r="X5" i="11" s="1"/>
  <c r="X6" i="11" s="1"/>
  <c r="BP5" i="11"/>
  <c r="W5" i="11" s="1"/>
  <c r="BO5" i="11"/>
  <c r="V5" i="11" s="1"/>
  <c r="BN5" i="11"/>
  <c r="U5" i="11" s="1"/>
  <c r="U6" i="11" s="1"/>
  <c r="BM5" i="11"/>
  <c r="BL5" i="11"/>
  <c r="BK5" i="11"/>
  <c r="R5" i="11" s="1"/>
  <c r="BJ5" i="11"/>
  <c r="Q5" i="11" s="1"/>
  <c r="Q6" i="11" s="1"/>
  <c r="BI5" i="11"/>
  <c r="BH5" i="11"/>
  <c r="BG5" i="11"/>
  <c r="BF5" i="11"/>
  <c r="BE5" i="11"/>
  <c r="BD5" i="11"/>
  <c r="BC5" i="11"/>
  <c r="BB5" i="11"/>
  <c r="BA5" i="11"/>
  <c r="AZ5" i="11"/>
  <c r="AY5" i="11"/>
  <c r="F5" i="11" s="1"/>
  <c r="F6" i="11" s="1"/>
  <c r="AX5" i="11"/>
  <c r="AW5" i="11"/>
  <c r="D5" i="11" s="1"/>
  <c r="AV5" i="11"/>
  <c r="C5" i="11" s="1"/>
  <c r="AU5" i="11"/>
  <c r="B5" i="11" s="1"/>
  <c r="B6" i="11" s="1"/>
  <c r="AT5" i="11"/>
  <c r="AS5" i="11"/>
  <c r="AR5" i="11"/>
  <c r="AE5" i="11"/>
  <c r="AA5" i="11"/>
  <c r="T5" i="11"/>
  <c r="S5" i="11"/>
  <c r="P5" i="11"/>
  <c r="P7" i="11" s="1"/>
  <c r="O5" i="11"/>
  <c r="N5" i="11"/>
  <c r="M5" i="11"/>
  <c r="M6" i="11" s="1"/>
  <c r="L5" i="11"/>
  <c r="L6" i="11" s="1"/>
  <c r="K5" i="11"/>
  <c r="K6" i="11" s="1"/>
  <c r="J5" i="11"/>
  <c r="J7" i="11" s="1"/>
  <c r="I5" i="11"/>
  <c r="I6" i="11" s="1"/>
  <c r="H5" i="11"/>
  <c r="G5" i="11"/>
  <c r="G7" i="11" s="1"/>
  <c r="E5" i="11"/>
  <c r="E6" i="11" s="1"/>
  <c r="AE4" i="11"/>
  <c r="BX4" i="11" s="1"/>
  <c r="AC4" i="11"/>
  <c r="AB14" i="11" s="1"/>
  <c r="AB4" i="11"/>
  <c r="AA14" i="11" s="1"/>
  <c r="AA4" i="11"/>
  <c r="Z4" i="11"/>
  <c r="Y14" i="11" s="1"/>
  <c r="Y4" i="11"/>
  <c r="X4" i="11"/>
  <c r="W4" i="11"/>
  <c r="V4" i="11"/>
  <c r="U14" i="11" s="1"/>
  <c r="U4" i="11"/>
  <c r="T4" i="11"/>
  <c r="S4" i="11"/>
  <c r="R4" i="11"/>
  <c r="Q14" i="11" s="1"/>
  <c r="Q4" i="11"/>
  <c r="P4" i="11"/>
  <c r="O14" i="11" s="1"/>
  <c r="O4" i="11"/>
  <c r="N14" i="11" s="1"/>
  <c r="N4" i="11"/>
  <c r="M14" i="11" s="1"/>
  <c r="M4" i="11"/>
  <c r="L4" i="11"/>
  <c r="K14" i="11" s="1"/>
  <c r="K4" i="11"/>
  <c r="J14" i="11" s="1"/>
  <c r="J4" i="11"/>
  <c r="I14" i="11" s="1"/>
  <c r="I4" i="11"/>
  <c r="H14" i="11" s="1"/>
  <c r="H4" i="11"/>
  <c r="G14" i="11" s="1"/>
  <c r="G4" i="11"/>
  <c r="F14" i="11" s="1"/>
  <c r="F4" i="11"/>
  <c r="E4" i="11"/>
  <c r="D4" i="11"/>
  <c r="C14" i="11" s="1"/>
  <c r="C4" i="11"/>
  <c r="B14" i="11" s="1"/>
  <c r="B4" i="11"/>
  <c r="AM317" i="10"/>
  <c r="AL317" i="10"/>
  <c r="AK317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M314" i="10"/>
  <c r="AL314" i="10"/>
  <c r="AK314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Y303" i="10" s="1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H312" i="10"/>
  <c r="H313" i="10" s="1"/>
  <c r="I309" i="10"/>
  <c r="I310" i="10" s="1"/>
  <c r="I311" i="10" s="1"/>
  <c r="I312" i="10" s="1"/>
  <c r="I313" i="10" s="1"/>
  <c r="H309" i="10"/>
  <c r="H310" i="10" s="1"/>
  <c r="H311" i="10" s="1"/>
  <c r="H308" i="10"/>
  <c r="E308" i="10"/>
  <c r="E309" i="10" s="1"/>
  <c r="E310" i="10" s="1"/>
  <c r="E311" i="10" s="1"/>
  <c r="E312" i="10" s="1"/>
  <c r="L306" i="10"/>
  <c r="H305" i="10"/>
  <c r="H306" i="10" s="1"/>
  <c r="H307" i="10" s="1"/>
  <c r="E305" i="10"/>
  <c r="E306" i="10" s="1"/>
  <c r="E307" i="10" s="1"/>
  <c r="AE304" i="10"/>
  <c r="W304" i="10"/>
  <c r="P304" i="10"/>
  <c r="I304" i="10"/>
  <c r="I305" i="10" s="1"/>
  <c r="I306" i="10" s="1"/>
  <c r="I307" i="10" s="1"/>
  <c r="I308" i="10" s="1"/>
  <c r="H304" i="10"/>
  <c r="E304" i="10"/>
  <c r="AM303" i="10"/>
  <c r="AI303" i="10"/>
  <c r="AH303" i="10"/>
  <c r="AE303" i="10"/>
  <c r="AD303" i="10"/>
  <c r="AA303" i="10"/>
  <c r="X303" i="10"/>
  <c r="W303" i="10"/>
  <c r="V303" i="10"/>
  <c r="V304" i="10" s="1"/>
  <c r="V305" i="10" s="1"/>
  <c r="U303" i="10"/>
  <c r="T303" i="10"/>
  <c r="S303" i="10"/>
  <c r="R303" i="10"/>
  <c r="Q303" i="10"/>
  <c r="P303" i="10"/>
  <c r="L303" i="10"/>
  <c r="L304" i="10" s="1"/>
  <c r="L305" i="10" s="1"/>
  <c r="I303" i="10"/>
  <c r="H303" i="10"/>
  <c r="E303" i="10"/>
  <c r="B303" i="10"/>
  <c r="AM302" i="10"/>
  <c r="AL302" i="10"/>
  <c r="AK302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M286" i="10"/>
  <c r="AL286" i="10"/>
  <c r="AK286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M283" i="10"/>
  <c r="AL283" i="10"/>
  <c r="AK283" i="10"/>
  <c r="AJ283" i="10"/>
  <c r="AI283" i="10"/>
  <c r="AH283" i="10"/>
  <c r="AG283" i="10"/>
  <c r="Q283" i="10"/>
  <c r="Q40" i="10" s="1"/>
  <c r="M283" i="10"/>
  <c r="M40" i="10" s="1"/>
  <c r="L283" i="10"/>
  <c r="I283" i="10"/>
  <c r="D283" i="10"/>
  <c r="C283" i="10"/>
  <c r="B283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N283" i="10" s="1"/>
  <c r="N40" i="10" s="1"/>
  <c r="M280" i="10"/>
  <c r="L280" i="10"/>
  <c r="K280" i="10"/>
  <c r="J280" i="10"/>
  <c r="I280" i="10"/>
  <c r="H280" i="10"/>
  <c r="G280" i="10"/>
  <c r="F280" i="10"/>
  <c r="E280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T283" i="10" s="1"/>
  <c r="T40" i="10" s="1"/>
  <c r="S273" i="10"/>
  <c r="R273" i="10"/>
  <c r="Q273" i="10"/>
  <c r="P273" i="10"/>
  <c r="P283" i="10" s="1"/>
  <c r="P40" i="10" s="1"/>
  <c r="O273" i="10"/>
  <c r="O283" i="10" s="1"/>
  <c r="N273" i="10"/>
  <c r="M273" i="10"/>
  <c r="L273" i="10"/>
  <c r="K273" i="10"/>
  <c r="J273" i="10"/>
  <c r="I273" i="10"/>
  <c r="H273" i="10"/>
  <c r="G273" i="10"/>
  <c r="F273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AM270" i="10"/>
  <c r="AL270" i="10"/>
  <c r="AK270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M267" i="10"/>
  <c r="AL267" i="10"/>
  <c r="AK267" i="10"/>
  <c r="AJ267" i="10"/>
  <c r="AI267" i="10"/>
  <c r="AH267" i="10"/>
  <c r="AG267" i="10"/>
  <c r="D267" i="10"/>
  <c r="C267" i="10"/>
  <c r="B267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N267" i="10" s="1"/>
  <c r="M263" i="10"/>
  <c r="L263" i="10"/>
  <c r="K263" i="10"/>
  <c r="J263" i="10"/>
  <c r="I263" i="10"/>
  <c r="H263" i="10"/>
  <c r="G263" i="10"/>
  <c r="F263" i="10"/>
  <c r="E263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U267" i="10" s="1"/>
  <c r="U34" i="10" s="1"/>
  <c r="T257" i="10"/>
  <c r="S257" i="10"/>
  <c r="R257" i="10"/>
  <c r="R267" i="10" s="1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M267" i="10" s="1"/>
  <c r="L256" i="10"/>
  <c r="L267" i="10" s="1"/>
  <c r="L34" i="10" s="1"/>
  <c r="K256" i="10"/>
  <c r="K267" i="10" s="1"/>
  <c r="K34" i="10" s="1"/>
  <c r="J256" i="10"/>
  <c r="I256" i="10"/>
  <c r="I267" i="10" s="1"/>
  <c r="I34" i="10" s="1"/>
  <c r="H256" i="10"/>
  <c r="G256" i="10"/>
  <c r="F256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AM254" i="10"/>
  <c r="AL254" i="10"/>
  <c r="AK254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P250" i="10"/>
  <c r="I250" i="10"/>
  <c r="G250" i="10"/>
  <c r="T249" i="10"/>
  <c r="E249" i="10"/>
  <c r="O248" i="10"/>
  <c r="T247" i="10"/>
  <c r="AD246" i="10"/>
  <c r="AC246" i="10"/>
  <c r="AB246" i="10"/>
  <c r="AA246" i="10"/>
  <c r="X246" i="10"/>
  <c r="H246" i="10"/>
  <c r="AD244" i="10"/>
  <c r="X244" i="10"/>
  <c r="AB243" i="10"/>
  <c r="X243" i="10"/>
  <c r="R243" i="10"/>
  <c r="F243" i="10"/>
  <c r="B243" i="10"/>
  <c r="AC242" i="10"/>
  <c r="AB242" i="10"/>
  <c r="AA242" i="10"/>
  <c r="X242" i="10"/>
  <c r="U241" i="10"/>
  <c r="R241" i="10"/>
  <c r="Q241" i="10"/>
  <c r="F241" i="10"/>
  <c r="V240" i="10"/>
  <c r="S240" i="10"/>
  <c r="R240" i="10"/>
  <c r="Q240" i="10"/>
  <c r="M240" i="10"/>
  <c r="J240" i="10"/>
  <c r="L239" i="10"/>
  <c r="F239" i="10"/>
  <c r="AM238" i="10"/>
  <c r="AL238" i="10"/>
  <c r="AK238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J235" i="10"/>
  <c r="AH235" i="10"/>
  <c r="AI235" i="10" s="1"/>
  <c r="AA234" i="10"/>
  <c r="AA250" i="10" s="1"/>
  <c r="Z234" i="10"/>
  <c r="Z250" i="10" s="1"/>
  <c r="W234" i="10"/>
  <c r="W250" i="10" s="1"/>
  <c r="V234" i="10"/>
  <c r="V250" i="10" s="1"/>
  <c r="U234" i="10"/>
  <c r="U250" i="10" s="1"/>
  <c r="T234" i="10"/>
  <c r="T250" i="10" s="1"/>
  <c r="P234" i="10"/>
  <c r="J234" i="10"/>
  <c r="G234" i="10"/>
  <c r="F234" i="10"/>
  <c r="E234" i="10"/>
  <c r="E250" i="10" s="1"/>
  <c r="W233" i="10"/>
  <c r="V233" i="10"/>
  <c r="R233" i="10"/>
  <c r="Q233" i="10"/>
  <c r="Q249" i="10" s="1"/>
  <c r="P233" i="10"/>
  <c r="P249" i="10" s="1"/>
  <c r="O233" i="10"/>
  <c r="O249" i="10" s="1"/>
  <c r="N233" i="10"/>
  <c r="N249" i="10" s="1"/>
  <c r="J233" i="10"/>
  <c r="J249" i="10" s="1"/>
  <c r="D233" i="10"/>
  <c r="D249" i="10" s="1"/>
  <c r="Z232" i="10"/>
  <c r="Z248" i="10" s="1"/>
  <c r="T232" i="10"/>
  <c r="T248" i="10" s="1"/>
  <c r="O232" i="10"/>
  <c r="N232" i="10"/>
  <c r="N248" i="10" s="1"/>
  <c r="M232" i="10"/>
  <c r="M248" i="10" s="1"/>
  <c r="L232" i="10"/>
  <c r="K232" i="10"/>
  <c r="K248" i="10" s="1"/>
  <c r="J232" i="10"/>
  <c r="J248" i="10" s="1"/>
  <c r="I232" i="10"/>
  <c r="I248" i="10" s="1"/>
  <c r="H232" i="10"/>
  <c r="H248" i="10" s="1"/>
  <c r="D232" i="10"/>
  <c r="D248" i="10" s="1"/>
  <c r="AC231" i="10"/>
  <c r="AC247" i="10" s="1"/>
  <c r="AA231" i="10"/>
  <c r="AA247" i="10" s="1"/>
  <c r="X231" i="10"/>
  <c r="X247" i="10" s="1"/>
  <c r="T231" i="10"/>
  <c r="J231" i="10"/>
  <c r="J247" i="10" s="1"/>
  <c r="E231" i="10"/>
  <c r="E247" i="10" s="1"/>
  <c r="D231" i="10"/>
  <c r="D247" i="10" s="1"/>
  <c r="C231" i="10"/>
  <c r="C247" i="10" s="1"/>
  <c r="B231" i="10"/>
  <c r="B247" i="10" s="1"/>
  <c r="U230" i="10"/>
  <c r="U246" i="10" s="1"/>
  <c r="T230" i="10"/>
  <c r="T246" i="10" s="1"/>
  <c r="S230" i="10"/>
  <c r="S246" i="10" s="1"/>
  <c r="N230" i="10"/>
  <c r="N246" i="10" s="1"/>
  <c r="H230" i="10"/>
  <c r="D230" i="10"/>
  <c r="C230" i="10"/>
  <c r="C246" i="10" s="1"/>
  <c r="B230" i="10"/>
  <c r="B246" i="10" s="1"/>
  <c r="AD229" i="10"/>
  <c r="AD245" i="10" s="1"/>
  <c r="T229" i="10"/>
  <c r="Q229" i="10"/>
  <c r="Q245" i="10" s="1"/>
  <c r="P229" i="10"/>
  <c r="P245" i="10" s="1"/>
  <c r="O229" i="10"/>
  <c r="O245" i="10" s="1"/>
  <c r="N229" i="10"/>
  <c r="N245" i="10" s="1"/>
  <c r="M229" i="10"/>
  <c r="M245" i="10" s="1"/>
  <c r="L229" i="10"/>
  <c r="L245" i="10" s="1"/>
  <c r="H229" i="10"/>
  <c r="H245" i="10" s="1"/>
  <c r="AD228" i="10"/>
  <c r="AC228" i="10"/>
  <c r="AC244" i="10" s="1"/>
  <c r="X228" i="10"/>
  <c r="N228" i="10"/>
  <c r="M228" i="10"/>
  <c r="M244" i="10" s="1"/>
  <c r="L228" i="10"/>
  <c r="L244" i="10" s="1"/>
  <c r="K228" i="10"/>
  <c r="K244" i="10" s="1"/>
  <c r="I228" i="10"/>
  <c r="I244" i="10" s="1"/>
  <c r="H228" i="10"/>
  <c r="H244" i="10" s="1"/>
  <c r="G228" i="10"/>
  <c r="G244" i="10" s="1"/>
  <c r="B228" i="10"/>
  <c r="B244" i="10" s="1"/>
  <c r="AB227" i="10"/>
  <c r="X227" i="10"/>
  <c r="W227" i="10"/>
  <c r="W243" i="10" s="1"/>
  <c r="R227" i="10"/>
  <c r="H227" i="10"/>
  <c r="D227" i="10"/>
  <c r="D243" i="10" s="1"/>
  <c r="C227" i="10"/>
  <c r="C243" i="10" s="1"/>
  <c r="B227" i="10"/>
  <c r="AB226" i="10"/>
  <c r="X226" i="10"/>
  <c r="S226" i="10"/>
  <c r="S242" i="10" s="1"/>
  <c r="R226" i="10"/>
  <c r="Q226" i="10"/>
  <c r="Q242" i="10" s="1"/>
  <c r="L226" i="10"/>
  <c r="L242" i="10" s="1"/>
  <c r="F226" i="10"/>
  <c r="AB225" i="10"/>
  <c r="AB241" i="10" s="1"/>
  <c r="Q225" i="10"/>
  <c r="M225" i="10"/>
  <c r="M241" i="10" s="1"/>
  <c r="L225" i="10"/>
  <c r="L241" i="10" s="1"/>
  <c r="K225" i="10"/>
  <c r="K241" i="10" s="1"/>
  <c r="F225" i="10"/>
  <c r="AD224" i="10"/>
  <c r="AC224" i="10"/>
  <c r="AC240" i="10" s="1"/>
  <c r="AB224" i="10"/>
  <c r="AA224" i="10"/>
  <c r="AA240" i="10" s="1"/>
  <c r="V224" i="10"/>
  <c r="M224" i="10"/>
  <c r="J224" i="10"/>
  <c r="G224" i="10"/>
  <c r="G240" i="10" s="1"/>
  <c r="F224" i="10"/>
  <c r="E224" i="10"/>
  <c r="E240" i="10" s="1"/>
  <c r="AB223" i="10"/>
  <c r="AB239" i="10" s="1"/>
  <c r="AA223" i="10"/>
  <c r="AA239" i="10" s="1"/>
  <c r="Y223" i="10"/>
  <c r="Y239" i="10" s="1"/>
  <c r="X223" i="10"/>
  <c r="X239" i="10" s="1"/>
  <c r="W223" i="10"/>
  <c r="W239" i="10" s="1"/>
  <c r="V223" i="10"/>
  <c r="U223" i="10"/>
  <c r="U239" i="10" s="1"/>
  <c r="P223" i="10"/>
  <c r="P239" i="10" s="1"/>
  <c r="F223" i="10"/>
  <c r="C223" i="10"/>
  <c r="C239" i="10" s="1"/>
  <c r="B223" i="10"/>
  <c r="AM222" i="10"/>
  <c r="AL222" i="10"/>
  <c r="AK222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D219" i="10"/>
  <c r="AD33" i="10" s="1"/>
  <c r="AD218" i="10"/>
  <c r="AD234" i="10" s="1"/>
  <c r="AD250" i="10" s="1"/>
  <c r="AC218" i="10"/>
  <c r="AC234" i="10" s="1"/>
  <c r="AB218" i="10"/>
  <c r="AB234" i="10" s="1"/>
  <c r="AA218" i="10"/>
  <c r="Z218" i="10"/>
  <c r="X218" i="10"/>
  <c r="X234" i="10" s="1"/>
  <c r="X250" i="10" s="1"/>
  <c r="W218" i="10"/>
  <c r="V218" i="10"/>
  <c r="U218" i="10"/>
  <c r="T218" i="10"/>
  <c r="S218" i="10"/>
  <c r="S234" i="10" s="1"/>
  <c r="S250" i="10" s="1"/>
  <c r="R218" i="10"/>
  <c r="R234" i="10" s="1"/>
  <c r="Q218" i="10"/>
  <c r="Q234" i="10" s="1"/>
  <c r="Q250" i="10" s="1"/>
  <c r="P218" i="10"/>
  <c r="O218" i="10"/>
  <c r="O234" i="10" s="1"/>
  <c r="N218" i="10"/>
  <c r="N234" i="10" s="1"/>
  <c r="M218" i="10"/>
  <c r="M234" i="10" s="1"/>
  <c r="L218" i="10"/>
  <c r="L234" i="10" s="1"/>
  <c r="K218" i="10"/>
  <c r="K234" i="10" s="1"/>
  <c r="J218" i="10"/>
  <c r="I218" i="10"/>
  <c r="I234" i="10" s="1"/>
  <c r="H218" i="10"/>
  <c r="H234" i="10" s="1"/>
  <c r="H250" i="10" s="1"/>
  <c r="G218" i="10"/>
  <c r="F218" i="10"/>
  <c r="E218" i="10"/>
  <c r="D218" i="10"/>
  <c r="D234" i="10" s="1"/>
  <c r="D250" i="10" s="1"/>
  <c r="C218" i="10"/>
  <c r="C234" i="10" s="1"/>
  <c r="C250" i="10" s="1"/>
  <c r="B218" i="10"/>
  <c r="B234" i="10" s="1"/>
  <c r="B250" i="10" s="1"/>
  <c r="AD217" i="10"/>
  <c r="AD233" i="10" s="1"/>
  <c r="AD249" i="10" s="1"/>
  <c r="AC217" i="10"/>
  <c r="AC233" i="10" s="1"/>
  <c r="AC249" i="10" s="1"/>
  <c r="AB217" i="10"/>
  <c r="AB233" i="10" s="1"/>
  <c r="AA217" i="10"/>
  <c r="AA233" i="10" s="1"/>
  <c r="AA249" i="10" s="1"/>
  <c r="Z217" i="10"/>
  <c r="Z233" i="10" s="1"/>
  <c r="Z249" i="10" s="1"/>
  <c r="X217" i="10"/>
  <c r="X233" i="10" s="1"/>
  <c r="W217" i="10"/>
  <c r="V217" i="10"/>
  <c r="U217" i="10"/>
  <c r="U233" i="10" s="1"/>
  <c r="U249" i="10" s="1"/>
  <c r="T217" i="10"/>
  <c r="T233" i="10" s="1"/>
  <c r="S217" i="10"/>
  <c r="S233" i="10" s="1"/>
  <c r="S249" i="10" s="1"/>
  <c r="R217" i="10"/>
  <c r="Q217" i="10"/>
  <c r="P217" i="10"/>
  <c r="O217" i="10"/>
  <c r="N217" i="10"/>
  <c r="M217" i="10"/>
  <c r="M233" i="10" s="1"/>
  <c r="M249" i="10" s="1"/>
  <c r="L217" i="10"/>
  <c r="L233" i="10" s="1"/>
  <c r="L249" i="10" s="1"/>
  <c r="K217" i="10"/>
  <c r="K233" i="10" s="1"/>
  <c r="K249" i="10" s="1"/>
  <c r="J217" i="10"/>
  <c r="I217" i="10"/>
  <c r="I233" i="10" s="1"/>
  <c r="I249" i="10" s="1"/>
  <c r="H217" i="10"/>
  <c r="H233" i="10" s="1"/>
  <c r="H249" i="10" s="1"/>
  <c r="G217" i="10"/>
  <c r="G233" i="10" s="1"/>
  <c r="G249" i="10" s="1"/>
  <c r="F217" i="10"/>
  <c r="F233" i="10" s="1"/>
  <c r="E217" i="10"/>
  <c r="E233" i="10" s="1"/>
  <c r="D217" i="10"/>
  <c r="C217" i="10"/>
  <c r="C233" i="10" s="1"/>
  <c r="B217" i="10"/>
  <c r="B233" i="10" s="1"/>
  <c r="AD216" i="10"/>
  <c r="AD232" i="10" s="1"/>
  <c r="AD248" i="10" s="1"/>
  <c r="AC216" i="10"/>
  <c r="AC232" i="10" s="1"/>
  <c r="AC248" i="10" s="1"/>
  <c r="AB216" i="10"/>
  <c r="AB232" i="10" s="1"/>
  <c r="AA216" i="10"/>
  <c r="AA232" i="10" s="1"/>
  <c r="AA248" i="10" s="1"/>
  <c r="Z216" i="10"/>
  <c r="X216" i="10"/>
  <c r="X232" i="10" s="1"/>
  <c r="W216" i="10"/>
  <c r="W232" i="10" s="1"/>
  <c r="V216" i="10"/>
  <c r="V232" i="10" s="1"/>
  <c r="V248" i="10" s="1"/>
  <c r="U216" i="10"/>
  <c r="U232" i="10" s="1"/>
  <c r="T216" i="10"/>
  <c r="S216" i="10"/>
  <c r="S232" i="10" s="1"/>
  <c r="S248" i="10" s="1"/>
  <c r="R216" i="10"/>
  <c r="R232" i="10" s="1"/>
  <c r="Q216" i="10"/>
  <c r="Q232" i="10" s="1"/>
  <c r="Q248" i="10" s="1"/>
  <c r="P216" i="10"/>
  <c r="P232" i="10" s="1"/>
  <c r="P248" i="10" s="1"/>
  <c r="O216" i="10"/>
  <c r="N216" i="10"/>
  <c r="M216" i="10"/>
  <c r="L216" i="10"/>
  <c r="K216" i="10"/>
  <c r="J216" i="10"/>
  <c r="I216" i="10"/>
  <c r="H216" i="10"/>
  <c r="G216" i="10"/>
  <c r="G232" i="10" s="1"/>
  <c r="G248" i="10" s="1"/>
  <c r="F216" i="10"/>
  <c r="F232" i="10" s="1"/>
  <c r="E216" i="10"/>
  <c r="E232" i="10" s="1"/>
  <c r="E248" i="10" s="1"/>
  <c r="D216" i="10"/>
  <c r="C216" i="10"/>
  <c r="C232" i="10" s="1"/>
  <c r="B216" i="10"/>
  <c r="B232" i="10" s="1"/>
  <c r="AD215" i="10"/>
  <c r="AD231" i="10" s="1"/>
  <c r="AD247" i="10" s="1"/>
  <c r="AC215" i="10"/>
  <c r="AB215" i="10"/>
  <c r="AB231" i="10" s="1"/>
  <c r="AA215" i="10"/>
  <c r="X215" i="10"/>
  <c r="W215" i="10"/>
  <c r="W231" i="10" s="1"/>
  <c r="W247" i="10" s="1"/>
  <c r="V215" i="10"/>
  <c r="V231" i="10" s="1"/>
  <c r="U215" i="10"/>
  <c r="U231" i="10" s="1"/>
  <c r="U247" i="10" s="1"/>
  <c r="T215" i="10"/>
  <c r="S215" i="10"/>
  <c r="S231" i="10" s="1"/>
  <c r="R215" i="10"/>
  <c r="R231" i="10" s="1"/>
  <c r="Q215" i="10"/>
  <c r="Q231" i="10" s="1"/>
  <c r="P215" i="10"/>
  <c r="P231" i="10" s="1"/>
  <c r="O215" i="10"/>
  <c r="O231" i="10" s="1"/>
  <c r="N215" i="10"/>
  <c r="N231" i="10" s="1"/>
  <c r="M215" i="10"/>
  <c r="M231" i="10" s="1"/>
  <c r="L215" i="10"/>
  <c r="L231" i="10" s="1"/>
  <c r="L247" i="10" s="1"/>
  <c r="K215" i="10"/>
  <c r="K231" i="10" s="1"/>
  <c r="K247" i="10" s="1"/>
  <c r="J215" i="10"/>
  <c r="I215" i="10"/>
  <c r="I231" i="10" s="1"/>
  <c r="I247" i="10" s="1"/>
  <c r="H215" i="10"/>
  <c r="H231" i="10" s="1"/>
  <c r="H247" i="10" s="1"/>
  <c r="G215" i="10"/>
  <c r="G231" i="10" s="1"/>
  <c r="G247" i="10" s="1"/>
  <c r="F215" i="10"/>
  <c r="F231" i="10" s="1"/>
  <c r="F247" i="10" s="1"/>
  <c r="E215" i="10"/>
  <c r="D215" i="10"/>
  <c r="C215" i="10"/>
  <c r="B215" i="10"/>
  <c r="AD214" i="10"/>
  <c r="AD230" i="10" s="1"/>
  <c r="AC214" i="10"/>
  <c r="AC230" i="10" s="1"/>
  <c r="AB214" i="10"/>
  <c r="AB230" i="10" s="1"/>
  <c r="AA214" i="10"/>
  <c r="AA230" i="10" s="1"/>
  <c r="X214" i="10"/>
  <c r="X230" i="10" s="1"/>
  <c r="W214" i="10"/>
  <c r="W230" i="10" s="1"/>
  <c r="W246" i="10" s="1"/>
  <c r="V214" i="10"/>
  <c r="V230" i="10" s="1"/>
  <c r="U214" i="10"/>
  <c r="T214" i="10"/>
  <c r="S214" i="10"/>
  <c r="R214" i="10"/>
  <c r="R230" i="10" s="1"/>
  <c r="R246" i="10" s="1"/>
  <c r="Q214" i="10"/>
  <c r="Q230" i="10" s="1"/>
  <c r="Q246" i="10" s="1"/>
  <c r="P214" i="10"/>
  <c r="P230" i="10" s="1"/>
  <c r="O214" i="10"/>
  <c r="O230" i="10" s="1"/>
  <c r="O246" i="10" s="1"/>
  <c r="N214" i="10"/>
  <c r="M214" i="10"/>
  <c r="M230" i="10" s="1"/>
  <c r="L214" i="10"/>
  <c r="L230" i="10" s="1"/>
  <c r="L246" i="10" s="1"/>
  <c r="K214" i="10"/>
  <c r="K230" i="10" s="1"/>
  <c r="J214" i="10"/>
  <c r="J230" i="10" s="1"/>
  <c r="J246" i="10" s="1"/>
  <c r="I214" i="10"/>
  <c r="I230" i="10" s="1"/>
  <c r="I246" i="10" s="1"/>
  <c r="H214" i="10"/>
  <c r="G214" i="10"/>
  <c r="G230" i="10" s="1"/>
  <c r="F214" i="10"/>
  <c r="F230" i="10" s="1"/>
  <c r="F246" i="10" s="1"/>
  <c r="E214" i="10"/>
  <c r="E230" i="10" s="1"/>
  <c r="E246" i="10" s="1"/>
  <c r="D214" i="10"/>
  <c r="C214" i="10"/>
  <c r="B214" i="10"/>
  <c r="AD213" i="10"/>
  <c r="AC213" i="10"/>
  <c r="AC229" i="10" s="1"/>
  <c r="AB213" i="10"/>
  <c r="AB229" i="10" s="1"/>
  <c r="AA213" i="10"/>
  <c r="AA229" i="10" s="1"/>
  <c r="X213" i="10"/>
  <c r="X229" i="10" s="1"/>
  <c r="X245" i="10" s="1"/>
  <c r="W213" i="10"/>
  <c r="W229" i="10" s="1"/>
  <c r="V213" i="10"/>
  <c r="V229" i="10" s="1"/>
  <c r="U213" i="10"/>
  <c r="U229" i="10" s="1"/>
  <c r="U245" i="10" s="1"/>
  <c r="T213" i="10"/>
  <c r="S213" i="10"/>
  <c r="S229" i="10" s="1"/>
  <c r="S245" i="10" s="1"/>
  <c r="R213" i="10"/>
  <c r="R229" i="10" s="1"/>
  <c r="R245" i="10" s="1"/>
  <c r="Q213" i="10"/>
  <c r="P213" i="10"/>
  <c r="O213" i="10"/>
  <c r="N213" i="10"/>
  <c r="M213" i="10"/>
  <c r="L213" i="10"/>
  <c r="K213" i="10"/>
  <c r="K229" i="10" s="1"/>
  <c r="K245" i="10" s="1"/>
  <c r="J213" i="10"/>
  <c r="J229" i="10" s="1"/>
  <c r="J245" i="10" s="1"/>
  <c r="I213" i="10"/>
  <c r="I229" i="10" s="1"/>
  <c r="I245" i="10" s="1"/>
  <c r="H213" i="10"/>
  <c r="G213" i="10"/>
  <c r="G229" i="10" s="1"/>
  <c r="F213" i="10"/>
  <c r="F229" i="10" s="1"/>
  <c r="E213" i="10"/>
  <c r="E229" i="10" s="1"/>
  <c r="D213" i="10"/>
  <c r="D229" i="10" s="1"/>
  <c r="C213" i="10"/>
  <c r="C229" i="10" s="1"/>
  <c r="B213" i="10"/>
  <c r="B229" i="10" s="1"/>
  <c r="B245" i="10" s="1"/>
  <c r="AD212" i="10"/>
  <c r="AC212" i="10"/>
  <c r="AB212" i="10"/>
  <c r="AB228" i="10" s="1"/>
  <c r="AB244" i="10" s="1"/>
  <c r="AA212" i="10"/>
  <c r="AA228" i="10" s="1"/>
  <c r="AA244" i="10" s="1"/>
  <c r="X212" i="10"/>
  <c r="W212" i="10"/>
  <c r="W228" i="10" s="1"/>
  <c r="W244" i="10" s="1"/>
  <c r="V212" i="10"/>
  <c r="V228" i="10" s="1"/>
  <c r="V244" i="10" s="1"/>
  <c r="U212" i="10"/>
  <c r="U228" i="10" s="1"/>
  <c r="U244" i="10" s="1"/>
  <c r="T212" i="10"/>
  <c r="T228" i="10" s="1"/>
  <c r="T244" i="10" s="1"/>
  <c r="S212" i="10"/>
  <c r="S228" i="10" s="1"/>
  <c r="R212" i="10"/>
  <c r="R228" i="10" s="1"/>
  <c r="Q212" i="10"/>
  <c r="Q228" i="10" s="1"/>
  <c r="P212" i="10"/>
  <c r="P228" i="10" s="1"/>
  <c r="O212" i="10"/>
  <c r="O228" i="10" s="1"/>
  <c r="N212" i="10"/>
  <c r="M212" i="10"/>
  <c r="L212" i="10"/>
  <c r="K212" i="10"/>
  <c r="J212" i="10"/>
  <c r="J228" i="10" s="1"/>
  <c r="J244" i="10" s="1"/>
  <c r="I212" i="10"/>
  <c r="H212" i="10"/>
  <c r="G212" i="10"/>
  <c r="F212" i="10"/>
  <c r="F228" i="10" s="1"/>
  <c r="F244" i="10" s="1"/>
  <c r="E212" i="10"/>
  <c r="E228" i="10" s="1"/>
  <c r="E244" i="10" s="1"/>
  <c r="D212" i="10"/>
  <c r="D228" i="10" s="1"/>
  <c r="C212" i="10"/>
  <c r="C228" i="10" s="1"/>
  <c r="C244" i="10" s="1"/>
  <c r="B212" i="10"/>
  <c r="AD211" i="10"/>
  <c r="AD227" i="10" s="1"/>
  <c r="AC211" i="10"/>
  <c r="AC227" i="10" s="1"/>
  <c r="AC243" i="10" s="1"/>
  <c r="AB211" i="10"/>
  <c r="AA211" i="10"/>
  <c r="AA227" i="10" s="1"/>
  <c r="AA243" i="10" s="1"/>
  <c r="X211" i="10"/>
  <c r="W211" i="10"/>
  <c r="V211" i="10"/>
  <c r="V227" i="10" s="1"/>
  <c r="V243" i="10" s="1"/>
  <c r="U211" i="10"/>
  <c r="U227" i="10" s="1"/>
  <c r="U243" i="10" s="1"/>
  <c r="T211" i="10"/>
  <c r="T227" i="10" s="1"/>
  <c r="S211" i="10"/>
  <c r="S227" i="10" s="1"/>
  <c r="S243" i="10" s="1"/>
  <c r="R211" i="10"/>
  <c r="Q211" i="10"/>
  <c r="Q227" i="10" s="1"/>
  <c r="Q243" i="10" s="1"/>
  <c r="P211" i="10"/>
  <c r="P227" i="10" s="1"/>
  <c r="O211" i="10"/>
  <c r="O227" i="10" s="1"/>
  <c r="N211" i="10"/>
  <c r="N227" i="10" s="1"/>
  <c r="N243" i="10" s="1"/>
  <c r="M211" i="10"/>
  <c r="L211" i="10"/>
  <c r="K211" i="10"/>
  <c r="K227" i="10" s="1"/>
  <c r="K243" i="10" s="1"/>
  <c r="J211" i="10"/>
  <c r="J227" i="10" s="1"/>
  <c r="J243" i="10" s="1"/>
  <c r="I211" i="10"/>
  <c r="I227" i="10" s="1"/>
  <c r="H211" i="10"/>
  <c r="G211" i="10"/>
  <c r="G227" i="10" s="1"/>
  <c r="G243" i="10" s="1"/>
  <c r="F211" i="10"/>
  <c r="F227" i="10" s="1"/>
  <c r="E211" i="10"/>
  <c r="E227" i="10" s="1"/>
  <c r="E243" i="10" s="1"/>
  <c r="D211" i="10"/>
  <c r="C211" i="10"/>
  <c r="B211" i="10"/>
  <c r="AD210" i="10"/>
  <c r="AD226" i="10" s="1"/>
  <c r="AC210" i="10"/>
  <c r="AC226" i="10" s="1"/>
  <c r="AB210" i="10"/>
  <c r="AA210" i="10"/>
  <c r="AA226" i="10" s="1"/>
  <c r="X210" i="10"/>
  <c r="W210" i="10"/>
  <c r="W226" i="10" s="1"/>
  <c r="W242" i="10" s="1"/>
  <c r="V210" i="10"/>
  <c r="V226" i="10" s="1"/>
  <c r="V242" i="10" s="1"/>
  <c r="U210" i="10"/>
  <c r="U226" i="10" s="1"/>
  <c r="U242" i="10" s="1"/>
  <c r="T210" i="10"/>
  <c r="T226" i="10" s="1"/>
  <c r="T242" i="10" s="1"/>
  <c r="S210" i="10"/>
  <c r="R210" i="10"/>
  <c r="Q210" i="10"/>
  <c r="P210" i="10"/>
  <c r="P226" i="10" s="1"/>
  <c r="P242" i="10" s="1"/>
  <c r="O210" i="10"/>
  <c r="O226" i="10" s="1"/>
  <c r="O242" i="10" s="1"/>
  <c r="N210" i="10"/>
  <c r="N226" i="10" s="1"/>
  <c r="M210" i="10"/>
  <c r="M226" i="10" s="1"/>
  <c r="M242" i="10" s="1"/>
  <c r="L210" i="10"/>
  <c r="K210" i="10"/>
  <c r="K226" i="10" s="1"/>
  <c r="K242" i="10" s="1"/>
  <c r="J210" i="10"/>
  <c r="J226" i="10" s="1"/>
  <c r="I210" i="10"/>
  <c r="I226" i="10" s="1"/>
  <c r="H210" i="10"/>
  <c r="H226" i="10" s="1"/>
  <c r="G210" i="10"/>
  <c r="G226" i="10" s="1"/>
  <c r="G242" i="10" s="1"/>
  <c r="F210" i="10"/>
  <c r="E210" i="10"/>
  <c r="E226" i="10" s="1"/>
  <c r="D210" i="10"/>
  <c r="D226" i="10" s="1"/>
  <c r="C210" i="10"/>
  <c r="C226" i="10" s="1"/>
  <c r="B210" i="10"/>
  <c r="B226" i="10" s="1"/>
  <c r="AD209" i="10"/>
  <c r="AD225" i="10" s="1"/>
  <c r="AD241" i="10" s="1"/>
  <c r="AC209" i="10"/>
  <c r="AC225" i="10" s="1"/>
  <c r="AC241" i="10" s="1"/>
  <c r="AB209" i="10"/>
  <c r="AA209" i="10"/>
  <c r="AA225" i="10" s="1"/>
  <c r="AA241" i="10" s="1"/>
  <c r="X209" i="10"/>
  <c r="X225" i="10" s="1"/>
  <c r="W209" i="10"/>
  <c r="W225" i="10" s="1"/>
  <c r="V209" i="10"/>
  <c r="V225" i="10" s="1"/>
  <c r="V241" i="10" s="1"/>
  <c r="U209" i="10"/>
  <c r="U225" i="10" s="1"/>
  <c r="T209" i="10"/>
  <c r="T225" i="10" s="1"/>
  <c r="S209" i="10"/>
  <c r="S225" i="10" s="1"/>
  <c r="R209" i="10"/>
  <c r="R225" i="10" s="1"/>
  <c r="Q209" i="10"/>
  <c r="P209" i="10"/>
  <c r="P225" i="10" s="1"/>
  <c r="P241" i="10" s="1"/>
  <c r="O209" i="10"/>
  <c r="O225" i="10" s="1"/>
  <c r="O241" i="10" s="1"/>
  <c r="N209" i="10"/>
  <c r="N225" i="10" s="1"/>
  <c r="M209" i="10"/>
  <c r="L209" i="10"/>
  <c r="K209" i="10"/>
  <c r="J209" i="10"/>
  <c r="J225" i="10" s="1"/>
  <c r="J241" i="10" s="1"/>
  <c r="I209" i="10"/>
  <c r="I225" i="10" s="1"/>
  <c r="I241" i="10" s="1"/>
  <c r="H209" i="10"/>
  <c r="H225" i="10" s="1"/>
  <c r="G209" i="10"/>
  <c r="G225" i="10" s="1"/>
  <c r="G241" i="10" s="1"/>
  <c r="F209" i="10"/>
  <c r="E209" i="10"/>
  <c r="E225" i="10" s="1"/>
  <c r="E241" i="10" s="1"/>
  <c r="D209" i="10"/>
  <c r="D225" i="10" s="1"/>
  <c r="D241" i="10" s="1"/>
  <c r="C209" i="10"/>
  <c r="C225" i="10" s="1"/>
  <c r="C241" i="10" s="1"/>
  <c r="B209" i="10"/>
  <c r="B225" i="10" s="1"/>
  <c r="AD208" i="10"/>
  <c r="AC208" i="10"/>
  <c r="AB208" i="10"/>
  <c r="AA208" i="10"/>
  <c r="X208" i="10"/>
  <c r="X224" i="10" s="1"/>
  <c r="W208" i="10"/>
  <c r="W224" i="10" s="1"/>
  <c r="W240" i="10" s="1"/>
  <c r="V208" i="10"/>
  <c r="U208" i="10"/>
  <c r="U224" i="10" s="1"/>
  <c r="T208" i="10"/>
  <c r="T224" i="10" s="1"/>
  <c r="T240" i="10" s="1"/>
  <c r="S208" i="10"/>
  <c r="S224" i="10" s="1"/>
  <c r="R208" i="10"/>
  <c r="R224" i="10" s="1"/>
  <c r="Q208" i="10"/>
  <c r="Q224" i="10" s="1"/>
  <c r="P208" i="10"/>
  <c r="P224" i="10" s="1"/>
  <c r="P240" i="10" s="1"/>
  <c r="O208" i="10"/>
  <c r="N208" i="10"/>
  <c r="N224" i="10" s="1"/>
  <c r="M208" i="10"/>
  <c r="L208" i="10"/>
  <c r="L224" i="10" s="1"/>
  <c r="L240" i="10" s="1"/>
  <c r="K208" i="10"/>
  <c r="K224" i="10" s="1"/>
  <c r="K240" i="10" s="1"/>
  <c r="J208" i="10"/>
  <c r="I208" i="10"/>
  <c r="I224" i="10" s="1"/>
  <c r="I240" i="10" s="1"/>
  <c r="H208" i="10"/>
  <c r="H224" i="10" s="1"/>
  <c r="G208" i="10"/>
  <c r="F208" i="10"/>
  <c r="E208" i="10"/>
  <c r="D208" i="10"/>
  <c r="D224" i="10" s="1"/>
  <c r="D240" i="10" s="1"/>
  <c r="C208" i="10"/>
  <c r="C224" i="10" s="1"/>
  <c r="C240" i="10" s="1"/>
  <c r="B208" i="10"/>
  <c r="B224" i="10" s="1"/>
  <c r="AD207" i="10"/>
  <c r="AD223" i="10" s="1"/>
  <c r="AD239" i="10" s="1"/>
  <c r="AC207" i="10"/>
  <c r="AB207" i="10"/>
  <c r="AA207" i="10"/>
  <c r="Y207" i="10"/>
  <c r="X207" i="10"/>
  <c r="W207" i="10"/>
  <c r="V207" i="10"/>
  <c r="U207" i="10"/>
  <c r="T207" i="10"/>
  <c r="T223" i="10" s="1"/>
  <c r="T239" i="10" s="1"/>
  <c r="S207" i="10"/>
  <c r="S223" i="10" s="1"/>
  <c r="S239" i="10" s="1"/>
  <c r="R207" i="10"/>
  <c r="R223" i="10" s="1"/>
  <c r="Q207" i="10"/>
  <c r="Q223" i="10" s="1"/>
  <c r="Q239" i="10" s="1"/>
  <c r="P207" i="10"/>
  <c r="O207" i="10"/>
  <c r="O223" i="10" s="1"/>
  <c r="N207" i="10"/>
  <c r="N223" i="10" s="1"/>
  <c r="M207" i="10"/>
  <c r="M223" i="10" s="1"/>
  <c r="M239" i="10" s="1"/>
  <c r="L207" i="10"/>
  <c r="L223" i="10" s="1"/>
  <c r="K207" i="10"/>
  <c r="J207" i="10"/>
  <c r="I207" i="10"/>
  <c r="H207" i="10"/>
  <c r="G207" i="10"/>
  <c r="F207" i="10"/>
  <c r="E207" i="10"/>
  <c r="E223" i="10" s="1"/>
  <c r="E239" i="10" s="1"/>
  <c r="D207" i="10"/>
  <c r="C207" i="10"/>
  <c r="B207" i="10"/>
  <c r="AM206" i="10"/>
  <c r="AL206" i="10"/>
  <c r="AK206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M190" i="10"/>
  <c r="AL190" i="10"/>
  <c r="AK190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M187" i="10"/>
  <c r="AM178" i="10" s="1"/>
  <c r="AL187" i="10"/>
  <c r="AK187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AA176" i="10" s="1"/>
  <c r="Y187" i="10"/>
  <c r="X187" i="10"/>
  <c r="W187" i="10"/>
  <c r="V187" i="10"/>
  <c r="U187" i="10"/>
  <c r="T187" i="10"/>
  <c r="S187" i="10"/>
  <c r="R187" i="10"/>
  <c r="Q187" i="10"/>
  <c r="Q178" i="10" s="1"/>
  <c r="P187" i="10"/>
  <c r="O187" i="10"/>
  <c r="N187" i="10"/>
  <c r="N176" i="10" s="1"/>
  <c r="M187" i="10"/>
  <c r="L187" i="10"/>
  <c r="K187" i="10"/>
  <c r="K176" i="10" s="1"/>
  <c r="J187" i="10"/>
  <c r="I187" i="10"/>
  <c r="H187" i="10"/>
  <c r="G187" i="10"/>
  <c r="F187" i="10"/>
  <c r="E187" i="10"/>
  <c r="D187" i="10"/>
  <c r="E176" i="10" s="1"/>
  <c r="C187" i="10"/>
  <c r="B187" i="10"/>
  <c r="U178" i="10"/>
  <c r="AM177" i="10"/>
  <c r="U177" i="10"/>
  <c r="T177" i="10"/>
  <c r="Q177" i="10"/>
  <c r="L177" i="10"/>
  <c r="H177" i="10"/>
  <c r="AM176" i="10"/>
  <c r="AK176" i="10"/>
  <c r="AB176" i="10"/>
  <c r="Z176" i="10"/>
  <c r="X176" i="10"/>
  <c r="V176" i="10"/>
  <c r="U176" i="10"/>
  <c r="T176" i="10"/>
  <c r="R176" i="10"/>
  <c r="Q176" i="10"/>
  <c r="M176" i="10"/>
  <c r="L176" i="10"/>
  <c r="J176" i="10"/>
  <c r="I176" i="10"/>
  <c r="H176" i="10"/>
  <c r="G176" i="10"/>
  <c r="F176" i="10"/>
  <c r="D176" i="10"/>
  <c r="AM175" i="10"/>
  <c r="AL175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R160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M156" i="10"/>
  <c r="AL156" i="10"/>
  <c r="AK156" i="10"/>
  <c r="AJ156" i="10"/>
  <c r="AI156" i="10"/>
  <c r="AH156" i="10"/>
  <c r="AG156" i="10"/>
  <c r="D156" i="10"/>
  <c r="C156" i="10"/>
  <c r="B156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AF152" i="10"/>
  <c r="AE152" i="10"/>
  <c r="AD152" i="10"/>
  <c r="AC152" i="10"/>
  <c r="AB152" i="10"/>
  <c r="AA152" i="10"/>
  <c r="Z152" i="10"/>
  <c r="Y152" i="10"/>
  <c r="Y156" i="10" s="1"/>
  <c r="Y27" i="10" s="1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E156" i="10" s="1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U156" i="10" s="1"/>
  <c r="U27" i="10" s="1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AF148" i="10"/>
  <c r="AE148" i="10"/>
  <c r="AD148" i="10"/>
  <c r="AC148" i="10"/>
  <c r="AB148" i="10"/>
  <c r="AA148" i="10"/>
  <c r="Z148" i="10"/>
  <c r="Y148" i="10"/>
  <c r="X148" i="10"/>
  <c r="X156" i="10" s="1"/>
  <c r="X27" i="10" s="1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V156" i="10" s="1"/>
  <c r="V27" i="10" s="1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G156" i="10" s="1"/>
  <c r="G27" i="10" s="1"/>
  <c r="F146" i="10"/>
  <c r="AG145" i="10"/>
  <c r="AF145" i="10"/>
  <c r="AE145" i="10"/>
  <c r="AD145" i="10"/>
  <c r="AC145" i="10"/>
  <c r="AB145" i="10"/>
  <c r="AA145" i="10"/>
  <c r="Z145" i="10"/>
  <c r="Y145" i="10"/>
  <c r="X145" i="10"/>
  <c r="W145" i="10"/>
  <c r="W156" i="10" s="1"/>
  <c r="W27" i="10" s="1"/>
  <c r="V145" i="10"/>
  <c r="U145" i="10"/>
  <c r="T145" i="10"/>
  <c r="T156" i="10" s="1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M140" i="10"/>
  <c r="AL140" i="10"/>
  <c r="AK140" i="10"/>
  <c r="AJ140" i="10"/>
  <c r="AI140" i="10"/>
  <c r="AH140" i="10"/>
  <c r="AG140" i="10"/>
  <c r="F140" i="10"/>
  <c r="D140" i="10"/>
  <c r="C140" i="10"/>
  <c r="B140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K140" i="10" s="1"/>
  <c r="J137" i="10"/>
  <c r="I137" i="10"/>
  <c r="H137" i="10"/>
  <c r="G137" i="10"/>
  <c r="F137" i="10"/>
  <c r="E137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E140" i="10" s="1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AF132" i="10"/>
  <c r="AE132" i="10"/>
  <c r="AD132" i="10"/>
  <c r="AC132" i="10"/>
  <c r="AB132" i="10"/>
  <c r="AA132" i="10"/>
  <c r="Z132" i="10"/>
  <c r="Y132" i="10"/>
  <c r="X132" i="10"/>
  <c r="X140" i="10" s="1"/>
  <c r="X24" i="10" s="1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I140" i="10" s="1"/>
  <c r="H128" i="10"/>
  <c r="G128" i="10"/>
  <c r="F128" i="10"/>
  <c r="AM127" i="10"/>
  <c r="AL127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F123" i="10"/>
  <c r="AE123" i="10"/>
  <c r="AD123" i="10"/>
  <c r="AD107" i="10" s="1"/>
  <c r="AC123" i="10"/>
  <c r="AC107" i="10" s="1"/>
  <c r="AB123" i="10"/>
  <c r="AB107" i="10" s="1"/>
  <c r="AA123" i="10"/>
  <c r="Z123" i="10"/>
  <c r="Y123" i="10"/>
  <c r="X123" i="10"/>
  <c r="X107" i="10" s="1"/>
  <c r="W123" i="10"/>
  <c r="V123" i="10"/>
  <c r="U123" i="10"/>
  <c r="T123" i="10"/>
  <c r="S123" i="10"/>
  <c r="R123" i="10"/>
  <c r="Q123" i="10"/>
  <c r="P123" i="10"/>
  <c r="O123" i="10"/>
  <c r="N123" i="10"/>
  <c r="M123" i="10"/>
  <c r="M107" i="10" s="1"/>
  <c r="L123" i="10"/>
  <c r="L107" i="10" s="1"/>
  <c r="K123" i="10"/>
  <c r="K107" i="10" s="1"/>
  <c r="J123" i="10"/>
  <c r="J107" i="10" s="1"/>
  <c r="I123" i="10"/>
  <c r="I107" i="10" s="1"/>
  <c r="H123" i="10"/>
  <c r="H107" i="10" s="1"/>
  <c r="G123" i="10"/>
  <c r="G107" i="10" s="1"/>
  <c r="F123" i="10"/>
  <c r="F107" i="10" s="1"/>
  <c r="E123" i="10"/>
  <c r="D123" i="10"/>
  <c r="C123" i="10"/>
  <c r="B123" i="10"/>
  <c r="B107" i="10" s="1"/>
  <c r="AF122" i="10"/>
  <c r="AE122" i="10"/>
  <c r="AD122" i="10"/>
  <c r="AC122" i="10"/>
  <c r="AB122" i="10"/>
  <c r="AB106" i="10" s="1"/>
  <c r="AA122" i="10"/>
  <c r="Z122" i="10"/>
  <c r="Y122" i="10"/>
  <c r="X122" i="10"/>
  <c r="X106" i="10" s="1"/>
  <c r="W122" i="10"/>
  <c r="W106" i="10" s="1"/>
  <c r="V122" i="10"/>
  <c r="V106" i="10" s="1"/>
  <c r="U122" i="10"/>
  <c r="T122" i="10"/>
  <c r="S122" i="10"/>
  <c r="R122" i="10"/>
  <c r="R106" i="10" s="1"/>
  <c r="Q122" i="10"/>
  <c r="P122" i="10"/>
  <c r="O122" i="10"/>
  <c r="N122" i="10"/>
  <c r="M122" i="10"/>
  <c r="L122" i="10"/>
  <c r="L106" i="10" s="1"/>
  <c r="K122" i="10"/>
  <c r="J122" i="10"/>
  <c r="I122" i="10"/>
  <c r="H122" i="10"/>
  <c r="H106" i="10" s="1"/>
  <c r="G122" i="10"/>
  <c r="F122" i="10"/>
  <c r="E122" i="10"/>
  <c r="D122" i="10"/>
  <c r="C122" i="10"/>
  <c r="B122" i="10"/>
  <c r="B106" i="10" s="1"/>
  <c r="AF121" i="10"/>
  <c r="AE121" i="10"/>
  <c r="AD121" i="10"/>
  <c r="AC121" i="10"/>
  <c r="AB121" i="10"/>
  <c r="AB105" i="10" s="1"/>
  <c r="AA121" i="10"/>
  <c r="Z121" i="10"/>
  <c r="Y121" i="10"/>
  <c r="X121" i="10"/>
  <c r="X105" i="10" s="1"/>
  <c r="W121" i="10"/>
  <c r="V121" i="10"/>
  <c r="V105" i="10" s="1"/>
  <c r="U121" i="10"/>
  <c r="T121" i="10"/>
  <c r="T105" i="10" s="1"/>
  <c r="S121" i="10"/>
  <c r="S105" i="10" s="1"/>
  <c r="R121" i="10"/>
  <c r="R105" i="10" s="1"/>
  <c r="Q121" i="10"/>
  <c r="Q105" i="10" s="1"/>
  <c r="P121" i="10"/>
  <c r="O121" i="10"/>
  <c r="N121" i="10"/>
  <c r="M121" i="10"/>
  <c r="L121" i="10"/>
  <c r="L105" i="10" s="1"/>
  <c r="K121" i="10"/>
  <c r="J121" i="10"/>
  <c r="I121" i="10"/>
  <c r="H121" i="10"/>
  <c r="G121" i="10"/>
  <c r="F121" i="10"/>
  <c r="E121" i="10"/>
  <c r="D121" i="10"/>
  <c r="C121" i="10"/>
  <c r="B121" i="10"/>
  <c r="AF120" i="10"/>
  <c r="AE120" i="10"/>
  <c r="AD120" i="10"/>
  <c r="AC120" i="10"/>
  <c r="AB120" i="10"/>
  <c r="AB104" i="10" s="1"/>
  <c r="AA120" i="10"/>
  <c r="Z120" i="10"/>
  <c r="Y120" i="10"/>
  <c r="X120" i="10"/>
  <c r="W120" i="10"/>
  <c r="V120" i="10"/>
  <c r="V104" i="10" s="1"/>
  <c r="U120" i="10"/>
  <c r="T120" i="10"/>
  <c r="S120" i="10"/>
  <c r="R120" i="10"/>
  <c r="Q120" i="10"/>
  <c r="P120" i="10"/>
  <c r="O120" i="10"/>
  <c r="N120" i="10"/>
  <c r="M120" i="10"/>
  <c r="M104" i="10" s="1"/>
  <c r="L120" i="10"/>
  <c r="L104" i="10" s="1"/>
  <c r="K120" i="10"/>
  <c r="K104" i="10" s="1"/>
  <c r="J120" i="10"/>
  <c r="I120" i="10"/>
  <c r="H120" i="10"/>
  <c r="G120" i="10"/>
  <c r="F120" i="10"/>
  <c r="F104" i="10" s="1"/>
  <c r="E120" i="10"/>
  <c r="D120" i="10"/>
  <c r="C120" i="10"/>
  <c r="B120" i="10"/>
  <c r="AF119" i="10"/>
  <c r="AE119" i="10"/>
  <c r="AD119" i="10"/>
  <c r="AC119" i="10"/>
  <c r="AC103" i="10" s="1"/>
  <c r="AB119" i="10"/>
  <c r="AB103" i="10" s="1"/>
  <c r="AA119" i="10"/>
  <c r="AA103" i="10" s="1"/>
  <c r="Z119" i="10"/>
  <c r="Y119" i="10"/>
  <c r="X119" i="10"/>
  <c r="W119" i="10"/>
  <c r="V119" i="10"/>
  <c r="V103" i="10" s="1"/>
  <c r="U119" i="10"/>
  <c r="T119" i="10"/>
  <c r="S119" i="10"/>
  <c r="R119" i="10"/>
  <c r="Q119" i="10"/>
  <c r="P119" i="10"/>
  <c r="P103" i="10" s="1"/>
  <c r="O119" i="10"/>
  <c r="N119" i="10"/>
  <c r="M119" i="10"/>
  <c r="M103" i="10" s="1"/>
  <c r="L119" i="10"/>
  <c r="K119" i="10"/>
  <c r="J119" i="10"/>
  <c r="I119" i="10"/>
  <c r="I103" i="10" s="1"/>
  <c r="H119" i="10"/>
  <c r="G119" i="10"/>
  <c r="G103" i="10" s="1"/>
  <c r="F119" i="10"/>
  <c r="F103" i="10" s="1"/>
  <c r="E119" i="10"/>
  <c r="E103" i="10" s="1"/>
  <c r="D119" i="10"/>
  <c r="C119" i="10"/>
  <c r="B119" i="10"/>
  <c r="AF118" i="10"/>
  <c r="AE118" i="10"/>
  <c r="AD118" i="10"/>
  <c r="AC118" i="10"/>
  <c r="AB118" i="10"/>
  <c r="AB102" i="10" s="1"/>
  <c r="AA118" i="10"/>
  <c r="AA102" i="10" s="1"/>
  <c r="Z118" i="10"/>
  <c r="Y118" i="10"/>
  <c r="X118" i="10"/>
  <c r="X102" i="10" s="1"/>
  <c r="W118" i="10"/>
  <c r="W102" i="10" s="1"/>
  <c r="V118" i="10"/>
  <c r="V102" i="10" s="1"/>
  <c r="U118" i="10"/>
  <c r="U102" i="10" s="1"/>
  <c r="T118" i="10"/>
  <c r="T245" i="10" s="1"/>
  <c r="S118" i="10"/>
  <c r="R118" i="10"/>
  <c r="Q118" i="10"/>
  <c r="P118" i="10"/>
  <c r="P102" i="10" s="1"/>
  <c r="O118" i="10"/>
  <c r="N118" i="10"/>
  <c r="M118" i="10"/>
  <c r="L118" i="10"/>
  <c r="K118" i="10"/>
  <c r="J118" i="10"/>
  <c r="J102" i="10" s="1"/>
  <c r="I118" i="10"/>
  <c r="H118" i="10"/>
  <c r="G118" i="10"/>
  <c r="F118" i="10"/>
  <c r="E118" i="10"/>
  <c r="D118" i="10"/>
  <c r="C118" i="10"/>
  <c r="C245" i="10" s="1"/>
  <c r="B118" i="10"/>
  <c r="B102" i="10" s="1"/>
  <c r="AF117" i="10"/>
  <c r="AE117" i="10"/>
  <c r="AD117" i="10"/>
  <c r="AC117" i="10"/>
  <c r="AB117" i="10"/>
  <c r="AA117" i="10"/>
  <c r="Z117" i="10"/>
  <c r="Y117" i="10"/>
  <c r="X117" i="10"/>
  <c r="W117" i="10"/>
  <c r="W101" i="10" s="1"/>
  <c r="V117" i="10"/>
  <c r="V101" i="10" s="1"/>
  <c r="U117" i="10"/>
  <c r="U101" i="10" s="1"/>
  <c r="T117" i="10"/>
  <c r="S117" i="10"/>
  <c r="S101" i="10" s="1"/>
  <c r="R117" i="10"/>
  <c r="R101" i="10" s="1"/>
  <c r="Q117" i="10"/>
  <c r="Q101" i="10" s="1"/>
  <c r="P117" i="10"/>
  <c r="P101" i="10" s="1"/>
  <c r="O117" i="10"/>
  <c r="O101" i="10" s="1"/>
  <c r="N117" i="10"/>
  <c r="M117" i="10"/>
  <c r="L117" i="10"/>
  <c r="K117" i="10"/>
  <c r="J117" i="10"/>
  <c r="J101" i="10" s="1"/>
  <c r="I117" i="10"/>
  <c r="H117" i="10"/>
  <c r="G117" i="10"/>
  <c r="F117" i="10"/>
  <c r="E117" i="10"/>
  <c r="D117" i="10"/>
  <c r="D101" i="10" s="1"/>
  <c r="C117" i="10"/>
  <c r="B117" i="10"/>
  <c r="AF116" i="10"/>
  <c r="AE116" i="10"/>
  <c r="AD116" i="10"/>
  <c r="AD100" i="10" s="1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N100" i="10" s="1"/>
  <c r="M116" i="10"/>
  <c r="M100" i="10" s="1"/>
  <c r="L116" i="10"/>
  <c r="L100" i="10" s="1"/>
  <c r="K116" i="10"/>
  <c r="K100" i="10" s="1"/>
  <c r="J116" i="10"/>
  <c r="J100" i="10" s="1"/>
  <c r="I116" i="10"/>
  <c r="I100" i="10" s="1"/>
  <c r="H116" i="10"/>
  <c r="H100" i="10" s="1"/>
  <c r="G116" i="10"/>
  <c r="F116" i="10"/>
  <c r="E116" i="10"/>
  <c r="D116" i="10"/>
  <c r="D100" i="10" s="1"/>
  <c r="C116" i="10"/>
  <c r="B116" i="10"/>
  <c r="AF115" i="10"/>
  <c r="AE115" i="10"/>
  <c r="AD115" i="10"/>
  <c r="AD99" i="10" s="1"/>
  <c r="AC115" i="10"/>
  <c r="AB115" i="10"/>
  <c r="AA115" i="10"/>
  <c r="AA99" i="10" s="1"/>
  <c r="Z115" i="10"/>
  <c r="Y115" i="10"/>
  <c r="X115" i="10"/>
  <c r="X99" i="10" s="1"/>
  <c r="W115" i="10"/>
  <c r="V115" i="10"/>
  <c r="U115" i="10"/>
  <c r="T115" i="10"/>
  <c r="T99" i="10" s="1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H242" i="10" s="1"/>
  <c r="G115" i="10"/>
  <c r="F115" i="10"/>
  <c r="E115" i="10"/>
  <c r="E99" i="10" s="1"/>
  <c r="D115" i="10"/>
  <c r="D99" i="10" s="1"/>
  <c r="C115" i="10"/>
  <c r="C99" i="10" s="1"/>
  <c r="B115" i="10"/>
  <c r="AF114" i="10"/>
  <c r="AE114" i="10"/>
  <c r="AD114" i="10"/>
  <c r="AD98" i="10" s="1"/>
  <c r="AC114" i="10"/>
  <c r="AB114" i="10"/>
  <c r="AA114" i="10"/>
  <c r="AA98" i="10" s="1"/>
  <c r="Z114" i="10"/>
  <c r="Y114" i="10"/>
  <c r="X114" i="10"/>
  <c r="X241" i="10" s="1"/>
  <c r="W114" i="10"/>
  <c r="W241" i="10" s="1"/>
  <c r="V114" i="10"/>
  <c r="U114" i="10"/>
  <c r="U98" i="10" s="1"/>
  <c r="T114" i="10"/>
  <c r="T241" i="10" s="1"/>
  <c r="S114" i="10"/>
  <c r="S98" i="10" s="1"/>
  <c r="R114" i="10"/>
  <c r="Q114" i="10"/>
  <c r="P114" i="10"/>
  <c r="O114" i="10"/>
  <c r="N114" i="10"/>
  <c r="N98" i="10" s="1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B241" i="10" s="1"/>
  <c r="AF113" i="10"/>
  <c r="AE113" i="10"/>
  <c r="AD113" i="10"/>
  <c r="AD97" i="10" s="1"/>
  <c r="AC113" i="10"/>
  <c r="AB113" i="10"/>
  <c r="AB97" i="10" s="1"/>
  <c r="AA113" i="10"/>
  <c r="Z113" i="10"/>
  <c r="Y113" i="10"/>
  <c r="X113" i="10"/>
  <c r="X97" i="10" s="1"/>
  <c r="W113" i="10"/>
  <c r="V113" i="10"/>
  <c r="U113" i="10"/>
  <c r="U97" i="10" s="1"/>
  <c r="T113" i="10"/>
  <c r="S113" i="10"/>
  <c r="R113" i="10"/>
  <c r="Q113" i="10"/>
  <c r="P113" i="10"/>
  <c r="P97" i="10" s="1"/>
  <c r="O113" i="10"/>
  <c r="O97" i="10" s="1"/>
  <c r="N113" i="10"/>
  <c r="N240" i="10" s="1"/>
  <c r="M113" i="10"/>
  <c r="M97" i="10" s="1"/>
  <c r="L113" i="10"/>
  <c r="L97" i="10" s="1"/>
  <c r="K113" i="10"/>
  <c r="J113" i="10"/>
  <c r="I113" i="10"/>
  <c r="H113" i="10"/>
  <c r="H97" i="10" s="1"/>
  <c r="G113" i="10"/>
  <c r="F113" i="10"/>
  <c r="F97" i="10" s="1"/>
  <c r="E113" i="10"/>
  <c r="D113" i="10"/>
  <c r="C113" i="10"/>
  <c r="B113" i="10"/>
  <c r="B97" i="10" s="1"/>
  <c r="AF112" i="10"/>
  <c r="AE112" i="10"/>
  <c r="AD112" i="10"/>
  <c r="AC112" i="10"/>
  <c r="AC96" i="10" s="1"/>
  <c r="AB112" i="10"/>
  <c r="AA112" i="10"/>
  <c r="Z112" i="10"/>
  <c r="Y112" i="10"/>
  <c r="X112" i="10"/>
  <c r="X96" i="10" s="1"/>
  <c r="X160" i="10" s="1"/>
  <c r="W112" i="10"/>
  <c r="V112" i="10"/>
  <c r="V96" i="10" s="1"/>
  <c r="V160" i="10" s="1"/>
  <c r="U112" i="10"/>
  <c r="T112" i="10"/>
  <c r="S112" i="10"/>
  <c r="R112" i="10"/>
  <c r="R96" i="10" s="1"/>
  <c r="Q112" i="10"/>
  <c r="P112" i="10"/>
  <c r="O112" i="10"/>
  <c r="O96" i="10" s="1"/>
  <c r="N112" i="10"/>
  <c r="N96" i="10" s="1"/>
  <c r="M112" i="10"/>
  <c r="L112" i="10"/>
  <c r="K112" i="10"/>
  <c r="J112" i="10"/>
  <c r="I112" i="10"/>
  <c r="I96" i="10" s="1"/>
  <c r="H112" i="10"/>
  <c r="G112" i="10"/>
  <c r="G96" i="10" s="1"/>
  <c r="F112" i="10"/>
  <c r="E112" i="10"/>
  <c r="D112" i="10"/>
  <c r="C112" i="10"/>
  <c r="B112" i="10"/>
  <c r="B96" i="10" s="1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V108" i="10"/>
  <c r="V23" i="10" s="1"/>
  <c r="U108" i="10"/>
  <c r="U23" i="10" s="1"/>
  <c r="S108" i="10"/>
  <c r="S23" i="10" s="1"/>
  <c r="Q108" i="10"/>
  <c r="Q23" i="10" s="1"/>
  <c r="AA107" i="10"/>
  <c r="Z107" i="10"/>
  <c r="W107" i="10"/>
  <c r="V107" i="10"/>
  <c r="U107" i="10"/>
  <c r="T107" i="10"/>
  <c r="S107" i="10"/>
  <c r="R107" i="10"/>
  <c r="Q107" i="10"/>
  <c r="P107" i="10"/>
  <c r="O107" i="10"/>
  <c r="N107" i="10"/>
  <c r="E107" i="10"/>
  <c r="D107" i="10"/>
  <c r="C107" i="10"/>
  <c r="AE106" i="10"/>
  <c r="AD106" i="10"/>
  <c r="AC106" i="10"/>
  <c r="AA106" i="10"/>
  <c r="Z106" i="10"/>
  <c r="U106" i="10"/>
  <c r="T106" i="10"/>
  <c r="S106" i="10"/>
  <c r="Q106" i="10"/>
  <c r="P106" i="10"/>
  <c r="O106" i="10"/>
  <c r="N106" i="10"/>
  <c r="M106" i="10"/>
  <c r="K106" i="10"/>
  <c r="J106" i="10"/>
  <c r="I106" i="10"/>
  <c r="G106" i="10"/>
  <c r="F106" i="10"/>
  <c r="E106" i="10"/>
  <c r="D106" i="10"/>
  <c r="AD105" i="10"/>
  <c r="AC105" i="10"/>
  <c r="AA105" i="10"/>
  <c r="Z105" i="10"/>
  <c r="W105" i="10"/>
  <c r="U105" i="10"/>
  <c r="P105" i="10"/>
  <c r="O105" i="10"/>
  <c r="N105" i="10"/>
  <c r="M105" i="10"/>
  <c r="K105" i="10"/>
  <c r="J105" i="10"/>
  <c r="I105" i="10"/>
  <c r="H105" i="10"/>
  <c r="G105" i="10"/>
  <c r="F105" i="10"/>
  <c r="E105" i="10"/>
  <c r="D105" i="10"/>
  <c r="C105" i="10"/>
  <c r="B105" i="10"/>
  <c r="AD104" i="10"/>
  <c r="AC104" i="10"/>
  <c r="AA104" i="10"/>
  <c r="X104" i="10"/>
  <c r="W104" i="10"/>
  <c r="U104" i="10"/>
  <c r="T104" i="10"/>
  <c r="S104" i="10"/>
  <c r="R104" i="10"/>
  <c r="Q104" i="10"/>
  <c r="P104" i="10"/>
  <c r="O104" i="10"/>
  <c r="N104" i="10"/>
  <c r="J104" i="10"/>
  <c r="I104" i="10"/>
  <c r="H104" i="10"/>
  <c r="G104" i="10"/>
  <c r="E104" i="10"/>
  <c r="D104" i="10"/>
  <c r="C104" i="10"/>
  <c r="B104" i="10"/>
  <c r="AD103" i="10"/>
  <c r="X103" i="10"/>
  <c r="W103" i="10"/>
  <c r="U103" i="10"/>
  <c r="T103" i="10"/>
  <c r="S103" i="10"/>
  <c r="R103" i="10"/>
  <c r="Q103" i="10"/>
  <c r="O103" i="10"/>
  <c r="N103" i="10"/>
  <c r="L103" i="10"/>
  <c r="J103" i="10"/>
  <c r="H103" i="10"/>
  <c r="D103" i="10"/>
  <c r="C103" i="10"/>
  <c r="B103" i="10"/>
  <c r="AD102" i="10"/>
  <c r="AC102" i="10"/>
  <c r="T102" i="10"/>
  <c r="S102" i="10"/>
  <c r="R102" i="10"/>
  <c r="Q102" i="10"/>
  <c r="O102" i="10"/>
  <c r="N102" i="10"/>
  <c r="M102" i="10"/>
  <c r="L102" i="10"/>
  <c r="K102" i="10"/>
  <c r="I102" i="10"/>
  <c r="H102" i="10"/>
  <c r="G102" i="10"/>
  <c r="F102" i="10"/>
  <c r="E102" i="10"/>
  <c r="D102" i="10"/>
  <c r="C102" i="10"/>
  <c r="AD101" i="10"/>
  <c r="AC101" i="10"/>
  <c r="AB101" i="10"/>
  <c r="AA101" i="10"/>
  <c r="X101" i="10"/>
  <c r="T101" i="10"/>
  <c r="M101" i="10"/>
  <c r="L101" i="10"/>
  <c r="K101" i="10"/>
  <c r="I101" i="10"/>
  <c r="H101" i="10"/>
  <c r="G101" i="10"/>
  <c r="F101" i="10"/>
  <c r="E101" i="10"/>
  <c r="C101" i="10"/>
  <c r="B101" i="10"/>
  <c r="AC100" i="10"/>
  <c r="AB100" i="10"/>
  <c r="AA100" i="10"/>
  <c r="X100" i="10"/>
  <c r="W100" i="10"/>
  <c r="V100" i="10"/>
  <c r="U100" i="10"/>
  <c r="T100" i="10"/>
  <c r="S100" i="10"/>
  <c r="R100" i="10"/>
  <c r="Q100" i="10"/>
  <c r="P100" i="10"/>
  <c r="G100" i="10"/>
  <c r="F100" i="10"/>
  <c r="E100" i="10"/>
  <c r="C100" i="10"/>
  <c r="B100" i="10"/>
  <c r="AC99" i="10"/>
  <c r="AB99" i="10"/>
  <c r="W99" i="10"/>
  <c r="V99" i="10"/>
  <c r="U99" i="10"/>
  <c r="S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B99" i="10"/>
  <c r="AC98" i="10"/>
  <c r="AB98" i="10"/>
  <c r="X98" i="10"/>
  <c r="W98" i="10"/>
  <c r="V98" i="10"/>
  <c r="R98" i="10"/>
  <c r="Q98" i="10"/>
  <c r="P98" i="10"/>
  <c r="O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C97" i="10"/>
  <c r="AA97" i="10"/>
  <c r="W97" i="10"/>
  <c r="V97" i="10"/>
  <c r="T97" i="10"/>
  <c r="S97" i="10"/>
  <c r="R97" i="10"/>
  <c r="Q97" i="10"/>
  <c r="Q161" i="10" s="1"/>
  <c r="N97" i="10"/>
  <c r="K97" i="10"/>
  <c r="J97" i="10"/>
  <c r="I97" i="10"/>
  <c r="G97" i="10"/>
  <c r="E97" i="10"/>
  <c r="D97" i="10"/>
  <c r="C97" i="10"/>
  <c r="AD96" i="10"/>
  <c r="AB96" i="10"/>
  <c r="AA96" i="10"/>
  <c r="Y96" i="10"/>
  <c r="W96" i="10"/>
  <c r="U96" i="10"/>
  <c r="T96" i="10"/>
  <c r="T160" i="10" s="1"/>
  <c r="S96" i="10"/>
  <c r="Q96" i="10"/>
  <c r="Q160" i="10" s="1"/>
  <c r="P96" i="10"/>
  <c r="M96" i="10"/>
  <c r="L96" i="10"/>
  <c r="K96" i="10"/>
  <c r="J96" i="10"/>
  <c r="J160" i="10" s="1"/>
  <c r="H96" i="10"/>
  <c r="F96" i="10"/>
  <c r="F160" i="10" s="1"/>
  <c r="E96" i="10"/>
  <c r="E160" i="10" s="1"/>
  <c r="D96" i="10"/>
  <c r="C96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X94" i="10"/>
  <c r="AN92" i="10"/>
  <c r="AM92" i="10"/>
  <c r="AL92" i="10"/>
  <c r="AK92" i="10"/>
  <c r="AJ92" i="10"/>
  <c r="AI92" i="10"/>
  <c r="AH92" i="10"/>
  <c r="AG92" i="10"/>
  <c r="AF92" i="10"/>
  <c r="AE92" i="10"/>
  <c r="AD92" i="10"/>
  <c r="AC92" i="10"/>
  <c r="AB92" i="10"/>
  <c r="W92" i="10"/>
  <c r="V92" i="10"/>
  <c r="U92" i="10"/>
  <c r="T92" i="10"/>
  <c r="S92" i="10"/>
  <c r="R92" i="10"/>
  <c r="Q92" i="10"/>
  <c r="Q12" i="10" s="1"/>
  <c r="P92" i="10"/>
  <c r="O92" i="10"/>
  <c r="O12" i="10" s="1"/>
  <c r="N92" i="10"/>
  <c r="M92" i="10"/>
  <c r="L92" i="10"/>
  <c r="K92" i="10"/>
  <c r="K12" i="10" s="1"/>
  <c r="J92" i="10"/>
  <c r="I92" i="10"/>
  <c r="H92" i="10"/>
  <c r="G92" i="10"/>
  <c r="F92" i="10"/>
  <c r="E92" i="10"/>
  <c r="D92" i="10"/>
  <c r="C92" i="10"/>
  <c r="B92" i="10"/>
  <c r="Z88" i="10"/>
  <c r="Z86" i="10"/>
  <c r="Y86" i="10"/>
  <c r="AG81" i="10"/>
  <c r="AF80" i="10"/>
  <c r="Z80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M76" i="10"/>
  <c r="AL76" i="10"/>
  <c r="AK76" i="10"/>
  <c r="AJ76" i="10"/>
  <c r="AI76" i="10"/>
  <c r="AH76" i="10"/>
  <c r="AG76" i="10"/>
  <c r="D76" i="10"/>
  <c r="C76" i="10"/>
  <c r="B76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AG67" i="10"/>
  <c r="AF67" i="10"/>
  <c r="AF76" i="10" s="1"/>
  <c r="AF13" i="10" s="1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N76" i="10" s="1"/>
  <c r="N13" i="10" s="1"/>
  <c r="M67" i="10"/>
  <c r="L67" i="10"/>
  <c r="K67" i="10"/>
  <c r="J67" i="10"/>
  <c r="I67" i="10"/>
  <c r="H67" i="10"/>
  <c r="G67" i="10"/>
  <c r="F67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AG65" i="10"/>
  <c r="AF65" i="10"/>
  <c r="AE65" i="10"/>
  <c r="AD65" i="10"/>
  <c r="AC65" i="10"/>
  <c r="AB65" i="10"/>
  <c r="AA65" i="10"/>
  <c r="Z65" i="10"/>
  <c r="Z76" i="10" s="1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L76" i="10" s="1"/>
  <c r="L13" i="10" s="1"/>
  <c r="K64" i="10"/>
  <c r="K76" i="10" s="1"/>
  <c r="K13" i="10" s="1"/>
  <c r="J64" i="10"/>
  <c r="I64" i="10"/>
  <c r="H64" i="10"/>
  <c r="G64" i="10"/>
  <c r="F64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M60" i="10"/>
  <c r="AL60" i="10"/>
  <c r="AK60" i="10"/>
  <c r="AJ60" i="10"/>
  <c r="AI60" i="10"/>
  <c r="AH60" i="10"/>
  <c r="AG60" i="10"/>
  <c r="D60" i="10"/>
  <c r="C60" i="10"/>
  <c r="B60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AG49" i="10"/>
  <c r="AF49" i="10"/>
  <c r="AE49" i="10"/>
  <c r="AD49" i="10"/>
  <c r="AC49" i="10"/>
  <c r="AB49" i="10"/>
  <c r="AA49" i="10"/>
  <c r="AA60" i="10" s="1"/>
  <c r="AA10" i="10" s="1"/>
  <c r="Z49" i="10"/>
  <c r="Y49" i="10"/>
  <c r="X49" i="10"/>
  <c r="X60" i="10" s="1"/>
  <c r="X10" i="10" s="1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AG48" i="10"/>
  <c r="AF48" i="10"/>
  <c r="AE48" i="10"/>
  <c r="AD48" i="10"/>
  <c r="AC48" i="10"/>
  <c r="AB48" i="10"/>
  <c r="AA48" i="10"/>
  <c r="Z48" i="10"/>
  <c r="Y48" i="10"/>
  <c r="X48" i="10"/>
  <c r="W48" i="10"/>
  <c r="W60" i="10" s="1"/>
  <c r="W10" i="10" s="1"/>
  <c r="V48" i="10"/>
  <c r="V60" i="10" s="1"/>
  <c r="V10" i="10" s="1"/>
  <c r="U48" i="10"/>
  <c r="U60" i="10" s="1"/>
  <c r="U10" i="10" s="1"/>
  <c r="U11" i="10" s="1"/>
  <c r="U16" i="10" s="1"/>
  <c r="T48" i="10"/>
  <c r="T60" i="10" s="1"/>
  <c r="T10" i="10" s="1"/>
  <c r="T11" i="10" s="1"/>
  <c r="T16" i="10" s="1"/>
  <c r="S48" i="10"/>
  <c r="S60" i="10" s="1"/>
  <c r="S10" i="10" s="1"/>
  <c r="S11" i="10" s="1"/>
  <c r="S16" i="10" s="1"/>
  <c r="R48" i="10"/>
  <c r="Q48" i="10"/>
  <c r="Q60" i="10" s="1"/>
  <c r="Q10" i="10" s="1"/>
  <c r="P48" i="10"/>
  <c r="P60" i="10" s="1"/>
  <c r="P10" i="10" s="1"/>
  <c r="P11" i="10" s="1"/>
  <c r="P16" i="10" s="1"/>
  <c r="O48" i="10"/>
  <c r="N48" i="10"/>
  <c r="M48" i="10"/>
  <c r="L48" i="10"/>
  <c r="K48" i="10"/>
  <c r="J48" i="10"/>
  <c r="I48" i="10"/>
  <c r="H48" i="10"/>
  <c r="G48" i="10"/>
  <c r="F48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W46" i="10"/>
  <c r="O40" i="10"/>
  <c r="L40" i="10"/>
  <c r="I40" i="10"/>
  <c r="R34" i="10"/>
  <c r="N34" i="10"/>
  <c r="M34" i="10"/>
  <c r="AM32" i="10"/>
  <c r="AL32" i="10"/>
  <c r="AK32" i="10"/>
  <c r="AJ32" i="10"/>
  <c r="AI32" i="10"/>
  <c r="AH32" i="10"/>
  <c r="AG32" i="10"/>
  <c r="AF32" i="10"/>
  <c r="AE32" i="10"/>
  <c r="AD32" i="10"/>
  <c r="AD304" i="10" s="1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T27" i="10"/>
  <c r="K24" i="10"/>
  <c r="I24" i="10"/>
  <c r="F24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O3" i="2" s="1"/>
  <c r="N22" i="10"/>
  <c r="N3" i="2" s="1"/>
  <c r="M22" i="10"/>
  <c r="M3" i="2" s="1"/>
  <c r="L22" i="10"/>
  <c r="K22" i="10"/>
  <c r="J22" i="10"/>
  <c r="I22" i="10"/>
  <c r="H22" i="10"/>
  <c r="G22" i="10"/>
  <c r="F22" i="10"/>
  <c r="E22" i="10"/>
  <c r="D22" i="10"/>
  <c r="C22" i="10"/>
  <c r="AD21" i="10"/>
  <c r="AC21" i="10"/>
  <c r="AB21" i="10"/>
  <c r="AA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P18" i="10"/>
  <c r="E16" i="10"/>
  <c r="D16" i="10"/>
  <c r="B16" i="10"/>
  <c r="B18" i="10" s="1"/>
  <c r="Y14" i="10"/>
  <c r="V14" i="10"/>
  <c r="U14" i="10"/>
  <c r="R14" i="10"/>
  <c r="P14" i="10"/>
  <c r="O14" i="10"/>
  <c r="L14" i="10"/>
  <c r="I14" i="10"/>
  <c r="C14" i="10"/>
  <c r="Z13" i="10"/>
  <c r="AD12" i="10"/>
  <c r="AC12" i="10"/>
  <c r="AB12" i="10"/>
  <c r="AA12" i="10"/>
  <c r="X12" i="10"/>
  <c r="W12" i="10"/>
  <c r="U12" i="10"/>
  <c r="T12" i="10"/>
  <c r="S12" i="10"/>
  <c r="R12" i="10"/>
  <c r="P12" i="10"/>
  <c r="N12" i="10"/>
  <c r="M12" i="10"/>
  <c r="L12" i="10"/>
  <c r="J12" i="10"/>
  <c r="I12" i="10"/>
  <c r="H12" i="10"/>
  <c r="G12" i="10"/>
  <c r="F12" i="10"/>
  <c r="E12" i="10"/>
  <c r="D12" i="10"/>
  <c r="C12" i="10"/>
  <c r="B12" i="10"/>
  <c r="AG11" i="10"/>
  <c r="AG16" i="10" s="1"/>
  <c r="Q11" i="10"/>
  <c r="Q16" i="10" s="1"/>
  <c r="B11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E11" i="10" s="1"/>
  <c r="D8" i="10"/>
  <c r="D11" i="10" s="1"/>
  <c r="C8" i="10"/>
  <c r="C11" i="10" s="1"/>
  <c r="C16" i="10" s="1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AH7" i="10" s="1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W6" i="10"/>
  <c r="U6" i="10"/>
  <c r="Q6" i="10"/>
  <c r="G6" i="10"/>
  <c r="F6" i="10"/>
  <c r="E6" i="10"/>
  <c r="AI5" i="10"/>
  <c r="Z4" i="10"/>
  <c r="Z6" i="10" s="1"/>
  <c r="Y4" i="10"/>
  <c r="Y6" i="10" s="1"/>
  <c r="X4" i="10"/>
  <c r="X6" i="10" s="1"/>
  <c r="W4" i="10"/>
  <c r="V4" i="10"/>
  <c r="V6" i="10" s="1"/>
  <c r="U4" i="10"/>
  <c r="T14" i="10" s="1"/>
  <c r="T4" i="10"/>
  <c r="T6" i="10" s="1"/>
  <c r="S4" i="10"/>
  <c r="S6" i="10" s="1"/>
  <c r="R4" i="10"/>
  <c r="R6" i="10" s="1"/>
  <c r="Q4" i="10"/>
  <c r="P4" i="10"/>
  <c r="P6" i="10" s="1"/>
  <c r="O4" i="10"/>
  <c r="N4" i="10"/>
  <c r="M4" i="10"/>
  <c r="M6" i="10" s="1"/>
  <c r="L4" i="10"/>
  <c r="K4" i="10"/>
  <c r="J4" i="10"/>
  <c r="J6" i="10" s="1"/>
  <c r="I4" i="10"/>
  <c r="H4" i="10"/>
  <c r="G4" i="10"/>
  <c r="F14" i="10" s="1"/>
  <c r="F4" i="10"/>
  <c r="E14" i="10" s="1"/>
  <c r="E4" i="10"/>
  <c r="D14" i="10" s="1"/>
  <c r="D4" i="10"/>
  <c r="D6" i="10" s="1"/>
  <c r="C4" i="10"/>
  <c r="B4" i="10"/>
  <c r="B6" i="10" s="1"/>
  <c r="AD361" i="9"/>
  <c r="AC361" i="9"/>
  <c r="AB361" i="9"/>
  <c r="AG348" i="9"/>
  <c r="AF348" i="9"/>
  <c r="AE348" i="9"/>
  <c r="AD348" i="9"/>
  <c r="AC348" i="9"/>
  <c r="AB348" i="9"/>
  <c r="AA348" i="9"/>
  <c r="Z348" i="9"/>
  <c r="Y348" i="9"/>
  <c r="X348" i="9"/>
  <c r="W348" i="9"/>
  <c r="V348" i="9"/>
  <c r="U348" i="9"/>
  <c r="T348" i="9"/>
  <c r="S348" i="9"/>
  <c r="R348" i="9"/>
  <c r="Q348" i="9"/>
  <c r="P348" i="9"/>
  <c r="O348" i="9"/>
  <c r="N348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AG346" i="9"/>
  <c r="AF346" i="9"/>
  <c r="AE346" i="9"/>
  <c r="AG333" i="9"/>
  <c r="AF333" i="9"/>
  <c r="AE333" i="9"/>
  <c r="AD333" i="9"/>
  <c r="AC333" i="9"/>
  <c r="AB333" i="9"/>
  <c r="AA333" i="9"/>
  <c r="Z333" i="9"/>
  <c r="Y333" i="9"/>
  <c r="X333" i="9"/>
  <c r="W333" i="9"/>
  <c r="V333" i="9"/>
  <c r="U333" i="9"/>
  <c r="T333" i="9"/>
  <c r="S333" i="9"/>
  <c r="R333" i="9"/>
  <c r="Q333" i="9"/>
  <c r="P333" i="9"/>
  <c r="O333" i="9"/>
  <c r="N333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AE329" i="9"/>
  <c r="AD329" i="9"/>
  <c r="Y329" i="9"/>
  <c r="J329" i="9"/>
  <c r="I329" i="9"/>
  <c r="H329" i="9"/>
  <c r="G329" i="9"/>
  <c r="F329" i="9"/>
  <c r="X328" i="9"/>
  <c r="U328" i="9"/>
  <c r="S328" i="9"/>
  <c r="R328" i="9"/>
  <c r="M328" i="9"/>
  <c r="J328" i="9"/>
  <c r="I328" i="9"/>
  <c r="H328" i="9"/>
  <c r="G328" i="9"/>
  <c r="F328" i="9"/>
  <c r="AE327" i="9"/>
  <c r="AC327" i="9"/>
  <c r="AB327" i="9"/>
  <c r="AA327" i="9"/>
  <c r="Z327" i="9"/>
  <c r="Y327" i="9"/>
  <c r="W327" i="9"/>
  <c r="V327" i="9"/>
  <c r="J327" i="9"/>
  <c r="I327" i="9"/>
  <c r="H327" i="9"/>
  <c r="G327" i="9"/>
  <c r="F327" i="9"/>
  <c r="AB326" i="9"/>
  <c r="V326" i="9"/>
  <c r="S326" i="9"/>
  <c r="R326" i="9"/>
  <c r="Q326" i="9"/>
  <c r="L326" i="9"/>
  <c r="K326" i="9"/>
  <c r="J326" i="9"/>
  <c r="I326" i="9"/>
  <c r="H326" i="9"/>
  <c r="G326" i="9"/>
  <c r="F326" i="9"/>
  <c r="AF325" i="9"/>
  <c r="AC325" i="9"/>
  <c r="AB325" i="9"/>
  <c r="AA325" i="9"/>
  <c r="X325" i="9"/>
  <c r="W325" i="9"/>
  <c r="V325" i="9"/>
  <c r="U325" i="9"/>
  <c r="T325" i="9"/>
  <c r="J325" i="9"/>
  <c r="I325" i="9"/>
  <c r="H325" i="9"/>
  <c r="G325" i="9"/>
  <c r="F325" i="9"/>
  <c r="T324" i="9"/>
  <c r="Q324" i="9"/>
  <c r="P324" i="9"/>
  <c r="N324" i="9"/>
  <c r="M324" i="9"/>
  <c r="L324" i="9"/>
  <c r="K324" i="9"/>
  <c r="J324" i="9"/>
  <c r="I324" i="9"/>
  <c r="H324" i="9"/>
  <c r="G324" i="9"/>
  <c r="F324" i="9"/>
  <c r="AA323" i="9"/>
  <c r="Z323" i="9"/>
  <c r="X323" i="9"/>
  <c r="W323" i="9"/>
  <c r="V323" i="9"/>
  <c r="U323" i="9"/>
  <c r="T323" i="9"/>
  <c r="S323" i="9"/>
  <c r="R323" i="9"/>
  <c r="J323" i="9"/>
  <c r="I323" i="9"/>
  <c r="H323" i="9"/>
  <c r="G323" i="9"/>
  <c r="F323" i="9"/>
  <c r="AF322" i="9"/>
  <c r="AE322" i="9"/>
  <c r="AD322" i="9"/>
  <c r="AB322" i="9"/>
  <c r="L322" i="9"/>
  <c r="K322" i="9"/>
  <c r="J322" i="9"/>
  <c r="I322" i="9"/>
  <c r="H322" i="9"/>
  <c r="G322" i="9"/>
  <c r="F322" i="9"/>
  <c r="AB321" i="9"/>
  <c r="J321" i="9"/>
  <c r="I321" i="9"/>
  <c r="H321" i="9"/>
  <c r="G321" i="9"/>
  <c r="F321" i="9"/>
  <c r="AF320" i="9"/>
  <c r="AD320" i="9"/>
  <c r="AC320" i="9"/>
  <c r="AA320" i="9"/>
  <c r="P320" i="9"/>
  <c r="M320" i="9"/>
  <c r="L320" i="9"/>
  <c r="K320" i="9"/>
  <c r="J320" i="9"/>
  <c r="I320" i="9"/>
  <c r="H320" i="9"/>
  <c r="G320" i="9"/>
  <c r="F320" i="9"/>
  <c r="W319" i="9"/>
  <c r="V319" i="9"/>
  <c r="U319" i="9"/>
  <c r="T319" i="9"/>
  <c r="S319" i="9"/>
  <c r="R319" i="9"/>
  <c r="Q319" i="9"/>
  <c r="O319" i="9"/>
  <c r="N319" i="9"/>
  <c r="J319" i="9"/>
  <c r="I319" i="9"/>
  <c r="H319" i="9"/>
  <c r="G319" i="9"/>
  <c r="F319" i="9"/>
  <c r="AE318" i="9"/>
  <c r="AA318" i="9"/>
  <c r="Y318" i="9"/>
  <c r="X318" i="9"/>
  <c r="T318" i="9"/>
  <c r="N318" i="9"/>
  <c r="J318" i="9"/>
  <c r="I318" i="9"/>
  <c r="H318" i="9"/>
  <c r="G318" i="9"/>
  <c r="F318" i="9"/>
  <c r="AG317" i="9"/>
  <c r="AF317" i="9"/>
  <c r="AE317" i="9"/>
  <c r="AD317" i="9"/>
  <c r="AC317" i="9"/>
  <c r="AB317" i="9"/>
  <c r="AA317" i="9"/>
  <c r="Z317" i="9"/>
  <c r="Y317" i="9"/>
  <c r="X317" i="9"/>
  <c r="W317" i="9"/>
  <c r="V317" i="9"/>
  <c r="U317" i="9"/>
  <c r="T317" i="9"/>
  <c r="S317" i="9"/>
  <c r="R317" i="9"/>
  <c r="Q317" i="9"/>
  <c r="P317" i="9"/>
  <c r="O317" i="9"/>
  <c r="N317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J314" i="9"/>
  <c r="I314" i="9"/>
  <c r="H314" i="9"/>
  <c r="G314" i="9"/>
  <c r="G40" i="9" s="1"/>
  <c r="F314" i="9"/>
  <c r="E314" i="9"/>
  <c r="D314" i="9"/>
  <c r="D40" i="9" s="1"/>
  <c r="C314" i="9"/>
  <c r="B314" i="9"/>
  <c r="B40" i="9" s="1"/>
  <c r="AE313" i="9"/>
  <c r="AD313" i="9"/>
  <c r="AC313" i="9"/>
  <c r="AB313" i="9"/>
  <c r="AA313" i="9"/>
  <c r="Z313" i="9"/>
  <c r="Y313" i="9"/>
  <c r="X313" i="9"/>
  <c r="W313" i="9"/>
  <c r="V313" i="9"/>
  <c r="V314" i="9" s="1"/>
  <c r="V40" i="9" s="1"/>
  <c r="U313" i="9"/>
  <c r="T313" i="9"/>
  <c r="S313" i="9"/>
  <c r="R313" i="9"/>
  <c r="R329" i="9" s="1"/>
  <c r="Q313" i="9"/>
  <c r="P313" i="9"/>
  <c r="O313" i="9"/>
  <c r="N313" i="9"/>
  <c r="N329" i="9" s="1"/>
  <c r="M313" i="9"/>
  <c r="L313" i="9"/>
  <c r="K313" i="9"/>
  <c r="K329" i="9" s="1"/>
  <c r="AE312" i="9"/>
  <c r="AD312" i="9"/>
  <c r="AC312" i="9"/>
  <c r="AB312" i="9"/>
  <c r="AA312" i="9"/>
  <c r="Z312" i="9"/>
  <c r="Y312" i="9"/>
  <c r="X312" i="9"/>
  <c r="W312" i="9"/>
  <c r="V312" i="9"/>
  <c r="U312" i="9"/>
  <c r="T312" i="9"/>
  <c r="T328" i="9" s="1"/>
  <c r="S312" i="9"/>
  <c r="R312" i="9"/>
  <c r="Q312" i="9"/>
  <c r="Q328" i="9" s="1"/>
  <c r="P312" i="9"/>
  <c r="P328" i="9" s="1"/>
  <c r="O312" i="9"/>
  <c r="N312" i="9"/>
  <c r="N328" i="9" s="1"/>
  <c r="M312" i="9"/>
  <c r="L312" i="9"/>
  <c r="K312" i="9"/>
  <c r="AE311" i="9"/>
  <c r="AD311" i="9"/>
  <c r="AC311" i="9"/>
  <c r="AB311" i="9"/>
  <c r="AA311" i="9"/>
  <c r="Z311" i="9"/>
  <c r="Y311" i="9"/>
  <c r="X311" i="9"/>
  <c r="X327" i="9" s="1"/>
  <c r="W311" i="9"/>
  <c r="V311" i="9"/>
  <c r="U311" i="9"/>
  <c r="T311" i="9"/>
  <c r="S311" i="9"/>
  <c r="R311" i="9"/>
  <c r="R327" i="9" s="1"/>
  <c r="Q311" i="9"/>
  <c r="P311" i="9"/>
  <c r="O311" i="9"/>
  <c r="N311" i="9"/>
  <c r="M311" i="9"/>
  <c r="L311" i="9"/>
  <c r="K311" i="9"/>
  <c r="AE310" i="9"/>
  <c r="AD310" i="9"/>
  <c r="AC310" i="9"/>
  <c r="AB310" i="9"/>
  <c r="AA310" i="9"/>
  <c r="Z310" i="9"/>
  <c r="Y310" i="9"/>
  <c r="X310" i="9"/>
  <c r="W310" i="9"/>
  <c r="V310" i="9"/>
  <c r="U310" i="9"/>
  <c r="T310" i="9"/>
  <c r="S310" i="9"/>
  <c r="R310" i="9"/>
  <c r="Q310" i="9"/>
  <c r="P310" i="9"/>
  <c r="O310" i="9"/>
  <c r="O326" i="9" s="1"/>
  <c r="N310" i="9"/>
  <c r="M310" i="9"/>
  <c r="L310" i="9"/>
  <c r="K310" i="9"/>
  <c r="AF309" i="9"/>
  <c r="AE309" i="9"/>
  <c r="AD309" i="9"/>
  <c r="AC309" i="9"/>
  <c r="AB309" i="9"/>
  <c r="AA309" i="9"/>
  <c r="Z309" i="9"/>
  <c r="Y309" i="9"/>
  <c r="X309" i="9"/>
  <c r="W309" i="9"/>
  <c r="V309" i="9"/>
  <c r="U309" i="9"/>
  <c r="T309" i="9"/>
  <c r="S309" i="9"/>
  <c r="R309" i="9"/>
  <c r="Q309" i="9"/>
  <c r="P309" i="9"/>
  <c r="P325" i="9" s="1"/>
  <c r="O309" i="9"/>
  <c r="N309" i="9"/>
  <c r="M309" i="9"/>
  <c r="L309" i="9"/>
  <c r="K309" i="9"/>
  <c r="AF308" i="9"/>
  <c r="AE308" i="9"/>
  <c r="AD308" i="9"/>
  <c r="AC308" i="9"/>
  <c r="AB308" i="9"/>
  <c r="AA308" i="9"/>
  <c r="Z308" i="9"/>
  <c r="Y308" i="9"/>
  <c r="X308" i="9"/>
  <c r="W308" i="9"/>
  <c r="V308" i="9"/>
  <c r="U308" i="9"/>
  <c r="T308" i="9"/>
  <c r="S308" i="9"/>
  <c r="R308" i="9"/>
  <c r="Q308" i="9"/>
  <c r="P308" i="9"/>
  <c r="O308" i="9"/>
  <c r="O324" i="9" s="1"/>
  <c r="N308" i="9"/>
  <c r="M308" i="9"/>
  <c r="L308" i="9"/>
  <c r="K308" i="9"/>
  <c r="AF307" i="9"/>
  <c r="AE307" i="9"/>
  <c r="AD307" i="9"/>
  <c r="AC307" i="9"/>
  <c r="AB307" i="9"/>
  <c r="AA307" i="9"/>
  <c r="Z307" i="9"/>
  <c r="Y307" i="9"/>
  <c r="Y323" i="9" s="1"/>
  <c r="X307" i="9"/>
  <c r="W307" i="9"/>
  <c r="V307" i="9"/>
  <c r="U307" i="9"/>
  <c r="T307" i="9"/>
  <c r="S307" i="9"/>
  <c r="R307" i="9"/>
  <c r="Q307" i="9"/>
  <c r="P307" i="9"/>
  <c r="O307" i="9"/>
  <c r="N307" i="9"/>
  <c r="M307" i="9"/>
  <c r="L307" i="9"/>
  <c r="K307" i="9"/>
  <c r="AF306" i="9"/>
  <c r="AE306" i="9"/>
  <c r="AD306" i="9"/>
  <c r="AC306" i="9"/>
  <c r="AC322" i="9" s="1"/>
  <c r="AB306" i="9"/>
  <c r="AA306" i="9"/>
  <c r="Z306" i="9"/>
  <c r="Y306" i="9"/>
  <c r="X306" i="9"/>
  <c r="X322" i="9" s="1"/>
  <c r="W306" i="9"/>
  <c r="V306" i="9"/>
  <c r="V322" i="9" s="1"/>
  <c r="U306" i="9"/>
  <c r="T306" i="9"/>
  <c r="S306" i="9"/>
  <c r="R306" i="9"/>
  <c r="Q306" i="9"/>
  <c r="P306" i="9"/>
  <c r="O306" i="9"/>
  <c r="N306" i="9"/>
  <c r="M306" i="9"/>
  <c r="L306" i="9"/>
  <c r="K306" i="9"/>
  <c r="AF305" i="9"/>
  <c r="AE305" i="9"/>
  <c r="AD305" i="9"/>
  <c r="AC305" i="9"/>
  <c r="AB305" i="9"/>
  <c r="AA305" i="9"/>
  <c r="Z305" i="9"/>
  <c r="Y305" i="9"/>
  <c r="Y321" i="9" s="1"/>
  <c r="X305" i="9"/>
  <c r="W305" i="9"/>
  <c r="V305" i="9"/>
  <c r="U305" i="9"/>
  <c r="T305" i="9"/>
  <c r="S305" i="9"/>
  <c r="R305" i="9"/>
  <c r="Q305" i="9"/>
  <c r="P305" i="9"/>
  <c r="O305" i="9"/>
  <c r="N305" i="9"/>
  <c r="M305" i="9"/>
  <c r="L305" i="9"/>
  <c r="K305" i="9"/>
  <c r="AF304" i="9"/>
  <c r="AE304" i="9"/>
  <c r="AD304" i="9"/>
  <c r="AC304" i="9"/>
  <c r="AB304" i="9"/>
  <c r="AB320" i="9" s="1"/>
  <c r="AA304" i="9"/>
  <c r="Z304" i="9"/>
  <c r="Y304" i="9"/>
  <c r="X304" i="9"/>
  <c r="W304" i="9"/>
  <c r="V304" i="9"/>
  <c r="U304" i="9"/>
  <c r="T304" i="9"/>
  <c r="T320" i="9" s="1"/>
  <c r="S304" i="9"/>
  <c r="R304" i="9"/>
  <c r="Q304" i="9"/>
  <c r="P304" i="9"/>
  <c r="O304" i="9"/>
  <c r="N304" i="9"/>
  <c r="M304" i="9"/>
  <c r="L304" i="9"/>
  <c r="K304" i="9"/>
  <c r="AF303" i="9"/>
  <c r="AE303" i="9"/>
  <c r="AD303" i="9"/>
  <c r="AC303" i="9"/>
  <c r="AB303" i="9"/>
  <c r="AA303" i="9"/>
  <c r="Z303" i="9"/>
  <c r="Z319" i="9" s="1"/>
  <c r="Y303" i="9"/>
  <c r="Y314" i="9" s="1"/>
  <c r="Y40" i="9" s="1"/>
  <c r="X303" i="9"/>
  <c r="W303" i="9"/>
  <c r="W314" i="9" s="1"/>
  <c r="W40" i="9" s="1"/>
  <c r="V303" i="9"/>
  <c r="U303" i="9"/>
  <c r="T303" i="9"/>
  <c r="S303" i="9"/>
  <c r="R303" i="9"/>
  <c r="Q303" i="9"/>
  <c r="P303" i="9"/>
  <c r="O303" i="9"/>
  <c r="N303" i="9"/>
  <c r="M303" i="9"/>
  <c r="L303" i="9"/>
  <c r="K303" i="9"/>
  <c r="AF302" i="9"/>
  <c r="AE302" i="9"/>
  <c r="AD302" i="9"/>
  <c r="AC302" i="9"/>
  <c r="AB302" i="9"/>
  <c r="AB318" i="9" s="1"/>
  <c r="AA302" i="9"/>
  <c r="Z302" i="9"/>
  <c r="Y302" i="9"/>
  <c r="X302" i="9"/>
  <c r="X314" i="9" s="1"/>
  <c r="X40" i="9" s="1"/>
  <c r="W302" i="9"/>
  <c r="V302" i="9"/>
  <c r="U302" i="9"/>
  <c r="U314" i="9" s="1"/>
  <c r="U40" i="9" s="1"/>
  <c r="T302" i="9"/>
  <c r="S302" i="9"/>
  <c r="R302" i="9"/>
  <c r="Q302" i="9"/>
  <c r="P302" i="9"/>
  <c r="O302" i="9"/>
  <c r="N302" i="9"/>
  <c r="M302" i="9"/>
  <c r="M314" i="9" s="1"/>
  <c r="M40" i="9" s="1"/>
  <c r="L302" i="9"/>
  <c r="K302" i="9"/>
  <c r="AG301" i="9"/>
  <c r="AF301" i="9"/>
  <c r="AE301" i="9"/>
  <c r="AD301" i="9"/>
  <c r="AC301" i="9"/>
  <c r="AB301" i="9"/>
  <c r="AA301" i="9"/>
  <c r="Z301" i="9"/>
  <c r="Y301" i="9"/>
  <c r="X301" i="9"/>
  <c r="W301" i="9"/>
  <c r="V301" i="9"/>
  <c r="U301" i="9"/>
  <c r="T301" i="9"/>
  <c r="S301" i="9"/>
  <c r="R301" i="9"/>
  <c r="Q301" i="9"/>
  <c r="P301" i="9"/>
  <c r="O301" i="9"/>
  <c r="N301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AG298" i="9"/>
  <c r="AF298" i="9"/>
  <c r="J298" i="9"/>
  <c r="J34" i="9" s="1"/>
  <c r="I298" i="9"/>
  <c r="H298" i="9"/>
  <c r="G298" i="9"/>
  <c r="F298" i="9"/>
  <c r="E298" i="9"/>
  <c r="D298" i="9"/>
  <c r="C298" i="9"/>
  <c r="B298" i="9"/>
  <c r="AE297" i="9"/>
  <c r="AD297" i="9"/>
  <c r="AC297" i="9"/>
  <c r="AC329" i="9" s="1"/>
  <c r="AB297" i="9"/>
  <c r="AB329" i="9" s="1"/>
  <c r="AA297" i="9"/>
  <c r="AA329" i="9" s="1"/>
  <c r="Z297" i="9"/>
  <c r="Z329" i="9" s="1"/>
  <c r="Y297" i="9"/>
  <c r="X297" i="9"/>
  <c r="X329" i="9" s="1"/>
  <c r="W297" i="9"/>
  <c r="W329" i="9" s="1"/>
  <c r="V297" i="9"/>
  <c r="V329" i="9" s="1"/>
  <c r="U297" i="9"/>
  <c r="U329" i="9" s="1"/>
  <c r="T297" i="9"/>
  <c r="S297" i="9"/>
  <c r="S329" i="9" s="1"/>
  <c r="R297" i="9"/>
  <c r="Q297" i="9"/>
  <c r="Q329" i="9" s="1"/>
  <c r="P297" i="9"/>
  <c r="P329" i="9" s="1"/>
  <c r="O297" i="9"/>
  <c r="O329" i="9" s="1"/>
  <c r="N297" i="9"/>
  <c r="M297" i="9"/>
  <c r="M329" i="9" s="1"/>
  <c r="L297" i="9"/>
  <c r="K297" i="9"/>
  <c r="AE296" i="9"/>
  <c r="AE328" i="9" s="1"/>
  <c r="AD296" i="9"/>
  <c r="AD328" i="9" s="1"/>
  <c r="AC296" i="9"/>
  <c r="AC328" i="9" s="1"/>
  <c r="AB296" i="9"/>
  <c r="AB328" i="9" s="1"/>
  <c r="AA296" i="9"/>
  <c r="AA328" i="9" s="1"/>
  <c r="Z296" i="9"/>
  <c r="Z328" i="9" s="1"/>
  <c r="Y296" i="9"/>
  <c r="X296" i="9"/>
  <c r="W296" i="9"/>
  <c r="W328" i="9" s="1"/>
  <c r="V296" i="9"/>
  <c r="V328" i="9" s="1"/>
  <c r="U296" i="9"/>
  <c r="T296" i="9"/>
  <c r="S296" i="9"/>
  <c r="R296" i="9"/>
  <c r="Q296" i="9"/>
  <c r="P296" i="9"/>
  <c r="O296" i="9"/>
  <c r="N296" i="9"/>
  <c r="M296" i="9"/>
  <c r="L296" i="9"/>
  <c r="K296" i="9"/>
  <c r="AE295" i="9"/>
  <c r="AD295" i="9"/>
  <c r="AD327" i="9" s="1"/>
  <c r="AC295" i="9"/>
  <c r="AB295" i="9"/>
  <c r="AA295" i="9"/>
  <c r="Z295" i="9"/>
  <c r="Y295" i="9"/>
  <c r="X295" i="9"/>
  <c r="W295" i="9"/>
  <c r="V295" i="9"/>
  <c r="U295" i="9"/>
  <c r="U327" i="9" s="1"/>
  <c r="T295" i="9"/>
  <c r="S295" i="9"/>
  <c r="S327" i="9" s="1"/>
  <c r="R295" i="9"/>
  <c r="Q295" i="9"/>
  <c r="Q327" i="9" s="1"/>
  <c r="P295" i="9"/>
  <c r="O295" i="9"/>
  <c r="O327" i="9" s="1"/>
  <c r="N295" i="9"/>
  <c r="M295" i="9"/>
  <c r="L295" i="9"/>
  <c r="L327" i="9" s="1"/>
  <c r="K295" i="9"/>
  <c r="K327" i="9" s="1"/>
  <c r="AE294" i="9"/>
  <c r="AE326" i="9" s="1"/>
  <c r="AD294" i="9"/>
  <c r="AD326" i="9" s="1"/>
  <c r="AC294" i="9"/>
  <c r="AC326" i="9" s="1"/>
  <c r="AB294" i="9"/>
  <c r="AA294" i="9"/>
  <c r="AA326" i="9" s="1"/>
  <c r="Z294" i="9"/>
  <c r="Z326" i="9" s="1"/>
  <c r="Y294" i="9"/>
  <c r="Y326" i="9" s="1"/>
  <c r="X294" i="9"/>
  <c r="X326" i="9" s="1"/>
  <c r="W294" i="9"/>
  <c r="W326" i="9" s="1"/>
  <c r="V294" i="9"/>
  <c r="U294" i="9"/>
  <c r="U326" i="9" s="1"/>
  <c r="T294" i="9"/>
  <c r="S294" i="9"/>
  <c r="R294" i="9"/>
  <c r="Q294" i="9"/>
  <c r="P294" i="9"/>
  <c r="P326" i="9" s="1"/>
  <c r="O294" i="9"/>
  <c r="N294" i="9"/>
  <c r="M294" i="9"/>
  <c r="L294" i="9"/>
  <c r="K294" i="9"/>
  <c r="AF293" i="9"/>
  <c r="AE293" i="9"/>
  <c r="AE325" i="9" s="1"/>
  <c r="AD293" i="9"/>
  <c r="AD325" i="9" s="1"/>
  <c r="AC293" i="9"/>
  <c r="AB293" i="9"/>
  <c r="AA293" i="9"/>
  <c r="Z293" i="9"/>
  <c r="Z325" i="9" s="1"/>
  <c r="Y293" i="9"/>
  <c r="Y325" i="9" s="1"/>
  <c r="X293" i="9"/>
  <c r="W293" i="9"/>
  <c r="V293" i="9"/>
  <c r="U293" i="9"/>
  <c r="T293" i="9"/>
  <c r="S293" i="9"/>
  <c r="S325" i="9" s="1"/>
  <c r="R293" i="9"/>
  <c r="R325" i="9" s="1"/>
  <c r="Q293" i="9"/>
  <c r="Q325" i="9" s="1"/>
  <c r="P293" i="9"/>
  <c r="O293" i="9"/>
  <c r="N293" i="9"/>
  <c r="N325" i="9" s="1"/>
  <c r="M293" i="9"/>
  <c r="M325" i="9" s="1"/>
  <c r="L293" i="9"/>
  <c r="L325" i="9" s="1"/>
  <c r="K293" i="9"/>
  <c r="K325" i="9" s="1"/>
  <c r="AF292" i="9"/>
  <c r="AF324" i="9" s="1"/>
  <c r="AE292" i="9"/>
  <c r="AE324" i="9" s="1"/>
  <c r="AD292" i="9"/>
  <c r="AD324" i="9" s="1"/>
  <c r="AC292" i="9"/>
  <c r="AC324" i="9" s="1"/>
  <c r="AB292" i="9"/>
  <c r="AB324" i="9" s="1"/>
  <c r="AA292" i="9"/>
  <c r="AA324" i="9" s="1"/>
  <c r="Z292" i="9"/>
  <c r="Z324" i="9" s="1"/>
  <c r="Y292" i="9"/>
  <c r="Y324" i="9" s="1"/>
  <c r="X292" i="9"/>
  <c r="X324" i="9" s="1"/>
  <c r="W292" i="9"/>
  <c r="V292" i="9"/>
  <c r="V324" i="9" s="1"/>
  <c r="U292" i="9"/>
  <c r="T292" i="9"/>
  <c r="S292" i="9"/>
  <c r="S324" i="9" s="1"/>
  <c r="R292" i="9"/>
  <c r="R324" i="9" s="1"/>
  <c r="Q292" i="9"/>
  <c r="P292" i="9"/>
  <c r="O292" i="9"/>
  <c r="N292" i="9"/>
  <c r="M292" i="9"/>
  <c r="L292" i="9"/>
  <c r="K292" i="9"/>
  <c r="AF291" i="9"/>
  <c r="AF323" i="9" s="1"/>
  <c r="AE291" i="9"/>
  <c r="AE323" i="9" s="1"/>
  <c r="AD291" i="9"/>
  <c r="AD323" i="9" s="1"/>
  <c r="AC291" i="9"/>
  <c r="AC323" i="9" s="1"/>
  <c r="AB291" i="9"/>
  <c r="AA291" i="9"/>
  <c r="Z291" i="9"/>
  <c r="Y291" i="9"/>
  <c r="X291" i="9"/>
  <c r="W291" i="9"/>
  <c r="V291" i="9"/>
  <c r="U291" i="9"/>
  <c r="T291" i="9"/>
  <c r="S291" i="9"/>
  <c r="R291" i="9"/>
  <c r="Q291" i="9"/>
  <c r="Q323" i="9" s="1"/>
  <c r="P291" i="9"/>
  <c r="P323" i="9" s="1"/>
  <c r="O291" i="9"/>
  <c r="O323" i="9" s="1"/>
  <c r="N291" i="9"/>
  <c r="N323" i="9" s="1"/>
  <c r="M291" i="9"/>
  <c r="L291" i="9"/>
  <c r="K291" i="9"/>
  <c r="K323" i="9" s="1"/>
  <c r="AF290" i="9"/>
  <c r="AE290" i="9"/>
  <c r="AD290" i="9"/>
  <c r="AC290" i="9"/>
  <c r="AB290" i="9"/>
  <c r="AA290" i="9"/>
  <c r="AA322" i="9" s="1"/>
  <c r="Z290" i="9"/>
  <c r="Y290" i="9"/>
  <c r="X290" i="9"/>
  <c r="W290" i="9"/>
  <c r="W322" i="9" s="1"/>
  <c r="V290" i="9"/>
  <c r="U290" i="9"/>
  <c r="U322" i="9" s="1"/>
  <c r="T290" i="9"/>
  <c r="T322" i="9" s="1"/>
  <c r="S290" i="9"/>
  <c r="S322" i="9" s="1"/>
  <c r="R290" i="9"/>
  <c r="Q290" i="9"/>
  <c r="Q322" i="9" s="1"/>
  <c r="P290" i="9"/>
  <c r="P322" i="9" s="1"/>
  <c r="O290" i="9"/>
  <c r="O322" i="9" s="1"/>
  <c r="N290" i="9"/>
  <c r="M290" i="9"/>
  <c r="L290" i="9"/>
  <c r="L298" i="9" s="1"/>
  <c r="K290" i="9"/>
  <c r="AF289" i="9"/>
  <c r="AF321" i="9" s="1"/>
  <c r="AE289" i="9"/>
  <c r="AE321" i="9" s="1"/>
  <c r="AD289" i="9"/>
  <c r="AC289" i="9"/>
  <c r="AC321" i="9" s="1"/>
  <c r="AB289" i="9"/>
  <c r="AA289" i="9"/>
  <c r="Z289" i="9"/>
  <c r="Y289" i="9"/>
  <c r="X289" i="9"/>
  <c r="X321" i="9" s="1"/>
  <c r="W289" i="9"/>
  <c r="W321" i="9" s="1"/>
  <c r="V289" i="9"/>
  <c r="V321" i="9" s="1"/>
  <c r="U289" i="9"/>
  <c r="U321" i="9" s="1"/>
  <c r="T289" i="9"/>
  <c r="T321" i="9" s="1"/>
  <c r="S289" i="9"/>
  <c r="R289" i="9"/>
  <c r="Q289" i="9"/>
  <c r="Q321" i="9" s="1"/>
  <c r="P289" i="9"/>
  <c r="O289" i="9"/>
  <c r="O321" i="9" s="1"/>
  <c r="N289" i="9"/>
  <c r="N321" i="9" s="1"/>
  <c r="M289" i="9"/>
  <c r="M321" i="9" s="1"/>
  <c r="L289" i="9"/>
  <c r="L321" i="9" s="1"/>
  <c r="K289" i="9"/>
  <c r="K321" i="9" s="1"/>
  <c r="AF288" i="9"/>
  <c r="AE288" i="9"/>
  <c r="AD288" i="9"/>
  <c r="AC288" i="9"/>
  <c r="AB288" i="9"/>
  <c r="AA288" i="9"/>
  <c r="Z288" i="9"/>
  <c r="Y288" i="9"/>
  <c r="X288" i="9"/>
  <c r="X320" i="9" s="1"/>
  <c r="W288" i="9"/>
  <c r="W320" i="9" s="1"/>
  <c r="V288" i="9"/>
  <c r="U288" i="9"/>
  <c r="T288" i="9"/>
  <c r="S288" i="9"/>
  <c r="S320" i="9" s="1"/>
  <c r="R288" i="9"/>
  <c r="R320" i="9" s="1"/>
  <c r="Q288" i="9"/>
  <c r="Q320" i="9" s="1"/>
  <c r="P288" i="9"/>
  <c r="O288" i="9"/>
  <c r="O320" i="9" s="1"/>
  <c r="N288" i="9"/>
  <c r="N320" i="9" s="1"/>
  <c r="M288" i="9"/>
  <c r="L288" i="9"/>
  <c r="K288" i="9"/>
  <c r="AF287" i="9"/>
  <c r="AE287" i="9"/>
  <c r="AE319" i="9" s="1"/>
  <c r="AD287" i="9"/>
  <c r="AD319" i="9" s="1"/>
  <c r="AC287" i="9"/>
  <c r="AB287" i="9"/>
  <c r="AA287" i="9"/>
  <c r="Z287" i="9"/>
  <c r="Y287" i="9"/>
  <c r="Y319" i="9" s="1"/>
  <c r="X287" i="9"/>
  <c r="X319" i="9" s="1"/>
  <c r="W287" i="9"/>
  <c r="V287" i="9"/>
  <c r="U287" i="9"/>
  <c r="T287" i="9"/>
  <c r="T298" i="9" s="1"/>
  <c r="T34" i="9" s="1"/>
  <c r="S287" i="9"/>
  <c r="R287" i="9"/>
  <c r="Q287" i="9"/>
  <c r="P287" i="9"/>
  <c r="O287" i="9"/>
  <c r="N287" i="9"/>
  <c r="M287" i="9"/>
  <c r="M319" i="9" s="1"/>
  <c r="L287" i="9"/>
  <c r="L319" i="9" s="1"/>
  <c r="K287" i="9"/>
  <c r="K319" i="9" s="1"/>
  <c r="AF286" i="9"/>
  <c r="AF318" i="9" s="1"/>
  <c r="AE286" i="9"/>
  <c r="AD286" i="9"/>
  <c r="AC286" i="9"/>
  <c r="AB286" i="9"/>
  <c r="AA286" i="9"/>
  <c r="Z286" i="9"/>
  <c r="Y286" i="9"/>
  <c r="X286" i="9"/>
  <c r="W286" i="9"/>
  <c r="W318" i="9" s="1"/>
  <c r="V286" i="9"/>
  <c r="V318" i="9" s="1"/>
  <c r="U286" i="9"/>
  <c r="T286" i="9"/>
  <c r="S286" i="9"/>
  <c r="S318" i="9" s="1"/>
  <c r="R286" i="9"/>
  <c r="Q286" i="9"/>
  <c r="Q318" i="9" s="1"/>
  <c r="P286" i="9"/>
  <c r="P318" i="9" s="1"/>
  <c r="O286" i="9"/>
  <c r="O318" i="9" s="1"/>
  <c r="N286" i="9"/>
  <c r="M286" i="9"/>
  <c r="M318" i="9" s="1"/>
  <c r="L286" i="9"/>
  <c r="K286" i="9"/>
  <c r="AG285" i="9"/>
  <c r="AF285" i="9"/>
  <c r="AE285" i="9"/>
  <c r="AD285" i="9"/>
  <c r="AC285" i="9"/>
  <c r="AB285" i="9"/>
  <c r="AA285" i="9"/>
  <c r="Z285" i="9"/>
  <c r="Y285" i="9"/>
  <c r="X285" i="9"/>
  <c r="W285" i="9"/>
  <c r="V285" i="9"/>
  <c r="U285" i="9"/>
  <c r="T285" i="9"/>
  <c r="S285" i="9"/>
  <c r="R285" i="9"/>
  <c r="Q285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T281" i="9"/>
  <c r="S281" i="9"/>
  <c r="R281" i="9"/>
  <c r="Q281" i="9"/>
  <c r="P281" i="9"/>
  <c r="O281" i="9"/>
  <c r="L281" i="9"/>
  <c r="AE280" i="9"/>
  <c r="AD280" i="9"/>
  <c r="AC280" i="9"/>
  <c r="AB280" i="9"/>
  <c r="AA280" i="9"/>
  <c r="Z280" i="9"/>
  <c r="Y280" i="9"/>
  <c r="X280" i="9"/>
  <c r="W280" i="9"/>
  <c r="V280" i="9"/>
  <c r="L280" i="9"/>
  <c r="H280" i="9"/>
  <c r="G280" i="9"/>
  <c r="F280" i="9"/>
  <c r="D280" i="9"/>
  <c r="C280" i="9"/>
  <c r="R279" i="9"/>
  <c r="Q279" i="9"/>
  <c r="P279" i="9"/>
  <c r="O279" i="9"/>
  <c r="N279" i="9"/>
  <c r="M279" i="9"/>
  <c r="L279" i="9"/>
  <c r="K279" i="9"/>
  <c r="J279" i="9"/>
  <c r="AB278" i="9"/>
  <c r="AA278" i="9"/>
  <c r="Z278" i="9"/>
  <c r="X278" i="9"/>
  <c r="W278" i="9"/>
  <c r="U278" i="9"/>
  <c r="T278" i="9"/>
  <c r="F278" i="9"/>
  <c r="E278" i="9"/>
  <c r="D278" i="9"/>
  <c r="B278" i="9"/>
  <c r="AF277" i="9"/>
  <c r="AE277" i="9"/>
  <c r="AD277" i="9"/>
  <c r="O277" i="9"/>
  <c r="N277" i="9"/>
  <c r="L277" i="9"/>
  <c r="K277" i="9"/>
  <c r="H277" i="9"/>
  <c r="Z276" i="9"/>
  <c r="Y276" i="9"/>
  <c r="X276" i="9"/>
  <c r="W276" i="9"/>
  <c r="V276" i="9"/>
  <c r="U276" i="9"/>
  <c r="T276" i="9"/>
  <c r="S276" i="9"/>
  <c r="R276" i="9"/>
  <c r="C276" i="9"/>
  <c r="B276" i="9"/>
  <c r="AF275" i="9"/>
  <c r="AE275" i="9"/>
  <c r="AB275" i="9"/>
  <c r="M275" i="9"/>
  <c r="L275" i="9"/>
  <c r="J275" i="9"/>
  <c r="I275" i="9"/>
  <c r="H275" i="9"/>
  <c r="G275" i="9"/>
  <c r="F275" i="9"/>
  <c r="AB274" i="9"/>
  <c r="W274" i="9"/>
  <c r="V274" i="9"/>
  <c r="T274" i="9"/>
  <c r="S274" i="9"/>
  <c r="P274" i="9"/>
  <c r="AF273" i="9"/>
  <c r="AE273" i="9"/>
  <c r="AD273" i="9"/>
  <c r="AC273" i="9"/>
  <c r="AA273" i="9"/>
  <c r="Z273" i="9"/>
  <c r="P273" i="9"/>
  <c r="K273" i="9"/>
  <c r="J273" i="9"/>
  <c r="H273" i="9"/>
  <c r="G273" i="9"/>
  <c r="D273" i="9"/>
  <c r="U272" i="9"/>
  <c r="T272" i="9"/>
  <c r="S272" i="9"/>
  <c r="R272" i="9"/>
  <c r="Q272" i="9"/>
  <c r="P272" i="9"/>
  <c r="O272" i="9"/>
  <c r="N272" i="9"/>
  <c r="AE271" i="9"/>
  <c r="AD271" i="9"/>
  <c r="AB271" i="9"/>
  <c r="AA271" i="9"/>
  <c r="X271" i="9"/>
  <c r="I271" i="9"/>
  <c r="H271" i="9"/>
  <c r="F271" i="9"/>
  <c r="E271" i="9"/>
  <c r="D271" i="9"/>
  <c r="C271" i="9"/>
  <c r="B271" i="9"/>
  <c r="S270" i="9"/>
  <c r="R270" i="9"/>
  <c r="P270" i="9"/>
  <c r="O270" i="9"/>
  <c r="L270" i="9"/>
  <c r="AG269" i="9"/>
  <c r="AF269" i="9"/>
  <c r="AE269" i="9"/>
  <c r="AD269" i="9"/>
  <c r="AC269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E265" i="9"/>
  <c r="AE281" i="9" s="1"/>
  <c r="AD265" i="9"/>
  <c r="AC265" i="9"/>
  <c r="AB265" i="9"/>
  <c r="AB281" i="9" s="1"/>
  <c r="AA265" i="9"/>
  <c r="Z265" i="9"/>
  <c r="Z281" i="9" s="1"/>
  <c r="Y265" i="9"/>
  <c r="Y281" i="9" s="1"/>
  <c r="X265" i="9"/>
  <c r="X281" i="9" s="1"/>
  <c r="W265" i="9"/>
  <c r="W281" i="9" s="1"/>
  <c r="V265" i="9"/>
  <c r="V281" i="9" s="1"/>
  <c r="U265" i="9"/>
  <c r="U281" i="9" s="1"/>
  <c r="T265" i="9"/>
  <c r="S265" i="9"/>
  <c r="R265" i="9"/>
  <c r="Q265" i="9"/>
  <c r="P265" i="9"/>
  <c r="O265" i="9"/>
  <c r="N265" i="9"/>
  <c r="M265" i="9"/>
  <c r="L265" i="9"/>
  <c r="K265" i="9"/>
  <c r="J265" i="9"/>
  <c r="I265" i="9"/>
  <c r="I281" i="9" s="1"/>
  <c r="H265" i="9"/>
  <c r="G265" i="9"/>
  <c r="F265" i="9"/>
  <c r="F281" i="9" s="1"/>
  <c r="E265" i="9"/>
  <c r="E281" i="9" s="1"/>
  <c r="D265" i="9"/>
  <c r="D281" i="9" s="1"/>
  <c r="C265" i="9"/>
  <c r="C281" i="9" s="1"/>
  <c r="B265" i="9"/>
  <c r="B281" i="9" s="1"/>
  <c r="AG264" i="9"/>
  <c r="AF264" i="9"/>
  <c r="AE264" i="9"/>
  <c r="AD264" i="9"/>
  <c r="AC264" i="9"/>
  <c r="AB264" i="9"/>
  <c r="AA264" i="9"/>
  <c r="Z264" i="9"/>
  <c r="Y264" i="9"/>
  <c r="X264" i="9"/>
  <c r="W264" i="9"/>
  <c r="V264" i="9"/>
  <c r="U264" i="9"/>
  <c r="T264" i="9"/>
  <c r="T280" i="9" s="1"/>
  <c r="S264" i="9"/>
  <c r="S280" i="9" s="1"/>
  <c r="R264" i="9"/>
  <c r="Q264" i="9"/>
  <c r="Q280" i="9" s="1"/>
  <c r="P264" i="9"/>
  <c r="P280" i="9" s="1"/>
  <c r="O264" i="9"/>
  <c r="N264" i="9"/>
  <c r="N280" i="9" s="1"/>
  <c r="M264" i="9"/>
  <c r="M280" i="9" s="1"/>
  <c r="L264" i="9"/>
  <c r="K264" i="9"/>
  <c r="K280" i="9" s="1"/>
  <c r="J264" i="9"/>
  <c r="J280" i="9" s="1"/>
  <c r="I264" i="9"/>
  <c r="I280" i="9" s="1"/>
  <c r="H264" i="9"/>
  <c r="G264" i="9"/>
  <c r="F264" i="9"/>
  <c r="E264" i="9"/>
  <c r="D264" i="9"/>
  <c r="C264" i="9"/>
  <c r="B264" i="9"/>
  <c r="AE263" i="9"/>
  <c r="AE279" i="9" s="1"/>
  <c r="AD263" i="9"/>
  <c r="AC263" i="9"/>
  <c r="AB263" i="9"/>
  <c r="AA263" i="9"/>
  <c r="Z263" i="9"/>
  <c r="Y263" i="9"/>
  <c r="X263" i="9"/>
  <c r="X279" i="9" s="1"/>
  <c r="W263" i="9"/>
  <c r="W279" i="9" s="1"/>
  <c r="V263" i="9"/>
  <c r="V279" i="9" s="1"/>
  <c r="U263" i="9"/>
  <c r="U279" i="9" s="1"/>
  <c r="T263" i="9"/>
  <c r="T279" i="9" s="1"/>
  <c r="S263" i="9"/>
  <c r="S279" i="9" s="1"/>
  <c r="R263" i="9"/>
  <c r="Q263" i="9"/>
  <c r="P263" i="9"/>
  <c r="O263" i="9"/>
  <c r="N263" i="9"/>
  <c r="M263" i="9"/>
  <c r="L263" i="9"/>
  <c r="K263" i="9"/>
  <c r="J263" i="9"/>
  <c r="I263" i="9"/>
  <c r="I279" i="9" s="1"/>
  <c r="H263" i="9"/>
  <c r="G263" i="9"/>
  <c r="F263" i="9"/>
  <c r="E263" i="9"/>
  <c r="E279" i="9" s="1"/>
  <c r="D263" i="9"/>
  <c r="D279" i="9" s="1"/>
  <c r="C263" i="9"/>
  <c r="B263" i="9"/>
  <c r="B279" i="9" s="1"/>
  <c r="AG262" i="9"/>
  <c r="AF262" i="9"/>
  <c r="AE262" i="9"/>
  <c r="AE278" i="9" s="1"/>
  <c r="AD262" i="9"/>
  <c r="AD278" i="9" s="1"/>
  <c r="AC262" i="9"/>
  <c r="AC278" i="9" s="1"/>
  <c r="AB262" i="9"/>
  <c r="AA262" i="9"/>
  <c r="Z262" i="9"/>
  <c r="Y262" i="9"/>
  <c r="X262" i="9"/>
  <c r="W262" i="9"/>
  <c r="V262" i="9"/>
  <c r="U262" i="9"/>
  <c r="T262" i="9"/>
  <c r="S262" i="9"/>
  <c r="S278" i="9" s="1"/>
  <c r="R262" i="9"/>
  <c r="Q262" i="9"/>
  <c r="P262" i="9"/>
  <c r="O262" i="9"/>
  <c r="O278" i="9" s="1"/>
  <c r="N262" i="9"/>
  <c r="M262" i="9"/>
  <c r="M278" i="9" s="1"/>
  <c r="L262" i="9"/>
  <c r="L278" i="9" s="1"/>
  <c r="K262" i="9"/>
  <c r="K278" i="9" s="1"/>
  <c r="J262" i="9"/>
  <c r="J278" i="9" s="1"/>
  <c r="I262" i="9"/>
  <c r="I278" i="9" s="1"/>
  <c r="H262" i="9"/>
  <c r="H278" i="9" s="1"/>
  <c r="G262" i="9"/>
  <c r="G278" i="9" s="1"/>
  <c r="F262" i="9"/>
  <c r="E262" i="9"/>
  <c r="D262" i="9"/>
  <c r="C262" i="9"/>
  <c r="B262" i="9"/>
  <c r="AF261" i="9"/>
  <c r="AE261" i="9"/>
  <c r="AD261" i="9"/>
  <c r="AC261" i="9"/>
  <c r="AB261" i="9"/>
  <c r="AB277" i="9" s="1"/>
  <c r="AA261" i="9"/>
  <c r="Z261" i="9"/>
  <c r="Y261" i="9"/>
  <c r="Y277" i="9" s="1"/>
  <c r="X261" i="9"/>
  <c r="X277" i="9" s="1"/>
  <c r="W261" i="9"/>
  <c r="V261" i="9"/>
  <c r="V277" i="9" s="1"/>
  <c r="U261" i="9"/>
  <c r="U277" i="9" s="1"/>
  <c r="T261" i="9"/>
  <c r="T277" i="9" s="1"/>
  <c r="S261" i="9"/>
  <c r="S277" i="9" s="1"/>
  <c r="R261" i="9"/>
  <c r="R277" i="9" s="1"/>
  <c r="Q261" i="9"/>
  <c r="Q277" i="9" s="1"/>
  <c r="P261" i="9"/>
  <c r="P277" i="9" s="1"/>
  <c r="O261" i="9"/>
  <c r="N261" i="9"/>
  <c r="M261" i="9"/>
  <c r="L261" i="9"/>
  <c r="K261" i="9"/>
  <c r="J261" i="9"/>
  <c r="I261" i="9"/>
  <c r="H261" i="9"/>
  <c r="G261" i="9"/>
  <c r="F261" i="9"/>
  <c r="F277" i="9" s="1"/>
  <c r="E261" i="9"/>
  <c r="D261" i="9"/>
  <c r="C261" i="9"/>
  <c r="C277" i="9" s="1"/>
  <c r="B261" i="9"/>
  <c r="B277" i="9" s="1"/>
  <c r="AF260" i="9"/>
  <c r="AF276" i="9" s="1"/>
  <c r="AE260" i="9"/>
  <c r="AE276" i="9" s="1"/>
  <c r="AD260" i="9"/>
  <c r="AD276" i="9" s="1"/>
  <c r="AC260" i="9"/>
  <c r="AC276" i="9" s="1"/>
  <c r="AB260" i="9"/>
  <c r="AB276" i="9" s="1"/>
  <c r="AA260" i="9"/>
  <c r="AA276" i="9" s="1"/>
  <c r="Z260" i="9"/>
  <c r="Y260" i="9"/>
  <c r="X260" i="9"/>
  <c r="W260" i="9"/>
  <c r="V260" i="9"/>
  <c r="U260" i="9"/>
  <c r="T260" i="9"/>
  <c r="S260" i="9"/>
  <c r="R260" i="9"/>
  <c r="Q260" i="9"/>
  <c r="P260" i="9"/>
  <c r="P276" i="9" s="1"/>
  <c r="O260" i="9"/>
  <c r="N260" i="9"/>
  <c r="M260" i="9"/>
  <c r="M276" i="9" s="1"/>
  <c r="L260" i="9"/>
  <c r="L276" i="9" s="1"/>
  <c r="K260" i="9"/>
  <c r="J260" i="9"/>
  <c r="J276" i="9" s="1"/>
  <c r="I260" i="9"/>
  <c r="I276" i="9" s="1"/>
  <c r="H260" i="9"/>
  <c r="H276" i="9" s="1"/>
  <c r="G260" i="9"/>
  <c r="G276" i="9" s="1"/>
  <c r="F260" i="9"/>
  <c r="F276" i="9" s="1"/>
  <c r="E260" i="9"/>
  <c r="E276" i="9" s="1"/>
  <c r="D260" i="9"/>
  <c r="D276" i="9" s="1"/>
  <c r="C260" i="9"/>
  <c r="B260" i="9"/>
  <c r="AF259" i="9"/>
  <c r="AE259" i="9"/>
  <c r="AD259" i="9"/>
  <c r="AC259" i="9"/>
  <c r="AB259" i="9"/>
  <c r="AA259" i="9"/>
  <c r="Z259" i="9"/>
  <c r="Y259" i="9"/>
  <c r="Y275" i="9" s="1"/>
  <c r="X259" i="9"/>
  <c r="W259" i="9"/>
  <c r="W275" i="9" s="1"/>
  <c r="V259" i="9"/>
  <c r="V275" i="9" s="1"/>
  <c r="U259" i="9"/>
  <c r="T259" i="9"/>
  <c r="T275" i="9" s="1"/>
  <c r="S259" i="9"/>
  <c r="S275" i="9" s="1"/>
  <c r="R259" i="9"/>
  <c r="R275" i="9" s="1"/>
  <c r="Q259" i="9"/>
  <c r="Q275" i="9" s="1"/>
  <c r="P259" i="9"/>
  <c r="P275" i="9" s="1"/>
  <c r="O259" i="9"/>
  <c r="O275" i="9" s="1"/>
  <c r="N259" i="9"/>
  <c r="N275" i="9" s="1"/>
  <c r="M259" i="9"/>
  <c r="L259" i="9"/>
  <c r="K259" i="9"/>
  <c r="J259" i="9"/>
  <c r="I259" i="9"/>
  <c r="H259" i="9"/>
  <c r="G259" i="9"/>
  <c r="F259" i="9"/>
  <c r="E259" i="9"/>
  <c r="D259" i="9"/>
  <c r="C259" i="9"/>
  <c r="C275" i="9" s="1"/>
  <c r="B259" i="9"/>
  <c r="AF258" i="9"/>
  <c r="AF274" i="9" s="1"/>
  <c r="AE258" i="9"/>
  <c r="AE274" i="9" s="1"/>
  <c r="AD258" i="9"/>
  <c r="AD274" i="9" s="1"/>
  <c r="AC258" i="9"/>
  <c r="AC274" i="9" s="1"/>
  <c r="AB258" i="9"/>
  <c r="AA258" i="9"/>
  <c r="Z258" i="9"/>
  <c r="Z274" i="9" s="1"/>
  <c r="Y258" i="9"/>
  <c r="Y274" i="9" s="1"/>
  <c r="X258" i="9"/>
  <c r="X274" i="9" s="1"/>
  <c r="W258" i="9"/>
  <c r="V258" i="9"/>
  <c r="U258" i="9"/>
  <c r="T258" i="9"/>
  <c r="S258" i="9"/>
  <c r="R258" i="9"/>
  <c r="Q258" i="9"/>
  <c r="P258" i="9"/>
  <c r="O258" i="9"/>
  <c r="N258" i="9"/>
  <c r="M258" i="9"/>
  <c r="M274" i="9" s="1"/>
  <c r="L258" i="9"/>
  <c r="K258" i="9"/>
  <c r="K274" i="9" s="1"/>
  <c r="J258" i="9"/>
  <c r="J274" i="9" s="1"/>
  <c r="I258" i="9"/>
  <c r="I274" i="9" s="1"/>
  <c r="H258" i="9"/>
  <c r="H274" i="9" s="1"/>
  <c r="G258" i="9"/>
  <c r="G274" i="9" s="1"/>
  <c r="F258" i="9"/>
  <c r="F274" i="9" s="1"/>
  <c r="E258" i="9"/>
  <c r="E274" i="9" s="1"/>
  <c r="D258" i="9"/>
  <c r="D274" i="9" s="1"/>
  <c r="C258" i="9"/>
  <c r="C274" i="9" s="1"/>
  <c r="B258" i="9"/>
  <c r="B274" i="9" s="1"/>
  <c r="AF257" i="9"/>
  <c r="AE257" i="9"/>
  <c r="AD257" i="9"/>
  <c r="AC257" i="9"/>
  <c r="AB257" i="9"/>
  <c r="AA257" i="9"/>
  <c r="AG257" i="9" s="1"/>
  <c r="Z257" i="9"/>
  <c r="Y257" i="9"/>
  <c r="Y273" i="9" s="1"/>
  <c r="X257" i="9"/>
  <c r="W257" i="9"/>
  <c r="V257" i="9"/>
  <c r="U257" i="9"/>
  <c r="T257" i="9"/>
  <c r="T273" i="9" s="1"/>
  <c r="S257" i="9"/>
  <c r="S273" i="9" s="1"/>
  <c r="R257" i="9"/>
  <c r="R273" i="9" s="1"/>
  <c r="Q257" i="9"/>
  <c r="Q273" i="9" s="1"/>
  <c r="P257" i="9"/>
  <c r="O257" i="9"/>
  <c r="O273" i="9" s="1"/>
  <c r="N257" i="9"/>
  <c r="N273" i="9" s="1"/>
  <c r="M257" i="9"/>
  <c r="M273" i="9" s="1"/>
  <c r="L257" i="9"/>
  <c r="L273" i="9" s="1"/>
  <c r="K257" i="9"/>
  <c r="J257" i="9"/>
  <c r="I257" i="9"/>
  <c r="H257" i="9"/>
  <c r="G257" i="9"/>
  <c r="F257" i="9"/>
  <c r="E257" i="9"/>
  <c r="D257" i="9"/>
  <c r="C257" i="9"/>
  <c r="C273" i="9" s="1"/>
  <c r="B257" i="9"/>
  <c r="AF256" i="9"/>
  <c r="AE256" i="9"/>
  <c r="AE272" i="9" s="1"/>
  <c r="AD256" i="9"/>
  <c r="AC256" i="9"/>
  <c r="AB256" i="9"/>
  <c r="AB272" i="9" s="1"/>
  <c r="AA256" i="9"/>
  <c r="Z256" i="9"/>
  <c r="Z272" i="9" s="1"/>
  <c r="Y256" i="9"/>
  <c r="Y272" i="9" s="1"/>
  <c r="X256" i="9"/>
  <c r="X272" i="9" s="1"/>
  <c r="W256" i="9"/>
  <c r="W272" i="9" s="1"/>
  <c r="V256" i="9"/>
  <c r="V272" i="9" s="1"/>
  <c r="U256" i="9"/>
  <c r="T256" i="9"/>
  <c r="S256" i="9"/>
  <c r="R256" i="9"/>
  <c r="Q256" i="9"/>
  <c r="P256" i="9"/>
  <c r="O256" i="9"/>
  <c r="N256" i="9"/>
  <c r="M256" i="9"/>
  <c r="M272" i="9" s="1"/>
  <c r="L256" i="9"/>
  <c r="K256" i="9"/>
  <c r="J256" i="9"/>
  <c r="I256" i="9"/>
  <c r="I272" i="9" s="1"/>
  <c r="H256" i="9"/>
  <c r="G256" i="9"/>
  <c r="F256" i="9"/>
  <c r="F272" i="9" s="1"/>
  <c r="E256" i="9"/>
  <c r="E272" i="9" s="1"/>
  <c r="D256" i="9"/>
  <c r="D272" i="9" s="1"/>
  <c r="C256" i="9"/>
  <c r="C272" i="9" s="1"/>
  <c r="B256" i="9"/>
  <c r="B272" i="9" s="1"/>
  <c r="AG255" i="9"/>
  <c r="AF255" i="9"/>
  <c r="AF271" i="9" s="1"/>
  <c r="AE255" i="9"/>
  <c r="AD255" i="9"/>
  <c r="AC255" i="9"/>
  <c r="AB255" i="9"/>
  <c r="AA255" i="9"/>
  <c r="Z255" i="9"/>
  <c r="Y255" i="9"/>
  <c r="X255" i="9"/>
  <c r="W255" i="9"/>
  <c r="V255" i="9"/>
  <c r="V271" i="9" s="1"/>
  <c r="U255" i="9"/>
  <c r="T255" i="9"/>
  <c r="S255" i="9"/>
  <c r="R255" i="9"/>
  <c r="Q255" i="9"/>
  <c r="Q271" i="9" s="1"/>
  <c r="P255" i="9"/>
  <c r="O255" i="9"/>
  <c r="N255" i="9"/>
  <c r="M255" i="9"/>
  <c r="L255" i="9"/>
  <c r="L271" i="9" s="1"/>
  <c r="K255" i="9"/>
  <c r="J255" i="9"/>
  <c r="I255" i="9"/>
  <c r="H255" i="9"/>
  <c r="G255" i="9"/>
  <c r="F255" i="9"/>
  <c r="E255" i="9"/>
  <c r="D255" i="9"/>
  <c r="C255" i="9"/>
  <c r="B255" i="9"/>
  <c r="AF254" i="9"/>
  <c r="AF270" i="9" s="1"/>
  <c r="AE254" i="9"/>
  <c r="AD254" i="9"/>
  <c r="AC254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O254" i="9"/>
  <c r="N254" i="9"/>
  <c r="M254" i="9"/>
  <c r="L254" i="9"/>
  <c r="K254" i="9"/>
  <c r="J254" i="9"/>
  <c r="J270" i="9" s="1"/>
  <c r="I254" i="9"/>
  <c r="H254" i="9"/>
  <c r="G254" i="9"/>
  <c r="F254" i="9"/>
  <c r="E254" i="9"/>
  <c r="D254" i="9"/>
  <c r="C254" i="9"/>
  <c r="B254" i="9"/>
  <c r="AG253" i="9"/>
  <c r="AF253" i="9"/>
  <c r="AE253" i="9"/>
  <c r="AD253" i="9"/>
  <c r="AC253" i="9"/>
  <c r="AB253" i="9"/>
  <c r="AA253" i="9"/>
  <c r="Z253" i="9"/>
  <c r="Y253" i="9"/>
  <c r="X253" i="9"/>
  <c r="W253" i="9"/>
  <c r="V253" i="9"/>
  <c r="U253" i="9"/>
  <c r="T253" i="9"/>
  <c r="S253" i="9"/>
  <c r="R253" i="9"/>
  <c r="Q253" i="9"/>
  <c r="P253" i="9"/>
  <c r="O253" i="9"/>
  <c r="N253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AE250" i="9"/>
  <c r="AD250" i="9"/>
  <c r="AC250" i="9"/>
  <c r="AB250" i="9"/>
  <c r="AB251" i="9" s="1"/>
  <c r="AA250" i="9"/>
  <c r="Z250" i="9"/>
  <c r="Y250" i="9"/>
  <c r="X250" i="9"/>
  <c r="W250" i="9"/>
  <c r="V250" i="9"/>
  <c r="U250" i="9"/>
  <c r="T250" i="9"/>
  <c r="S250" i="9"/>
  <c r="R250" i="9"/>
  <c r="Q250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AG237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G221" i="9"/>
  <c r="AF221" i="9"/>
  <c r="AE221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AG218" i="9"/>
  <c r="AF218" i="9"/>
  <c r="AG206" i="9"/>
  <c r="AF206" i="9"/>
  <c r="AE206" i="9"/>
  <c r="AD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X202" i="9"/>
  <c r="W202" i="9"/>
  <c r="V202" i="9"/>
  <c r="U202" i="9"/>
  <c r="T202" i="9"/>
  <c r="S202" i="9"/>
  <c r="R202" i="9"/>
  <c r="Q202" i="9"/>
  <c r="M202" i="9"/>
  <c r="J202" i="9"/>
  <c r="I202" i="9"/>
  <c r="H202" i="9"/>
  <c r="G202" i="9"/>
  <c r="F202" i="9"/>
  <c r="E202" i="9"/>
  <c r="D202" i="9"/>
  <c r="C202" i="9"/>
  <c r="B202" i="9"/>
  <c r="W201" i="9"/>
  <c r="Q201" i="9"/>
  <c r="N201" i="9"/>
  <c r="M201" i="9"/>
  <c r="M203" i="9" s="1"/>
  <c r="L201" i="9"/>
  <c r="K201" i="9"/>
  <c r="J201" i="9"/>
  <c r="I201" i="9"/>
  <c r="H201" i="9"/>
  <c r="G201" i="9"/>
  <c r="F201" i="9"/>
  <c r="E201" i="9"/>
  <c r="D201" i="9"/>
  <c r="C201" i="9"/>
  <c r="B201" i="9"/>
  <c r="X200" i="9"/>
  <c r="W200" i="9"/>
  <c r="V200" i="9"/>
  <c r="U200" i="9"/>
  <c r="T200" i="9"/>
  <c r="S200" i="9"/>
  <c r="R200" i="9"/>
  <c r="Q200" i="9"/>
  <c r="P200" i="9"/>
  <c r="P203" i="9" s="1"/>
  <c r="O200" i="9"/>
  <c r="O203" i="9" s="1"/>
  <c r="J200" i="9"/>
  <c r="I200" i="9"/>
  <c r="H200" i="9"/>
  <c r="G200" i="9"/>
  <c r="F200" i="9"/>
  <c r="E200" i="9"/>
  <c r="D200" i="9"/>
  <c r="C200" i="9"/>
  <c r="B200" i="9"/>
  <c r="AA199" i="9"/>
  <c r="Z199" i="9"/>
  <c r="Y199" i="9"/>
  <c r="U199" i="9"/>
  <c r="O199" i="9"/>
  <c r="L199" i="9"/>
  <c r="K199" i="9"/>
  <c r="J199" i="9"/>
  <c r="I199" i="9"/>
  <c r="H199" i="9"/>
  <c r="G199" i="9"/>
  <c r="F199" i="9"/>
  <c r="E199" i="9"/>
  <c r="D199" i="9"/>
  <c r="C199" i="9"/>
  <c r="B199" i="9"/>
  <c r="Y198" i="9"/>
  <c r="V198" i="9"/>
  <c r="U198" i="9"/>
  <c r="T198" i="9"/>
  <c r="R198" i="9"/>
  <c r="Q198" i="9"/>
  <c r="N198" i="9"/>
  <c r="M198" i="9"/>
  <c r="J198" i="9"/>
  <c r="I198" i="9"/>
  <c r="H198" i="9"/>
  <c r="G198" i="9"/>
  <c r="F198" i="9"/>
  <c r="E198" i="9"/>
  <c r="D198" i="9"/>
  <c r="C198" i="9"/>
  <c r="B198" i="9"/>
  <c r="AC197" i="9"/>
  <c r="AB197" i="9"/>
  <c r="AA197" i="9"/>
  <c r="Z197" i="9"/>
  <c r="Y197" i="9"/>
  <c r="X197" i="9"/>
  <c r="W197" i="9"/>
  <c r="S197" i="9"/>
  <c r="M197" i="9"/>
  <c r="J197" i="9"/>
  <c r="I197" i="9"/>
  <c r="H197" i="9"/>
  <c r="G197" i="9"/>
  <c r="F197" i="9"/>
  <c r="E197" i="9"/>
  <c r="D197" i="9"/>
  <c r="C197" i="9"/>
  <c r="B197" i="9"/>
  <c r="AC196" i="9"/>
  <c r="W196" i="9"/>
  <c r="T196" i="9"/>
  <c r="S196" i="9"/>
  <c r="O196" i="9"/>
  <c r="N196" i="9"/>
  <c r="K196" i="9"/>
  <c r="J196" i="9"/>
  <c r="I196" i="9"/>
  <c r="H196" i="9"/>
  <c r="G196" i="9"/>
  <c r="F196" i="9"/>
  <c r="E196" i="9"/>
  <c r="D196" i="9"/>
  <c r="C196" i="9"/>
  <c r="B196" i="9"/>
  <c r="AD195" i="9"/>
  <c r="AC195" i="9"/>
  <c r="AB195" i="9"/>
  <c r="AA195" i="9"/>
  <c r="Z195" i="9"/>
  <c r="Y195" i="9"/>
  <c r="X195" i="9"/>
  <c r="W195" i="9"/>
  <c r="V195" i="9"/>
  <c r="U195" i="9"/>
  <c r="J195" i="9"/>
  <c r="I195" i="9"/>
  <c r="H195" i="9"/>
  <c r="G195" i="9"/>
  <c r="F195" i="9"/>
  <c r="E195" i="9"/>
  <c r="D195" i="9"/>
  <c r="C195" i="9"/>
  <c r="B195" i="9"/>
  <c r="AF194" i="9"/>
  <c r="AE194" i="9"/>
  <c r="AA194" i="9"/>
  <c r="U194" i="9"/>
  <c r="R194" i="9"/>
  <c r="P194" i="9"/>
  <c r="M194" i="9"/>
  <c r="J194" i="9"/>
  <c r="I194" i="9"/>
  <c r="H194" i="9"/>
  <c r="G194" i="9"/>
  <c r="F194" i="9"/>
  <c r="E194" i="9"/>
  <c r="D194" i="9"/>
  <c r="C194" i="9"/>
  <c r="B194" i="9"/>
  <c r="AE193" i="9"/>
  <c r="AB193" i="9"/>
  <c r="AA193" i="9"/>
  <c r="Z193" i="9"/>
  <c r="Y193" i="9"/>
  <c r="W193" i="9"/>
  <c r="V193" i="9"/>
  <c r="U193" i="9"/>
  <c r="T193" i="9"/>
  <c r="S193" i="9"/>
  <c r="J193" i="9"/>
  <c r="I193" i="9"/>
  <c r="H193" i="9"/>
  <c r="G193" i="9"/>
  <c r="F193" i="9"/>
  <c r="E193" i="9"/>
  <c r="D193" i="9"/>
  <c r="C193" i="9"/>
  <c r="B193" i="9"/>
  <c r="AF192" i="9"/>
  <c r="AE192" i="9"/>
  <c r="AD192" i="9"/>
  <c r="AC192" i="9"/>
  <c r="P192" i="9"/>
  <c r="L192" i="9"/>
  <c r="K192" i="9"/>
  <c r="J192" i="9"/>
  <c r="I192" i="9"/>
  <c r="H192" i="9"/>
  <c r="G192" i="9"/>
  <c r="F192" i="9"/>
  <c r="E192" i="9"/>
  <c r="D192" i="9"/>
  <c r="C192" i="9"/>
  <c r="B192" i="9"/>
  <c r="AC191" i="9"/>
  <c r="Y191" i="9"/>
  <c r="X191" i="9"/>
  <c r="M191" i="9"/>
  <c r="J191" i="9"/>
  <c r="I191" i="9"/>
  <c r="H191" i="9"/>
  <c r="G191" i="9"/>
  <c r="G203" i="9" s="1"/>
  <c r="F191" i="9"/>
  <c r="E191" i="9"/>
  <c r="D191" i="9"/>
  <c r="C191" i="9"/>
  <c r="B191" i="9"/>
  <c r="AG190" i="9"/>
  <c r="AF190" i="9"/>
  <c r="AE190" i="9"/>
  <c r="AD190" i="9"/>
  <c r="AC190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AG187" i="9"/>
  <c r="W187" i="9"/>
  <c r="V187" i="9"/>
  <c r="U187" i="9"/>
  <c r="T187" i="9"/>
  <c r="S187" i="9"/>
  <c r="S27" i="9" s="1"/>
  <c r="R187" i="9"/>
  <c r="R27" i="9" s="1"/>
  <c r="Q187" i="9"/>
  <c r="Q27" i="9" s="1"/>
  <c r="P187" i="9"/>
  <c r="P27" i="9" s="1"/>
  <c r="O187" i="9"/>
  <c r="O27" i="9" s="1"/>
  <c r="J187" i="9"/>
  <c r="I187" i="9"/>
  <c r="H187" i="9"/>
  <c r="G187" i="9"/>
  <c r="F187" i="9"/>
  <c r="E187" i="9"/>
  <c r="D187" i="9"/>
  <c r="C187" i="9"/>
  <c r="B187" i="9"/>
  <c r="AE186" i="9"/>
  <c r="AE202" i="9" s="1"/>
  <c r="AD186" i="9"/>
  <c r="AD202" i="9" s="1"/>
  <c r="AC186" i="9"/>
  <c r="AC202" i="9" s="1"/>
  <c r="AB186" i="9"/>
  <c r="AB202" i="9" s="1"/>
  <c r="AA186" i="9"/>
  <c r="AA202" i="9" s="1"/>
  <c r="Z186" i="9"/>
  <c r="Z202" i="9" s="1"/>
  <c r="Y186" i="9"/>
  <c r="Y202" i="9" s="1"/>
  <c r="X186" i="9"/>
  <c r="W186" i="9"/>
  <c r="V186" i="9"/>
  <c r="U186" i="9"/>
  <c r="T186" i="9"/>
  <c r="S186" i="9"/>
  <c r="R186" i="9"/>
  <c r="Q186" i="9"/>
  <c r="P186" i="9"/>
  <c r="P202" i="9" s="1"/>
  <c r="O186" i="9"/>
  <c r="O202" i="9" s="1"/>
  <c r="N186" i="9"/>
  <c r="N202" i="9" s="1"/>
  <c r="M186" i="9"/>
  <c r="L186" i="9"/>
  <c r="L202" i="9" s="1"/>
  <c r="K186" i="9"/>
  <c r="K202" i="9" s="1"/>
  <c r="AE185" i="9"/>
  <c r="AE201" i="9" s="1"/>
  <c r="AD185" i="9"/>
  <c r="AD201" i="9" s="1"/>
  <c r="AC185" i="9"/>
  <c r="AC201" i="9" s="1"/>
  <c r="AB185" i="9"/>
  <c r="AB201" i="9" s="1"/>
  <c r="AA185" i="9"/>
  <c r="Z185" i="9"/>
  <c r="Z201" i="9" s="1"/>
  <c r="Y185" i="9"/>
  <c r="Y201" i="9" s="1"/>
  <c r="X185" i="9"/>
  <c r="X201" i="9" s="1"/>
  <c r="W185" i="9"/>
  <c r="V185" i="9"/>
  <c r="V201" i="9" s="1"/>
  <c r="U185" i="9"/>
  <c r="U201" i="9" s="1"/>
  <c r="T185" i="9"/>
  <c r="T201" i="9" s="1"/>
  <c r="S185" i="9"/>
  <c r="S201" i="9" s="1"/>
  <c r="R185" i="9"/>
  <c r="R201" i="9" s="1"/>
  <c r="Q185" i="9"/>
  <c r="P185" i="9"/>
  <c r="P201" i="9" s="1"/>
  <c r="O185" i="9"/>
  <c r="O201" i="9" s="1"/>
  <c r="N185" i="9"/>
  <c r="M185" i="9"/>
  <c r="L185" i="9"/>
  <c r="K185" i="9"/>
  <c r="AE184" i="9"/>
  <c r="AE200" i="9" s="1"/>
  <c r="AD184" i="9"/>
  <c r="AD200" i="9" s="1"/>
  <c r="AC184" i="9"/>
  <c r="AC200" i="9" s="1"/>
  <c r="AB184" i="9"/>
  <c r="AB200" i="9" s="1"/>
  <c r="AA184" i="9"/>
  <c r="Z184" i="9"/>
  <c r="Z200" i="9" s="1"/>
  <c r="Y184" i="9"/>
  <c r="Y200" i="9" s="1"/>
  <c r="X184" i="9"/>
  <c r="W184" i="9"/>
  <c r="V184" i="9"/>
  <c r="U184" i="9"/>
  <c r="T184" i="9"/>
  <c r="S184" i="9"/>
  <c r="R184" i="9"/>
  <c r="Q184" i="9"/>
  <c r="P184" i="9"/>
  <c r="O184" i="9"/>
  <c r="N184" i="9"/>
  <c r="N200" i="9" s="1"/>
  <c r="M184" i="9"/>
  <c r="M200" i="9" s="1"/>
  <c r="L184" i="9"/>
  <c r="L200" i="9" s="1"/>
  <c r="K184" i="9"/>
  <c r="K200" i="9" s="1"/>
  <c r="AE183" i="9"/>
  <c r="AE199" i="9" s="1"/>
  <c r="AD183" i="9"/>
  <c r="AD199" i="9" s="1"/>
  <c r="AC183" i="9"/>
  <c r="AC199" i="9" s="1"/>
  <c r="AB183" i="9"/>
  <c r="AA183" i="9"/>
  <c r="Z183" i="9"/>
  <c r="Y183" i="9"/>
  <c r="X183" i="9"/>
  <c r="X199" i="9" s="1"/>
  <c r="W183" i="9"/>
  <c r="W199" i="9" s="1"/>
  <c r="V183" i="9"/>
  <c r="V199" i="9" s="1"/>
  <c r="U183" i="9"/>
  <c r="T183" i="9"/>
  <c r="T199" i="9" s="1"/>
  <c r="S183" i="9"/>
  <c r="S199" i="9" s="1"/>
  <c r="R183" i="9"/>
  <c r="R199" i="9" s="1"/>
  <c r="Q183" i="9"/>
  <c r="Q199" i="9" s="1"/>
  <c r="P183" i="9"/>
  <c r="P199" i="9" s="1"/>
  <c r="O183" i="9"/>
  <c r="N183" i="9"/>
  <c r="N199" i="9" s="1"/>
  <c r="M183" i="9"/>
  <c r="M199" i="9" s="1"/>
  <c r="L183" i="9"/>
  <c r="K183" i="9"/>
  <c r="AF182" i="9"/>
  <c r="AF198" i="9" s="1"/>
  <c r="AE182" i="9"/>
  <c r="AE198" i="9" s="1"/>
  <c r="AD182" i="9"/>
  <c r="AD198" i="9" s="1"/>
  <c r="AC182" i="9"/>
  <c r="AB182" i="9"/>
  <c r="AB198" i="9" s="1"/>
  <c r="AA182" i="9"/>
  <c r="AA198" i="9" s="1"/>
  <c r="Z182" i="9"/>
  <c r="Z198" i="9" s="1"/>
  <c r="Y182" i="9"/>
  <c r="X182" i="9"/>
  <c r="X198" i="9" s="1"/>
  <c r="W182" i="9"/>
  <c r="W198" i="9" s="1"/>
  <c r="V182" i="9"/>
  <c r="U182" i="9"/>
  <c r="T182" i="9"/>
  <c r="S182" i="9"/>
  <c r="S198" i="9" s="1"/>
  <c r="S203" i="9" s="1"/>
  <c r="R182" i="9"/>
  <c r="Q182" i="9"/>
  <c r="P182" i="9"/>
  <c r="P198" i="9" s="1"/>
  <c r="O182" i="9"/>
  <c r="O198" i="9" s="1"/>
  <c r="N182" i="9"/>
  <c r="M182" i="9"/>
  <c r="L182" i="9"/>
  <c r="L198" i="9" s="1"/>
  <c r="K182" i="9"/>
  <c r="K198" i="9" s="1"/>
  <c r="AF181" i="9"/>
  <c r="AF197" i="9" s="1"/>
  <c r="AE181" i="9"/>
  <c r="AE197" i="9" s="1"/>
  <c r="AD181" i="9"/>
  <c r="AD197" i="9" s="1"/>
  <c r="AC181" i="9"/>
  <c r="AB181" i="9"/>
  <c r="AA181" i="9"/>
  <c r="Z181" i="9"/>
  <c r="Y181" i="9"/>
  <c r="X181" i="9"/>
  <c r="W181" i="9"/>
  <c r="V181" i="9"/>
  <c r="V197" i="9" s="1"/>
  <c r="U181" i="9"/>
  <c r="U197" i="9" s="1"/>
  <c r="T181" i="9"/>
  <c r="T197" i="9" s="1"/>
  <c r="S181" i="9"/>
  <c r="R181" i="9"/>
  <c r="R197" i="9" s="1"/>
  <c r="Q181" i="9"/>
  <c r="Q197" i="9" s="1"/>
  <c r="P181" i="9"/>
  <c r="P197" i="9" s="1"/>
  <c r="O181" i="9"/>
  <c r="O197" i="9" s="1"/>
  <c r="N181" i="9"/>
  <c r="N197" i="9" s="1"/>
  <c r="M181" i="9"/>
  <c r="L181" i="9"/>
  <c r="L197" i="9" s="1"/>
  <c r="K181" i="9"/>
  <c r="K197" i="9" s="1"/>
  <c r="AF180" i="9"/>
  <c r="AF196" i="9" s="1"/>
  <c r="AE180" i="9"/>
  <c r="AD180" i="9"/>
  <c r="AD196" i="9" s="1"/>
  <c r="AC180" i="9"/>
  <c r="AB180" i="9"/>
  <c r="AB196" i="9" s="1"/>
  <c r="AA180" i="9"/>
  <c r="AA196" i="9" s="1"/>
  <c r="Z180" i="9"/>
  <c r="Z196" i="9" s="1"/>
  <c r="Y180" i="9"/>
  <c r="Y196" i="9" s="1"/>
  <c r="X180" i="9"/>
  <c r="X196" i="9" s="1"/>
  <c r="W180" i="9"/>
  <c r="V180" i="9"/>
  <c r="V196" i="9" s="1"/>
  <c r="U180" i="9"/>
  <c r="U196" i="9" s="1"/>
  <c r="T180" i="9"/>
  <c r="S180" i="9"/>
  <c r="R180" i="9"/>
  <c r="R196" i="9" s="1"/>
  <c r="Q180" i="9"/>
  <c r="Q196" i="9" s="1"/>
  <c r="P180" i="9"/>
  <c r="P196" i="9" s="1"/>
  <c r="O180" i="9"/>
  <c r="N180" i="9"/>
  <c r="M180" i="9"/>
  <c r="M196" i="9" s="1"/>
  <c r="L180" i="9"/>
  <c r="L196" i="9" s="1"/>
  <c r="K180" i="9"/>
  <c r="AF179" i="9"/>
  <c r="AF195" i="9" s="1"/>
  <c r="AE179" i="9"/>
  <c r="AE195" i="9" s="1"/>
  <c r="AD179" i="9"/>
  <c r="AC179" i="9"/>
  <c r="AB179" i="9"/>
  <c r="AA179" i="9"/>
  <c r="Z179" i="9"/>
  <c r="Y179" i="9"/>
  <c r="X179" i="9"/>
  <c r="W179" i="9"/>
  <c r="V179" i="9"/>
  <c r="U179" i="9"/>
  <c r="T179" i="9"/>
  <c r="T195" i="9" s="1"/>
  <c r="S179" i="9"/>
  <c r="S195" i="9" s="1"/>
  <c r="R179" i="9"/>
  <c r="R195" i="9" s="1"/>
  <c r="Q179" i="9"/>
  <c r="Q195" i="9" s="1"/>
  <c r="P179" i="9"/>
  <c r="P195" i="9" s="1"/>
  <c r="O179" i="9"/>
  <c r="O195" i="9" s="1"/>
  <c r="N179" i="9"/>
  <c r="N195" i="9" s="1"/>
  <c r="M179" i="9"/>
  <c r="M195" i="9" s="1"/>
  <c r="L179" i="9"/>
  <c r="L195" i="9" s="1"/>
  <c r="K179" i="9"/>
  <c r="K195" i="9" s="1"/>
  <c r="AF178" i="9"/>
  <c r="AE178" i="9"/>
  <c r="AD178" i="9"/>
  <c r="AD194" i="9" s="1"/>
  <c r="AC178" i="9"/>
  <c r="AC194" i="9" s="1"/>
  <c r="AB178" i="9"/>
  <c r="AB194" i="9" s="1"/>
  <c r="AA178" i="9"/>
  <c r="Z178" i="9"/>
  <c r="Z194" i="9" s="1"/>
  <c r="Y178" i="9"/>
  <c r="Y194" i="9" s="1"/>
  <c r="X178" i="9"/>
  <c r="X194" i="9" s="1"/>
  <c r="W178" i="9"/>
  <c r="W194" i="9" s="1"/>
  <c r="V178" i="9"/>
  <c r="V194" i="9" s="1"/>
  <c r="U178" i="9"/>
  <c r="T178" i="9"/>
  <c r="T194" i="9" s="1"/>
  <c r="S178" i="9"/>
  <c r="S194" i="9" s="1"/>
  <c r="R178" i="9"/>
  <c r="Q178" i="9"/>
  <c r="Q194" i="9" s="1"/>
  <c r="P178" i="9"/>
  <c r="O178" i="9"/>
  <c r="O194" i="9" s="1"/>
  <c r="N178" i="9"/>
  <c r="N194" i="9" s="1"/>
  <c r="M178" i="9"/>
  <c r="L178" i="9"/>
  <c r="L194" i="9" s="1"/>
  <c r="K178" i="9"/>
  <c r="AF177" i="9"/>
  <c r="AF193" i="9" s="1"/>
  <c r="AE177" i="9"/>
  <c r="AD177" i="9"/>
  <c r="AD193" i="9" s="1"/>
  <c r="AC177" i="9"/>
  <c r="AC193" i="9" s="1"/>
  <c r="AB177" i="9"/>
  <c r="AA177" i="9"/>
  <c r="Z177" i="9"/>
  <c r="Y177" i="9"/>
  <c r="X177" i="9"/>
  <c r="W177" i="9"/>
  <c r="V177" i="9"/>
  <c r="U177" i="9"/>
  <c r="T177" i="9"/>
  <c r="S177" i="9"/>
  <c r="R177" i="9"/>
  <c r="R193" i="9" s="1"/>
  <c r="Q177" i="9"/>
  <c r="Q193" i="9" s="1"/>
  <c r="P177" i="9"/>
  <c r="P193" i="9" s="1"/>
  <c r="O177" i="9"/>
  <c r="O193" i="9" s="1"/>
  <c r="N177" i="9"/>
  <c r="N193" i="9" s="1"/>
  <c r="M177" i="9"/>
  <c r="M193" i="9" s="1"/>
  <c r="L177" i="9"/>
  <c r="L193" i="9" s="1"/>
  <c r="K177" i="9"/>
  <c r="K193" i="9" s="1"/>
  <c r="AF176" i="9"/>
  <c r="AE176" i="9"/>
  <c r="AD176" i="9"/>
  <c r="AC176" i="9"/>
  <c r="AB176" i="9"/>
  <c r="AB192" i="9" s="1"/>
  <c r="AA176" i="9"/>
  <c r="AA192" i="9" s="1"/>
  <c r="Z176" i="9"/>
  <c r="Z192" i="9" s="1"/>
  <c r="Y176" i="9"/>
  <c r="Y192" i="9" s="1"/>
  <c r="X176" i="9"/>
  <c r="X192" i="9" s="1"/>
  <c r="W176" i="9"/>
  <c r="W192" i="9" s="1"/>
  <c r="V176" i="9"/>
  <c r="V192" i="9" s="1"/>
  <c r="U176" i="9"/>
  <c r="U192" i="9" s="1"/>
  <c r="T176" i="9"/>
  <c r="T192" i="9" s="1"/>
  <c r="S176" i="9"/>
  <c r="S192" i="9" s="1"/>
  <c r="R176" i="9"/>
  <c r="R192" i="9" s="1"/>
  <c r="Q176" i="9"/>
  <c r="Q192" i="9" s="1"/>
  <c r="P176" i="9"/>
  <c r="O176" i="9"/>
  <c r="O192" i="9" s="1"/>
  <c r="N176" i="9"/>
  <c r="N192" i="9" s="1"/>
  <c r="M176" i="9"/>
  <c r="M192" i="9" s="1"/>
  <c r="L176" i="9"/>
  <c r="K176" i="9"/>
  <c r="AF175" i="9"/>
  <c r="AF191" i="9" s="1"/>
  <c r="AE175" i="9"/>
  <c r="AD175" i="9"/>
  <c r="AC175" i="9"/>
  <c r="AB175" i="9"/>
  <c r="AA175" i="9"/>
  <c r="AA191" i="9" s="1"/>
  <c r="Z175" i="9"/>
  <c r="Z187" i="9" s="1"/>
  <c r="Z27" i="9" s="1"/>
  <c r="Y175" i="9"/>
  <c r="X175" i="9"/>
  <c r="W175" i="9"/>
  <c r="W191" i="9" s="1"/>
  <c r="W203" i="9" s="1"/>
  <c r="V175" i="9"/>
  <c r="V191" i="9" s="1"/>
  <c r="U175" i="9"/>
  <c r="U191" i="9" s="1"/>
  <c r="T175" i="9"/>
  <c r="T191" i="9" s="1"/>
  <c r="T203" i="9" s="1"/>
  <c r="S175" i="9"/>
  <c r="S191" i="9" s="1"/>
  <c r="R175" i="9"/>
  <c r="R191" i="9" s="1"/>
  <c r="Q175" i="9"/>
  <c r="Q191" i="9" s="1"/>
  <c r="P175" i="9"/>
  <c r="P191" i="9" s="1"/>
  <c r="O175" i="9"/>
  <c r="O191" i="9" s="1"/>
  <c r="N175" i="9"/>
  <c r="M175" i="9"/>
  <c r="L175" i="9"/>
  <c r="K175" i="9"/>
  <c r="K191" i="9" s="1"/>
  <c r="AG174" i="9"/>
  <c r="AF174" i="9"/>
  <c r="AE174" i="9"/>
  <c r="AD174" i="9"/>
  <c r="AC174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AG171" i="9"/>
  <c r="AF171" i="9"/>
  <c r="AG170" i="9"/>
  <c r="AF170" i="9"/>
  <c r="AG158" i="9"/>
  <c r="AF158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Z155" i="9"/>
  <c r="X155" i="9"/>
  <c r="V155" i="9"/>
  <c r="U155" i="9"/>
  <c r="AE154" i="9"/>
  <c r="AD154" i="9"/>
  <c r="AD281" i="9" s="1"/>
  <c r="AC154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N281" i="9" s="1"/>
  <c r="M154" i="9"/>
  <c r="M281" i="9" s="1"/>
  <c r="L154" i="9"/>
  <c r="K154" i="9"/>
  <c r="J154" i="9"/>
  <c r="I154" i="9"/>
  <c r="H154" i="9"/>
  <c r="H281" i="9" s="1"/>
  <c r="G154" i="9"/>
  <c r="F154" i="9"/>
  <c r="E154" i="9"/>
  <c r="D154" i="9"/>
  <c r="C154" i="9"/>
  <c r="B154" i="9"/>
  <c r="AE153" i="9"/>
  <c r="AD153" i="9"/>
  <c r="AC153" i="9"/>
  <c r="AB153" i="9"/>
  <c r="AA153" i="9"/>
  <c r="Z153" i="9"/>
  <c r="Y153" i="9"/>
  <c r="X153" i="9"/>
  <c r="W153" i="9"/>
  <c r="V153" i="9"/>
  <c r="U153" i="9"/>
  <c r="T153" i="9"/>
  <c r="S153" i="9"/>
  <c r="R153" i="9"/>
  <c r="R280" i="9" s="1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E280" i="9" s="1"/>
  <c r="D153" i="9"/>
  <c r="C153" i="9"/>
  <c r="B153" i="9"/>
  <c r="B280" i="9" s="1"/>
  <c r="AE152" i="9"/>
  <c r="AD152" i="9"/>
  <c r="AC152" i="9"/>
  <c r="AB152" i="9"/>
  <c r="AB279" i="9" s="1"/>
  <c r="AA152" i="9"/>
  <c r="Z152" i="9"/>
  <c r="Y152" i="9"/>
  <c r="Y155" i="9" s="1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F279" i="9" s="1"/>
  <c r="E152" i="9"/>
  <c r="D152" i="9"/>
  <c r="C152" i="9"/>
  <c r="B152" i="9"/>
  <c r="AE151" i="9"/>
  <c r="AD151" i="9"/>
  <c r="AC151" i="9"/>
  <c r="AB151" i="9"/>
  <c r="AA151" i="9"/>
  <c r="Z151" i="9"/>
  <c r="Y151" i="9"/>
  <c r="Y278" i="9" s="1"/>
  <c r="X151" i="9"/>
  <c r="W151" i="9"/>
  <c r="V151" i="9"/>
  <c r="V278" i="9" s="1"/>
  <c r="U151" i="9"/>
  <c r="T151" i="9"/>
  <c r="S151" i="9"/>
  <c r="R151" i="9"/>
  <c r="Q151" i="9"/>
  <c r="P151" i="9"/>
  <c r="P278" i="9" s="1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C278" i="9" s="1"/>
  <c r="B151" i="9"/>
  <c r="AF150" i="9"/>
  <c r="AE150" i="9"/>
  <c r="AD150" i="9"/>
  <c r="AC150" i="9"/>
  <c r="AB150" i="9"/>
  <c r="AA150" i="9"/>
  <c r="Z150" i="9"/>
  <c r="Z277" i="9" s="1"/>
  <c r="Y150" i="9"/>
  <c r="X150" i="9"/>
  <c r="W150" i="9"/>
  <c r="W155" i="9" s="1"/>
  <c r="V150" i="9"/>
  <c r="U150" i="9"/>
  <c r="T150" i="9"/>
  <c r="S150" i="9"/>
  <c r="R150" i="9"/>
  <c r="Q150" i="9"/>
  <c r="P150" i="9"/>
  <c r="O150" i="9"/>
  <c r="N150" i="9"/>
  <c r="M150" i="9"/>
  <c r="M277" i="9" s="1"/>
  <c r="L150" i="9"/>
  <c r="K150" i="9"/>
  <c r="J150" i="9"/>
  <c r="J277" i="9" s="1"/>
  <c r="I150" i="9"/>
  <c r="I277" i="9" s="1"/>
  <c r="H150" i="9"/>
  <c r="G150" i="9"/>
  <c r="F150" i="9"/>
  <c r="E150" i="9"/>
  <c r="D150" i="9"/>
  <c r="D277" i="9" s="1"/>
  <c r="C150" i="9"/>
  <c r="B150" i="9"/>
  <c r="AF149" i="9"/>
  <c r="AE149" i="9"/>
  <c r="AD149" i="9"/>
  <c r="AC149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N276" i="9" s="1"/>
  <c r="M149" i="9"/>
  <c r="L149" i="9"/>
  <c r="K149" i="9"/>
  <c r="J149" i="9"/>
  <c r="I149" i="9"/>
  <c r="H149" i="9"/>
  <c r="G149" i="9"/>
  <c r="F149" i="9"/>
  <c r="E149" i="9"/>
  <c r="D149" i="9"/>
  <c r="C149" i="9"/>
  <c r="B149" i="9"/>
  <c r="AF148" i="9"/>
  <c r="AE148" i="9"/>
  <c r="AD148" i="9"/>
  <c r="AD275" i="9" s="1"/>
  <c r="AC148" i="9"/>
  <c r="AC275" i="9" s="1"/>
  <c r="AB148" i="9"/>
  <c r="AA148" i="9"/>
  <c r="Z148" i="9"/>
  <c r="Y148" i="9"/>
  <c r="X148" i="9"/>
  <c r="X275" i="9" s="1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K275" i="9" s="1"/>
  <c r="J148" i="9"/>
  <c r="I148" i="9"/>
  <c r="H148" i="9"/>
  <c r="G148" i="9"/>
  <c r="F148" i="9"/>
  <c r="E148" i="9"/>
  <c r="D148" i="9"/>
  <c r="C148" i="9"/>
  <c r="B148" i="9"/>
  <c r="B275" i="9" s="1"/>
  <c r="AF147" i="9"/>
  <c r="AE147" i="9"/>
  <c r="AD147" i="9"/>
  <c r="AC147" i="9"/>
  <c r="AB147" i="9"/>
  <c r="AA147" i="9"/>
  <c r="Z147" i="9"/>
  <c r="Y147" i="9"/>
  <c r="X147" i="9"/>
  <c r="W147" i="9"/>
  <c r="V147" i="9"/>
  <c r="U147" i="9"/>
  <c r="U274" i="9" s="1"/>
  <c r="T147" i="9"/>
  <c r="S147" i="9"/>
  <c r="R147" i="9"/>
  <c r="R274" i="9" s="1"/>
  <c r="Q147" i="9"/>
  <c r="Q274" i="9" s="1"/>
  <c r="P147" i="9"/>
  <c r="O147" i="9"/>
  <c r="N147" i="9"/>
  <c r="M147" i="9"/>
  <c r="L147" i="9"/>
  <c r="L274" i="9" s="1"/>
  <c r="K147" i="9"/>
  <c r="J147" i="9"/>
  <c r="I147" i="9"/>
  <c r="H147" i="9"/>
  <c r="G147" i="9"/>
  <c r="F147" i="9"/>
  <c r="E147" i="9"/>
  <c r="D147" i="9"/>
  <c r="C147" i="9"/>
  <c r="B147" i="9"/>
  <c r="AF146" i="9"/>
  <c r="AE146" i="9"/>
  <c r="AD146" i="9"/>
  <c r="AC146" i="9"/>
  <c r="AB146" i="9"/>
  <c r="AB273" i="9" s="1"/>
  <c r="AA146" i="9"/>
  <c r="Z146" i="9"/>
  <c r="Y146" i="9"/>
  <c r="X146" i="9"/>
  <c r="W146" i="9"/>
  <c r="V146" i="9"/>
  <c r="V273" i="9" s="1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I273" i="9" s="1"/>
  <c r="H146" i="9"/>
  <c r="G146" i="9"/>
  <c r="F146" i="9"/>
  <c r="F273" i="9" s="1"/>
  <c r="E146" i="9"/>
  <c r="E273" i="9" s="1"/>
  <c r="D146" i="9"/>
  <c r="C146" i="9"/>
  <c r="B146" i="9"/>
  <c r="AF145" i="9"/>
  <c r="AF272" i="9" s="1"/>
  <c r="AE145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J272" i="9" s="1"/>
  <c r="I145" i="9"/>
  <c r="H145" i="9"/>
  <c r="G145" i="9"/>
  <c r="F145" i="9"/>
  <c r="E145" i="9"/>
  <c r="D145" i="9"/>
  <c r="C145" i="9"/>
  <c r="B145" i="9"/>
  <c r="AF144" i="9"/>
  <c r="AE144" i="9"/>
  <c r="AD144" i="9"/>
  <c r="AC144" i="9"/>
  <c r="AC271" i="9" s="1"/>
  <c r="AB144" i="9"/>
  <c r="AA144" i="9"/>
  <c r="Z144" i="9"/>
  <c r="Z271" i="9" s="1"/>
  <c r="Y144" i="9"/>
  <c r="Y271" i="9" s="1"/>
  <c r="X144" i="9"/>
  <c r="W144" i="9"/>
  <c r="V144" i="9"/>
  <c r="U144" i="9"/>
  <c r="T144" i="9"/>
  <c r="T271" i="9" s="1"/>
  <c r="S144" i="9"/>
  <c r="S155" i="9" s="1"/>
  <c r="R144" i="9"/>
  <c r="Q144" i="9"/>
  <c r="P144" i="9"/>
  <c r="O144" i="9"/>
  <c r="N144" i="9"/>
  <c r="M144" i="9"/>
  <c r="L144" i="9"/>
  <c r="K144" i="9"/>
  <c r="J144" i="9"/>
  <c r="I144" i="9"/>
  <c r="H144" i="9"/>
  <c r="G144" i="9"/>
  <c r="G271" i="9" s="1"/>
  <c r="F144" i="9"/>
  <c r="E144" i="9"/>
  <c r="D144" i="9"/>
  <c r="D155" i="9" s="1"/>
  <c r="C144" i="9"/>
  <c r="B144" i="9"/>
  <c r="B155" i="9" s="1"/>
  <c r="AF143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P155" i="9" s="1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G142" i="9"/>
  <c r="AF142" i="9"/>
  <c r="AE142" i="9"/>
  <c r="AD142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O23" i="9" s="1"/>
  <c r="N139" i="9"/>
  <c r="M139" i="9"/>
  <c r="L139" i="9"/>
  <c r="K139" i="9"/>
  <c r="K23" i="9" s="1"/>
  <c r="J139" i="9"/>
  <c r="J23" i="9" s="1"/>
  <c r="I139" i="9"/>
  <c r="H139" i="9"/>
  <c r="G139" i="9"/>
  <c r="F139" i="9"/>
  <c r="E139" i="9"/>
  <c r="D139" i="9"/>
  <c r="C139" i="9"/>
  <c r="B139" i="9"/>
  <c r="AG126" i="9"/>
  <c r="AF126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E123" i="9"/>
  <c r="AD123" i="9"/>
  <c r="AC123" i="9"/>
  <c r="AB123" i="9"/>
  <c r="AA123" i="9"/>
  <c r="Z123" i="9"/>
  <c r="Y123" i="9"/>
  <c r="X123" i="9"/>
  <c r="W123" i="9"/>
  <c r="V123" i="9"/>
  <c r="V23" i="9" s="1"/>
  <c r="U123" i="9"/>
  <c r="U23" i="9" s="1"/>
  <c r="T123" i="9"/>
  <c r="T23" i="9" s="1"/>
  <c r="S123" i="9"/>
  <c r="S23" i="9" s="1"/>
  <c r="R123" i="9"/>
  <c r="R23" i="9" s="1"/>
  <c r="R25" i="9" s="1"/>
  <c r="R28" i="9" s="1"/>
  <c r="Q123" i="9"/>
  <c r="Q23" i="9" s="1"/>
  <c r="Q25" i="9" s="1"/>
  <c r="Q28" i="9" s="1"/>
  <c r="Q26" i="9" s="1"/>
  <c r="P123" i="9"/>
  <c r="O123" i="9"/>
  <c r="N123" i="9"/>
  <c r="M123" i="9"/>
  <c r="M23" i="9" s="1"/>
  <c r="L123" i="9"/>
  <c r="K123" i="9"/>
  <c r="J123" i="9"/>
  <c r="I123" i="9"/>
  <c r="H123" i="9"/>
  <c r="G123" i="9"/>
  <c r="F123" i="9"/>
  <c r="E123" i="9"/>
  <c r="D123" i="9"/>
  <c r="C123" i="9"/>
  <c r="C23" i="9" s="1"/>
  <c r="B123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G95" i="9"/>
  <c r="AF95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E93" i="9"/>
  <c r="AB93" i="9"/>
  <c r="AA93" i="9"/>
  <c r="Z93" i="9"/>
  <c r="Y93" i="9"/>
  <c r="X93" i="9"/>
  <c r="T93" i="9"/>
  <c r="S93" i="9"/>
  <c r="AG92" i="9"/>
  <c r="AF92" i="9"/>
  <c r="AE92" i="9"/>
  <c r="AE12" i="9" s="1"/>
  <c r="AD92" i="9"/>
  <c r="AC92" i="9"/>
  <c r="AB92" i="9"/>
  <c r="AA92" i="9"/>
  <c r="Z92" i="9"/>
  <c r="Y92" i="9"/>
  <c r="X92" i="9"/>
  <c r="W92" i="9"/>
  <c r="V92" i="9"/>
  <c r="U92" i="9"/>
  <c r="T92" i="9"/>
  <c r="S92" i="9"/>
  <c r="S12" i="9" s="1"/>
  <c r="R92" i="9"/>
  <c r="Q92" i="9"/>
  <c r="P92" i="9"/>
  <c r="P12" i="9" s="1"/>
  <c r="P93" i="9" s="1"/>
  <c r="O92" i="9"/>
  <c r="O12" i="9" s="1"/>
  <c r="O93" i="9" s="1"/>
  <c r="N92" i="9"/>
  <c r="N12" i="9" s="1"/>
  <c r="N93" i="9" s="1"/>
  <c r="M92" i="9"/>
  <c r="M12" i="9" s="1"/>
  <c r="M93" i="9" s="1"/>
  <c r="L92" i="9"/>
  <c r="L12" i="9" s="1"/>
  <c r="L93" i="9" s="1"/>
  <c r="K92" i="9"/>
  <c r="J92" i="9"/>
  <c r="J12" i="9" s="1"/>
  <c r="J93" i="9" s="1"/>
  <c r="I92" i="9"/>
  <c r="I12" i="9" s="1"/>
  <c r="I93" i="9" s="1"/>
  <c r="H92" i="9"/>
  <c r="H12" i="9" s="1"/>
  <c r="H93" i="9" s="1"/>
  <c r="G92" i="9"/>
  <c r="G12" i="9" s="1"/>
  <c r="G93" i="9" s="1"/>
  <c r="F92" i="9"/>
  <c r="E92" i="9"/>
  <c r="D92" i="9"/>
  <c r="C92" i="9"/>
  <c r="B92" i="9"/>
  <c r="AG8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G76" i="9"/>
  <c r="AC76" i="9"/>
  <c r="AC13" i="9" s="1"/>
  <c r="AA76" i="9"/>
  <c r="AA13" i="9" s="1"/>
  <c r="X76" i="9"/>
  <c r="W76" i="9"/>
  <c r="W13" i="9" s="1"/>
  <c r="J76" i="9"/>
  <c r="I76" i="9"/>
  <c r="H76" i="9"/>
  <c r="H13" i="9" s="1"/>
  <c r="G76" i="9"/>
  <c r="G13" i="9" s="1"/>
  <c r="F76" i="9"/>
  <c r="F13" i="9" s="1"/>
  <c r="E76" i="9"/>
  <c r="E13" i="9" s="1"/>
  <c r="D76" i="9"/>
  <c r="D13" i="9" s="1"/>
  <c r="C76" i="9"/>
  <c r="C13" i="9" s="1"/>
  <c r="B76" i="9"/>
  <c r="B13" i="9" s="1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AF74" i="9"/>
  <c r="AE74" i="9"/>
  <c r="AD74" i="9"/>
  <c r="AC74" i="9"/>
  <c r="AB74" i="9"/>
  <c r="AA74" i="9"/>
  <c r="Z74" i="9"/>
  <c r="Y74" i="9"/>
  <c r="X74" i="9"/>
  <c r="W74" i="9"/>
  <c r="V74" i="9"/>
  <c r="V76" i="9" s="1"/>
  <c r="V13" i="9" s="1"/>
  <c r="U74" i="9"/>
  <c r="T74" i="9"/>
  <c r="S74" i="9"/>
  <c r="R74" i="9"/>
  <c r="Q74" i="9"/>
  <c r="P74" i="9"/>
  <c r="O74" i="9"/>
  <c r="N74" i="9"/>
  <c r="M74" i="9"/>
  <c r="L74" i="9"/>
  <c r="K74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K76" i="9" s="1"/>
  <c r="K13" i="9" s="1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AF66" i="9"/>
  <c r="AE66" i="9"/>
  <c r="AD66" i="9"/>
  <c r="AD76" i="9" s="1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AF64" i="9"/>
  <c r="AE64" i="9"/>
  <c r="AE76" i="9" s="1"/>
  <c r="AE13" i="9" s="1"/>
  <c r="AD64" i="9"/>
  <c r="AC64" i="9"/>
  <c r="AB64" i="9"/>
  <c r="AB76" i="9" s="1"/>
  <c r="AB13" i="9" s="1"/>
  <c r="AA64" i="9"/>
  <c r="Z64" i="9"/>
  <c r="Z76" i="9" s="1"/>
  <c r="Z13" i="9" s="1"/>
  <c r="Y64" i="9"/>
  <c r="Y76" i="9" s="1"/>
  <c r="Y13" i="9" s="1"/>
  <c r="X64" i="9"/>
  <c r="W64" i="9"/>
  <c r="V64" i="9"/>
  <c r="U64" i="9"/>
  <c r="U76" i="9" s="1"/>
  <c r="U13" i="9" s="1"/>
  <c r="T64" i="9"/>
  <c r="T76" i="9" s="1"/>
  <c r="T13" i="9" s="1"/>
  <c r="S64" i="9"/>
  <c r="R64" i="9"/>
  <c r="Q64" i="9"/>
  <c r="P64" i="9"/>
  <c r="O64" i="9"/>
  <c r="N64" i="9"/>
  <c r="N76" i="9" s="1"/>
  <c r="N13" i="9" s="1"/>
  <c r="M64" i="9"/>
  <c r="L64" i="9"/>
  <c r="K64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G60" i="9"/>
  <c r="AF60" i="9"/>
  <c r="Q60" i="9"/>
  <c r="N60" i="9"/>
  <c r="J60" i="9"/>
  <c r="I60" i="9"/>
  <c r="H60" i="9"/>
  <c r="G60" i="9"/>
  <c r="F60" i="9"/>
  <c r="E60" i="9"/>
  <c r="D60" i="9"/>
  <c r="C60" i="9"/>
  <c r="B60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AF48" i="9"/>
  <c r="AE48" i="9"/>
  <c r="AD48" i="9"/>
  <c r="AD60" i="9" s="1"/>
  <c r="AD10" i="9" s="1"/>
  <c r="AC48" i="9"/>
  <c r="AB48" i="9"/>
  <c r="AA48" i="9"/>
  <c r="AA60" i="9" s="1"/>
  <c r="Z48" i="9"/>
  <c r="Y48" i="9"/>
  <c r="X48" i="9"/>
  <c r="X60" i="9" s="1"/>
  <c r="X10" i="9" s="1"/>
  <c r="W48" i="9"/>
  <c r="V48" i="9"/>
  <c r="U48" i="9"/>
  <c r="T48" i="9"/>
  <c r="S48" i="9"/>
  <c r="S60" i="9" s="1"/>
  <c r="R48" i="9"/>
  <c r="Q48" i="9"/>
  <c r="P48" i="9"/>
  <c r="O48" i="9"/>
  <c r="N48" i="9"/>
  <c r="M48" i="9"/>
  <c r="L48" i="9"/>
  <c r="K48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E42" i="9"/>
  <c r="AF32" i="9" s="1"/>
  <c r="AD42" i="9"/>
  <c r="AC42" i="9"/>
  <c r="AB42" i="9"/>
  <c r="AA42" i="9"/>
  <c r="Z42" i="9"/>
  <c r="Z346" i="9" s="1"/>
  <c r="Y42" i="9"/>
  <c r="Y346" i="9" s="1"/>
  <c r="X42" i="9"/>
  <c r="X346" i="9" s="1"/>
  <c r="W42" i="9"/>
  <c r="W346" i="9" s="1"/>
  <c r="V42" i="9"/>
  <c r="V346" i="9" s="1"/>
  <c r="U42" i="9"/>
  <c r="U346" i="9" s="1"/>
  <c r="T42" i="9"/>
  <c r="S42" i="9"/>
  <c r="R42" i="9"/>
  <c r="Q42" i="9"/>
  <c r="R32" i="9" s="1"/>
  <c r="P42" i="9"/>
  <c r="O42" i="9"/>
  <c r="N42" i="9"/>
  <c r="O32" i="9" s="1"/>
  <c r="M42" i="9"/>
  <c r="N32" i="9" s="1"/>
  <c r="L42" i="9"/>
  <c r="M32" i="9" s="1"/>
  <c r="K42" i="9"/>
  <c r="L32" i="9" s="1"/>
  <c r="J42" i="9"/>
  <c r="K32" i="9" s="1"/>
  <c r="I42" i="9"/>
  <c r="J32" i="9" s="1"/>
  <c r="J35" i="9" s="1"/>
  <c r="J41" i="9" s="1"/>
  <c r="J36" i="9" s="1"/>
  <c r="H42" i="9"/>
  <c r="I32" i="9" s="1"/>
  <c r="G42" i="9"/>
  <c r="H32" i="9" s="1"/>
  <c r="F42" i="9"/>
  <c r="G32" i="9" s="1"/>
  <c r="G35" i="9" s="1"/>
  <c r="G41" i="9" s="1"/>
  <c r="E42" i="9"/>
  <c r="F32" i="9" s="1"/>
  <c r="F35" i="9" s="1"/>
  <c r="D42" i="9"/>
  <c r="C42" i="9"/>
  <c r="B42" i="9"/>
  <c r="J40" i="9"/>
  <c r="I40" i="9"/>
  <c r="H40" i="9"/>
  <c r="F40" i="9"/>
  <c r="E40" i="9"/>
  <c r="C40" i="9"/>
  <c r="AG36" i="9"/>
  <c r="AG330" i="9" s="1"/>
  <c r="AF36" i="9"/>
  <c r="AF330" i="9" s="1"/>
  <c r="G36" i="9"/>
  <c r="I35" i="9"/>
  <c r="I34" i="9"/>
  <c r="H34" i="9"/>
  <c r="G34" i="9"/>
  <c r="F34" i="9"/>
  <c r="AE33" i="9"/>
  <c r="AE251" i="9" s="1"/>
  <c r="AD33" i="9"/>
  <c r="AD251" i="9" s="1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E35" i="9" s="1"/>
  <c r="E41" i="9" s="1"/>
  <c r="E36" i="9" s="1"/>
  <c r="D33" i="9"/>
  <c r="C33" i="9"/>
  <c r="B33" i="9"/>
  <c r="B35" i="9" s="1"/>
  <c r="B41" i="9" s="1"/>
  <c r="B36" i="9" s="1"/>
  <c r="B39" i="9" s="1"/>
  <c r="AG32" i="9"/>
  <c r="AA32" i="9"/>
  <c r="Z32" i="9"/>
  <c r="Y32" i="9"/>
  <c r="W32" i="9"/>
  <c r="V32" i="9"/>
  <c r="U32" i="9"/>
  <c r="T32" i="9"/>
  <c r="S32" i="9"/>
  <c r="Q32" i="9"/>
  <c r="P32" i="9"/>
  <c r="E32" i="9"/>
  <c r="D32" i="9"/>
  <c r="D35" i="9" s="1"/>
  <c r="D41" i="9" s="1"/>
  <c r="D36" i="9" s="1"/>
  <c r="C32" i="9"/>
  <c r="C35" i="9" s="1"/>
  <c r="C41" i="9" s="1"/>
  <c r="C36" i="9" s="1"/>
  <c r="AE29" i="9"/>
  <c r="AD29" i="9"/>
  <c r="AE22" i="9" s="1"/>
  <c r="AC29" i="9"/>
  <c r="AB29" i="9"/>
  <c r="AA29" i="9"/>
  <c r="AB22" i="9" s="1"/>
  <c r="Z29" i="9"/>
  <c r="AA22" i="9" s="1"/>
  <c r="Y29" i="9"/>
  <c r="Z22" i="9" s="1"/>
  <c r="Z25" i="9" s="1"/>
  <c r="Z28" i="9" s="1"/>
  <c r="X29" i="9"/>
  <c r="Y22" i="9" s="1"/>
  <c r="W29" i="9"/>
  <c r="X22" i="9" s="1"/>
  <c r="V29" i="9"/>
  <c r="W22" i="9" s="1"/>
  <c r="U29" i="9"/>
  <c r="T29" i="9"/>
  <c r="U22" i="9" s="1"/>
  <c r="S29" i="9"/>
  <c r="T22" i="9" s="1"/>
  <c r="R29" i="9"/>
  <c r="S22" i="9" s="1"/>
  <c r="Q29" i="9"/>
  <c r="P29" i="9"/>
  <c r="O29" i="9"/>
  <c r="N29" i="9"/>
  <c r="M29" i="9"/>
  <c r="L29" i="9"/>
  <c r="K29" i="9"/>
  <c r="J29" i="9"/>
  <c r="I29" i="9"/>
  <c r="H29" i="9"/>
  <c r="I22" i="9" s="1"/>
  <c r="I25" i="9" s="1"/>
  <c r="I28" i="9" s="1"/>
  <c r="I26" i="9" s="1"/>
  <c r="G29" i="9"/>
  <c r="F29" i="9"/>
  <c r="E29" i="9"/>
  <c r="F22" i="9" s="1"/>
  <c r="D29" i="9"/>
  <c r="E22" i="9" s="1"/>
  <c r="C29" i="9"/>
  <c r="D22" i="9" s="1"/>
  <c r="B29" i="9"/>
  <c r="C22" i="9" s="1"/>
  <c r="G28" i="9"/>
  <c r="G26" i="9" s="1"/>
  <c r="AF27" i="9"/>
  <c r="AF187" i="9" s="1"/>
  <c r="W27" i="9"/>
  <c r="V27" i="9"/>
  <c r="U27" i="9"/>
  <c r="T27" i="9"/>
  <c r="J27" i="9"/>
  <c r="I27" i="9"/>
  <c r="H27" i="9"/>
  <c r="G27" i="9"/>
  <c r="F27" i="9"/>
  <c r="E27" i="9"/>
  <c r="D27" i="9"/>
  <c r="C27" i="9"/>
  <c r="B27" i="9"/>
  <c r="Y25" i="9"/>
  <c r="Y28" i="9" s="1"/>
  <c r="V25" i="9"/>
  <c r="V28" i="9" s="1"/>
  <c r="V26" i="9" s="1"/>
  <c r="U25" i="9"/>
  <c r="U28" i="9" s="1"/>
  <c r="U26" i="9" s="1"/>
  <c r="T25" i="9"/>
  <c r="T28" i="9" s="1"/>
  <c r="T26" i="9" s="1"/>
  <c r="S25" i="9"/>
  <c r="S28" i="9" s="1"/>
  <c r="S26" i="9" s="1"/>
  <c r="P25" i="9"/>
  <c r="P28" i="9" s="1"/>
  <c r="P26" i="9" s="1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Z23" i="9"/>
  <c r="Y23" i="9"/>
  <c r="X23" i="9"/>
  <c r="W23" i="9"/>
  <c r="P23" i="9"/>
  <c r="N23" i="9"/>
  <c r="L23" i="9"/>
  <c r="I23" i="9"/>
  <c r="H23" i="9"/>
  <c r="G23" i="9"/>
  <c r="G25" i="9" s="1"/>
  <c r="F23" i="9"/>
  <c r="E23" i="9"/>
  <c r="D23" i="9"/>
  <c r="B23" i="9"/>
  <c r="B25" i="9" s="1"/>
  <c r="AG22" i="9"/>
  <c r="AF22" i="9"/>
  <c r="AD22" i="9"/>
  <c r="AC22" i="9"/>
  <c r="V22" i="9"/>
  <c r="R22" i="9"/>
  <c r="Q22" i="9"/>
  <c r="P22" i="9"/>
  <c r="O22" i="9"/>
  <c r="N22" i="9"/>
  <c r="N25" i="9" s="1"/>
  <c r="N28" i="9" s="1"/>
  <c r="M22" i="9"/>
  <c r="L22" i="9"/>
  <c r="L25" i="9" s="1"/>
  <c r="L28" i="9" s="1"/>
  <c r="K22" i="9"/>
  <c r="K25" i="9" s="1"/>
  <c r="K28" i="9" s="1"/>
  <c r="J22" i="9"/>
  <c r="J25" i="9" s="1"/>
  <c r="J28" i="9" s="1"/>
  <c r="J26" i="9" s="1"/>
  <c r="H22" i="9"/>
  <c r="G22" i="9"/>
  <c r="AE17" i="9"/>
  <c r="AD17" i="9"/>
  <c r="AC17" i="9"/>
  <c r="AD8" i="9" s="1"/>
  <c r="AD11" i="9" s="1"/>
  <c r="AD16" i="9" s="1"/>
  <c r="AB17" i="9"/>
  <c r="AA17" i="9"/>
  <c r="Z17" i="9"/>
  <c r="Y17" i="9"/>
  <c r="X17" i="9"/>
  <c r="Y8" i="9" s="1"/>
  <c r="J16" i="9"/>
  <c r="I16" i="9"/>
  <c r="H16" i="9"/>
  <c r="G16" i="9"/>
  <c r="F16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F13" i="9"/>
  <c r="AF76" i="9" s="1"/>
  <c r="X13" i="9"/>
  <c r="J13" i="9"/>
  <c r="I13" i="9"/>
  <c r="AF12" i="9"/>
  <c r="AD12" i="9"/>
  <c r="AD93" i="9" s="1"/>
  <c r="AC12" i="9"/>
  <c r="AC93" i="9" s="1"/>
  <c r="AB12" i="9"/>
  <c r="AA12" i="9"/>
  <c r="Z12" i="9"/>
  <c r="Y12" i="9"/>
  <c r="X12" i="9"/>
  <c r="W12" i="9"/>
  <c r="W93" i="9" s="1"/>
  <c r="V12" i="9"/>
  <c r="V93" i="9" s="1"/>
  <c r="U12" i="9"/>
  <c r="U93" i="9" s="1"/>
  <c r="T12" i="9"/>
  <c r="R12" i="9"/>
  <c r="R93" i="9" s="1"/>
  <c r="Q12" i="9"/>
  <c r="Q93" i="9" s="1"/>
  <c r="K12" i="9"/>
  <c r="K93" i="9" s="1"/>
  <c r="F12" i="9"/>
  <c r="F93" i="9" s="1"/>
  <c r="E12" i="9"/>
  <c r="E93" i="9" s="1"/>
  <c r="D12" i="9"/>
  <c r="D93" i="9" s="1"/>
  <c r="C12" i="9"/>
  <c r="C93" i="9" s="1"/>
  <c r="B12" i="9"/>
  <c r="B93" i="9" s="1"/>
  <c r="AF11" i="9"/>
  <c r="AF16" i="9" s="1"/>
  <c r="J11" i="9"/>
  <c r="I11" i="9"/>
  <c r="B11" i="9"/>
  <c r="B16" i="9" s="1"/>
  <c r="B15" i="9" s="1"/>
  <c r="S10" i="9"/>
  <c r="Q10" i="9"/>
  <c r="Q11" i="9" s="1"/>
  <c r="Q16" i="9" s="1"/>
  <c r="AG8" i="9"/>
  <c r="AF8" i="9"/>
  <c r="AE8" i="9"/>
  <c r="AC8" i="9"/>
  <c r="AB8" i="9"/>
  <c r="AA8" i="9"/>
  <c r="Z8" i="9"/>
  <c r="X8" i="9"/>
  <c r="W8" i="9"/>
  <c r="V8" i="9"/>
  <c r="U8" i="9"/>
  <c r="T8" i="9"/>
  <c r="S8" i="9"/>
  <c r="S11" i="9" s="1"/>
  <c r="S16" i="9" s="1"/>
  <c r="R8" i="9"/>
  <c r="Q8" i="9"/>
  <c r="P8" i="9"/>
  <c r="O8" i="9"/>
  <c r="N8" i="9"/>
  <c r="M8" i="9"/>
  <c r="L8" i="9"/>
  <c r="K8" i="9"/>
  <c r="J8" i="9"/>
  <c r="I8" i="9"/>
  <c r="H8" i="9"/>
  <c r="H11" i="9" s="1"/>
  <c r="G8" i="9"/>
  <c r="G11" i="9" s="1"/>
  <c r="F8" i="9"/>
  <c r="F11" i="9" s="1"/>
  <c r="E8" i="9"/>
  <c r="E11" i="9" s="1"/>
  <c r="E16" i="9" s="1"/>
  <c r="D8" i="9"/>
  <c r="D11" i="9" s="1"/>
  <c r="D16" i="9" s="1"/>
  <c r="C8" i="9"/>
  <c r="C11" i="9" s="1"/>
  <c r="C16" i="9" s="1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H5" i="9"/>
  <c r="AH4" i="9" s="1"/>
  <c r="AG14" i="9" s="1"/>
  <c r="AG5" i="9"/>
  <c r="AG4" i="9" s="1"/>
  <c r="EM44" i="8"/>
  <c r="EL44" i="8"/>
  <c r="EK44" i="8"/>
  <c r="EJ44" i="8"/>
  <c r="EI44" i="8"/>
  <c r="EH44" i="8"/>
  <c r="EG44" i="8"/>
  <c r="EF44" i="8"/>
  <c r="EE44" i="8"/>
  <c r="ED44" i="8"/>
  <c r="EC44" i="8"/>
  <c r="EB44" i="8"/>
  <c r="EA44" i="8"/>
  <c r="DZ44" i="8"/>
  <c r="DY44" i="8"/>
  <c r="DX44" i="8"/>
  <c r="DW44" i="8"/>
  <c r="DV44" i="8"/>
  <c r="DU44" i="8"/>
  <c r="DT44" i="8"/>
  <c r="DS44" i="8"/>
  <c r="DR44" i="8"/>
  <c r="DQ44" i="8"/>
  <c r="DP44" i="8"/>
  <c r="DO44" i="8"/>
  <c r="DN44" i="8"/>
  <c r="DM44" i="8"/>
  <c r="DL44" i="8"/>
  <c r="DJ44" i="8"/>
  <c r="DI44" i="8"/>
  <c r="DH44" i="8"/>
  <c r="DG44" i="8"/>
  <c r="DF44" i="8"/>
  <c r="DE44" i="8"/>
  <c r="DD44" i="8"/>
  <c r="DC44" i="8"/>
  <c r="DB44" i="8"/>
  <c r="DA44" i="8"/>
  <c r="CZ44" i="8"/>
  <c r="CY44" i="8"/>
  <c r="CX44" i="8"/>
  <c r="CW44" i="8"/>
  <c r="CV44" i="8"/>
  <c r="CU44" i="8"/>
  <c r="CT44" i="8"/>
  <c r="CS44" i="8"/>
  <c r="CR44" i="8"/>
  <c r="CQ44" i="8"/>
  <c r="CP44" i="8"/>
  <c r="CO44" i="8"/>
  <c r="CN44" i="8"/>
  <c r="CM44" i="8"/>
  <c r="CL44" i="8"/>
  <c r="CK44" i="8"/>
  <c r="CJ44" i="8"/>
  <c r="CG44" i="8"/>
  <c r="CF44" i="8"/>
  <c r="CE44" i="8"/>
  <c r="CD44" i="8"/>
  <c r="CC44" i="8"/>
  <c r="CB44" i="8"/>
  <c r="CA44" i="8"/>
  <c r="BZ44" i="8"/>
  <c r="BY44" i="8"/>
  <c r="BX44" i="8"/>
  <c r="BW44" i="8"/>
  <c r="BV44" i="8"/>
  <c r="BU44" i="8"/>
  <c r="BT44" i="8"/>
  <c r="BS44" i="8"/>
  <c r="BR44" i="8"/>
  <c r="BQ44" i="8"/>
  <c r="BP44" i="8"/>
  <c r="BO44" i="8"/>
  <c r="BN44" i="8"/>
  <c r="BM44" i="8"/>
  <c r="BL44" i="8"/>
  <c r="BK44" i="8"/>
  <c r="BJ44" i="8"/>
  <c r="BI44" i="8"/>
  <c r="BH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DM40" i="8"/>
  <c r="DD40" i="8"/>
  <c r="BN40" i="8"/>
  <c r="BM40" i="8"/>
  <c r="BL40" i="8"/>
  <c r="T40" i="8"/>
  <c r="S40" i="8"/>
  <c r="R40" i="8"/>
  <c r="EP39" i="8"/>
  <c r="ET39" i="8" s="1"/>
  <c r="DV39" i="8"/>
  <c r="DU39" i="8"/>
  <c r="DT39" i="8"/>
  <c r="DS39" i="8"/>
  <c r="DR39" i="8"/>
  <c r="DQ39" i="8"/>
  <c r="DM39" i="8"/>
  <c r="DL39" i="8"/>
  <c r="DK39" i="8"/>
  <c r="DJ39" i="8"/>
  <c r="DI39" i="8"/>
  <c r="DH39" i="8"/>
  <c r="DG39" i="8"/>
  <c r="DF39" i="8"/>
  <c r="DE39" i="8"/>
  <c r="DD39" i="8"/>
  <c r="DC39" i="8"/>
  <c r="DB39" i="8"/>
  <c r="DA39" i="8"/>
  <c r="CZ39" i="8"/>
  <c r="CY39" i="8"/>
  <c r="CX39" i="8"/>
  <c r="CW39" i="8"/>
  <c r="DZ39" i="8" s="1"/>
  <c r="CV39" i="8"/>
  <c r="CU39" i="8"/>
  <c r="CT39" i="8"/>
  <c r="CS39" i="8"/>
  <c r="CR39" i="8"/>
  <c r="CQ39" i="8"/>
  <c r="CP39" i="8"/>
  <c r="CO39" i="8"/>
  <c r="CN39" i="8"/>
  <c r="CM39" i="8"/>
  <c r="CL39" i="8"/>
  <c r="CK39" i="8"/>
  <c r="CJ39" i="8"/>
  <c r="CI39" i="8"/>
  <c r="CH39" i="8"/>
  <c r="CG39" i="8"/>
  <c r="CF39" i="8"/>
  <c r="CE39" i="8"/>
  <c r="CD39" i="8"/>
  <c r="CC39" i="8"/>
  <c r="CB39" i="8"/>
  <c r="CA39" i="8"/>
  <c r="BZ39" i="8"/>
  <c r="BY39" i="8"/>
  <c r="BX39" i="8"/>
  <c r="BW39" i="8"/>
  <c r="BV39" i="8"/>
  <c r="BU39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EO39" i="8" s="1"/>
  <c r="ES39" i="8" s="1"/>
  <c r="BE39" i="8"/>
  <c r="EN39" i="8" s="1"/>
  <c r="BD39" i="8"/>
  <c r="EM39" i="8" s="1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EC39" i="8" s="1"/>
  <c r="P39" i="8"/>
  <c r="O39" i="8"/>
  <c r="N39" i="8"/>
  <c r="M39" i="8"/>
  <c r="DY39" i="8" s="1"/>
  <c r="L39" i="8"/>
  <c r="K39" i="8"/>
  <c r="DW39" i="8" s="1"/>
  <c r="J39" i="8"/>
  <c r="I39" i="8"/>
  <c r="H39" i="8"/>
  <c r="G39" i="8"/>
  <c r="F39" i="8"/>
  <c r="E39" i="8"/>
  <c r="D39" i="8"/>
  <c r="C39" i="8"/>
  <c r="B39" i="8"/>
  <c r="EQ38" i="8"/>
  <c r="EP38" i="8"/>
  <c r="ET38" i="8" s="1"/>
  <c r="EI38" i="8"/>
  <c r="DT38" i="8"/>
  <c r="DS38" i="8"/>
  <c r="DQ38" i="8"/>
  <c r="DP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BV38" i="8"/>
  <c r="BU38" i="8"/>
  <c r="BT38" i="8"/>
  <c r="BS38" i="8"/>
  <c r="BR38" i="8"/>
  <c r="BQ38" i="8"/>
  <c r="DW38" i="8" s="1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EH38" i="8" s="1"/>
  <c r="AX38" i="8"/>
  <c r="EG38" i="8" s="1"/>
  <c r="AW38" i="8"/>
  <c r="AV38" i="8"/>
  <c r="AU38" i="8"/>
  <c r="AT38" i="8"/>
  <c r="EC38" i="8" s="1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EO38" i="8" s="1"/>
  <c r="ES38" i="8" s="1"/>
  <c r="AB38" i="8"/>
  <c r="EN38" i="8" s="1"/>
  <c r="AA38" i="8"/>
  <c r="EM38" i="8" s="1"/>
  <c r="Z38" i="8"/>
  <c r="EL38" i="8" s="1"/>
  <c r="Y38" i="8"/>
  <c r="EK38" i="8" s="1"/>
  <c r="X38" i="8"/>
  <c r="EJ38" i="8" s="1"/>
  <c r="W38" i="8"/>
  <c r="V38" i="8"/>
  <c r="U38" i="8"/>
  <c r="T38" i="8"/>
  <c r="S38" i="8"/>
  <c r="R38" i="8"/>
  <c r="Q38" i="8"/>
  <c r="P38" i="8"/>
  <c r="EB38" i="8" s="1"/>
  <c r="O38" i="8"/>
  <c r="N38" i="8"/>
  <c r="M38" i="8"/>
  <c r="L38" i="8"/>
  <c r="K38" i="8"/>
  <c r="J38" i="8"/>
  <c r="I38" i="8"/>
  <c r="DU38" i="8" s="1"/>
  <c r="H38" i="8"/>
  <c r="G38" i="8"/>
  <c r="F38" i="8"/>
  <c r="DR38" i="8" s="1"/>
  <c r="E38" i="8"/>
  <c r="D38" i="8"/>
  <c r="C38" i="8"/>
  <c r="DO38" i="8" s="1"/>
  <c r="B38" i="8"/>
  <c r="DN38" i="8" s="1"/>
  <c r="EB37" i="8"/>
  <c r="DX37" i="8"/>
  <c r="DV37" i="8"/>
  <c r="DU37" i="8"/>
  <c r="DT37" i="8"/>
  <c r="DS37" i="8"/>
  <c r="DM37" i="8"/>
  <c r="DL37" i="8"/>
  <c r="DK37" i="8"/>
  <c r="DJ37" i="8"/>
  <c r="DI37" i="8"/>
  <c r="DH37" i="8"/>
  <c r="DG37" i="8"/>
  <c r="DF37" i="8"/>
  <c r="DE37" i="8"/>
  <c r="DD37" i="8"/>
  <c r="DC37" i="8"/>
  <c r="DB37" i="8"/>
  <c r="EE37" i="8" s="1"/>
  <c r="DA37" i="8"/>
  <c r="CZ37" i="8"/>
  <c r="CY37" i="8"/>
  <c r="CX37" i="8"/>
  <c r="EA37" i="8" s="1"/>
  <c r="CW37" i="8"/>
  <c r="CV37" i="8"/>
  <c r="CU37" i="8"/>
  <c r="CT37" i="8"/>
  <c r="CS37" i="8"/>
  <c r="CR37" i="8"/>
  <c r="CQ37" i="8"/>
  <c r="CP37" i="8"/>
  <c r="CO37" i="8"/>
  <c r="CN37" i="8"/>
  <c r="CM37" i="8"/>
  <c r="CL37" i="8"/>
  <c r="CK37" i="8"/>
  <c r="CJ37" i="8"/>
  <c r="CI37" i="8"/>
  <c r="CH37" i="8"/>
  <c r="CG37" i="8"/>
  <c r="CF37" i="8"/>
  <c r="CE37" i="8"/>
  <c r="CD37" i="8"/>
  <c r="CC37" i="8"/>
  <c r="CB37" i="8"/>
  <c r="CA37" i="8"/>
  <c r="BZ37" i="8"/>
  <c r="BY37" i="8"/>
  <c r="BX37" i="8"/>
  <c r="BW37" i="8"/>
  <c r="BV37" i="8"/>
  <c r="BU37" i="8"/>
  <c r="BT37" i="8"/>
  <c r="BS37" i="8"/>
  <c r="BR37" i="8"/>
  <c r="BQ37" i="8"/>
  <c r="BP37" i="8"/>
  <c r="BO37" i="8"/>
  <c r="BN37" i="8"/>
  <c r="BM37" i="8"/>
  <c r="BL37" i="8"/>
  <c r="BK37" i="8"/>
  <c r="BJ37" i="8"/>
  <c r="BI37" i="8"/>
  <c r="BH37" i="8"/>
  <c r="BG37" i="8"/>
  <c r="EP37" i="8" s="1"/>
  <c r="ET37" i="8" s="1"/>
  <c r="BF37" i="8"/>
  <c r="EO37" i="8" s="1"/>
  <c r="ES37" i="8" s="1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DW37" i="8" s="1"/>
  <c r="AM37" i="8"/>
  <c r="AL37" i="8"/>
  <c r="AK37" i="8"/>
  <c r="AJ37" i="8"/>
  <c r="AI37" i="8"/>
  <c r="AH37" i="8"/>
  <c r="AG37" i="8"/>
  <c r="AF37" i="8"/>
  <c r="AE37" i="8"/>
  <c r="AD37" i="8"/>
  <c r="AC37" i="8"/>
  <c r="AB37" i="8"/>
  <c r="EN37" i="8" s="1"/>
  <c r="AA37" i="8"/>
  <c r="EM37" i="8" s="1"/>
  <c r="Z37" i="8"/>
  <c r="EL37" i="8" s="1"/>
  <c r="Y37" i="8"/>
  <c r="EK37" i="8" s="1"/>
  <c r="X37" i="8"/>
  <c r="EJ37" i="8" s="1"/>
  <c r="W37" i="8"/>
  <c r="EI37" i="8" s="1"/>
  <c r="V37" i="8"/>
  <c r="U37" i="8"/>
  <c r="T37" i="8"/>
  <c r="S37" i="8"/>
  <c r="R37" i="8"/>
  <c r="Q37" i="8"/>
  <c r="EC37" i="8" s="1"/>
  <c r="P37" i="8"/>
  <c r="O37" i="8"/>
  <c r="N37" i="8"/>
  <c r="M37" i="8"/>
  <c r="DY37" i="8" s="1"/>
  <c r="L37" i="8"/>
  <c r="K37" i="8"/>
  <c r="J37" i="8"/>
  <c r="I37" i="8"/>
  <c r="H37" i="8"/>
  <c r="G37" i="8"/>
  <c r="F37" i="8"/>
  <c r="DR37" i="8" s="1"/>
  <c r="E37" i="8"/>
  <c r="DQ37" i="8" s="1"/>
  <c r="D37" i="8"/>
  <c r="DP37" i="8" s="1"/>
  <c r="C37" i="8"/>
  <c r="DO37" i="8" s="1"/>
  <c r="B37" i="8"/>
  <c r="DN37" i="8" s="1"/>
  <c r="EQ36" i="8"/>
  <c r="EP36" i="8"/>
  <c r="DP36" i="8"/>
  <c r="DO36" i="8"/>
  <c r="DL36" i="8"/>
  <c r="DK36" i="8"/>
  <c r="DJ36" i="8"/>
  <c r="DI36" i="8"/>
  <c r="DH36" i="8"/>
  <c r="DG36" i="8"/>
  <c r="DF36" i="8"/>
  <c r="DE36" i="8"/>
  <c r="DD36" i="8"/>
  <c r="DC36" i="8"/>
  <c r="DB36" i="8"/>
  <c r="DA36" i="8"/>
  <c r="CZ36" i="8"/>
  <c r="CY36" i="8"/>
  <c r="CX36" i="8"/>
  <c r="CW36" i="8"/>
  <c r="CV36" i="8"/>
  <c r="CU36" i="8"/>
  <c r="CT36" i="8"/>
  <c r="CS36" i="8"/>
  <c r="CR36" i="8"/>
  <c r="CQ36" i="8"/>
  <c r="CP36" i="8"/>
  <c r="CO36" i="8"/>
  <c r="CN36" i="8"/>
  <c r="CM36" i="8"/>
  <c r="CL36" i="8"/>
  <c r="CK36" i="8"/>
  <c r="CJ36" i="8"/>
  <c r="CI36" i="8"/>
  <c r="CH36" i="8"/>
  <c r="CG36" i="8"/>
  <c r="CF36" i="8"/>
  <c r="CE36" i="8"/>
  <c r="CD36" i="8"/>
  <c r="CC36" i="8"/>
  <c r="CB36" i="8"/>
  <c r="CA36" i="8"/>
  <c r="BZ36" i="8"/>
  <c r="BY36" i="8"/>
  <c r="EE36" i="8" s="1"/>
  <c r="BX36" i="8"/>
  <c r="BW36" i="8"/>
  <c r="BV36" i="8"/>
  <c r="BU36" i="8"/>
  <c r="BT36" i="8"/>
  <c r="BS36" i="8"/>
  <c r="BR36" i="8"/>
  <c r="BQ36" i="8"/>
  <c r="BP36" i="8"/>
  <c r="BO36" i="8"/>
  <c r="BN36" i="8"/>
  <c r="BM36" i="8"/>
  <c r="BL36" i="8"/>
  <c r="BK36" i="8"/>
  <c r="BJ36" i="8"/>
  <c r="BI36" i="8"/>
  <c r="BH36" i="8"/>
  <c r="BG36" i="8"/>
  <c r="BF36" i="8"/>
  <c r="BE36" i="8"/>
  <c r="BD36" i="8"/>
  <c r="EM36" i="8" s="1"/>
  <c r="BC36" i="8"/>
  <c r="EL36" i="8" s="1"/>
  <c r="BB36" i="8"/>
  <c r="EK36" i="8" s="1"/>
  <c r="BA36" i="8"/>
  <c r="EJ36" i="8" s="1"/>
  <c r="AZ36" i="8"/>
  <c r="EI36" i="8" s="1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DQ36" i="8" s="1"/>
  <c r="AG36" i="8"/>
  <c r="AF36" i="8"/>
  <c r="AE36" i="8"/>
  <c r="DN36" i="8" s="1"/>
  <c r="AD36" i="8"/>
  <c r="AC36" i="8"/>
  <c r="EO36" i="8" s="1"/>
  <c r="ES36" i="8" s="1"/>
  <c r="AB36" i="8"/>
  <c r="EN36" i="8" s="1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DX36" i="8" s="1"/>
  <c r="K36" i="8"/>
  <c r="DW36" i="8" s="1"/>
  <c r="J36" i="8"/>
  <c r="I36" i="8"/>
  <c r="H36" i="8"/>
  <c r="DT36" i="8" s="1"/>
  <c r="G36" i="8"/>
  <c r="DS36" i="8" s="1"/>
  <c r="F36" i="8"/>
  <c r="DR36" i="8" s="1"/>
  <c r="E36" i="8"/>
  <c r="D36" i="8"/>
  <c r="C36" i="8"/>
  <c r="B36" i="8"/>
  <c r="ED35" i="8"/>
  <c r="EA35" i="8"/>
  <c r="DQ35" i="8"/>
  <c r="DM35" i="8"/>
  <c r="DL35" i="8"/>
  <c r="DK35" i="8"/>
  <c r="DJ35" i="8"/>
  <c r="DI35" i="8"/>
  <c r="DH35" i="8"/>
  <c r="DG35" i="8"/>
  <c r="DF35" i="8"/>
  <c r="DE35" i="8"/>
  <c r="DD35" i="8"/>
  <c r="DC35" i="8"/>
  <c r="DB35" i="8"/>
  <c r="DA35" i="8"/>
  <c r="CZ35" i="8"/>
  <c r="CY35" i="8"/>
  <c r="CX35" i="8"/>
  <c r="CW35" i="8"/>
  <c r="CV35" i="8"/>
  <c r="CU35" i="8"/>
  <c r="CT35" i="8"/>
  <c r="CS35" i="8"/>
  <c r="CR35" i="8"/>
  <c r="CQ35" i="8"/>
  <c r="CP35" i="8"/>
  <c r="CO35" i="8"/>
  <c r="CN35" i="8"/>
  <c r="CM35" i="8"/>
  <c r="CL35" i="8"/>
  <c r="CK35" i="8"/>
  <c r="CJ35" i="8"/>
  <c r="CI35" i="8"/>
  <c r="CH35" i="8"/>
  <c r="CG35" i="8"/>
  <c r="CF35" i="8"/>
  <c r="CE35" i="8"/>
  <c r="CD35" i="8"/>
  <c r="CC35" i="8"/>
  <c r="CB35" i="8"/>
  <c r="CA35" i="8"/>
  <c r="BZ35" i="8"/>
  <c r="BY35" i="8"/>
  <c r="BX35" i="8"/>
  <c r="BW35" i="8"/>
  <c r="BV35" i="8"/>
  <c r="BU35" i="8"/>
  <c r="BT35" i="8"/>
  <c r="BS35" i="8"/>
  <c r="BR35" i="8"/>
  <c r="BQ35" i="8"/>
  <c r="BP35" i="8"/>
  <c r="BO35" i="8"/>
  <c r="BN35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EH35" i="8" s="1"/>
  <c r="AX35" i="8"/>
  <c r="AW35" i="8"/>
  <c r="EF35" i="8" s="1"/>
  <c r="AV35" i="8"/>
  <c r="EE35" i="8" s="1"/>
  <c r="AU35" i="8"/>
  <c r="AT35" i="8"/>
  <c r="EC35" i="8" s="1"/>
  <c r="AS35" i="8"/>
  <c r="EB35" i="8" s="1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EP35" i="8" s="1"/>
  <c r="ET35" i="8" s="1"/>
  <c r="AC35" i="8"/>
  <c r="AB35" i="8"/>
  <c r="EN35" i="8" s="1"/>
  <c r="AA35" i="8"/>
  <c r="EM35" i="8" s="1"/>
  <c r="Z35" i="8"/>
  <c r="EL35" i="8" s="1"/>
  <c r="Y35" i="8"/>
  <c r="EK35" i="8" s="1"/>
  <c r="X35" i="8"/>
  <c r="W35" i="8"/>
  <c r="EI35" i="8" s="1"/>
  <c r="V35" i="8"/>
  <c r="U35" i="8"/>
  <c r="T35" i="8"/>
  <c r="S35" i="8"/>
  <c r="R35" i="8"/>
  <c r="Q35" i="8"/>
  <c r="P35" i="8"/>
  <c r="O35" i="8"/>
  <c r="N35" i="8"/>
  <c r="M35" i="8"/>
  <c r="DY35" i="8" s="1"/>
  <c r="L35" i="8"/>
  <c r="K35" i="8"/>
  <c r="J35" i="8"/>
  <c r="DV35" i="8" s="1"/>
  <c r="I35" i="8"/>
  <c r="DU35" i="8" s="1"/>
  <c r="H35" i="8"/>
  <c r="DT35" i="8" s="1"/>
  <c r="G35" i="8"/>
  <c r="F35" i="8"/>
  <c r="DR35" i="8" s="1"/>
  <c r="E35" i="8"/>
  <c r="D35" i="8"/>
  <c r="DP35" i="8" s="1"/>
  <c r="C35" i="8"/>
  <c r="DO35" i="8" s="1"/>
  <c r="B35" i="8"/>
  <c r="DN35" i="8" s="1"/>
  <c r="DY34" i="8"/>
  <c r="DW34" i="8"/>
  <c r="DV34" i="8"/>
  <c r="DT34" i="8"/>
  <c r="DM34" i="8"/>
  <c r="DL34" i="8"/>
  <c r="DK34" i="8"/>
  <c r="DJ34" i="8"/>
  <c r="DI34" i="8"/>
  <c r="DH34" i="8"/>
  <c r="DG34" i="8"/>
  <c r="DF34" i="8"/>
  <c r="DE34" i="8"/>
  <c r="DD34" i="8"/>
  <c r="DC34" i="8"/>
  <c r="DB34" i="8"/>
  <c r="DA34" i="8"/>
  <c r="CZ34" i="8"/>
  <c r="CY34" i="8"/>
  <c r="CX34" i="8"/>
  <c r="CW34" i="8"/>
  <c r="CV34" i="8"/>
  <c r="CU34" i="8"/>
  <c r="CT34" i="8"/>
  <c r="CS34" i="8"/>
  <c r="CR34" i="8"/>
  <c r="CQ34" i="8"/>
  <c r="CP34" i="8"/>
  <c r="CO34" i="8"/>
  <c r="CN34" i="8"/>
  <c r="CM34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EO34" i="8" s="1"/>
  <c r="ES34" i="8" s="1"/>
  <c r="AB34" i="8"/>
  <c r="EN34" i="8" s="1"/>
  <c r="AA34" i="8"/>
  <c r="EM34" i="8" s="1"/>
  <c r="Z34" i="8"/>
  <c r="EL34" i="8" s="1"/>
  <c r="Y34" i="8"/>
  <c r="EK34" i="8" s="1"/>
  <c r="X34" i="8"/>
  <c r="W34" i="8"/>
  <c r="EI34" i="8" s="1"/>
  <c r="V34" i="8"/>
  <c r="U34" i="8"/>
  <c r="EG34" i="8" s="1"/>
  <c r="T34" i="8"/>
  <c r="EF34" i="8" s="1"/>
  <c r="S34" i="8"/>
  <c r="R34" i="8"/>
  <c r="Q34" i="8"/>
  <c r="EC34" i="8" s="1"/>
  <c r="P34" i="8"/>
  <c r="O34" i="8"/>
  <c r="N34" i="8"/>
  <c r="M34" i="8"/>
  <c r="L34" i="8"/>
  <c r="K34" i="8"/>
  <c r="J34" i="8"/>
  <c r="I34" i="8"/>
  <c r="H34" i="8"/>
  <c r="G34" i="8"/>
  <c r="DS34" i="8" s="1"/>
  <c r="F34" i="8"/>
  <c r="DR34" i="8" s="1"/>
  <c r="E34" i="8"/>
  <c r="DQ34" i="8" s="1"/>
  <c r="D34" i="8"/>
  <c r="DP34" i="8" s="1"/>
  <c r="C34" i="8"/>
  <c r="DO34" i="8" s="1"/>
  <c r="B34" i="8"/>
  <c r="ES33" i="8"/>
  <c r="DR33" i="8"/>
  <c r="DP33" i="8"/>
  <c r="DM33" i="8"/>
  <c r="DL33" i="8"/>
  <c r="DK33" i="8"/>
  <c r="DJ33" i="8"/>
  <c r="DI33" i="8"/>
  <c r="DH33" i="8"/>
  <c r="DG33" i="8"/>
  <c r="DF33" i="8"/>
  <c r="DE33" i="8"/>
  <c r="DD33" i="8"/>
  <c r="DC33" i="8"/>
  <c r="DB33" i="8"/>
  <c r="DA33" i="8"/>
  <c r="CZ33" i="8"/>
  <c r="CY33" i="8"/>
  <c r="CX33" i="8"/>
  <c r="CW33" i="8"/>
  <c r="CV33" i="8"/>
  <c r="CU33" i="8"/>
  <c r="CT33" i="8"/>
  <c r="CS33" i="8"/>
  <c r="CR33" i="8"/>
  <c r="CQ33" i="8"/>
  <c r="CP33" i="8"/>
  <c r="CO33" i="8"/>
  <c r="CN33" i="8"/>
  <c r="CM33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BG33" i="8"/>
  <c r="EP33" i="8" s="1"/>
  <c r="ET33" i="8" s="1"/>
  <c r="BF33" i="8"/>
  <c r="BE33" i="8"/>
  <c r="EN33" i="8" s="1"/>
  <c r="BD33" i="8"/>
  <c r="EM33" i="8" s="1"/>
  <c r="BC33" i="8"/>
  <c r="EL33" i="8" s="1"/>
  <c r="BB33" i="8"/>
  <c r="EK33" i="8" s="1"/>
  <c r="BA33" i="8"/>
  <c r="EJ33" i="8" s="1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DQ33" i="8" s="1"/>
  <c r="AG33" i="8"/>
  <c r="AF33" i="8"/>
  <c r="DO33" i="8" s="1"/>
  <c r="AE33" i="8"/>
  <c r="DN33" i="8" s="1"/>
  <c r="AD33" i="8"/>
  <c r="AC33" i="8"/>
  <c r="EO33" i="8" s="1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EA33" i="8" s="1"/>
  <c r="N33" i="8"/>
  <c r="M33" i="8"/>
  <c r="DY33" i="8" s="1"/>
  <c r="L33" i="8"/>
  <c r="DX33" i="8" s="1"/>
  <c r="K33" i="8"/>
  <c r="J33" i="8"/>
  <c r="DV33" i="8" s="1"/>
  <c r="I33" i="8"/>
  <c r="DU33" i="8" s="1"/>
  <c r="H33" i="8"/>
  <c r="G33" i="8"/>
  <c r="DS33" i="8" s="1"/>
  <c r="F33" i="8"/>
  <c r="E33" i="8"/>
  <c r="D33" i="8"/>
  <c r="C33" i="8"/>
  <c r="B33" i="8"/>
  <c r="DM32" i="8"/>
  <c r="DL32" i="8"/>
  <c r="DK32" i="8"/>
  <c r="DJ32" i="8"/>
  <c r="DJ40" i="8" s="1"/>
  <c r="DI32" i="8"/>
  <c r="DH32" i="8"/>
  <c r="DG32" i="8"/>
  <c r="DF32" i="8"/>
  <c r="DE32" i="8"/>
  <c r="DD32" i="8"/>
  <c r="DC32" i="8"/>
  <c r="DB32" i="8"/>
  <c r="DA32" i="8"/>
  <c r="CZ32" i="8"/>
  <c r="CY32" i="8"/>
  <c r="CX32" i="8"/>
  <c r="CW32" i="8"/>
  <c r="CV32" i="8"/>
  <c r="CU32" i="8"/>
  <c r="CT32" i="8"/>
  <c r="CS32" i="8"/>
  <c r="CR32" i="8"/>
  <c r="CQ32" i="8"/>
  <c r="CP32" i="8"/>
  <c r="CO32" i="8"/>
  <c r="CN32" i="8"/>
  <c r="CM32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EH32" i="8" s="1"/>
  <c r="AX32" i="8"/>
  <c r="EG32" i="8" s="1"/>
  <c r="AW32" i="8"/>
  <c r="EF32" i="8" s="1"/>
  <c r="AV32" i="8"/>
  <c r="EE32" i="8" s="1"/>
  <c r="AU32" i="8"/>
  <c r="ED32" i="8" s="1"/>
  <c r="AT32" i="8"/>
  <c r="EC32" i="8" s="1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EP32" i="8" s="1"/>
  <c r="ET32" i="8" s="1"/>
  <c r="AC32" i="8"/>
  <c r="AB32" i="8"/>
  <c r="AA32" i="8"/>
  <c r="AA40" i="8" s="1"/>
  <c r="Z32" i="8"/>
  <c r="EL32" i="8" s="1"/>
  <c r="Y32" i="8"/>
  <c r="EK32" i="8" s="1"/>
  <c r="X32" i="8"/>
  <c r="EJ32" i="8" s="1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DT32" i="8" s="1"/>
  <c r="G32" i="8"/>
  <c r="F32" i="8"/>
  <c r="E32" i="8"/>
  <c r="D32" i="8"/>
  <c r="DP32" i="8" s="1"/>
  <c r="C32" i="8"/>
  <c r="DO32" i="8" s="1"/>
  <c r="B32" i="8"/>
  <c r="DN32" i="8" s="1"/>
  <c r="EQ31" i="8"/>
  <c r="EP31" i="8"/>
  <c r="EE31" i="8"/>
  <c r="ED31" i="8"/>
  <c r="DX31" i="8"/>
  <c r="DW31" i="8"/>
  <c r="DL31" i="8"/>
  <c r="DK31" i="8"/>
  <c r="DJ31" i="8"/>
  <c r="DI31" i="8"/>
  <c r="DH31" i="8"/>
  <c r="DG31" i="8"/>
  <c r="DF31" i="8"/>
  <c r="DF40" i="8" s="1"/>
  <c r="DE31" i="8"/>
  <c r="DD31" i="8"/>
  <c r="DC31" i="8"/>
  <c r="DB31" i="8"/>
  <c r="DA31" i="8"/>
  <c r="CZ31" i="8"/>
  <c r="CY31" i="8"/>
  <c r="CX31" i="8"/>
  <c r="CW31" i="8"/>
  <c r="CV31" i="8"/>
  <c r="CU31" i="8"/>
  <c r="CT31" i="8"/>
  <c r="CS31" i="8"/>
  <c r="CR31" i="8"/>
  <c r="CQ31" i="8"/>
  <c r="CP31" i="8"/>
  <c r="CO31" i="8"/>
  <c r="CN31" i="8"/>
  <c r="CM31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DV31" i="8" s="1"/>
  <c r="BO31" i="8"/>
  <c r="BO40" i="8" s="1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R40" i="8" s="1"/>
  <c r="AQ31" i="8"/>
  <c r="AP31" i="8"/>
  <c r="DY31" i="8" s="1"/>
  <c r="AO31" i="8"/>
  <c r="AO40" i="8" s="1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EM31" i="8" s="1"/>
  <c r="Z31" i="8"/>
  <c r="EL31" i="8" s="1"/>
  <c r="Y31" i="8"/>
  <c r="X31" i="8"/>
  <c r="EJ31" i="8" s="1"/>
  <c r="W31" i="8"/>
  <c r="V31" i="8"/>
  <c r="U31" i="8"/>
  <c r="T31" i="8"/>
  <c r="S31" i="8"/>
  <c r="R31" i="8"/>
  <c r="Q31" i="8"/>
  <c r="EC31" i="8" s="1"/>
  <c r="P31" i="8"/>
  <c r="EB31" i="8" s="1"/>
  <c r="O31" i="8"/>
  <c r="N31" i="8"/>
  <c r="M31" i="8"/>
  <c r="L31" i="8"/>
  <c r="K31" i="8"/>
  <c r="J31" i="8"/>
  <c r="I31" i="8"/>
  <c r="H31" i="8"/>
  <c r="G31" i="8"/>
  <c r="F31" i="8"/>
  <c r="E31" i="8"/>
  <c r="DQ31" i="8" s="1"/>
  <c r="D31" i="8"/>
  <c r="DP31" i="8" s="1"/>
  <c r="C31" i="8"/>
  <c r="B31" i="8"/>
  <c r="DN31" i="8" s="1"/>
  <c r="ES30" i="8"/>
  <c r="EO30" i="8"/>
  <c r="DU30" i="8"/>
  <c r="DS30" i="8"/>
  <c r="DR30" i="8"/>
  <c r="DQ30" i="8"/>
  <c r="DM30" i="8"/>
  <c r="DL30" i="8"/>
  <c r="DK30" i="8"/>
  <c r="DJ30" i="8"/>
  <c r="DI30" i="8"/>
  <c r="DH30" i="8"/>
  <c r="DG30" i="8"/>
  <c r="DF30" i="8"/>
  <c r="DE30" i="8"/>
  <c r="DD30" i="8"/>
  <c r="DC30" i="8"/>
  <c r="DB30" i="8"/>
  <c r="DA30" i="8"/>
  <c r="CZ30" i="8"/>
  <c r="CY30" i="8"/>
  <c r="CX30" i="8"/>
  <c r="CW30" i="8"/>
  <c r="CV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H40" i="8" s="1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BG30" i="8"/>
  <c r="EP30" i="8" s="1"/>
  <c r="ET30" i="8" s="1"/>
  <c r="BF30" i="8"/>
  <c r="BE30" i="8"/>
  <c r="EN30" i="8" s="1"/>
  <c r="BD30" i="8"/>
  <c r="EM30" i="8" s="1"/>
  <c r="BC30" i="8"/>
  <c r="EL30" i="8" s="1"/>
  <c r="BB30" i="8"/>
  <c r="EK30" i="8" s="1"/>
  <c r="BA30" i="8"/>
  <c r="EJ30" i="8" s="1"/>
  <c r="AZ30" i="8"/>
  <c r="AY30" i="8"/>
  <c r="AX30" i="8"/>
  <c r="AW30" i="8"/>
  <c r="AV30" i="8"/>
  <c r="AU30" i="8"/>
  <c r="AT30" i="8"/>
  <c r="AS30" i="8"/>
  <c r="AR30" i="8"/>
  <c r="AQ30" i="8"/>
  <c r="AP30" i="8"/>
  <c r="AP40" i="8" s="1"/>
  <c r="AO30" i="8"/>
  <c r="AN30" i="8"/>
  <c r="AM30" i="8"/>
  <c r="AL30" i="8"/>
  <c r="AK30" i="8"/>
  <c r="AJ30" i="8"/>
  <c r="AI30" i="8"/>
  <c r="AH30" i="8"/>
  <c r="AG30" i="8"/>
  <c r="DP30" i="8" s="1"/>
  <c r="AF30" i="8"/>
  <c r="DO30" i="8" s="1"/>
  <c r="AE30" i="8"/>
  <c r="DN30" i="8" s="1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EA30" i="8" s="1"/>
  <c r="N30" i="8"/>
  <c r="DZ30" i="8" s="1"/>
  <c r="M30" i="8"/>
  <c r="L30" i="8"/>
  <c r="K30" i="8"/>
  <c r="DW30" i="8" s="1"/>
  <c r="J30" i="8"/>
  <c r="DV30" i="8" s="1"/>
  <c r="I30" i="8"/>
  <c r="H30" i="8"/>
  <c r="G30" i="8"/>
  <c r="F30" i="8"/>
  <c r="E30" i="8"/>
  <c r="D30" i="8"/>
  <c r="C30" i="8"/>
  <c r="B30" i="8"/>
  <c r="EE29" i="8"/>
  <c r="DM29" i="8"/>
  <c r="DL29" i="8"/>
  <c r="DK29" i="8"/>
  <c r="DJ29" i="8"/>
  <c r="DI29" i="8"/>
  <c r="DI40" i="8" s="1"/>
  <c r="DH29" i="8"/>
  <c r="DH40" i="8" s="1"/>
  <c r="DG29" i="8"/>
  <c r="DF29" i="8"/>
  <c r="DE29" i="8"/>
  <c r="DD29" i="8"/>
  <c r="DC29" i="8"/>
  <c r="DC40" i="8" s="1"/>
  <c r="DB29" i="8"/>
  <c r="DB40" i="8" s="1"/>
  <c r="DA29" i="8"/>
  <c r="CZ29" i="8"/>
  <c r="CY29" i="8"/>
  <c r="CX29" i="8"/>
  <c r="CX40" i="8" s="1"/>
  <c r="CW29" i="8"/>
  <c r="CV29" i="8"/>
  <c r="CU29" i="8"/>
  <c r="CT29" i="8"/>
  <c r="CT40" i="8" s="1"/>
  <c r="CS29" i="8"/>
  <c r="CS40" i="8" s="1"/>
  <c r="CR29" i="8"/>
  <c r="CQ29" i="8"/>
  <c r="CP29" i="8"/>
  <c r="CO29" i="8"/>
  <c r="CN29" i="8"/>
  <c r="CM29" i="8"/>
  <c r="CM40" i="8" s="1"/>
  <c r="CL29" i="8"/>
  <c r="CL40" i="8" s="1"/>
  <c r="CK29" i="8"/>
  <c r="CJ29" i="8"/>
  <c r="CI29" i="8"/>
  <c r="CH29" i="8"/>
  <c r="CG29" i="8"/>
  <c r="CG40" i="8" s="1"/>
  <c r="CF29" i="8"/>
  <c r="CF40" i="8" s="1"/>
  <c r="CE29" i="8"/>
  <c r="CD29" i="8"/>
  <c r="CC29" i="8"/>
  <c r="CB29" i="8"/>
  <c r="CB40" i="8" s="1"/>
  <c r="CA29" i="8"/>
  <c r="BZ29" i="8"/>
  <c r="BY29" i="8"/>
  <c r="BX29" i="8"/>
  <c r="BW29" i="8"/>
  <c r="BW40" i="8" s="1"/>
  <c r="BV29" i="8"/>
  <c r="BU29" i="8"/>
  <c r="BU40" i="8" s="1"/>
  <c r="BT29" i="8"/>
  <c r="BS29" i="8"/>
  <c r="BR29" i="8"/>
  <c r="BQ29" i="8"/>
  <c r="BQ40" i="8" s="1"/>
  <c r="BP29" i="8"/>
  <c r="BP40" i="8" s="1"/>
  <c r="BO29" i="8"/>
  <c r="BN29" i="8"/>
  <c r="BM29" i="8"/>
  <c r="BL29" i="8"/>
  <c r="BK29" i="8"/>
  <c r="BK40" i="8" s="1"/>
  <c r="BJ29" i="8"/>
  <c r="BJ40" i="8" s="1"/>
  <c r="BI29" i="8"/>
  <c r="BH29" i="8"/>
  <c r="BG29" i="8"/>
  <c r="BF29" i="8"/>
  <c r="BF40" i="8" s="1"/>
  <c r="BE29" i="8"/>
  <c r="BD29" i="8"/>
  <c r="BC29" i="8"/>
  <c r="BB29" i="8"/>
  <c r="BA29" i="8"/>
  <c r="BA40" i="8" s="1"/>
  <c r="AZ29" i="8"/>
  <c r="AY29" i="8"/>
  <c r="AX29" i="8"/>
  <c r="EG29" i="8" s="1"/>
  <c r="AW29" i="8"/>
  <c r="EF29" i="8" s="1"/>
  <c r="AV29" i="8"/>
  <c r="AU29" i="8"/>
  <c r="AT29" i="8"/>
  <c r="AS29" i="8"/>
  <c r="AR29" i="8"/>
  <c r="AQ29" i="8"/>
  <c r="AP29" i="8"/>
  <c r="AO29" i="8"/>
  <c r="AN29" i="8"/>
  <c r="AN40" i="8" s="1"/>
  <c r="AM29" i="8"/>
  <c r="AL29" i="8"/>
  <c r="AK29" i="8"/>
  <c r="AJ29" i="8"/>
  <c r="AJ40" i="8" s="1"/>
  <c r="AI29" i="8"/>
  <c r="AH29" i="8"/>
  <c r="AG29" i="8"/>
  <c r="AF29" i="8"/>
  <c r="AE29" i="8"/>
  <c r="AE40" i="8" s="1"/>
  <c r="AD29" i="8"/>
  <c r="EP29" i="8" s="1"/>
  <c r="ET29" i="8" s="1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C40" i="8" s="1"/>
  <c r="B29" i="8"/>
  <c r="DH28" i="8"/>
  <c r="DG28" i="8"/>
  <c r="DF28" i="8"/>
  <c r="DE28" i="8"/>
  <c r="DD28" i="8"/>
  <c r="DC28" i="8"/>
  <c r="DB28" i="8"/>
  <c r="DA28" i="8"/>
  <c r="CJ28" i="8"/>
  <c r="CI28" i="8"/>
  <c r="CF28" i="8"/>
  <c r="CE28" i="8"/>
  <c r="BP28" i="8"/>
  <c r="BO28" i="8"/>
  <c r="BN28" i="8"/>
  <c r="BM28" i="8"/>
  <c r="BL28" i="8"/>
  <c r="BK28" i="8"/>
  <c r="BJ28" i="8"/>
  <c r="BI28" i="8"/>
  <c r="AR28" i="8"/>
  <c r="AQ28" i="8"/>
  <c r="AN28" i="8"/>
  <c r="AM28" i="8"/>
  <c r="Z28" i="8"/>
  <c r="W28" i="8"/>
  <c r="V28" i="8"/>
  <c r="U28" i="8"/>
  <c r="T28" i="8"/>
  <c r="S28" i="8"/>
  <c r="R28" i="8"/>
  <c r="Q28" i="8"/>
  <c r="EK27" i="8"/>
  <c r="DV27" i="8"/>
  <c r="DS27" i="8"/>
  <c r="DR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DN27" i="8" s="1"/>
  <c r="BG27" i="8"/>
  <c r="BF27" i="8"/>
  <c r="BE27" i="8"/>
  <c r="EN27" i="8" s="1"/>
  <c r="BD27" i="8"/>
  <c r="EM27" i="8" s="1"/>
  <c r="BC27" i="8"/>
  <c r="EL27" i="8" s="1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DU27" i="8" s="1"/>
  <c r="AK27" i="8"/>
  <c r="DT27" i="8" s="1"/>
  <c r="AJ27" i="8"/>
  <c r="AI27" i="8"/>
  <c r="AH27" i="8"/>
  <c r="DQ27" i="8" s="1"/>
  <c r="AG27" i="8"/>
  <c r="DP27" i="8" s="1"/>
  <c r="AF27" i="8"/>
  <c r="DO27" i="8" s="1"/>
  <c r="AE27" i="8"/>
  <c r="AD27" i="8"/>
  <c r="AC27" i="8"/>
  <c r="AB27" i="8"/>
  <c r="AA27" i="8"/>
  <c r="Z27" i="8"/>
  <c r="Y27" i="8"/>
  <c r="X27" i="8"/>
  <c r="W27" i="8"/>
  <c r="V27" i="8"/>
  <c r="U27" i="8"/>
  <c r="T27" i="8"/>
  <c r="EF27" i="8" s="1"/>
  <c r="S27" i="8"/>
  <c r="R27" i="8"/>
  <c r="Q27" i="8"/>
  <c r="P27" i="8"/>
  <c r="O27" i="8"/>
  <c r="EA27" i="8" s="1"/>
  <c r="N27" i="8"/>
  <c r="DZ27" i="8" s="1"/>
  <c r="M27" i="8"/>
  <c r="DY27" i="8" s="1"/>
  <c r="L27" i="8"/>
  <c r="DX27" i="8" s="1"/>
  <c r="K27" i="8"/>
  <c r="DW27" i="8" s="1"/>
  <c r="J27" i="8"/>
  <c r="I27" i="8"/>
  <c r="H27" i="8"/>
  <c r="G27" i="8"/>
  <c r="F27" i="8"/>
  <c r="E27" i="8"/>
  <c r="D27" i="8"/>
  <c r="C27" i="8"/>
  <c r="B27" i="8"/>
  <c r="EE26" i="8"/>
  <c r="ED26" i="8"/>
  <c r="EB26" i="8"/>
  <c r="DO26" i="8"/>
  <c r="DM26" i="8"/>
  <c r="DL26" i="8"/>
  <c r="DK26" i="8"/>
  <c r="DJ26" i="8"/>
  <c r="DI26" i="8"/>
  <c r="DH26" i="8"/>
  <c r="EK26" i="8" s="1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EF26" i="8" s="1"/>
  <c r="BY26" i="8"/>
  <c r="BX26" i="8"/>
  <c r="BW26" i="8"/>
  <c r="EC26" i="8" s="1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EJ26" i="8" s="1"/>
  <c r="AZ26" i="8"/>
  <c r="EI26" i="8" s="1"/>
  <c r="AY26" i="8"/>
  <c r="EH26" i="8" s="1"/>
  <c r="AX26" i="8"/>
  <c r="EG26" i="8" s="1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DN26" i="8" s="1"/>
  <c r="AD26" i="8"/>
  <c r="AC26" i="8"/>
  <c r="AB26" i="8"/>
  <c r="EN26" i="8" s="1"/>
  <c r="AA26" i="8"/>
  <c r="Z26" i="8"/>
  <c r="EL26" i="8" s="1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DY26" i="8" s="1"/>
  <c r="L26" i="8"/>
  <c r="DX26" i="8" s="1"/>
  <c r="K26" i="8"/>
  <c r="DW26" i="8" s="1"/>
  <c r="J26" i="8"/>
  <c r="I26" i="8"/>
  <c r="DU26" i="8" s="1"/>
  <c r="H26" i="8"/>
  <c r="G26" i="8"/>
  <c r="F26" i="8"/>
  <c r="DR26" i="8" s="1"/>
  <c r="E26" i="8"/>
  <c r="D26" i="8"/>
  <c r="DP26" i="8" s="1"/>
  <c r="C26" i="8"/>
  <c r="B26" i="8"/>
  <c r="EB25" i="8"/>
  <c r="DZ25" i="8"/>
  <c r="DX25" i="8"/>
  <c r="DW25" i="8"/>
  <c r="DV25" i="8"/>
  <c r="DU25" i="8"/>
  <c r="DM25" i="8"/>
  <c r="DL25" i="8"/>
  <c r="DK25" i="8"/>
  <c r="DK28" i="8" s="1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G28" i="8" s="1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DY25" i="8" s="1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EC25" i="8" s="1"/>
  <c r="AS25" i="8"/>
  <c r="AR25" i="8"/>
  <c r="AQ25" i="8"/>
  <c r="AP25" i="8"/>
  <c r="AO25" i="8"/>
  <c r="AO28" i="8" s="1"/>
  <c r="AN25" i="8"/>
  <c r="AM25" i="8"/>
  <c r="AL25" i="8"/>
  <c r="AK25" i="8"/>
  <c r="AJ25" i="8"/>
  <c r="AI25" i="8"/>
  <c r="AH25" i="8"/>
  <c r="AG25" i="8"/>
  <c r="AF25" i="8"/>
  <c r="AE25" i="8"/>
  <c r="AD25" i="8"/>
  <c r="EP25" i="8" s="1"/>
  <c r="ET25" i="8" s="1"/>
  <c r="AC25" i="8"/>
  <c r="EO25" i="8" s="1"/>
  <c r="ES25" i="8" s="1"/>
  <c r="AB25" i="8"/>
  <c r="AA25" i="8"/>
  <c r="EM25" i="8" s="1"/>
  <c r="Z25" i="8"/>
  <c r="EL25" i="8" s="1"/>
  <c r="Y25" i="8"/>
  <c r="EK25" i="8" s="1"/>
  <c r="X25" i="8"/>
  <c r="EJ25" i="8" s="1"/>
  <c r="W25" i="8"/>
  <c r="V25" i="8"/>
  <c r="U25" i="8"/>
  <c r="EG25" i="8" s="1"/>
  <c r="T25" i="8"/>
  <c r="S25" i="8"/>
  <c r="EE25" i="8" s="1"/>
  <c r="R25" i="8"/>
  <c r="ED25" i="8" s="1"/>
  <c r="Q25" i="8"/>
  <c r="P25" i="8"/>
  <c r="O25" i="8"/>
  <c r="EA25" i="8" s="1"/>
  <c r="N25" i="8"/>
  <c r="M25" i="8"/>
  <c r="L25" i="8"/>
  <c r="K25" i="8"/>
  <c r="J25" i="8"/>
  <c r="I25" i="8"/>
  <c r="H25" i="8"/>
  <c r="DT25" i="8" s="1"/>
  <c r="G25" i="8"/>
  <c r="DS25" i="8" s="1"/>
  <c r="F25" i="8"/>
  <c r="E25" i="8"/>
  <c r="DQ25" i="8" s="1"/>
  <c r="D25" i="8"/>
  <c r="DP25" i="8" s="1"/>
  <c r="C25" i="8"/>
  <c r="DO25" i="8" s="1"/>
  <c r="B25" i="8"/>
  <c r="DN25" i="8" s="1"/>
  <c r="DV24" i="8"/>
  <c r="DM24" i="8"/>
  <c r="DL24" i="8"/>
  <c r="DK24" i="8"/>
  <c r="DJ24" i="8"/>
  <c r="DI24" i="8"/>
  <c r="DH24" i="8"/>
  <c r="DG24" i="8"/>
  <c r="DF24" i="8"/>
  <c r="DE24" i="8"/>
  <c r="DD24" i="8"/>
  <c r="DC24" i="8"/>
  <c r="DB24" i="8"/>
  <c r="DA24" i="8"/>
  <c r="CZ24" i="8"/>
  <c r="CZ28" i="8" s="1"/>
  <c r="CY24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H28" i="8" s="1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EO24" i="8" s="1"/>
  <c r="ES24" i="8" s="1"/>
  <c r="BE24" i="8"/>
  <c r="EN24" i="8" s="1"/>
  <c r="BD24" i="8"/>
  <c r="EM24" i="8" s="1"/>
  <c r="BC24" i="8"/>
  <c r="EL24" i="8" s="1"/>
  <c r="BB24" i="8"/>
  <c r="EK24" i="8" s="1"/>
  <c r="BA24" i="8"/>
  <c r="AZ24" i="8"/>
  <c r="AY24" i="8"/>
  <c r="AX24" i="8"/>
  <c r="AW24" i="8"/>
  <c r="AV24" i="8"/>
  <c r="AU24" i="8"/>
  <c r="AT24" i="8"/>
  <c r="AS24" i="8"/>
  <c r="AR24" i="8"/>
  <c r="AQ24" i="8"/>
  <c r="AP24" i="8"/>
  <c r="AP28" i="8" s="1"/>
  <c r="AO24" i="8"/>
  <c r="AN24" i="8"/>
  <c r="AM24" i="8"/>
  <c r="AL24" i="8"/>
  <c r="AK24" i="8"/>
  <c r="AJ24" i="8"/>
  <c r="DS24" i="8" s="1"/>
  <c r="AI24" i="8"/>
  <c r="DR24" i="8" s="1"/>
  <c r="AH24" i="8"/>
  <c r="DQ24" i="8" s="1"/>
  <c r="AG24" i="8"/>
  <c r="DP24" i="8" s="1"/>
  <c r="AF24" i="8"/>
  <c r="DO24" i="8" s="1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EE24" i="8" s="1"/>
  <c r="R24" i="8"/>
  <c r="Q24" i="8"/>
  <c r="P24" i="8"/>
  <c r="O24" i="8"/>
  <c r="N24" i="8"/>
  <c r="M24" i="8"/>
  <c r="DY24" i="8" s="1"/>
  <c r="L24" i="8"/>
  <c r="DX24" i="8" s="1"/>
  <c r="K24" i="8"/>
  <c r="DW24" i="8" s="1"/>
  <c r="J24" i="8"/>
  <c r="I24" i="8"/>
  <c r="H24" i="8"/>
  <c r="G24" i="8"/>
  <c r="F24" i="8"/>
  <c r="E24" i="8"/>
  <c r="D24" i="8"/>
  <c r="C24" i="8"/>
  <c r="B24" i="8"/>
  <c r="EF23" i="8"/>
  <c r="EE23" i="8"/>
  <c r="DS23" i="8"/>
  <c r="DP23" i="8"/>
  <c r="DO23" i="8"/>
  <c r="DM23" i="8"/>
  <c r="DL23" i="8"/>
  <c r="DK23" i="8"/>
  <c r="DJ23" i="8"/>
  <c r="DJ28" i="8" s="1"/>
  <c r="DI23" i="8"/>
  <c r="DI28" i="8" s="1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U28" i="8" s="1"/>
  <c r="CT23" i="8"/>
  <c r="CT28" i="8" s="1"/>
  <c r="CS23" i="8"/>
  <c r="CS28" i="8" s="1"/>
  <c r="CR23" i="8"/>
  <c r="CR28" i="8" s="1"/>
  <c r="CQ23" i="8"/>
  <c r="CQ28" i="8" s="1"/>
  <c r="CP23" i="8"/>
  <c r="CO23" i="8"/>
  <c r="CO28" i="8" s="1"/>
  <c r="CN23" i="8"/>
  <c r="CN28" i="8" s="1"/>
  <c r="CM23" i="8"/>
  <c r="CM28" i="8" s="1"/>
  <c r="CL23" i="8"/>
  <c r="CL28" i="8" s="1"/>
  <c r="CK23" i="8"/>
  <c r="CK28" i="8" s="1"/>
  <c r="CJ23" i="8"/>
  <c r="CI23" i="8"/>
  <c r="CH23" i="8"/>
  <c r="CG23" i="8"/>
  <c r="CF23" i="8"/>
  <c r="CE23" i="8"/>
  <c r="CD23" i="8"/>
  <c r="CC23" i="8"/>
  <c r="CB23" i="8"/>
  <c r="CA23" i="8"/>
  <c r="BZ23" i="8"/>
  <c r="BY23" i="8"/>
  <c r="BY28" i="8" s="1"/>
  <c r="BX23" i="8"/>
  <c r="BW23" i="8"/>
  <c r="BV23" i="8"/>
  <c r="BV28" i="8" s="1"/>
  <c r="BU23" i="8"/>
  <c r="BU28" i="8" s="1"/>
  <c r="BT23" i="8"/>
  <c r="BS23" i="8"/>
  <c r="BR23" i="8"/>
  <c r="BR28" i="8" s="1"/>
  <c r="BQ23" i="8"/>
  <c r="BQ28" i="8" s="1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C28" i="8" s="1"/>
  <c r="BB23" i="8"/>
  <c r="BA23" i="8"/>
  <c r="AZ23" i="8"/>
  <c r="AY23" i="8"/>
  <c r="AX23" i="8"/>
  <c r="AW23" i="8"/>
  <c r="AW28" i="8" s="1"/>
  <c r="AV23" i="8"/>
  <c r="AV28" i="8" s="1"/>
  <c r="AU23" i="8"/>
  <c r="AU28" i="8" s="1"/>
  <c r="AT23" i="8"/>
  <c r="AT28" i="8" s="1"/>
  <c r="AS23" i="8"/>
  <c r="AS28" i="8" s="1"/>
  <c r="AR23" i="8"/>
  <c r="AQ23" i="8"/>
  <c r="AP23" i="8"/>
  <c r="AO23" i="8"/>
  <c r="AN23" i="8"/>
  <c r="AM23" i="8"/>
  <c r="AL23" i="8"/>
  <c r="AK23" i="8"/>
  <c r="AJ23" i="8"/>
  <c r="AI23" i="8"/>
  <c r="AH23" i="8"/>
  <c r="AG23" i="8"/>
  <c r="AG28" i="8" s="1"/>
  <c r="AF23" i="8"/>
  <c r="AF28" i="8" s="1"/>
  <c r="AE23" i="8"/>
  <c r="AE28" i="8" s="1"/>
  <c r="AD23" i="8"/>
  <c r="EP23" i="8" s="1"/>
  <c r="ET23" i="8" s="1"/>
  <c r="AC23" i="8"/>
  <c r="AB23" i="8"/>
  <c r="AA23" i="8"/>
  <c r="Z23" i="8"/>
  <c r="EL23" i="8" s="1"/>
  <c r="Y23" i="8"/>
  <c r="Y28" i="8" s="1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K28" i="8" s="1"/>
  <c r="J23" i="8"/>
  <c r="I23" i="8"/>
  <c r="H23" i="8"/>
  <c r="G23" i="8"/>
  <c r="G28" i="8" s="1"/>
  <c r="F23" i="8"/>
  <c r="E23" i="8"/>
  <c r="D23" i="8"/>
  <c r="D28" i="8" s="1"/>
  <c r="C23" i="8"/>
  <c r="C28" i="8" s="1"/>
  <c r="B23" i="8"/>
  <c r="DE22" i="8"/>
  <c r="DC22" i="8"/>
  <c r="CJ22" i="8"/>
  <c r="CI22" i="8"/>
  <c r="BM22" i="8"/>
  <c r="BK22" i="8"/>
  <c r="BG22" i="8"/>
  <c r="EP22" i="8" s="1"/>
  <c r="ET22" i="8" s="1"/>
  <c r="Z22" i="8"/>
  <c r="W22" i="8"/>
  <c r="V22" i="8"/>
  <c r="U22" i="8"/>
  <c r="T22" i="8"/>
  <c r="S22" i="8"/>
  <c r="EQ21" i="8"/>
  <c r="EP21" i="8"/>
  <c r="ET21" i="8" s="1"/>
  <c r="EM21" i="8"/>
  <c r="EL21" i="8"/>
  <c r="DW21" i="8"/>
  <c r="DM21" i="8"/>
  <c r="DL21" i="8"/>
  <c r="DK21" i="8"/>
  <c r="DJ21" i="8"/>
  <c r="DI21" i="8"/>
  <c r="DH21" i="8"/>
  <c r="DG21" i="8"/>
  <c r="DF21" i="8"/>
  <c r="DE21" i="8"/>
  <c r="DD21" i="8"/>
  <c r="DD22" i="8" s="1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EJ21" i="8" s="1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DO21" i="8" s="1"/>
  <c r="BH21" i="8"/>
  <c r="DN21" i="8" s="1"/>
  <c r="BG21" i="8"/>
  <c r="BF21" i="8"/>
  <c r="EO21" i="8" s="1"/>
  <c r="ES21" i="8" s="1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DU21" i="8" s="1"/>
  <c r="AK21" i="8"/>
  <c r="DT21" i="8" s="1"/>
  <c r="AJ21" i="8"/>
  <c r="DS21" i="8" s="1"/>
  <c r="AI21" i="8"/>
  <c r="AH21" i="8"/>
  <c r="DQ21" i="8" s="1"/>
  <c r="AG21" i="8"/>
  <c r="DP21" i="8" s="1"/>
  <c r="AF21" i="8"/>
  <c r="AE21" i="8"/>
  <c r="AD21" i="8"/>
  <c r="AC21" i="8"/>
  <c r="AB21" i="8"/>
  <c r="AA21" i="8"/>
  <c r="Z21" i="8"/>
  <c r="Y21" i="8"/>
  <c r="X21" i="8"/>
  <c r="W21" i="8"/>
  <c r="V21" i="8"/>
  <c r="EH21" i="8" s="1"/>
  <c r="U21" i="8"/>
  <c r="EG21" i="8" s="1"/>
  <c r="T21" i="8"/>
  <c r="EF21" i="8" s="1"/>
  <c r="S21" i="8"/>
  <c r="EE21" i="8" s="1"/>
  <c r="R21" i="8"/>
  <c r="Q21" i="8"/>
  <c r="P21" i="8"/>
  <c r="EB21" i="8" s="1"/>
  <c r="O21" i="8"/>
  <c r="EA21" i="8" s="1"/>
  <c r="N21" i="8"/>
  <c r="DZ21" i="8" s="1"/>
  <c r="M21" i="8"/>
  <c r="L21" i="8"/>
  <c r="DX21" i="8" s="1"/>
  <c r="K21" i="8"/>
  <c r="J21" i="8"/>
  <c r="I21" i="8"/>
  <c r="H21" i="8"/>
  <c r="G21" i="8"/>
  <c r="F21" i="8"/>
  <c r="E21" i="8"/>
  <c r="D21" i="8"/>
  <c r="C21" i="8"/>
  <c r="B21" i="8"/>
  <c r="EL20" i="8"/>
  <c r="EK20" i="8"/>
  <c r="EJ20" i="8"/>
  <c r="EI20" i="8"/>
  <c r="EH20" i="8"/>
  <c r="EF20" i="8"/>
  <c r="EE20" i="8"/>
  <c r="ED20" i="8"/>
  <c r="EC20" i="8"/>
  <c r="DS20" i="8"/>
  <c r="DM20" i="8"/>
  <c r="DL20" i="8"/>
  <c r="DK20" i="8"/>
  <c r="DJ20" i="8"/>
  <c r="DI20" i="8"/>
  <c r="DH20" i="8"/>
  <c r="DG20" i="8"/>
  <c r="DF20" i="8"/>
  <c r="DE20" i="8"/>
  <c r="DD20" i="8"/>
  <c r="DC20" i="8"/>
  <c r="DB20" i="8"/>
  <c r="DA20" i="8"/>
  <c r="CZ20" i="8"/>
  <c r="CY20" i="8"/>
  <c r="CX20" i="8"/>
  <c r="CW20" i="8"/>
  <c r="CV20" i="8"/>
  <c r="CU20" i="8"/>
  <c r="CT20" i="8"/>
  <c r="CS20" i="8"/>
  <c r="CR20" i="8"/>
  <c r="CQ20" i="8"/>
  <c r="CP20" i="8"/>
  <c r="CO20" i="8"/>
  <c r="CN20" i="8"/>
  <c r="CM20" i="8"/>
  <c r="DP20" i="8" s="1"/>
  <c r="CL20" i="8"/>
  <c r="CK20" i="8"/>
  <c r="CJ20" i="8"/>
  <c r="CI20" i="8"/>
  <c r="CH20" i="8"/>
  <c r="CG20" i="8"/>
  <c r="CF20" i="8"/>
  <c r="CE20" i="8"/>
  <c r="CD20" i="8"/>
  <c r="CC20" i="8"/>
  <c r="CB20" i="8"/>
  <c r="CA20" i="8"/>
  <c r="EG20" i="8" s="1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EO20" i="8" s="1"/>
  <c r="ES20" i="8" s="1"/>
  <c r="AB20" i="8"/>
  <c r="AA20" i="8"/>
  <c r="EM20" i="8" s="1"/>
  <c r="Z20" i="8"/>
  <c r="Y20" i="8"/>
  <c r="X20" i="8"/>
  <c r="W20" i="8"/>
  <c r="V20" i="8"/>
  <c r="U20" i="8"/>
  <c r="T20" i="8"/>
  <c r="S20" i="8"/>
  <c r="R20" i="8"/>
  <c r="Q20" i="8"/>
  <c r="P20" i="8"/>
  <c r="EB20" i="8" s="1"/>
  <c r="O20" i="8"/>
  <c r="EA20" i="8" s="1"/>
  <c r="N20" i="8"/>
  <c r="M20" i="8"/>
  <c r="DY20" i="8" s="1"/>
  <c r="L20" i="8"/>
  <c r="DX20" i="8" s="1"/>
  <c r="K20" i="8"/>
  <c r="DW20" i="8" s="1"/>
  <c r="J20" i="8"/>
  <c r="I20" i="8"/>
  <c r="H20" i="8"/>
  <c r="G20" i="8"/>
  <c r="F20" i="8"/>
  <c r="E20" i="8"/>
  <c r="DQ20" i="8" s="1"/>
  <c r="D20" i="8"/>
  <c r="C20" i="8"/>
  <c r="DO20" i="8" s="1"/>
  <c r="B20" i="8"/>
  <c r="DN20" i="8" s="1"/>
  <c r="EH19" i="8"/>
  <c r="EE19" i="8"/>
  <c r="EC19" i="8"/>
  <c r="EB19" i="8"/>
  <c r="EA19" i="8"/>
  <c r="DZ19" i="8"/>
  <c r="DY19" i="8"/>
  <c r="DX19" i="8"/>
  <c r="DW19" i="8"/>
  <c r="DV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ED19" i="8" s="1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EP19" i="8" s="1"/>
  <c r="ET19" i="8" s="1"/>
  <c r="AC19" i="8"/>
  <c r="EO19" i="8" s="1"/>
  <c r="ES19" i="8" s="1"/>
  <c r="AB19" i="8"/>
  <c r="AA19" i="8"/>
  <c r="Z19" i="8"/>
  <c r="Y19" i="8"/>
  <c r="X19" i="8"/>
  <c r="W19" i="8"/>
  <c r="EI19" i="8" s="1"/>
  <c r="V19" i="8"/>
  <c r="U19" i="8"/>
  <c r="T19" i="8"/>
  <c r="EF19" i="8" s="1"/>
  <c r="S19" i="8"/>
  <c r="R19" i="8"/>
  <c r="Q19" i="8"/>
  <c r="P19" i="8"/>
  <c r="O19" i="8"/>
  <c r="N19" i="8"/>
  <c r="M19" i="8"/>
  <c r="L19" i="8"/>
  <c r="K19" i="8"/>
  <c r="J19" i="8"/>
  <c r="I19" i="8"/>
  <c r="DU19" i="8" s="1"/>
  <c r="H19" i="8"/>
  <c r="DT19" i="8" s="1"/>
  <c r="G19" i="8"/>
  <c r="DS19" i="8" s="1"/>
  <c r="F19" i="8"/>
  <c r="E19" i="8"/>
  <c r="D19" i="8"/>
  <c r="C19" i="8"/>
  <c r="B19" i="8"/>
  <c r="DW18" i="8"/>
  <c r="DV18" i="8"/>
  <c r="DU18" i="8"/>
  <c r="DT18" i="8"/>
  <c r="DS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EK18" i="8" s="1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EP18" i="8" s="1"/>
  <c r="ET18" i="8" s="1"/>
  <c r="BF18" i="8"/>
  <c r="EO18" i="8" s="1"/>
  <c r="ES18" i="8" s="1"/>
  <c r="BE18" i="8"/>
  <c r="EN18" i="8" s="1"/>
  <c r="BD18" i="8"/>
  <c r="EM18" i="8" s="1"/>
  <c r="BC18" i="8"/>
  <c r="EL18" i="8" s="1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DR18" i="8" s="1"/>
  <c r="AH18" i="8"/>
  <c r="DQ18" i="8" s="1"/>
  <c r="AG18" i="8"/>
  <c r="DP18" i="8" s="1"/>
  <c r="AF18" i="8"/>
  <c r="DO18" i="8" s="1"/>
  <c r="AE18" i="8"/>
  <c r="AD18" i="8"/>
  <c r="AC18" i="8"/>
  <c r="AB18" i="8"/>
  <c r="AA18" i="8"/>
  <c r="Z18" i="8"/>
  <c r="Y18" i="8"/>
  <c r="X18" i="8"/>
  <c r="W18" i="8"/>
  <c r="EI18" i="8" s="1"/>
  <c r="V18" i="8"/>
  <c r="U18" i="8"/>
  <c r="T18" i="8"/>
  <c r="S18" i="8"/>
  <c r="EE18" i="8" s="1"/>
  <c r="R18" i="8"/>
  <c r="ED18" i="8" s="1"/>
  <c r="Q18" i="8"/>
  <c r="EC18" i="8" s="1"/>
  <c r="P18" i="8"/>
  <c r="O18" i="8"/>
  <c r="EA18" i="8" s="1"/>
  <c r="N18" i="8"/>
  <c r="M18" i="8"/>
  <c r="DY18" i="8" s="1"/>
  <c r="L18" i="8"/>
  <c r="DX18" i="8" s="1"/>
  <c r="K18" i="8"/>
  <c r="J18" i="8"/>
  <c r="I18" i="8"/>
  <c r="H18" i="8"/>
  <c r="G18" i="8"/>
  <c r="F18" i="8"/>
  <c r="E18" i="8"/>
  <c r="D18" i="8"/>
  <c r="C18" i="8"/>
  <c r="B18" i="8"/>
  <c r="EP17" i="8"/>
  <c r="ET17" i="8" s="1"/>
  <c r="EL17" i="8"/>
  <c r="EJ17" i="8"/>
  <c r="EI17" i="8"/>
  <c r="EH17" i="8"/>
  <c r="EF17" i="8"/>
  <c r="EE17" i="8"/>
  <c r="DT17" i="8"/>
  <c r="DQ17" i="8"/>
  <c r="DP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EG17" i="8" s="1"/>
  <c r="BZ17" i="8"/>
  <c r="BY17" i="8"/>
  <c r="BX17" i="8"/>
  <c r="ED17" i="8" s="1"/>
  <c r="BW17" i="8"/>
  <c r="BV17" i="8"/>
  <c r="BU17" i="8"/>
  <c r="BT17" i="8"/>
  <c r="BS17" i="8"/>
  <c r="BR17" i="8"/>
  <c r="DX17" i="8" s="1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EK17" i="8" s="1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DO17" i="8" s="1"/>
  <c r="AE17" i="8"/>
  <c r="AD17" i="8"/>
  <c r="AC17" i="8"/>
  <c r="AB17" i="8"/>
  <c r="AA17" i="8"/>
  <c r="EM17" i="8" s="1"/>
  <c r="Z17" i="8"/>
  <c r="Y17" i="8"/>
  <c r="X17" i="8"/>
  <c r="W17" i="8"/>
  <c r="V17" i="8"/>
  <c r="U17" i="8"/>
  <c r="T17" i="8"/>
  <c r="S17" i="8"/>
  <c r="R17" i="8"/>
  <c r="Q17" i="8"/>
  <c r="EC17" i="8" s="1"/>
  <c r="P17" i="8"/>
  <c r="EB17" i="8" s="1"/>
  <c r="O17" i="8"/>
  <c r="EA17" i="8" s="1"/>
  <c r="N17" i="8"/>
  <c r="M17" i="8"/>
  <c r="DY17" i="8" s="1"/>
  <c r="L17" i="8"/>
  <c r="K17" i="8"/>
  <c r="DW17" i="8" s="1"/>
  <c r="J17" i="8"/>
  <c r="DV17" i="8" s="1"/>
  <c r="I17" i="8"/>
  <c r="DU17" i="8" s="1"/>
  <c r="H17" i="8"/>
  <c r="G17" i="8"/>
  <c r="F17" i="8"/>
  <c r="E17" i="8"/>
  <c r="D17" i="8"/>
  <c r="C17" i="8"/>
  <c r="B17" i="8"/>
  <c r="DN17" i="8" s="1"/>
  <c r="EH16" i="8"/>
  <c r="EC16" i="8"/>
  <c r="EB16" i="8"/>
  <c r="EA16" i="8"/>
  <c r="DZ16" i="8"/>
  <c r="DY16" i="8"/>
  <c r="DX16" i="8"/>
  <c r="DV16" i="8"/>
  <c r="DM16" i="8"/>
  <c r="DL16" i="8"/>
  <c r="DK16" i="8"/>
  <c r="DJ16" i="8"/>
  <c r="DI16" i="8"/>
  <c r="DH16" i="8"/>
  <c r="DG16" i="8"/>
  <c r="DF16" i="8"/>
  <c r="DE16" i="8"/>
  <c r="DD16" i="8"/>
  <c r="DC16" i="8"/>
  <c r="DB16" i="8"/>
  <c r="EE16" i="8" s="1"/>
  <c r="DA16" i="8"/>
  <c r="CZ16" i="8"/>
  <c r="CY16" i="8"/>
  <c r="CX16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DP16" i="8" s="1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DW16" i="8" s="1"/>
  <c r="AM16" i="8"/>
  <c r="AL16" i="8"/>
  <c r="AK16" i="8"/>
  <c r="AJ16" i="8"/>
  <c r="AI16" i="8"/>
  <c r="AH16" i="8"/>
  <c r="AG16" i="8"/>
  <c r="AF16" i="8"/>
  <c r="AE16" i="8"/>
  <c r="AD16" i="8"/>
  <c r="EP16" i="8" s="1"/>
  <c r="ET16" i="8" s="1"/>
  <c r="AC16" i="8"/>
  <c r="AB16" i="8"/>
  <c r="EN16" i="8" s="1"/>
  <c r="AA16" i="8"/>
  <c r="EM16" i="8" s="1"/>
  <c r="Z16" i="8"/>
  <c r="Y16" i="8"/>
  <c r="X16" i="8"/>
  <c r="W16" i="8"/>
  <c r="EI16" i="8" s="1"/>
  <c r="V16" i="8"/>
  <c r="U16" i="8"/>
  <c r="T16" i="8"/>
  <c r="S16" i="8"/>
  <c r="R16" i="8"/>
  <c r="ED16" i="8" s="1"/>
  <c r="Q16" i="8"/>
  <c r="P16" i="8"/>
  <c r="O16" i="8"/>
  <c r="N16" i="8"/>
  <c r="M16" i="8"/>
  <c r="L16" i="8"/>
  <c r="K16" i="8"/>
  <c r="J16" i="8"/>
  <c r="I16" i="8"/>
  <c r="DU16" i="8" s="1"/>
  <c r="H16" i="8"/>
  <c r="DT16" i="8" s="1"/>
  <c r="G16" i="8"/>
  <c r="F16" i="8"/>
  <c r="DR16" i="8" s="1"/>
  <c r="E16" i="8"/>
  <c r="DQ16" i="8" s="1"/>
  <c r="D16" i="8"/>
  <c r="C16" i="8"/>
  <c r="B16" i="8"/>
  <c r="DV15" i="8"/>
  <c r="DS15" i="8"/>
  <c r="DR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DX15" i="8" s="1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EE15" i="8" s="1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EP15" i="8" s="1"/>
  <c r="ET15" i="8" s="1"/>
  <c r="BF15" i="8"/>
  <c r="EO15" i="8" s="1"/>
  <c r="ES15" i="8" s="1"/>
  <c r="BE15" i="8"/>
  <c r="EN15" i="8" s="1"/>
  <c r="BD15" i="8"/>
  <c r="EM15" i="8" s="1"/>
  <c r="BC15" i="8"/>
  <c r="EL15" i="8" s="1"/>
  <c r="BB15" i="8"/>
  <c r="EK15" i="8" s="1"/>
  <c r="BA15" i="8"/>
  <c r="AZ15" i="8"/>
  <c r="AY15" i="8"/>
  <c r="AX15" i="8"/>
  <c r="AW15" i="8"/>
  <c r="AV15" i="8"/>
  <c r="AU15" i="8"/>
  <c r="AT15" i="8"/>
  <c r="AS15" i="8"/>
  <c r="AR15" i="8"/>
  <c r="AQ15" i="8"/>
  <c r="AQ22" i="8" s="1"/>
  <c r="AP15" i="8"/>
  <c r="AO15" i="8"/>
  <c r="AN15" i="8"/>
  <c r="AM15" i="8"/>
  <c r="AL15" i="8"/>
  <c r="AK15" i="8"/>
  <c r="DT15" i="8" s="1"/>
  <c r="AJ15" i="8"/>
  <c r="AI15" i="8"/>
  <c r="AH15" i="8"/>
  <c r="DQ15" i="8" s="1"/>
  <c r="AG15" i="8"/>
  <c r="DP15" i="8" s="1"/>
  <c r="AF15" i="8"/>
  <c r="DO15" i="8" s="1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EB15" i="8" s="1"/>
  <c r="O15" i="8"/>
  <c r="N15" i="8"/>
  <c r="DZ15" i="8" s="1"/>
  <c r="M15" i="8"/>
  <c r="L15" i="8"/>
  <c r="K15" i="8"/>
  <c r="DW15" i="8" s="1"/>
  <c r="J15" i="8"/>
  <c r="I15" i="8"/>
  <c r="DU15" i="8" s="1"/>
  <c r="H15" i="8"/>
  <c r="G15" i="8"/>
  <c r="F15" i="8"/>
  <c r="E15" i="8"/>
  <c r="D15" i="8"/>
  <c r="C15" i="8"/>
  <c r="B15" i="8"/>
  <c r="EM14" i="8"/>
  <c r="EL14" i="8"/>
  <c r="EH14" i="8"/>
  <c r="EG14" i="8"/>
  <c r="EF14" i="8"/>
  <c r="EE14" i="8"/>
  <c r="ED14" i="8"/>
  <c r="DQ14" i="8"/>
  <c r="DP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DX14" i="8" s="1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EJ14" i="8" s="1"/>
  <c r="AZ14" i="8"/>
  <c r="EI14" i="8" s="1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DO14" i="8" s="1"/>
  <c r="AE14" i="8"/>
  <c r="DN14" i="8" s="1"/>
  <c r="AD14" i="8"/>
  <c r="EP14" i="8" s="1"/>
  <c r="ET14" i="8" s="1"/>
  <c r="AC14" i="8"/>
  <c r="EO14" i="8" s="1"/>
  <c r="ES14" i="8" s="1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EA14" i="8" s="1"/>
  <c r="N14" i="8"/>
  <c r="DZ14" i="8" s="1"/>
  <c r="M14" i="8"/>
  <c r="DY14" i="8" s="1"/>
  <c r="L14" i="8"/>
  <c r="K14" i="8"/>
  <c r="J14" i="8"/>
  <c r="DV14" i="8" s="1"/>
  <c r="I14" i="8"/>
  <c r="DU14" i="8" s="1"/>
  <c r="H14" i="8"/>
  <c r="DT14" i="8" s="1"/>
  <c r="G14" i="8"/>
  <c r="DS14" i="8" s="1"/>
  <c r="F14" i="8"/>
  <c r="E14" i="8"/>
  <c r="D14" i="8"/>
  <c r="C14" i="8"/>
  <c r="B14" i="8"/>
  <c r="EE13" i="8"/>
  <c r="ED13" i="8"/>
  <c r="EA13" i="8"/>
  <c r="DY13" i="8"/>
  <c r="DX13" i="8"/>
  <c r="DW13" i="8"/>
  <c r="DV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EC13" i="8" s="1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DZ13" i="8" s="1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EP13" i="8" s="1"/>
  <c r="ET13" i="8" s="1"/>
  <c r="AC13" i="8"/>
  <c r="AB13" i="8"/>
  <c r="EN13" i="8" s="1"/>
  <c r="AA13" i="8"/>
  <c r="EM13" i="8" s="1"/>
  <c r="Z13" i="8"/>
  <c r="Y13" i="8"/>
  <c r="EK13" i="8" s="1"/>
  <c r="X13" i="8"/>
  <c r="W13" i="8"/>
  <c r="V13" i="8"/>
  <c r="EH13" i="8" s="1"/>
  <c r="U13" i="8"/>
  <c r="T13" i="8"/>
  <c r="EF13" i="8" s="1"/>
  <c r="S13" i="8"/>
  <c r="R13" i="8"/>
  <c r="Q13" i="8"/>
  <c r="P13" i="8"/>
  <c r="EB13" i="8" s="1"/>
  <c r="O13" i="8"/>
  <c r="N13" i="8"/>
  <c r="M13" i="8"/>
  <c r="L13" i="8"/>
  <c r="K13" i="8"/>
  <c r="J13" i="8"/>
  <c r="I13" i="8"/>
  <c r="H13" i="8"/>
  <c r="DT13" i="8" s="1"/>
  <c r="G13" i="8"/>
  <c r="F13" i="8"/>
  <c r="DR13" i="8" s="1"/>
  <c r="E13" i="8"/>
  <c r="DQ13" i="8" s="1"/>
  <c r="D13" i="8"/>
  <c r="C13" i="8"/>
  <c r="DO13" i="8" s="1"/>
  <c r="B13" i="8"/>
  <c r="EK12" i="8"/>
  <c r="DW12" i="8"/>
  <c r="DS12" i="8"/>
  <c r="DL12" i="8"/>
  <c r="DK12" i="8"/>
  <c r="DJ12" i="8"/>
  <c r="DI12" i="8"/>
  <c r="DH12" i="8"/>
  <c r="DG12" i="8"/>
  <c r="DF12" i="8"/>
  <c r="DE12" i="8"/>
  <c r="DD12" i="8"/>
  <c r="DC12" i="8"/>
  <c r="DB12" i="8"/>
  <c r="DA12" i="8"/>
  <c r="CZ12" i="8"/>
  <c r="CY12" i="8"/>
  <c r="CX12" i="8"/>
  <c r="CW12" i="8"/>
  <c r="CV12" i="8"/>
  <c r="CU12" i="8"/>
  <c r="CT12" i="8"/>
  <c r="CS12" i="8"/>
  <c r="DV12" i="8" s="1"/>
  <c r="CR12" i="8"/>
  <c r="CQ12" i="8"/>
  <c r="CP12" i="8"/>
  <c r="CO12" i="8"/>
  <c r="CN12" i="8"/>
  <c r="CM12" i="8"/>
  <c r="CL12" i="8"/>
  <c r="CK12" i="8"/>
  <c r="CJ12" i="8"/>
  <c r="CI12" i="8"/>
  <c r="CH12" i="8"/>
  <c r="CG12" i="8"/>
  <c r="CF12" i="8"/>
  <c r="CE12" i="8"/>
  <c r="CD12" i="8"/>
  <c r="CC12" i="8"/>
  <c r="CC22" i="8" s="1"/>
  <c r="CB12" i="8"/>
  <c r="CA12" i="8"/>
  <c r="BZ12" i="8"/>
  <c r="BY12" i="8"/>
  <c r="EE12" i="8" s="1"/>
  <c r="BX12" i="8"/>
  <c r="BW12" i="8"/>
  <c r="BV12" i="8"/>
  <c r="BU12" i="8"/>
  <c r="BT12" i="8"/>
  <c r="BS12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EO12" i="8" s="1"/>
  <c r="ES12" i="8" s="1"/>
  <c r="BE12" i="8"/>
  <c r="EN12" i="8" s="1"/>
  <c r="BD12" i="8"/>
  <c r="BC12" i="8"/>
  <c r="EL12" i="8" s="1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DT12" i="8" s="1"/>
  <c r="AJ12" i="8"/>
  <c r="AI12" i="8"/>
  <c r="DR12" i="8" s="1"/>
  <c r="AH12" i="8"/>
  <c r="DQ12" i="8" s="1"/>
  <c r="AG12" i="8"/>
  <c r="DP12" i="8" s="1"/>
  <c r="AF12" i="8"/>
  <c r="DO12" i="8" s="1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ED12" i="8" s="1"/>
  <c r="Q12" i="8"/>
  <c r="P12" i="8"/>
  <c r="O12" i="8"/>
  <c r="EA12" i="8" s="1"/>
  <c r="N12" i="8"/>
  <c r="DZ12" i="8" s="1"/>
  <c r="M12" i="8"/>
  <c r="L12" i="8"/>
  <c r="DX12" i="8" s="1"/>
  <c r="K12" i="8"/>
  <c r="J12" i="8"/>
  <c r="I12" i="8"/>
  <c r="DU12" i="8" s="1"/>
  <c r="H12" i="8"/>
  <c r="G12" i="8"/>
  <c r="F12" i="8"/>
  <c r="E12" i="8"/>
  <c r="D12" i="8"/>
  <c r="C12" i="8"/>
  <c r="B12" i="8"/>
  <c r="EE11" i="8"/>
  <c r="DP11" i="8"/>
  <c r="DO11" i="8"/>
  <c r="DM11" i="8"/>
  <c r="DL11" i="8"/>
  <c r="DK11" i="8"/>
  <c r="DJ11" i="8"/>
  <c r="DI11" i="8"/>
  <c r="DH11" i="8"/>
  <c r="DG11" i="8"/>
  <c r="DF11" i="8"/>
  <c r="DE11" i="8"/>
  <c r="DD11" i="8"/>
  <c r="DC11" i="8"/>
  <c r="DB11" i="8"/>
  <c r="DA11" i="8"/>
  <c r="CZ11" i="8"/>
  <c r="CY11" i="8"/>
  <c r="CX11" i="8"/>
  <c r="CW11" i="8"/>
  <c r="CV11" i="8"/>
  <c r="CU11" i="8"/>
  <c r="CT11" i="8"/>
  <c r="CS11" i="8"/>
  <c r="CR11" i="8"/>
  <c r="CQ11" i="8"/>
  <c r="CP11" i="8"/>
  <c r="CO11" i="8"/>
  <c r="CN11" i="8"/>
  <c r="CM11" i="8"/>
  <c r="CL11" i="8"/>
  <c r="CK11" i="8"/>
  <c r="CJ11" i="8"/>
  <c r="CI11" i="8"/>
  <c r="CH11" i="8"/>
  <c r="CG11" i="8"/>
  <c r="CF11" i="8"/>
  <c r="CE11" i="8"/>
  <c r="CD11" i="8"/>
  <c r="CC11" i="8"/>
  <c r="CB11" i="8"/>
  <c r="CA11" i="8"/>
  <c r="BZ11" i="8"/>
  <c r="BY11" i="8"/>
  <c r="BX11" i="8"/>
  <c r="ED11" i="8" s="1"/>
  <c r="BW11" i="8"/>
  <c r="EC11" i="8" s="1"/>
  <c r="BV11" i="8"/>
  <c r="BU11" i="8"/>
  <c r="BT11" i="8"/>
  <c r="BS11" i="8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EJ11" i="8" s="1"/>
  <c r="AZ11" i="8"/>
  <c r="AY11" i="8"/>
  <c r="EH11" i="8" s="1"/>
  <c r="AX11" i="8"/>
  <c r="AW11" i="8"/>
  <c r="EF11" i="8" s="1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DN11" i="8" s="1"/>
  <c r="AD11" i="8"/>
  <c r="EP11" i="8" s="1"/>
  <c r="ET11" i="8" s="1"/>
  <c r="AC11" i="8"/>
  <c r="EO11" i="8" s="1"/>
  <c r="ES11" i="8" s="1"/>
  <c r="AB11" i="8"/>
  <c r="AA11" i="8"/>
  <c r="EM11" i="8" s="1"/>
  <c r="Z11" i="8"/>
  <c r="EL11" i="8" s="1"/>
  <c r="Y11" i="8"/>
  <c r="EK11" i="8" s="1"/>
  <c r="X11" i="8"/>
  <c r="W11" i="8"/>
  <c r="V11" i="8"/>
  <c r="U11" i="8"/>
  <c r="T11" i="8"/>
  <c r="S11" i="8"/>
  <c r="R11" i="8"/>
  <c r="Q11" i="8"/>
  <c r="P11" i="8"/>
  <c r="O11" i="8"/>
  <c r="N11" i="8"/>
  <c r="M11" i="8"/>
  <c r="DY11" i="8" s="1"/>
  <c r="L11" i="8"/>
  <c r="DX11" i="8" s="1"/>
  <c r="K11" i="8"/>
  <c r="J11" i="8"/>
  <c r="I11" i="8"/>
  <c r="DU11" i="8" s="1"/>
  <c r="H11" i="8"/>
  <c r="DT11" i="8" s="1"/>
  <c r="G11" i="8"/>
  <c r="DS11" i="8" s="1"/>
  <c r="F11" i="8"/>
  <c r="E11" i="8"/>
  <c r="DQ11" i="8" s="1"/>
  <c r="D11" i="8"/>
  <c r="C11" i="8"/>
  <c r="B11" i="8"/>
  <c r="EA10" i="8"/>
  <c r="DY10" i="8"/>
  <c r="DX10" i="8"/>
  <c r="DM10" i="8"/>
  <c r="DL10" i="8"/>
  <c r="DK10" i="8"/>
  <c r="DJ10" i="8"/>
  <c r="DI10" i="8"/>
  <c r="DH10" i="8"/>
  <c r="DG10" i="8"/>
  <c r="DF10" i="8"/>
  <c r="DE10" i="8"/>
  <c r="DD10" i="8"/>
  <c r="DC10" i="8"/>
  <c r="DB10" i="8"/>
  <c r="EE10" i="8" s="1"/>
  <c r="DA10" i="8"/>
  <c r="CZ10" i="8"/>
  <c r="CY10" i="8"/>
  <c r="CX10" i="8"/>
  <c r="CW10" i="8"/>
  <c r="CV10" i="8"/>
  <c r="CU10" i="8"/>
  <c r="CT10" i="8"/>
  <c r="CS10" i="8"/>
  <c r="CR10" i="8"/>
  <c r="CQ10" i="8"/>
  <c r="CP10" i="8"/>
  <c r="CO10" i="8"/>
  <c r="CN10" i="8"/>
  <c r="CM10" i="8"/>
  <c r="CL10" i="8"/>
  <c r="CK10" i="8"/>
  <c r="CJ10" i="8"/>
  <c r="CI10" i="8"/>
  <c r="CH10" i="8"/>
  <c r="CG10" i="8"/>
  <c r="CF10" i="8"/>
  <c r="CE10" i="8"/>
  <c r="CD10" i="8"/>
  <c r="CC10" i="8"/>
  <c r="CB10" i="8"/>
  <c r="CA10" i="8"/>
  <c r="BZ10" i="8"/>
  <c r="BY10" i="8"/>
  <c r="BX10" i="8"/>
  <c r="BW10" i="8"/>
  <c r="BV10" i="8"/>
  <c r="BU10" i="8"/>
  <c r="BT10" i="8"/>
  <c r="BS10" i="8"/>
  <c r="BR10" i="8"/>
  <c r="BQ10" i="8"/>
  <c r="DW10" i="8" s="1"/>
  <c r="BP10" i="8"/>
  <c r="DV10" i="8" s="1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EB10" i="8" s="1"/>
  <c r="AR10" i="8"/>
  <c r="AQ10" i="8"/>
  <c r="DZ10" i="8" s="1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EP10" i="8" s="1"/>
  <c r="ET10" i="8" s="1"/>
  <c r="AC10" i="8"/>
  <c r="AB10" i="8"/>
  <c r="EN10" i="8" s="1"/>
  <c r="AA10" i="8"/>
  <c r="EM10" i="8" s="1"/>
  <c r="Z10" i="8"/>
  <c r="Y10" i="8"/>
  <c r="X10" i="8"/>
  <c r="EJ10" i="8" s="1"/>
  <c r="W10" i="8"/>
  <c r="EI10" i="8" s="1"/>
  <c r="V10" i="8"/>
  <c r="EH10" i="8" s="1"/>
  <c r="U10" i="8"/>
  <c r="T10" i="8"/>
  <c r="S10" i="8"/>
  <c r="R10" i="8"/>
  <c r="ED10" i="8" s="1"/>
  <c r="Q10" i="8"/>
  <c r="EC10" i="8" s="1"/>
  <c r="P10" i="8"/>
  <c r="O10" i="8"/>
  <c r="N10" i="8"/>
  <c r="M10" i="8"/>
  <c r="L10" i="8"/>
  <c r="K10" i="8"/>
  <c r="J10" i="8"/>
  <c r="I10" i="8"/>
  <c r="H10" i="8"/>
  <c r="DT10" i="8" s="1"/>
  <c r="G10" i="8"/>
  <c r="F10" i="8"/>
  <c r="DR10" i="8" s="1"/>
  <c r="E10" i="8"/>
  <c r="DQ10" i="8" s="1"/>
  <c r="D10" i="8"/>
  <c r="C10" i="8"/>
  <c r="B10" i="8"/>
  <c r="DN10" i="8" s="1"/>
  <c r="ET9" i="8"/>
  <c r="DT9" i="8"/>
  <c r="DR9" i="8"/>
  <c r="DQ9" i="8"/>
  <c r="DP9" i="8"/>
  <c r="DM9" i="8"/>
  <c r="DL9" i="8"/>
  <c r="DK9" i="8"/>
  <c r="DJ9" i="8"/>
  <c r="DI9" i="8"/>
  <c r="DH9" i="8"/>
  <c r="DG9" i="8"/>
  <c r="DF9" i="8"/>
  <c r="DE9" i="8"/>
  <c r="DD9" i="8"/>
  <c r="DC9" i="8"/>
  <c r="DB9" i="8"/>
  <c r="DA9" i="8"/>
  <c r="CZ9" i="8"/>
  <c r="CY9" i="8"/>
  <c r="CX9" i="8"/>
  <c r="CW9" i="8"/>
  <c r="CV9" i="8"/>
  <c r="CU9" i="8"/>
  <c r="CT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EE9" i="8" s="1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G9" i="8"/>
  <c r="EP9" i="8" s="1"/>
  <c r="BF9" i="8"/>
  <c r="EO9" i="8" s="1"/>
  <c r="ES9" i="8" s="1"/>
  <c r="BE9" i="8"/>
  <c r="EN9" i="8" s="1"/>
  <c r="BD9" i="8"/>
  <c r="EM9" i="8" s="1"/>
  <c r="BC9" i="8"/>
  <c r="EL9" i="8" s="1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DS9" i="8" s="1"/>
  <c r="AI9" i="8"/>
  <c r="AH9" i="8"/>
  <c r="AG9" i="8"/>
  <c r="AF9" i="8"/>
  <c r="DO9" i="8" s="1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DZ9" i="8" s="1"/>
  <c r="M9" i="8"/>
  <c r="L9" i="8"/>
  <c r="K9" i="8"/>
  <c r="J9" i="8"/>
  <c r="I9" i="8"/>
  <c r="DU9" i="8" s="1"/>
  <c r="H9" i="8"/>
  <c r="G9" i="8"/>
  <c r="F9" i="8"/>
  <c r="E9" i="8"/>
  <c r="D9" i="8"/>
  <c r="C9" i="8"/>
  <c r="B9" i="8"/>
  <c r="EQ8" i="8"/>
  <c r="EP8" i="8"/>
  <c r="DY8" i="8"/>
  <c r="DQ8" i="8"/>
  <c r="DN8" i="8"/>
  <c r="DM8" i="8"/>
  <c r="DL8" i="8"/>
  <c r="DK8" i="8"/>
  <c r="DJ8" i="8"/>
  <c r="DI8" i="8"/>
  <c r="DH8" i="8"/>
  <c r="DG8" i="8"/>
  <c r="DF8" i="8"/>
  <c r="DE8" i="8"/>
  <c r="DD8" i="8"/>
  <c r="DC8" i="8"/>
  <c r="DB8" i="8"/>
  <c r="DA8" i="8"/>
  <c r="CZ8" i="8"/>
  <c r="CY8" i="8"/>
  <c r="CX8" i="8"/>
  <c r="CW8" i="8"/>
  <c r="CV8" i="8"/>
  <c r="CU8" i="8"/>
  <c r="CT8" i="8"/>
  <c r="CS8" i="8"/>
  <c r="CR8" i="8"/>
  <c r="CQ8" i="8"/>
  <c r="CP8" i="8"/>
  <c r="CO8" i="8"/>
  <c r="CN8" i="8"/>
  <c r="CM8" i="8"/>
  <c r="CL8" i="8"/>
  <c r="CK8" i="8"/>
  <c r="CJ8" i="8"/>
  <c r="CI8" i="8"/>
  <c r="CH8" i="8"/>
  <c r="CG8" i="8"/>
  <c r="CG22" i="8" s="1"/>
  <c r="CF8" i="8"/>
  <c r="CE8" i="8"/>
  <c r="CD8" i="8"/>
  <c r="CC8" i="8"/>
  <c r="CB8" i="8"/>
  <c r="CA8" i="8"/>
  <c r="EG8" i="8" s="1"/>
  <c r="BZ8" i="8"/>
  <c r="BY8" i="8"/>
  <c r="EE8" i="8" s="1"/>
  <c r="BX8" i="8"/>
  <c r="BW8" i="8"/>
  <c r="BV8" i="8"/>
  <c r="BU8" i="8"/>
  <c r="BT8" i="8"/>
  <c r="BS8" i="8"/>
  <c r="BR8" i="8"/>
  <c r="BQ8" i="8"/>
  <c r="BP8" i="8"/>
  <c r="BO8" i="8"/>
  <c r="BN8" i="8"/>
  <c r="BM8" i="8"/>
  <c r="BL8" i="8"/>
  <c r="BL22" i="8" s="1"/>
  <c r="BK8" i="8"/>
  <c r="BJ8" i="8"/>
  <c r="BI8" i="8"/>
  <c r="BH8" i="8"/>
  <c r="BG8" i="8"/>
  <c r="BF8" i="8"/>
  <c r="BE8" i="8"/>
  <c r="BD8" i="8"/>
  <c r="EM8" i="8" s="1"/>
  <c r="BC8" i="8"/>
  <c r="BB8" i="8"/>
  <c r="BA8" i="8"/>
  <c r="EJ8" i="8" s="1"/>
  <c r="AZ8" i="8"/>
  <c r="EI8" i="8" s="1"/>
  <c r="AY8" i="8"/>
  <c r="EH8" i="8" s="1"/>
  <c r="AX8" i="8"/>
  <c r="AW8" i="8"/>
  <c r="AV8" i="8"/>
  <c r="AU8" i="8"/>
  <c r="AT8" i="8"/>
  <c r="AS8" i="8"/>
  <c r="AR8" i="8"/>
  <c r="AQ8" i="8"/>
  <c r="AP8" i="8"/>
  <c r="AO8" i="8"/>
  <c r="AO22" i="8" s="1"/>
  <c r="AN8" i="8"/>
  <c r="AM8" i="8"/>
  <c r="AL8" i="8"/>
  <c r="AK8" i="8"/>
  <c r="AJ8" i="8"/>
  <c r="AI8" i="8"/>
  <c r="DR8" i="8" s="1"/>
  <c r="AH8" i="8"/>
  <c r="AG8" i="8"/>
  <c r="DP8" i="8" s="1"/>
  <c r="AF8" i="8"/>
  <c r="DO8" i="8" s="1"/>
  <c r="AE8" i="8"/>
  <c r="AD8" i="8"/>
  <c r="AC8" i="8"/>
  <c r="AB8" i="8"/>
  <c r="EN8" i="8" s="1"/>
  <c r="AA8" i="8"/>
  <c r="Z8" i="8"/>
  <c r="Y8" i="8"/>
  <c r="X8" i="8"/>
  <c r="W8" i="8"/>
  <c r="V8" i="8"/>
  <c r="U8" i="8"/>
  <c r="T8" i="8"/>
  <c r="EF8" i="8" s="1"/>
  <c r="S8" i="8"/>
  <c r="R8" i="8"/>
  <c r="Q8" i="8"/>
  <c r="P8" i="8"/>
  <c r="O8" i="8"/>
  <c r="N8" i="8"/>
  <c r="M8" i="8"/>
  <c r="L8" i="8"/>
  <c r="K8" i="8"/>
  <c r="DW8" i="8" s="1"/>
  <c r="J8" i="8"/>
  <c r="DV8" i="8" s="1"/>
  <c r="I8" i="8"/>
  <c r="H8" i="8"/>
  <c r="DT8" i="8" s="1"/>
  <c r="G8" i="8"/>
  <c r="F8" i="8"/>
  <c r="E8" i="8"/>
  <c r="D8" i="8"/>
  <c r="C8" i="8"/>
  <c r="B8" i="8"/>
  <c r="EQ7" i="8"/>
  <c r="EP7" i="8"/>
  <c r="ED7" i="8"/>
  <c r="DR7" i="8"/>
  <c r="DO7" i="8"/>
  <c r="DM7" i="8"/>
  <c r="DL7" i="8"/>
  <c r="DK7" i="8"/>
  <c r="DK22" i="8" s="1"/>
  <c r="DJ7" i="8"/>
  <c r="DJ22" i="8" s="1"/>
  <c r="DI7" i="8"/>
  <c r="DI22" i="8" s="1"/>
  <c r="DH7" i="8"/>
  <c r="DH22" i="8" s="1"/>
  <c r="DG7" i="8"/>
  <c r="DG22" i="8" s="1"/>
  <c r="DF7" i="8"/>
  <c r="DF22" i="8" s="1"/>
  <c r="DE7" i="8"/>
  <c r="DD7" i="8"/>
  <c r="DC7" i="8"/>
  <c r="DB7" i="8"/>
  <c r="DA7" i="8"/>
  <c r="CZ7" i="8"/>
  <c r="CY7" i="8"/>
  <c r="CX7" i="8"/>
  <c r="CW7" i="8"/>
  <c r="CV7" i="8"/>
  <c r="CU7" i="8"/>
  <c r="CT7" i="8"/>
  <c r="CS7" i="8"/>
  <c r="CR7" i="8"/>
  <c r="CQ7" i="8"/>
  <c r="CQ22" i="8" s="1"/>
  <c r="CP7" i="8"/>
  <c r="CO7" i="8"/>
  <c r="CO22" i="8" s="1"/>
  <c r="CN7" i="8"/>
  <c r="CN22" i="8" s="1"/>
  <c r="CM7" i="8"/>
  <c r="CM22" i="8" s="1"/>
  <c r="CL7" i="8"/>
  <c r="CL22" i="8" s="1"/>
  <c r="CK7" i="8"/>
  <c r="CK22" i="8" s="1"/>
  <c r="CJ7" i="8"/>
  <c r="CI7" i="8"/>
  <c r="CH7" i="8"/>
  <c r="CG7" i="8"/>
  <c r="CF7" i="8"/>
  <c r="CE7" i="8"/>
  <c r="CD7" i="8"/>
  <c r="CC7" i="8"/>
  <c r="CB7" i="8"/>
  <c r="CA7" i="8"/>
  <c r="BZ7" i="8"/>
  <c r="BY7" i="8"/>
  <c r="BX7" i="8"/>
  <c r="BW7" i="8"/>
  <c r="BW22" i="8" s="1"/>
  <c r="BV7" i="8"/>
  <c r="BU7" i="8"/>
  <c r="BU22" i="8" s="1"/>
  <c r="BT7" i="8"/>
  <c r="BS7" i="8"/>
  <c r="BS22" i="8" s="1"/>
  <c r="BR7" i="8"/>
  <c r="BR22" i="8" s="1"/>
  <c r="BQ7" i="8"/>
  <c r="BP7" i="8"/>
  <c r="BP22" i="8" s="1"/>
  <c r="BO7" i="8"/>
  <c r="BO22" i="8" s="1"/>
  <c r="BN7" i="8"/>
  <c r="BN22" i="8" s="1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BA22" i="8" s="1"/>
  <c r="AZ7" i="8"/>
  <c r="AY7" i="8"/>
  <c r="AY22" i="8" s="1"/>
  <c r="AX7" i="8"/>
  <c r="AW7" i="8"/>
  <c r="AV7" i="8"/>
  <c r="AU7" i="8"/>
  <c r="AU22" i="8" s="1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E22" i="8" s="1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C22" i="8" s="1"/>
  <c r="B7" i="8"/>
  <c r="B22" i="8" s="1"/>
  <c r="DW6" i="8"/>
  <c r="DM6" i="8"/>
  <c r="DL6" i="8"/>
  <c r="DK6" i="8"/>
  <c r="DJ6" i="8"/>
  <c r="DI6" i="8"/>
  <c r="DH6" i="8"/>
  <c r="DG6" i="8"/>
  <c r="DF6" i="8"/>
  <c r="DE6" i="8"/>
  <c r="DD6" i="8"/>
  <c r="DC6" i="8"/>
  <c r="DB6" i="8"/>
  <c r="DA6" i="8"/>
  <c r="CZ6" i="8"/>
  <c r="CY6" i="8"/>
  <c r="CX6" i="8"/>
  <c r="CW6" i="8"/>
  <c r="CV6" i="8"/>
  <c r="CU6" i="8"/>
  <c r="CT6" i="8"/>
  <c r="CS6" i="8"/>
  <c r="CR6" i="8"/>
  <c r="CQ6" i="8"/>
  <c r="CP6" i="8"/>
  <c r="CO6" i="8"/>
  <c r="CN6" i="8"/>
  <c r="CM6" i="8"/>
  <c r="CL6" i="8"/>
  <c r="CK6" i="8"/>
  <c r="CJ6" i="8"/>
  <c r="CI6" i="8"/>
  <c r="CH6" i="8"/>
  <c r="CG6" i="8"/>
  <c r="CF6" i="8"/>
  <c r="EL6" i="8" s="1"/>
  <c r="CE6" i="8"/>
  <c r="CD6" i="8"/>
  <c r="CC6" i="8"/>
  <c r="CB6" i="8"/>
  <c r="CA6" i="8"/>
  <c r="BZ6" i="8"/>
  <c r="BY6" i="8"/>
  <c r="BX6" i="8"/>
  <c r="BW6" i="8"/>
  <c r="BV6" i="8"/>
  <c r="BU6" i="8"/>
  <c r="BT6" i="8"/>
  <c r="BS6" i="8"/>
  <c r="BR6" i="8"/>
  <c r="BQ6" i="8"/>
  <c r="BP6" i="8"/>
  <c r="DV6" i="8" s="1"/>
  <c r="BO6" i="8"/>
  <c r="BN6" i="8"/>
  <c r="BM6" i="8"/>
  <c r="BL6" i="8"/>
  <c r="BK6" i="8"/>
  <c r="BJ6" i="8"/>
  <c r="DP6" i="8" s="1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EC6" i="8" s="1"/>
  <c r="AS6" i="8"/>
  <c r="AR6" i="8"/>
  <c r="EA6" i="8" s="1"/>
  <c r="AQ6" i="8"/>
  <c r="DZ6" i="8" s="1"/>
  <c r="AP6" i="8"/>
  <c r="DY6" i="8" s="1"/>
  <c r="AO6" i="8"/>
  <c r="DX6" i="8" s="1"/>
  <c r="AN6" i="8"/>
  <c r="AM6" i="8"/>
  <c r="AL6" i="8"/>
  <c r="DU6" i="8" s="1"/>
  <c r="AK6" i="8"/>
  <c r="AJ6" i="8"/>
  <c r="AI6" i="8"/>
  <c r="AH6" i="8"/>
  <c r="AG6" i="8"/>
  <c r="AF6" i="8"/>
  <c r="AE6" i="8"/>
  <c r="AD6" i="8"/>
  <c r="AC6" i="8"/>
  <c r="AB6" i="8"/>
  <c r="AA6" i="8"/>
  <c r="EM6" i="8" s="1"/>
  <c r="Z6" i="8"/>
  <c r="Y6" i="8"/>
  <c r="EK6" i="8" s="1"/>
  <c r="X6" i="8"/>
  <c r="W6" i="8"/>
  <c r="V6" i="8"/>
  <c r="U6" i="8"/>
  <c r="T6" i="8"/>
  <c r="EF6" i="8" s="1"/>
  <c r="S6" i="8"/>
  <c r="EE6" i="8" s="1"/>
  <c r="R6" i="8"/>
  <c r="ED6" i="8" s="1"/>
  <c r="Q6" i="8"/>
  <c r="P6" i="8"/>
  <c r="EB6" i="8" s="1"/>
  <c r="O6" i="8"/>
  <c r="N6" i="8"/>
  <c r="M6" i="8"/>
  <c r="L6" i="8"/>
  <c r="K6" i="8"/>
  <c r="J6" i="8"/>
  <c r="I6" i="8"/>
  <c r="H6" i="8"/>
  <c r="G6" i="8"/>
  <c r="F6" i="8"/>
  <c r="E6" i="8"/>
  <c r="DQ6" i="8" s="1"/>
  <c r="D6" i="8"/>
  <c r="C6" i="8"/>
  <c r="DO6" i="8" s="1"/>
  <c r="B6" i="8"/>
  <c r="EO5" i="8"/>
  <c r="ES5" i="8" s="1"/>
  <c r="DQ5" i="8"/>
  <c r="DP5" i="8"/>
  <c r="DO5" i="8"/>
  <c r="DN5" i="8"/>
  <c r="DM5" i="8"/>
  <c r="DM41" i="8" s="1"/>
  <c r="DL5" i="8"/>
  <c r="DK5" i="8"/>
  <c r="DJ5" i="8"/>
  <c r="DI5" i="8"/>
  <c r="DH5" i="8"/>
  <c r="DG5" i="8"/>
  <c r="DF5" i="8"/>
  <c r="DE5" i="8"/>
  <c r="DD5" i="8"/>
  <c r="DC5" i="8"/>
  <c r="DB5" i="8"/>
  <c r="DA5" i="8"/>
  <c r="CZ5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EE5" i="8" s="1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EN5" i="8" s="1"/>
  <c r="BD5" i="8"/>
  <c r="EM5" i="8" s="1"/>
  <c r="BC5" i="8"/>
  <c r="BB5" i="8"/>
  <c r="EK5" i="8" s="1"/>
  <c r="BA5" i="8"/>
  <c r="EJ5" i="8" s="1"/>
  <c r="AZ5" i="8"/>
  <c r="EI5" i="8" s="1"/>
  <c r="AY5" i="8"/>
  <c r="EH5" i="8" s="1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DR5" i="8" s="1"/>
  <c r="AH5" i="8"/>
  <c r="AG5" i="8"/>
  <c r="AF5" i="8"/>
  <c r="AE5" i="8"/>
  <c r="AD5" i="8"/>
  <c r="AD41" i="8" s="1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DT5" i="8" s="1"/>
  <c r="G5" i="8"/>
  <c r="F5" i="8"/>
  <c r="E5" i="8"/>
  <c r="D5" i="8"/>
  <c r="C5" i="8"/>
  <c r="B5" i="8"/>
  <c r="EE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DT4" i="8" s="1"/>
  <c r="CP4" i="8"/>
  <c r="DS4" i="8" s="1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EU3" i="8"/>
  <c r="ET3" i="8"/>
  <c r="ES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EN44" i="7"/>
  <c r="EM44" i="7"/>
  <c r="DM44" i="7"/>
  <c r="DL44" i="7"/>
  <c r="DJ44" i="7"/>
  <c r="DI44" i="7"/>
  <c r="CJ44" i="7"/>
  <c r="CG44" i="7"/>
  <c r="CX40" i="7"/>
  <c r="CW40" i="7"/>
  <c r="CV40" i="7"/>
  <c r="CA40" i="7"/>
  <c r="BZ40" i="7"/>
  <c r="BX40" i="7"/>
  <c r="BW40" i="7"/>
  <c r="BT40" i="7"/>
  <c r="BG40" i="7"/>
  <c r="BE40" i="7"/>
  <c r="BD40" i="7"/>
  <c r="AI40" i="7"/>
  <c r="AH40" i="7"/>
  <c r="AF40" i="7"/>
  <c r="AB40" i="7"/>
  <c r="M40" i="7"/>
  <c r="L40" i="7"/>
  <c r="EH39" i="7"/>
  <c r="EE39" i="7"/>
  <c r="ED39" i="7"/>
  <c r="EC39" i="7"/>
  <c r="EB39" i="7"/>
  <c r="EA39" i="7"/>
  <c r="DN39" i="7"/>
  <c r="DM39" i="7"/>
  <c r="DL39" i="7"/>
  <c r="DL40" i="7" s="1"/>
  <c r="DK39" i="7"/>
  <c r="DJ39" i="7"/>
  <c r="DI39" i="7"/>
  <c r="DH39" i="7"/>
  <c r="DG39" i="7"/>
  <c r="EJ39" i="7" s="1"/>
  <c r="DF39" i="7"/>
  <c r="DE39" i="7"/>
  <c r="DD39" i="7"/>
  <c r="DC39" i="7"/>
  <c r="DB39" i="7"/>
  <c r="DA39" i="7"/>
  <c r="CZ39" i="7"/>
  <c r="CY39" i="7"/>
  <c r="CX39" i="7"/>
  <c r="CW39" i="7"/>
  <c r="CV39" i="7"/>
  <c r="CU39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EG39" i="7" s="1"/>
  <c r="AW39" i="7"/>
  <c r="EF39" i="7" s="1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EP39" i="7" s="1"/>
  <c r="AC39" i="7"/>
  <c r="AB39" i="7"/>
  <c r="AA39" i="7"/>
  <c r="EM39" i="7" s="1"/>
  <c r="Z39" i="7"/>
  <c r="Y39" i="7"/>
  <c r="EK39" i="7" s="1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DW39" i="7" s="1"/>
  <c r="J39" i="7"/>
  <c r="DV39" i="7" s="1"/>
  <c r="I39" i="7"/>
  <c r="DU39" i="7" s="1"/>
  <c r="H39" i="7"/>
  <c r="DT39" i="7" s="1"/>
  <c r="G39" i="7"/>
  <c r="F39" i="7"/>
  <c r="E39" i="7"/>
  <c r="DQ39" i="7" s="1"/>
  <c r="D39" i="7"/>
  <c r="C39" i="7"/>
  <c r="DO39" i="7" s="1"/>
  <c r="B39" i="7"/>
  <c r="EQ38" i="7"/>
  <c r="EP38" i="7"/>
  <c r="EC38" i="7"/>
  <c r="DZ38" i="7"/>
  <c r="DX38" i="7"/>
  <c r="DW38" i="7"/>
  <c r="DV38" i="7"/>
  <c r="DU38" i="7"/>
  <c r="CJ38" i="7"/>
  <c r="CI38" i="7"/>
  <c r="CH38" i="7"/>
  <c r="CG38" i="7"/>
  <c r="CF38" i="7"/>
  <c r="CE38" i="7"/>
  <c r="CD38" i="7"/>
  <c r="CC38" i="7"/>
  <c r="CB38" i="7"/>
  <c r="CA38" i="7"/>
  <c r="EG38" i="7" s="1"/>
  <c r="BZ38" i="7"/>
  <c r="BY38" i="7"/>
  <c r="BX38" i="7"/>
  <c r="ED38" i="7" s="1"/>
  <c r="BW38" i="7"/>
  <c r="BV38" i="7"/>
  <c r="EB38" i="7" s="1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ET38" i="7" s="1"/>
  <c r="BF38" i="7"/>
  <c r="ES38" i="7" s="1"/>
  <c r="BE38" i="7"/>
  <c r="BD38" i="7"/>
  <c r="EM38" i="7" s="1"/>
  <c r="BC38" i="7"/>
  <c r="EL38" i="7" s="1"/>
  <c r="BB38" i="7"/>
  <c r="BA38" i="7"/>
  <c r="AZ38" i="7"/>
  <c r="AY38" i="7"/>
  <c r="EH38" i="7" s="1"/>
  <c r="AX38" i="7"/>
  <c r="AW38" i="7"/>
  <c r="AV38" i="7"/>
  <c r="AU38" i="7"/>
  <c r="AT38" i="7"/>
  <c r="AS38" i="7"/>
  <c r="AR38" i="7"/>
  <c r="AQ38" i="7"/>
  <c r="AP38" i="7"/>
  <c r="DY38" i="7" s="1"/>
  <c r="AO38" i="7"/>
  <c r="AN38" i="7"/>
  <c r="AM38" i="7"/>
  <c r="AL38" i="7"/>
  <c r="AK38" i="7"/>
  <c r="AJ38" i="7"/>
  <c r="AI38" i="7"/>
  <c r="AH38" i="7"/>
  <c r="DQ38" i="7" s="1"/>
  <c r="AG38" i="7"/>
  <c r="DP38" i="7" s="1"/>
  <c r="AF38" i="7"/>
  <c r="AE38" i="7"/>
  <c r="AE40" i="7" s="1"/>
  <c r="AD38" i="7"/>
  <c r="AC38" i="7"/>
  <c r="EO38" i="7" s="1"/>
  <c r="AB38" i="7"/>
  <c r="EN38" i="7" s="1"/>
  <c r="AA38" i="7"/>
  <c r="Z38" i="7"/>
  <c r="Y38" i="7"/>
  <c r="EK38" i="7" s="1"/>
  <c r="X38" i="7"/>
  <c r="EJ38" i="7" s="1"/>
  <c r="W38" i="7"/>
  <c r="EI38" i="7" s="1"/>
  <c r="V38" i="7"/>
  <c r="U38" i="7"/>
  <c r="T38" i="7"/>
  <c r="EF38" i="7" s="1"/>
  <c r="S38" i="7"/>
  <c r="EE38" i="7" s="1"/>
  <c r="R38" i="7"/>
  <c r="Q38" i="7"/>
  <c r="P38" i="7"/>
  <c r="O38" i="7"/>
  <c r="EA38" i="7" s="1"/>
  <c r="N38" i="7"/>
  <c r="M38" i="7"/>
  <c r="L38" i="7"/>
  <c r="K38" i="7"/>
  <c r="J38" i="7"/>
  <c r="I38" i="7"/>
  <c r="H38" i="7"/>
  <c r="G38" i="7"/>
  <c r="DS38" i="7" s="1"/>
  <c r="F38" i="7"/>
  <c r="DR38" i="7" s="1"/>
  <c r="E38" i="7"/>
  <c r="D38" i="7"/>
  <c r="C38" i="7"/>
  <c r="DO38" i="7" s="1"/>
  <c r="B38" i="7"/>
  <c r="DN38" i="7" s="1"/>
  <c r="EO37" i="7"/>
  <c r="EJ37" i="7"/>
  <c r="DN37" i="7"/>
  <c r="DM37" i="7"/>
  <c r="DL37" i="7"/>
  <c r="DK37" i="7"/>
  <c r="DJ37" i="7"/>
  <c r="DI37" i="7"/>
  <c r="EL37" i="7" s="1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R40" i="7" s="1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V40" i="7" s="1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Z40" i="7" s="1"/>
  <c r="AY37" i="7"/>
  <c r="EH37" i="7" s="1"/>
  <c r="AX37" i="7"/>
  <c r="EG37" i="7" s="1"/>
  <c r="AW37" i="7"/>
  <c r="EF37" i="7" s="1"/>
  <c r="AV37" i="7"/>
  <c r="EE37" i="7" s="1"/>
  <c r="AU37" i="7"/>
  <c r="ED37" i="7" s="1"/>
  <c r="AT37" i="7"/>
  <c r="EC37" i="7" s="1"/>
  <c r="AS37" i="7"/>
  <c r="AR37" i="7"/>
  <c r="EA37" i="7" s="1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EK37" i="7" s="1"/>
  <c r="X37" i="7"/>
  <c r="W37" i="7"/>
  <c r="V37" i="7"/>
  <c r="U37" i="7"/>
  <c r="T37" i="7"/>
  <c r="S37" i="7"/>
  <c r="R37" i="7"/>
  <c r="Q37" i="7"/>
  <c r="P37" i="7"/>
  <c r="O37" i="7"/>
  <c r="N37" i="7"/>
  <c r="DZ37" i="7" s="1"/>
  <c r="M37" i="7"/>
  <c r="L37" i="7"/>
  <c r="K37" i="7"/>
  <c r="J37" i="7"/>
  <c r="I37" i="7"/>
  <c r="H37" i="7"/>
  <c r="G37" i="7"/>
  <c r="DS37" i="7" s="1"/>
  <c r="F37" i="7"/>
  <c r="E37" i="7"/>
  <c r="D37" i="7"/>
  <c r="C37" i="7"/>
  <c r="DO37" i="7" s="1"/>
  <c r="B37" i="7"/>
  <c r="EC36" i="7"/>
  <c r="DM36" i="7"/>
  <c r="DL36" i="7"/>
  <c r="DK36" i="7"/>
  <c r="DJ36" i="7"/>
  <c r="DI36" i="7"/>
  <c r="DH36" i="7"/>
  <c r="DG36" i="7"/>
  <c r="DF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EB36" i="7" s="1"/>
  <c r="AR36" i="7"/>
  <c r="EA36" i="7" s="1"/>
  <c r="AQ36" i="7"/>
  <c r="DZ36" i="7" s="1"/>
  <c r="AP36" i="7"/>
  <c r="DY36" i="7" s="1"/>
  <c r="AO36" i="7"/>
  <c r="DX36" i="7" s="1"/>
  <c r="AN36" i="7"/>
  <c r="DW36" i="7" s="1"/>
  <c r="AM36" i="7"/>
  <c r="DV36" i="7" s="1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EL36" i="7" s="1"/>
  <c r="Y36" i="7"/>
  <c r="X36" i="7"/>
  <c r="W36" i="7"/>
  <c r="V36" i="7"/>
  <c r="EH36" i="7" s="1"/>
  <c r="U36" i="7"/>
  <c r="EG36" i="7" s="1"/>
  <c r="T36" i="7"/>
  <c r="EF36" i="7" s="1"/>
  <c r="S36" i="7"/>
  <c r="EE36" i="7" s="1"/>
  <c r="R36" i="7"/>
  <c r="ED36" i="7" s="1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DP36" i="7" s="1"/>
  <c r="C36" i="7"/>
  <c r="B36" i="7"/>
  <c r="ET35" i="7"/>
  <c r="EP35" i="7"/>
  <c r="EN35" i="7"/>
  <c r="EM35" i="7"/>
  <c r="EA35" i="7"/>
  <c r="DX35" i="7"/>
  <c r="DT35" i="7"/>
  <c r="DM35" i="7"/>
  <c r="DL35" i="7"/>
  <c r="DK35" i="7"/>
  <c r="DJ35" i="7"/>
  <c r="DI35" i="7"/>
  <c r="DH35" i="7"/>
  <c r="DG35" i="7"/>
  <c r="DF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EO35" i="7" s="1"/>
  <c r="ES35" i="7" s="1"/>
  <c r="CH35" i="7"/>
  <c r="CG35" i="7"/>
  <c r="CF35" i="7"/>
  <c r="EL35" i="7" s="1"/>
  <c r="CE35" i="7"/>
  <c r="EK35" i="7" s="1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DS35" i="7" s="1"/>
  <c r="BL35" i="7"/>
  <c r="BK35" i="7"/>
  <c r="BJ35" i="7"/>
  <c r="BI35" i="7"/>
  <c r="DO35" i="7" s="1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DW35" i="7" s="1"/>
  <c r="AM35" i="7"/>
  <c r="DV35" i="7" s="1"/>
  <c r="AL35" i="7"/>
  <c r="AK35" i="7"/>
  <c r="AJ35" i="7"/>
  <c r="AI35" i="7"/>
  <c r="DR35" i="7" s="1"/>
  <c r="AH35" i="7"/>
  <c r="DQ35" i="7" s="1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EG35" i="7" s="1"/>
  <c r="T35" i="7"/>
  <c r="EF35" i="7" s="1"/>
  <c r="S35" i="7"/>
  <c r="R35" i="7"/>
  <c r="Q35" i="7"/>
  <c r="EC35" i="7" s="1"/>
  <c r="P35" i="7"/>
  <c r="EB35" i="7" s="1"/>
  <c r="O35" i="7"/>
  <c r="N35" i="7"/>
  <c r="M35" i="7"/>
  <c r="DY35" i="7" s="1"/>
  <c r="L35" i="7"/>
  <c r="K35" i="7"/>
  <c r="J35" i="7"/>
  <c r="I35" i="7"/>
  <c r="DU35" i="7" s="1"/>
  <c r="H35" i="7"/>
  <c r="G35" i="7"/>
  <c r="F35" i="7"/>
  <c r="E35" i="7"/>
  <c r="D35" i="7"/>
  <c r="C35" i="7"/>
  <c r="B35" i="7"/>
  <c r="EK34" i="7"/>
  <c r="EJ34" i="7"/>
  <c r="EI34" i="7"/>
  <c r="DM34" i="7"/>
  <c r="EP34" i="7" s="1"/>
  <c r="DL34" i="7"/>
  <c r="DK34" i="7"/>
  <c r="DJ34" i="7"/>
  <c r="EM34" i="7" s="1"/>
  <c r="DI34" i="7"/>
  <c r="DH34" i="7"/>
  <c r="DG34" i="7"/>
  <c r="DF34" i="7"/>
  <c r="DE34" i="7"/>
  <c r="DD34" i="7"/>
  <c r="DC34" i="7"/>
  <c r="DB34" i="7"/>
  <c r="DA34" i="7"/>
  <c r="CZ34" i="7"/>
  <c r="CY34" i="7"/>
  <c r="CX34" i="7"/>
  <c r="CW34" i="7"/>
  <c r="CV34" i="7"/>
  <c r="CU34" i="7"/>
  <c r="CT34" i="7"/>
  <c r="CS34" i="7"/>
  <c r="CR34" i="7"/>
  <c r="CQ34" i="7"/>
  <c r="DT34" i="7" s="1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W34" i="7"/>
  <c r="BV34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EH34" i="7" s="1"/>
  <c r="AX34" i="7"/>
  <c r="EG34" i="7" s="1"/>
  <c r="AW34" i="7"/>
  <c r="EF34" i="7" s="1"/>
  <c r="AV34" i="7"/>
  <c r="EE34" i="7" s="1"/>
  <c r="AU34" i="7"/>
  <c r="ED34" i="7" s="1"/>
  <c r="AT34" i="7"/>
  <c r="EC34" i="7" s="1"/>
  <c r="AS34" i="7"/>
  <c r="EB34" i="7" s="1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EO34" i="7" s="1"/>
  <c r="AB34" i="7"/>
  <c r="EN34" i="7" s="1"/>
  <c r="AA34" i="7"/>
  <c r="Z34" i="7"/>
  <c r="EL34" i="7" s="1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DY34" i="7" s="1"/>
  <c r="L34" i="7"/>
  <c r="K34" i="7"/>
  <c r="J34" i="7"/>
  <c r="I34" i="7"/>
  <c r="DU34" i="7" s="1"/>
  <c r="H34" i="7"/>
  <c r="G34" i="7"/>
  <c r="DS34" i="7" s="1"/>
  <c r="F34" i="7"/>
  <c r="DR34" i="7" s="1"/>
  <c r="E34" i="7"/>
  <c r="D34" i="7"/>
  <c r="DP34" i="7" s="1"/>
  <c r="C34" i="7"/>
  <c r="B34" i="7"/>
  <c r="DN34" i="7" s="1"/>
  <c r="EI33" i="7"/>
  <c r="EB33" i="7"/>
  <c r="EA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J40" i="7" s="1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DZ33" i="7" s="1"/>
  <c r="AP33" i="7"/>
  <c r="DY33" i="7" s="1"/>
  <c r="AO33" i="7"/>
  <c r="DX33" i="7" s="1"/>
  <c r="AN33" i="7"/>
  <c r="DW33" i="7" s="1"/>
  <c r="AM33" i="7"/>
  <c r="DV33" i="7" s="1"/>
  <c r="AL33" i="7"/>
  <c r="DU33" i="7" s="1"/>
  <c r="AK33" i="7"/>
  <c r="AJ33" i="7"/>
  <c r="AI33" i="7"/>
  <c r="AH33" i="7"/>
  <c r="AG33" i="7"/>
  <c r="AF33" i="7"/>
  <c r="AE33" i="7"/>
  <c r="AD33" i="7"/>
  <c r="EP33" i="7" s="1"/>
  <c r="AC33" i="7"/>
  <c r="AB33" i="7"/>
  <c r="AA33" i="7"/>
  <c r="Z33" i="7"/>
  <c r="Y33" i="7"/>
  <c r="X33" i="7"/>
  <c r="EJ33" i="7" s="1"/>
  <c r="W33" i="7"/>
  <c r="V33" i="7"/>
  <c r="U33" i="7"/>
  <c r="T33" i="7"/>
  <c r="S33" i="7"/>
  <c r="R33" i="7"/>
  <c r="Q33" i="7"/>
  <c r="EC33" i="7" s="1"/>
  <c r="P33" i="7"/>
  <c r="O33" i="7"/>
  <c r="N33" i="7"/>
  <c r="M33" i="7"/>
  <c r="L33" i="7"/>
  <c r="K33" i="7"/>
  <c r="J33" i="7"/>
  <c r="I33" i="7"/>
  <c r="H33" i="7"/>
  <c r="DT33" i="7" s="1"/>
  <c r="G33" i="7"/>
  <c r="F33" i="7"/>
  <c r="E33" i="7"/>
  <c r="D33" i="7"/>
  <c r="C33" i="7"/>
  <c r="B33" i="7"/>
  <c r="DN33" i="7" s="1"/>
  <c r="EO32" i="7"/>
  <c r="EN32" i="7"/>
  <c r="EM32" i="7"/>
  <c r="EL32" i="7"/>
  <c r="EB32" i="7"/>
  <c r="DY32" i="7"/>
  <c r="DV32" i="7"/>
  <c r="DR32" i="7"/>
  <c r="DM32" i="7"/>
  <c r="DL32" i="7"/>
  <c r="DK32" i="7"/>
  <c r="DJ32" i="7"/>
  <c r="DI32" i="7"/>
  <c r="DH32" i="7"/>
  <c r="DG32" i="7"/>
  <c r="DF32" i="7"/>
  <c r="DE32" i="7"/>
  <c r="DD32" i="7"/>
  <c r="DC32" i="7"/>
  <c r="DB32" i="7"/>
  <c r="DA32" i="7"/>
  <c r="CZ32" i="7"/>
  <c r="CY32" i="7"/>
  <c r="CY40" i="7" s="1"/>
  <c r="CX32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O32" i="7"/>
  <c r="BN32" i="7"/>
  <c r="BM32" i="7"/>
  <c r="BL32" i="7"/>
  <c r="BK32" i="7"/>
  <c r="DQ32" i="7" s="1"/>
  <c r="BJ32" i="7"/>
  <c r="DP32" i="7" s="1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DX32" i="7" s="1"/>
  <c r="AN32" i="7"/>
  <c r="DW32" i="7" s="1"/>
  <c r="AM32" i="7"/>
  <c r="AL32" i="7"/>
  <c r="DU32" i="7" s="1"/>
  <c r="AK32" i="7"/>
  <c r="DT32" i="7" s="1"/>
  <c r="AJ32" i="7"/>
  <c r="DS32" i="7" s="1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EG32" i="7" s="1"/>
  <c r="T32" i="7"/>
  <c r="EF32" i="7" s="1"/>
  <c r="S32" i="7"/>
  <c r="R32" i="7"/>
  <c r="Q32" i="7"/>
  <c r="EC32" i="7" s="1"/>
  <c r="P32" i="7"/>
  <c r="O32" i="7"/>
  <c r="EA32" i="7" s="1"/>
  <c r="N32" i="7"/>
  <c r="DZ32" i="7" s="1"/>
  <c r="M32" i="7"/>
  <c r="L32" i="7"/>
  <c r="K32" i="7"/>
  <c r="J32" i="7"/>
  <c r="I32" i="7"/>
  <c r="H32" i="7"/>
  <c r="G32" i="7"/>
  <c r="F32" i="7"/>
  <c r="E32" i="7"/>
  <c r="D32" i="7"/>
  <c r="C32" i="7"/>
  <c r="B32" i="7"/>
  <c r="EQ31" i="7"/>
  <c r="EP31" i="7"/>
  <c r="EN31" i="7"/>
  <c r="EK31" i="7"/>
  <c r="EJ31" i="7"/>
  <c r="EI31" i="7"/>
  <c r="DV31" i="7"/>
  <c r="DN31" i="7"/>
  <c r="DL31" i="7"/>
  <c r="DK31" i="7"/>
  <c r="DJ31" i="7"/>
  <c r="EM31" i="7" s="1"/>
  <c r="DI31" i="7"/>
  <c r="DH31" i="7"/>
  <c r="DG31" i="7"/>
  <c r="DF31" i="7"/>
  <c r="DE31" i="7"/>
  <c r="DD31" i="7"/>
  <c r="DC31" i="7"/>
  <c r="DB31" i="7"/>
  <c r="DA31" i="7"/>
  <c r="CZ31" i="7"/>
  <c r="CY31" i="7"/>
  <c r="CX31" i="7"/>
  <c r="CW31" i="7"/>
  <c r="CV31" i="7"/>
  <c r="CU31" i="7"/>
  <c r="CU40" i="7" s="1"/>
  <c r="CT31" i="7"/>
  <c r="CT40" i="7" s="1"/>
  <c r="CS31" i="7"/>
  <c r="CS40" i="7" s="1"/>
  <c r="CR31" i="7"/>
  <c r="CQ31" i="7"/>
  <c r="CP31" i="7"/>
  <c r="CO31" i="7"/>
  <c r="CN31" i="7"/>
  <c r="CM31" i="7"/>
  <c r="CL31" i="7"/>
  <c r="CK31" i="7"/>
  <c r="CJ31" i="7"/>
  <c r="CI31" i="7"/>
  <c r="CH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ET31" i="7" s="1"/>
  <c r="BF31" i="7"/>
  <c r="BE31" i="7"/>
  <c r="BD31" i="7"/>
  <c r="BC31" i="7"/>
  <c r="BC40" i="7" s="1"/>
  <c r="BB31" i="7"/>
  <c r="BB40" i="7" s="1"/>
  <c r="BA31" i="7"/>
  <c r="BA40" i="7" s="1"/>
  <c r="AZ31" i="7"/>
  <c r="AY31" i="7"/>
  <c r="AX31" i="7"/>
  <c r="EG31" i="7" s="1"/>
  <c r="AW31" i="7"/>
  <c r="EF31" i="7" s="1"/>
  <c r="AV31" i="7"/>
  <c r="EE31" i="7" s="1"/>
  <c r="AU31" i="7"/>
  <c r="ED31" i="7" s="1"/>
  <c r="AT31" i="7"/>
  <c r="AS31" i="7"/>
  <c r="EB31" i="7" s="1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EL31" i="7" s="1"/>
  <c r="Y31" i="7"/>
  <c r="X31" i="7"/>
  <c r="W31" i="7"/>
  <c r="V31" i="7"/>
  <c r="U31" i="7"/>
  <c r="T31" i="7"/>
  <c r="S31" i="7"/>
  <c r="R31" i="7"/>
  <c r="Q31" i="7"/>
  <c r="EC31" i="7" s="1"/>
  <c r="P31" i="7"/>
  <c r="O31" i="7"/>
  <c r="N31" i="7"/>
  <c r="M31" i="7"/>
  <c r="DY31" i="7" s="1"/>
  <c r="L31" i="7"/>
  <c r="K31" i="7"/>
  <c r="J31" i="7"/>
  <c r="J40" i="7" s="1"/>
  <c r="I31" i="7"/>
  <c r="DU31" i="7" s="1"/>
  <c r="H31" i="7"/>
  <c r="G31" i="7"/>
  <c r="F31" i="7"/>
  <c r="E31" i="7"/>
  <c r="D31" i="7"/>
  <c r="DP31" i="7" s="1"/>
  <c r="C31" i="7"/>
  <c r="DO31" i="7" s="1"/>
  <c r="B31" i="7"/>
  <c r="EJ30" i="7"/>
  <c r="EE30" i="7"/>
  <c r="ED30" i="7"/>
  <c r="EC30" i="7"/>
  <c r="EB30" i="7"/>
  <c r="DM30" i="7"/>
  <c r="DL30" i="7"/>
  <c r="DK30" i="7"/>
  <c r="DJ30" i="7"/>
  <c r="DI30" i="7"/>
  <c r="DH30" i="7"/>
  <c r="DG3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EA30" i="7" s="1"/>
  <c r="AQ30" i="7"/>
  <c r="DZ30" i="7" s="1"/>
  <c r="AP30" i="7"/>
  <c r="DY30" i="7" s="1"/>
  <c r="AO30" i="7"/>
  <c r="DX30" i="7" s="1"/>
  <c r="AN30" i="7"/>
  <c r="AM30" i="7"/>
  <c r="DV30" i="7" s="1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EK30" i="7" s="1"/>
  <c r="X30" i="7"/>
  <c r="W30" i="7"/>
  <c r="V30" i="7"/>
  <c r="EH30" i="7" s="1"/>
  <c r="U30" i="7"/>
  <c r="EG30" i="7" s="1"/>
  <c r="T30" i="7"/>
  <c r="EF30" i="7" s="1"/>
  <c r="S30" i="7"/>
  <c r="R30" i="7"/>
  <c r="Q30" i="7"/>
  <c r="P30" i="7"/>
  <c r="O30" i="7"/>
  <c r="N30" i="7"/>
  <c r="M30" i="7"/>
  <c r="L30" i="7"/>
  <c r="K30" i="7"/>
  <c r="J30" i="7"/>
  <c r="I30" i="7"/>
  <c r="DU30" i="7" s="1"/>
  <c r="H30" i="7"/>
  <c r="G30" i="7"/>
  <c r="F30" i="7"/>
  <c r="E30" i="7"/>
  <c r="D30" i="7"/>
  <c r="C30" i="7"/>
  <c r="DO30" i="7" s="1"/>
  <c r="B30" i="7"/>
  <c r="DN30" i="7" s="1"/>
  <c r="EP29" i="7"/>
  <c r="EO29" i="7"/>
  <c r="DM29" i="7"/>
  <c r="DL29" i="7"/>
  <c r="DK29" i="7"/>
  <c r="DJ29" i="7"/>
  <c r="DI29" i="7"/>
  <c r="DH29" i="7"/>
  <c r="DG29" i="7"/>
  <c r="DF29" i="7"/>
  <c r="DE29" i="7"/>
  <c r="DE40" i="7" s="1"/>
  <c r="DD29" i="7"/>
  <c r="DD40" i="7" s="1"/>
  <c r="DC29" i="7"/>
  <c r="DC40" i="7" s="1"/>
  <c r="DB29" i="7"/>
  <c r="DA29" i="7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I40" i="7" s="1"/>
  <c r="CH29" i="7"/>
  <c r="CH40" i="7" s="1"/>
  <c r="CG29" i="7"/>
  <c r="CF29" i="7"/>
  <c r="CE29" i="7"/>
  <c r="CD29" i="7"/>
  <c r="CC29" i="7"/>
  <c r="CB29" i="7"/>
  <c r="CB40" i="7" s="1"/>
  <c r="CA29" i="7"/>
  <c r="BZ29" i="7"/>
  <c r="BY29" i="7"/>
  <c r="BY40" i="7" s="1"/>
  <c r="BX29" i="7"/>
  <c r="BW29" i="7"/>
  <c r="BV29" i="7"/>
  <c r="BU29" i="7"/>
  <c r="BT29" i="7"/>
  <c r="BS29" i="7"/>
  <c r="BR29" i="7"/>
  <c r="BQ29" i="7"/>
  <c r="BP29" i="7"/>
  <c r="BO29" i="7"/>
  <c r="BN29" i="7"/>
  <c r="BM29" i="7"/>
  <c r="BM40" i="7" s="1"/>
  <c r="BL29" i="7"/>
  <c r="BL40" i="7" s="1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Q40" i="7" s="1"/>
  <c r="AP29" i="7"/>
  <c r="AO29" i="7"/>
  <c r="AN29" i="7"/>
  <c r="AM29" i="7"/>
  <c r="AL29" i="7"/>
  <c r="AK29" i="7"/>
  <c r="AJ29" i="7"/>
  <c r="AI29" i="7"/>
  <c r="AH29" i="7"/>
  <c r="AG29" i="7"/>
  <c r="AG40" i="7" s="1"/>
  <c r="AF29" i="7"/>
  <c r="AE29" i="7"/>
  <c r="AD29" i="7"/>
  <c r="AC29" i="7"/>
  <c r="AB29" i="7"/>
  <c r="AA29" i="7"/>
  <c r="Z29" i="7"/>
  <c r="Y29" i="7"/>
  <c r="X29" i="7"/>
  <c r="W29" i="7"/>
  <c r="V29" i="7"/>
  <c r="EH29" i="7" s="1"/>
  <c r="U29" i="7"/>
  <c r="T29" i="7"/>
  <c r="S29" i="7"/>
  <c r="R29" i="7"/>
  <c r="ED29" i="7" s="1"/>
  <c r="Q29" i="7"/>
  <c r="P29" i="7"/>
  <c r="O29" i="7"/>
  <c r="N29" i="7"/>
  <c r="N40" i="7" s="1"/>
  <c r="M29" i="7"/>
  <c r="L29" i="7"/>
  <c r="K29" i="7"/>
  <c r="J29" i="7"/>
  <c r="I29" i="7"/>
  <c r="H29" i="7"/>
  <c r="G29" i="7"/>
  <c r="F29" i="7"/>
  <c r="E29" i="7"/>
  <c r="D29" i="7"/>
  <c r="C29" i="7"/>
  <c r="B29" i="7"/>
  <c r="CZ28" i="7"/>
  <c r="CW28" i="7"/>
  <c r="CV28" i="7"/>
  <c r="CQ28" i="7"/>
  <c r="CP28" i="7"/>
  <c r="BG28" i="7"/>
  <c r="BD28" i="7"/>
  <c r="BB28" i="7"/>
  <c r="BA28" i="7"/>
  <c r="AZ28" i="7"/>
  <c r="AY28" i="7"/>
  <c r="AX28" i="7"/>
  <c r="AW28" i="7"/>
  <c r="O28" i="7"/>
  <c r="L28" i="7"/>
  <c r="F28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DY27" i="7" s="1"/>
  <c r="BR27" i="7"/>
  <c r="DX27" i="7" s="1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EF27" i="7" s="1"/>
  <c r="AV27" i="7"/>
  <c r="EE27" i="7" s="1"/>
  <c r="AU27" i="7"/>
  <c r="ED27" i="7" s="1"/>
  <c r="AT27" i="7"/>
  <c r="EC27" i="7" s="1"/>
  <c r="AS27" i="7"/>
  <c r="EB27" i="7" s="1"/>
  <c r="AR27" i="7"/>
  <c r="EA27" i="7" s="1"/>
  <c r="AQ27" i="7"/>
  <c r="DZ27" i="7" s="1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EN27" i="7" s="1"/>
  <c r="AA27" i="7"/>
  <c r="Z27" i="7"/>
  <c r="EL27" i="7" s="1"/>
  <c r="Y27" i="7"/>
  <c r="X27" i="7"/>
  <c r="W27" i="7"/>
  <c r="V27" i="7"/>
  <c r="EH27" i="7" s="1"/>
  <c r="U27" i="7"/>
  <c r="EG27" i="7" s="1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DR27" i="7" s="1"/>
  <c r="E27" i="7"/>
  <c r="D27" i="7"/>
  <c r="DP27" i="7" s="1"/>
  <c r="C27" i="7"/>
  <c r="B27" i="7"/>
  <c r="ET26" i="7"/>
  <c r="ES26" i="7"/>
  <c r="EP26" i="7"/>
  <c r="EC26" i="7"/>
  <c r="DU26" i="7"/>
  <c r="DT26" i="7"/>
  <c r="DR26" i="7"/>
  <c r="DQ26" i="7"/>
  <c r="DM26" i="7"/>
  <c r="DL26" i="7"/>
  <c r="DK26" i="7"/>
  <c r="DJ26" i="7"/>
  <c r="DI26" i="7"/>
  <c r="DH26" i="7"/>
  <c r="DG26" i="7"/>
  <c r="DF26" i="7"/>
  <c r="DE26" i="7"/>
  <c r="DD26" i="7"/>
  <c r="DC26" i="7"/>
  <c r="DB26" i="7"/>
  <c r="DA26" i="7"/>
  <c r="CZ26" i="7"/>
  <c r="CY26" i="7"/>
  <c r="CX26" i="7"/>
  <c r="CW26" i="7"/>
  <c r="CV26" i="7"/>
  <c r="DY26" i="7" s="1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EN26" i="7" s="1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EO26" i="7" s="1"/>
  <c r="BE26" i="7"/>
  <c r="BD26" i="7"/>
  <c r="EM26" i="7" s="1"/>
  <c r="BC26" i="7"/>
  <c r="BB26" i="7"/>
  <c r="EK26" i="7" s="1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DV26" i="7" s="1"/>
  <c r="AL26" i="7"/>
  <c r="AK26" i="7"/>
  <c r="AJ26" i="7"/>
  <c r="DS26" i="7" s="1"/>
  <c r="AI26" i="7"/>
  <c r="AH26" i="7"/>
  <c r="AG26" i="7"/>
  <c r="AF26" i="7"/>
  <c r="DO26" i="7" s="1"/>
  <c r="AE26" i="7"/>
  <c r="AD26" i="7"/>
  <c r="AC26" i="7"/>
  <c r="AB26" i="7"/>
  <c r="AA26" i="7"/>
  <c r="Z26" i="7"/>
  <c r="Y26" i="7"/>
  <c r="X26" i="7"/>
  <c r="W26" i="7"/>
  <c r="EI26" i="7" s="1"/>
  <c r="V26" i="7"/>
  <c r="EH26" i="7" s="1"/>
  <c r="U26" i="7"/>
  <c r="EG26" i="7" s="1"/>
  <c r="T26" i="7"/>
  <c r="S26" i="7"/>
  <c r="R26" i="7"/>
  <c r="ED26" i="7" s="1"/>
  <c r="Q26" i="7"/>
  <c r="P26" i="7"/>
  <c r="O26" i="7"/>
  <c r="N26" i="7"/>
  <c r="DZ26" i="7" s="1"/>
  <c r="M26" i="7"/>
  <c r="L26" i="7"/>
  <c r="DX26" i="7" s="1"/>
  <c r="K26" i="7"/>
  <c r="DW26" i="7" s="1"/>
  <c r="J26" i="7"/>
  <c r="I26" i="7"/>
  <c r="H26" i="7"/>
  <c r="G26" i="7"/>
  <c r="F26" i="7"/>
  <c r="E26" i="7"/>
  <c r="D26" i="7"/>
  <c r="C26" i="7"/>
  <c r="B26" i="7"/>
  <c r="DV25" i="7"/>
  <c r="DO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U28" i="7" s="1"/>
  <c r="CT25" i="7"/>
  <c r="CT28" i="7" s="1"/>
  <c r="CS25" i="7"/>
  <c r="CS28" i="7" s="1"/>
  <c r="CR25" i="7"/>
  <c r="CR28" i="7" s="1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Y28" i="7" s="1"/>
  <c r="BX25" i="7"/>
  <c r="BX28" i="7" s="1"/>
  <c r="BW25" i="7"/>
  <c r="BV25" i="7"/>
  <c r="BV28" i="7" s="1"/>
  <c r="BU25" i="7"/>
  <c r="BU28" i="7" s="1"/>
  <c r="BT25" i="7"/>
  <c r="BS25" i="7"/>
  <c r="BS28" i="7" s="1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C28" i="7" s="1"/>
  <c r="BB25" i="7"/>
  <c r="EK25" i="7" s="1"/>
  <c r="BA25" i="7"/>
  <c r="EJ25" i="7" s="1"/>
  <c r="AZ25" i="7"/>
  <c r="EI25" i="7" s="1"/>
  <c r="AY25" i="7"/>
  <c r="EH25" i="7" s="1"/>
  <c r="AX25" i="7"/>
  <c r="EG25" i="7" s="1"/>
  <c r="AW25" i="7"/>
  <c r="EF25" i="7" s="1"/>
  <c r="AV25" i="7"/>
  <c r="EE25" i="7" s="1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G28" i="7" s="1"/>
  <c r="AF25" i="7"/>
  <c r="AF28" i="7" s="1"/>
  <c r="AE25" i="7"/>
  <c r="DN25" i="7" s="1"/>
  <c r="AD25" i="7"/>
  <c r="AC25" i="7"/>
  <c r="AB25" i="7"/>
  <c r="AA25" i="7"/>
  <c r="Z25" i="7"/>
  <c r="EL25" i="7" s="1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J28" i="7" s="1"/>
  <c r="I25" i="7"/>
  <c r="H25" i="7"/>
  <c r="G25" i="7"/>
  <c r="F25" i="7"/>
  <c r="E25" i="7"/>
  <c r="E28" i="7" s="1"/>
  <c r="D25" i="7"/>
  <c r="DP25" i="7" s="1"/>
  <c r="C25" i="7"/>
  <c r="B25" i="7"/>
  <c r="DZ24" i="7"/>
  <c r="DM24" i="7"/>
  <c r="DL24" i="7"/>
  <c r="DL28" i="7" s="1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W24" i="7"/>
  <c r="CV24" i="7"/>
  <c r="CU24" i="7"/>
  <c r="CT24" i="7"/>
  <c r="CS24" i="7"/>
  <c r="CR24" i="7"/>
  <c r="CQ24" i="7"/>
  <c r="CP24" i="7"/>
  <c r="CO24" i="7"/>
  <c r="CO28" i="7" s="1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EC24" i="7" s="1"/>
  <c r="AS24" i="7"/>
  <c r="EB24" i="7" s="1"/>
  <c r="AR24" i="7"/>
  <c r="EA24" i="7" s="1"/>
  <c r="AQ24" i="7"/>
  <c r="AP24" i="7"/>
  <c r="DY24" i="7" s="1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EO24" i="7" s="1"/>
  <c r="AB24" i="7"/>
  <c r="AA24" i="7"/>
  <c r="Z24" i="7"/>
  <c r="Y24" i="7"/>
  <c r="X24" i="7"/>
  <c r="EJ24" i="7" s="1"/>
  <c r="W24" i="7"/>
  <c r="EI24" i="7" s="1"/>
  <c r="V24" i="7"/>
  <c r="U24" i="7"/>
  <c r="T24" i="7"/>
  <c r="EF24" i="7" s="1"/>
  <c r="S24" i="7"/>
  <c r="EE24" i="7" s="1"/>
  <c r="R24" i="7"/>
  <c r="Q24" i="7"/>
  <c r="P24" i="7"/>
  <c r="O24" i="7"/>
  <c r="N24" i="7"/>
  <c r="M24" i="7"/>
  <c r="L24" i="7"/>
  <c r="K24" i="7"/>
  <c r="J24" i="7"/>
  <c r="I24" i="7"/>
  <c r="H24" i="7"/>
  <c r="G24" i="7"/>
  <c r="DS24" i="7" s="1"/>
  <c r="F24" i="7"/>
  <c r="E24" i="7"/>
  <c r="D24" i="7"/>
  <c r="C24" i="7"/>
  <c r="B24" i="7"/>
  <c r="DN24" i="7" s="1"/>
  <c r="ET23" i="7"/>
  <c r="EP23" i="7"/>
  <c r="EO23" i="7"/>
  <c r="DT23" i="7"/>
  <c r="DM23" i="7"/>
  <c r="DL23" i="7"/>
  <c r="DK23" i="7"/>
  <c r="DJ23" i="7"/>
  <c r="DI23" i="7"/>
  <c r="DH23" i="7"/>
  <c r="DG23" i="7"/>
  <c r="DF23" i="7"/>
  <c r="DE23" i="7"/>
  <c r="DD23" i="7"/>
  <c r="DD28" i="7" s="1"/>
  <c r="DC23" i="7"/>
  <c r="DC28" i="7" s="1"/>
  <c r="DB23" i="7"/>
  <c r="DA23" i="7"/>
  <c r="CZ23" i="7"/>
  <c r="CY23" i="7"/>
  <c r="CY28" i="7" s="1"/>
  <c r="CX23" i="7"/>
  <c r="CX28" i="7" s="1"/>
  <c r="CW23" i="7"/>
  <c r="CV23" i="7"/>
  <c r="CU23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ES23" i="7" s="1"/>
  <c r="CH23" i="7"/>
  <c r="CG23" i="7"/>
  <c r="CG28" i="7" s="1"/>
  <c r="CF23" i="7"/>
  <c r="CE23" i="7"/>
  <c r="CD23" i="7"/>
  <c r="CD28" i="7" s="1"/>
  <c r="CC23" i="7"/>
  <c r="CC28" i="7" s="1"/>
  <c r="CB23" i="7"/>
  <c r="CB28" i="7" s="1"/>
  <c r="CA23" i="7"/>
  <c r="BZ23" i="7"/>
  <c r="BZ28" i="7" s="1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K28" i="7" s="1"/>
  <c r="BJ23" i="7"/>
  <c r="BI23" i="7"/>
  <c r="BH23" i="7"/>
  <c r="BH28" i="7" s="1"/>
  <c r="BG23" i="7"/>
  <c r="BF23" i="7"/>
  <c r="BF28" i="7" s="1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O28" i="7" s="1"/>
  <c r="AN23" i="7"/>
  <c r="DW23" i="7" s="1"/>
  <c r="AM23" i="7"/>
  <c r="AL23" i="7"/>
  <c r="AL28" i="7" s="1"/>
  <c r="AK23" i="7"/>
  <c r="AK28" i="7" s="1"/>
  <c r="AJ23" i="7"/>
  <c r="AJ28" i="7" s="1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EA23" i="7" s="1"/>
  <c r="N23" i="7"/>
  <c r="N28" i="7" s="1"/>
  <c r="M23" i="7"/>
  <c r="L23" i="7"/>
  <c r="DX23" i="7" s="1"/>
  <c r="K23" i="7"/>
  <c r="J23" i="7"/>
  <c r="I23" i="7"/>
  <c r="H23" i="7"/>
  <c r="G23" i="7"/>
  <c r="F23" i="7"/>
  <c r="E23" i="7"/>
  <c r="D23" i="7"/>
  <c r="C23" i="7"/>
  <c r="B23" i="7"/>
  <c r="EP22" i="7"/>
  <c r="ET22" i="7" s="1"/>
  <c r="CZ22" i="7"/>
  <c r="BS22" i="7"/>
  <c r="BR22" i="7"/>
  <c r="BQ22" i="7"/>
  <c r="EC21" i="7"/>
  <c r="EB21" i="7"/>
  <c r="EA21" i="7"/>
  <c r="DZ21" i="7"/>
  <c r="DY21" i="7"/>
  <c r="DX21" i="7"/>
  <c r="DW21" i="7"/>
  <c r="DV21" i="7"/>
  <c r="DM21" i="7"/>
  <c r="DL21" i="7"/>
  <c r="DK21" i="7"/>
  <c r="DJ21" i="7"/>
  <c r="DI21" i="7"/>
  <c r="DH21" i="7"/>
  <c r="DG21" i="7"/>
  <c r="DF21" i="7"/>
  <c r="DE21" i="7"/>
  <c r="EH21" i="7" s="1"/>
  <c r="DD21" i="7"/>
  <c r="DC21" i="7"/>
  <c r="DB21" i="7"/>
  <c r="DA21" i="7"/>
  <c r="CZ21" i="7"/>
  <c r="CY21" i="7"/>
  <c r="CX21" i="7"/>
  <c r="CW21" i="7"/>
  <c r="CV21" i="7"/>
  <c r="CU21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EP21" i="7" s="1"/>
  <c r="ET21" i="7" s="1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DT21" i="7" s="1"/>
  <c r="AJ21" i="7"/>
  <c r="AI21" i="7"/>
  <c r="AH21" i="7"/>
  <c r="AG21" i="7"/>
  <c r="AF21" i="7"/>
  <c r="AE21" i="7"/>
  <c r="AD21" i="7"/>
  <c r="AC21" i="7"/>
  <c r="EO21" i="7" s="1"/>
  <c r="AB21" i="7"/>
  <c r="EN21" i="7" s="1"/>
  <c r="AA21" i="7"/>
  <c r="EM21" i="7" s="1"/>
  <c r="Z21" i="7"/>
  <c r="EL21" i="7" s="1"/>
  <c r="Y21" i="7"/>
  <c r="EK21" i="7" s="1"/>
  <c r="X21" i="7"/>
  <c r="EJ21" i="7" s="1"/>
  <c r="W21" i="7"/>
  <c r="EI21" i="7" s="1"/>
  <c r="V21" i="7"/>
  <c r="U21" i="7"/>
  <c r="T21" i="7"/>
  <c r="S21" i="7"/>
  <c r="EE21" i="7" s="1"/>
  <c r="R21" i="7"/>
  <c r="Q21" i="7"/>
  <c r="P21" i="7"/>
  <c r="O21" i="7"/>
  <c r="N21" i="7"/>
  <c r="M21" i="7"/>
  <c r="L21" i="7"/>
  <c r="K21" i="7"/>
  <c r="J21" i="7"/>
  <c r="I21" i="7"/>
  <c r="H21" i="7"/>
  <c r="G21" i="7"/>
  <c r="DS21" i="7" s="1"/>
  <c r="F21" i="7"/>
  <c r="DR21" i="7" s="1"/>
  <c r="E21" i="7"/>
  <c r="DQ21" i="7" s="1"/>
  <c r="D21" i="7"/>
  <c r="DP21" i="7" s="1"/>
  <c r="C21" i="7"/>
  <c r="DO21" i="7" s="1"/>
  <c r="B21" i="7"/>
  <c r="DN21" i="7" s="1"/>
  <c r="EQ20" i="7"/>
  <c r="EP20" i="7"/>
  <c r="DU20" i="7"/>
  <c r="DR20" i="7"/>
  <c r="DQ20" i="7"/>
  <c r="DP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EB20" i="7" s="1"/>
  <c r="CX20" i="7"/>
  <c r="CW20" i="7"/>
  <c r="CV20" i="7"/>
  <c r="CU20" i="7"/>
  <c r="CT20" i="7"/>
  <c r="DW20" i="7" s="1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ET20" i="7" s="1"/>
  <c r="BF20" i="7"/>
  <c r="BE20" i="7"/>
  <c r="EN20" i="7" s="1"/>
  <c r="BD20" i="7"/>
  <c r="EM20" i="7" s="1"/>
  <c r="BC20" i="7"/>
  <c r="EL20" i="7" s="1"/>
  <c r="BB20" i="7"/>
  <c r="EK20" i="7" s="1"/>
  <c r="BA20" i="7"/>
  <c r="EJ20" i="7" s="1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DT20" i="7" s="1"/>
  <c r="AJ20" i="7"/>
  <c r="DS20" i="7" s="1"/>
  <c r="AI20" i="7"/>
  <c r="AH20" i="7"/>
  <c r="AG20" i="7"/>
  <c r="AF20" i="7"/>
  <c r="DO20" i="7" s="1"/>
  <c r="AE20" i="7"/>
  <c r="DN20" i="7" s="1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EC20" i="7" s="1"/>
  <c r="P20" i="7"/>
  <c r="O20" i="7"/>
  <c r="EA20" i="7" s="1"/>
  <c r="N20" i="7"/>
  <c r="DZ20" i="7" s="1"/>
  <c r="M20" i="7"/>
  <c r="L20" i="7"/>
  <c r="K20" i="7"/>
  <c r="J20" i="7"/>
  <c r="DV20" i="7" s="1"/>
  <c r="I20" i="7"/>
  <c r="H20" i="7"/>
  <c r="G20" i="7"/>
  <c r="F20" i="7"/>
  <c r="E20" i="7"/>
  <c r="D20" i="7"/>
  <c r="C20" i="7"/>
  <c r="B20" i="7"/>
  <c r="EG19" i="7"/>
  <c r="EF19" i="7"/>
  <c r="EE19" i="7"/>
  <c r="DR19" i="7"/>
  <c r="DQ19" i="7"/>
  <c r="DP19" i="7"/>
  <c r="DO19" i="7"/>
  <c r="DN19" i="7"/>
  <c r="DM19" i="7"/>
  <c r="DL19" i="7"/>
  <c r="ES19" i="7" s="1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EL19" i="7" s="1"/>
  <c r="BB19" i="7"/>
  <c r="BA19" i="7"/>
  <c r="EJ19" i="7" s="1"/>
  <c r="AZ19" i="7"/>
  <c r="EI19" i="7" s="1"/>
  <c r="AY19" i="7"/>
  <c r="EH19" i="7" s="1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EP19" i="7" s="1"/>
  <c r="AC19" i="7"/>
  <c r="EO19" i="7" s="1"/>
  <c r="AB19" i="7"/>
  <c r="EN19" i="7" s="1"/>
  <c r="AA19" i="7"/>
  <c r="EM19" i="7" s="1"/>
  <c r="Z19" i="7"/>
  <c r="Y19" i="7"/>
  <c r="EK19" i="7" s="1"/>
  <c r="X19" i="7"/>
  <c r="W19" i="7"/>
  <c r="V19" i="7"/>
  <c r="U19" i="7"/>
  <c r="T19" i="7"/>
  <c r="S19" i="7"/>
  <c r="R19" i="7"/>
  <c r="Q19" i="7"/>
  <c r="P19" i="7"/>
  <c r="O19" i="7"/>
  <c r="EA19" i="7" s="1"/>
  <c r="N19" i="7"/>
  <c r="DZ19" i="7" s="1"/>
  <c r="M19" i="7"/>
  <c r="DY19" i="7" s="1"/>
  <c r="L19" i="7"/>
  <c r="K19" i="7"/>
  <c r="J19" i="7"/>
  <c r="I19" i="7"/>
  <c r="H19" i="7"/>
  <c r="DT19" i="7" s="1"/>
  <c r="G19" i="7"/>
  <c r="DS19" i="7" s="1"/>
  <c r="F19" i="7"/>
  <c r="E19" i="7"/>
  <c r="D19" i="7"/>
  <c r="C19" i="7"/>
  <c r="B19" i="7"/>
  <c r="ED18" i="7"/>
  <c r="EC18" i="7"/>
  <c r="EA18" i="7"/>
  <c r="DZ18" i="7"/>
  <c r="DY18" i="7"/>
  <c r="DX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EB18" i="7" s="1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EF18" i="7" s="1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EP18" i="7" s="1"/>
  <c r="AC18" i="7"/>
  <c r="EO18" i="7" s="1"/>
  <c r="AB18" i="7"/>
  <c r="EN18" i="7" s="1"/>
  <c r="AA18" i="7"/>
  <c r="EM18" i="7" s="1"/>
  <c r="Z18" i="7"/>
  <c r="EL18" i="7" s="1"/>
  <c r="Y18" i="7"/>
  <c r="EK18" i="7" s="1"/>
  <c r="X18" i="7"/>
  <c r="EJ18" i="7" s="1"/>
  <c r="W18" i="7"/>
  <c r="V18" i="7"/>
  <c r="U18" i="7"/>
  <c r="EG18" i="7" s="1"/>
  <c r="T18" i="7"/>
  <c r="S18" i="7"/>
  <c r="R18" i="7"/>
  <c r="Q18" i="7"/>
  <c r="P18" i="7"/>
  <c r="O18" i="7"/>
  <c r="N18" i="7"/>
  <c r="M18" i="7"/>
  <c r="L18" i="7"/>
  <c r="K18" i="7"/>
  <c r="J18" i="7"/>
  <c r="I18" i="7"/>
  <c r="DU18" i="7" s="1"/>
  <c r="H18" i="7"/>
  <c r="DT18" i="7" s="1"/>
  <c r="G18" i="7"/>
  <c r="DS18" i="7" s="1"/>
  <c r="F18" i="7"/>
  <c r="DR18" i="7" s="1"/>
  <c r="E18" i="7"/>
  <c r="DQ18" i="7" s="1"/>
  <c r="D18" i="7"/>
  <c r="DP18" i="7" s="1"/>
  <c r="C18" i="7"/>
  <c r="DO18" i="7" s="1"/>
  <c r="B18" i="7"/>
  <c r="EP17" i="7"/>
  <c r="DV17" i="7"/>
  <c r="DT17" i="7"/>
  <c r="DS17" i="7"/>
  <c r="DQ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EC17" i="7" s="1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ET17" i="7" s="1"/>
  <c r="BF17" i="7"/>
  <c r="BE17" i="7"/>
  <c r="EN17" i="7" s="1"/>
  <c r="BD17" i="7"/>
  <c r="EM17" i="7" s="1"/>
  <c r="BC17" i="7"/>
  <c r="EL17" i="7" s="1"/>
  <c r="BB17" i="7"/>
  <c r="EK17" i="7" s="1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DU17" i="7" s="1"/>
  <c r="AK17" i="7"/>
  <c r="AJ17" i="7"/>
  <c r="AI17" i="7"/>
  <c r="DR17" i="7" s="1"/>
  <c r="AH17" i="7"/>
  <c r="AG17" i="7"/>
  <c r="DP17" i="7" s="1"/>
  <c r="AF17" i="7"/>
  <c r="DO17" i="7" s="1"/>
  <c r="AE17" i="7"/>
  <c r="AD17" i="7"/>
  <c r="AC17" i="7"/>
  <c r="AB17" i="7"/>
  <c r="AA17" i="7"/>
  <c r="Z17" i="7"/>
  <c r="Y17" i="7"/>
  <c r="X17" i="7"/>
  <c r="W17" i="7"/>
  <c r="V17" i="7"/>
  <c r="EH17" i="7" s="1"/>
  <c r="U17" i="7"/>
  <c r="T17" i="7"/>
  <c r="S17" i="7"/>
  <c r="R17" i="7"/>
  <c r="ED17" i="7" s="1"/>
  <c r="Q17" i="7"/>
  <c r="P17" i="7"/>
  <c r="EB17" i="7" s="1"/>
  <c r="O17" i="7"/>
  <c r="EA17" i="7" s="1"/>
  <c r="N17" i="7"/>
  <c r="M17" i="7"/>
  <c r="DY17" i="7" s="1"/>
  <c r="L17" i="7"/>
  <c r="K17" i="7"/>
  <c r="DW17" i="7" s="1"/>
  <c r="J17" i="7"/>
  <c r="I17" i="7"/>
  <c r="H17" i="7"/>
  <c r="G17" i="7"/>
  <c r="F17" i="7"/>
  <c r="E17" i="7"/>
  <c r="D17" i="7"/>
  <c r="C17" i="7"/>
  <c r="B17" i="7"/>
  <c r="EI16" i="7"/>
  <c r="DV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EF16" i="7" s="1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EK16" i="7" s="1"/>
  <c r="BA16" i="7"/>
  <c r="EJ16" i="7" s="1"/>
  <c r="AZ16" i="7"/>
  <c r="AY16" i="7"/>
  <c r="EH16" i="7" s="1"/>
  <c r="AX16" i="7"/>
  <c r="EG16" i="7" s="1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DQ16" i="7" s="1"/>
  <c r="AG16" i="7"/>
  <c r="DP16" i="7" s="1"/>
  <c r="AF16" i="7"/>
  <c r="AE16" i="7"/>
  <c r="AD16" i="7"/>
  <c r="AC16" i="7"/>
  <c r="AB16" i="7"/>
  <c r="EN16" i="7" s="1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DY16" i="7" s="1"/>
  <c r="L16" i="7"/>
  <c r="DX16" i="7" s="1"/>
  <c r="K16" i="7"/>
  <c r="DW16" i="7" s="1"/>
  <c r="J16" i="7"/>
  <c r="I16" i="7"/>
  <c r="H16" i="7"/>
  <c r="G16" i="7"/>
  <c r="F16" i="7"/>
  <c r="DR16" i="7" s="1"/>
  <c r="E16" i="7"/>
  <c r="D16" i="7"/>
  <c r="C16" i="7"/>
  <c r="B16" i="7"/>
  <c r="EH15" i="7"/>
  <c r="ED15" i="7"/>
  <c r="EA15" i="7"/>
  <c r="DZ15" i="7"/>
  <c r="DY15" i="7"/>
  <c r="DO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EG15" i="7" s="1"/>
  <c r="AW15" i="7"/>
  <c r="AV15" i="7"/>
  <c r="AU15" i="7"/>
  <c r="AT15" i="7"/>
  <c r="AS15" i="7"/>
  <c r="EB15" i="7" s="1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EP15" i="7" s="1"/>
  <c r="AC15" i="7"/>
  <c r="AB15" i="7"/>
  <c r="EN15" i="7" s="1"/>
  <c r="AA15" i="7"/>
  <c r="Z15" i="7"/>
  <c r="Y15" i="7"/>
  <c r="EK15" i="7" s="1"/>
  <c r="X15" i="7"/>
  <c r="W15" i="7"/>
  <c r="EI15" i="7" s="1"/>
  <c r="V15" i="7"/>
  <c r="U15" i="7"/>
  <c r="T15" i="7"/>
  <c r="EF15" i="7" s="1"/>
  <c r="S15" i="7"/>
  <c r="EE15" i="7" s="1"/>
  <c r="R15" i="7"/>
  <c r="Q15" i="7"/>
  <c r="P15" i="7"/>
  <c r="O15" i="7"/>
  <c r="N15" i="7"/>
  <c r="M15" i="7"/>
  <c r="L15" i="7"/>
  <c r="K15" i="7"/>
  <c r="J15" i="7"/>
  <c r="DV15" i="7" s="1"/>
  <c r="I15" i="7"/>
  <c r="DU15" i="7" s="1"/>
  <c r="H15" i="7"/>
  <c r="DT15" i="7" s="1"/>
  <c r="G15" i="7"/>
  <c r="F15" i="7"/>
  <c r="DR15" i="7" s="1"/>
  <c r="E15" i="7"/>
  <c r="D15" i="7"/>
  <c r="C15" i="7"/>
  <c r="B15" i="7"/>
  <c r="DX14" i="7"/>
  <c r="DW14" i="7"/>
  <c r="DU14" i="7"/>
  <c r="DT14" i="7"/>
  <c r="DS14" i="7"/>
  <c r="DR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DV14" i="7" s="1"/>
  <c r="BO14" i="7"/>
  <c r="BN14" i="7"/>
  <c r="BM14" i="7"/>
  <c r="BL14" i="7"/>
  <c r="BK14" i="7"/>
  <c r="BJ14" i="7"/>
  <c r="BI14" i="7"/>
  <c r="BH14" i="7"/>
  <c r="BG14" i="7"/>
  <c r="EP14" i="7" s="1"/>
  <c r="ET14" i="7" s="1"/>
  <c r="BF14" i="7"/>
  <c r="BE14" i="7"/>
  <c r="EN14" i="7" s="1"/>
  <c r="BD14" i="7"/>
  <c r="EM14" i="7" s="1"/>
  <c r="BC14" i="7"/>
  <c r="EL14" i="7" s="1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DQ14" i="7" s="1"/>
  <c r="AG14" i="7"/>
  <c r="DP14" i="7" s="1"/>
  <c r="AF14" i="7"/>
  <c r="AE14" i="7"/>
  <c r="AD14" i="7"/>
  <c r="AC14" i="7"/>
  <c r="AB14" i="7"/>
  <c r="AA14" i="7"/>
  <c r="Z14" i="7"/>
  <c r="Y14" i="7"/>
  <c r="X14" i="7"/>
  <c r="EJ14" i="7" s="1"/>
  <c r="W14" i="7"/>
  <c r="EI14" i="7" s="1"/>
  <c r="V14" i="7"/>
  <c r="U14" i="7"/>
  <c r="T14" i="7"/>
  <c r="EF14" i="7" s="1"/>
  <c r="S14" i="7"/>
  <c r="R14" i="7"/>
  <c r="ED14" i="7" s="1"/>
  <c r="Q14" i="7"/>
  <c r="P14" i="7"/>
  <c r="EB14" i="7" s="1"/>
  <c r="O14" i="7"/>
  <c r="EA14" i="7" s="1"/>
  <c r="N14" i="7"/>
  <c r="DZ14" i="7" s="1"/>
  <c r="M14" i="7"/>
  <c r="DY14" i="7" s="1"/>
  <c r="L14" i="7"/>
  <c r="K14" i="7"/>
  <c r="J14" i="7"/>
  <c r="I14" i="7"/>
  <c r="H14" i="7"/>
  <c r="G14" i="7"/>
  <c r="F14" i="7"/>
  <c r="E14" i="7"/>
  <c r="D14" i="7"/>
  <c r="C14" i="7"/>
  <c r="B14" i="7"/>
  <c r="DN14" i="7" s="1"/>
  <c r="DS13" i="7"/>
  <c r="DO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W22" i="7" s="1"/>
  <c r="CV13" i="7"/>
  <c r="CV22" i="7" s="1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EG13" i="7" s="1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EL13" i="7" s="1"/>
  <c r="BB13" i="7"/>
  <c r="EK13" i="7" s="1"/>
  <c r="BA13" i="7"/>
  <c r="EJ13" i="7" s="1"/>
  <c r="AZ13" i="7"/>
  <c r="EI13" i="7" s="1"/>
  <c r="AY13" i="7"/>
  <c r="EH13" i="7" s="1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DR13" i="7" s="1"/>
  <c r="AH13" i="7"/>
  <c r="DQ13" i="7" s="1"/>
  <c r="AG13" i="7"/>
  <c r="DP13" i="7" s="1"/>
  <c r="AF13" i="7"/>
  <c r="AE13" i="7"/>
  <c r="DN13" i="7" s="1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EB13" i="7" s="1"/>
  <c r="O13" i="7"/>
  <c r="N13" i="7"/>
  <c r="M13" i="7"/>
  <c r="DY13" i="7" s="1"/>
  <c r="L13" i="7"/>
  <c r="DX13" i="7" s="1"/>
  <c r="K13" i="7"/>
  <c r="DW13" i="7" s="1"/>
  <c r="J13" i="7"/>
  <c r="DV13" i="7" s="1"/>
  <c r="I13" i="7"/>
  <c r="DU13" i="7" s="1"/>
  <c r="H13" i="7"/>
  <c r="G13" i="7"/>
  <c r="F13" i="7"/>
  <c r="E13" i="7"/>
  <c r="D13" i="7"/>
  <c r="C13" i="7"/>
  <c r="B13" i="7"/>
  <c r="DZ12" i="7"/>
  <c r="DP12" i="7"/>
  <c r="DM12" i="7"/>
  <c r="DL12" i="7"/>
  <c r="DK12" i="7"/>
  <c r="DJ12" i="7"/>
  <c r="DI12" i="7"/>
  <c r="DH12" i="7"/>
  <c r="DG12" i="7"/>
  <c r="DF12" i="7"/>
  <c r="DE12" i="7"/>
  <c r="DD12" i="7"/>
  <c r="DC12" i="7"/>
  <c r="DB12" i="7"/>
  <c r="DA12" i="7"/>
  <c r="CZ12" i="7"/>
  <c r="CY12" i="7"/>
  <c r="CX12" i="7"/>
  <c r="CW12" i="7"/>
  <c r="CV12" i="7"/>
  <c r="CU12" i="7"/>
  <c r="CT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E12" i="7"/>
  <c r="CD12" i="7"/>
  <c r="CC12" i="7"/>
  <c r="CB12" i="7"/>
  <c r="CA12" i="7"/>
  <c r="BZ12" i="7"/>
  <c r="BY12" i="7"/>
  <c r="BX12" i="7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EE12" i="7" s="1"/>
  <c r="AU12" i="7"/>
  <c r="ED12" i="7" s="1"/>
  <c r="AT12" i="7"/>
  <c r="EC12" i="7" s="1"/>
  <c r="AS12" i="7"/>
  <c r="EB12" i="7" s="1"/>
  <c r="AR12" i="7"/>
  <c r="EA12" i="7" s="1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EH12" i="7" s="1"/>
  <c r="U12" i="7"/>
  <c r="EG12" i="7" s="1"/>
  <c r="T12" i="7"/>
  <c r="EF12" i="7" s="1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ES11" i="7"/>
  <c r="EB11" i="7"/>
  <c r="DX11" i="7"/>
  <c r="DV11" i="7"/>
  <c r="DU11" i="7"/>
  <c r="DM11" i="7"/>
  <c r="DL11" i="7"/>
  <c r="DK11" i="7"/>
  <c r="DJ11" i="7"/>
  <c r="DI11" i="7"/>
  <c r="DH11" i="7"/>
  <c r="DG11" i="7"/>
  <c r="DF11" i="7"/>
  <c r="DE11" i="7"/>
  <c r="DD11" i="7"/>
  <c r="DC11" i="7"/>
  <c r="DB11" i="7"/>
  <c r="DA11" i="7"/>
  <c r="CZ11" i="7"/>
  <c r="CY11" i="7"/>
  <c r="CX11" i="7"/>
  <c r="CW11" i="7"/>
  <c r="CV11" i="7"/>
  <c r="CU11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EO11" i="7" s="1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T11" i="7"/>
  <c r="BS11" i="7"/>
  <c r="BR11" i="7"/>
  <c r="BQ11" i="7"/>
  <c r="DW11" i="7" s="1"/>
  <c r="BP11" i="7"/>
  <c r="BO11" i="7"/>
  <c r="BN11" i="7"/>
  <c r="DT11" i="7" s="1"/>
  <c r="BM11" i="7"/>
  <c r="DS11" i="7" s="1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DZ11" i="7" s="1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EL11" i="7" s="1"/>
  <c r="Y11" i="7"/>
  <c r="EK11" i="7" s="1"/>
  <c r="X11" i="7"/>
  <c r="EJ11" i="7" s="1"/>
  <c r="W11" i="7"/>
  <c r="V11" i="7"/>
  <c r="EH11" i="7" s="1"/>
  <c r="U11" i="7"/>
  <c r="EG11" i="7" s="1"/>
  <c r="T11" i="7"/>
  <c r="EF11" i="7" s="1"/>
  <c r="S11" i="7"/>
  <c r="EE11" i="7" s="1"/>
  <c r="R11" i="7"/>
  <c r="Q11" i="7"/>
  <c r="EC11" i="7" s="1"/>
  <c r="P11" i="7"/>
  <c r="O11" i="7"/>
  <c r="N11" i="7"/>
  <c r="M11" i="7"/>
  <c r="DY11" i="7" s="1"/>
  <c r="L11" i="7"/>
  <c r="K11" i="7"/>
  <c r="J11" i="7"/>
  <c r="I11" i="7"/>
  <c r="H11" i="7"/>
  <c r="G11" i="7"/>
  <c r="F11" i="7"/>
  <c r="E11" i="7"/>
  <c r="D11" i="7"/>
  <c r="DP11" i="7" s="1"/>
  <c r="C11" i="7"/>
  <c r="DO11" i="7" s="1"/>
  <c r="B11" i="7"/>
  <c r="DN11" i="7" s="1"/>
  <c r="DQ10" i="7"/>
  <c r="DP10" i="7"/>
  <c r="DO10" i="7"/>
  <c r="DN10" i="7"/>
  <c r="DM10" i="7"/>
  <c r="DL10" i="7"/>
  <c r="DK10" i="7"/>
  <c r="DJ10" i="7"/>
  <c r="DI10" i="7"/>
  <c r="DH10" i="7"/>
  <c r="DG10" i="7"/>
  <c r="DF10" i="7"/>
  <c r="DE10" i="7"/>
  <c r="DD10" i="7"/>
  <c r="DC10" i="7"/>
  <c r="DB10" i="7"/>
  <c r="DA10" i="7"/>
  <c r="CZ10" i="7"/>
  <c r="CY10" i="7"/>
  <c r="CX10" i="7"/>
  <c r="CW10" i="7"/>
  <c r="CV10" i="7"/>
  <c r="CU10" i="7"/>
  <c r="CT10" i="7"/>
  <c r="CS10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CF10" i="7"/>
  <c r="CE10" i="7"/>
  <c r="CD10" i="7"/>
  <c r="CC10" i="7"/>
  <c r="CB10" i="7"/>
  <c r="CA10" i="7"/>
  <c r="BZ10" i="7"/>
  <c r="BY10" i="7"/>
  <c r="BX10" i="7"/>
  <c r="BW10" i="7"/>
  <c r="BV10" i="7"/>
  <c r="BU10" i="7"/>
  <c r="BU22" i="7" s="1"/>
  <c r="BT10" i="7"/>
  <c r="BS10" i="7"/>
  <c r="BR10" i="7"/>
  <c r="BQ10" i="7"/>
  <c r="BP10" i="7"/>
  <c r="BO10" i="7"/>
  <c r="BN10" i="7"/>
  <c r="BM10" i="7"/>
  <c r="BL10" i="7"/>
  <c r="BK10" i="7"/>
  <c r="BJ10" i="7"/>
  <c r="BI10" i="7"/>
  <c r="BH10" i="7"/>
  <c r="BG10" i="7"/>
  <c r="BF10" i="7"/>
  <c r="BE10" i="7"/>
  <c r="BD10" i="7"/>
  <c r="EM10" i="7" s="1"/>
  <c r="BC10" i="7"/>
  <c r="EL10" i="7" s="1"/>
  <c r="BB10" i="7"/>
  <c r="EK10" i="7" s="1"/>
  <c r="BA10" i="7"/>
  <c r="EJ10" i="7" s="1"/>
  <c r="AZ10" i="7"/>
  <c r="AY10" i="7"/>
  <c r="EH10" i="7" s="1"/>
  <c r="AX10" i="7"/>
  <c r="EG10" i="7" s="1"/>
  <c r="AW10" i="7"/>
  <c r="EF10" i="7" s="1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E22" i="7" s="1"/>
  <c r="AD10" i="7"/>
  <c r="AC10" i="7"/>
  <c r="EO10" i="7" s="1"/>
  <c r="AB10" i="7"/>
  <c r="EN10" i="7" s="1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DZ10" i="7" s="1"/>
  <c r="M10" i="7"/>
  <c r="DY10" i="7" s="1"/>
  <c r="L10" i="7"/>
  <c r="K10" i="7"/>
  <c r="J10" i="7"/>
  <c r="I10" i="7"/>
  <c r="H10" i="7"/>
  <c r="G10" i="7"/>
  <c r="DS10" i="7" s="1"/>
  <c r="F10" i="7"/>
  <c r="DR10" i="7" s="1"/>
  <c r="E10" i="7"/>
  <c r="D10" i="7"/>
  <c r="C10" i="7"/>
  <c r="B10" i="7"/>
  <c r="EB9" i="7"/>
  <c r="DM9" i="7"/>
  <c r="DL9" i="7"/>
  <c r="DL22" i="7" s="1"/>
  <c r="DK9" i="7"/>
  <c r="DK22" i="7" s="1"/>
  <c r="DJ9" i="7"/>
  <c r="DI9" i="7"/>
  <c r="DH9" i="7"/>
  <c r="DG9" i="7"/>
  <c r="DF9" i="7"/>
  <c r="DE9" i="7"/>
  <c r="DD9" i="7"/>
  <c r="DC9" i="7"/>
  <c r="DB9" i="7"/>
  <c r="DA9" i="7"/>
  <c r="CZ9" i="7"/>
  <c r="CY9" i="7"/>
  <c r="CX9" i="7"/>
  <c r="CW9" i="7"/>
  <c r="CV9" i="7"/>
  <c r="CU9" i="7"/>
  <c r="CT9" i="7"/>
  <c r="CS9" i="7"/>
  <c r="CR9" i="7"/>
  <c r="CQ9" i="7"/>
  <c r="CP9" i="7"/>
  <c r="CP22" i="7" s="1"/>
  <c r="CO9" i="7"/>
  <c r="CO22" i="7" s="1"/>
  <c r="CN9" i="7"/>
  <c r="CM9" i="7"/>
  <c r="CL9" i="7"/>
  <c r="CK9" i="7"/>
  <c r="CJ9" i="7"/>
  <c r="CI9" i="7"/>
  <c r="CH9" i="7"/>
  <c r="CG9" i="7"/>
  <c r="CF9" i="7"/>
  <c r="CE9" i="7"/>
  <c r="CD9" i="7"/>
  <c r="CC9" i="7"/>
  <c r="CB9" i="7"/>
  <c r="CA9" i="7"/>
  <c r="BZ9" i="7"/>
  <c r="BY9" i="7"/>
  <c r="BX9" i="7"/>
  <c r="BW9" i="7"/>
  <c r="BV9" i="7"/>
  <c r="BU9" i="7"/>
  <c r="BT9" i="7"/>
  <c r="BT22" i="7" s="1"/>
  <c r="BS9" i="7"/>
  <c r="BR9" i="7"/>
  <c r="BQ9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BC9" i="7"/>
  <c r="BC22" i="7" s="1"/>
  <c r="BB9" i="7"/>
  <c r="BA9" i="7"/>
  <c r="AZ9" i="7"/>
  <c r="AY9" i="7"/>
  <c r="AX9" i="7"/>
  <c r="AX22" i="7" s="1"/>
  <c r="AW9" i="7"/>
  <c r="AV9" i="7"/>
  <c r="AU9" i="7"/>
  <c r="AT9" i="7"/>
  <c r="AS9" i="7"/>
  <c r="AR9" i="7"/>
  <c r="EA9" i="7" s="1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EM9" i="7" s="1"/>
  <c r="Z9" i="7"/>
  <c r="Y9" i="7"/>
  <c r="X9" i="7"/>
  <c r="W9" i="7"/>
  <c r="V9" i="7"/>
  <c r="EH9" i="7" s="1"/>
  <c r="U9" i="7"/>
  <c r="T9" i="7"/>
  <c r="S9" i="7"/>
  <c r="R9" i="7"/>
  <c r="Q9" i="7"/>
  <c r="P9" i="7"/>
  <c r="O9" i="7"/>
  <c r="N9" i="7"/>
  <c r="M9" i="7"/>
  <c r="L9" i="7"/>
  <c r="K9" i="7"/>
  <c r="DW9" i="7" s="1"/>
  <c r="J9" i="7"/>
  <c r="I9" i="7"/>
  <c r="H9" i="7"/>
  <c r="G9" i="7"/>
  <c r="G22" i="7" s="1"/>
  <c r="F9" i="7"/>
  <c r="E9" i="7"/>
  <c r="D9" i="7"/>
  <c r="C9" i="7"/>
  <c r="B9" i="7"/>
  <c r="DM8" i="7"/>
  <c r="DL8" i="7"/>
  <c r="DK8" i="7"/>
  <c r="DJ8" i="7"/>
  <c r="DJ22" i="7" s="1"/>
  <c r="DI8" i="7"/>
  <c r="DH8" i="7"/>
  <c r="DG8" i="7"/>
  <c r="DF8" i="7"/>
  <c r="DE8" i="7"/>
  <c r="DD8" i="7"/>
  <c r="DC8" i="7"/>
  <c r="DB8" i="7"/>
  <c r="DA8" i="7"/>
  <c r="CZ8" i="7"/>
  <c r="CY8" i="7"/>
  <c r="CX8" i="7"/>
  <c r="CW8" i="7"/>
  <c r="CV8" i="7"/>
  <c r="CU8" i="7"/>
  <c r="CT8" i="7"/>
  <c r="CS8" i="7"/>
  <c r="CR8" i="7"/>
  <c r="CQ8" i="7"/>
  <c r="CP8" i="7"/>
  <c r="CO8" i="7"/>
  <c r="CN8" i="7"/>
  <c r="CN22" i="7" s="1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V8" i="7"/>
  <c r="BU8" i="7"/>
  <c r="BT8" i="7"/>
  <c r="BS8" i="7"/>
  <c r="BR8" i="7"/>
  <c r="BQ8" i="7"/>
  <c r="BP8" i="7"/>
  <c r="BO8" i="7"/>
  <c r="DU8" i="7" s="1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V22" i="7" s="1"/>
  <c r="AU8" i="7"/>
  <c r="AT8" i="7"/>
  <c r="AS8" i="7"/>
  <c r="AR8" i="7"/>
  <c r="AQ8" i="7"/>
  <c r="AP8" i="7"/>
  <c r="DY8" i="7" s="1"/>
  <c r="AO8" i="7"/>
  <c r="DX8" i="7" s="1"/>
  <c r="AN8" i="7"/>
  <c r="DW8" i="7" s="1"/>
  <c r="AM8" i="7"/>
  <c r="DV8" i="7" s="1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EK8" i="7" s="1"/>
  <c r="X8" i="7"/>
  <c r="EJ8" i="7" s="1"/>
  <c r="W8" i="7"/>
  <c r="V8" i="7"/>
  <c r="U8" i="7"/>
  <c r="T8" i="7"/>
  <c r="S8" i="7"/>
  <c r="EE8" i="7" s="1"/>
  <c r="R8" i="7"/>
  <c r="ED8" i="7" s="1"/>
  <c r="Q8" i="7"/>
  <c r="EC8" i="7" s="1"/>
  <c r="P8" i="7"/>
  <c r="EB8" i="7" s="1"/>
  <c r="O8" i="7"/>
  <c r="N8" i="7"/>
  <c r="M8" i="7"/>
  <c r="L8" i="7"/>
  <c r="K8" i="7"/>
  <c r="J8" i="7"/>
  <c r="I8" i="7"/>
  <c r="H8" i="7"/>
  <c r="G8" i="7"/>
  <c r="F8" i="7"/>
  <c r="E8" i="7"/>
  <c r="D8" i="7"/>
  <c r="C8" i="7"/>
  <c r="DO8" i="7" s="1"/>
  <c r="B8" i="7"/>
  <c r="DN8" i="7" s="1"/>
  <c r="ET7" i="7"/>
  <c r="EQ7" i="7"/>
  <c r="EP7" i="7"/>
  <c r="EO7" i="7"/>
  <c r="ES7" i="7" s="1"/>
  <c r="DQ7" i="7"/>
  <c r="DP7" i="7"/>
  <c r="DM7" i="7"/>
  <c r="DL7" i="7"/>
  <c r="DK7" i="7"/>
  <c r="DJ7" i="7"/>
  <c r="DI7" i="7"/>
  <c r="DH7" i="7"/>
  <c r="DG7" i="7"/>
  <c r="DF7" i="7"/>
  <c r="DE7" i="7"/>
  <c r="DD7" i="7"/>
  <c r="DC7" i="7"/>
  <c r="DB7" i="7"/>
  <c r="DA7" i="7"/>
  <c r="CZ7" i="7"/>
  <c r="CY7" i="7"/>
  <c r="CX7" i="7"/>
  <c r="CW7" i="7"/>
  <c r="CV7" i="7"/>
  <c r="CU7" i="7"/>
  <c r="CT7" i="7"/>
  <c r="CT22" i="7" s="1"/>
  <c r="CS7" i="7"/>
  <c r="CR7" i="7"/>
  <c r="CQ7" i="7"/>
  <c r="CP7" i="7"/>
  <c r="CO7" i="7"/>
  <c r="CN7" i="7"/>
  <c r="CM7" i="7"/>
  <c r="CL7" i="7"/>
  <c r="CK7" i="7"/>
  <c r="CJ7" i="7"/>
  <c r="CI7" i="7"/>
  <c r="CH7" i="7"/>
  <c r="CG7" i="7"/>
  <c r="CF7" i="7"/>
  <c r="CE7" i="7"/>
  <c r="CD7" i="7"/>
  <c r="CC7" i="7"/>
  <c r="CB7" i="7"/>
  <c r="CB22" i="7" s="1"/>
  <c r="CA7" i="7"/>
  <c r="BZ7" i="7"/>
  <c r="BY7" i="7"/>
  <c r="BX7" i="7"/>
  <c r="BX22" i="7" s="1"/>
  <c r="BW7" i="7"/>
  <c r="BV7" i="7"/>
  <c r="BU7" i="7"/>
  <c r="BT7" i="7"/>
  <c r="BS7" i="7"/>
  <c r="BR7" i="7"/>
  <c r="BQ7" i="7"/>
  <c r="BP7" i="7"/>
  <c r="BO7" i="7"/>
  <c r="BN7" i="7"/>
  <c r="BM7" i="7"/>
  <c r="BL7" i="7"/>
  <c r="BK7" i="7"/>
  <c r="BJ7" i="7"/>
  <c r="BI7" i="7"/>
  <c r="BH7" i="7"/>
  <c r="BG7" i="7"/>
  <c r="BF7" i="7"/>
  <c r="BE7" i="7"/>
  <c r="BD7" i="7"/>
  <c r="BC7" i="7"/>
  <c r="EL7" i="7" s="1"/>
  <c r="BB7" i="7"/>
  <c r="EK7" i="7" s="1"/>
  <c r="BA7" i="7"/>
  <c r="EJ7" i="7" s="1"/>
  <c r="AZ7" i="7"/>
  <c r="EI7" i="7" s="1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DR7" i="7" s="1"/>
  <c r="AH7" i="7"/>
  <c r="AG7" i="7"/>
  <c r="AF7" i="7"/>
  <c r="AE7" i="7"/>
  <c r="DN7" i="7" s="1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DV7" i="7" s="1"/>
  <c r="I7" i="7"/>
  <c r="DU7" i="7" s="1"/>
  <c r="H7" i="7"/>
  <c r="DT7" i="7" s="1"/>
  <c r="G7" i="7"/>
  <c r="F7" i="7"/>
  <c r="E7" i="7"/>
  <c r="D7" i="7"/>
  <c r="C7" i="7"/>
  <c r="B7" i="7"/>
  <c r="DO6" i="7"/>
  <c r="DM6" i="7"/>
  <c r="DL6" i="7"/>
  <c r="DK6" i="7"/>
  <c r="DJ6" i="7"/>
  <c r="DI6" i="7"/>
  <c r="DH6" i="7"/>
  <c r="DG6" i="7"/>
  <c r="DF6" i="7"/>
  <c r="DE6" i="7"/>
  <c r="DD6" i="7"/>
  <c r="DC6" i="7"/>
  <c r="DB6" i="7"/>
  <c r="DA6" i="7"/>
  <c r="CZ6" i="7"/>
  <c r="CY6" i="7"/>
  <c r="CX6" i="7"/>
  <c r="CW6" i="7"/>
  <c r="CV6" i="7"/>
  <c r="CU6" i="7"/>
  <c r="CT6" i="7"/>
  <c r="CS6" i="7"/>
  <c r="CR6" i="7"/>
  <c r="CQ6" i="7"/>
  <c r="CP6" i="7"/>
  <c r="CO6" i="7"/>
  <c r="CN6" i="7"/>
  <c r="CM6" i="7"/>
  <c r="CL6" i="7"/>
  <c r="CK6" i="7"/>
  <c r="CJ6" i="7"/>
  <c r="CI6" i="7"/>
  <c r="CH6" i="7"/>
  <c r="CG6" i="7"/>
  <c r="CF6" i="7"/>
  <c r="CE6" i="7"/>
  <c r="CD6" i="7"/>
  <c r="CC6" i="7"/>
  <c r="CB6" i="7"/>
  <c r="CA6" i="7"/>
  <c r="BZ6" i="7"/>
  <c r="BY6" i="7"/>
  <c r="BX6" i="7"/>
  <c r="BW6" i="7"/>
  <c r="BV6" i="7"/>
  <c r="BU6" i="7"/>
  <c r="BT6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BC6" i="7"/>
  <c r="BB6" i="7"/>
  <c r="BA6" i="7"/>
  <c r="AZ6" i="7"/>
  <c r="AY6" i="7"/>
  <c r="EH6" i="7" s="1"/>
  <c r="AX6" i="7"/>
  <c r="AW6" i="7"/>
  <c r="EF6" i="7" s="1"/>
  <c r="AV6" i="7"/>
  <c r="AU6" i="7"/>
  <c r="ED6" i="7" s="1"/>
  <c r="AT6" i="7"/>
  <c r="AS6" i="7"/>
  <c r="EB6" i="7" s="1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EO6" i="7" s="1"/>
  <c r="AB6" i="7"/>
  <c r="AA6" i="7"/>
  <c r="Z6" i="7"/>
  <c r="Y6" i="7"/>
  <c r="EK6" i="7" s="1"/>
  <c r="X6" i="7"/>
  <c r="W6" i="7"/>
  <c r="EI6" i="7" s="1"/>
  <c r="V6" i="7"/>
  <c r="U6" i="7"/>
  <c r="T6" i="7"/>
  <c r="S6" i="7"/>
  <c r="R6" i="7"/>
  <c r="Q6" i="7"/>
  <c r="P6" i="7"/>
  <c r="O6" i="7"/>
  <c r="N6" i="7"/>
  <c r="M6" i="7"/>
  <c r="DY6" i="7" s="1"/>
  <c r="L6" i="7"/>
  <c r="K6" i="7"/>
  <c r="J6" i="7"/>
  <c r="I6" i="7"/>
  <c r="DU6" i="7" s="1"/>
  <c r="H6" i="7"/>
  <c r="G6" i="7"/>
  <c r="DS6" i="7" s="1"/>
  <c r="F6" i="7"/>
  <c r="E6" i="7"/>
  <c r="D6" i="7"/>
  <c r="DP6" i="7" s="1"/>
  <c r="C6" i="7"/>
  <c r="B6" i="7"/>
  <c r="DW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DV5" i="7" s="1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EC5" i="7" s="1"/>
  <c r="AS5" i="7"/>
  <c r="EB5" i="7" s="1"/>
  <c r="AR5" i="7"/>
  <c r="EA5" i="7" s="1"/>
  <c r="AQ5" i="7"/>
  <c r="AP5" i="7"/>
  <c r="DY5" i="7" s="1"/>
  <c r="AO5" i="7"/>
  <c r="DX5" i="7" s="1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EM5" i="7" s="1"/>
  <c r="Z5" i="7"/>
  <c r="EL5" i="7" s="1"/>
  <c r="Y5" i="7"/>
  <c r="X5" i="7"/>
  <c r="W5" i="7"/>
  <c r="V5" i="7"/>
  <c r="U5" i="7"/>
  <c r="T5" i="7"/>
  <c r="S5" i="7"/>
  <c r="R5" i="7"/>
  <c r="ED5" i="7" s="1"/>
  <c r="Q5" i="7"/>
  <c r="P5" i="7"/>
  <c r="O5" i="7"/>
  <c r="N5" i="7"/>
  <c r="M5" i="7"/>
  <c r="L5" i="7"/>
  <c r="K5" i="7"/>
  <c r="J5" i="7"/>
  <c r="I5" i="7"/>
  <c r="H5" i="7"/>
  <c r="G5" i="7"/>
  <c r="F5" i="7"/>
  <c r="E5" i="7"/>
  <c r="DQ5" i="7" s="1"/>
  <c r="D5" i="7"/>
  <c r="DP5" i="7" s="1"/>
  <c r="C5" i="7"/>
  <c r="B5" i="7"/>
  <c r="ES4" i="7"/>
  <c r="EO4" i="7"/>
  <c r="EN4" i="7"/>
  <c r="EB4" i="7"/>
  <c r="DV4" i="7"/>
  <c r="DT4" i="7"/>
  <c r="DS4" i="7"/>
  <c r="DR4" i="7"/>
  <c r="DP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EH4" i="7" s="1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EJ4" i="7" s="1"/>
  <c r="AZ4" i="7"/>
  <c r="EI4" i="7" s="1"/>
  <c r="AY4" i="7"/>
  <c r="AX4" i="7"/>
  <c r="EG4" i="7" s="1"/>
  <c r="AW4" i="7"/>
  <c r="AV4" i="7"/>
  <c r="EE4" i="7" s="1"/>
  <c r="AU4" i="7"/>
  <c r="ED4" i="7" s="1"/>
  <c r="AT4" i="7"/>
  <c r="EC4" i="7" s="1"/>
  <c r="AS4" i="7"/>
  <c r="AR4" i="7"/>
  <c r="EA4" i="7" s="1"/>
  <c r="AQ4" i="7"/>
  <c r="DZ4" i="7" s="1"/>
  <c r="AP4" i="7"/>
  <c r="AO4" i="7"/>
  <c r="AN4" i="7"/>
  <c r="AM4" i="7"/>
  <c r="AL4" i="7"/>
  <c r="DU4" i="7" s="1"/>
  <c r="AK4" i="7"/>
  <c r="AJ4" i="7"/>
  <c r="AI4" i="7"/>
  <c r="AH4" i="7"/>
  <c r="AG4" i="7"/>
  <c r="AF4" i="7"/>
  <c r="AE4" i="7"/>
  <c r="DN4" i="7" s="1"/>
  <c r="DL3" i="7"/>
  <c r="DK3" i="7"/>
  <c r="DJ3" i="7"/>
  <c r="DI3" i="7"/>
  <c r="DH3" i="7"/>
  <c r="DG3" i="7"/>
  <c r="DF3" i="7"/>
  <c r="DE3" i="7"/>
  <c r="CB3" i="7" s="1"/>
  <c r="AY3" i="7" s="1"/>
  <c r="V3" i="7" s="1"/>
  <c r="DD3" i="7"/>
  <c r="DC3" i="7"/>
  <c r="DB3" i="7"/>
  <c r="DA3" i="7"/>
  <c r="CZ3" i="7"/>
  <c r="CY3" i="7"/>
  <c r="BV3" i="7" s="1"/>
  <c r="AS3" i="7" s="1"/>
  <c r="CX3" i="7"/>
  <c r="BU3" i="7" s="1"/>
  <c r="AR3" i="7" s="1"/>
  <c r="CW3" i="7"/>
  <c r="BT3" i="7" s="1"/>
  <c r="CV3" i="7"/>
  <c r="BS3" i="7" s="1"/>
  <c r="AP3" i="7" s="1"/>
  <c r="CU3" i="7"/>
  <c r="BR3" i="7" s="1"/>
  <c r="AO3" i="7" s="1"/>
  <c r="CT3" i="7"/>
  <c r="BQ3" i="7" s="1"/>
  <c r="AN3" i="7" s="1"/>
  <c r="K3" i="7" s="1"/>
  <c r="CS3" i="7"/>
  <c r="BP3" i="7" s="1"/>
  <c r="CR3" i="7"/>
  <c r="BO3" i="7" s="1"/>
  <c r="AL3" i="7" s="1"/>
  <c r="CQ3" i="7"/>
  <c r="BN3" i="7" s="1"/>
  <c r="AK3" i="7" s="1"/>
  <c r="H3" i="7" s="1"/>
  <c r="CP3" i="7"/>
  <c r="CO3" i="7"/>
  <c r="CN3" i="7"/>
  <c r="CM3" i="7"/>
  <c r="CL3" i="7"/>
  <c r="CK3" i="7"/>
  <c r="CI3" i="7"/>
  <c r="BF3" i="7" s="1"/>
  <c r="AC3" i="7" s="1"/>
  <c r="CH3" i="7"/>
  <c r="CG3" i="7"/>
  <c r="CF3" i="7"/>
  <c r="CE3" i="7"/>
  <c r="CD3" i="7"/>
  <c r="CC3" i="7"/>
  <c r="AZ3" i="7" s="1"/>
  <c r="W3" i="7" s="1"/>
  <c r="CA3" i="7"/>
  <c r="AX3" i="7" s="1"/>
  <c r="U3" i="7" s="1"/>
  <c r="BZ3" i="7"/>
  <c r="AW3" i="7" s="1"/>
  <c r="BY3" i="7"/>
  <c r="AV3" i="7" s="1"/>
  <c r="S3" i="7" s="1"/>
  <c r="BX3" i="7"/>
  <c r="AU3" i="7" s="1"/>
  <c r="R3" i="7" s="1"/>
  <c r="BW3" i="7"/>
  <c r="AT3" i="7" s="1"/>
  <c r="Q3" i="7" s="1"/>
  <c r="BM3" i="7"/>
  <c r="AJ3" i="7" s="1"/>
  <c r="G3" i="7" s="1"/>
  <c r="BL3" i="7"/>
  <c r="BK3" i="7"/>
  <c r="BJ3" i="7"/>
  <c r="AG3" i="7" s="1"/>
  <c r="D3" i="7" s="1"/>
  <c r="BI3" i="7"/>
  <c r="AF3" i="7" s="1"/>
  <c r="C3" i="7" s="1"/>
  <c r="BH3" i="7"/>
  <c r="AE3" i="7" s="1"/>
  <c r="B3" i="7" s="1"/>
  <c r="BG3" i="7"/>
  <c r="CJ3" i="7" s="1"/>
  <c r="DM3" i="7" s="1"/>
  <c r="BE3" i="7"/>
  <c r="AB3" i="7" s="1"/>
  <c r="BD3" i="7"/>
  <c r="AA3" i="7" s="1"/>
  <c r="BC3" i="7"/>
  <c r="Z3" i="7" s="1"/>
  <c r="BB3" i="7"/>
  <c r="Y3" i="7" s="1"/>
  <c r="BA3" i="7"/>
  <c r="X3" i="7" s="1"/>
  <c r="AQ3" i="7"/>
  <c r="AM3" i="7"/>
  <c r="AI3" i="7"/>
  <c r="F3" i="7" s="1"/>
  <c r="AH3" i="7"/>
  <c r="E3" i="7" s="1"/>
  <c r="T3" i="7"/>
  <c r="P3" i="7"/>
  <c r="O3" i="7"/>
  <c r="N3" i="7"/>
  <c r="M3" i="7"/>
  <c r="L3" i="7"/>
  <c r="J3" i="7"/>
  <c r="I3" i="7"/>
  <c r="EM44" i="6"/>
  <c r="DM44" i="6"/>
  <c r="DL44" i="6"/>
  <c r="DJ44" i="6"/>
  <c r="CJ44" i="6"/>
  <c r="BB41" i="6"/>
  <c r="BS40" i="6"/>
  <c r="AD40" i="6"/>
  <c r="EO39" i="6"/>
  <c r="DQ39" i="6"/>
  <c r="DO39" i="6"/>
  <c r="DN39" i="6"/>
  <c r="DM39" i="6"/>
  <c r="DL39" i="6"/>
  <c r="DK39" i="6"/>
  <c r="DJ39" i="6"/>
  <c r="DI39" i="6"/>
  <c r="DH39" i="6"/>
  <c r="DG39" i="6"/>
  <c r="DF39" i="6"/>
  <c r="DE39" i="6"/>
  <c r="DD39" i="6"/>
  <c r="DC39" i="6"/>
  <c r="DB39" i="6"/>
  <c r="DA39" i="6"/>
  <c r="CZ39" i="6"/>
  <c r="CY39" i="6"/>
  <c r="CX39" i="6"/>
  <c r="CW39" i="6"/>
  <c r="CV39" i="6"/>
  <c r="CU39" i="6"/>
  <c r="CT39" i="6"/>
  <c r="CS39" i="6"/>
  <c r="CR39" i="6"/>
  <c r="CQ39" i="6"/>
  <c r="CP39" i="6"/>
  <c r="CO39" i="6"/>
  <c r="CN39" i="6"/>
  <c r="CM39" i="6"/>
  <c r="CL39" i="6"/>
  <c r="CK39" i="6"/>
  <c r="CJ39" i="6"/>
  <c r="CI39" i="6"/>
  <c r="CH39" i="6"/>
  <c r="CG39" i="6"/>
  <c r="CF39" i="6"/>
  <c r="CE39" i="6"/>
  <c r="CD39" i="6"/>
  <c r="CC39" i="6"/>
  <c r="CB39" i="6"/>
  <c r="CA39" i="6"/>
  <c r="BZ39" i="6"/>
  <c r="BY39" i="6"/>
  <c r="BX39" i="6"/>
  <c r="BW39" i="6"/>
  <c r="BV39" i="6"/>
  <c r="BV40" i="6" s="1"/>
  <c r="BU39" i="6"/>
  <c r="BT39" i="6"/>
  <c r="BS39" i="6"/>
  <c r="BR39" i="6"/>
  <c r="BQ39" i="6"/>
  <c r="BP39" i="6"/>
  <c r="BO39" i="6"/>
  <c r="BN39" i="6"/>
  <c r="BM39" i="6"/>
  <c r="BL39" i="6"/>
  <c r="BK39" i="6"/>
  <c r="BJ39" i="6"/>
  <c r="BI39" i="6"/>
  <c r="BH39" i="6"/>
  <c r="BG39" i="6"/>
  <c r="BF39" i="6"/>
  <c r="ES39" i="6" s="1"/>
  <c r="BE39" i="6"/>
  <c r="EN39" i="6" s="1"/>
  <c r="BD39" i="6"/>
  <c r="EM39" i="6" s="1"/>
  <c r="BC39" i="6"/>
  <c r="EL39" i="6" s="1"/>
  <c r="BB39" i="6"/>
  <c r="EK39" i="6" s="1"/>
  <c r="BA39" i="6"/>
  <c r="EJ39" i="6" s="1"/>
  <c r="AZ39" i="6"/>
  <c r="EI39" i="6" s="1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DS39" i="6" s="1"/>
  <c r="AI39" i="6"/>
  <c r="DR39" i="6" s="1"/>
  <c r="AH39" i="6"/>
  <c r="AG39" i="6"/>
  <c r="DP39" i="6" s="1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EF39" i="6" s="1"/>
  <c r="S39" i="6"/>
  <c r="R39" i="6"/>
  <c r="Q39" i="6"/>
  <c r="P39" i="6"/>
  <c r="O39" i="6"/>
  <c r="N39" i="6"/>
  <c r="DZ39" i="6" s="1"/>
  <c r="M39" i="6"/>
  <c r="L39" i="6"/>
  <c r="K39" i="6"/>
  <c r="DW39" i="6" s="1"/>
  <c r="J39" i="6"/>
  <c r="I39" i="6"/>
  <c r="H39" i="6"/>
  <c r="DT39" i="6" s="1"/>
  <c r="G39" i="6"/>
  <c r="F39" i="6"/>
  <c r="E39" i="6"/>
  <c r="D39" i="6"/>
  <c r="C39" i="6"/>
  <c r="B39" i="6"/>
  <c r="EQ38" i="6"/>
  <c r="EP38" i="6"/>
  <c r="EF38" i="6"/>
  <c r="DO38" i="6"/>
  <c r="DN38" i="6"/>
  <c r="CJ38" i="6"/>
  <c r="CI38" i="6"/>
  <c r="EO38" i="6" s="1"/>
  <c r="CH38" i="6"/>
  <c r="CG38" i="6"/>
  <c r="CF38" i="6"/>
  <c r="EL38" i="6" s="1"/>
  <c r="CE38" i="6"/>
  <c r="EK38" i="6" s="1"/>
  <c r="CD38" i="6"/>
  <c r="CC38" i="6"/>
  <c r="CB38" i="6"/>
  <c r="CA38" i="6"/>
  <c r="BZ38" i="6"/>
  <c r="BY38" i="6"/>
  <c r="BX38" i="6"/>
  <c r="BW38" i="6"/>
  <c r="BV38" i="6"/>
  <c r="BU38" i="6"/>
  <c r="BT38" i="6"/>
  <c r="BS38" i="6"/>
  <c r="BR38" i="6"/>
  <c r="BQ38" i="6"/>
  <c r="BP38" i="6"/>
  <c r="BO38" i="6"/>
  <c r="BN38" i="6"/>
  <c r="DT38" i="6" s="1"/>
  <c r="BM38" i="6"/>
  <c r="DS38" i="6" s="1"/>
  <c r="BL38" i="6"/>
  <c r="BK38" i="6"/>
  <c r="DQ38" i="6" s="1"/>
  <c r="BJ38" i="6"/>
  <c r="DP38" i="6" s="1"/>
  <c r="BI38" i="6"/>
  <c r="BH38" i="6"/>
  <c r="BG38" i="6"/>
  <c r="BF38" i="6"/>
  <c r="BE38" i="6"/>
  <c r="BD38" i="6"/>
  <c r="BC38" i="6"/>
  <c r="AD38" i="6"/>
  <c r="AC38" i="6"/>
  <c r="AB38" i="6"/>
  <c r="EN38" i="6" s="1"/>
  <c r="AA38" i="6"/>
  <c r="Z38" i="6"/>
  <c r="Y38" i="6"/>
  <c r="X38" i="6"/>
  <c r="EJ38" i="6" s="1"/>
  <c r="W38" i="6"/>
  <c r="EI38" i="6" s="1"/>
  <c r="V38" i="6"/>
  <c r="EH38" i="6" s="1"/>
  <c r="U38" i="6"/>
  <c r="EG38" i="6" s="1"/>
  <c r="T38" i="6"/>
  <c r="S38" i="6"/>
  <c r="EE38" i="6" s="1"/>
  <c r="R38" i="6"/>
  <c r="ED38" i="6" s="1"/>
  <c r="Q38" i="6"/>
  <c r="EC38" i="6" s="1"/>
  <c r="P38" i="6"/>
  <c r="EB38" i="6" s="1"/>
  <c r="O38" i="6"/>
  <c r="N38" i="6"/>
  <c r="DZ38" i="6" s="1"/>
  <c r="M38" i="6"/>
  <c r="DY38" i="6" s="1"/>
  <c r="L38" i="6"/>
  <c r="K38" i="6"/>
  <c r="J38" i="6"/>
  <c r="I38" i="6"/>
  <c r="H38" i="6"/>
  <c r="G38" i="6"/>
  <c r="F38" i="6"/>
  <c r="DR38" i="6" s="1"/>
  <c r="E38" i="6"/>
  <c r="D38" i="6"/>
  <c r="C38" i="6"/>
  <c r="B38" i="6"/>
  <c r="ES37" i="6"/>
  <c r="EP37" i="6"/>
  <c r="ET37" i="6" s="1"/>
  <c r="EO37" i="6"/>
  <c r="EM37" i="6"/>
  <c r="EL37" i="6"/>
  <c r="DP37" i="6"/>
  <c r="DM37" i="6"/>
  <c r="DL37" i="6"/>
  <c r="DK37" i="6"/>
  <c r="DJ37" i="6"/>
  <c r="DI37" i="6"/>
  <c r="DH37" i="6"/>
  <c r="DG37" i="6"/>
  <c r="DF37" i="6"/>
  <c r="DE37" i="6"/>
  <c r="DD37" i="6"/>
  <c r="DC37" i="6"/>
  <c r="DB37" i="6"/>
  <c r="DA37" i="6"/>
  <c r="CZ37" i="6"/>
  <c r="CY37" i="6"/>
  <c r="CX37" i="6"/>
  <c r="CW37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EN37" i="6" s="1"/>
  <c r="CG37" i="6"/>
  <c r="CF37" i="6"/>
  <c r="CE37" i="6"/>
  <c r="CD37" i="6"/>
  <c r="CC37" i="6"/>
  <c r="CB37" i="6"/>
  <c r="CA37" i="6"/>
  <c r="BZ37" i="6"/>
  <c r="BY37" i="6"/>
  <c r="BX37" i="6"/>
  <c r="BW37" i="6"/>
  <c r="BV37" i="6"/>
  <c r="BU37" i="6"/>
  <c r="BT37" i="6"/>
  <c r="BS37" i="6"/>
  <c r="BR37" i="6"/>
  <c r="BQ37" i="6"/>
  <c r="BP37" i="6"/>
  <c r="BO37" i="6"/>
  <c r="BN37" i="6"/>
  <c r="BM37" i="6"/>
  <c r="BL37" i="6"/>
  <c r="DR37" i="6" s="1"/>
  <c r="BK37" i="6"/>
  <c r="BJ37" i="6"/>
  <c r="BI37" i="6"/>
  <c r="BH37" i="6"/>
  <c r="BG37" i="6"/>
  <c r="BF37" i="6"/>
  <c r="BE37" i="6"/>
  <c r="BD37" i="6"/>
  <c r="BC37" i="6"/>
  <c r="BB37" i="6"/>
  <c r="EK37" i="6" s="1"/>
  <c r="BA37" i="6"/>
  <c r="EJ37" i="6" s="1"/>
  <c r="AZ37" i="6"/>
  <c r="EI37" i="6" s="1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DS37" i="6" s="1"/>
  <c r="AI37" i="6"/>
  <c r="AH37" i="6"/>
  <c r="DQ37" i="6" s="1"/>
  <c r="AG37" i="6"/>
  <c r="AF37" i="6"/>
  <c r="DO37" i="6" s="1"/>
  <c r="AE37" i="6"/>
  <c r="DN37" i="6" s="1"/>
  <c r="AD37" i="6"/>
  <c r="AC37" i="6"/>
  <c r="AB37" i="6"/>
  <c r="AA37" i="6"/>
  <c r="Z37" i="6"/>
  <c r="Y37" i="6"/>
  <c r="X37" i="6"/>
  <c r="W37" i="6"/>
  <c r="V37" i="6"/>
  <c r="EH37" i="6" s="1"/>
  <c r="U37" i="6"/>
  <c r="EG37" i="6" s="1"/>
  <c r="T37" i="6"/>
  <c r="EF37" i="6" s="1"/>
  <c r="S37" i="6"/>
  <c r="EE37" i="6" s="1"/>
  <c r="R37" i="6"/>
  <c r="Q37" i="6"/>
  <c r="P37" i="6"/>
  <c r="EB37" i="6" s="1"/>
  <c r="O37" i="6"/>
  <c r="N37" i="6"/>
  <c r="DZ37" i="6" s="1"/>
  <c r="M37" i="6"/>
  <c r="L37" i="6"/>
  <c r="DX37" i="6" s="1"/>
  <c r="K37" i="6"/>
  <c r="J37" i="6"/>
  <c r="DV37" i="6" s="1"/>
  <c r="I37" i="6"/>
  <c r="DU37" i="6" s="1"/>
  <c r="H37" i="6"/>
  <c r="DT37" i="6" s="1"/>
  <c r="G37" i="6"/>
  <c r="F37" i="6"/>
  <c r="E37" i="6"/>
  <c r="D37" i="6"/>
  <c r="C37" i="6"/>
  <c r="B37" i="6"/>
  <c r="EQ36" i="6"/>
  <c r="EP36" i="6"/>
  <c r="DL36" i="6"/>
  <c r="DK36" i="6"/>
  <c r="DJ36" i="6"/>
  <c r="EM36" i="6" s="1"/>
  <c r="DI36" i="6"/>
  <c r="DH36" i="6"/>
  <c r="DG36" i="6"/>
  <c r="DF36" i="6"/>
  <c r="DE36" i="6"/>
  <c r="DD36" i="6"/>
  <c r="DC36" i="6"/>
  <c r="DB36" i="6"/>
  <c r="DA36" i="6"/>
  <c r="CZ36" i="6"/>
  <c r="CY36" i="6"/>
  <c r="CX36" i="6"/>
  <c r="CW36" i="6"/>
  <c r="CV36" i="6"/>
  <c r="CU36" i="6"/>
  <c r="CT36" i="6"/>
  <c r="CS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CF36" i="6"/>
  <c r="CE36" i="6"/>
  <c r="CD36" i="6"/>
  <c r="CC36" i="6"/>
  <c r="CB36" i="6"/>
  <c r="CA36" i="6"/>
  <c r="BZ36" i="6"/>
  <c r="BY36" i="6"/>
  <c r="BX36" i="6"/>
  <c r="BW36" i="6"/>
  <c r="BV36" i="6"/>
  <c r="BU36" i="6"/>
  <c r="BT36" i="6"/>
  <c r="BS36" i="6"/>
  <c r="BR36" i="6"/>
  <c r="BQ36" i="6"/>
  <c r="BQ40" i="6" s="1"/>
  <c r="BP36" i="6"/>
  <c r="BO36" i="6"/>
  <c r="BN36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EH36" i="6" s="1"/>
  <c r="AX36" i="6"/>
  <c r="EG36" i="6" s="1"/>
  <c r="AW36" i="6"/>
  <c r="EF36" i="6" s="1"/>
  <c r="AV36" i="6"/>
  <c r="EE36" i="6" s="1"/>
  <c r="AU36" i="6"/>
  <c r="ED36" i="6" s="1"/>
  <c r="AT36" i="6"/>
  <c r="EC36" i="6" s="1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EN36" i="6" s="1"/>
  <c r="AA36" i="6"/>
  <c r="Z36" i="6"/>
  <c r="Y36" i="6"/>
  <c r="EK36" i="6" s="1"/>
  <c r="X36" i="6"/>
  <c r="W36" i="6"/>
  <c r="EI36" i="6" s="1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DV36" i="6" s="1"/>
  <c r="I36" i="6"/>
  <c r="H36" i="6"/>
  <c r="DT36" i="6" s="1"/>
  <c r="G36" i="6"/>
  <c r="F36" i="6"/>
  <c r="DR36" i="6" s="1"/>
  <c r="E36" i="6"/>
  <c r="D36" i="6"/>
  <c r="C36" i="6"/>
  <c r="DO36" i="6" s="1"/>
  <c r="B36" i="6"/>
  <c r="DN36" i="6" s="1"/>
  <c r="EE35" i="6"/>
  <c r="ED35" i="6"/>
  <c r="DM35" i="6"/>
  <c r="DL35" i="6"/>
  <c r="DK35" i="6"/>
  <c r="DJ35" i="6"/>
  <c r="DI35" i="6"/>
  <c r="DH35" i="6"/>
  <c r="DG35" i="6"/>
  <c r="DF35" i="6"/>
  <c r="DE35" i="6"/>
  <c r="EH35" i="6" s="1"/>
  <c r="DD35" i="6"/>
  <c r="DC35" i="6"/>
  <c r="DB35" i="6"/>
  <c r="DA35" i="6"/>
  <c r="CZ35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CF35" i="6"/>
  <c r="CE35" i="6"/>
  <c r="CD35" i="6"/>
  <c r="CC35" i="6"/>
  <c r="CB35" i="6"/>
  <c r="CA35" i="6"/>
  <c r="BZ35" i="6"/>
  <c r="BY35" i="6"/>
  <c r="BX35" i="6"/>
  <c r="BW35" i="6"/>
  <c r="BV35" i="6"/>
  <c r="BU35" i="6"/>
  <c r="BT35" i="6"/>
  <c r="BS35" i="6"/>
  <c r="BR35" i="6"/>
  <c r="BQ35" i="6"/>
  <c r="BP35" i="6"/>
  <c r="BO35" i="6"/>
  <c r="BN35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EA35" i="6" s="1"/>
  <c r="AQ35" i="6"/>
  <c r="AP35" i="6"/>
  <c r="DY35" i="6" s="1"/>
  <c r="AO35" i="6"/>
  <c r="DX35" i="6" s="1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EN35" i="6" s="1"/>
  <c r="AA35" i="6"/>
  <c r="Z35" i="6"/>
  <c r="Y35" i="6"/>
  <c r="EK35" i="6" s="1"/>
  <c r="X35" i="6"/>
  <c r="W35" i="6"/>
  <c r="EI35" i="6" s="1"/>
  <c r="V35" i="6"/>
  <c r="U35" i="6"/>
  <c r="T35" i="6"/>
  <c r="EF35" i="6" s="1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DR35" i="6" s="1"/>
  <c r="E35" i="6"/>
  <c r="D35" i="6"/>
  <c r="C35" i="6"/>
  <c r="DO35" i="6" s="1"/>
  <c r="B35" i="6"/>
  <c r="ET34" i="6"/>
  <c r="EP34" i="6"/>
  <c r="EN34" i="6"/>
  <c r="EM34" i="6"/>
  <c r="EL34" i="6"/>
  <c r="EK34" i="6"/>
  <c r="DP34" i="6"/>
  <c r="DO34" i="6"/>
  <c r="DM34" i="6"/>
  <c r="DL34" i="6"/>
  <c r="DK34" i="6"/>
  <c r="DJ34" i="6"/>
  <c r="DI34" i="6"/>
  <c r="DH34" i="6"/>
  <c r="DG34" i="6"/>
  <c r="DF34" i="6"/>
  <c r="DE34" i="6"/>
  <c r="DD34" i="6"/>
  <c r="DC34" i="6"/>
  <c r="DB34" i="6"/>
  <c r="DA34" i="6"/>
  <c r="CZ34" i="6"/>
  <c r="CY34" i="6"/>
  <c r="CX34" i="6"/>
  <c r="CW34" i="6"/>
  <c r="CV34" i="6"/>
  <c r="CU34" i="6"/>
  <c r="CT34" i="6"/>
  <c r="CS34" i="6"/>
  <c r="DV34" i="6" s="1"/>
  <c r="CR34" i="6"/>
  <c r="CQ34" i="6"/>
  <c r="CP34" i="6"/>
  <c r="CO34" i="6"/>
  <c r="CN34" i="6"/>
  <c r="CM34" i="6"/>
  <c r="CL34" i="6"/>
  <c r="CK34" i="6"/>
  <c r="CJ34" i="6"/>
  <c r="CI34" i="6"/>
  <c r="CH34" i="6"/>
  <c r="CG34" i="6"/>
  <c r="CF34" i="6"/>
  <c r="CE34" i="6"/>
  <c r="CD34" i="6"/>
  <c r="CC34" i="6"/>
  <c r="CB34" i="6"/>
  <c r="CA34" i="6"/>
  <c r="BZ34" i="6"/>
  <c r="BY34" i="6"/>
  <c r="BX34" i="6"/>
  <c r="BW34" i="6"/>
  <c r="BV34" i="6"/>
  <c r="BU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EJ34" i="6" s="1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DT34" i="6" s="1"/>
  <c r="AJ34" i="6"/>
  <c r="AI34" i="6"/>
  <c r="DR34" i="6" s="1"/>
  <c r="AH34" i="6"/>
  <c r="DQ34" i="6" s="1"/>
  <c r="AG34" i="6"/>
  <c r="AF34" i="6"/>
  <c r="AE34" i="6"/>
  <c r="DN34" i="6" s="1"/>
  <c r="AD34" i="6"/>
  <c r="AC34" i="6"/>
  <c r="AB34" i="6"/>
  <c r="AA34" i="6"/>
  <c r="Z34" i="6"/>
  <c r="Y34" i="6"/>
  <c r="X34" i="6"/>
  <c r="W34" i="6"/>
  <c r="EI34" i="6" s="1"/>
  <c r="V34" i="6"/>
  <c r="U34" i="6"/>
  <c r="EG34" i="6" s="1"/>
  <c r="T34" i="6"/>
  <c r="EF34" i="6" s="1"/>
  <c r="S34" i="6"/>
  <c r="EE34" i="6" s="1"/>
  <c r="R34" i="6"/>
  <c r="ED34" i="6" s="1"/>
  <c r="Q34" i="6"/>
  <c r="P34" i="6"/>
  <c r="O34" i="6"/>
  <c r="EA34" i="6" s="1"/>
  <c r="N34" i="6"/>
  <c r="M34" i="6"/>
  <c r="DY34" i="6" s="1"/>
  <c r="L34" i="6"/>
  <c r="DX34" i="6" s="1"/>
  <c r="K34" i="6"/>
  <c r="DW34" i="6" s="1"/>
  <c r="J34" i="6"/>
  <c r="I34" i="6"/>
  <c r="DU34" i="6" s="1"/>
  <c r="H34" i="6"/>
  <c r="G34" i="6"/>
  <c r="F34" i="6"/>
  <c r="E34" i="6"/>
  <c r="D34" i="6"/>
  <c r="C34" i="6"/>
  <c r="B34" i="6"/>
  <c r="EP33" i="6"/>
  <c r="EM33" i="6"/>
  <c r="EL33" i="6"/>
  <c r="EK33" i="6"/>
  <c r="DO33" i="6"/>
  <c r="DM33" i="6"/>
  <c r="DL33" i="6"/>
  <c r="DK33" i="6"/>
  <c r="DK40" i="6" s="1"/>
  <c r="DJ33" i="6"/>
  <c r="DI33" i="6"/>
  <c r="DH33" i="6"/>
  <c r="DG33" i="6"/>
  <c r="DF33" i="6"/>
  <c r="DE33" i="6"/>
  <c r="DD33" i="6"/>
  <c r="DC33" i="6"/>
  <c r="DB33" i="6"/>
  <c r="DA33" i="6"/>
  <c r="CZ33" i="6"/>
  <c r="CY33" i="6"/>
  <c r="CX33" i="6"/>
  <c r="CW33" i="6"/>
  <c r="CV33" i="6"/>
  <c r="CU33" i="6"/>
  <c r="CT33" i="6"/>
  <c r="CS33" i="6"/>
  <c r="CR33" i="6"/>
  <c r="CQ33" i="6"/>
  <c r="CP33" i="6"/>
  <c r="CO33" i="6"/>
  <c r="CO40" i="6" s="1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EJ33" i="6" s="1"/>
  <c r="AZ33" i="6"/>
  <c r="EI33" i="6" s="1"/>
  <c r="AY33" i="6"/>
  <c r="EH33" i="6" s="1"/>
  <c r="AX33" i="6"/>
  <c r="EG33" i="6" s="1"/>
  <c r="AW33" i="6"/>
  <c r="EF33" i="6" s="1"/>
  <c r="AV33" i="6"/>
  <c r="EE33" i="6" s="1"/>
  <c r="AU33" i="6"/>
  <c r="ED33" i="6" s="1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EA33" i="6" s="1"/>
  <c r="N33" i="6"/>
  <c r="M33" i="6"/>
  <c r="L33" i="6"/>
  <c r="K33" i="6"/>
  <c r="J33" i="6"/>
  <c r="I33" i="6"/>
  <c r="DU33" i="6" s="1"/>
  <c r="H33" i="6"/>
  <c r="DT33" i="6" s="1"/>
  <c r="G33" i="6"/>
  <c r="F33" i="6"/>
  <c r="E33" i="6"/>
  <c r="E40" i="6" s="1"/>
  <c r="D33" i="6"/>
  <c r="DP33" i="6" s="1"/>
  <c r="C33" i="6"/>
  <c r="B33" i="6"/>
  <c r="ED32" i="6"/>
  <c r="EC32" i="6"/>
  <c r="DM32" i="6"/>
  <c r="DL32" i="6"/>
  <c r="DK32" i="6"/>
  <c r="DJ32" i="6"/>
  <c r="DI32" i="6"/>
  <c r="DH32" i="6"/>
  <c r="DG32" i="6"/>
  <c r="DF32" i="6"/>
  <c r="DF40" i="6" s="1"/>
  <c r="DE32" i="6"/>
  <c r="DD32" i="6"/>
  <c r="DC32" i="6"/>
  <c r="DB32" i="6"/>
  <c r="DA32" i="6"/>
  <c r="CZ32" i="6"/>
  <c r="CY32" i="6"/>
  <c r="CX32" i="6"/>
  <c r="CW32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K40" i="6" s="1"/>
  <c r="CJ32" i="6"/>
  <c r="CI32" i="6"/>
  <c r="CH32" i="6"/>
  <c r="CH40" i="6" s="1"/>
  <c r="CG32" i="6"/>
  <c r="CG40" i="6" s="1"/>
  <c r="CF32" i="6"/>
  <c r="CE32" i="6"/>
  <c r="CD32" i="6"/>
  <c r="CC32" i="6"/>
  <c r="CB32" i="6"/>
  <c r="CA32" i="6"/>
  <c r="BZ32" i="6"/>
  <c r="BY32" i="6"/>
  <c r="BX32" i="6"/>
  <c r="BW32" i="6"/>
  <c r="BV32" i="6"/>
  <c r="BU32" i="6"/>
  <c r="BT32" i="6"/>
  <c r="BS32" i="6"/>
  <c r="BR32" i="6"/>
  <c r="BR40" i="6" s="1"/>
  <c r="BQ32" i="6"/>
  <c r="BP32" i="6"/>
  <c r="BO32" i="6"/>
  <c r="BO40" i="6" s="1"/>
  <c r="BN32" i="6"/>
  <c r="BN40" i="6" s="1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EB32" i="6" s="1"/>
  <c r="AR32" i="6"/>
  <c r="EA32" i="6" s="1"/>
  <c r="AQ32" i="6"/>
  <c r="DZ32" i="6" s="1"/>
  <c r="AP32" i="6"/>
  <c r="DY32" i="6" s="1"/>
  <c r="AO32" i="6"/>
  <c r="DX32" i="6" s="1"/>
  <c r="AN32" i="6"/>
  <c r="DW32" i="6" s="1"/>
  <c r="AM32" i="6"/>
  <c r="DV32" i="6" s="1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EL32" i="6" s="1"/>
  <c r="Y32" i="6"/>
  <c r="X32" i="6"/>
  <c r="W32" i="6"/>
  <c r="V32" i="6"/>
  <c r="U32" i="6"/>
  <c r="T32" i="6"/>
  <c r="S32" i="6"/>
  <c r="EE32" i="6" s="1"/>
  <c r="R32" i="6"/>
  <c r="R40" i="6" s="1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DP32" i="6" s="1"/>
  <c r="C32" i="6"/>
  <c r="B32" i="6"/>
  <c r="EQ31" i="6"/>
  <c r="EP31" i="6"/>
  <c r="ET31" i="6" s="1"/>
  <c r="EO31" i="6"/>
  <c r="ES31" i="6" s="1"/>
  <c r="EN31" i="6"/>
  <c r="DS31" i="6"/>
  <c r="DM31" i="6"/>
  <c r="DL31" i="6"/>
  <c r="DK31" i="6"/>
  <c r="DJ31" i="6"/>
  <c r="DI31" i="6"/>
  <c r="DH31" i="6"/>
  <c r="DG31" i="6"/>
  <c r="DF31" i="6"/>
  <c r="DE31" i="6"/>
  <c r="DD31" i="6"/>
  <c r="DC31" i="6"/>
  <c r="DB31" i="6"/>
  <c r="DB40" i="6" s="1"/>
  <c r="DA31" i="6"/>
  <c r="CZ31" i="6"/>
  <c r="CY31" i="6"/>
  <c r="CX31" i="6"/>
  <c r="CW31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EM31" i="6" s="1"/>
  <c r="CF31" i="6"/>
  <c r="CF40" i="6" s="1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O31" i="6"/>
  <c r="BN31" i="6"/>
  <c r="BM31" i="6"/>
  <c r="BL31" i="6"/>
  <c r="DR31" i="6" s="1"/>
  <c r="BK31" i="6"/>
  <c r="DQ31" i="6" s="1"/>
  <c r="BJ31" i="6"/>
  <c r="BI31" i="6"/>
  <c r="BH31" i="6"/>
  <c r="BG31" i="6"/>
  <c r="BF31" i="6"/>
  <c r="BE31" i="6"/>
  <c r="BD31" i="6"/>
  <c r="BC31" i="6"/>
  <c r="AC31" i="6"/>
  <c r="AB31" i="6"/>
  <c r="AA31" i="6"/>
  <c r="Z31" i="6"/>
  <c r="Y31" i="6"/>
  <c r="X31" i="6"/>
  <c r="W31" i="6"/>
  <c r="EI31" i="6" s="1"/>
  <c r="V31" i="6"/>
  <c r="EH31" i="6" s="1"/>
  <c r="U31" i="6"/>
  <c r="T31" i="6"/>
  <c r="S31" i="6"/>
  <c r="R31" i="6"/>
  <c r="Q31" i="6"/>
  <c r="P31" i="6"/>
  <c r="EB31" i="6" s="1"/>
  <c r="O31" i="6"/>
  <c r="EA31" i="6" s="1"/>
  <c r="N31" i="6"/>
  <c r="DZ31" i="6" s="1"/>
  <c r="M31" i="6"/>
  <c r="DY31" i="6" s="1"/>
  <c r="L31" i="6"/>
  <c r="DX31" i="6" s="1"/>
  <c r="K31" i="6"/>
  <c r="DW31" i="6" s="1"/>
  <c r="J31" i="6"/>
  <c r="DV31" i="6" s="1"/>
  <c r="I31" i="6"/>
  <c r="H31" i="6"/>
  <c r="DT31" i="6" s="1"/>
  <c r="G31" i="6"/>
  <c r="F31" i="6"/>
  <c r="E31" i="6"/>
  <c r="D31" i="6"/>
  <c r="C31" i="6"/>
  <c r="B31" i="6"/>
  <c r="EL30" i="6"/>
  <c r="EJ30" i="6"/>
  <c r="EI30" i="6"/>
  <c r="EH30" i="6"/>
  <c r="EF30" i="6"/>
  <c r="EE30" i="6"/>
  <c r="ED30" i="6"/>
  <c r="EC30" i="6"/>
  <c r="DN30" i="6"/>
  <c r="DM30" i="6"/>
  <c r="DL30" i="6"/>
  <c r="EO30" i="6" s="1"/>
  <c r="DK30" i="6"/>
  <c r="DJ30" i="6"/>
  <c r="DI30" i="6"/>
  <c r="DH30" i="6"/>
  <c r="DG30" i="6"/>
  <c r="DF30" i="6"/>
  <c r="DE30" i="6"/>
  <c r="DD30" i="6"/>
  <c r="DC30" i="6"/>
  <c r="DB30" i="6"/>
  <c r="DA30" i="6"/>
  <c r="CZ30" i="6"/>
  <c r="CY30" i="6"/>
  <c r="CX30" i="6"/>
  <c r="CW30" i="6"/>
  <c r="CV30" i="6"/>
  <c r="CU30" i="6"/>
  <c r="CT30" i="6"/>
  <c r="CS30" i="6"/>
  <c r="CR30" i="6"/>
  <c r="CR40" i="6" s="1"/>
  <c r="CQ30" i="6"/>
  <c r="CP30" i="6"/>
  <c r="DS30" i="6" s="1"/>
  <c r="CO30" i="6"/>
  <c r="CN30" i="6"/>
  <c r="CM30" i="6"/>
  <c r="CL30" i="6"/>
  <c r="CL40" i="6" s="1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EB30" i="6" s="1"/>
  <c r="BU30" i="6"/>
  <c r="BT30" i="6"/>
  <c r="BS30" i="6"/>
  <c r="BR30" i="6"/>
  <c r="BQ30" i="6"/>
  <c r="BP30" i="6"/>
  <c r="BP40" i="6" s="1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AC30" i="6"/>
  <c r="AB30" i="6"/>
  <c r="AA30" i="6"/>
  <c r="EM30" i="6" s="1"/>
  <c r="Z30" i="6"/>
  <c r="Y30" i="6"/>
  <c r="X30" i="6"/>
  <c r="X40" i="6" s="1"/>
  <c r="W30" i="6"/>
  <c r="V30" i="6"/>
  <c r="U30" i="6"/>
  <c r="U40" i="6" s="1"/>
  <c r="T30" i="6"/>
  <c r="S30" i="6"/>
  <c r="R30" i="6"/>
  <c r="Q30" i="6"/>
  <c r="P30" i="6"/>
  <c r="O30" i="6"/>
  <c r="EA30" i="6" s="1"/>
  <c r="N30" i="6"/>
  <c r="M30" i="6"/>
  <c r="DY30" i="6" s="1"/>
  <c r="L30" i="6"/>
  <c r="DX30" i="6" s="1"/>
  <c r="K30" i="6"/>
  <c r="DW30" i="6" s="1"/>
  <c r="J30" i="6"/>
  <c r="I30" i="6"/>
  <c r="DU30" i="6" s="1"/>
  <c r="H30" i="6"/>
  <c r="DT30" i="6" s="1"/>
  <c r="G30" i="6"/>
  <c r="F30" i="6"/>
  <c r="E30" i="6"/>
  <c r="DQ30" i="6" s="1"/>
  <c r="D30" i="6"/>
  <c r="DP30" i="6" s="1"/>
  <c r="C30" i="6"/>
  <c r="B30" i="6"/>
  <c r="EA29" i="6"/>
  <c r="DZ29" i="6"/>
  <c r="DX29" i="6"/>
  <c r="DW29" i="6"/>
  <c r="DT29" i="6"/>
  <c r="DM29" i="6"/>
  <c r="DL29" i="6"/>
  <c r="DK29" i="6"/>
  <c r="DJ29" i="6"/>
  <c r="DI29" i="6"/>
  <c r="DH29" i="6"/>
  <c r="DG29" i="6"/>
  <c r="DF29" i="6"/>
  <c r="DE29" i="6"/>
  <c r="DD29" i="6"/>
  <c r="DC29" i="6"/>
  <c r="DB29" i="6"/>
  <c r="DA29" i="6"/>
  <c r="CZ29" i="6"/>
  <c r="CY29" i="6"/>
  <c r="CY40" i="6" s="1"/>
  <c r="CX29" i="6"/>
  <c r="CX40" i="6" s="1"/>
  <c r="CW29" i="6"/>
  <c r="CV29" i="6"/>
  <c r="CV40" i="6" s="1"/>
  <c r="CU29" i="6"/>
  <c r="CT29" i="6"/>
  <c r="CT40" i="6" s="1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C40" i="6" s="1"/>
  <c r="CB29" i="6"/>
  <c r="CB40" i="6" s="1"/>
  <c r="CA29" i="6"/>
  <c r="BZ29" i="6"/>
  <c r="BZ40" i="6" s="1"/>
  <c r="BY29" i="6"/>
  <c r="BX29" i="6"/>
  <c r="BX40" i="6" s="1"/>
  <c r="BW29" i="6"/>
  <c r="BV29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D40" i="6" s="1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DY29" i="6" s="1"/>
  <c r="AO29" i="6"/>
  <c r="AN29" i="6"/>
  <c r="AM29" i="6"/>
  <c r="DV29" i="6" s="1"/>
  <c r="AL29" i="6"/>
  <c r="DU29" i="6" s="1"/>
  <c r="AK29" i="6"/>
  <c r="AJ29" i="6"/>
  <c r="DS29" i="6" s="1"/>
  <c r="AI29" i="6"/>
  <c r="AH29" i="6"/>
  <c r="AG29" i="6"/>
  <c r="AF29" i="6"/>
  <c r="AE29" i="6"/>
  <c r="AD29" i="6"/>
  <c r="AC29" i="6"/>
  <c r="AB29" i="6"/>
  <c r="AA29" i="6"/>
  <c r="Z29" i="6"/>
  <c r="EL29" i="6" s="1"/>
  <c r="Y29" i="6"/>
  <c r="X29" i="6"/>
  <c r="W29" i="6"/>
  <c r="V29" i="6"/>
  <c r="U29" i="6"/>
  <c r="T29" i="6"/>
  <c r="S29" i="6"/>
  <c r="R29" i="6"/>
  <c r="Q29" i="6"/>
  <c r="Q40" i="6" s="1"/>
  <c r="P29" i="6"/>
  <c r="O29" i="6"/>
  <c r="O40" i="6" s="1"/>
  <c r="N29" i="6"/>
  <c r="M29" i="6"/>
  <c r="L29" i="6"/>
  <c r="L40" i="6" s="1"/>
  <c r="K29" i="6"/>
  <c r="J29" i="6"/>
  <c r="J40" i="6" s="1"/>
  <c r="I29" i="6"/>
  <c r="H29" i="6"/>
  <c r="G29" i="6"/>
  <c r="F29" i="6"/>
  <c r="E29" i="6"/>
  <c r="D29" i="6"/>
  <c r="DP29" i="6" s="1"/>
  <c r="C29" i="6"/>
  <c r="B29" i="6"/>
  <c r="CR28" i="6"/>
  <c r="CQ28" i="6"/>
  <c r="CF28" i="6"/>
  <c r="CC28" i="6"/>
  <c r="CB28" i="6"/>
  <c r="CA28" i="6"/>
  <c r="BZ28" i="6"/>
  <c r="BY28" i="6"/>
  <c r="AB28" i="6"/>
  <c r="O28" i="6"/>
  <c r="EJ27" i="6"/>
  <c r="EC27" i="6"/>
  <c r="EA27" i="6"/>
  <c r="DZ27" i="6"/>
  <c r="DN27" i="6"/>
  <c r="DM27" i="6"/>
  <c r="DL27" i="6"/>
  <c r="DK27" i="6"/>
  <c r="DJ27" i="6"/>
  <c r="DI27" i="6"/>
  <c r="DH27" i="6"/>
  <c r="DG27" i="6"/>
  <c r="DF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EB27" i="6" s="1"/>
  <c r="BU27" i="6"/>
  <c r="BT27" i="6"/>
  <c r="BS27" i="6"/>
  <c r="DY27" i="6" s="1"/>
  <c r="BR27" i="6"/>
  <c r="DX27" i="6" s="1"/>
  <c r="BQ27" i="6"/>
  <c r="BP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EF27" i="6" s="1"/>
  <c r="AV27" i="6"/>
  <c r="AU27" i="6"/>
  <c r="ED27" i="6" s="1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EP27" i="6" s="1"/>
  <c r="AC27" i="6"/>
  <c r="EO27" i="6" s="1"/>
  <c r="AB27" i="6"/>
  <c r="EN27" i="6" s="1"/>
  <c r="AA27" i="6"/>
  <c r="Z27" i="6"/>
  <c r="Y27" i="6"/>
  <c r="EK27" i="6" s="1"/>
  <c r="X27" i="6"/>
  <c r="W27" i="6"/>
  <c r="V27" i="6"/>
  <c r="U27" i="6"/>
  <c r="EG27" i="6" s="1"/>
  <c r="T27" i="6"/>
  <c r="S27" i="6"/>
  <c r="R27" i="6"/>
  <c r="Q27" i="6"/>
  <c r="P27" i="6"/>
  <c r="O27" i="6"/>
  <c r="N27" i="6"/>
  <c r="M27" i="6"/>
  <c r="L27" i="6"/>
  <c r="K27" i="6"/>
  <c r="J27" i="6"/>
  <c r="DV27" i="6" s="1"/>
  <c r="I27" i="6"/>
  <c r="H27" i="6"/>
  <c r="DT27" i="6" s="1"/>
  <c r="G27" i="6"/>
  <c r="DS27" i="6" s="1"/>
  <c r="F27" i="6"/>
  <c r="DR27" i="6" s="1"/>
  <c r="E27" i="6"/>
  <c r="DQ27" i="6" s="1"/>
  <c r="D27" i="6"/>
  <c r="C27" i="6"/>
  <c r="DO27" i="6" s="1"/>
  <c r="B27" i="6"/>
  <c r="EP26" i="6"/>
  <c r="DY26" i="6"/>
  <c r="DV26" i="6"/>
  <c r="DT26" i="6"/>
  <c r="DS26" i="6"/>
  <c r="DR26" i="6"/>
  <c r="DM26" i="6"/>
  <c r="DL26" i="6"/>
  <c r="DK26" i="6"/>
  <c r="DJ26" i="6"/>
  <c r="DI26" i="6"/>
  <c r="DH26" i="6"/>
  <c r="DG26" i="6"/>
  <c r="DF26" i="6"/>
  <c r="DE26" i="6"/>
  <c r="DD26" i="6"/>
  <c r="DC26" i="6"/>
  <c r="DB26" i="6"/>
  <c r="DB28" i="6" s="1"/>
  <c r="DA26" i="6"/>
  <c r="CZ26" i="6"/>
  <c r="EC26" i="6" s="1"/>
  <c r="CY26" i="6"/>
  <c r="CX26" i="6"/>
  <c r="CX28" i="6" s="1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CA26" i="6"/>
  <c r="BZ26" i="6"/>
  <c r="BY26" i="6"/>
  <c r="BX26" i="6"/>
  <c r="BW26" i="6"/>
  <c r="BV26" i="6"/>
  <c r="BU26" i="6"/>
  <c r="BT26" i="6"/>
  <c r="BS26" i="6"/>
  <c r="BR26" i="6"/>
  <c r="BQ26" i="6"/>
  <c r="BP26" i="6"/>
  <c r="BO26" i="6"/>
  <c r="BN26" i="6"/>
  <c r="BM26" i="6"/>
  <c r="BL26" i="6"/>
  <c r="BK26" i="6"/>
  <c r="BJ26" i="6"/>
  <c r="BJ28" i="6" s="1"/>
  <c r="BI26" i="6"/>
  <c r="BH26" i="6"/>
  <c r="BG26" i="6"/>
  <c r="ET26" i="6" s="1"/>
  <c r="BF26" i="6"/>
  <c r="BE26" i="6"/>
  <c r="EN26" i="6" s="1"/>
  <c r="BD26" i="6"/>
  <c r="EM26" i="6" s="1"/>
  <c r="BC26" i="6"/>
  <c r="EL26" i="6" s="1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DU26" i="6" s="1"/>
  <c r="AK26" i="6"/>
  <c r="AJ26" i="6"/>
  <c r="AI26" i="6"/>
  <c r="AH26" i="6"/>
  <c r="DQ26" i="6" s="1"/>
  <c r="AG26" i="6"/>
  <c r="DP26" i="6" s="1"/>
  <c r="AF26" i="6"/>
  <c r="AE26" i="6"/>
  <c r="AD26" i="6"/>
  <c r="AC26" i="6"/>
  <c r="AB26" i="6"/>
  <c r="AA26" i="6"/>
  <c r="Z26" i="6"/>
  <c r="Y26" i="6"/>
  <c r="EK26" i="6" s="1"/>
  <c r="X26" i="6"/>
  <c r="W26" i="6"/>
  <c r="V26" i="6"/>
  <c r="EH26" i="6" s="1"/>
  <c r="U26" i="6"/>
  <c r="T26" i="6"/>
  <c r="S26" i="6"/>
  <c r="R26" i="6"/>
  <c r="ED26" i="6" s="1"/>
  <c r="Q26" i="6"/>
  <c r="P26" i="6"/>
  <c r="EB26" i="6" s="1"/>
  <c r="O26" i="6"/>
  <c r="EA26" i="6" s="1"/>
  <c r="N26" i="6"/>
  <c r="DZ26" i="6" s="1"/>
  <c r="M26" i="6"/>
  <c r="L26" i="6"/>
  <c r="K26" i="6"/>
  <c r="DW26" i="6" s="1"/>
  <c r="J26" i="6"/>
  <c r="I26" i="6"/>
  <c r="H26" i="6"/>
  <c r="G26" i="6"/>
  <c r="F26" i="6"/>
  <c r="E26" i="6"/>
  <c r="D26" i="6"/>
  <c r="C26" i="6"/>
  <c r="DO26" i="6" s="1"/>
  <c r="B26" i="6"/>
  <c r="EK25" i="6"/>
  <c r="EI25" i="6"/>
  <c r="EH25" i="6"/>
  <c r="DR25" i="6"/>
  <c r="DQ25" i="6"/>
  <c r="DO25" i="6"/>
  <c r="DN25" i="6"/>
  <c r="DM25" i="6"/>
  <c r="DL25" i="6"/>
  <c r="DL28" i="6" s="1"/>
  <c r="DK25" i="6"/>
  <c r="DJ25" i="6"/>
  <c r="DI25" i="6"/>
  <c r="DH25" i="6"/>
  <c r="DG25" i="6"/>
  <c r="DF25" i="6"/>
  <c r="DE25" i="6"/>
  <c r="DD25" i="6"/>
  <c r="DC25" i="6"/>
  <c r="DB25" i="6"/>
  <c r="DA25" i="6"/>
  <c r="CZ25" i="6"/>
  <c r="CY25" i="6"/>
  <c r="CX25" i="6"/>
  <c r="CW25" i="6"/>
  <c r="CV25" i="6"/>
  <c r="CV28" i="6" s="1"/>
  <c r="CU25" i="6"/>
  <c r="CT25" i="6"/>
  <c r="CS25" i="6"/>
  <c r="CS28" i="6" s="1"/>
  <c r="CR25" i="6"/>
  <c r="CQ25" i="6"/>
  <c r="CP25" i="6"/>
  <c r="CP28" i="6" s="1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EG25" i="6" s="1"/>
  <c r="BZ25" i="6"/>
  <c r="EF25" i="6" s="1"/>
  <c r="BY25" i="6"/>
  <c r="EE25" i="6" s="1"/>
  <c r="BX25" i="6"/>
  <c r="BW25" i="6"/>
  <c r="BW28" i="6" s="1"/>
  <c r="BV25" i="6"/>
  <c r="BU25" i="6"/>
  <c r="BT25" i="6"/>
  <c r="BT28" i="6" s="1"/>
  <c r="BS25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D28" i="6" s="1"/>
  <c r="BC25" i="6"/>
  <c r="AD25" i="6"/>
  <c r="EP25" i="6" s="1"/>
  <c r="AC25" i="6"/>
  <c r="AB25" i="6"/>
  <c r="AA25" i="6"/>
  <c r="Z25" i="6"/>
  <c r="Y25" i="6"/>
  <c r="X25" i="6"/>
  <c r="EJ25" i="6" s="1"/>
  <c r="W25" i="6"/>
  <c r="V25" i="6"/>
  <c r="U25" i="6"/>
  <c r="T25" i="6"/>
  <c r="S25" i="6"/>
  <c r="R25" i="6"/>
  <c r="Q25" i="6"/>
  <c r="P25" i="6"/>
  <c r="EB25" i="6" s="1"/>
  <c r="O25" i="6"/>
  <c r="N25" i="6"/>
  <c r="M25" i="6"/>
  <c r="L25" i="6"/>
  <c r="K25" i="6"/>
  <c r="J25" i="6"/>
  <c r="DV25" i="6" s="1"/>
  <c r="I25" i="6"/>
  <c r="H25" i="6"/>
  <c r="G25" i="6"/>
  <c r="DS25" i="6" s="1"/>
  <c r="F25" i="6"/>
  <c r="F28" i="6" s="1"/>
  <c r="E25" i="6"/>
  <c r="D25" i="6"/>
  <c r="DP25" i="6" s="1"/>
  <c r="C25" i="6"/>
  <c r="B25" i="6"/>
  <c r="EF24" i="6"/>
  <c r="DY24" i="6"/>
  <c r="DM24" i="6"/>
  <c r="DM28" i="6" s="1"/>
  <c r="DL24" i="6"/>
  <c r="DK24" i="6"/>
  <c r="DJ24" i="6"/>
  <c r="DI24" i="6"/>
  <c r="DH24" i="6"/>
  <c r="DG24" i="6"/>
  <c r="DF24" i="6"/>
  <c r="DE24" i="6"/>
  <c r="DD24" i="6"/>
  <c r="DC24" i="6"/>
  <c r="DB24" i="6"/>
  <c r="DA24" i="6"/>
  <c r="CZ24" i="6"/>
  <c r="CY24" i="6"/>
  <c r="CX24" i="6"/>
  <c r="CW24" i="6"/>
  <c r="CV24" i="6"/>
  <c r="CU24" i="6"/>
  <c r="CT24" i="6"/>
  <c r="CS24" i="6"/>
  <c r="CR24" i="6"/>
  <c r="CQ24" i="6"/>
  <c r="CP24" i="6"/>
  <c r="CO24" i="6"/>
  <c r="CN24" i="6"/>
  <c r="CM24" i="6"/>
  <c r="CL24" i="6"/>
  <c r="CK24" i="6"/>
  <c r="CJ24" i="6"/>
  <c r="CI24" i="6"/>
  <c r="CH24" i="6"/>
  <c r="CG24" i="6"/>
  <c r="CF24" i="6"/>
  <c r="CE24" i="6"/>
  <c r="CD24" i="6"/>
  <c r="CC24" i="6"/>
  <c r="CB24" i="6"/>
  <c r="CA24" i="6"/>
  <c r="BZ24" i="6"/>
  <c r="BY24" i="6"/>
  <c r="BX24" i="6"/>
  <c r="BW24" i="6"/>
  <c r="BV24" i="6"/>
  <c r="BU24" i="6"/>
  <c r="BU28" i="6" s="1"/>
  <c r="BT24" i="6"/>
  <c r="BS24" i="6"/>
  <c r="BR24" i="6"/>
  <c r="DX24" i="6" s="1"/>
  <c r="BQ24" i="6"/>
  <c r="DW24" i="6" s="1"/>
  <c r="BP24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EE24" i="6" s="1"/>
  <c r="AU24" i="6"/>
  <c r="ED24" i="6" s="1"/>
  <c r="AT24" i="6"/>
  <c r="AS24" i="6"/>
  <c r="EB24" i="6" s="1"/>
  <c r="AR24" i="6"/>
  <c r="AQ24" i="6"/>
  <c r="DZ24" i="6" s="1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EN24" i="6" s="1"/>
  <c r="AA24" i="6"/>
  <c r="Z24" i="6"/>
  <c r="Y24" i="6"/>
  <c r="X24" i="6"/>
  <c r="EJ24" i="6" s="1"/>
  <c r="W24" i="6"/>
  <c r="V24" i="6"/>
  <c r="U24" i="6"/>
  <c r="EG24" i="6" s="1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DR24" i="6" s="1"/>
  <c r="E24" i="6"/>
  <c r="D24" i="6"/>
  <c r="C24" i="6"/>
  <c r="B24" i="6"/>
  <c r="DN24" i="6" s="1"/>
  <c r="ES23" i="6"/>
  <c r="EP23" i="6"/>
  <c r="ET23" i="6" s="1"/>
  <c r="EO23" i="6"/>
  <c r="EL23" i="6"/>
  <c r="DU23" i="6"/>
  <c r="DT23" i="6"/>
  <c r="DS23" i="6"/>
  <c r="DQ23" i="6"/>
  <c r="DP23" i="6"/>
  <c r="DM23" i="6"/>
  <c r="DL23" i="6"/>
  <c r="DK23" i="6"/>
  <c r="DJ23" i="6"/>
  <c r="DI23" i="6"/>
  <c r="DH23" i="6"/>
  <c r="DG23" i="6"/>
  <c r="DF23" i="6"/>
  <c r="DE23" i="6"/>
  <c r="DD23" i="6"/>
  <c r="DC23" i="6"/>
  <c r="DC28" i="6" s="1"/>
  <c r="DB23" i="6"/>
  <c r="DA23" i="6"/>
  <c r="CZ23" i="6"/>
  <c r="CY23" i="6"/>
  <c r="EB23" i="6" s="1"/>
  <c r="CX23" i="6"/>
  <c r="CW23" i="6"/>
  <c r="CW28" i="6" s="1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G28" i="6" s="1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K28" i="6" s="1"/>
  <c r="BJ23" i="6"/>
  <c r="BI23" i="6"/>
  <c r="BH23" i="6"/>
  <c r="BG23" i="6"/>
  <c r="BG28" i="6" s="1"/>
  <c r="BF23" i="6"/>
  <c r="BE23" i="6"/>
  <c r="BD23" i="6"/>
  <c r="EM23" i="6" s="1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DR23" i="6" s="1"/>
  <c r="AH23" i="6"/>
  <c r="AG23" i="6"/>
  <c r="AF23" i="6"/>
  <c r="AE23" i="6"/>
  <c r="AD23" i="6"/>
  <c r="AC23" i="6"/>
  <c r="AB23" i="6"/>
  <c r="AA23" i="6"/>
  <c r="Z23" i="6"/>
  <c r="Y23" i="6"/>
  <c r="EK23" i="6" s="1"/>
  <c r="X23" i="6"/>
  <c r="W23" i="6"/>
  <c r="V23" i="6"/>
  <c r="U23" i="6"/>
  <c r="T23" i="6"/>
  <c r="S23" i="6"/>
  <c r="R23" i="6"/>
  <c r="Q23" i="6"/>
  <c r="P23" i="6"/>
  <c r="O23" i="6"/>
  <c r="EA23" i="6" s="1"/>
  <c r="N23" i="6"/>
  <c r="M23" i="6"/>
  <c r="L23" i="6"/>
  <c r="DX23" i="6" s="1"/>
  <c r="K23" i="6"/>
  <c r="J23" i="6"/>
  <c r="DV23" i="6" s="1"/>
  <c r="I23" i="6"/>
  <c r="H23" i="6"/>
  <c r="G23" i="6"/>
  <c r="F23" i="6"/>
  <c r="E23" i="6"/>
  <c r="D23" i="6"/>
  <c r="C23" i="6"/>
  <c r="DO23" i="6" s="1"/>
  <c r="B23" i="6"/>
  <c r="DL22" i="6"/>
  <c r="DK22" i="6"/>
  <c r="DJ22" i="6"/>
  <c r="CX22" i="6"/>
  <c r="BV22" i="6"/>
  <c r="BP22" i="6"/>
  <c r="AD22" i="6"/>
  <c r="F22" i="6"/>
  <c r="DX21" i="6"/>
  <c r="DQ21" i="6"/>
  <c r="DO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EB21" i="6" s="1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EO21" i="6" s="1"/>
  <c r="ES21" i="6" s="1"/>
  <c r="BE21" i="6"/>
  <c r="BD21" i="6"/>
  <c r="BC21" i="6"/>
  <c r="BB21" i="6"/>
  <c r="EK21" i="6" s="1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DS21" i="6" s="1"/>
  <c r="AI21" i="6"/>
  <c r="AH21" i="6"/>
  <c r="AG21" i="6"/>
  <c r="AF21" i="6"/>
  <c r="AE21" i="6"/>
  <c r="DN21" i="6" s="1"/>
  <c r="AD21" i="6"/>
  <c r="EP21" i="6" s="1"/>
  <c r="AC21" i="6"/>
  <c r="AB21" i="6"/>
  <c r="AA21" i="6"/>
  <c r="Z21" i="6"/>
  <c r="Y21" i="6"/>
  <c r="X21" i="6"/>
  <c r="W21" i="6"/>
  <c r="V21" i="6"/>
  <c r="U21" i="6"/>
  <c r="EG21" i="6" s="1"/>
  <c r="T21" i="6"/>
  <c r="EF21" i="6" s="1"/>
  <c r="S21" i="6"/>
  <c r="R21" i="6"/>
  <c r="ED21" i="6" s="1"/>
  <c r="Q21" i="6"/>
  <c r="P21" i="6"/>
  <c r="O21" i="6"/>
  <c r="EA21" i="6" s="1"/>
  <c r="N21" i="6"/>
  <c r="DZ21" i="6" s="1"/>
  <c r="M21" i="6"/>
  <c r="DY21" i="6" s="1"/>
  <c r="L21" i="6"/>
  <c r="K21" i="6"/>
  <c r="J21" i="6"/>
  <c r="I21" i="6"/>
  <c r="DU21" i="6" s="1"/>
  <c r="H21" i="6"/>
  <c r="DT21" i="6" s="1"/>
  <c r="G21" i="6"/>
  <c r="F21" i="6"/>
  <c r="DR21" i="6" s="1"/>
  <c r="E21" i="6"/>
  <c r="D21" i="6"/>
  <c r="C21" i="6"/>
  <c r="B21" i="6"/>
  <c r="EQ20" i="6"/>
  <c r="EP20" i="6"/>
  <c r="EN20" i="6"/>
  <c r="EK20" i="6"/>
  <c r="EJ20" i="6"/>
  <c r="EI20" i="6"/>
  <c r="EF20" i="6"/>
  <c r="EE20" i="6"/>
  <c r="ED20" i="6"/>
  <c r="DM20" i="6"/>
  <c r="DL20" i="6"/>
  <c r="DK20" i="6"/>
  <c r="DJ20" i="6"/>
  <c r="DI20" i="6"/>
  <c r="DH20" i="6"/>
  <c r="DG20" i="6"/>
  <c r="DF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DO20" i="6" s="1"/>
  <c r="CK20" i="6"/>
  <c r="CJ20" i="6"/>
  <c r="ET20" i="6" s="1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EC20" i="6" s="1"/>
  <c r="BV20" i="6"/>
  <c r="EB20" i="6" s="1"/>
  <c r="BU20" i="6"/>
  <c r="EA20" i="6" s="1"/>
  <c r="BT20" i="6"/>
  <c r="BS20" i="6"/>
  <c r="BR20" i="6"/>
  <c r="DX20" i="6" s="1"/>
  <c r="BQ20" i="6"/>
  <c r="DW20" i="6" s="1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AD20" i="6"/>
  <c r="AC20" i="6"/>
  <c r="EO20" i="6" s="1"/>
  <c r="AB20" i="6"/>
  <c r="AA20" i="6"/>
  <c r="Z20" i="6"/>
  <c r="Y20" i="6"/>
  <c r="X20" i="6"/>
  <c r="W20" i="6"/>
  <c r="V20" i="6"/>
  <c r="EH20" i="6" s="1"/>
  <c r="U20" i="6"/>
  <c r="EG20" i="6" s="1"/>
  <c r="T20" i="6"/>
  <c r="S20" i="6"/>
  <c r="R20" i="6"/>
  <c r="Q20" i="6"/>
  <c r="P20" i="6"/>
  <c r="O20" i="6"/>
  <c r="N20" i="6"/>
  <c r="DZ20" i="6" s="1"/>
  <c r="M20" i="6"/>
  <c r="DY20" i="6" s="1"/>
  <c r="L20" i="6"/>
  <c r="K20" i="6"/>
  <c r="J20" i="6"/>
  <c r="I20" i="6"/>
  <c r="H20" i="6"/>
  <c r="G20" i="6"/>
  <c r="DS20" i="6" s="1"/>
  <c r="F20" i="6"/>
  <c r="DR20" i="6" s="1"/>
  <c r="E20" i="6"/>
  <c r="D20" i="6"/>
  <c r="C20" i="6"/>
  <c r="B20" i="6"/>
  <c r="DN20" i="6" s="1"/>
  <c r="ES19" i="6"/>
  <c r="EO19" i="6"/>
  <c r="EE19" i="6"/>
  <c r="EB19" i="6"/>
  <c r="EA19" i="6"/>
  <c r="DZ19" i="6"/>
  <c r="DW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EI19" i="6" s="1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DS19" i="6" s="1"/>
  <c r="BL19" i="6"/>
  <c r="BK19" i="6"/>
  <c r="BJ19" i="6"/>
  <c r="BI19" i="6"/>
  <c r="BH19" i="6"/>
  <c r="BG19" i="6"/>
  <c r="EP19" i="6" s="1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DX19" i="6" s="1"/>
  <c r="AN19" i="6"/>
  <c r="AM19" i="6"/>
  <c r="DV19" i="6" s="1"/>
  <c r="AL19" i="6"/>
  <c r="DU19" i="6" s="1"/>
  <c r="AK19" i="6"/>
  <c r="DT19" i="6" s="1"/>
  <c r="AJ19" i="6"/>
  <c r="AI19" i="6"/>
  <c r="AH19" i="6"/>
  <c r="AG19" i="6"/>
  <c r="AF19" i="6"/>
  <c r="AE19" i="6"/>
  <c r="AD19" i="6"/>
  <c r="AC19" i="6"/>
  <c r="AB19" i="6"/>
  <c r="AA19" i="6"/>
  <c r="EM19" i="6" s="1"/>
  <c r="Z19" i="6"/>
  <c r="Y19" i="6"/>
  <c r="X19" i="6"/>
  <c r="W19" i="6"/>
  <c r="V19" i="6"/>
  <c r="EH19" i="6" s="1"/>
  <c r="U19" i="6"/>
  <c r="T19" i="6"/>
  <c r="EF19" i="6" s="1"/>
  <c r="S19" i="6"/>
  <c r="R19" i="6"/>
  <c r="Q19" i="6"/>
  <c r="EC19" i="6" s="1"/>
  <c r="P19" i="6"/>
  <c r="O19" i="6"/>
  <c r="N19" i="6"/>
  <c r="M19" i="6"/>
  <c r="L19" i="6"/>
  <c r="K19" i="6"/>
  <c r="J19" i="6"/>
  <c r="I19" i="6"/>
  <c r="H19" i="6"/>
  <c r="G19" i="6"/>
  <c r="F19" i="6"/>
  <c r="E19" i="6"/>
  <c r="DQ19" i="6" s="1"/>
  <c r="D19" i="6"/>
  <c r="C19" i="6"/>
  <c r="B19" i="6"/>
  <c r="EP18" i="6"/>
  <c r="EO18" i="6"/>
  <c r="ES18" i="6" s="1"/>
  <c r="EN18" i="6"/>
  <c r="EM18" i="6"/>
  <c r="EL18" i="6"/>
  <c r="EI18" i="6"/>
  <c r="DX18" i="6"/>
  <c r="DP18" i="6"/>
  <c r="DM18" i="6"/>
  <c r="DL18" i="6"/>
  <c r="DK18" i="6"/>
  <c r="DJ18" i="6"/>
  <c r="DI18" i="6"/>
  <c r="DH18" i="6"/>
  <c r="EK18" i="6" s="1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DO18" i="6" s="1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ED18" i="6" s="1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EH18" i="6" s="1"/>
  <c r="AX18" i="6"/>
  <c r="EG18" i="6" s="1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DT18" i="6" s="1"/>
  <c r="AJ18" i="6"/>
  <c r="AI18" i="6"/>
  <c r="AH18" i="6"/>
  <c r="DQ18" i="6" s="1"/>
  <c r="AG18" i="6"/>
  <c r="AF18" i="6"/>
  <c r="AE18" i="6"/>
  <c r="AD18" i="6"/>
  <c r="AC18" i="6"/>
  <c r="AB18" i="6"/>
  <c r="AA18" i="6"/>
  <c r="Z18" i="6"/>
  <c r="Y18" i="6"/>
  <c r="X18" i="6"/>
  <c r="EJ18" i="6" s="1"/>
  <c r="W18" i="6"/>
  <c r="V18" i="6"/>
  <c r="U18" i="6"/>
  <c r="T18" i="6"/>
  <c r="EF18" i="6" s="1"/>
  <c r="S18" i="6"/>
  <c r="EE18" i="6" s="1"/>
  <c r="R18" i="6"/>
  <c r="Q18" i="6"/>
  <c r="P18" i="6"/>
  <c r="O18" i="6"/>
  <c r="EA18" i="6" s="1"/>
  <c r="N18" i="6"/>
  <c r="M18" i="6"/>
  <c r="L18" i="6"/>
  <c r="K18" i="6"/>
  <c r="J18" i="6"/>
  <c r="I18" i="6"/>
  <c r="DU18" i="6" s="1"/>
  <c r="H18" i="6"/>
  <c r="G18" i="6"/>
  <c r="DS18" i="6" s="1"/>
  <c r="F18" i="6"/>
  <c r="DR18" i="6" s="1"/>
  <c r="E18" i="6"/>
  <c r="D18" i="6"/>
  <c r="C18" i="6"/>
  <c r="B18" i="6"/>
  <c r="DN18" i="6" s="1"/>
  <c r="EM17" i="6"/>
  <c r="EJ17" i="6"/>
  <c r="EI17" i="6"/>
  <c r="EE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DW17" i="6" s="1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EF17" i="6" s="1"/>
  <c r="AV17" i="6"/>
  <c r="AU17" i="6"/>
  <c r="AT17" i="6"/>
  <c r="AS17" i="6"/>
  <c r="AR17" i="6"/>
  <c r="EA17" i="6" s="1"/>
  <c r="AQ17" i="6"/>
  <c r="DZ17" i="6" s="1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EG17" i="6" s="1"/>
  <c r="T17" i="6"/>
  <c r="S17" i="6"/>
  <c r="R17" i="6"/>
  <c r="Q17" i="6"/>
  <c r="EC17" i="6" s="1"/>
  <c r="P17" i="6"/>
  <c r="O17" i="6"/>
  <c r="N17" i="6"/>
  <c r="M17" i="6"/>
  <c r="DY17" i="6" s="1"/>
  <c r="L17" i="6"/>
  <c r="K17" i="6"/>
  <c r="J17" i="6"/>
  <c r="I17" i="6"/>
  <c r="H17" i="6"/>
  <c r="G17" i="6"/>
  <c r="F17" i="6"/>
  <c r="E17" i="6"/>
  <c r="DQ17" i="6" s="1"/>
  <c r="D17" i="6"/>
  <c r="C17" i="6"/>
  <c r="B17" i="6"/>
  <c r="EP16" i="6"/>
  <c r="ET16" i="6" s="1"/>
  <c r="EL16" i="6"/>
  <c r="EF16" i="6"/>
  <c r="EC16" i="6"/>
  <c r="EB16" i="6"/>
  <c r="DY16" i="6"/>
  <c r="DP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DU16" i="6" s="1"/>
  <c r="BN16" i="6"/>
  <c r="BM16" i="6"/>
  <c r="BL16" i="6"/>
  <c r="BK16" i="6"/>
  <c r="BJ16" i="6"/>
  <c r="BI16" i="6"/>
  <c r="BH16" i="6"/>
  <c r="BG16" i="6"/>
  <c r="BF16" i="6"/>
  <c r="EO16" i="6" s="1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DX16" i="6" s="1"/>
  <c r="AN16" i="6"/>
  <c r="DW16" i="6" s="1"/>
  <c r="AM16" i="6"/>
  <c r="AL16" i="6"/>
  <c r="AK16" i="6"/>
  <c r="DT16" i="6" s="1"/>
  <c r="AJ16" i="6"/>
  <c r="DS16" i="6" s="1"/>
  <c r="AI16" i="6"/>
  <c r="AH16" i="6"/>
  <c r="AG16" i="6"/>
  <c r="AF16" i="6"/>
  <c r="AE16" i="6"/>
  <c r="AD16" i="6"/>
  <c r="AC16" i="6"/>
  <c r="AB16" i="6"/>
  <c r="AA16" i="6"/>
  <c r="Z16" i="6"/>
  <c r="Y16" i="6"/>
  <c r="EK16" i="6" s="1"/>
  <c r="X16" i="6"/>
  <c r="W16" i="6"/>
  <c r="EI16" i="6" s="1"/>
  <c r="V16" i="6"/>
  <c r="U16" i="6"/>
  <c r="T16" i="6"/>
  <c r="S16" i="6"/>
  <c r="EE16" i="6" s="1"/>
  <c r="R16" i="6"/>
  <c r="ED16" i="6" s="1"/>
  <c r="Q16" i="6"/>
  <c r="P16" i="6"/>
  <c r="O16" i="6"/>
  <c r="N16" i="6"/>
  <c r="DZ16" i="6" s="1"/>
  <c r="M16" i="6"/>
  <c r="L16" i="6"/>
  <c r="K16" i="6"/>
  <c r="J16" i="6"/>
  <c r="DV16" i="6" s="1"/>
  <c r="I16" i="6"/>
  <c r="H16" i="6"/>
  <c r="G16" i="6"/>
  <c r="F16" i="6"/>
  <c r="E16" i="6"/>
  <c r="D16" i="6"/>
  <c r="C16" i="6"/>
  <c r="DO16" i="6" s="1"/>
  <c r="B16" i="6"/>
  <c r="EO15" i="6"/>
  <c r="EN15" i="6"/>
  <c r="EM15" i="6"/>
  <c r="EJ15" i="6"/>
  <c r="DR15" i="6"/>
  <c r="DN15" i="6"/>
  <c r="DM15" i="6"/>
  <c r="DL15" i="6"/>
  <c r="DK15" i="6"/>
  <c r="DJ15" i="6"/>
  <c r="DI15" i="6"/>
  <c r="EL15" i="6" s="1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DP15" i="6" s="1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EC15" i="6" s="1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EI15" i="6" s="1"/>
  <c r="AY15" i="6"/>
  <c r="EH15" i="6" s="1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EK15" i="6" s="1"/>
  <c r="X15" i="6"/>
  <c r="W15" i="6"/>
  <c r="V15" i="6"/>
  <c r="U15" i="6"/>
  <c r="T15" i="6"/>
  <c r="S15" i="6"/>
  <c r="EE15" i="6" s="1"/>
  <c r="R15" i="6"/>
  <c r="Q15" i="6"/>
  <c r="P15" i="6"/>
  <c r="O15" i="6"/>
  <c r="N15" i="6"/>
  <c r="M15" i="6"/>
  <c r="L15" i="6"/>
  <c r="K15" i="6"/>
  <c r="J15" i="6"/>
  <c r="DV15" i="6" s="1"/>
  <c r="I15" i="6"/>
  <c r="DU15" i="6" s="1"/>
  <c r="H15" i="6"/>
  <c r="G15" i="6"/>
  <c r="G22" i="6" s="1"/>
  <c r="F15" i="6"/>
  <c r="E15" i="6"/>
  <c r="D15" i="6"/>
  <c r="C15" i="6"/>
  <c r="DO15" i="6" s="1"/>
  <c r="B15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DX14" i="6" s="1"/>
  <c r="BQ14" i="6"/>
  <c r="BP14" i="6"/>
  <c r="DV14" i="6" s="1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EG14" i="6" s="1"/>
  <c r="AW14" i="6"/>
  <c r="EF14" i="6" s="1"/>
  <c r="AV14" i="6"/>
  <c r="EE14" i="6" s="1"/>
  <c r="AU14" i="6"/>
  <c r="AT14" i="6"/>
  <c r="EC14" i="6" s="1"/>
  <c r="AS14" i="6"/>
  <c r="EB14" i="6" s="1"/>
  <c r="AR14" i="6"/>
  <c r="EA14" i="6" s="1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EO14" i="6" s="1"/>
  <c r="AB14" i="6"/>
  <c r="AA14" i="6"/>
  <c r="Z14" i="6"/>
  <c r="Y14" i="6"/>
  <c r="EK14" i="6" s="1"/>
  <c r="X14" i="6"/>
  <c r="W14" i="6"/>
  <c r="V14" i="6"/>
  <c r="EH14" i="6" s="1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DS14" i="6" s="1"/>
  <c r="F14" i="6"/>
  <c r="E14" i="6"/>
  <c r="D14" i="6"/>
  <c r="C14" i="6"/>
  <c r="DO14" i="6" s="1"/>
  <c r="B14" i="6"/>
  <c r="EM13" i="6"/>
  <c r="EC13" i="6"/>
  <c r="DW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DX13" i="6" s="1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EK13" i="6" s="1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DO13" i="6" s="1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DZ13" i="6" s="1"/>
  <c r="AP13" i="6"/>
  <c r="AO13" i="6"/>
  <c r="AN13" i="6"/>
  <c r="AM13" i="6"/>
  <c r="DV13" i="6" s="1"/>
  <c r="AL13" i="6"/>
  <c r="DU13" i="6" s="1"/>
  <c r="AK13" i="6"/>
  <c r="AJ13" i="6"/>
  <c r="AI13" i="6"/>
  <c r="AH13" i="6"/>
  <c r="AG13" i="6"/>
  <c r="AF13" i="6"/>
  <c r="AE13" i="6"/>
  <c r="AD13" i="6"/>
  <c r="AC13" i="6"/>
  <c r="AB13" i="6"/>
  <c r="EN13" i="6" s="1"/>
  <c r="AA13" i="6"/>
  <c r="Z13" i="6"/>
  <c r="Y13" i="6"/>
  <c r="X13" i="6"/>
  <c r="EJ13" i="6" s="1"/>
  <c r="W13" i="6"/>
  <c r="V13" i="6"/>
  <c r="EH13" i="6" s="1"/>
  <c r="U13" i="6"/>
  <c r="T13" i="6"/>
  <c r="S13" i="6"/>
  <c r="R13" i="6"/>
  <c r="Q13" i="6"/>
  <c r="P13" i="6"/>
  <c r="EB13" i="6" s="1"/>
  <c r="O13" i="6"/>
  <c r="EA13" i="6" s="1"/>
  <c r="N13" i="6"/>
  <c r="M13" i="6"/>
  <c r="L13" i="6"/>
  <c r="K13" i="6"/>
  <c r="J13" i="6"/>
  <c r="I13" i="6"/>
  <c r="H13" i="6"/>
  <c r="G13" i="6"/>
  <c r="F13" i="6"/>
  <c r="DR13" i="6" s="1"/>
  <c r="E13" i="6"/>
  <c r="DQ13" i="6" s="1"/>
  <c r="D13" i="6"/>
  <c r="C13" i="6"/>
  <c r="B13" i="6"/>
  <c r="DN13" i="6" s="1"/>
  <c r="EO12" i="6"/>
  <c r="ES12" i="6" s="1"/>
  <c r="DS12" i="6"/>
  <c r="DR12" i="6"/>
  <c r="DO12" i="6"/>
  <c r="DN12" i="6"/>
  <c r="DM12" i="6"/>
  <c r="DL12" i="6"/>
  <c r="DK12" i="6"/>
  <c r="DJ12" i="6"/>
  <c r="EM12" i="6" s="1"/>
  <c r="DI12" i="6"/>
  <c r="DH12" i="6"/>
  <c r="DG12" i="6"/>
  <c r="DF12" i="6"/>
  <c r="DE12" i="6"/>
  <c r="DD12" i="6"/>
  <c r="DC12" i="6"/>
  <c r="DB12" i="6"/>
  <c r="DA12" i="6"/>
  <c r="CZ12" i="6"/>
  <c r="CY12" i="6"/>
  <c r="CX12" i="6"/>
  <c r="CW12" i="6"/>
  <c r="DZ12" i="6" s="1"/>
  <c r="CV12" i="6"/>
  <c r="CU12" i="6"/>
  <c r="CT12" i="6"/>
  <c r="CS12" i="6"/>
  <c r="CR12" i="6"/>
  <c r="DU12" i="6" s="1"/>
  <c r="CQ12" i="6"/>
  <c r="CP12" i="6"/>
  <c r="CO12" i="6"/>
  <c r="CN12" i="6"/>
  <c r="DQ12" i="6" s="1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ED12" i="6" s="1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EN12" i="6" s="1"/>
  <c r="BD12" i="6"/>
  <c r="BC12" i="6"/>
  <c r="BB12" i="6"/>
  <c r="EK12" i="6" s="1"/>
  <c r="BA12" i="6"/>
  <c r="EJ12" i="6" s="1"/>
  <c r="AZ12" i="6"/>
  <c r="EI12" i="6" s="1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EP12" i="6" s="1"/>
  <c r="AC12" i="6"/>
  <c r="AB12" i="6"/>
  <c r="AA12" i="6"/>
  <c r="Z12" i="6"/>
  <c r="EL12" i="6" s="1"/>
  <c r="Y12" i="6"/>
  <c r="X12" i="6"/>
  <c r="W12" i="6"/>
  <c r="V12" i="6"/>
  <c r="EH12" i="6" s="1"/>
  <c r="U12" i="6"/>
  <c r="EG12" i="6" s="1"/>
  <c r="T12" i="6"/>
  <c r="EF12" i="6" s="1"/>
  <c r="S12" i="6"/>
  <c r="R12" i="6"/>
  <c r="Q12" i="6"/>
  <c r="P12" i="6"/>
  <c r="O12" i="6"/>
  <c r="EA12" i="6" s="1"/>
  <c r="N12" i="6"/>
  <c r="M12" i="6"/>
  <c r="L12" i="6"/>
  <c r="K12" i="6"/>
  <c r="J12" i="6"/>
  <c r="DV12" i="6" s="1"/>
  <c r="I12" i="6"/>
  <c r="H12" i="6"/>
  <c r="DT12" i="6" s="1"/>
  <c r="G12" i="6"/>
  <c r="F12" i="6"/>
  <c r="E12" i="6"/>
  <c r="D12" i="6"/>
  <c r="DP12" i="6" s="1"/>
  <c r="C12" i="6"/>
  <c r="B12" i="6"/>
  <c r="EL11" i="6"/>
  <c r="EF11" i="6"/>
  <c r="DL11" i="6"/>
  <c r="DK11" i="6"/>
  <c r="DJ11" i="6"/>
  <c r="DI11" i="6"/>
  <c r="DH11" i="6"/>
  <c r="DG11" i="6"/>
  <c r="DF11" i="6"/>
  <c r="DE11" i="6"/>
  <c r="DD11" i="6"/>
  <c r="DC11" i="6"/>
  <c r="DB11" i="6"/>
  <c r="DA11" i="6"/>
  <c r="CZ11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DY11" i="6" s="1"/>
  <c r="BR11" i="6"/>
  <c r="BQ11" i="6"/>
  <c r="BP11" i="6"/>
  <c r="BO11" i="6"/>
  <c r="BN11" i="6"/>
  <c r="BM11" i="6"/>
  <c r="BL11" i="6"/>
  <c r="BK11" i="6"/>
  <c r="BJ11" i="6"/>
  <c r="BI11" i="6"/>
  <c r="BH11" i="6"/>
  <c r="BG11" i="6"/>
  <c r="ET11" i="6" s="1"/>
  <c r="BF11" i="6"/>
  <c r="ES11" i="6" s="1"/>
  <c r="BE11" i="6"/>
  <c r="BD11" i="6"/>
  <c r="BC11" i="6"/>
  <c r="BB11" i="6"/>
  <c r="BA11" i="6"/>
  <c r="AZ11" i="6"/>
  <c r="AY11" i="6"/>
  <c r="AX11" i="6"/>
  <c r="EG11" i="6" s="1"/>
  <c r="AW11" i="6"/>
  <c r="AV11" i="6"/>
  <c r="EE11" i="6" s="1"/>
  <c r="AU11" i="6"/>
  <c r="AT11" i="6"/>
  <c r="EC11" i="6" s="1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EP11" i="6" s="1"/>
  <c r="AC11" i="6"/>
  <c r="EO11" i="6" s="1"/>
  <c r="AB11" i="6"/>
  <c r="EN11" i="6" s="1"/>
  <c r="AA11" i="6"/>
  <c r="Z11" i="6"/>
  <c r="Y11" i="6"/>
  <c r="EK11" i="6" s="1"/>
  <c r="X11" i="6"/>
  <c r="EJ11" i="6" s="1"/>
  <c r="W11" i="6"/>
  <c r="EI11" i="6" s="1"/>
  <c r="V11" i="6"/>
  <c r="U11" i="6"/>
  <c r="T11" i="6"/>
  <c r="S11" i="6"/>
  <c r="R11" i="6"/>
  <c r="ED11" i="6" s="1"/>
  <c r="Q11" i="6"/>
  <c r="P11" i="6"/>
  <c r="O11" i="6"/>
  <c r="N11" i="6"/>
  <c r="DZ11" i="6" s="1"/>
  <c r="M11" i="6"/>
  <c r="L11" i="6"/>
  <c r="K11" i="6"/>
  <c r="J11" i="6"/>
  <c r="I11" i="6"/>
  <c r="DU11" i="6" s="1"/>
  <c r="H11" i="6"/>
  <c r="G11" i="6"/>
  <c r="DS11" i="6" s="1"/>
  <c r="F11" i="6"/>
  <c r="DR11" i="6" s="1"/>
  <c r="E11" i="6"/>
  <c r="D11" i="6"/>
  <c r="DP11" i="6" s="1"/>
  <c r="C11" i="6"/>
  <c r="DO11" i="6" s="1"/>
  <c r="B11" i="6"/>
  <c r="DN11" i="6" s="1"/>
  <c r="DZ10" i="6"/>
  <c r="DY10" i="6"/>
  <c r="DV10" i="6"/>
  <c r="DQ10" i="6"/>
  <c r="DL10" i="6"/>
  <c r="DK10" i="6"/>
  <c r="DJ10" i="6"/>
  <c r="EM10" i="6" s="1"/>
  <c r="DI10" i="6"/>
  <c r="DH10" i="6"/>
  <c r="DG10" i="6"/>
  <c r="DF10" i="6"/>
  <c r="DE10" i="6"/>
  <c r="DD10" i="6"/>
  <c r="EG10" i="6" s="1"/>
  <c r="DC10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DU10" i="6" s="1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EK10" i="6" s="1"/>
  <c r="BA10" i="6"/>
  <c r="AZ10" i="6"/>
  <c r="AY10" i="6"/>
  <c r="AX10" i="6"/>
  <c r="AW10" i="6"/>
  <c r="AV10" i="6"/>
  <c r="AU10" i="6"/>
  <c r="AT10" i="6"/>
  <c r="AS10" i="6"/>
  <c r="EB10" i="6" s="1"/>
  <c r="AR10" i="6"/>
  <c r="AQ10" i="6"/>
  <c r="AP10" i="6"/>
  <c r="AO10" i="6"/>
  <c r="AN10" i="6"/>
  <c r="DW10" i="6" s="1"/>
  <c r="AM10" i="6"/>
  <c r="AL10" i="6"/>
  <c r="AK10" i="6"/>
  <c r="AJ10" i="6"/>
  <c r="AI10" i="6"/>
  <c r="AH10" i="6"/>
  <c r="AG10" i="6"/>
  <c r="AF10" i="6"/>
  <c r="DO10" i="6" s="1"/>
  <c r="AE10" i="6"/>
  <c r="AD10" i="6"/>
  <c r="EP10" i="6" s="1"/>
  <c r="AC10" i="6"/>
  <c r="EO10" i="6" s="1"/>
  <c r="ES10" i="6" s="1"/>
  <c r="AB10" i="6"/>
  <c r="EN10" i="6" s="1"/>
  <c r="AA10" i="6"/>
  <c r="Z10" i="6"/>
  <c r="EL10" i="6" s="1"/>
  <c r="Y10" i="6"/>
  <c r="X10" i="6"/>
  <c r="W10" i="6"/>
  <c r="EI10" i="6" s="1"/>
  <c r="V10" i="6"/>
  <c r="EH10" i="6" s="1"/>
  <c r="U10" i="6"/>
  <c r="T10" i="6"/>
  <c r="EF10" i="6" s="1"/>
  <c r="S10" i="6"/>
  <c r="R10" i="6"/>
  <c r="ED10" i="6" s="1"/>
  <c r="Q10" i="6"/>
  <c r="EC10" i="6" s="1"/>
  <c r="P10" i="6"/>
  <c r="O10" i="6"/>
  <c r="EA10" i="6" s="1"/>
  <c r="N10" i="6"/>
  <c r="M10" i="6"/>
  <c r="L10" i="6"/>
  <c r="K10" i="6"/>
  <c r="J10" i="6"/>
  <c r="I10" i="6"/>
  <c r="H10" i="6"/>
  <c r="DT10" i="6" s="1"/>
  <c r="G10" i="6"/>
  <c r="DS10" i="6" s="1"/>
  <c r="F10" i="6"/>
  <c r="DR10" i="6" s="1"/>
  <c r="E10" i="6"/>
  <c r="D10" i="6"/>
  <c r="DP10" i="6" s="1"/>
  <c r="C10" i="6"/>
  <c r="B10" i="6"/>
  <c r="DY9" i="6"/>
  <c r="DQ9" i="6"/>
  <c r="DP9" i="6"/>
  <c r="DO9" i="6"/>
  <c r="DM9" i="6"/>
  <c r="DL9" i="6"/>
  <c r="DK9" i="6"/>
  <c r="DJ9" i="6"/>
  <c r="DI9" i="6"/>
  <c r="DH9" i="6"/>
  <c r="DG9" i="6"/>
  <c r="DF9" i="6"/>
  <c r="DE9" i="6"/>
  <c r="DD9" i="6"/>
  <c r="DC9" i="6"/>
  <c r="DB9" i="6"/>
  <c r="DA9" i="6"/>
  <c r="CZ9" i="6"/>
  <c r="CY9" i="6"/>
  <c r="CX9" i="6"/>
  <c r="CW9" i="6"/>
  <c r="CV9" i="6"/>
  <c r="CU9" i="6"/>
  <c r="CT9" i="6"/>
  <c r="CS9" i="6"/>
  <c r="CR9" i="6"/>
  <c r="CQ9" i="6"/>
  <c r="CP9" i="6"/>
  <c r="CO9" i="6"/>
  <c r="CN9" i="6"/>
  <c r="CM9" i="6"/>
  <c r="CL9" i="6"/>
  <c r="CK9" i="6"/>
  <c r="CJ9" i="6"/>
  <c r="CI9" i="6"/>
  <c r="CH9" i="6"/>
  <c r="CG9" i="6"/>
  <c r="CF9" i="6"/>
  <c r="CE9" i="6"/>
  <c r="CD9" i="6"/>
  <c r="CC9" i="6"/>
  <c r="CB9" i="6"/>
  <c r="CA9" i="6"/>
  <c r="BZ9" i="6"/>
  <c r="BY9" i="6"/>
  <c r="EE9" i="6" s="1"/>
  <c r="BX9" i="6"/>
  <c r="BW9" i="6"/>
  <c r="EC9" i="6" s="1"/>
  <c r="BV9" i="6"/>
  <c r="BU9" i="6"/>
  <c r="BT9" i="6"/>
  <c r="BS9" i="6"/>
  <c r="BR9" i="6"/>
  <c r="BQ9" i="6"/>
  <c r="BP9" i="6"/>
  <c r="BO9" i="6"/>
  <c r="BN9" i="6"/>
  <c r="BM9" i="6"/>
  <c r="BL9" i="6"/>
  <c r="BK9" i="6"/>
  <c r="BJ9" i="6"/>
  <c r="BI9" i="6"/>
  <c r="BH9" i="6"/>
  <c r="BG9" i="6"/>
  <c r="BF9" i="6"/>
  <c r="BE9" i="6"/>
  <c r="EN9" i="6" s="1"/>
  <c r="BD9" i="6"/>
  <c r="EM9" i="6" s="1"/>
  <c r="BC9" i="6"/>
  <c r="EL9" i="6" s="1"/>
  <c r="BB9" i="6"/>
  <c r="BA9" i="6"/>
  <c r="EJ9" i="6" s="1"/>
  <c r="AZ9" i="6"/>
  <c r="EI9" i="6" s="1"/>
  <c r="AY9" i="6"/>
  <c r="EH9" i="6" s="1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DR9" i="6" s="1"/>
  <c r="AH9" i="6"/>
  <c r="AG9" i="6"/>
  <c r="AF9" i="6"/>
  <c r="AE9" i="6"/>
  <c r="DN9" i="6" s="1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DU9" i="6" s="1"/>
  <c r="H9" i="6"/>
  <c r="G9" i="6"/>
  <c r="DS9" i="6" s="1"/>
  <c r="F9" i="6"/>
  <c r="E9" i="6"/>
  <c r="D9" i="6"/>
  <c r="C9" i="6"/>
  <c r="B9" i="6"/>
  <c r="EG8" i="6"/>
  <c r="ED8" i="6"/>
  <c r="DX8" i="6"/>
  <c r="DM8" i="6"/>
  <c r="DL8" i="6"/>
  <c r="DK8" i="6"/>
  <c r="DJ8" i="6"/>
  <c r="DI8" i="6"/>
  <c r="DH8" i="6"/>
  <c r="EK8" i="6" s="1"/>
  <c r="DG8" i="6"/>
  <c r="DF8" i="6"/>
  <c r="DE8" i="6"/>
  <c r="DD8" i="6"/>
  <c r="DC8" i="6"/>
  <c r="DB8" i="6"/>
  <c r="DA8" i="6"/>
  <c r="CZ8" i="6"/>
  <c r="CY8" i="6"/>
  <c r="CX8" i="6"/>
  <c r="CW8" i="6"/>
  <c r="CV8" i="6"/>
  <c r="CU8" i="6"/>
  <c r="CT8" i="6"/>
  <c r="CS8" i="6"/>
  <c r="CR8" i="6"/>
  <c r="CQ8" i="6"/>
  <c r="CP8" i="6"/>
  <c r="CO8" i="6"/>
  <c r="CN8" i="6"/>
  <c r="CM8" i="6"/>
  <c r="CL8" i="6"/>
  <c r="DO8" i="6" s="1"/>
  <c r="CK8" i="6"/>
  <c r="CJ8" i="6"/>
  <c r="CI8" i="6"/>
  <c r="CH8" i="6"/>
  <c r="CG8" i="6"/>
  <c r="CF8" i="6"/>
  <c r="CE8" i="6"/>
  <c r="CD8" i="6"/>
  <c r="CC8" i="6"/>
  <c r="CB8" i="6"/>
  <c r="CA8" i="6"/>
  <c r="BZ8" i="6"/>
  <c r="EF8" i="6" s="1"/>
  <c r="BY8" i="6"/>
  <c r="BX8" i="6"/>
  <c r="BW8" i="6"/>
  <c r="BV8" i="6"/>
  <c r="BU8" i="6"/>
  <c r="BT8" i="6"/>
  <c r="BS8" i="6"/>
  <c r="BR8" i="6"/>
  <c r="BQ8" i="6"/>
  <c r="BP8" i="6"/>
  <c r="DV8" i="6" s="1"/>
  <c r="BO8" i="6"/>
  <c r="BO22" i="6" s="1"/>
  <c r="BN8" i="6"/>
  <c r="BM8" i="6"/>
  <c r="BL8" i="6"/>
  <c r="BK8" i="6"/>
  <c r="BJ8" i="6"/>
  <c r="BI8" i="6"/>
  <c r="BH8" i="6"/>
  <c r="BG8" i="6"/>
  <c r="BF8" i="6"/>
  <c r="BE8" i="6"/>
  <c r="BD8" i="6"/>
  <c r="BD22" i="6" s="1"/>
  <c r="BC8" i="6"/>
  <c r="BB8" i="6"/>
  <c r="BA8" i="6"/>
  <c r="AZ8" i="6"/>
  <c r="AY8" i="6"/>
  <c r="AX8" i="6"/>
  <c r="AW8" i="6"/>
  <c r="AV8" i="6"/>
  <c r="AU8" i="6"/>
  <c r="AT8" i="6"/>
  <c r="AS8" i="6"/>
  <c r="EB8" i="6" s="1"/>
  <c r="AR8" i="6"/>
  <c r="AQ8" i="6"/>
  <c r="AP8" i="6"/>
  <c r="AO8" i="6"/>
  <c r="AN8" i="6"/>
  <c r="AM8" i="6"/>
  <c r="AL8" i="6"/>
  <c r="AL41" i="6" s="1"/>
  <c r="AK8" i="6"/>
  <c r="AJ8" i="6"/>
  <c r="AI8" i="6"/>
  <c r="AH8" i="6"/>
  <c r="AH41" i="6" s="1"/>
  <c r="AG8" i="6"/>
  <c r="AF8" i="6"/>
  <c r="AE8" i="6"/>
  <c r="AD8" i="6"/>
  <c r="EP8" i="6" s="1"/>
  <c r="AC8" i="6"/>
  <c r="AB8" i="6"/>
  <c r="EN8" i="6" s="1"/>
  <c r="AA8" i="6"/>
  <c r="Z8" i="6"/>
  <c r="EL8" i="6" s="1"/>
  <c r="Y8" i="6"/>
  <c r="X8" i="6"/>
  <c r="W8" i="6"/>
  <c r="EI8" i="6" s="1"/>
  <c r="V8" i="6"/>
  <c r="EH8" i="6" s="1"/>
  <c r="U8" i="6"/>
  <c r="T8" i="6"/>
  <c r="S8" i="6"/>
  <c r="R8" i="6"/>
  <c r="Q8" i="6"/>
  <c r="P8" i="6"/>
  <c r="O8" i="6"/>
  <c r="N8" i="6"/>
  <c r="M8" i="6"/>
  <c r="L8" i="6"/>
  <c r="K8" i="6"/>
  <c r="DW8" i="6" s="1"/>
  <c r="J8" i="6"/>
  <c r="I8" i="6"/>
  <c r="H8" i="6"/>
  <c r="DT8" i="6" s="1"/>
  <c r="G8" i="6"/>
  <c r="F8" i="6"/>
  <c r="DR8" i="6" s="1"/>
  <c r="E8" i="6"/>
  <c r="D8" i="6"/>
  <c r="DP8" i="6" s="1"/>
  <c r="C8" i="6"/>
  <c r="B8" i="6"/>
  <c r="ET7" i="6"/>
  <c r="EQ7" i="6"/>
  <c r="EP7" i="6"/>
  <c r="EE7" i="6"/>
  <c r="ED7" i="6"/>
  <c r="DZ7" i="6"/>
  <c r="DX7" i="6"/>
  <c r="DW7" i="6"/>
  <c r="DV7" i="6"/>
  <c r="DR7" i="6"/>
  <c r="DM7" i="6"/>
  <c r="DL7" i="6"/>
  <c r="DK7" i="6"/>
  <c r="DJ7" i="6"/>
  <c r="DI7" i="6"/>
  <c r="DH7" i="6"/>
  <c r="DG7" i="6"/>
  <c r="DF7" i="6"/>
  <c r="DE7" i="6"/>
  <c r="DD7" i="6"/>
  <c r="DC7" i="6"/>
  <c r="DB7" i="6"/>
  <c r="DB22" i="6" s="1"/>
  <c r="DA7" i="6"/>
  <c r="CZ7" i="6"/>
  <c r="CY7" i="6"/>
  <c r="CX7" i="6"/>
  <c r="CW7" i="6"/>
  <c r="CV7" i="6"/>
  <c r="CV22" i="6" s="1"/>
  <c r="CU7" i="6"/>
  <c r="CU22" i="6" s="1"/>
  <c r="CT7" i="6"/>
  <c r="CS7" i="6"/>
  <c r="CR7" i="6"/>
  <c r="CQ7" i="6"/>
  <c r="CQ22" i="6" s="1"/>
  <c r="CP7" i="6"/>
  <c r="CP22" i="6" s="1"/>
  <c r="CO7" i="6"/>
  <c r="CN7" i="6"/>
  <c r="CM7" i="6"/>
  <c r="CL7" i="6"/>
  <c r="CK7" i="6"/>
  <c r="CJ7" i="6"/>
  <c r="CI7" i="6"/>
  <c r="CH7" i="6"/>
  <c r="CG7" i="6"/>
  <c r="CF7" i="6"/>
  <c r="CF22" i="6" s="1"/>
  <c r="CE7" i="6"/>
  <c r="CD7" i="6"/>
  <c r="CC7" i="6"/>
  <c r="CB7" i="6"/>
  <c r="CA7" i="6"/>
  <c r="CA22" i="6" s="1"/>
  <c r="BZ7" i="6"/>
  <c r="BZ22" i="6" s="1"/>
  <c r="BY7" i="6"/>
  <c r="BX7" i="6"/>
  <c r="BW7" i="6"/>
  <c r="BV7" i="6"/>
  <c r="BU7" i="6"/>
  <c r="BT7" i="6"/>
  <c r="BT22" i="6" s="1"/>
  <c r="BS7" i="6"/>
  <c r="BR7" i="6"/>
  <c r="BQ7" i="6"/>
  <c r="BP7" i="6"/>
  <c r="BO7" i="6"/>
  <c r="BN7" i="6"/>
  <c r="BM7" i="6"/>
  <c r="BL7" i="6"/>
  <c r="BK7" i="6"/>
  <c r="BJ7" i="6"/>
  <c r="BI7" i="6"/>
  <c r="BH7" i="6"/>
  <c r="BF7" i="6"/>
  <c r="BE7" i="6"/>
  <c r="BD7" i="6"/>
  <c r="BC7" i="6"/>
  <c r="AD7" i="6"/>
  <c r="AC7" i="6"/>
  <c r="AC22" i="6" s="1"/>
  <c r="AB7" i="6"/>
  <c r="AB22" i="6" s="1"/>
  <c r="AA7" i="6"/>
  <c r="EM7" i="6" s="1"/>
  <c r="Z7" i="6"/>
  <c r="Y7" i="6"/>
  <c r="X7" i="6"/>
  <c r="W7" i="6"/>
  <c r="V7" i="6"/>
  <c r="U7" i="6"/>
  <c r="T7" i="6"/>
  <c r="S7" i="6"/>
  <c r="R7" i="6"/>
  <c r="Q7" i="6"/>
  <c r="EC7" i="6" s="1"/>
  <c r="P7" i="6"/>
  <c r="EB7" i="6" s="1"/>
  <c r="O7" i="6"/>
  <c r="N7" i="6"/>
  <c r="M7" i="6"/>
  <c r="L7" i="6"/>
  <c r="K7" i="6"/>
  <c r="J7" i="6"/>
  <c r="J22" i="6" s="1"/>
  <c r="I7" i="6"/>
  <c r="H7" i="6"/>
  <c r="G7" i="6"/>
  <c r="DS7" i="6" s="1"/>
  <c r="F7" i="6"/>
  <c r="E7" i="6"/>
  <c r="DQ7" i="6" s="1"/>
  <c r="D7" i="6"/>
  <c r="C7" i="6"/>
  <c r="DO7" i="6" s="1"/>
  <c r="B7" i="6"/>
  <c r="DN7" i="6" s="1"/>
  <c r="EP6" i="6"/>
  <c r="ET6" i="6" s="1"/>
  <c r="EH6" i="6"/>
  <c r="DT6" i="6"/>
  <c r="DP6" i="6"/>
  <c r="DL6" i="6"/>
  <c r="DK6" i="6"/>
  <c r="DJ6" i="6"/>
  <c r="DI6" i="6"/>
  <c r="DH6" i="6"/>
  <c r="DG6" i="6"/>
  <c r="DF6" i="6"/>
  <c r="DE6" i="6"/>
  <c r="DD6" i="6"/>
  <c r="DC6" i="6"/>
  <c r="DB6" i="6"/>
  <c r="DA6" i="6"/>
  <c r="CZ6" i="6"/>
  <c r="CY6" i="6"/>
  <c r="CX6" i="6"/>
  <c r="CW6" i="6"/>
  <c r="CV6" i="6"/>
  <c r="CU6" i="6"/>
  <c r="DX6" i="6" s="1"/>
  <c r="CT6" i="6"/>
  <c r="CS6" i="6"/>
  <c r="CR6" i="6"/>
  <c r="CQ6" i="6"/>
  <c r="CP6" i="6"/>
  <c r="CO6" i="6"/>
  <c r="DR6" i="6" s="1"/>
  <c r="CN6" i="6"/>
  <c r="CM6" i="6"/>
  <c r="CL6" i="6"/>
  <c r="CK6" i="6"/>
  <c r="CJ6" i="6"/>
  <c r="CI6" i="6"/>
  <c r="CH6" i="6"/>
  <c r="CG6" i="6"/>
  <c r="CF6" i="6"/>
  <c r="CE6" i="6"/>
  <c r="CD6" i="6"/>
  <c r="CC6" i="6"/>
  <c r="CB6" i="6"/>
  <c r="CA6" i="6"/>
  <c r="EG6" i="6" s="1"/>
  <c r="BZ6" i="6"/>
  <c r="BY6" i="6"/>
  <c r="BX6" i="6"/>
  <c r="ED6" i="6" s="1"/>
  <c r="BW6" i="6"/>
  <c r="BV6" i="6"/>
  <c r="EB6" i="6" s="1"/>
  <c r="BU6" i="6"/>
  <c r="BT6" i="6"/>
  <c r="DZ6" i="6" s="1"/>
  <c r="BS6" i="6"/>
  <c r="BR6" i="6"/>
  <c r="BQ6" i="6"/>
  <c r="BP6" i="6"/>
  <c r="BO6" i="6"/>
  <c r="BN6" i="6"/>
  <c r="BM6" i="6"/>
  <c r="BL6" i="6"/>
  <c r="BK6" i="6"/>
  <c r="BJ6" i="6"/>
  <c r="BI6" i="6"/>
  <c r="BH6" i="6"/>
  <c r="BF6" i="6"/>
  <c r="BE6" i="6"/>
  <c r="BD6" i="6"/>
  <c r="BC6" i="6"/>
  <c r="AC6" i="6"/>
  <c r="AB6" i="6"/>
  <c r="AA6" i="6"/>
  <c r="Z6" i="6"/>
  <c r="EL6" i="6" s="1"/>
  <c r="Y6" i="6"/>
  <c r="EK6" i="6" s="1"/>
  <c r="X6" i="6"/>
  <c r="EJ6" i="6" s="1"/>
  <c r="W6" i="6"/>
  <c r="EI6" i="6" s="1"/>
  <c r="V6" i="6"/>
  <c r="U6" i="6"/>
  <c r="T6" i="6"/>
  <c r="EF6" i="6" s="1"/>
  <c r="S6" i="6"/>
  <c r="R6" i="6"/>
  <c r="Q6" i="6"/>
  <c r="P6" i="6"/>
  <c r="O6" i="6"/>
  <c r="N6" i="6"/>
  <c r="M6" i="6"/>
  <c r="L6" i="6"/>
  <c r="K6" i="6"/>
  <c r="J6" i="6"/>
  <c r="I6" i="6"/>
  <c r="DU6" i="6" s="1"/>
  <c r="H6" i="6"/>
  <c r="G6" i="6"/>
  <c r="F6" i="6"/>
  <c r="E6" i="6"/>
  <c r="DQ6" i="6" s="1"/>
  <c r="D6" i="6"/>
  <c r="C6" i="6"/>
  <c r="DO6" i="6" s="1"/>
  <c r="B6" i="6"/>
  <c r="DN6" i="6" s="1"/>
  <c r="EH5" i="6"/>
  <c r="EE5" i="6"/>
  <c r="DY5" i="6"/>
  <c r="DX5" i="6"/>
  <c r="DR5" i="6"/>
  <c r="DM5" i="6"/>
  <c r="DM41" i="6" s="1"/>
  <c r="DL5" i="6"/>
  <c r="DK5" i="6"/>
  <c r="DJ5" i="6"/>
  <c r="DI5" i="6"/>
  <c r="DH5" i="6"/>
  <c r="DG5" i="6"/>
  <c r="DF5" i="6"/>
  <c r="DE5" i="6"/>
  <c r="DD5" i="6"/>
  <c r="DC5" i="6"/>
  <c r="DB5" i="6"/>
  <c r="DA5" i="6"/>
  <c r="ED5" i="6" s="1"/>
  <c r="CZ5" i="6"/>
  <c r="CY5" i="6"/>
  <c r="CX5" i="6"/>
  <c r="CW5" i="6"/>
  <c r="CV5" i="6"/>
  <c r="CV41" i="6" s="1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EN5" i="6" s="1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DZ5" i="6" s="1"/>
  <c r="BS5" i="6"/>
  <c r="BR5" i="6"/>
  <c r="BQ5" i="6"/>
  <c r="DW5" i="6" s="1"/>
  <c r="BP5" i="6"/>
  <c r="BO5" i="6"/>
  <c r="DU5" i="6" s="1"/>
  <c r="BN5" i="6"/>
  <c r="BM5" i="6"/>
  <c r="BL5" i="6"/>
  <c r="BK5" i="6"/>
  <c r="BJ5" i="6"/>
  <c r="BI5" i="6"/>
  <c r="BH5" i="6"/>
  <c r="BG5" i="6"/>
  <c r="BF5" i="6"/>
  <c r="BE5" i="6"/>
  <c r="BD5" i="6"/>
  <c r="BC5" i="6"/>
  <c r="AD5" i="6"/>
  <c r="AC5" i="6"/>
  <c r="AB5" i="6"/>
  <c r="AA5" i="6"/>
  <c r="EM5" i="6" s="1"/>
  <c r="Z5" i="6"/>
  <c r="Y5" i="6"/>
  <c r="X5" i="6"/>
  <c r="W5" i="6"/>
  <c r="V5" i="6"/>
  <c r="U5" i="6"/>
  <c r="T5" i="6"/>
  <c r="S5" i="6"/>
  <c r="R5" i="6"/>
  <c r="Q5" i="6"/>
  <c r="P5" i="6"/>
  <c r="O5" i="6"/>
  <c r="EA5" i="6" s="1"/>
  <c r="N5" i="6"/>
  <c r="M5" i="6"/>
  <c r="L5" i="6"/>
  <c r="K5" i="6"/>
  <c r="J5" i="6"/>
  <c r="DV5" i="6" s="1"/>
  <c r="I5" i="6"/>
  <c r="H5" i="6"/>
  <c r="G5" i="6"/>
  <c r="F5" i="6"/>
  <c r="E5" i="6"/>
  <c r="D5" i="6"/>
  <c r="C5" i="6"/>
  <c r="B5" i="6"/>
  <c r="EN4" i="6"/>
  <c r="EM4" i="6"/>
  <c r="EL4" i="6"/>
  <c r="EK4" i="6"/>
  <c r="EJ4" i="6"/>
  <c r="DY4" i="6"/>
  <c r="DR4" i="6"/>
  <c r="DQ4" i="6"/>
  <c r="DP4" i="6"/>
  <c r="DO4" i="6"/>
  <c r="DN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DX4" i="6" s="1"/>
  <c r="CT4" i="6"/>
  <c r="DW4" i="6" s="1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DZ4" i="6" s="1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ET3" i="6"/>
  <c r="ES3" i="6"/>
  <c r="F466" i="5"/>
  <c r="Q466" i="5" s="1"/>
  <c r="C466" i="5"/>
  <c r="B466" i="5"/>
  <c r="M464" i="5"/>
  <c r="K464" i="5"/>
  <c r="J464" i="5"/>
  <c r="I464" i="5"/>
  <c r="F464" i="5"/>
  <c r="B464" i="5"/>
  <c r="M463" i="5"/>
  <c r="I463" i="5"/>
  <c r="H463" i="5"/>
  <c r="E463" i="5"/>
  <c r="D462" i="5"/>
  <c r="C462" i="5"/>
  <c r="B462" i="5"/>
  <c r="M461" i="5"/>
  <c r="I461" i="5"/>
  <c r="J460" i="5"/>
  <c r="I460" i="5"/>
  <c r="L459" i="5"/>
  <c r="K459" i="5"/>
  <c r="S459" i="5" s="1"/>
  <c r="J459" i="5"/>
  <c r="I459" i="5"/>
  <c r="H459" i="5"/>
  <c r="G459" i="5"/>
  <c r="E459" i="5"/>
  <c r="D459" i="5"/>
  <c r="F458" i="5"/>
  <c r="E458" i="5"/>
  <c r="B458" i="5"/>
  <c r="E457" i="5"/>
  <c r="M456" i="5"/>
  <c r="K456" i="5"/>
  <c r="J456" i="5"/>
  <c r="M455" i="5"/>
  <c r="L455" i="5"/>
  <c r="K455" i="5"/>
  <c r="S455" i="5" s="1"/>
  <c r="J455" i="5"/>
  <c r="H454" i="5"/>
  <c r="G454" i="5"/>
  <c r="E454" i="5"/>
  <c r="C453" i="5"/>
  <c r="B453" i="5"/>
  <c r="B452" i="5"/>
  <c r="L451" i="5"/>
  <c r="J450" i="5"/>
  <c r="I450" i="5"/>
  <c r="G450" i="5"/>
  <c r="F450" i="5"/>
  <c r="E450" i="5"/>
  <c r="Q450" i="5" s="1"/>
  <c r="D450" i="5"/>
  <c r="I449" i="5"/>
  <c r="F449" i="5"/>
  <c r="E449" i="5"/>
  <c r="D449" i="5"/>
  <c r="C449" i="5"/>
  <c r="M447" i="5"/>
  <c r="J447" i="5"/>
  <c r="M446" i="5"/>
  <c r="L446" i="5"/>
  <c r="K446" i="5"/>
  <c r="K445" i="5"/>
  <c r="H445" i="5"/>
  <c r="R445" i="5" s="1"/>
  <c r="G445" i="5"/>
  <c r="F445" i="5"/>
  <c r="E445" i="5"/>
  <c r="Q445" i="5" s="1"/>
  <c r="D445" i="5"/>
  <c r="C445" i="5"/>
  <c r="L444" i="5"/>
  <c r="F444" i="5"/>
  <c r="B444" i="5"/>
  <c r="M442" i="5"/>
  <c r="L442" i="5"/>
  <c r="I442" i="5"/>
  <c r="G442" i="5"/>
  <c r="I441" i="5"/>
  <c r="H441" i="5"/>
  <c r="G441" i="5"/>
  <c r="F441" i="5"/>
  <c r="B441" i="5"/>
  <c r="D440" i="5"/>
  <c r="C440" i="5"/>
  <c r="S437" i="5"/>
  <c r="Q437" i="5"/>
  <c r="M437" i="5"/>
  <c r="L437" i="5"/>
  <c r="K437" i="5"/>
  <c r="J437" i="5"/>
  <c r="I437" i="5"/>
  <c r="R437" i="5" s="1"/>
  <c r="H437" i="5"/>
  <c r="G437" i="5"/>
  <c r="F437" i="5"/>
  <c r="E437" i="5"/>
  <c r="D437" i="5"/>
  <c r="C437" i="5"/>
  <c r="N437" i="5" s="1"/>
  <c r="B437" i="5"/>
  <c r="R436" i="5"/>
  <c r="Q436" i="5"/>
  <c r="P436" i="5"/>
  <c r="M436" i="5"/>
  <c r="L436" i="5"/>
  <c r="L320" i="5" s="1"/>
  <c r="K436" i="5"/>
  <c r="J436" i="5"/>
  <c r="I436" i="5"/>
  <c r="H436" i="5"/>
  <c r="G436" i="5"/>
  <c r="F436" i="5"/>
  <c r="E436" i="5"/>
  <c r="D436" i="5"/>
  <c r="C436" i="5"/>
  <c r="B436" i="5"/>
  <c r="M435" i="5"/>
  <c r="L435" i="5"/>
  <c r="K435" i="5"/>
  <c r="J435" i="5"/>
  <c r="J319" i="5" s="1"/>
  <c r="I435" i="5"/>
  <c r="I319" i="5" s="1"/>
  <c r="H435" i="5"/>
  <c r="G435" i="5"/>
  <c r="F435" i="5"/>
  <c r="E435" i="5"/>
  <c r="D435" i="5"/>
  <c r="C435" i="5"/>
  <c r="B435" i="5"/>
  <c r="M434" i="5"/>
  <c r="L434" i="5"/>
  <c r="K434" i="5"/>
  <c r="S434" i="5" s="1"/>
  <c r="J434" i="5"/>
  <c r="I434" i="5"/>
  <c r="H434" i="5"/>
  <c r="R434" i="5" s="1"/>
  <c r="G434" i="5"/>
  <c r="G463" i="5" s="1"/>
  <c r="F434" i="5"/>
  <c r="E434" i="5"/>
  <c r="D434" i="5"/>
  <c r="C434" i="5"/>
  <c r="B434" i="5"/>
  <c r="S433" i="5"/>
  <c r="R433" i="5"/>
  <c r="Q433" i="5"/>
  <c r="P433" i="5"/>
  <c r="M433" i="5"/>
  <c r="L433" i="5"/>
  <c r="K433" i="5"/>
  <c r="J433" i="5"/>
  <c r="I433" i="5"/>
  <c r="H433" i="5"/>
  <c r="G433" i="5"/>
  <c r="F433" i="5"/>
  <c r="E433" i="5"/>
  <c r="D433" i="5"/>
  <c r="C433" i="5"/>
  <c r="B433" i="5"/>
  <c r="P432" i="5"/>
  <c r="M432" i="5"/>
  <c r="L432" i="5"/>
  <c r="L316" i="5" s="1"/>
  <c r="K432" i="5"/>
  <c r="K316" i="5" s="1"/>
  <c r="J432" i="5"/>
  <c r="J316" i="5" s="1"/>
  <c r="I432" i="5"/>
  <c r="H432" i="5"/>
  <c r="G432" i="5"/>
  <c r="F432" i="5"/>
  <c r="E432" i="5"/>
  <c r="D432" i="5"/>
  <c r="C432" i="5"/>
  <c r="B432" i="5"/>
  <c r="P431" i="5"/>
  <c r="M431" i="5"/>
  <c r="L431" i="5"/>
  <c r="K431" i="5"/>
  <c r="S431" i="5" s="1"/>
  <c r="J431" i="5"/>
  <c r="I431" i="5"/>
  <c r="H431" i="5"/>
  <c r="G431" i="5"/>
  <c r="F431" i="5"/>
  <c r="E431" i="5"/>
  <c r="D431" i="5"/>
  <c r="C431" i="5"/>
  <c r="B431" i="5"/>
  <c r="M430" i="5"/>
  <c r="L430" i="5"/>
  <c r="L314" i="5" s="1"/>
  <c r="K430" i="5"/>
  <c r="J430" i="5"/>
  <c r="I430" i="5"/>
  <c r="H430" i="5"/>
  <c r="G430" i="5"/>
  <c r="G314" i="5" s="1"/>
  <c r="F430" i="5"/>
  <c r="F314" i="5" s="1"/>
  <c r="E430" i="5"/>
  <c r="D430" i="5"/>
  <c r="C430" i="5"/>
  <c r="B430" i="5"/>
  <c r="S429" i="5"/>
  <c r="R429" i="5"/>
  <c r="M429" i="5"/>
  <c r="L429" i="5"/>
  <c r="K429" i="5"/>
  <c r="J429" i="5"/>
  <c r="I429" i="5"/>
  <c r="H429" i="5"/>
  <c r="G429" i="5"/>
  <c r="G313" i="5" s="1"/>
  <c r="F429" i="5"/>
  <c r="E429" i="5"/>
  <c r="D429" i="5"/>
  <c r="C429" i="5"/>
  <c r="B429" i="5"/>
  <c r="S428" i="5"/>
  <c r="R428" i="5"/>
  <c r="Q428" i="5"/>
  <c r="M428" i="5"/>
  <c r="L428" i="5"/>
  <c r="K428" i="5"/>
  <c r="J428" i="5"/>
  <c r="I428" i="5"/>
  <c r="H428" i="5"/>
  <c r="G428" i="5"/>
  <c r="F428" i="5"/>
  <c r="E428" i="5"/>
  <c r="D428" i="5"/>
  <c r="C428" i="5"/>
  <c r="B428" i="5"/>
  <c r="B457" i="5" s="1"/>
  <c r="Q427" i="5"/>
  <c r="M427" i="5"/>
  <c r="M311" i="5" s="1"/>
  <c r="L427" i="5"/>
  <c r="K427" i="5"/>
  <c r="J427" i="5"/>
  <c r="I427" i="5"/>
  <c r="H427" i="5"/>
  <c r="G427" i="5"/>
  <c r="F427" i="5"/>
  <c r="E427" i="5"/>
  <c r="D427" i="5"/>
  <c r="C427" i="5"/>
  <c r="C311" i="5" s="1"/>
  <c r="B427" i="5"/>
  <c r="M426" i="5"/>
  <c r="L426" i="5"/>
  <c r="K426" i="5"/>
  <c r="J426" i="5"/>
  <c r="J310" i="5" s="1"/>
  <c r="I426" i="5"/>
  <c r="H426" i="5"/>
  <c r="G426" i="5"/>
  <c r="G310" i="5" s="1"/>
  <c r="F426" i="5"/>
  <c r="E426" i="5"/>
  <c r="D426" i="5"/>
  <c r="C426" i="5"/>
  <c r="B426" i="5"/>
  <c r="N426" i="5" s="1"/>
  <c r="P425" i="5"/>
  <c r="M425" i="5"/>
  <c r="L425" i="5"/>
  <c r="K425" i="5"/>
  <c r="S425" i="5" s="1"/>
  <c r="J425" i="5"/>
  <c r="I425" i="5"/>
  <c r="H425" i="5"/>
  <c r="R425" i="5" s="1"/>
  <c r="G425" i="5"/>
  <c r="F425" i="5"/>
  <c r="E425" i="5"/>
  <c r="D425" i="5"/>
  <c r="C425" i="5"/>
  <c r="B425" i="5"/>
  <c r="S424" i="5"/>
  <c r="Q424" i="5"/>
  <c r="P424" i="5"/>
  <c r="M424" i="5"/>
  <c r="L424" i="5"/>
  <c r="K424" i="5"/>
  <c r="J424" i="5"/>
  <c r="I424" i="5"/>
  <c r="H424" i="5"/>
  <c r="G424" i="5"/>
  <c r="F424" i="5"/>
  <c r="E424" i="5"/>
  <c r="D424" i="5"/>
  <c r="C424" i="5"/>
  <c r="B424" i="5"/>
  <c r="P423" i="5"/>
  <c r="M423" i="5"/>
  <c r="M452" i="5" s="1"/>
  <c r="L423" i="5"/>
  <c r="K423" i="5"/>
  <c r="J423" i="5"/>
  <c r="I423" i="5"/>
  <c r="H423" i="5"/>
  <c r="G423" i="5"/>
  <c r="F423" i="5"/>
  <c r="E423" i="5"/>
  <c r="D423" i="5"/>
  <c r="C423" i="5"/>
  <c r="B423" i="5"/>
  <c r="M422" i="5"/>
  <c r="L422" i="5"/>
  <c r="K422" i="5"/>
  <c r="J422" i="5"/>
  <c r="I422" i="5"/>
  <c r="H422" i="5"/>
  <c r="G422" i="5"/>
  <c r="F422" i="5"/>
  <c r="E422" i="5"/>
  <c r="D422" i="5"/>
  <c r="C422" i="5"/>
  <c r="B422" i="5"/>
  <c r="M421" i="5"/>
  <c r="L421" i="5"/>
  <c r="K421" i="5"/>
  <c r="J421" i="5"/>
  <c r="I421" i="5"/>
  <c r="H421" i="5"/>
  <c r="G421" i="5"/>
  <c r="F421" i="5"/>
  <c r="E421" i="5"/>
  <c r="D421" i="5"/>
  <c r="C421" i="5"/>
  <c r="B421" i="5"/>
  <c r="R420" i="5"/>
  <c r="M420" i="5"/>
  <c r="L420" i="5"/>
  <c r="K420" i="5"/>
  <c r="J420" i="5"/>
  <c r="I420" i="5"/>
  <c r="H420" i="5"/>
  <c r="G420" i="5"/>
  <c r="F420" i="5"/>
  <c r="E420" i="5"/>
  <c r="D420" i="5"/>
  <c r="P420" i="5" s="1"/>
  <c r="C420" i="5"/>
  <c r="B420" i="5"/>
  <c r="R419" i="5"/>
  <c r="P419" i="5"/>
  <c r="M419" i="5"/>
  <c r="L419" i="5"/>
  <c r="K419" i="5"/>
  <c r="K303" i="5" s="1"/>
  <c r="J419" i="5"/>
  <c r="I419" i="5"/>
  <c r="H419" i="5"/>
  <c r="G419" i="5"/>
  <c r="F419" i="5"/>
  <c r="E419" i="5"/>
  <c r="D419" i="5"/>
  <c r="C419" i="5"/>
  <c r="B419" i="5"/>
  <c r="S418" i="5"/>
  <c r="P418" i="5"/>
  <c r="M418" i="5"/>
  <c r="L418" i="5"/>
  <c r="L302" i="5" s="1"/>
  <c r="K418" i="5"/>
  <c r="J418" i="5"/>
  <c r="I418" i="5"/>
  <c r="H418" i="5"/>
  <c r="G418" i="5"/>
  <c r="F418" i="5"/>
  <c r="Q418" i="5" s="1"/>
  <c r="E418" i="5"/>
  <c r="D418" i="5"/>
  <c r="C418" i="5"/>
  <c r="B418" i="5"/>
  <c r="M417" i="5"/>
  <c r="L417" i="5"/>
  <c r="K417" i="5"/>
  <c r="S417" i="5" s="1"/>
  <c r="J417" i="5"/>
  <c r="I417" i="5"/>
  <c r="H417" i="5"/>
  <c r="G417" i="5"/>
  <c r="G301" i="5" s="1"/>
  <c r="F417" i="5"/>
  <c r="F301" i="5" s="1"/>
  <c r="E417" i="5"/>
  <c r="E446" i="5" s="1"/>
  <c r="D417" i="5"/>
  <c r="C417" i="5"/>
  <c r="B417" i="5"/>
  <c r="S416" i="5"/>
  <c r="M416" i="5"/>
  <c r="L416" i="5"/>
  <c r="K416" i="5"/>
  <c r="J416" i="5"/>
  <c r="I416" i="5"/>
  <c r="H416" i="5"/>
  <c r="G416" i="5"/>
  <c r="F416" i="5"/>
  <c r="E416" i="5"/>
  <c r="D416" i="5"/>
  <c r="C416" i="5"/>
  <c r="C300" i="5" s="1"/>
  <c r="B416" i="5"/>
  <c r="S415" i="5"/>
  <c r="R415" i="5"/>
  <c r="Q415" i="5"/>
  <c r="P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Q414" i="5"/>
  <c r="M414" i="5"/>
  <c r="L414" i="5"/>
  <c r="K414" i="5"/>
  <c r="J414" i="5"/>
  <c r="I414" i="5"/>
  <c r="H414" i="5"/>
  <c r="G414" i="5"/>
  <c r="F414" i="5"/>
  <c r="E414" i="5"/>
  <c r="D414" i="5"/>
  <c r="D298" i="5" s="1"/>
  <c r="C414" i="5"/>
  <c r="B414" i="5"/>
  <c r="M413" i="5"/>
  <c r="L413" i="5"/>
  <c r="K413" i="5"/>
  <c r="J413" i="5"/>
  <c r="J297" i="5" s="1"/>
  <c r="I413" i="5"/>
  <c r="H413" i="5"/>
  <c r="G413" i="5"/>
  <c r="F413" i="5"/>
  <c r="E413" i="5"/>
  <c r="D413" i="5"/>
  <c r="C413" i="5"/>
  <c r="B413" i="5"/>
  <c r="Q412" i="5"/>
  <c r="M412" i="5"/>
  <c r="L412" i="5"/>
  <c r="S412" i="5" s="1"/>
  <c r="K412" i="5"/>
  <c r="J412" i="5"/>
  <c r="I412" i="5"/>
  <c r="H412" i="5"/>
  <c r="R412" i="5" s="1"/>
  <c r="G412" i="5"/>
  <c r="F412" i="5"/>
  <c r="E412" i="5"/>
  <c r="E441" i="5" s="1"/>
  <c r="D412" i="5"/>
  <c r="C412" i="5"/>
  <c r="B412" i="5"/>
  <c r="S411" i="5"/>
  <c r="R411" i="5"/>
  <c r="M411" i="5"/>
  <c r="L411" i="5"/>
  <c r="K411" i="5"/>
  <c r="J411" i="5"/>
  <c r="I411" i="5"/>
  <c r="H411" i="5"/>
  <c r="G411" i="5"/>
  <c r="F411" i="5"/>
  <c r="E411" i="5"/>
  <c r="D411" i="5"/>
  <c r="C411" i="5"/>
  <c r="B411" i="5"/>
  <c r="P408" i="5"/>
  <c r="M408" i="5"/>
  <c r="L408" i="5"/>
  <c r="K408" i="5"/>
  <c r="J408" i="5"/>
  <c r="R408" i="5" s="1"/>
  <c r="I408" i="5"/>
  <c r="H408" i="5"/>
  <c r="G408" i="5"/>
  <c r="F408" i="5"/>
  <c r="E408" i="5"/>
  <c r="D408" i="5"/>
  <c r="C408" i="5"/>
  <c r="B408" i="5"/>
  <c r="R407" i="5"/>
  <c r="P407" i="5"/>
  <c r="M407" i="5"/>
  <c r="L407" i="5"/>
  <c r="K407" i="5"/>
  <c r="J407" i="5"/>
  <c r="I407" i="5"/>
  <c r="H407" i="5"/>
  <c r="G407" i="5"/>
  <c r="F407" i="5"/>
  <c r="E407" i="5"/>
  <c r="D407" i="5"/>
  <c r="C407" i="5"/>
  <c r="B407" i="5"/>
  <c r="M406" i="5"/>
  <c r="L406" i="5"/>
  <c r="K406" i="5"/>
  <c r="J406" i="5"/>
  <c r="I406" i="5"/>
  <c r="H406" i="5"/>
  <c r="G406" i="5"/>
  <c r="G290" i="5" s="1"/>
  <c r="F406" i="5"/>
  <c r="E406" i="5"/>
  <c r="D406" i="5"/>
  <c r="C406" i="5"/>
  <c r="B406" i="5"/>
  <c r="S405" i="5"/>
  <c r="R405" i="5"/>
  <c r="M405" i="5"/>
  <c r="L405" i="5"/>
  <c r="K405" i="5"/>
  <c r="J405" i="5"/>
  <c r="I405" i="5"/>
  <c r="H405" i="5"/>
  <c r="G405" i="5"/>
  <c r="F405" i="5"/>
  <c r="E405" i="5"/>
  <c r="Q405" i="5" s="1"/>
  <c r="D405" i="5"/>
  <c r="C405" i="5"/>
  <c r="B405" i="5"/>
  <c r="S404" i="5"/>
  <c r="R404" i="5"/>
  <c r="Q404" i="5"/>
  <c r="P404" i="5"/>
  <c r="M404" i="5"/>
  <c r="L404" i="5"/>
  <c r="K404" i="5"/>
  <c r="J404" i="5"/>
  <c r="I404" i="5"/>
  <c r="H404" i="5"/>
  <c r="H462" i="5" s="1"/>
  <c r="G404" i="5"/>
  <c r="F404" i="5"/>
  <c r="E404" i="5"/>
  <c r="D404" i="5"/>
  <c r="C404" i="5"/>
  <c r="B404" i="5"/>
  <c r="N404" i="5" s="1"/>
  <c r="Q403" i="5"/>
  <c r="P403" i="5"/>
  <c r="M403" i="5"/>
  <c r="L403" i="5"/>
  <c r="L287" i="5" s="1"/>
  <c r="K403" i="5"/>
  <c r="J403" i="5"/>
  <c r="I403" i="5"/>
  <c r="H403" i="5"/>
  <c r="G403" i="5"/>
  <c r="F403" i="5"/>
  <c r="E403" i="5"/>
  <c r="D403" i="5"/>
  <c r="C403" i="5"/>
  <c r="C461" i="5" s="1"/>
  <c r="B403" i="5"/>
  <c r="M402" i="5"/>
  <c r="L402" i="5"/>
  <c r="K402" i="5"/>
  <c r="J402" i="5"/>
  <c r="I402" i="5"/>
  <c r="H402" i="5"/>
  <c r="R402" i="5" s="1"/>
  <c r="G402" i="5"/>
  <c r="G286" i="5" s="1"/>
  <c r="F402" i="5"/>
  <c r="E402" i="5"/>
  <c r="D402" i="5"/>
  <c r="C402" i="5"/>
  <c r="B402" i="5"/>
  <c r="M401" i="5"/>
  <c r="L401" i="5"/>
  <c r="K401" i="5"/>
  <c r="S401" i="5" s="1"/>
  <c r="J401" i="5"/>
  <c r="I401" i="5"/>
  <c r="H401" i="5"/>
  <c r="G401" i="5"/>
  <c r="F401" i="5"/>
  <c r="E401" i="5"/>
  <c r="D401" i="5"/>
  <c r="C401" i="5"/>
  <c r="C285" i="5" s="1"/>
  <c r="B401" i="5"/>
  <c r="P401" i="5" s="1"/>
  <c r="S400" i="5"/>
  <c r="Q400" i="5"/>
  <c r="P400" i="5"/>
  <c r="M400" i="5"/>
  <c r="L400" i="5"/>
  <c r="K400" i="5"/>
  <c r="J400" i="5"/>
  <c r="I400" i="5"/>
  <c r="H400" i="5"/>
  <c r="G400" i="5"/>
  <c r="F400" i="5"/>
  <c r="E400" i="5"/>
  <c r="D400" i="5"/>
  <c r="C400" i="5"/>
  <c r="B400" i="5"/>
  <c r="P399" i="5"/>
  <c r="M399" i="5"/>
  <c r="L399" i="5"/>
  <c r="K399" i="5"/>
  <c r="J399" i="5"/>
  <c r="J283" i="5" s="1"/>
  <c r="I399" i="5"/>
  <c r="H399" i="5"/>
  <c r="G399" i="5"/>
  <c r="F399" i="5"/>
  <c r="E399" i="5"/>
  <c r="D399" i="5"/>
  <c r="C399" i="5"/>
  <c r="B399" i="5"/>
  <c r="M398" i="5"/>
  <c r="L398" i="5"/>
  <c r="K398" i="5"/>
  <c r="J398" i="5"/>
  <c r="I398" i="5"/>
  <c r="H398" i="5"/>
  <c r="G398" i="5"/>
  <c r="F398" i="5"/>
  <c r="E398" i="5"/>
  <c r="D398" i="5"/>
  <c r="C398" i="5"/>
  <c r="B398" i="5"/>
  <c r="R397" i="5"/>
  <c r="M397" i="5"/>
  <c r="L397" i="5"/>
  <c r="K397" i="5"/>
  <c r="J397" i="5"/>
  <c r="I397" i="5"/>
  <c r="H397" i="5"/>
  <c r="G397" i="5"/>
  <c r="F397" i="5"/>
  <c r="E397" i="5"/>
  <c r="D397" i="5"/>
  <c r="C397" i="5"/>
  <c r="C281" i="5" s="1"/>
  <c r="B397" i="5"/>
  <c r="R396" i="5"/>
  <c r="M396" i="5"/>
  <c r="L396" i="5"/>
  <c r="L454" i="5" s="1"/>
  <c r="K396" i="5"/>
  <c r="J396" i="5"/>
  <c r="I396" i="5"/>
  <c r="H396" i="5"/>
  <c r="G396" i="5"/>
  <c r="F396" i="5"/>
  <c r="Q396" i="5" s="1"/>
  <c r="E396" i="5"/>
  <c r="D396" i="5"/>
  <c r="P396" i="5" s="1"/>
  <c r="C396" i="5"/>
  <c r="B396" i="5"/>
  <c r="S395" i="5"/>
  <c r="R395" i="5"/>
  <c r="Q395" i="5"/>
  <c r="P395" i="5"/>
  <c r="M395" i="5"/>
  <c r="M279" i="5" s="1"/>
  <c r="L395" i="5"/>
  <c r="K395" i="5"/>
  <c r="J395" i="5"/>
  <c r="I395" i="5"/>
  <c r="H395" i="5"/>
  <c r="G395" i="5"/>
  <c r="F395" i="5"/>
  <c r="E395" i="5"/>
  <c r="D395" i="5"/>
  <c r="C395" i="5"/>
  <c r="B395" i="5"/>
  <c r="P394" i="5"/>
  <c r="M394" i="5"/>
  <c r="M278" i="5" s="1"/>
  <c r="L394" i="5"/>
  <c r="K394" i="5"/>
  <c r="K278" i="5" s="1"/>
  <c r="S278" i="5" s="1"/>
  <c r="J394" i="5"/>
  <c r="J278" i="5" s="1"/>
  <c r="I394" i="5"/>
  <c r="H394" i="5"/>
  <c r="G394" i="5"/>
  <c r="G278" i="5" s="1"/>
  <c r="F394" i="5"/>
  <c r="E394" i="5"/>
  <c r="D394" i="5"/>
  <c r="C394" i="5"/>
  <c r="B394" i="5"/>
  <c r="M393" i="5"/>
  <c r="M451" i="5" s="1"/>
  <c r="L393" i="5"/>
  <c r="K393" i="5"/>
  <c r="S393" i="5" s="1"/>
  <c r="J393" i="5"/>
  <c r="I393" i="5"/>
  <c r="H393" i="5"/>
  <c r="G393" i="5"/>
  <c r="F393" i="5"/>
  <c r="F277" i="5" s="1"/>
  <c r="E393" i="5"/>
  <c r="D393" i="5"/>
  <c r="C393" i="5"/>
  <c r="B393" i="5"/>
  <c r="S392" i="5"/>
  <c r="N392" i="5"/>
  <c r="M392" i="5"/>
  <c r="L392" i="5"/>
  <c r="K392" i="5"/>
  <c r="J392" i="5"/>
  <c r="I392" i="5"/>
  <c r="H392" i="5"/>
  <c r="R392" i="5" s="1"/>
  <c r="G392" i="5"/>
  <c r="F392" i="5"/>
  <c r="E392" i="5"/>
  <c r="D392" i="5"/>
  <c r="C392" i="5"/>
  <c r="C276" i="5" s="1"/>
  <c r="B392" i="5"/>
  <c r="Q391" i="5"/>
  <c r="P391" i="5"/>
  <c r="M391" i="5"/>
  <c r="L391" i="5"/>
  <c r="K391" i="5"/>
  <c r="J391" i="5"/>
  <c r="I391" i="5"/>
  <c r="R391" i="5" s="1"/>
  <c r="H391" i="5"/>
  <c r="G391" i="5"/>
  <c r="F391" i="5"/>
  <c r="E391" i="5"/>
  <c r="D391" i="5"/>
  <c r="C391" i="5"/>
  <c r="B391" i="5"/>
  <c r="Q390" i="5"/>
  <c r="M390" i="5"/>
  <c r="L390" i="5"/>
  <c r="K390" i="5"/>
  <c r="J390" i="5"/>
  <c r="I390" i="5"/>
  <c r="H390" i="5"/>
  <c r="G390" i="5"/>
  <c r="F390" i="5"/>
  <c r="E390" i="5"/>
  <c r="D390" i="5"/>
  <c r="P390" i="5" s="1"/>
  <c r="C390" i="5"/>
  <c r="B390" i="5"/>
  <c r="M389" i="5"/>
  <c r="L389" i="5"/>
  <c r="K389" i="5"/>
  <c r="J389" i="5"/>
  <c r="I389" i="5"/>
  <c r="H389" i="5"/>
  <c r="G389" i="5"/>
  <c r="F389" i="5"/>
  <c r="F273" i="5" s="1"/>
  <c r="E389" i="5"/>
  <c r="D389" i="5"/>
  <c r="C389" i="5"/>
  <c r="B389" i="5"/>
  <c r="M388" i="5"/>
  <c r="L388" i="5"/>
  <c r="S388" i="5" s="1"/>
  <c r="K388" i="5"/>
  <c r="J388" i="5"/>
  <c r="I388" i="5"/>
  <c r="H388" i="5"/>
  <c r="R388" i="5" s="1"/>
  <c r="G388" i="5"/>
  <c r="G272" i="5" s="1"/>
  <c r="F388" i="5"/>
  <c r="E388" i="5"/>
  <c r="D388" i="5"/>
  <c r="C388" i="5"/>
  <c r="C272" i="5" s="1"/>
  <c r="B388" i="5"/>
  <c r="S387" i="5"/>
  <c r="R387" i="5"/>
  <c r="M387" i="5"/>
  <c r="L387" i="5"/>
  <c r="K387" i="5"/>
  <c r="J387" i="5"/>
  <c r="I387" i="5"/>
  <c r="H387" i="5"/>
  <c r="G387" i="5"/>
  <c r="F387" i="5"/>
  <c r="E387" i="5"/>
  <c r="D387" i="5"/>
  <c r="C387" i="5"/>
  <c r="B387" i="5"/>
  <c r="S386" i="5"/>
  <c r="R386" i="5"/>
  <c r="Q386" i="5"/>
  <c r="P386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B386" i="5"/>
  <c r="P385" i="5"/>
  <c r="M385" i="5"/>
  <c r="L385" i="5"/>
  <c r="K385" i="5"/>
  <c r="J385" i="5"/>
  <c r="I385" i="5"/>
  <c r="H385" i="5"/>
  <c r="G385" i="5"/>
  <c r="F385" i="5"/>
  <c r="E385" i="5"/>
  <c r="D385" i="5"/>
  <c r="C385" i="5"/>
  <c r="B385" i="5"/>
  <c r="S384" i="5"/>
  <c r="M384" i="5"/>
  <c r="L384" i="5"/>
  <c r="K384" i="5"/>
  <c r="J384" i="5"/>
  <c r="I384" i="5"/>
  <c r="H384" i="5"/>
  <c r="G384" i="5"/>
  <c r="G268" i="5" s="1"/>
  <c r="F384" i="5"/>
  <c r="E384" i="5"/>
  <c r="D384" i="5"/>
  <c r="C384" i="5"/>
  <c r="B384" i="5"/>
  <c r="S383" i="5"/>
  <c r="R383" i="5"/>
  <c r="M383" i="5"/>
  <c r="M441" i="5" s="1"/>
  <c r="L383" i="5"/>
  <c r="K383" i="5"/>
  <c r="J383" i="5"/>
  <c r="I383" i="5"/>
  <c r="H383" i="5"/>
  <c r="G383" i="5"/>
  <c r="F383" i="5"/>
  <c r="E383" i="5"/>
  <c r="Q383" i="5" s="1"/>
  <c r="D383" i="5"/>
  <c r="C383" i="5"/>
  <c r="C441" i="5" s="1"/>
  <c r="B383" i="5"/>
  <c r="Q382" i="5"/>
  <c r="P382" i="5"/>
  <c r="N382" i="5"/>
  <c r="M382" i="5"/>
  <c r="L382" i="5"/>
  <c r="S382" i="5" s="1"/>
  <c r="K382" i="5"/>
  <c r="J382" i="5"/>
  <c r="I382" i="5"/>
  <c r="H382" i="5"/>
  <c r="G382" i="5"/>
  <c r="F382" i="5"/>
  <c r="E382" i="5"/>
  <c r="D382" i="5"/>
  <c r="C382" i="5"/>
  <c r="B382" i="5"/>
  <c r="Q379" i="5"/>
  <c r="P379" i="5"/>
  <c r="M379" i="5"/>
  <c r="L379" i="5"/>
  <c r="K379" i="5"/>
  <c r="J379" i="5"/>
  <c r="I379" i="5"/>
  <c r="H379" i="5"/>
  <c r="G379" i="5"/>
  <c r="G466" i="5" s="1"/>
  <c r="F379" i="5"/>
  <c r="E379" i="5"/>
  <c r="E466" i="5" s="1"/>
  <c r="D379" i="5"/>
  <c r="D466" i="5" s="1"/>
  <c r="C379" i="5"/>
  <c r="B379" i="5"/>
  <c r="M378" i="5"/>
  <c r="L378" i="5"/>
  <c r="K378" i="5"/>
  <c r="K465" i="5" s="1"/>
  <c r="J378" i="5"/>
  <c r="I378" i="5"/>
  <c r="H378" i="5"/>
  <c r="G378" i="5"/>
  <c r="F378" i="5"/>
  <c r="E378" i="5"/>
  <c r="D378" i="5"/>
  <c r="C378" i="5"/>
  <c r="B378" i="5"/>
  <c r="N378" i="5" s="1"/>
  <c r="M377" i="5"/>
  <c r="L377" i="5"/>
  <c r="K377" i="5"/>
  <c r="S377" i="5" s="1"/>
  <c r="J377" i="5"/>
  <c r="I377" i="5"/>
  <c r="H377" i="5"/>
  <c r="G377" i="5"/>
  <c r="F377" i="5"/>
  <c r="E377" i="5"/>
  <c r="D377" i="5"/>
  <c r="C377" i="5"/>
  <c r="B377" i="5"/>
  <c r="S376" i="5"/>
  <c r="Q376" i="5"/>
  <c r="P376" i="5"/>
  <c r="M376" i="5"/>
  <c r="L376" i="5"/>
  <c r="L463" i="5" s="1"/>
  <c r="K376" i="5"/>
  <c r="K463" i="5" s="1"/>
  <c r="J376" i="5"/>
  <c r="R376" i="5" s="1"/>
  <c r="I376" i="5"/>
  <c r="H376" i="5"/>
  <c r="G376" i="5"/>
  <c r="F376" i="5"/>
  <c r="E376" i="5"/>
  <c r="D376" i="5"/>
  <c r="C376" i="5"/>
  <c r="B376" i="5"/>
  <c r="P375" i="5"/>
  <c r="M375" i="5"/>
  <c r="L375" i="5"/>
  <c r="K375" i="5"/>
  <c r="J375" i="5"/>
  <c r="I375" i="5"/>
  <c r="H375" i="5"/>
  <c r="G375" i="5"/>
  <c r="G462" i="5" s="1"/>
  <c r="F375" i="5"/>
  <c r="F462" i="5" s="1"/>
  <c r="E375" i="5"/>
  <c r="D375" i="5"/>
  <c r="C375" i="5"/>
  <c r="B375" i="5"/>
  <c r="M374" i="5"/>
  <c r="L374" i="5"/>
  <c r="K374" i="5"/>
  <c r="J374" i="5"/>
  <c r="J258" i="5" s="1"/>
  <c r="I374" i="5"/>
  <c r="H374" i="5"/>
  <c r="G374" i="5"/>
  <c r="F374" i="5"/>
  <c r="E374" i="5"/>
  <c r="D374" i="5"/>
  <c r="C374" i="5"/>
  <c r="B374" i="5"/>
  <c r="B461" i="5" s="1"/>
  <c r="M373" i="5"/>
  <c r="L373" i="5"/>
  <c r="K373" i="5"/>
  <c r="S373" i="5" s="1"/>
  <c r="J373" i="5"/>
  <c r="I373" i="5"/>
  <c r="H373" i="5"/>
  <c r="G373" i="5"/>
  <c r="F373" i="5"/>
  <c r="E373" i="5"/>
  <c r="D373" i="5"/>
  <c r="C373" i="5"/>
  <c r="B373" i="5"/>
  <c r="S372" i="5"/>
  <c r="R372" i="5"/>
  <c r="M372" i="5"/>
  <c r="M459" i="5" s="1"/>
  <c r="L372" i="5"/>
  <c r="K372" i="5"/>
  <c r="J372" i="5"/>
  <c r="I372" i="5"/>
  <c r="H372" i="5"/>
  <c r="G372" i="5"/>
  <c r="F372" i="5"/>
  <c r="E372" i="5"/>
  <c r="D372" i="5"/>
  <c r="C372" i="5"/>
  <c r="B372" i="5"/>
  <c r="S371" i="5"/>
  <c r="R371" i="5"/>
  <c r="Q371" i="5"/>
  <c r="P371" i="5"/>
  <c r="M371" i="5"/>
  <c r="L371" i="5"/>
  <c r="K371" i="5"/>
  <c r="J371" i="5"/>
  <c r="I371" i="5"/>
  <c r="I458" i="5" s="1"/>
  <c r="H371" i="5"/>
  <c r="H458" i="5" s="1"/>
  <c r="G371" i="5"/>
  <c r="F371" i="5"/>
  <c r="E371" i="5"/>
  <c r="D371" i="5"/>
  <c r="C371" i="5"/>
  <c r="B371" i="5"/>
  <c r="M370" i="5"/>
  <c r="L370" i="5"/>
  <c r="K370" i="5"/>
  <c r="K254" i="5" s="1"/>
  <c r="J370" i="5"/>
  <c r="I370" i="5"/>
  <c r="H370" i="5"/>
  <c r="G370" i="5"/>
  <c r="F370" i="5"/>
  <c r="E370" i="5"/>
  <c r="D370" i="5"/>
  <c r="D457" i="5" s="1"/>
  <c r="C370" i="5"/>
  <c r="C457" i="5" s="1"/>
  <c r="B370" i="5"/>
  <c r="M369" i="5"/>
  <c r="L369" i="5"/>
  <c r="K369" i="5"/>
  <c r="J369" i="5"/>
  <c r="I369" i="5"/>
  <c r="H369" i="5"/>
  <c r="G369" i="5"/>
  <c r="G456" i="5" s="1"/>
  <c r="F369" i="5"/>
  <c r="E369" i="5"/>
  <c r="D369" i="5"/>
  <c r="C369" i="5"/>
  <c r="B369" i="5"/>
  <c r="S368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Q367" i="5"/>
  <c r="M367" i="5"/>
  <c r="M454" i="5" s="1"/>
  <c r="L367" i="5"/>
  <c r="K367" i="5"/>
  <c r="K454" i="5" s="1"/>
  <c r="J367" i="5"/>
  <c r="J454" i="5" s="1"/>
  <c r="I367" i="5"/>
  <c r="H367" i="5"/>
  <c r="G367" i="5"/>
  <c r="F367" i="5"/>
  <c r="E367" i="5"/>
  <c r="D367" i="5"/>
  <c r="C367" i="5"/>
  <c r="C454" i="5" s="1"/>
  <c r="B367" i="5"/>
  <c r="Q366" i="5"/>
  <c r="M366" i="5"/>
  <c r="L366" i="5"/>
  <c r="K366" i="5"/>
  <c r="J366" i="5"/>
  <c r="I366" i="5"/>
  <c r="H366" i="5"/>
  <c r="H453" i="5" s="1"/>
  <c r="G366" i="5"/>
  <c r="F366" i="5"/>
  <c r="F453" i="5" s="1"/>
  <c r="E366" i="5"/>
  <c r="E453" i="5" s="1"/>
  <c r="D366" i="5"/>
  <c r="C366" i="5"/>
  <c r="B366" i="5"/>
  <c r="P365" i="5"/>
  <c r="M365" i="5"/>
  <c r="L365" i="5"/>
  <c r="K365" i="5"/>
  <c r="J365" i="5"/>
  <c r="I365" i="5"/>
  <c r="H365" i="5"/>
  <c r="H452" i="5" s="1"/>
  <c r="G365" i="5"/>
  <c r="F365" i="5"/>
  <c r="E365" i="5"/>
  <c r="D365" i="5"/>
  <c r="C365" i="5"/>
  <c r="B365" i="5"/>
  <c r="M364" i="5"/>
  <c r="L364" i="5"/>
  <c r="S364" i="5" s="1"/>
  <c r="K364" i="5"/>
  <c r="J364" i="5"/>
  <c r="I364" i="5"/>
  <c r="H364" i="5"/>
  <c r="R364" i="5" s="1"/>
  <c r="G364" i="5"/>
  <c r="F364" i="5"/>
  <c r="E364" i="5"/>
  <c r="D364" i="5"/>
  <c r="C364" i="5"/>
  <c r="B364" i="5"/>
  <c r="S363" i="5"/>
  <c r="R363" i="5"/>
  <c r="Q363" i="5"/>
  <c r="M363" i="5"/>
  <c r="M450" i="5" s="1"/>
  <c r="L363" i="5"/>
  <c r="L450" i="5" s="1"/>
  <c r="K363" i="5"/>
  <c r="J363" i="5"/>
  <c r="I363" i="5"/>
  <c r="H363" i="5"/>
  <c r="G363" i="5"/>
  <c r="F363" i="5"/>
  <c r="E363" i="5"/>
  <c r="D363" i="5"/>
  <c r="C363" i="5"/>
  <c r="B363" i="5"/>
  <c r="Q362" i="5"/>
  <c r="P362" i="5"/>
  <c r="M362" i="5"/>
  <c r="L362" i="5"/>
  <c r="S362" i="5" s="1"/>
  <c r="K362" i="5"/>
  <c r="J362" i="5"/>
  <c r="J449" i="5" s="1"/>
  <c r="I362" i="5"/>
  <c r="H362" i="5"/>
  <c r="H449" i="5" s="1"/>
  <c r="G362" i="5"/>
  <c r="G449" i="5" s="1"/>
  <c r="F362" i="5"/>
  <c r="E362" i="5"/>
  <c r="D362" i="5"/>
  <c r="C362" i="5"/>
  <c r="B362" i="5"/>
  <c r="P361" i="5"/>
  <c r="M361" i="5"/>
  <c r="L361" i="5"/>
  <c r="K361" i="5"/>
  <c r="J361" i="5"/>
  <c r="J245" i="5" s="1"/>
  <c r="I361" i="5"/>
  <c r="H361" i="5"/>
  <c r="G361" i="5"/>
  <c r="F361" i="5"/>
  <c r="E361" i="5"/>
  <c r="D361" i="5"/>
  <c r="C361" i="5"/>
  <c r="C448" i="5" s="1"/>
  <c r="B361" i="5"/>
  <c r="B448" i="5" s="1"/>
  <c r="S360" i="5"/>
  <c r="M360" i="5"/>
  <c r="L360" i="5"/>
  <c r="K360" i="5"/>
  <c r="J360" i="5"/>
  <c r="I360" i="5"/>
  <c r="I447" i="5" s="1"/>
  <c r="H360" i="5"/>
  <c r="G360" i="5"/>
  <c r="F360" i="5"/>
  <c r="E360" i="5"/>
  <c r="D360" i="5"/>
  <c r="C360" i="5"/>
  <c r="B360" i="5"/>
  <c r="R359" i="5"/>
  <c r="M359" i="5"/>
  <c r="S359" i="5" s="1"/>
  <c r="L359" i="5"/>
  <c r="K359" i="5"/>
  <c r="J359" i="5"/>
  <c r="I359" i="5"/>
  <c r="H359" i="5"/>
  <c r="G359" i="5"/>
  <c r="F359" i="5"/>
  <c r="E359" i="5"/>
  <c r="D359" i="5"/>
  <c r="C359" i="5"/>
  <c r="B359" i="5"/>
  <c r="Q358" i="5"/>
  <c r="M358" i="5"/>
  <c r="L358" i="5"/>
  <c r="K358" i="5"/>
  <c r="J358" i="5"/>
  <c r="J445" i="5" s="1"/>
  <c r="I358" i="5"/>
  <c r="I445" i="5" s="1"/>
  <c r="H358" i="5"/>
  <c r="G358" i="5"/>
  <c r="F358" i="5"/>
  <c r="E358" i="5"/>
  <c r="D358" i="5"/>
  <c r="C358" i="5"/>
  <c r="B358" i="5"/>
  <c r="Q357" i="5"/>
  <c r="M357" i="5"/>
  <c r="L357" i="5"/>
  <c r="K357" i="5"/>
  <c r="J357" i="5"/>
  <c r="I357" i="5"/>
  <c r="H357" i="5"/>
  <c r="G357" i="5"/>
  <c r="G444" i="5" s="1"/>
  <c r="F357" i="5"/>
  <c r="E357" i="5"/>
  <c r="E444" i="5" s="1"/>
  <c r="Q444" i="5" s="1"/>
  <c r="D357" i="5"/>
  <c r="D444" i="5" s="1"/>
  <c r="C357" i="5"/>
  <c r="B357" i="5"/>
  <c r="M356" i="5"/>
  <c r="L356" i="5"/>
  <c r="K356" i="5"/>
  <c r="J356" i="5"/>
  <c r="I356" i="5"/>
  <c r="H356" i="5"/>
  <c r="G356" i="5"/>
  <c r="F356" i="5"/>
  <c r="E356" i="5"/>
  <c r="D356" i="5"/>
  <c r="C356" i="5"/>
  <c r="B356" i="5"/>
  <c r="M355" i="5"/>
  <c r="L355" i="5"/>
  <c r="K355" i="5"/>
  <c r="S355" i="5" s="1"/>
  <c r="J355" i="5"/>
  <c r="I355" i="5"/>
  <c r="H355" i="5"/>
  <c r="R355" i="5" s="1"/>
  <c r="G355" i="5"/>
  <c r="F355" i="5"/>
  <c r="F239" i="5" s="1"/>
  <c r="E355" i="5"/>
  <c r="D355" i="5"/>
  <c r="C355" i="5"/>
  <c r="C442" i="5" s="1"/>
  <c r="B355" i="5"/>
  <c r="S354" i="5"/>
  <c r="Q354" i="5"/>
  <c r="M354" i="5"/>
  <c r="L354" i="5"/>
  <c r="L441" i="5" s="1"/>
  <c r="K354" i="5"/>
  <c r="K441" i="5" s="1"/>
  <c r="J354" i="5"/>
  <c r="J441" i="5" s="1"/>
  <c r="I354" i="5"/>
  <c r="H354" i="5"/>
  <c r="G354" i="5"/>
  <c r="F354" i="5"/>
  <c r="E354" i="5"/>
  <c r="D354" i="5"/>
  <c r="C354" i="5"/>
  <c r="B354" i="5"/>
  <c r="S353" i="5"/>
  <c r="R353" i="5"/>
  <c r="Q353" i="5"/>
  <c r="P353" i="5"/>
  <c r="M353" i="5"/>
  <c r="L353" i="5"/>
  <c r="K353" i="5"/>
  <c r="J353" i="5"/>
  <c r="I353" i="5"/>
  <c r="I440" i="5" s="1"/>
  <c r="H353" i="5"/>
  <c r="G353" i="5"/>
  <c r="G440" i="5" s="1"/>
  <c r="F353" i="5"/>
  <c r="F440" i="5" s="1"/>
  <c r="E353" i="5"/>
  <c r="D353" i="5"/>
  <c r="C353" i="5"/>
  <c r="B353" i="5"/>
  <c r="F341" i="5"/>
  <c r="I321" i="5"/>
  <c r="H321" i="5"/>
  <c r="R321" i="5" s="1"/>
  <c r="C321" i="5"/>
  <c r="B321" i="5"/>
  <c r="D320" i="5"/>
  <c r="C320" i="5"/>
  <c r="C319" i="5"/>
  <c r="J317" i="5"/>
  <c r="I317" i="5"/>
  <c r="C317" i="5"/>
  <c r="D316" i="5"/>
  <c r="C316" i="5"/>
  <c r="E315" i="5"/>
  <c r="B315" i="5"/>
  <c r="M313" i="5"/>
  <c r="L313" i="5"/>
  <c r="H313" i="5"/>
  <c r="E313" i="5"/>
  <c r="G312" i="5"/>
  <c r="D312" i="5"/>
  <c r="H310" i="5"/>
  <c r="B310" i="5"/>
  <c r="G309" i="5"/>
  <c r="C309" i="5"/>
  <c r="I308" i="5"/>
  <c r="H308" i="5"/>
  <c r="G308" i="5"/>
  <c r="F308" i="5"/>
  <c r="D307" i="5"/>
  <c r="K305" i="5"/>
  <c r="J305" i="5"/>
  <c r="M304" i="5"/>
  <c r="H304" i="5"/>
  <c r="G304" i="5"/>
  <c r="F303" i="5"/>
  <c r="E303" i="5"/>
  <c r="B303" i="5"/>
  <c r="L301" i="5"/>
  <c r="K301" i="5"/>
  <c r="M300" i="5"/>
  <c r="H299" i="5"/>
  <c r="C298" i="5"/>
  <c r="C297" i="5"/>
  <c r="M296" i="5"/>
  <c r="J295" i="5"/>
  <c r="E292" i="5"/>
  <c r="K291" i="5"/>
  <c r="B291" i="5"/>
  <c r="M289" i="5"/>
  <c r="L289" i="5"/>
  <c r="J289" i="5"/>
  <c r="I289" i="5"/>
  <c r="H289" i="5"/>
  <c r="R289" i="5" s="1"/>
  <c r="I288" i="5"/>
  <c r="C288" i="5"/>
  <c r="C287" i="5"/>
  <c r="B287" i="5"/>
  <c r="H285" i="5"/>
  <c r="K284" i="5"/>
  <c r="J284" i="5"/>
  <c r="I284" i="5"/>
  <c r="D284" i="5"/>
  <c r="C284" i="5"/>
  <c r="D283" i="5"/>
  <c r="M280" i="5"/>
  <c r="H280" i="5"/>
  <c r="G280" i="5"/>
  <c r="E280" i="5"/>
  <c r="D280" i="5"/>
  <c r="F279" i="5"/>
  <c r="D279" i="5"/>
  <c r="M277" i="5"/>
  <c r="L277" i="5"/>
  <c r="S277" i="5" s="1"/>
  <c r="K277" i="5"/>
  <c r="M276" i="5"/>
  <c r="H276" i="5"/>
  <c r="G276" i="5"/>
  <c r="J275" i="5"/>
  <c r="H275" i="5"/>
  <c r="E275" i="5"/>
  <c r="B275" i="5"/>
  <c r="C273" i="5"/>
  <c r="J270" i="5"/>
  <c r="E270" i="5"/>
  <c r="L267" i="5"/>
  <c r="I267" i="5"/>
  <c r="H267" i="5"/>
  <c r="R267" i="5" s="1"/>
  <c r="L266" i="5"/>
  <c r="D266" i="5"/>
  <c r="C266" i="5"/>
  <c r="B266" i="5"/>
  <c r="G263" i="5"/>
  <c r="D263" i="5"/>
  <c r="B263" i="5"/>
  <c r="M261" i="5"/>
  <c r="J261" i="5"/>
  <c r="J348" i="5" s="1"/>
  <c r="I261" i="5"/>
  <c r="H261" i="5"/>
  <c r="K260" i="5"/>
  <c r="I260" i="5"/>
  <c r="D260" i="5"/>
  <c r="C260" i="5"/>
  <c r="H259" i="5"/>
  <c r="G259" i="5"/>
  <c r="F259" i="5"/>
  <c r="E259" i="5"/>
  <c r="D259" i="5"/>
  <c r="E257" i="5"/>
  <c r="K256" i="5"/>
  <c r="J256" i="5"/>
  <c r="F255" i="5"/>
  <c r="B255" i="5"/>
  <c r="E254" i="5"/>
  <c r="L253" i="5"/>
  <c r="K253" i="5"/>
  <c r="G253" i="5"/>
  <c r="M252" i="5"/>
  <c r="H251" i="5"/>
  <c r="G250" i="5"/>
  <c r="F250" i="5"/>
  <c r="F337" i="5" s="1"/>
  <c r="E250" i="5"/>
  <c r="M248" i="5"/>
  <c r="K248" i="5"/>
  <c r="J248" i="5"/>
  <c r="L247" i="5"/>
  <c r="D247" i="5"/>
  <c r="C247" i="5"/>
  <c r="E246" i="5"/>
  <c r="K244" i="5"/>
  <c r="J244" i="5"/>
  <c r="F244" i="5"/>
  <c r="F331" i="5" s="1"/>
  <c r="M243" i="5"/>
  <c r="L243" i="5"/>
  <c r="H243" i="5"/>
  <c r="G243" i="5"/>
  <c r="G242" i="5"/>
  <c r="E241" i="5"/>
  <c r="B241" i="5"/>
  <c r="G239" i="5"/>
  <c r="C239" i="5"/>
  <c r="K238" i="5"/>
  <c r="J238" i="5"/>
  <c r="J325" i="5" s="1"/>
  <c r="I238" i="5"/>
  <c r="I325" i="5" s="1"/>
  <c r="D238" i="5"/>
  <c r="C238" i="5"/>
  <c r="F237" i="5"/>
  <c r="D237" i="5"/>
  <c r="K233" i="5"/>
  <c r="E233" i="5"/>
  <c r="C233" i="5"/>
  <c r="G232" i="5"/>
  <c r="E231" i="5"/>
  <c r="D231" i="5"/>
  <c r="L229" i="5"/>
  <c r="K229" i="5"/>
  <c r="G229" i="5"/>
  <c r="B228" i="5"/>
  <c r="M227" i="5"/>
  <c r="J227" i="5"/>
  <c r="I227" i="5"/>
  <c r="H227" i="5"/>
  <c r="R227" i="5" s="1"/>
  <c r="G227" i="5"/>
  <c r="E227" i="5"/>
  <c r="Q227" i="5" s="1"/>
  <c r="D227" i="5"/>
  <c r="C227" i="5"/>
  <c r="H226" i="5"/>
  <c r="I225" i="5"/>
  <c r="H224" i="5"/>
  <c r="D224" i="5"/>
  <c r="D222" i="5"/>
  <c r="I221" i="5"/>
  <c r="E221" i="5"/>
  <c r="F220" i="5"/>
  <c r="B218" i="5"/>
  <c r="M217" i="5"/>
  <c r="K217" i="5"/>
  <c r="H216" i="5"/>
  <c r="F216" i="5"/>
  <c r="B216" i="5"/>
  <c r="C215" i="5"/>
  <c r="B214" i="5"/>
  <c r="E213" i="5"/>
  <c r="Q213" i="5" s="1"/>
  <c r="D213" i="5"/>
  <c r="J212" i="5"/>
  <c r="H212" i="5"/>
  <c r="D212" i="5"/>
  <c r="B212" i="5"/>
  <c r="G210" i="5"/>
  <c r="L208" i="5"/>
  <c r="J208" i="5"/>
  <c r="P205" i="5"/>
  <c r="N205" i="5"/>
  <c r="M205" i="5"/>
  <c r="M321" i="5" s="1"/>
  <c r="L205" i="5"/>
  <c r="K205" i="5"/>
  <c r="J205" i="5"/>
  <c r="I205" i="5"/>
  <c r="R205" i="5" s="1"/>
  <c r="H205" i="5"/>
  <c r="G205" i="5"/>
  <c r="F205" i="5"/>
  <c r="E205" i="5"/>
  <c r="D205" i="5"/>
  <c r="C205" i="5"/>
  <c r="B205" i="5"/>
  <c r="S204" i="5"/>
  <c r="R204" i="5"/>
  <c r="P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Q203" i="5"/>
  <c r="P203" i="5"/>
  <c r="M203" i="5"/>
  <c r="M319" i="5" s="1"/>
  <c r="L203" i="5"/>
  <c r="K203" i="5"/>
  <c r="S203" i="5" s="1"/>
  <c r="J203" i="5"/>
  <c r="I203" i="5"/>
  <c r="R203" i="5" s="1"/>
  <c r="H203" i="5"/>
  <c r="G203" i="5"/>
  <c r="F203" i="5"/>
  <c r="E203" i="5"/>
  <c r="D203" i="5"/>
  <c r="C203" i="5"/>
  <c r="B203" i="5"/>
  <c r="M202" i="5"/>
  <c r="N202" i="5" s="1"/>
  <c r="L202" i="5"/>
  <c r="L318" i="5" s="1"/>
  <c r="K202" i="5"/>
  <c r="K318" i="5" s="1"/>
  <c r="J202" i="5"/>
  <c r="J318" i="5" s="1"/>
  <c r="I202" i="5"/>
  <c r="I318" i="5" s="1"/>
  <c r="H202" i="5"/>
  <c r="G202" i="5"/>
  <c r="F202" i="5"/>
  <c r="Q202" i="5" s="1"/>
  <c r="E202" i="5"/>
  <c r="D202" i="5"/>
  <c r="C202" i="5"/>
  <c r="B202" i="5"/>
  <c r="M201" i="5"/>
  <c r="L201" i="5"/>
  <c r="K201" i="5"/>
  <c r="S201" i="5" s="1"/>
  <c r="J201" i="5"/>
  <c r="I201" i="5"/>
  <c r="H201" i="5"/>
  <c r="G201" i="5"/>
  <c r="F201" i="5"/>
  <c r="F317" i="5" s="1"/>
  <c r="E201" i="5"/>
  <c r="D201" i="5"/>
  <c r="P201" i="5" s="1"/>
  <c r="C201" i="5"/>
  <c r="B201" i="5"/>
  <c r="S200" i="5"/>
  <c r="Q200" i="5"/>
  <c r="P200" i="5"/>
  <c r="M200" i="5"/>
  <c r="L200" i="5"/>
  <c r="K200" i="5"/>
  <c r="J200" i="5"/>
  <c r="I200" i="5"/>
  <c r="I316" i="5" s="1"/>
  <c r="H200" i="5"/>
  <c r="G200" i="5"/>
  <c r="F200" i="5"/>
  <c r="E200" i="5"/>
  <c r="E316" i="5" s="1"/>
  <c r="D200" i="5"/>
  <c r="C200" i="5"/>
  <c r="B200" i="5"/>
  <c r="R199" i="5"/>
  <c r="Q199" i="5"/>
  <c r="P199" i="5"/>
  <c r="M199" i="5"/>
  <c r="L199" i="5"/>
  <c r="K199" i="5"/>
  <c r="S199" i="5" s="1"/>
  <c r="J199" i="5"/>
  <c r="I199" i="5"/>
  <c r="H199" i="5"/>
  <c r="G199" i="5"/>
  <c r="F199" i="5"/>
  <c r="E199" i="5"/>
  <c r="D199" i="5"/>
  <c r="C199" i="5"/>
  <c r="B199" i="5"/>
  <c r="M198" i="5"/>
  <c r="M314" i="5" s="1"/>
  <c r="L198" i="5"/>
  <c r="K198" i="5"/>
  <c r="J198" i="5"/>
  <c r="J314" i="5" s="1"/>
  <c r="I198" i="5"/>
  <c r="H198" i="5"/>
  <c r="R198" i="5" s="1"/>
  <c r="G198" i="5"/>
  <c r="F198" i="5"/>
  <c r="E198" i="5"/>
  <c r="Q198" i="5" s="1"/>
  <c r="D198" i="5"/>
  <c r="C198" i="5"/>
  <c r="B198" i="5"/>
  <c r="Q197" i="5"/>
  <c r="P197" i="5"/>
  <c r="M197" i="5"/>
  <c r="L197" i="5"/>
  <c r="K197" i="5"/>
  <c r="J197" i="5"/>
  <c r="J313" i="5" s="1"/>
  <c r="I197" i="5"/>
  <c r="H197" i="5"/>
  <c r="G197" i="5"/>
  <c r="F197" i="5"/>
  <c r="F313" i="5" s="1"/>
  <c r="E197" i="5"/>
  <c r="D197" i="5"/>
  <c r="C197" i="5"/>
  <c r="B197" i="5"/>
  <c r="N197" i="5" s="1"/>
  <c r="M196" i="5"/>
  <c r="L196" i="5"/>
  <c r="K196" i="5"/>
  <c r="S196" i="5" s="1"/>
  <c r="J196" i="5"/>
  <c r="R196" i="5" s="1"/>
  <c r="I196" i="5"/>
  <c r="H196" i="5"/>
  <c r="G196" i="5"/>
  <c r="F196" i="5"/>
  <c r="F312" i="5" s="1"/>
  <c r="E196" i="5"/>
  <c r="Q196" i="5" s="1"/>
  <c r="D196" i="5"/>
  <c r="C196" i="5"/>
  <c r="C312" i="5" s="1"/>
  <c r="B196" i="5"/>
  <c r="R195" i="5"/>
  <c r="P195" i="5"/>
  <c r="M195" i="5"/>
  <c r="L195" i="5"/>
  <c r="K195" i="5"/>
  <c r="S195" i="5" s="1"/>
  <c r="J195" i="5"/>
  <c r="I195" i="5"/>
  <c r="H195" i="5"/>
  <c r="G195" i="5"/>
  <c r="F195" i="5"/>
  <c r="E195" i="5"/>
  <c r="D195" i="5"/>
  <c r="C195" i="5"/>
  <c r="B195" i="5"/>
  <c r="N195" i="5" s="1"/>
  <c r="S194" i="5"/>
  <c r="R194" i="5"/>
  <c r="Q194" i="5"/>
  <c r="P194" i="5"/>
  <c r="M194" i="5"/>
  <c r="M310" i="5" s="1"/>
  <c r="L194" i="5"/>
  <c r="L310" i="5" s="1"/>
  <c r="K194" i="5"/>
  <c r="J194" i="5"/>
  <c r="I194" i="5"/>
  <c r="H194" i="5"/>
  <c r="G194" i="5"/>
  <c r="F194" i="5"/>
  <c r="N194" i="5" s="1"/>
  <c r="E194" i="5"/>
  <c r="D194" i="5"/>
  <c r="C194" i="5"/>
  <c r="B194" i="5"/>
  <c r="M193" i="5"/>
  <c r="M309" i="5" s="1"/>
  <c r="L193" i="5"/>
  <c r="L309" i="5" s="1"/>
  <c r="K193" i="5"/>
  <c r="K309" i="5" s="1"/>
  <c r="J193" i="5"/>
  <c r="J309" i="5" s="1"/>
  <c r="I193" i="5"/>
  <c r="I309" i="5" s="1"/>
  <c r="H193" i="5"/>
  <c r="H309" i="5" s="1"/>
  <c r="R309" i="5" s="1"/>
  <c r="G193" i="5"/>
  <c r="F193" i="5"/>
  <c r="E193" i="5"/>
  <c r="D193" i="5"/>
  <c r="C193" i="5"/>
  <c r="B193" i="5"/>
  <c r="S192" i="5"/>
  <c r="M192" i="5"/>
  <c r="L192" i="5"/>
  <c r="K192" i="5"/>
  <c r="J192" i="5"/>
  <c r="I192" i="5"/>
  <c r="H192" i="5"/>
  <c r="R192" i="5" s="1"/>
  <c r="G192" i="5"/>
  <c r="F192" i="5"/>
  <c r="E192" i="5"/>
  <c r="Q192" i="5" s="1"/>
  <c r="D192" i="5"/>
  <c r="C192" i="5"/>
  <c r="C308" i="5" s="1"/>
  <c r="B192" i="5"/>
  <c r="S191" i="5"/>
  <c r="R191" i="5"/>
  <c r="P191" i="5"/>
  <c r="M191" i="5"/>
  <c r="N191" i="5" s="1"/>
  <c r="L191" i="5"/>
  <c r="K191" i="5"/>
  <c r="J191" i="5"/>
  <c r="I191" i="5"/>
  <c r="H191" i="5"/>
  <c r="G191" i="5"/>
  <c r="F191" i="5"/>
  <c r="E191" i="5"/>
  <c r="Q191" i="5" s="1"/>
  <c r="D191" i="5"/>
  <c r="C191" i="5"/>
  <c r="B191" i="5"/>
  <c r="Q190" i="5"/>
  <c r="P190" i="5"/>
  <c r="M190" i="5"/>
  <c r="L190" i="5"/>
  <c r="S190" i="5" s="1"/>
  <c r="K190" i="5"/>
  <c r="J190" i="5"/>
  <c r="J219" i="5" s="1"/>
  <c r="I190" i="5"/>
  <c r="R190" i="5" s="1"/>
  <c r="H190" i="5"/>
  <c r="G190" i="5"/>
  <c r="F190" i="5"/>
  <c r="E190" i="5"/>
  <c r="D190" i="5"/>
  <c r="C190" i="5"/>
  <c r="C306" i="5" s="1"/>
  <c r="B190" i="5"/>
  <c r="M189" i="5"/>
  <c r="M305" i="5" s="1"/>
  <c r="L189" i="5"/>
  <c r="L305" i="5" s="1"/>
  <c r="K189" i="5"/>
  <c r="J189" i="5"/>
  <c r="I189" i="5"/>
  <c r="I305" i="5" s="1"/>
  <c r="H189" i="5"/>
  <c r="R189" i="5" s="1"/>
  <c r="G189" i="5"/>
  <c r="F189" i="5"/>
  <c r="E189" i="5"/>
  <c r="Q189" i="5" s="1"/>
  <c r="D189" i="5"/>
  <c r="D218" i="5" s="1"/>
  <c r="P218" i="5" s="1"/>
  <c r="C189" i="5"/>
  <c r="C218" i="5" s="1"/>
  <c r="B189" i="5"/>
  <c r="P188" i="5"/>
  <c r="N188" i="5"/>
  <c r="M188" i="5"/>
  <c r="L188" i="5"/>
  <c r="K188" i="5"/>
  <c r="K304" i="5" s="1"/>
  <c r="J188" i="5"/>
  <c r="I188" i="5"/>
  <c r="I304" i="5" s="1"/>
  <c r="H188" i="5"/>
  <c r="G188" i="5"/>
  <c r="F188" i="5"/>
  <c r="E188" i="5"/>
  <c r="D188" i="5"/>
  <c r="D304" i="5" s="1"/>
  <c r="C188" i="5"/>
  <c r="B188" i="5"/>
  <c r="Q187" i="5"/>
  <c r="P187" i="5"/>
  <c r="M187" i="5"/>
  <c r="L187" i="5"/>
  <c r="K187" i="5"/>
  <c r="S187" i="5" s="1"/>
  <c r="J187" i="5"/>
  <c r="J303" i="5" s="1"/>
  <c r="I187" i="5"/>
  <c r="I303" i="5" s="1"/>
  <c r="H187" i="5"/>
  <c r="G187" i="5"/>
  <c r="F187" i="5"/>
  <c r="E187" i="5"/>
  <c r="D187" i="5"/>
  <c r="C187" i="5"/>
  <c r="B187" i="5"/>
  <c r="M186" i="5"/>
  <c r="L186" i="5"/>
  <c r="K186" i="5"/>
  <c r="S186" i="5" s="1"/>
  <c r="J186" i="5"/>
  <c r="R186" i="5" s="1"/>
  <c r="I186" i="5"/>
  <c r="H186" i="5"/>
  <c r="G186" i="5"/>
  <c r="F186" i="5"/>
  <c r="F302" i="5" s="1"/>
  <c r="E186" i="5"/>
  <c r="E302" i="5" s="1"/>
  <c r="D186" i="5"/>
  <c r="D302" i="5" s="1"/>
  <c r="C186" i="5"/>
  <c r="C302" i="5" s="1"/>
  <c r="B186" i="5"/>
  <c r="B302" i="5" s="1"/>
  <c r="P185" i="5"/>
  <c r="M185" i="5"/>
  <c r="M301" i="5" s="1"/>
  <c r="L185" i="5"/>
  <c r="K185" i="5"/>
  <c r="J185" i="5"/>
  <c r="I185" i="5"/>
  <c r="R185" i="5" s="1"/>
  <c r="H185" i="5"/>
  <c r="G185" i="5"/>
  <c r="F185" i="5"/>
  <c r="E185" i="5"/>
  <c r="D185" i="5"/>
  <c r="C185" i="5"/>
  <c r="B185" i="5"/>
  <c r="Q184" i="5"/>
  <c r="M184" i="5"/>
  <c r="L184" i="5"/>
  <c r="L300" i="5" s="1"/>
  <c r="K184" i="5"/>
  <c r="S184" i="5" s="1"/>
  <c r="J184" i="5"/>
  <c r="J300" i="5" s="1"/>
  <c r="I184" i="5"/>
  <c r="I300" i="5" s="1"/>
  <c r="H184" i="5"/>
  <c r="G184" i="5"/>
  <c r="G300" i="5" s="1"/>
  <c r="F184" i="5"/>
  <c r="F300" i="5" s="1"/>
  <c r="E184" i="5"/>
  <c r="D184" i="5"/>
  <c r="C184" i="5"/>
  <c r="B184" i="5"/>
  <c r="S183" i="5"/>
  <c r="R183" i="5"/>
  <c r="M183" i="5"/>
  <c r="L183" i="5"/>
  <c r="K183" i="5"/>
  <c r="J183" i="5"/>
  <c r="I183" i="5"/>
  <c r="H183" i="5"/>
  <c r="G183" i="5"/>
  <c r="G299" i="5" s="1"/>
  <c r="F183" i="5"/>
  <c r="F299" i="5" s="1"/>
  <c r="E183" i="5"/>
  <c r="D183" i="5"/>
  <c r="C183" i="5"/>
  <c r="B183" i="5"/>
  <c r="N183" i="5" s="1"/>
  <c r="R182" i="5"/>
  <c r="M182" i="5"/>
  <c r="L182" i="5"/>
  <c r="S182" i="5" s="1"/>
  <c r="K182" i="5"/>
  <c r="J182" i="5"/>
  <c r="I182" i="5"/>
  <c r="H182" i="5"/>
  <c r="G182" i="5"/>
  <c r="F182" i="5"/>
  <c r="E182" i="5"/>
  <c r="D182" i="5"/>
  <c r="C182" i="5"/>
  <c r="B182" i="5"/>
  <c r="R181" i="5"/>
  <c r="Q181" i="5"/>
  <c r="P181" i="5"/>
  <c r="M181" i="5"/>
  <c r="M297" i="5" s="1"/>
  <c r="L181" i="5"/>
  <c r="K181" i="5"/>
  <c r="J181" i="5"/>
  <c r="I181" i="5"/>
  <c r="I297" i="5" s="1"/>
  <c r="H181" i="5"/>
  <c r="G181" i="5"/>
  <c r="F181" i="5"/>
  <c r="E181" i="5"/>
  <c r="D181" i="5"/>
  <c r="C181" i="5"/>
  <c r="B181" i="5"/>
  <c r="M180" i="5"/>
  <c r="L180" i="5"/>
  <c r="L296" i="5" s="1"/>
  <c r="K180" i="5"/>
  <c r="J180" i="5"/>
  <c r="J296" i="5" s="1"/>
  <c r="I180" i="5"/>
  <c r="I296" i="5" s="1"/>
  <c r="H180" i="5"/>
  <c r="N180" i="5" s="1"/>
  <c r="G180" i="5"/>
  <c r="G209" i="5" s="1"/>
  <c r="F180" i="5"/>
  <c r="Q180" i="5" s="1"/>
  <c r="E180" i="5"/>
  <c r="D180" i="5"/>
  <c r="D296" i="5" s="1"/>
  <c r="C180" i="5"/>
  <c r="B180" i="5"/>
  <c r="M179" i="5"/>
  <c r="M295" i="5" s="1"/>
  <c r="L179" i="5"/>
  <c r="K179" i="5"/>
  <c r="J179" i="5"/>
  <c r="I179" i="5"/>
  <c r="I295" i="5" s="1"/>
  <c r="H179" i="5"/>
  <c r="R179" i="5" s="1"/>
  <c r="G179" i="5"/>
  <c r="F179" i="5"/>
  <c r="F295" i="5" s="1"/>
  <c r="E179" i="5"/>
  <c r="Q179" i="5" s="1"/>
  <c r="D179" i="5"/>
  <c r="C179" i="5"/>
  <c r="C295" i="5" s="1"/>
  <c r="B179" i="5"/>
  <c r="S176" i="5"/>
  <c r="Q176" i="5"/>
  <c r="N176" i="5"/>
  <c r="M176" i="5"/>
  <c r="L176" i="5"/>
  <c r="K176" i="5"/>
  <c r="J176" i="5"/>
  <c r="I176" i="5"/>
  <c r="H176" i="5"/>
  <c r="G176" i="5"/>
  <c r="F176" i="5"/>
  <c r="E176" i="5"/>
  <c r="D176" i="5"/>
  <c r="D234" i="5" s="1"/>
  <c r="C176" i="5"/>
  <c r="C292" i="5" s="1"/>
  <c r="B176" i="5"/>
  <c r="B292" i="5" s="1"/>
  <c r="Q175" i="5"/>
  <c r="P175" i="5"/>
  <c r="M175" i="5"/>
  <c r="L175" i="5"/>
  <c r="K175" i="5"/>
  <c r="J175" i="5"/>
  <c r="I175" i="5"/>
  <c r="R175" i="5" s="1"/>
  <c r="H175" i="5"/>
  <c r="G175" i="5"/>
  <c r="F175" i="5"/>
  <c r="E175" i="5"/>
  <c r="D175" i="5"/>
  <c r="C175" i="5"/>
  <c r="B175" i="5"/>
  <c r="M174" i="5"/>
  <c r="M290" i="5" s="1"/>
  <c r="L174" i="5"/>
  <c r="L232" i="5" s="1"/>
  <c r="K174" i="5"/>
  <c r="J174" i="5"/>
  <c r="J290" i="5" s="1"/>
  <c r="I174" i="5"/>
  <c r="H174" i="5"/>
  <c r="R174" i="5" s="1"/>
  <c r="G174" i="5"/>
  <c r="F174" i="5"/>
  <c r="E174" i="5"/>
  <c r="D174" i="5"/>
  <c r="C174" i="5"/>
  <c r="B174" i="5"/>
  <c r="M173" i="5"/>
  <c r="L173" i="5"/>
  <c r="K173" i="5"/>
  <c r="S173" i="5" s="1"/>
  <c r="J173" i="5"/>
  <c r="J231" i="5" s="1"/>
  <c r="I173" i="5"/>
  <c r="I231" i="5" s="1"/>
  <c r="H173" i="5"/>
  <c r="G173" i="5"/>
  <c r="G289" i="5" s="1"/>
  <c r="F173" i="5"/>
  <c r="F289" i="5" s="1"/>
  <c r="E173" i="5"/>
  <c r="E289" i="5" s="1"/>
  <c r="Q289" i="5" s="1"/>
  <c r="D173" i="5"/>
  <c r="P173" i="5" s="1"/>
  <c r="C173" i="5"/>
  <c r="B173" i="5"/>
  <c r="S172" i="5"/>
  <c r="R172" i="5"/>
  <c r="Q172" i="5"/>
  <c r="M172" i="5"/>
  <c r="L172" i="5"/>
  <c r="K172" i="5"/>
  <c r="K288" i="5" s="1"/>
  <c r="J172" i="5"/>
  <c r="J288" i="5" s="1"/>
  <c r="I172" i="5"/>
  <c r="H172" i="5"/>
  <c r="H288" i="5" s="1"/>
  <c r="G172" i="5"/>
  <c r="G288" i="5" s="1"/>
  <c r="F172" i="5"/>
  <c r="E172" i="5"/>
  <c r="D172" i="5"/>
  <c r="C172" i="5"/>
  <c r="B172" i="5"/>
  <c r="R171" i="5"/>
  <c r="Q171" i="5"/>
  <c r="P171" i="5"/>
  <c r="M171" i="5"/>
  <c r="M287" i="5" s="1"/>
  <c r="L171" i="5"/>
  <c r="K171" i="5"/>
  <c r="S171" i="5" s="1"/>
  <c r="J171" i="5"/>
  <c r="I171" i="5"/>
  <c r="H171" i="5"/>
  <c r="G171" i="5"/>
  <c r="F171" i="5"/>
  <c r="E171" i="5"/>
  <c r="D171" i="5"/>
  <c r="C171" i="5"/>
  <c r="B171" i="5"/>
  <c r="S170" i="5"/>
  <c r="P170" i="5"/>
  <c r="M170" i="5"/>
  <c r="M286" i="5" s="1"/>
  <c r="L170" i="5"/>
  <c r="L286" i="5" s="1"/>
  <c r="K170" i="5"/>
  <c r="J170" i="5"/>
  <c r="I170" i="5"/>
  <c r="H170" i="5"/>
  <c r="G170" i="5"/>
  <c r="F170" i="5"/>
  <c r="F228" i="5" s="1"/>
  <c r="E170" i="5"/>
  <c r="D170" i="5"/>
  <c r="C170" i="5"/>
  <c r="B170" i="5"/>
  <c r="S169" i="5"/>
  <c r="R169" i="5"/>
  <c r="M169" i="5"/>
  <c r="M285" i="5" s="1"/>
  <c r="L169" i="5"/>
  <c r="L227" i="5" s="1"/>
  <c r="K169" i="5"/>
  <c r="J169" i="5"/>
  <c r="J285" i="5" s="1"/>
  <c r="I169" i="5"/>
  <c r="H169" i="5"/>
  <c r="G169" i="5"/>
  <c r="G285" i="5" s="1"/>
  <c r="F169" i="5"/>
  <c r="E169" i="5"/>
  <c r="Q169" i="5" s="1"/>
  <c r="D169" i="5"/>
  <c r="C169" i="5"/>
  <c r="B169" i="5"/>
  <c r="M168" i="5"/>
  <c r="M284" i="5" s="1"/>
  <c r="L168" i="5"/>
  <c r="K168" i="5"/>
  <c r="J168" i="5"/>
  <c r="I168" i="5"/>
  <c r="H168" i="5"/>
  <c r="R168" i="5" s="1"/>
  <c r="G168" i="5"/>
  <c r="G226" i="5" s="1"/>
  <c r="F168" i="5"/>
  <c r="F284" i="5" s="1"/>
  <c r="E168" i="5"/>
  <c r="Q168" i="5" s="1"/>
  <c r="D168" i="5"/>
  <c r="C168" i="5"/>
  <c r="B168" i="5"/>
  <c r="S167" i="5"/>
  <c r="M167" i="5"/>
  <c r="M225" i="5" s="1"/>
  <c r="L167" i="5"/>
  <c r="K167" i="5"/>
  <c r="J167" i="5"/>
  <c r="I167" i="5"/>
  <c r="H167" i="5"/>
  <c r="G167" i="5"/>
  <c r="F167" i="5"/>
  <c r="E167" i="5"/>
  <c r="D167" i="5"/>
  <c r="C167" i="5"/>
  <c r="C283" i="5" s="1"/>
  <c r="B167" i="5"/>
  <c r="B225" i="5" s="1"/>
  <c r="R166" i="5"/>
  <c r="Q166" i="5"/>
  <c r="P166" i="5"/>
  <c r="M166" i="5"/>
  <c r="S166" i="5" s="1"/>
  <c r="L166" i="5"/>
  <c r="K166" i="5"/>
  <c r="J166" i="5"/>
  <c r="J282" i="5" s="1"/>
  <c r="I166" i="5"/>
  <c r="H166" i="5"/>
  <c r="G166" i="5"/>
  <c r="F166" i="5"/>
  <c r="E166" i="5"/>
  <c r="D166" i="5"/>
  <c r="C166" i="5"/>
  <c r="C282" i="5" s="1"/>
  <c r="B166" i="5"/>
  <c r="B282" i="5" s="1"/>
  <c r="M165" i="5"/>
  <c r="L165" i="5"/>
  <c r="L281" i="5" s="1"/>
  <c r="K165" i="5"/>
  <c r="S165" i="5" s="1"/>
  <c r="J165" i="5"/>
  <c r="J281" i="5" s="1"/>
  <c r="I165" i="5"/>
  <c r="I281" i="5" s="1"/>
  <c r="H165" i="5"/>
  <c r="R165" i="5" s="1"/>
  <c r="G165" i="5"/>
  <c r="F165" i="5"/>
  <c r="E165" i="5"/>
  <c r="D165" i="5"/>
  <c r="C165" i="5"/>
  <c r="B165" i="5"/>
  <c r="M164" i="5"/>
  <c r="L164" i="5"/>
  <c r="K164" i="5"/>
  <c r="S164" i="5" s="1"/>
  <c r="J164" i="5"/>
  <c r="I164" i="5"/>
  <c r="I280" i="5" s="1"/>
  <c r="H164" i="5"/>
  <c r="G164" i="5"/>
  <c r="F164" i="5"/>
  <c r="E164" i="5"/>
  <c r="Q164" i="5" s="1"/>
  <c r="D164" i="5"/>
  <c r="C164" i="5"/>
  <c r="B164" i="5"/>
  <c r="N164" i="5" s="1"/>
  <c r="R163" i="5"/>
  <c r="Q163" i="5"/>
  <c r="P163" i="5"/>
  <c r="M163" i="5"/>
  <c r="L163" i="5"/>
  <c r="K163" i="5"/>
  <c r="S163" i="5" s="1"/>
  <c r="J163" i="5"/>
  <c r="I163" i="5"/>
  <c r="H163" i="5"/>
  <c r="G163" i="5"/>
  <c r="F163" i="5"/>
  <c r="E163" i="5"/>
  <c r="E279" i="5" s="1"/>
  <c r="D163" i="5"/>
  <c r="C163" i="5"/>
  <c r="B163" i="5"/>
  <c r="Q162" i="5"/>
  <c r="P162" i="5"/>
  <c r="M162" i="5"/>
  <c r="L162" i="5"/>
  <c r="L278" i="5" s="1"/>
  <c r="K162" i="5"/>
  <c r="K220" i="5" s="1"/>
  <c r="J162" i="5"/>
  <c r="R162" i="5" s="1"/>
  <c r="I162" i="5"/>
  <c r="H162" i="5"/>
  <c r="G162" i="5"/>
  <c r="F162" i="5"/>
  <c r="E162" i="5"/>
  <c r="D162" i="5"/>
  <c r="C162" i="5"/>
  <c r="B162" i="5"/>
  <c r="P161" i="5"/>
  <c r="M161" i="5"/>
  <c r="L161" i="5"/>
  <c r="K161" i="5"/>
  <c r="J161" i="5"/>
  <c r="I161" i="5"/>
  <c r="R161" i="5" s="1"/>
  <c r="H161" i="5"/>
  <c r="G161" i="5"/>
  <c r="G277" i="5" s="1"/>
  <c r="F161" i="5"/>
  <c r="N161" i="5" s="1"/>
  <c r="E161" i="5"/>
  <c r="D161" i="5"/>
  <c r="C161" i="5"/>
  <c r="B161" i="5"/>
  <c r="R160" i="5"/>
  <c r="Q160" i="5"/>
  <c r="M160" i="5"/>
  <c r="L160" i="5"/>
  <c r="K160" i="5"/>
  <c r="J160" i="5"/>
  <c r="I160" i="5"/>
  <c r="I276" i="5" s="1"/>
  <c r="H160" i="5"/>
  <c r="G160" i="5"/>
  <c r="F160" i="5"/>
  <c r="F276" i="5" s="1"/>
  <c r="E160" i="5"/>
  <c r="D160" i="5"/>
  <c r="P160" i="5" s="1"/>
  <c r="C160" i="5"/>
  <c r="B160" i="5"/>
  <c r="R159" i="5"/>
  <c r="M159" i="5"/>
  <c r="L159" i="5"/>
  <c r="L275" i="5" s="1"/>
  <c r="K159" i="5"/>
  <c r="K275" i="5" s="1"/>
  <c r="J159" i="5"/>
  <c r="I159" i="5"/>
  <c r="H159" i="5"/>
  <c r="G159" i="5"/>
  <c r="F159" i="5"/>
  <c r="F275" i="5" s="1"/>
  <c r="E159" i="5"/>
  <c r="D159" i="5"/>
  <c r="D275" i="5" s="1"/>
  <c r="C159" i="5"/>
  <c r="C275" i="5" s="1"/>
  <c r="B159" i="5"/>
  <c r="R158" i="5"/>
  <c r="N158" i="5"/>
  <c r="M158" i="5"/>
  <c r="M216" i="5" s="1"/>
  <c r="L158" i="5"/>
  <c r="K158" i="5"/>
  <c r="J158" i="5"/>
  <c r="I158" i="5"/>
  <c r="H158" i="5"/>
  <c r="G158" i="5"/>
  <c r="F158" i="5"/>
  <c r="E158" i="5"/>
  <c r="D158" i="5"/>
  <c r="P158" i="5" s="1"/>
  <c r="C158" i="5"/>
  <c r="C274" i="5" s="1"/>
  <c r="B158" i="5"/>
  <c r="B274" i="5" s="1"/>
  <c r="S157" i="5"/>
  <c r="M157" i="5"/>
  <c r="M273" i="5" s="1"/>
  <c r="L157" i="5"/>
  <c r="K157" i="5"/>
  <c r="J157" i="5"/>
  <c r="I157" i="5"/>
  <c r="I273" i="5" s="1"/>
  <c r="H157" i="5"/>
  <c r="R157" i="5" s="1"/>
  <c r="G157" i="5"/>
  <c r="Q157" i="5" s="1"/>
  <c r="F157" i="5"/>
  <c r="E157" i="5"/>
  <c r="D157" i="5"/>
  <c r="C157" i="5"/>
  <c r="B157" i="5"/>
  <c r="M156" i="5"/>
  <c r="L156" i="5"/>
  <c r="S156" i="5" s="1"/>
  <c r="K156" i="5"/>
  <c r="K272" i="5" s="1"/>
  <c r="J156" i="5"/>
  <c r="N156" i="5" s="1"/>
  <c r="I156" i="5"/>
  <c r="I272" i="5" s="1"/>
  <c r="H156" i="5"/>
  <c r="H272" i="5" s="1"/>
  <c r="G156" i="5"/>
  <c r="F156" i="5"/>
  <c r="Q156" i="5" s="1"/>
  <c r="E156" i="5"/>
  <c r="D156" i="5"/>
  <c r="P156" i="5" s="1"/>
  <c r="C156" i="5"/>
  <c r="B156" i="5"/>
  <c r="M155" i="5"/>
  <c r="N155" i="5" s="1"/>
  <c r="L155" i="5"/>
  <c r="L271" i="5" s="1"/>
  <c r="K155" i="5"/>
  <c r="J155" i="5"/>
  <c r="J271" i="5" s="1"/>
  <c r="I155" i="5"/>
  <c r="H155" i="5"/>
  <c r="G155" i="5"/>
  <c r="F155" i="5"/>
  <c r="F271" i="5" s="1"/>
  <c r="E155" i="5"/>
  <c r="D155" i="5"/>
  <c r="C155" i="5"/>
  <c r="C271" i="5" s="1"/>
  <c r="B155" i="5"/>
  <c r="S154" i="5"/>
  <c r="Q154" i="5"/>
  <c r="M154" i="5"/>
  <c r="L154" i="5"/>
  <c r="K154" i="5"/>
  <c r="J154" i="5"/>
  <c r="I154" i="5"/>
  <c r="H154" i="5"/>
  <c r="G154" i="5"/>
  <c r="F154" i="5"/>
  <c r="E154" i="5"/>
  <c r="D154" i="5"/>
  <c r="C154" i="5"/>
  <c r="C270" i="5" s="1"/>
  <c r="B154" i="5"/>
  <c r="S153" i="5"/>
  <c r="R153" i="5"/>
  <c r="Q153" i="5"/>
  <c r="M153" i="5"/>
  <c r="L153" i="5"/>
  <c r="K153" i="5"/>
  <c r="J153" i="5"/>
  <c r="I153" i="5"/>
  <c r="I211" i="5" s="1"/>
  <c r="H153" i="5"/>
  <c r="G153" i="5"/>
  <c r="F153" i="5"/>
  <c r="E153" i="5"/>
  <c r="D153" i="5"/>
  <c r="C153" i="5"/>
  <c r="C269" i="5" s="1"/>
  <c r="B153" i="5"/>
  <c r="Q152" i="5"/>
  <c r="M152" i="5"/>
  <c r="M268" i="5" s="1"/>
  <c r="L152" i="5"/>
  <c r="L210" i="5" s="1"/>
  <c r="K152" i="5"/>
  <c r="S152" i="5" s="1"/>
  <c r="J152" i="5"/>
  <c r="J268" i="5" s="1"/>
  <c r="I152" i="5"/>
  <c r="H152" i="5"/>
  <c r="H210" i="5" s="1"/>
  <c r="G152" i="5"/>
  <c r="F152" i="5"/>
  <c r="F268" i="5" s="1"/>
  <c r="E152" i="5"/>
  <c r="D152" i="5"/>
  <c r="C152" i="5"/>
  <c r="B152" i="5"/>
  <c r="M151" i="5"/>
  <c r="L151" i="5"/>
  <c r="K151" i="5"/>
  <c r="J151" i="5"/>
  <c r="J267" i="5" s="1"/>
  <c r="I151" i="5"/>
  <c r="H151" i="5"/>
  <c r="R151" i="5" s="1"/>
  <c r="G151" i="5"/>
  <c r="G267" i="5" s="1"/>
  <c r="F151" i="5"/>
  <c r="F267" i="5" s="1"/>
  <c r="E151" i="5"/>
  <c r="D151" i="5"/>
  <c r="C151" i="5"/>
  <c r="C209" i="5" s="1"/>
  <c r="B151" i="5"/>
  <c r="N151" i="5" s="1"/>
  <c r="S150" i="5"/>
  <c r="R150" i="5"/>
  <c r="Q150" i="5"/>
  <c r="M150" i="5"/>
  <c r="L150" i="5"/>
  <c r="K150" i="5"/>
  <c r="K266" i="5" s="1"/>
  <c r="J150" i="5"/>
  <c r="I150" i="5"/>
  <c r="H150" i="5"/>
  <c r="G150" i="5"/>
  <c r="G266" i="5" s="1"/>
  <c r="F150" i="5"/>
  <c r="E150" i="5"/>
  <c r="E208" i="5" s="1"/>
  <c r="D150" i="5"/>
  <c r="C150" i="5"/>
  <c r="B150" i="5"/>
  <c r="N150" i="5" s="1"/>
  <c r="R147" i="5"/>
  <c r="P147" i="5"/>
  <c r="N147" i="5"/>
  <c r="M147" i="5"/>
  <c r="M234" i="5" s="1"/>
  <c r="L147" i="5"/>
  <c r="L234" i="5" s="1"/>
  <c r="K147" i="5"/>
  <c r="K234" i="5" s="1"/>
  <c r="S234" i="5" s="1"/>
  <c r="J147" i="5"/>
  <c r="J234" i="5" s="1"/>
  <c r="I147" i="5"/>
  <c r="H147" i="5"/>
  <c r="H234" i="5" s="1"/>
  <c r="G147" i="5"/>
  <c r="F147" i="5"/>
  <c r="E147" i="5"/>
  <c r="D147" i="5"/>
  <c r="C147" i="5"/>
  <c r="B147" i="5"/>
  <c r="P146" i="5"/>
  <c r="M146" i="5"/>
  <c r="L146" i="5"/>
  <c r="L262" i="5" s="1"/>
  <c r="K146" i="5"/>
  <c r="J146" i="5"/>
  <c r="J233" i="5" s="1"/>
  <c r="I146" i="5"/>
  <c r="H146" i="5"/>
  <c r="G146" i="5"/>
  <c r="F146" i="5"/>
  <c r="E146" i="5"/>
  <c r="D146" i="5"/>
  <c r="C146" i="5"/>
  <c r="B146" i="5"/>
  <c r="S145" i="5"/>
  <c r="M145" i="5"/>
  <c r="L145" i="5"/>
  <c r="L261" i="5" s="1"/>
  <c r="K145" i="5"/>
  <c r="K261" i="5" s="1"/>
  <c r="J145" i="5"/>
  <c r="J232" i="5" s="1"/>
  <c r="I145" i="5"/>
  <c r="H145" i="5"/>
  <c r="G145" i="5"/>
  <c r="G261" i="5" s="1"/>
  <c r="F145" i="5"/>
  <c r="F232" i="5" s="1"/>
  <c r="E145" i="5"/>
  <c r="D145" i="5"/>
  <c r="C145" i="5"/>
  <c r="C232" i="5" s="1"/>
  <c r="B145" i="5"/>
  <c r="M144" i="5"/>
  <c r="L144" i="5"/>
  <c r="S144" i="5" s="1"/>
  <c r="K144" i="5"/>
  <c r="J144" i="5"/>
  <c r="I144" i="5"/>
  <c r="H144" i="5"/>
  <c r="G144" i="5"/>
  <c r="F144" i="5"/>
  <c r="F260" i="5" s="1"/>
  <c r="E144" i="5"/>
  <c r="D144" i="5"/>
  <c r="C144" i="5"/>
  <c r="B144" i="5"/>
  <c r="B231" i="5" s="1"/>
  <c r="M143" i="5"/>
  <c r="L143" i="5"/>
  <c r="L230" i="5" s="1"/>
  <c r="K143" i="5"/>
  <c r="J143" i="5"/>
  <c r="I143" i="5"/>
  <c r="H143" i="5"/>
  <c r="G143" i="5"/>
  <c r="G230" i="5" s="1"/>
  <c r="F143" i="5"/>
  <c r="E143" i="5"/>
  <c r="Q143" i="5" s="1"/>
  <c r="D143" i="5"/>
  <c r="C143" i="5"/>
  <c r="B143" i="5"/>
  <c r="N143" i="5" s="1"/>
  <c r="S142" i="5"/>
  <c r="R142" i="5"/>
  <c r="Q142" i="5"/>
  <c r="M142" i="5"/>
  <c r="L142" i="5"/>
  <c r="K142" i="5"/>
  <c r="J142" i="5"/>
  <c r="J229" i="5" s="1"/>
  <c r="I142" i="5"/>
  <c r="I229" i="5" s="1"/>
  <c r="H142" i="5"/>
  <c r="G142" i="5"/>
  <c r="F142" i="5"/>
  <c r="E142" i="5"/>
  <c r="D142" i="5"/>
  <c r="C142" i="5"/>
  <c r="B142" i="5"/>
  <c r="P141" i="5"/>
  <c r="M141" i="5"/>
  <c r="L141" i="5"/>
  <c r="L228" i="5" s="1"/>
  <c r="K141" i="5"/>
  <c r="J141" i="5"/>
  <c r="I141" i="5"/>
  <c r="I228" i="5" s="1"/>
  <c r="H141" i="5"/>
  <c r="G141" i="5"/>
  <c r="G228" i="5" s="1"/>
  <c r="F141" i="5"/>
  <c r="E141" i="5"/>
  <c r="D141" i="5"/>
  <c r="C141" i="5"/>
  <c r="B141" i="5"/>
  <c r="M140" i="5"/>
  <c r="L140" i="5"/>
  <c r="K140" i="5"/>
  <c r="S140" i="5" s="1"/>
  <c r="J140" i="5"/>
  <c r="I140" i="5"/>
  <c r="I256" i="5" s="1"/>
  <c r="H140" i="5"/>
  <c r="G140" i="5"/>
  <c r="G256" i="5" s="1"/>
  <c r="G343" i="5" s="1"/>
  <c r="F140" i="5"/>
  <c r="F227" i="5" s="1"/>
  <c r="E140" i="5"/>
  <c r="D140" i="5"/>
  <c r="P140" i="5" s="1"/>
  <c r="C140" i="5"/>
  <c r="B140" i="5"/>
  <c r="B227" i="5" s="1"/>
  <c r="R139" i="5"/>
  <c r="M139" i="5"/>
  <c r="L139" i="5"/>
  <c r="L226" i="5" s="1"/>
  <c r="K139" i="5"/>
  <c r="J139" i="5"/>
  <c r="I139" i="5"/>
  <c r="H139" i="5"/>
  <c r="G139" i="5"/>
  <c r="F139" i="5"/>
  <c r="E139" i="5"/>
  <c r="D139" i="5"/>
  <c r="C139" i="5"/>
  <c r="B139" i="5"/>
  <c r="R138" i="5"/>
  <c r="Q138" i="5"/>
  <c r="P138" i="5"/>
  <c r="M138" i="5"/>
  <c r="L138" i="5"/>
  <c r="L225" i="5" s="1"/>
  <c r="K138" i="5"/>
  <c r="S138" i="5" s="1"/>
  <c r="J138" i="5"/>
  <c r="I138" i="5"/>
  <c r="H138" i="5"/>
  <c r="G138" i="5"/>
  <c r="F138" i="5"/>
  <c r="E138" i="5"/>
  <c r="D138" i="5"/>
  <c r="C138" i="5"/>
  <c r="B138" i="5"/>
  <c r="P137" i="5"/>
  <c r="M137" i="5"/>
  <c r="L137" i="5"/>
  <c r="L224" i="5" s="1"/>
  <c r="K137" i="5"/>
  <c r="J137" i="5"/>
  <c r="J224" i="5" s="1"/>
  <c r="I137" i="5"/>
  <c r="I224" i="5" s="1"/>
  <c r="H137" i="5"/>
  <c r="G137" i="5"/>
  <c r="G224" i="5" s="1"/>
  <c r="F137" i="5"/>
  <c r="E137" i="5"/>
  <c r="D137" i="5"/>
  <c r="C137" i="5"/>
  <c r="B137" i="5"/>
  <c r="M136" i="5"/>
  <c r="L136" i="5"/>
  <c r="K136" i="5"/>
  <c r="J136" i="5"/>
  <c r="J252" i="5" s="1"/>
  <c r="J339" i="5" s="1"/>
  <c r="I136" i="5"/>
  <c r="H136" i="5"/>
  <c r="G136" i="5"/>
  <c r="G252" i="5" s="1"/>
  <c r="F136" i="5"/>
  <c r="E136" i="5"/>
  <c r="D136" i="5"/>
  <c r="C136" i="5"/>
  <c r="C223" i="5" s="1"/>
  <c r="B136" i="5"/>
  <c r="R135" i="5"/>
  <c r="M135" i="5"/>
  <c r="L135" i="5"/>
  <c r="K135" i="5"/>
  <c r="J135" i="5"/>
  <c r="I135" i="5"/>
  <c r="H135" i="5"/>
  <c r="G135" i="5"/>
  <c r="F135" i="5"/>
  <c r="F222" i="5" s="1"/>
  <c r="E135" i="5"/>
  <c r="E222" i="5" s="1"/>
  <c r="D135" i="5"/>
  <c r="D251" i="5" s="1"/>
  <c r="C135" i="5"/>
  <c r="C222" i="5" s="1"/>
  <c r="B135" i="5"/>
  <c r="N135" i="5" s="1"/>
  <c r="S134" i="5"/>
  <c r="R134" i="5"/>
  <c r="M134" i="5"/>
  <c r="M221" i="5" s="1"/>
  <c r="L134" i="5"/>
  <c r="L221" i="5" s="1"/>
  <c r="K134" i="5"/>
  <c r="K221" i="5" s="1"/>
  <c r="J134" i="5"/>
  <c r="I134" i="5"/>
  <c r="H134" i="5"/>
  <c r="G134" i="5"/>
  <c r="G221" i="5" s="1"/>
  <c r="F134" i="5"/>
  <c r="E134" i="5"/>
  <c r="D134" i="5"/>
  <c r="C134" i="5"/>
  <c r="B134" i="5"/>
  <c r="M133" i="5"/>
  <c r="L133" i="5"/>
  <c r="L220" i="5" s="1"/>
  <c r="K133" i="5"/>
  <c r="S133" i="5" s="1"/>
  <c r="J133" i="5"/>
  <c r="I133" i="5"/>
  <c r="I220" i="5" s="1"/>
  <c r="H133" i="5"/>
  <c r="G133" i="5"/>
  <c r="N133" i="5" s="1"/>
  <c r="F133" i="5"/>
  <c r="E133" i="5"/>
  <c r="D133" i="5"/>
  <c r="C133" i="5"/>
  <c r="B133" i="5"/>
  <c r="S132" i="5"/>
  <c r="M132" i="5"/>
  <c r="L132" i="5"/>
  <c r="K132" i="5"/>
  <c r="K219" i="5" s="1"/>
  <c r="J132" i="5"/>
  <c r="I132" i="5"/>
  <c r="I248" i="5" s="1"/>
  <c r="H132" i="5"/>
  <c r="G132" i="5"/>
  <c r="F132" i="5"/>
  <c r="E132" i="5"/>
  <c r="D132" i="5"/>
  <c r="N132" i="5" s="1"/>
  <c r="C132" i="5"/>
  <c r="B132" i="5"/>
  <c r="B219" i="5" s="1"/>
  <c r="M131" i="5"/>
  <c r="N131" i="5" s="1"/>
  <c r="L131" i="5"/>
  <c r="L218" i="5" s="1"/>
  <c r="K131" i="5"/>
  <c r="J131" i="5"/>
  <c r="J247" i="5" s="1"/>
  <c r="I131" i="5"/>
  <c r="H131" i="5"/>
  <c r="R131" i="5" s="1"/>
  <c r="G131" i="5"/>
  <c r="G247" i="5" s="1"/>
  <c r="F131" i="5"/>
  <c r="F247" i="5" s="1"/>
  <c r="E131" i="5"/>
  <c r="D131" i="5"/>
  <c r="C131" i="5"/>
  <c r="B131" i="5"/>
  <c r="S130" i="5"/>
  <c r="Q130" i="5"/>
  <c r="M130" i="5"/>
  <c r="L130" i="5"/>
  <c r="K130" i="5"/>
  <c r="J130" i="5"/>
  <c r="I130" i="5"/>
  <c r="H130" i="5"/>
  <c r="G130" i="5"/>
  <c r="F130" i="5"/>
  <c r="F217" i="5" s="1"/>
  <c r="E130" i="5"/>
  <c r="E217" i="5" s="1"/>
  <c r="D130" i="5"/>
  <c r="C130" i="5"/>
  <c r="B130" i="5"/>
  <c r="S129" i="5"/>
  <c r="R129" i="5"/>
  <c r="Q129" i="5"/>
  <c r="M129" i="5"/>
  <c r="L129" i="5"/>
  <c r="K129" i="5"/>
  <c r="K216" i="5" s="1"/>
  <c r="J129" i="5"/>
  <c r="I129" i="5"/>
  <c r="H129" i="5"/>
  <c r="G129" i="5"/>
  <c r="F129" i="5"/>
  <c r="E129" i="5"/>
  <c r="D129" i="5"/>
  <c r="D216" i="5" s="1"/>
  <c r="C129" i="5"/>
  <c r="B129" i="5"/>
  <c r="Q128" i="5"/>
  <c r="P128" i="5"/>
  <c r="M128" i="5"/>
  <c r="M215" i="5" s="1"/>
  <c r="L128" i="5"/>
  <c r="L244" i="5" s="1"/>
  <c r="K128" i="5"/>
  <c r="J128" i="5"/>
  <c r="J215" i="5" s="1"/>
  <c r="I128" i="5"/>
  <c r="H128" i="5"/>
  <c r="G128" i="5"/>
  <c r="F128" i="5"/>
  <c r="F215" i="5" s="1"/>
  <c r="E128" i="5"/>
  <c r="D128" i="5"/>
  <c r="C128" i="5"/>
  <c r="B128" i="5"/>
  <c r="M127" i="5"/>
  <c r="M214" i="5" s="1"/>
  <c r="L127" i="5"/>
  <c r="K127" i="5"/>
  <c r="J127" i="5"/>
  <c r="J243" i="5" s="1"/>
  <c r="I127" i="5"/>
  <c r="I243" i="5" s="1"/>
  <c r="H127" i="5"/>
  <c r="R127" i="5" s="1"/>
  <c r="G127" i="5"/>
  <c r="G214" i="5" s="1"/>
  <c r="F127" i="5"/>
  <c r="F214" i="5" s="1"/>
  <c r="E127" i="5"/>
  <c r="Q127" i="5" s="1"/>
  <c r="D127" i="5"/>
  <c r="D214" i="5" s="1"/>
  <c r="P214" i="5" s="1"/>
  <c r="C127" i="5"/>
  <c r="C214" i="5" s="1"/>
  <c r="B127" i="5"/>
  <c r="S126" i="5"/>
  <c r="M126" i="5"/>
  <c r="L126" i="5"/>
  <c r="K126" i="5"/>
  <c r="J126" i="5"/>
  <c r="I126" i="5"/>
  <c r="H126" i="5"/>
  <c r="H213" i="5" s="1"/>
  <c r="G126" i="5"/>
  <c r="G213" i="5" s="1"/>
  <c r="F126" i="5"/>
  <c r="F213" i="5" s="1"/>
  <c r="E126" i="5"/>
  <c r="D126" i="5"/>
  <c r="C126" i="5"/>
  <c r="B126" i="5"/>
  <c r="R125" i="5"/>
  <c r="Q125" i="5"/>
  <c r="P125" i="5"/>
  <c r="M125" i="5"/>
  <c r="M212" i="5" s="1"/>
  <c r="L125" i="5"/>
  <c r="L212" i="5" s="1"/>
  <c r="K125" i="5"/>
  <c r="K212" i="5" s="1"/>
  <c r="S212" i="5" s="1"/>
  <c r="J125" i="5"/>
  <c r="I125" i="5"/>
  <c r="H125" i="5"/>
  <c r="G125" i="5"/>
  <c r="F125" i="5"/>
  <c r="F241" i="5" s="1"/>
  <c r="E125" i="5"/>
  <c r="D125" i="5"/>
  <c r="C125" i="5"/>
  <c r="B125" i="5"/>
  <c r="P124" i="5"/>
  <c r="M124" i="5"/>
  <c r="M211" i="5" s="1"/>
  <c r="L124" i="5"/>
  <c r="L211" i="5" s="1"/>
  <c r="K124" i="5"/>
  <c r="K211" i="5" s="1"/>
  <c r="S211" i="5" s="1"/>
  <c r="J124" i="5"/>
  <c r="J211" i="5" s="1"/>
  <c r="R211" i="5" s="1"/>
  <c r="I124" i="5"/>
  <c r="H124" i="5"/>
  <c r="H211" i="5" s="1"/>
  <c r="G124" i="5"/>
  <c r="G211" i="5" s="1"/>
  <c r="F124" i="5"/>
  <c r="N124" i="5" s="1"/>
  <c r="E124" i="5"/>
  <c r="E211" i="5" s="1"/>
  <c r="D124" i="5"/>
  <c r="C124" i="5"/>
  <c r="B124" i="5"/>
  <c r="M123" i="5"/>
  <c r="L123" i="5"/>
  <c r="K123" i="5"/>
  <c r="J123" i="5"/>
  <c r="I123" i="5"/>
  <c r="H123" i="5"/>
  <c r="H239" i="5" s="1"/>
  <c r="G123" i="5"/>
  <c r="F123" i="5"/>
  <c r="F210" i="5" s="1"/>
  <c r="E123" i="5"/>
  <c r="D123" i="5"/>
  <c r="C123" i="5"/>
  <c r="C210" i="5" s="1"/>
  <c r="B123" i="5"/>
  <c r="M122" i="5"/>
  <c r="L122" i="5"/>
  <c r="S122" i="5" s="1"/>
  <c r="K122" i="5"/>
  <c r="K209" i="5" s="1"/>
  <c r="J122" i="5"/>
  <c r="J209" i="5" s="1"/>
  <c r="I122" i="5"/>
  <c r="H122" i="5"/>
  <c r="G122" i="5"/>
  <c r="F122" i="5"/>
  <c r="E122" i="5"/>
  <c r="D122" i="5"/>
  <c r="C122" i="5"/>
  <c r="B122" i="5"/>
  <c r="B209" i="5" s="1"/>
  <c r="P121" i="5"/>
  <c r="M121" i="5"/>
  <c r="L121" i="5"/>
  <c r="K121" i="5"/>
  <c r="J121" i="5"/>
  <c r="I121" i="5"/>
  <c r="H121" i="5"/>
  <c r="R121" i="5" s="1"/>
  <c r="G121" i="5"/>
  <c r="G237" i="5" s="1"/>
  <c r="F121" i="5"/>
  <c r="E121" i="5"/>
  <c r="Q121" i="5" s="1"/>
  <c r="D121" i="5"/>
  <c r="D208" i="5" s="1"/>
  <c r="C121" i="5"/>
  <c r="C237" i="5" s="1"/>
  <c r="B121" i="5"/>
  <c r="B237" i="5" s="1"/>
  <c r="M118" i="5"/>
  <c r="L117" i="5"/>
  <c r="K117" i="5"/>
  <c r="J116" i="5"/>
  <c r="G116" i="5"/>
  <c r="C116" i="5"/>
  <c r="E115" i="5"/>
  <c r="L113" i="5"/>
  <c r="K113" i="5"/>
  <c r="J113" i="5"/>
  <c r="I113" i="5"/>
  <c r="L112" i="5"/>
  <c r="D112" i="5"/>
  <c r="K111" i="5"/>
  <c r="G111" i="5"/>
  <c r="F111" i="5"/>
  <c r="F110" i="5"/>
  <c r="B110" i="5"/>
  <c r="L109" i="5"/>
  <c r="K109" i="5"/>
  <c r="L108" i="5"/>
  <c r="B108" i="5"/>
  <c r="I107" i="5"/>
  <c r="F107" i="5"/>
  <c r="H106" i="5"/>
  <c r="D106" i="5"/>
  <c r="C106" i="5"/>
  <c r="D105" i="5"/>
  <c r="K103" i="5"/>
  <c r="H103" i="5"/>
  <c r="G103" i="5"/>
  <c r="F103" i="5"/>
  <c r="E103" i="5"/>
  <c r="Q103" i="5" s="1"/>
  <c r="D103" i="5"/>
  <c r="F102" i="5"/>
  <c r="E102" i="5"/>
  <c r="D102" i="5"/>
  <c r="E101" i="5"/>
  <c r="M99" i="5"/>
  <c r="L99" i="5"/>
  <c r="K99" i="5"/>
  <c r="S99" i="5" s="1"/>
  <c r="J99" i="5"/>
  <c r="I99" i="5"/>
  <c r="H99" i="5"/>
  <c r="R99" i="5" s="1"/>
  <c r="G99" i="5"/>
  <c r="F99" i="5"/>
  <c r="H98" i="5"/>
  <c r="C97" i="5"/>
  <c r="B97" i="5"/>
  <c r="H96" i="5"/>
  <c r="R96" i="5" s="1"/>
  <c r="C96" i="5"/>
  <c r="B96" i="5"/>
  <c r="M95" i="5"/>
  <c r="L95" i="5"/>
  <c r="K95" i="5"/>
  <c r="S95" i="5" s="1"/>
  <c r="J94" i="5"/>
  <c r="C94" i="5"/>
  <c r="J93" i="5"/>
  <c r="I93" i="5"/>
  <c r="E93" i="5"/>
  <c r="D93" i="5"/>
  <c r="P93" i="5" s="1"/>
  <c r="C93" i="5"/>
  <c r="B93" i="5"/>
  <c r="D92" i="5"/>
  <c r="P89" i="5"/>
  <c r="M89" i="5"/>
  <c r="L89" i="5"/>
  <c r="L118" i="5" s="1"/>
  <c r="K89" i="5"/>
  <c r="J89" i="5"/>
  <c r="J321" i="5" s="1"/>
  <c r="I89" i="5"/>
  <c r="R89" i="5" s="1"/>
  <c r="H89" i="5"/>
  <c r="G89" i="5"/>
  <c r="F89" i="5"/>
  <c r="F321" i="5" s="1"/>
  <c r="E89" i="5"/>
  <c r="D89" i="5"/>
  <c r="D321" i="5" s="1"/>
  <c r="C89" i="5"/>
  <c r="B89" i="5"/>
  <c r="M88" i="5"/>
  <c r="L88" i="5"/>
  <c r="K88" i="5"/>
  <c r="S88" i="5" s="1"/>
  <c r="J88" i="5"/>
  <c r="J117" i="5" s="1"/>
  <c r="I88" i="5"/>
  <c r="H88" i="5"/>
  <c r="R88" i="5" s="1"/>
  <c r="G88" i="5"/>
  <c r="F88" i="5"/>
  <c r="E88" i="5"/>
  <c r="D88" i="5"/>
  <c r="C88" i="5"/>
  <c r="B88" i="5"/>
  <c r="R87" i="5"/>
  <c r="M87" i="5"/>
  <c r="L87" i="5"/>
  <c r="K87" i="5"/>
  <c r="S87" i="5" s="1"/>
  <c r="J87" i="5"/>
  <c r="I87" i="5"/>
  <c r="H87" i="5"/>
  <c r="G87" i="5"/>
  <c r="F87" i="5"/>
  <c r="E87" i="5"/>
  <c r="Q87" i="5" s="1"/>
  <c r="D87" i="5"/>
  <c r="C87" i="5"/>
  <c r="B87" i="5"/>
  <c r="N87" i="5" s="1"/>
  <c r="R86" i="5"/>
  <c r="M86" i="5"/>
  <c r="S86" i="5" s="1"/>
  <c r="L86" i="5"/>
  <c r="K86" i="5"/>
  <c r="J86" i="5"/>
  <c r="I86" i="5"/>
  <c r="H86" i="5"/>
  <c r="G86" i="5"/>
  <c r="F86" i="5"/>
  <c r="E86" i="5"/>
  <c r="D86" i="5"/>
  <c r="P86" i="5" s="1"/>
  <c r="C86" i="5"/>
  <c r="B86" i="5"/>
  <c r="B115" i="5" s="1"/>
  <c r="M85" i="5"/>
  <c r="L85" i="5"/>
  <c r="L317" i="5" s="1"/>
  <c r="K85" i="5"/>
  <c r="J85" i="5"/>
  <c r="I85" i="5"/>
  <c r="H85" i="5"/>
  <c r="R85" i="5" s="1"/>
  <c r="G85" i="5"/>
  <c r="Q85" i="5" s="1"/>
  <c r="F85" i="5"/>
  <c r="E85" i="5"/>
  <c r="D85" i="5"/>
  <c r="C85" i="5"/>
  <c r="B85" i="5"/>
  <c r="M84" i="5"/>
  <c r="S84" i="5" s="1"/>
  <c r="L84" i="5"/>
  <c r="K84" i="5"/>
  <c r="J84" i="5"/>
  <c r="I84" i="5"/>
  <c r="H84" i="5"/>
  <c r="R84" i="5" s="1"/>
  <c r="G84" i="5"/>
  <c r="F84" i="5"/>
  <c r="Q84" i="5" s="1"/>
  <c r="E84" i="5"/>
  <c r="D84" i="5"/>
  <c r="C84" i="5"/>
  <c r="N84" i="5" s="1"/>
  <c r="B84" i="5"/>
  <c r="M83" i="5"/>
  <c r="L83" i="5"/>
  <c r="K83" i="5"/>
  <c r="S83" i="5" s="1"/>
  <c r="J83" i="5"/>
  <c r="I83" i="5"/>
  <c r="I112" i="5" s="1"/>
  <c r="H83" i="5"/>
  <c r="R83" i="5" s="1"/>
  <c r="G83" i="5"/>
  <c r="G112" i="5" s="1"/>
  <c r="F83" i="5"/>
  <c r="E83" i="5"/>
  <c r="D83" i="5"/>
  <c r="C83" i="5"/>
  <c r="B83" i="5"/>
  <c r="S82" i="5"/>
  <c r="Q82" i="5"/>
  <c r="M82" i="5"/>
  <c r="L82" i="5"/>
  <c r="K82" i="5"/>
  <c r="J82" i="5"/>
  <c r="I82" i="5"/>
  <c r="H82" i="5"/>
  <c r="R82" i="5" s="1"/>
  <c r="G82" i="5"/>
  <c r="F82" i="5"/>
  <c r="E82" i="5"/>
  <c r="D82" i="5"/>
  <c r="D111" i="5" s="1"/>
  <c r="C82" i="5"/>
  <c r="B82" i="5"/>
  <c r="N82" i="5" s="1"/>
  <c r="S81" i="5"/>
  <c r="R81" i="5"/>
  <c r="Q81" i="5"/>
  <c r="P81" i="5"/>
  <c r="M81" i="5"/>
  <c r="L81" i="5"/>
  <c r="K81" i="5"/>
  <c r="J81" i="5"/>
  <c r="I81" i="5"/>
  <c r="H81" i="5"/>
  <c r="G81" i="5"/>
  <c r="F81" i="5"/>
  <c r="E81" i="5"/>
  <c r="D81" i="5"/>
  <c r="C81" i="5"/>
  <c r="N81" i="5" s="1"/>
  <c r="B81" i="5"/>
  <c r="Q80" i="5"/>
  <c r="P80" i="5"/>
  <c r="M80" i="5"/>
  <c r="L80" i="5"/>
  <c r="L312" i="5" s="1"/>
  <c r="K80" i="5"/>
  <c r="S80" i="5" s="1"/>
  <c r="J80" i="5"/>
  <c r="I80" i="5"/>
  <c r="I109" i="5" s="1"/>
  <c r="H80" i="5"/>
  <c r="R80" i="5" s="1"/>
  <c r="G80" i="5"/>
  <c r="F80" i="5"/>
  <c r="E80" i="5"/>
  <c r="D80" i="5"/>
  <c r="C80" i="5"/>
  <c r="B80" i="5"/>
  <c r="M79" i="5"/>
  <c r="L79" i="5"/>
  <c r="K79" i="5"/>
  <c r="S79" i="5" s="1"/>
  <c r="J79" i="5"/>
  <c r="I79" i="5"/>
  <c r="H79" i="5"/>
  <c r="R79" i="5" s="1"/>
  <c r="G79" i="5"/>
  <c r="G108" i="5" s="1"/>
  <c r="F79" i="5"/>
  <c r="E79" i="5"/>
  <c r="Q79" i="5" s="1"/>
  <c r="D79" i="5"/>
  <c r="D311" i="5" s="1"/>
  <c r="C79" i="5"/>
  <c r="N79" i="5" s="1"/>
  <c r="B79" i="5"/>
  <c r="S78" i="5"/>
  <c r="R78" i="5"/>
  <c r="M78" i="5"/>
  <c r="L78" i="5"/>
  <c r="K78" i="5"/>
  <c r="J78" i="5"/>
  <c r="I78" i="5"/>
  <c r="H78" i="5"/>
  <c r="G78" i="5"/>
  <c r="F78" i="5"/>
  <c r="E78" i="5"/>
  <c r="Q78" i="5" s="1"/>
  <c r="D78" i="5"/>
  <c r="C78" i="5"/>
  <c r="B78" i="5"/>
  <c r="R77" i="5"/>
  <c r="Q77" i="5"/>
  <c r="P77" i="5"/>
  <c r="M77" i="5"/>
  <c r="L77" i="5"/>
  <c r="K77" i="5"/>
  <c r="S77" i="5" s="1"/>
  <c r="J77" i="5"/>
  <c r="I77" i="5"/>
  <c r="H77" i="5"/>
  <c r="G77" i="5"/>
  <c r="F77" i="5"/>
  <c r="E77" i="5"/>
  <c r="D77" i="5"/>
  <c r="C77" i="5"/>
  <c r="B77" i="5"/>
  <c r="P76" i="5"/>
  <c r="M76" i="5"/>
  <c r="M105" i="5" s="1"/>
  <c r="L76" i="5"/>
  <c r="K76" i="5"/>
  <c r="K308" i="5" s="1"/>
  <c r="J76" i="5"/>
  <c r="I76" i="5"/>
  <c r="H76" i="5"/>
  <c r="R76" i="5" s="1"/>
  <c r="G76" i="5"/>
  <c r="F76" i="5"/>
  <c r="N76" i="5" s="1"/>
  <c r="E76" i="5"/>
  <c r="D76" i="5"/>
  <c r="C76" i="5"/>
  <c r="B76" i="5"/>
  <c r="M75" i="5"/>
  <c r="M104" i="5" s="1"/>
  <c r="L75" i="5"/>
  <c r="K75" i="5"/>
  <c r="S75" i="5" s="1"/>
  <c r="J75" i="5"/>
  <c r="I75" i="5"/>
  <c r="H75" i="5"/>
  <c r="R75" i="5" s="1"/>
  <c r="G75" i="5"/>
  <c r="F75" i="5"/>
  <c r="F307" i="5" s="1"/>
  <c r="E75" i="5"/>
  <c r="Q75" i="5" s="1"/>
  <c r="D75" i="5"/>
  <c r="C75" i="5"/>
  <c r="B75" i="5"/>
  <c r="M74" i="5"/>
  <c r="L74" i="5"/>
  <c r="S74" i="5" s="1"/>
  <c r="K74" i="5"/>
  <c r="J74" i="5"/>
  <c r="I74" i="5"/>
  <c r="H74" i="5"/>
  <c r="R74" i="5" s="1"/>
  <c r="G74" i="5"/>
  <c r="F74" i="5"/>
  <c r="E74" i="5"/>
  <c r="Q74" i="5" s="1"/>
  <c r="D74" i="5"/>
  <c r="P74" i="5" s="1"/>
  <c r="C74" i="5"/>
  <c r="B74" i="5"/>
  <c r="S73" i="5"/>
  <c r="R73" i="5"/>
  <c r="M73" i="5"/>
  <c r="L73" i="5"/>
  <c r="K73" i="5"/>
  <c r="J73" i="5"/>
  <c r="I73" i="5"/>
  <c r="H73" i="5"/>
  <c r="G73" i="5"/>
  <c r="F73" i="5"/>
  <c r="E73" i="5"/>
  <c r="Q73" i="5" s="1"/>
  <c r="D73" i="5"/>
  <c r="C73" i="5"/>
  <c r="N73" i="5" s="1"/>
  <c r="B73" i="5"/>
  <c r="Q72" i="5"/>
  <c r="M72" i="5"/>
  <c r="L72" i="5"/>
  <c r="S72" i="5" s="1"/>
  <c r="K72" i="5"/>
  <c r="J72" i="5"/>
  <c r="I72" i="5"/>
  <c r="H72" i="5"/>
  <c r="G72" i="5"/>
  <c r="F72" i="5"/>
  <c r="E72" i="5"/>
  <c r="D72" i="5"/>
  <c r="C72" i="5"/>
  <c r="B72" i="5"/>
  <c r="M71" i="5"/>
  <c r="L71" i="5"/>
  <c r="K71" i="5"/>
  <c r="J71" i="5"/>
  <c r="I71" i="5"/>
  <c r="H71" i="5"/>
  <c r="R71" i="5" s="1"/>
  <c r="G71" i="5"/>
  <c r="G303" i="5" s="1"/>
  <c r="F71" i="5"/>
  <c r="E71" i="5"/>
  <c r="D71" i="5"/>
  <c r="P71" i="5" s="1"/>
  <c r="C71" i="5"/>
  <c r="N71" i="5" s="1"/>
  <c r="B71" i="5"/>
  <c r="M70" i="5"/>
  <c r="L70" i="5"/>
  <c r="K70" i="5"/>
  <c r="S70" i="5" s="1"/>
  <c r="J70" i="5"/>
  <c r="I70" i="5"/>
  <c r="H70" i="5"/>
  <c r="G70" i="5"/>
  <c r="F70" i="5"/>
  <c r="E70" i="5"/>
  <c r="D70" i="5"/>
  <c r="C70" i="5"/>
  <c r="B70" i="5"/>
  <c r="M69" i="5"/>
  <c r="L69" i="5"/>
  <c r="K69" i="5"/>
  <c r="S69" i="5" s="1"/>
  <c r="J69" i="5"/>
  <c r="I69" i="5"/>
  <c r="R69" i="5" s="1"/>
  <c r="H69" i="5"/>
  <c r="G69" i="5"/>
  <c r="F69" i="5"/>
  <c r="E69" i="5"/>
  <c r="Q69" i="5" s="1"/>
  <c r="D69" i="5"/>
  <c r="P69" i="5" s="1"/>
  <c r="C69" i="5"/>
  <c r="C98" i="5" s="1"/>
  <c r="B69" i="5"/>
  <c r="S68" i="5"/>
  <c r="R68" i="5"/>
  <c r="M68" i="5"/>
  <c r="L68" i="5"/>
  <c r="K68" i="5"/>
  <c r="J68" i="5"/>
  <c r="I68" i="5"/>
  <c r="H68" i="5"/>
  <c r="G68" i="5"/>
  <c r="F68" i="5"/>
  <c r="E68" i="5"/>
  <c r="Q68" i="5" s="1"/>
  <c r="D68" i="5"/>
  <c r="P68" i="5" s="1"/>
  <c r="C68" i="5"/>
  <c r="B68" i="5"/>
  <c r="R67" i="5"/>
  <c r="Q67" i="5"/>
  <c r="P67" i="5"/>
  <c r="M67" i="5"/>
  <c r="L67" i="5"/>
  <c r="K67" i="5"/>
  <c r="S67" i="5" s="1"/>
  <c r="J67" i="5"/>
  <c r="J299" i="5" s="1"/>
  <c r="I67" i="5"/>
  <c r="I299" i="5" s="1"/>
  <c r="H67" i="5"/>
  <c r="G67" i="5"/>
  <c r="F67" i="5"/>
  <c r="E67" i="5"/>
  <c r="D67" i="5"/>
  <c r="C67" i="5"/>
  <c r="B67" i="5"/>
  <c r="M66" i="5"/>
  <c r="L66" i="5"/>
  <c r="K66" i="5"/>
  <c r="J66" i="5"/>
  <c r="I66" i="5"/>
  <c r="I95" i="5" s="1"/>
  <c r="H66" i="5"/>
  <c r="R66" i="5" s="1"/>
  <c r="G66" i="5"/>
  <c r="G95" i="5" s="1"/>
  <c r="F66" i="5"/>
  <c r="Q66" i="5" s="1"/>
  <c r="E66" i="5"/>
  <c r="E298" i="5" s="1"/>
  <c r="D66" i="5"/>
  <c r="C66" i="5"/>
  <c r="B66" i="5"/>
  <c r="S65" i="5"/>
  <c r="R65" i="5"/>
  <c r="M65" i="5"/>
  <c r="L65" i="5"/>
  <c r="K65" i="5"/>
  <c r="J65" i="5"/>
  <c r="I65" i="5"/>
  <c r="H65" i="5"/>
  <c r="G65" i="5"/>
  <c r="G94" i="5" s="1"/>
  <c r="F65" i="5"/>
  <c r="E65" i="5"/>
  <c r="Q65" i="5" s="1"/>
  <c r="D65" i="5"/>
  <c r="P65" i="5" s="1"/>
  <c r="C65" i="5"/>
  <c r="B65" i="5"/>
  <c r="S64" i="5"/>
  <c r="R64" i="5"/>
  <c r="Q64" i="5"/>
  <c r="N64" i="5"/>
  <c r="M64" i="5"/>
  <c r="L64" i="5"/>
  <c r="K64" i="5"/>
  <c r="J64" i="5"/>
  <c r="I64" i="5"/>
  <c r="H64" i="5"/>
  <c r="G64" i="5"/>
  <c r="F64" i="5"/>
  <c r="E64" i="5"/>
  <c r="D64" i="5"/>
  <c r="P64" i="5" s="1"/>
  <c r="C64" i="5"/>
  <c r="B64" i="5"/>
  <c r="P63" i="5"/>
  <c r="M63" i="5"/>
  <c r="L63" i="5"/>
  <c r="L295" i="5" s="1"/>
  <c r="K63" i="5"/>
  <c r="S63" i="5" s="1"/>
  <c r="J63" i="5"/>
  <c r="I63" i="5"/>
  <c r="H63" i="5"/>
  <c r="R63" i="5" s="1"/>
  <c r="G63" i="5"/>
  <c r="N63" i="5" s="1"/>
  <c r="F63" i="5"/>
  <c r="E63" i="5"/>
  <c r="D63" i="5"/>
  <c r="C63" i="5"/>
  <c r="B63" i="5"/>
  <c r="M60" i="5"/>
  <c r="L60" i="5"/>
  <c r="K60" i="5"/>
  <c r="S60" i="5" s="1"/>
  <c r="J60" i="5"/>
  <c r="I60" i="5"/>
  <c r="H60" i="5"/>
  <c r="G60" i="5"/>
  <c r="G292" i="5" s="1"/>
  <c r="F60" i="5"/>
  <c r="E60" i="5"/>
  <c r="D60" i="5"/>
  <c r="C60" i="5"/>
  <c r="C118" i="5" s="1"/>
  <c r="B60" i="5"/>
  <c r="N60" i="5" s="1"/>
  <c r="M59" i="5"/>
  <c r="M117" i="5" s="1"/>
  <c r="L59" i="5"/>
  <c r="K59" i="5"/>
  <c r="S59" i="5" s="1"/>
  <c r="J59" i="5"/>
  <c r="I59" i="5"/>
  <c r="I117" i="5" s="1"/>
  <c r="H59" i="5"/>
  <c r="R59" i="5" s="1"/>
  <c r="G59" i="5"/>
  <c r="G117" i="5" s="1"/>
  <c r="F59" i="5"/>
  <c r="E59" i="5"/>
  <c r="Q59" i="5" s="1"/>
  <c r="D59" i="5"/>
  <c r="C59" i="5"/>
  <c r="B59" i="5"/>
  <c r="S58" i="5"/>
  <c r="Q58" i="5"/>
  <c r="M58" i="5"/>
  <c r="L58" i="5"/>
  <c r="K58" i="5"/>
  <c r="J58" i="5"/>
  <c r="I58" i="5"/>
  <c r="I116" i="5" s="1"/>
  <c r="H58" i="5"/>
  <c r="R58" i="5" s="1"/>
  <c r="G58" i="5"/>
  <c r="F58" i="5"/>
  <c r="E58" i="5"/>
  <c r="D58" i="5"/>
  <c r="D116" i="5" s="1"/>
  <c r="C58" i="5"/>
  <c r="B58" i="5"/>
  <c r="Q57" i="5"/>
  <c r="M57" i="5"/>
  <c r="L57" i="5"/>
  <c r="K57" i="5"/>
  <c r="S57" i="5" s="1"/>
  <c r="J57" i="5"/>
  <c r="J115" i="5" s="1"/>
  <c r="I57" i="5"/>
  <c r="R57" i="5" s="1"/>
  <c r="H57" i="5"/>
  <c r="G57" i="5"/>
  <c r="F57" i="5"/>
  <c r="E57" i="5"/>
  <c r="D57" i="5"/>
  <c r="C57" i="5"/>
  <c r="B57" i="5"/>
  <c r="Q56" i="5"/>
  <c r="P56" i="5"/>
  <c r="M56" i="5"/>
  <c r="L56" i="5"/>
  <c r="L288" i="5" s="1"/>
  <c r="K56" i="5"/>
  <c r="J56" i="5"/>
  <c r="I56" i="5"/>
  <c r="H56" i="5"/>
  <c r="R56" i="5" s="1"/>
  <c r="G56" i="5"/>
  <c r="F56" i="5"/>
  <c r="E56" i="5"/>
  <c r="D56" i="5"/>
  <c r="D114" i="5" s="1"/>
  <c r="C56" i="5"/>
  <c r="B56" i="5"/>
  <c r="M55" i="5"/>
  <c r="L55" i="5"/>
  <c r="K55" i="5"/>
  <c r="S55" i="5" s="1"/>
  <c r="J55" i="5"/>
  <c r="I55" i="5"/>
  <c r="H55" i="5"/>
  <c r="R55" i="5" s="1"/>
  <c r="G55" i="5"/>
  <c r="G287" i="5" s="1"/>
  <c r="F55" i="5"/>
  <c r="E55" i="5"/>
  <c r="Q55" i="5" s="1"/>
  <c r="D55" i="5"/>
  <c r="P55" i="5" s="1"/>
  <c r="C55" i="5"/>
  <c r="B55" i="5"/>
  <c r="M54" i="5"/>
  <c r="L54" i="5"/>
  <c r="K54" i="5"/>
  <c r="J54" i="5"/>
  <c r="I54" i="5"/>
  <c r="H54" i="5"/>
  <c r="G54" i="5"/>
  <c r="F54" i="5"/>
  <c r="F112" i="5" s="1"/>
  <c r="E54" i="5"/>
  <c r="D54" i="5"/>
  <c r="C54" i="5"/>
  <c r="B54" i="5"/>
  <c r="N54" i="5" s="1"/>
  <c r="R53" i="5"/>
  <c r="Q53" i="5"/>
  <c r="P53" i="5"/>
  <c r="M53" i="5"/>
  <c r="S53" i="5" s="1"/>
  <c r="L53" i="5"/>
  <c r="K53" i="5"/>
  <c r="J53" i="5"/>
  <c r="I53" i="5"/>
  <c r="H53" i="5"/>
  <c r="G53" i="5"/>
  <c r="F53" i="5"/>
  <c r="E53" i="5"/>
  <c r="E111" i="5" s="1"/>
  <c r="Q111" i="5" s="1"/>
  <c r="D53" i="5"/>
  <c r="C53" i="5"/>
  <c r="B53" i="5"/>
  <c r="Q52" i="5"/>
  <c r="P52" i="5"/>
  <c r="M52" i="5"/>
  <c r="L52" i="5"/>
  <c r="K52" i="5"/>
  <c r="J52" i="5"/>
  <c r="I52" i="5"/>
  <c r="H52" i="5"/>
  <c r="R52" i="5" s="1"/>
  <c r="G52" i="5"/>
  <c r="F52" i="5"/>
  <c r="E52" i="5"/>
  <c r="D52" i="5"/>
  <c r="C52" i="5"/>
  <c r="B52" i="5"/>
  <c r="R51" i="5"/>
  <c r="M51" i="5"/>
  <c r="M109" i="5" s="1"/>
  <c r="L51" i="5"/>
  <c r="K51" i="5"/>
  <c r="J51" i="5"/>
  <c r="I51" i="5"/>
  <c r="H51" i="5"/>
  <c r="G51" i="5"/>
  <c r="G109" i="5" s="1"/>
  <c r="F51" i="5"/>
  <c r="F283" i="5" s="1"/>
  <c r="E51" i="5"/>
  <c r="Q51" i="5" s="1"/>
  <c r="D51" i="5"/>
  <c r="C51" i="5"/>
  <c r="B51" i="5"/>
  <c r="M50" i="5"/>
  <c r="M108" i="5" s="1"/>
  <c r="L50" i="5"/>
  <c r="K50" i="5"/>
  <c r="J50" i="5"/>
  <c r="I50" i="5"/>
  <c r="H50" i="5"/>
  <c r="R50" i="5" s="1"/>
  <c r="G50" i="5"/>
  <c r="F50" i="5"/>
  <c r="F108" i="5" s="1"/>
  <c r="E50" i="5"/>
  <c r="Q50" i="5" s="1"/>
  <c r="D50" i="5"/>
  <c r="C50" i="5"/>
  <c r="C108" i="5" s="1"/>
  <c r="B50" i="5"/>
  <c r="R49" i="5"/>
  <c r="P49" i="5"/>
  <c r="M49" i="5"/>
  <c r="S49" i="5" s="1"/>
  <c r="L49" i="5"/>
  <c r="K49" i="5"/>
  <c r="J49" i="5"/>
  <c r="I49" i="5"/>
  <c r="H49" i="5"/>
  <c r="H107" i="5" s="1"/>
  <c r="G49" i="5"/>
  <c r="N49" i="5" s="1"/>
  <c r="F49" i="5"/>
  <c r="E49" i="5"/>
  <c r="D49" i="5"/>
  <c r="C49" i="5"/>
  <c r="C107" i="5" s="1"/>
  <c r="B49" i="5"/>
  <c r="B107" i="5" s="1"/>
  <c r="Q48" i="5"/>
  <c r="P48" i="5"/>
  <c r="N48" i="5"/>
  <c r="M48" i="5"/>
  <c r="L48" i="5"/>
  <c r="S48" i="5" s="1"/>
  <c r="K48" i="5"/>
  <c r="J48" i="5"/>
  <c r="I48" i="5"/>
  <c r="H48" i="5"/>
  <c r="R48" i="5" s="1"/>
  <c r="G48" i="5"/>
  <c r="F48" i="5"/>
  <c r="E48" i="5"/>
  <c r="D48" i="5"/>
  <c r="C48" i="5"/>
  <c r="B48" i="5"/>
  <c r="B106" i="5" s="1"/>
  <c r="M47" i="5"/>
  <c r="L47" i="5"/>
  <c r="K47" i="5"/>
  <c r="S47" i="5" s="1"/>
  <c r="J47" i="5"/>
  <c r="I47" i="5"/>
  <c r="H47" i="5"/>
  <c r="G47" i="5"/>
  <c r="F47" i="5"/>
  <c r="E47" i="5"/>
  <c r="D47" i="5"/>
  <c r="C47" i="5"/>
  <c r="N47" i="5" s="1"/>
  <c r="B47" i="5"/>
  <c r="P46" i="5"/>
  <c r="N46" i="5"/>
  <c r="M46" i="5"/>
  <c r="L46" i="5"/>
  <c r="K46" i="5"/>
  <c r="S46" i="5" s="1"/>
  <c r="J46" i="5"/>
  <c r="J104" i="5" s="1"/>
  <c r="I46" i="5"/>
  <c r="I104" i="5" s="1"/>
  <c r="H46" i="5"/>
  <c r="G46" i="5"/>
  <c r="F46" i="5"/>
  <c r="E46" i="5"/>
  <c r="Q46" i="5" s="1"/>
  <c r="D46" i="5"/>
  <c r="C46" i="5"/>
  <c r="C278" i="5" s="1"/>
  <c r="B46" i="5"/>
  <c r="Q45" i="5"/>
  <c r="P45" i="5"/>
  <c r="M45" i="5"/>
  <c r="L45" i="5"/>
  <c r="K45" i="5"/>
  <c r="S45" i="5" s="1"/>
  <c r="J45" i="5"/>
  <c r="J103" i="5" s="1"/>
  <c r="I45" i="5"/>
  <c r="R45" i="5" s="1"/>
  <c r="H45" i="5"/>
  <c r="G45" i="5"/>
  <c r="F45" i="5"/>
  <c r="E45" i="5"/>
  <c r="D45" i="5"/>
  <c r="C45" i="5"/>
  <c r="C103" i="5" s="1"/>
  <c r="B45" i="5"/>
  <c r="S44" i="5"/>
  <c r="M44" i="5"/>
  <c r="L44" i="5"/>
  <c r="K44" i="5"/>
  <c r="J44" i="5"/>
  <c r="I44" i="5"/>
  <c r="H44" i="5"/>
  <c r="G44" i="5"/>
  <c r="F44" i="5"/>
  <c r="E44" i="5"/>
  <c r="Q44" i="5" s="1"/>
  <c r="D44" i="5"/>
  <c r="C44" i="5"/>
  <c r="B44" i="5"/>
  <c r="R43" i="5"/>
  <c r="Q43" i="5"/>
  <c r="P43" i="5"/>
  <c r="M43" i="5"/>
  <c r="M101" i="5" s="1"/>
  <c r="L43" i="5"/>
  <c r="N43" i="5" s="1"/>
  <c r="K43" i="5"/>
  <c r="J43" i="5"/>
  <c r="I43" i="5"/>
  <c r="I275" i="5" s="1"/>
  <c r="H43" i="5"/>
  <c r="G43" i="5"/>
  <c r="F43" i="5"/>
  <c r="E43" i="5"/>
  <c r="D43" i="5"/>
  <c r="C43" i="5"/>
  <c r="B43" i="5"/>
  <c r="M42" i="5"/>
  <c r="L42" i="5"/>
  <c r="L100" i="5" s="1"/>
  <c r="K42" i="5"/>
  <c r="J42" i="5"/>
  <c r="J100" i="5" s="1"/>
  <c r="I42" i="5"/>
  <c r="H42" i="5"/>
  <c r="R42" i="5" s="1"/>
  <c r="G42" i="5"/>
  <c r="G100" i="5" s="1"/>
  <c r="F42" i="5"/>
  <c r="F100" i="5" s="1"/>
  <c r="E42" i="5"/>
  <c r="D42" i="5"/>
  <c r="P42" i="5" s="1"/>
  <c r="C42" i="5"/>
  <c r="B42" i="5"/>
  <c r="R41" i="5"/>
  <c r="M41" i="5"/>
  <c r="L41" i="5"/>
  <c r="K41" i="5"/>
  <c r="S41" i="5" s="1"/>
  <c r="J41" i="5"/>
  <c r="I41" i="5"/>
  <c r="H41" i="5"/>
  <c r="G41" i="5"/>
  <c r="F41" i="5"/>
  <c r="E41" i="5"/>
  <c r="Q41" i="5" s="1"/>
  <c r="D41" i="5"/>
  <c r="C41" i="5"/>
  <c r="C99" i="5" s="1"/>
  <c r="B41" i="5"/>
  <c r="N41" i="5" s="1"/>
  <c r="R40" i="5"/>
  <c r="Q40" i="5"/>
  <c r="M40" i="5"/>
  <c r="M272" i="5" s="1"/>
  <c r="L40" i="5"/>
  <c r="L98" i="5" s="1"/>
  <c r="K40" i="5"/>
  <c r="J40" i="5"/>
  <c r="I40" i="5"/>
  <c r="H40" i="5"/>
  <c r="G40" i="5"/>
  <c r="G98" i="5" s="1"/>
  <c r="F40" i="5"/>
  <c r="F98" i="5" s="1"/>
  <c r="E40" i="5"/>
  <c r="D40" i="5"/>
  <c r="C40" i="5"/>
  <c r="B40" i="5"/>
  <c r="B98" i="5" s="1"/>
  <c r="P39" i="5"/>
  <c r="M39" i="5"/>
  <c r="M97" i="5" s="1"/>
  <c r="L39" i="5"/>
  <c r="K39" i="5"/>
  <c r="S39" i="5" s="1"/>
  <c r="J39" i="5"/>
  <c r="I39" i="5"/>
  <c r="H39" i="5"/>
  <c r="R39" i="5" s="1"/>
  <c r="G39" i="5"/>
  <c r="Q39" i="5" s="1"/>
  <c r="F39" i="5"/>
  <c r="E39" i="5"/>
  <c r="D39" i="5"/>
  <c r="C39" i="5"/>
  <c r="B39" i="5"/>
  <c r="M38" i="5"/>
  <c r="M96" i="5" s="1"/>
  <c r="L38" i="5"/>
  <c r="L96" i="5" s="1"/>
  <c r="K38" i="5"/>
  <c r="J38" i="5"/>
  <c r="I38" i="5"/>
  <c r="H38" i="5"/>
  <c r="R38" i="5" s="1"/>
  <c r="G38" i="5"/>
  <c r="G270" i="5" s="1"/>
  <c r="F38" i="5"/>
  <c r="E38" i="5"/>
  <c r="D38" i="5"/>
  <c r="C38" i="5"/>
  <c r="B38" i="5"/>
  <c r="N38" i="5" s="1"/>
  <c r="M37" i="5"/>
  <c r="N37" i="5" s="1"/>
  <c r="L37" i="5"/>
  <c r="K37" i="5"/>
  <c r="J37" i="5"/>
  <c r="I37" i="5"/>
  <c r="H37" i="5"/>
  <c r="R37" i="5" s="1"/>
  <c r="G37" i="5"/>
  <c r="F37" i="5"/>
  <c r="E37" i="5"/>
  <c r="D37" i="5"/>
  <c r="D95" i="5" s="1"/>
  <c r="C37" i="5"/>
  <c r="C95" i="5" s="1"/>
  <c r="B37" i="5"/>
  <c r="B269" i="5" s="1"/>
  <c r="S36" i="5"/>
  <c r="Q36" i="5"/>
  <c r="P36" i="5"/>
  <c r="M36" i="5"/>
  <c r="L36" i="5"/>
  <c r="K36" i="5"/>
  <c r="J36" i="5"/>
  <c r="I36" i="5"/>
  <c r="I94" i="5" s="1"/>
  <c r="H36" i="5"/>
  <c r="N36" i="5" s="1"/>
  <c r="G36" i="5"/>
  <c r="F36" i="5"/>
  <c r="E36" i="5"/>
  <c r="D36" i="5"/>
  <c r="C36" i="5"/>
  <c r="B36" i="5"/>
  <c r="B94" i="5" s="1"/>
  <c r="Q35" i="5"/>
  <c r="M35" i="5"/>
  <c r="L35" i="5"/>
  <c r="K35" i="5"/>
  <c r="J35" i="5"/>
  <c r="I35" i="5"/>
  <c r="R35" i="5" s="1"/>
  <c r="H35" i="5"/>
  <c r="G35" i="5"/>
  <c r="F35" i="5"/>
  <c r="E35" i="5"/>
  <c r="D35" i="5"/>
  <c r="P35" i="5" s="1"/>
  <c r="C35" i="5"/>
  <c r="N35" i="5" s="1"/>
  <c r="B35" i="5"/>
  <c r="Q34" i="5"/>
  <c r="M34" i="5"/>
  <c r="L34" i="5"/>
  <c r="K34" i="5"/>
  <c r="S34" i="5" s="1"/>
  <c r="J34" i="5"/>
  <c r="I34" i="5"/>
  <c r="I266" i="5" s="1"/>
  <c r="H34" i="5"/>
  <c r="R34" i="5" s="1"/>
  <c r="G34" i="5"/>
  <c r="F34" i="5"/>
  <c r="E34" i="5"/>
  <c r="D34" i="5"/>
  <c r="P34" i="5" s="1"/>
  <c r="C34" i="5"/>
  <c r="B34" i="5"/>
  <c r="Q31" i="5"/>
  <c r="P31" i="5"/>
  <c r="M31" i="5"/>
  <c r="L31" i="5"/>
  <c r="K31" i="5"/>
  <c r="J31" i="5"/>
  <c r="J118" i="5" s="1"/>
  <c r="I31" i="5"/>
  <c r="I118" i="5" s="1"/>
  <c r="H31" i="5"/>
  <c r="G31" i="5"/>
  <c r="F31" i="5"/>
  <c r="E31" i="5"/>
  <c r="D31" i="5"/>
  <c r="C31" i="5"/>
  <c r="B31" i="5"/>
  <c r="R30" i="5"/>
  <c r="Q30" i="5"/>
  <c r="M30" i="5"/>
  <c r="L30" i="5"/>
  <c r="K30" i="5"/>
  <c r="S30" i="5" s="1"/>
  <c r="J30" i="5"/>
  <c r="I30" i="5"/>
  <c r="H30" i="5"/>
  <c r="G30" i="5"/>
  <c r="F30" i="5"/>
  <c r="F117" i="5" s="1"/>
  <c r="E30" i="5"/>
  <c r="E117" i="5" s="1"/>
  <c r="D30" i="5"/>
  <c r="C30" i="5"/>
  <c r="C117" i="5" s="1"/>
  <c r="B30" i="5"/>
  <c r="S29" i="5"/>
  <c r="R29" i="5"/>
  <c r="P29" i="5"/>
  <c r="M29" i="5"/>
  <c r="M116" i="5" s="1"/>
  <c r="L29" i="5"/>
  <c r="K29" i="5"/>
  <c r="J29" i="5"/>
  <c r="I29" i="5"/>
  <c r="H29" i="5"/>
  <c r="G29" i="5"/>
  <c r="F29" i="5"/>
  <c r="F116" i="5" s="1"/>
  <c r="E29" i="5"/>
  <c r="Q29" i="5" s="1"/>
  <c r="D29" i="5"/>
  <c r="C29" i="5"/>
  <c r="B29" i="5"/>
  <c r="N29" i="5" s="1"/>
  <c r="R28" i="5"/>
  <c r="Q28" i="5"/>
  <c r="P28" i="5"/>
  <c r="N28" i="5"/>
  <c r="M28" i="5"/>
  <c r="L28" i="5"/>
  <c r="L115" i="5" s="1"/>
  <c r="K28" i="5"/>
  <c r="J28" i="5"/>
  <c r="I28" i="5"/>
  <c r="H28" i="5"/>
  <c r="H115" i="5" s="1"/>
  <c r="G28" i="5"/>
  <c r="F28" i="5"/>
  <c r="E28" i="5"/>
  <c r="D28" i="5"/>
  <c r="C28" i="5"/>
  <c r="B28" i="5"/>
  <c r="M27" i="5"/>
  <c r="L27" i="5"/>
  <c r="L114" i="5" s="1"/>
  <c r="K27" i="5"/>
  <c r="K114" i="5" s="1"/>
  <c r="J27" i="5"/>
  <c r="J114" i="5" s="1"/>
  <c r="I27" i="5"/>
  <c r="I114" i="5" s="1"/>
  <c r="H27" i="5"/>
  <c r="G27" i="5"/>
  <c r="F27" i="5"/>
  <c r="F114" i="5" s="1"/>
  <c r="E27" i="5"/>
  <c r="D27" i="5"/>
  <c r="C27" i="5"/>
  <c r="C114" i="5" s="1"/>
  <c r="B27" i="5"/>
  <c r="M26" i="5"/>
  <c r="L26" i="5"/>
  <c r="S26" i="5" s="1"/>
  <c r="K26" i="5"/>
  <c r="J26" i="5"/>
  <c r="I26" i="5"/>
  <c r="H26" i="5"/>
  <c r="G26" i="5"/>
  <c r="G113" i="5" s="1"/>
  <c r="F26" i="5"/>
  <c r="F113" i="5" s="1"/>
  <c r="E26" i="5"/>
  <c r="D26" i="5"/>
  <c r="C26" i="5"/>
  <c r="B26" i="5"/>
  <c r="S25" i="5"/>
  <c r="R25" i="5"/>
  <c r="M25" i="5"/>
  <c r="L25" i="5"/>
  <c r="K25" i="5"/>
  <c r="J25" i="5"/>
  <c r="I25" i="5"/>
  <c r="H25" i="5"/>
  <c r="G25" i="5"/>
  <c r="F25" i="5"/>
  <c r="E25" i="5"/>
  <c r="Q25" i="5" s="1"/>
  <c r="D25" i="5"/>
  <c r="C25" i="5"/>
  <c r="C112" i="5" s="1"/>
  <c r="B25" i="5"/>
  <c r="B112" i="5" s="1"/>
  <c r="S24" i="5"/>
  <c r="Q24" i="5"/>
  <c r="P24" i="5"/>
  <c r="N24" i="5"/>
  <c r="M24" i="5"/>
  <c r="M256" i="5" s="1"/>
  <c r="M343" i="5" s="1"/>
  <c r="L24" i="5"/>
  <c r="L111" i="5" s="1"/>
  <c r="K24" i="5"/>
  <c r="J24" i="5"/>
  <c r="J111" i="5" s="1"/>
  <c r="I24" i="5"/>
  <c r="I111" i="5" s="1"/>
  <c r="H24" i="5"/>
  <c r="G24" i="5"/>
  <c r="F24" i="5"/>
  <c r="E24" i="5"/>
  <c r="D24" i="5"/>
  <c r="C24" i="5"/>
  <c r="B24" i="5"/>
  <c r="M23" i="5"/>
  <c r="M110" i="5" s="1"/>
  <c r="L23" i="5"/>
  <c r="L110" i="5" s="1"/>
  <c r="K23" i="5"/>
  <c r="J23" i="5"/>
  <c r="J110" i="5" s="1"/>
  <c r="I23" i="5"/>
  <c r="I110" i="5" s="1"/>
  <c r="H23" i="5"/>
  <c r="G23" i="5"/>
  <c r="G255" i="5" s="1"/>
  <c r="F23" i="5"/>
  <c r="E23" i="5"/>
  <c r="D23" i="5"/>
  <c r="C23" i="5"/>
  <c r="B23" i="5"/>
  <c r="M22" i="5"/>
  <c r="L22" i="5"/>
  <c r="K22" i="5"/>
  <c r="S22" i="5" s="1"/>
  <c r="J22" i="5"/>
  <c r="I22" i="5"/>
  <c r="H22" i="5"/>
  <c r="R22" i="5" s="1"/>
  <c r="G22" i="5"/>
  <c r="F22" i="5"/>
  <c r="F254" i="5" s="1"/>
  <c r="E22" i="5"/>
  <c r="D22" i="5"/>
  <c r="D109" i="5" s="1"/>
  <c r="C22" i="5"/>
  <c r="C109" i="5" s="1"/>
  <c r="B22" i="5"/>
  <c r="B109" i="5" s="1"/>
  <c r="P109" i="5" s="1"/>
  <c r="P21" i="5"/>
  <c r="M21" i="5"/>
  <c r="L21" i="5"/>
  <c r="K21" i="5"/>
  <c r="S21" i="5" s="1"/>
  <c r="J21" i="5"/>
  <c r="J108" i="5" s="1"/>
  <c r="I21" i="5"/>
  <c r="R21" i="5" s="1"/>
  <c r="H21" i="5"/>
  <c r="G21" i="5"/>
  <c r="F21" i="5"/>
  <c r="E21" i="5"/>
  <c r="D21" i="5"/>
  <c r="C21" i="5"/>
  <c r="B21" i="5"/>
  <c r="R20" i="5"/>
  <c r="M20" i="5"/>
  <c r="L20" i="5"/>
  <c r="L107" i="5" s="1"/>
  <c r="K20" i="5"/>
  <c r="K107" i="5" s="1"/>
  <c r="J20" i="5"/>
  <c r="I20" i="5"/>
  <c r="H20" i="5"/>
  <c r="G20" i="5"/>
  <c r="F20" i="5"/>
  <c r="E20" i="5"/>
  <c r="Q20" i="5" s="1"/>
  <c r="D20" i="5"/>
  <c r="P20" i="5" s="1"/>
  <c r="C20" i="5"/>
  <c r="B20" i="5"/>
  <c r="R19" i="5"/>
  <c r="P19" i="5"/>
  <c r="M19" i="5"/>
  <c r="M251" i="5" s="1"/>
  <c r="L19" i="5"/>
  <c r="K19" i="5"/>
  <c r="J19" i="5"/>
  <c r="I19" i="5"/>
  <c r="H19" i="5"/>
  <c r="G19" i="5"/>
  <c r="G106" i="5" s="1"/>
  <c r="F19" i="5"/>
  <c r="F106" i="5" s="1"/>
  <c r="E19" i="5"/>
  <c r="E106" i="5" s="1"/>
  <c r="D19" i="5"/>
  <c r="C19" i="5"/>
  <c r="B19" i="5"/>
  <c r="Q18" i="5"/>
  <c r="M18" i="5"/>
  <c r="L18" i="5"/>
  <c r="L105" i="5" s="1"/>
  <c r="K18" i="5"/>
  <c r="S18" i="5" s="1"/>
  <c r="J18" i="5"/>
  <c r="J105" i="5" s="1"/>
  <c r="I18" i="5"/>
  <c r="I105" i="5" s="1"/>
  <c r="H18" i="5"/>
  <c r="H105" i="5" s="1"/>
  <c r="G18" i="5"/>
  <c r="F18" i="5"/>
  <c r="E18" i="5"/>
  <c r="E105" i="5" s="1"/>
  <c r="D18" i="5"/>
  <c r="P18" i="5" s="1"/>
  <c r="C18" i="5"/>
  <c r="B18" i="5"/>
  <c r="R17" i="5"/>
  <c r="M17" i="5"/>
  <c r="L17" i="5"/>
  <c r="L104" i="5" s="1"/>
  <c r="K17" i="5"/>
  <c r="K104" i="5" s="1"/>
  <c r="J17" i="5"/>
  <c r="I17" i="5"/>
  <c r="H17" i="5"/>
  <c r="G17" i="5"/>
  <c r="G104" i="5" s="1"/>
  <c r="F17" i="5"/>
  <c r="F104" i="5" s="1"/>
  <c r="E17" i="5"/>
  <c r="D17" i="5"/>
  <c r="C17" i="5"/>
  <c r="B17" i="5"/>
  <c r="S16" i="5"/>
  <c r="R16" i="5"/>
  <c r="M16" i="5"/>
  <c r="L16" i="5"/>
  <c r="K16" i="5"/>
  <c r="J16" i="5"/>
  <c r="I16" i="5"/>
  <c r="H16" i="5"/>
  <c r="G16" i="5"/>
  <c r="F16" i="5"/>
  <c r="E16" i="5"/>
  <c r="D16" i="5"/>
  <c r="C16" i="5"/>
  <c r="B16" i="5"/>
  <c r="R15" i="5"/>
  <c r="Q15" i="5"/>
  <c r="P15" i="5"/>
  <c r="M15" i="5"/>
  <c r="M102" i="5" s="1"/>
  <c r="L15" i="5"/>
  <c r="L102" i="5" s="1"/>
  <c r="K15" i="5"/>
  <c r="K102" i="5" s="1"/>
  <c r="S102" i="5" s="1"/>
  <c r="J15" i="5"/>
  <c r="I15" i="5"/>
  <c r="I102" i="5" s="1"/>
  <c r="H15" i="5"/>
  <c r="G15" i="5"/>
  <c r="F15" i="5"/>
  <c r="E15" i="5"/>
  <c r="D15" i="5"/>
  <c r="C15" i="5"/>
  <c r="B15" i="5"/>
  <c r="B102" i="5" s="1"/>
  <c r="M14" i="5"/>
  <c r="L14" i="5"/>
  <c r="L101" i="5" s="1"/>
  <c r="K14" i="5"/>
  <c r="K101" i="5" s="1"/>
  <c r="S101" i="5" s="1"/>
  <c r="J14" i="5"/>
  <c r="I14" i="5"/>
  <c r="I101" i="5" s="1"/>
  <c r="H14" i="5"/>
  <c r="G14" i="5"/>
  <c r="F14" i="5"/>
  <c r="F101" i="5" s="1"/>
  <c r="E14" i="5"/>
  <c r="D14" i="5"/>
  <c r="C14" i="5"/>
  <c r="B14" i="5"/>
  <c r="M13" i="5"/>
  <c r="M100" i="5" s="1"/>
  <c r="L13" i="5"/>
  <c r="K13" i="5"/>
  <c r="S13" i="5" s="1"/>
  <c r="J13" i="5"/>
  <c r="I13" i="5"/>
  <c r="H13" i="5"/>
  <c r="R13" i="5" s="1"/>
  <c r="G13" i="5"/>
  <c r="F13" i="5"/>
  <c r="E13" i="5"/>
  <c r="D13" i="5"/>
  <c r="C13" i="5"/>
  <c r="B13" i="5"/>
  <c r="B245" i="5" s="1"/>
  <c r="S12" i="5"/>
  <c r="Q12" i="5"/>
  <c r="P12" i="5"/>
  <c r="N12" i="5"/>
  <c r="M12" i="5"/>
  <c r="L12" i="5"/>
  <c r="K12" i="5"/>
  <c r="J12" i="5"/>
  <c r="I12" i="5"/>
  <c r="H12" i="5"/>
  <c r="R12" i="5" s="1"/>
  <c r="G12" i="5"/>
  <c r="F12" i="5"/>
  <c r="E12" i="5"/>
  <c r="D12" i="5"/>
  <c r="C12" i="5"/>
  <c r="B12" i="5"/>
  <c r="S11" i="5"/>
  <c r="Q11" i="5"/>
  <c r="P11" i="5"/>
  <c r="M11" i="5"/>
  <c r="L11" i="5"/>
  <c r="K11" i="5"/>
  <c r="K98" i="5" s="1"/>
  <c r="J11" i="5"/>
  <c r="I11" i="5"/>
  <c r="H11" i="5"/>
  <c r="G11" i="5"/>
  <c r="F11" i="5"/>
  <c r="E11" i="5"/>
  <c r="D11" i="5"/>
  <c r="C11" i="5"/>
  <c r="B11" i="5"/>
  <c r="M10" i="5"/>
  <c r="L10" i="5"/>
  <c r="L97" i="5" s="1"/>
  <c r="K10" i="5"/>
  <c r="J10" i="5"/>
  <c r="J97" i="5" s="1"/>
  <c r="I10" i="5"/>
  <c r="H10" i="5"/>
  <c r="G10" i="5"/>
  <c r="F10" i="5"/>
  <c r="F97" i="5" s="1"/>
  <c r="E10" i="5"/>
  <c r="D10" i="5"/>
  <c r="C10" i="5"/>
  <c r="B10" i="5"/>
  <c r="Q9" i="5"/>
  <c r="M9" i="5"/>
  <c r="L9" i="5"/>
  <c r="K9" i="5"/>
  <c r="J9" i="5"/>
  <c r="J96" i="5" s="1"/>
  <c r="I9" i="5"/>
  <c r="I96" i="5" s="1"/>
  <c r="H9" i="5"/>
  <c r="G9" i="5"/>
  <c r="F9" i="5"/>
  <c r="E9" i="5"/>
  <c r="E96" i="5" s="1"/>
  <c r="D9" i="5"/>
  <c r="D96" i="5" s="1"/>
  <c r="P96" i="5" s="1"/>
  <c r="C9" i="5"/>
  <c r="C241" i="5" s="1"/>
  <c r="B9" i="5"/>
  <c r="M8" i="5"/>
  <c r="L8" i="5"/>
  <c r="K8" i="5"/>
  <c r="S8" i="5" s="1"/>
  <c r="J8" i="5"/>
  <c r="R8" i="5" s="1"/>
  <c r="I8" i="5"/>
  <c r="H8" i="5"/>
  <c r="G8" i="5"/>
  <c r="F8" i="5"/>
  <c r="E8" i="5"/>
  <c r="Q8" i="5" s="1"/>
  <c r="D8" i="5"/>
  <c r="C8" i="5"/>
  <c r="B8" i="5"/>
  <c r="R7" i="5"/>
  <c r="P7" i="5"/>
  <c r="M7" i="5"/>
  <c r="M94" i="5" s="1"/>
  <c r="L7" i="5"/>
  <c r="L94" i="5" s="1"/>
  <c r="K7" i="5"/>
  <c r="J7" i="5"/>
  <c r="I7" i="5"/>
  <c r="H7" i="5"/>
  <c r="G7" i="5"/>
  <c r="F7" i="5"/>
  <c r="E7" i="5"/>
  <c r="Q7" i="5" s="1"/>
  <c r="D7" i="5"/>
  <c r="C7" i="5"/>
  <c r="B7" i="5"/>
  <c r="S6" i="5"/>
  <c r="P6" i="5"/>
  <c r="M6" i="5"/>
  <c r="L6" i="5"/>
  <c r="K6" i="5"/>
  <c r="K93" i="5" s="1"/>
  <c r="J6" i="5"/>
  <c r="I6" i="5"/>
  <c r="H6" i="5"/>
  <c r="H93" i="5" s="1"/>
  <c r="R93" i="5" s="1"/>
  <c r="G6" i="5"/>
  <c r="G93" i="5" s="1"/>
  <c r="F6" i="5"/>
  <c r="E6" i="5"/>
  <c r="D6" i="5"/>
  <c r="C6" i="5"/>
  <c r="B6" i="5"/>
  <c r="M5" i="5"/>
  <c r="M92" i="5" s="1"/>
  <c r="L5" i="5"/>
  <c r="K5" i="5"/>
  <c r="J5" i="5"/>
  <c r="J92" i="5" s="1"/>
  <c r="I5" i="5"/>
  <c r="H5" i="5"/>
  <c r="G5" i="5"/>
  <c r="F5" i="5"/>
  <c r="E5" i="5"/>
  <c r="Q5" i="5" s="1"/>
  <c r="D5" i="5"/>
  <c r="C5" i="5"/>
  <c r="C92" i="5" s="1"/>
  <c r="B5" i="5"/>
  <c r="M466" i="4"/>
  <c r="L466" i="4"/>
  <c r="H466" i="4"/>
  <c r="E466" i="4"/>
  <c r="D466" i="4"/>
  <c r="C466" i="4"/>
  <c r="B466" i="4"/>
  <c r="C465" i="4"/>
  <c r="B464" i="4"/>
  <c r="M463" i="4"/>
  <c r="I463" i="4"/>
  <c r="J462" i="4"/>
  <c r="I462" i="4"/>
  <c r="I461" i="4"/>
  <c r="E461" i="4"/>
  <c r="L460" i="4"/>
  <c r="K460" i="4"/>
  <c r="D460" i="4"/>
  <c r="M459" i="4"/>
  <c r="L459" i="4"/>
  <c r="K459" i="4"/>
  <c r="S459" i="4" s="1"/>
  <c r="L458" i="4"/>
  <c r="J458" i="4"/>
  <c r="K457" i="4"/>
  <c r="G457" i="4"/>
  <c r="F457" i="4"/>
  <c r="E457" i="4"/>
  <c r="Q457" i="4" s="1"/>
  <c r="L456" i="4"/>
  <c r="B456" i="4"/>
  <c r="L455" i="4"/>
  <c r="K455" i="4"/>
  <c r="I454" i="4"/>
  <c r="M453" i="4"/>
  <c r="I453" i="4"/>
  <c r="H453" i="4"/>
  <c r="G453" i="4"/>
  <c r="F453" i="4"/>
  <c r="E453" i="4"/>
  <c r="Q453" i="4" s="1"/>
  <c r="I452" i="4"/>
  <c r="D452" i="4"/>
  <c r="J450" i="4"/>
  <c r="I450" i="4"/>
  <c r="K449" i="4"/>
  <c r="J449" i="4"/>
  <c r="I449" i="4"/>
  <c r="H449" i="4"/>
  <c r="R449" i="4" s="1"/>
  <c r="F448" i="4"/>
  <c r="D448" i="4"/>
  <c r="G446" i="4"/>
  <c r="M445" i="4"/>
  <c r="L445" i="4"/>
  <c r="G445" i="4"/>
  <c r="F445" i="4"/>
  <c r="H444" i="4"/>
  <c r="E444" i="4"/>
  <c r="H443" i="4"/>
  <c r="G443" i="4"/>
  <c r="C443" i="4"/>
  <c r="B443" i="4"/>
  <c r="I442" i="4"/>
  <c r="M441" i="4"/>
  <c r="L441" i="4"/>
  <c r="G441" i="4"/>
  <c r="J440" i="4"/>
  <c r="I440" i="4"/>
  <c r="E440" i="4"/>
  <c r="D440" i="4"/>
  <c r="R437" i="4"/>
  <c r="Q437" i="4"/>
  <c r="P437" i="4"/>
  <c r="M437" i="4"/>
  <c r="L437" i="4"/>
  <c r="K437" i="4"/>
  <c r="S437" i="4" s="1"/>
  <c r="J437" i="4"/>
  <c r="I437" i="4"/>
  <c r="H437" i="4"/>
  <c r="G437" i="4"/>
  <c r="F437" i="4"/>
  <c r="E437" i="4"/>
  <c r="D437" i="4"/>
  <c r="C437" i="4"/>
  <c r="B437" i="4"/>
  <c r="P436" i="4"/>
  <c r="M436" i="4"/>
  <c r="L436" i="4"/>
  <c r="K436" i="4"/>
  <c r="J436" i="4"/>
  <c r="R436" i="4" s="1"/>
  <c r="I436" i="4"/>
  <c r="H436" i="4"/>
  <c r="G436" i="4"/>
  <c r="F436" i="4"/>
  <c r="E436" i="4"/>
  <c r="E320" i="4" s="1"/>
  <c r="Q320" i="4" s="1"/>
  <c r="D436" i="4"/>
  <c r="C436" i="4"/>
  <c r="B436" i="4"/>
  <c r="P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Q434" i="4"/>
  <c r="M434" i="4"/>
  <c r="L434" i="4"/>
  <c r="L318" i="4" s="1"/>
  <c r="K434" i="4"/>
  <c r="J434" i="4"/>
  <c r="J318" i="4" s="1"/>
  <c r="I434" i="4"/>
  <c r="H434" i="4"/>
  <c r="G434" i="4"/>
  <c r="F434" i="4"/>
  <c r="E434" i="4"/>
  <c r="D434" i="4"/>
  <c r="C434" i="4"/>
  <c r="B434" i="4"/>
  <c r="R433" i="4"/>
  <c r="M433" i="4"/>
  <c r="L433" i="4"/>
  <c r="K433" i="4"/>
  <c r="K317" i="4" s="1"/>
  <c r="J433" i="4"/>
  <c r="I433" i="4"/>
  <c r="H433" i="4"/>
  <c r="G433" i="4"/>
  <c r="G462" i="4" s="1"/>
  <c r="F433" i="4"/>
  <c r="F317" i="4" s="1"/>
  <c r="E433" i="4"/>
  <c r="Q433" i="4" s="1"/>
  <c r="D433" i="4"/>
  <c r="C433" i="4"/>
  <c r="B433" i="4"/>
  <c r="B317" i="4" s="1"/>
  <c r="R432" i="4"/>
  <c r="M432" i="4"/>
  <c r="L432" i="4"/>
  <c r="S432" i="4" s="1"/>
  <c r="K432" i="4"/>
  <c r="J432" i="4"/>
  <c r="I432" i="4"/>
  <c r="H432" i="4"/>
  <c r="G432" i="4"/>
  <c r="F432" i="4"/>
  <c r="Q432" i="4" s="1"/>
  <c r="E432" i="4"/>
  <c r="D432" i="4"/>
  <c r="C432" i="4"/>
  <c r="B432" i="4"/>
  <c r="R431" i="4"/>
  <c r="Q431" i="4"/>
  <c r="P431" i="4"/>
  <c r="M431" i="4"/>
  <c r="N431" i="4" s="1"/>
  <c r="L431" i="4"/>
  <c r="K431" i="4"/>
  <c r="J431" i="4"/>
  <c r="I431" i="4"/>
  <c r="H431" i="4"/>
  <c r="G431" i="4"/>
  <c r="F431" i="4"/>
  <c r="E431" i="4"/>
  <c r="D431" i="4"/>
  <c r="C431" i="4"/>
  <c r="B431" i="4"/>
  <c r="M430" i="4"/>
  <c r="L430" i="4"/>
  <c r="K430" i="4"/>
  <c r="J430" i="4"/>
  <c r="I430" i="4"/>
  <c r="I314" i="4" s="1"/>
  <c r="H430" i="4"/>
  <c r="R430" i="4" s="1"/>
  <c r="G430" i="4"/>
  <c r="G314" i="4" s="1"/>
  <c r="F430" i="4"/>
  <c r="N430" i="4" s="1"/>
  <c r="E430" i="4"/>
  <c r="D430" i="4"/>
  <c r="C430" i="4"/>
  <c r="B430" i="4"/>
  <c r="P430" i="4" s="1"/>
  <c r="M429" i="4"/>
  <c r="L429" i="4"/>
  <c r="K429" i="4"/>
  <c r="J429" i="4"/>
  <c r="I429" i="4"/>
  <c r="I458" i="4" s="1"/>
  <c r="H429" i="4"/>
  <c r="G429" i="4"/>
  <c r="F429" i="4"/>
  <c r="E429" i="4"/>
  <c r="D429" i="4"/>
  <c r="C429" i="4"/>
  <c r="B429" i="4"/>
  <c r="S428" i="4"/>
  <c r="Q428" i="4"/>
  <c r="P428" i="4"/>
  <c r="N428" i="4"/>
  <c r="M428" i="4"/>
  <c r="L428" i="4"/>
  <c r="K428" i="4"/>
  <c r="J428" i="4"/>
  <c r="I428" i="4"/>
  <c r="H428" i="4"/>
  <c r="R428" i="4" s="1"/>
  <c r="G428" i="4"/>
  <c r="F428" i="4"/>
  <c r="E428" i="4"/>
  <c r="D428" i="4"/>
  <c r="D457" i="4" s="1"/>
  <c r="C428" i="4"/>
  <c r="B428" i="4"/>
  <c r="Q427" i="4"/>
  <c r="P427" i="4"/>
  <c r="M427" i="4"/>
  <c r="L427" i="4"/>
  <c r="K427" i="4"/>
  <c r="J427" i="4"/>
  <c r="I427" i="4"/>
  <c r="R427" i="4" s="1"/>
  <c r="H427" i="4"/>
  <c r="G427" i="4"/>
  <c r="F427" i="4"/>
  <c r="E427" i="4"/>
  <c r="D427" i="4"/>
  <c r="C427" i="4"/>
  <c r="B427" i="4"/>
  <c r="M426" i="4"/>
  <c r="M310" i="4" s="1"/>
  <c r="L426" i="4"/>
  <c r="K426" i="4"/>
  <c r="J426" i="4"/>
  <c r="I426" i="4"/>
  <c r="H426" i="4"/>
  <c r="G426" i="4"/>
  <c r="F426" i="4"/>
  <c r="E426" i="4"/>
  <c r="D426" i="4"/>
  <c r="P426" i="4" s="1"/>
  <c r="C426" i="4"/>
  <c r="B426" i="4"/>
  <c r="P425" i="4"/>
  <c r="M425" i="4"/>
  <c r="L425" i="4"/>
  <c r="K425" i="4"/>
  <c r="S425" i="4" s="1"/>
  <c r="J425" i="4"/>
  <c r="I425" i="4"/>
  <c r="H425" i="4"/>
  <c r="G425" i="4"/>
  <c r="F425" i="4"/>
  <c r="F309" i="4" s="1"/>
  <c r="E425" i="4"/>
  <c r="E309" i="4" s="1"/>
  <c r="D425" i="4"/>
  <c r="C425" i="4"/>
  <c r="B425" i="4"/>
  <c r="S424" i="4"/>
  <c r="Q424" i="4"/>
  <c r="M424" i="4"/>
  <c r="L424" i="4"/>
  <c r="K424" i="4"/>
  <c r="J424" i="4"/>
  <c r="R424" i="4" s="1"/>
  <c r="I424" i="4"/>
  <c r="H424" i="4"/>
  <c r="G424" i="4"/>
  <c r="F424" i="4"/>
  <c r="E424" i="4"/>
  <c r="D424" i="4"/>
  <c r="C424" i="4"/>
  <c r="B424" i="4"/>
  <c r="R423" i="4"/>
  <c r="Q423" i="4"/>
  <c r="P423" i="4"/>
  <c r="M423" i="4"/>
  <c r="M307" i="4" s="1"/>
  <c r="L423" i="4"/>
  <c r="K423" i="4"/>
  <c r="J423" i="4"/>
  <c r="I423" i="4"/>
  <c r="H423" i="4"/>
  <c r="G423" i="4"/>
  <c r="F423" i="4"/>
  <c r="E423" i="4"/>
  <c r="D423" i="4"/>
  <c r="C423" i="4"/>
  <c r="B423" i="4"/>
  <c r="S422" i="4"/>
  <c r="P422" i="4"/>
  <c r="M422" i="4"/>
  <c r="L422" i="4"/>
  <c r="K422" i="4"/>
  <c r="J422" i="4"/>
  <c r="J306" i="4" s="1"/>
  <c r="I422" i="4"/>
  <c r="H422" i="4"/>
  <c r="G422" i="4"/>
  <c r="F422" i="4"/>
  <c r="Q422" i="4" s="1"/>
  <c r="E422" i="4"/>
  <c r="D422" i="4"/>
  <c r="C422" i="4"/>
  <c r="B422" i="4"/>
  <c r="R421" i="4"/>
  <c r="M421" i="4"/>
  <c r="M450" i="4" s="1"/>
  <c r="L421" i="4"/>
  <c r="K421" i="4"/>
  <c r="J421" i="4"/>
  <c r="I421" i="4"/>
  <c r="H421" i="4"/>
  <c r="G421" i="4"/>
  <c r="F421" i="4"/>
  <c r="E421" i="4"/>
  <c r="Q421" i="4" s="1"/>
  <c r="D421" i="4"/>
  <c r="C421" i="4"/>
  <c r="B421" i="4"/>
  <c r="M420" i="4"/>
  <c r="M304" i="4" s="1"/>
  <c r="L420" i="4"/>
  <c r="K420" i="4"/>
  <c r="J420" i="4"/>
  <c r="I420" i="4"/>
  <c r="H420" i="4"/>
  <c r="R420" i="4" s="1"/>
  <c r="G420" i="4"/>
  <c r="G449" i="4" s="1"/>
  <c r="F420" i="4"/>
  <c r="F449" i="4" s="1"/>
  <c r="E420" i="4"/>
  <c r="Q420" i="4" s="1"/>
  <c r="D420" i="4"/>
  <c r="C420" i="4"/>
  <c r="B420" i="4"/>
  <c r="S419" i="4"/>
  <c r="M419" i="4"/>
  <c r="L419" i="4"/>
  <c r="K419" i="4"/>
  <c r="J419" i="4"/>
  <c r="I419" i="4"/>
  <c r="H419" i="4"/>
  <c r="G419" i="4"/>
  <c r="G303" i="4" s="1"/>
  <c r="F419" i="4"/>
  <c r="E419" i="4"/>
  <c r="D419" i="4"/>
  <c r="C419" i="4"/>
  <c r="C448" i="4" s="1"/>
  <c r="B419" i="4"/>
  <c r="S418" i="4"/>
  <c r="R418" i="4"/>
  <c r="Q418" i="4"/>
  <c r="M418" i="4"/>
  <c r="L418" i="4"/>
  <c r="K418" i="4"/>
  <c r="J418" i="4"/>
  <c r="I418" i="4"/>
  <c r="H418" i="4"/>
  <c r="G418" i="4"/>
  <c r="F418" i="4"/>
  <c r="E418" i="4"/>
  <c r="D418" i="4"/>
  <c r="C418" i="4"/>
  <c r="C302" i="4" s="1"/>
  <c r="B418" i="4"/>
  <c r="B302" i="4" s="1"/>
  <c r="P302" i="4" s="1"/>
  <c r="M417" i="4"/>
  <c r="M301" i="4" s="1"/>
  <c r="L417" i="4"/>
  <c r="L301" i="4" s="1"/>
  <c r="K417" i="4"/>
  <c r="S417" i="4" s="1"/>
  <c r="J417" i="4"/>
  <c r="J301" i="4" s="1"/>
  <c r="I417" i="4"/>
  <c r="I301" i="4" s="1"/>
  <c r="H417" i="4"/>
  <c r="H446" i="4" s="1"/>
  <c r="G417" i="4"/>
  <c r="F417" i="4"/>
  <c r="E417" i="4"/>
  <c r="D417" i="4"/>
  <c r="C417" i="4"/>
  <c r="B417" i="4"/>
  <c r="M416" i="4"/>
  <c r="L416" i="4"/>
  <c r="K416" i="4"/>
  <c r="S416" i="4" s="1"/>
  <c r="J416" i="4"/>
  <c r="J445" i="4" s="1"/>
  <c r="I416" i="4"/>
  <c r="H416" i="4"/>
  <c r="G416" i="4"/>
  <c r="F416" i="4"/>
  <c r="E416" i="4"/>
  <c r="Q416" i="4" s="1"/>
  <c r="D416" i="4"/>
  <c r="D300" i="4" s="1"/>
  <c r="C416" i="4"/>
  <c r="C300" i="4" s="1"/>
  <c r="B416" i="4"/>
  <c r="R415" i="4"/>
  <c r="Q415" i="4"/>
  <c r="P415" i="4"/>
  <c r="M415" i="4"/>
  <c r="L415" i="4"/>
  <c r="K415" i="4"/>
  <c r="S415" i="4" s="1"/>
  <c r="J415" i="4"/>
  <c r="I415" i="4"/>
  <c r="H415" i="4"/>
  <c r="G415" i="4"/>
  <c r="F415" i="4"/>
  <c r="E415" i="4"/>
  <c r="D415" i="4"/>
  <c r="C415" i="4"/>
  <c r="B415" i="4"/>
  <c r="Q414" i="4"/>
  <c r="P414" i="4"/>
  <c r="M414" i="4"/>
  <c r="L414" i="4"/>
  <c r="K414" i="4"/>
  <c r="K298" i="4" s="1"/>
  <c r="J414" i="4"/>
  <c r="N414" i="4" s="1"/>
  <c r="I414" i="4"/>
  <c r="H414" i="4"/>
  <c r="G414" i="4"/>
  <c r="F414" i="4"/>
  <c r="E414" i="4"/>
  <c r="D414" i="4"/>
  <c r="C414" i="4"/>
  <c r="B414" i="4"/>
  <c r="P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R412" i="4"/>
  <c r="Q412" i="4"/>
  <c r="M412" i="4"/>
  <c r="L412" i="4"/>
  <c r="K412" i="4"/>
  <c r="S412" i="4" s="1"/>
  <c r="J412" i="4"/>
  <c r="I412" i="4"/>
  <c r="H412" i="4"/>
  <c r="G412" i="4"/>
  <c r="F412" i="4"/>
  <c r="E412" i="4"/>
  <c r="D412" i="4"/>
  <c r="C412" i="4"/>
  <c r="B412" i="4"/>
  <c r="R411" i="4"/>
  <c r="M411" i="4"/>
  <c r="L411" i="4"/>
  <c r="K411" i="4"/>
  <c r="S411" i="4" s="1"/>
  <c r="J411" i="4"/>
  <c r="I411" i="4"/>
  <c r="H411" i="4"/>
  <c r="G411" i="4"/>
  <c r="G440" i="4" s="1"/>
  <c r="F411" i="4"/>
  <c r="F440" i="4" s="1"/>
  <c r="E411" i="4"/>
  <c r="D411" i="4"/>
  <c r="C411" i="4"/>
  <c r="B411" i="4"/>
  <c r="R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P408" i="4" s="1"/>
  <c r="R407" i="4"/>
  <c r="M407" i="4"/>
  <c r="L407" i="4"/>
  <c r="L291" i="4" s="1"/>
  <c r="K407" i="4"/>
  <c r="J407" i="4"/>
  <c r="I407" i="4"/>
  <c r="H407" i="4"/>
  <c r="G407" i="4"/>
  <c r="F407" i="4"/>
  <c r="E407" i="4"/>
  <c r="D407" i="4"/>
  <c r="C407" i="4"/>
  <c r="B407" i="4"/>
  <c r="M406" i="4"/>
  <c r="M464" i="4" s="1"/>
  <c r="L406" i="4"/>
  <c r="L290" i="4" s="1"/>
  <c r="K406" i="4"/>
  <c r="S406" i="4" s="1"/>
  <c r="J406" i="4"/>
  <c r="J290" i="4" s="1"/>
  <c r="I406" i="4"/>
  <c r="I290" i="4" s="1"/>
  <c r="H406" i="4"/>
  <c r="G406" i="4"/>
  <c r="F406" i="4"/>
  <c r="Q406" i="4" s="1"/>
  <c r="E406" i="4"/>
  <c r="D406" i="4"/>
  <c r="D290" i="4" s="1"/>
  <c r="C406" i="4"/>
  <c r="B406" i="4"/>
  <c r="M405" i="4"/>
  <c r="L405" i="4"/>
  <c r="K405" i="4"/>
  <c r="J405" i="4"/>
  <c r="I405" i="4"/>
  <c r="H405" i="4"/>
  <c r="G405" i="4"/>
  <c r="G463" i="4" s="1"/>
  <c r="F405" i="4"/>
  <c r="E405" i="4"/>
  <c r="D405" i="4"/>
  <c r="C405" i="4"/>
  <c r="C463" i="4" s="1"/>
  <c r="B405" i="4"/>
  <c r="N405" i="4" s="1"/>
  <c r="S404" i="4"/>
  <c r="Q404" i="4"/>
  <c r="M404" i="4"/>
  <c r="L404" i="4"/>
  <c r="K404" i="4"/>
  <c r="J404" i="4"/>
  <c r="I404" i="4"/>
  <c r="H404" i="4"/>
  <c r="G404" i="4"/>
  <c r="F404" i="4"/>
  <c r="E404" i="4"/>
  <c r="D404" i="4"/>
  <c r="C404" i="4"/>
  <c r="C462" i="4" s="1"/>
  <c r="B404" i="4"/>
  <c r="R403" i="4"/>
  <c r="Q403" i="4"/>
  <c r="M403" i="4"/>
  <c r="L403" i="4"/>
  <c r="K403" i="4"/>
  <c r="K287" i="4" s="1"/>
  <c r="J403" i="4"/>
  <c r="I403" i="4"/>
  <c r="H403" i="4"/>
  <c r="G403" i="4"/>
  <c r="F403" i="4"/>
  <c r="E403" i="4"/>
  <c r="D403" i="4"/>
  <c r="D461" i="4" s="1"/>
  <c r="C403" i="4"/>
  <c r="N403" i="4" s="1"/>
  <c r="B403" i="4"/>
  <c r="M402" i="4"/>
  <c r="L402" i="4"/>
  <c r="K402" i="4"/>
  <c r="S402" i="4" s="1"/>
  <c r="J402" i="4"/>
  <c r="I402" i="4"/>
  <c r="H402" i="4"/>
  <c r="G402" i="4"/>
  <c r="F402" i="4"/>
  <c r="E402" i="4"/>
  <c r="Q402" i="4" s="1"/>
  <c r="D402" i="4"/>
  <c r="C402" i="4"/>
  <c r="B402" i="4"/>
  <c r="M401" i="4"/>
  <c r="L401" i="4"/>
  <c r="K401" i="4"/>
  <c r="S401" i="4" s="1"/>
  <c r="J401" i="4"/>
  <c r="J459" i="4" s="1"/>
  <c r="I401" i="4"/>
  <c r="I285" i="4" s="1"/>
  <c r="H401" i="4"/>
  <c r="R401" i="4" s="1"/>
  <c r="G401" i="4"/>
  <c r="F401" i="4"/>
  <c r="E401" i="4"/>
  <c r="Q401" i="4" s="1"/>
  <c r="D401" i="4"/>
  <c r="C401" i="4"/>
  <c r="B401" i="4"/>
  <c r="R400" i="4"/>
  <c r="M400" i="4"/>
  <c r="L400" i="4"/>
  <c r="K400" i="4"/>
  <c r="S400" i="4" s="1"/>
  <c r="J400" i="4"/>
  <c r="I400" i="4"/>
  <c r="H400" i="4"/>
  <c r="G400" i="4"/>
  <c r="F400" i="4"/>
  <c r="F458" i="4" s="1"/>
  <c r="E400" i="4"/>
  <c r="D400" i="4"/>
  <c r="C400" i="4"/>
  <c r="C284" i="4" s="1"/>
  <c r="B400" i="4"/>
  <c r="B284" i="4" s="1"/>
  <c r="S399" i="4"/>
  <c r="R399" i="4"/>
  <c r="P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P398" i="4"/>
  <c r="M398" i="4"/>
  <c r="M282" i="4" s="1"/>
  <c r="L398" i="4"/>
  <c r="S398" i="4" s="1"/>
  <c r="K398" i="4"/>
  <c r="J398" i="4"/>
  <c r="I398" i="4"/>
  <c r="H398" i="4"/>
  <c r="H282" i="4" s="1"/>
  <c r="G398" i="4"/>
  <c r="G456" i="4" s="1"/>
  <c r="F398" i="4"/>
  <c r="E398" i="4"/>
  <c r="D398" i="4"/>
  <c r="C398" i="4"/>
  <c r="B398" i="4"/>
  <c r="S397" i="4"/>
  <c r="M397" i="4"/>
  <c r="L397" i="4"/>
  <c r="K397" i="4"/>
  <c r="J397" i="4"/>
  <c r="I397" i="4"/>
  <c r="R397" i="4" s="1"/>
  <c r="H397" i="4"/>
  <c r="G397" i="4"/>
  <c r="F397" i="4"/>
  <c r="F281" i="4" s="1"/>
  <c r="E397" i="4"/>
  <c r="D397" i="4"/>
  <c r="C397" i="4"/>
  <c r="B397" i="4"/>
  <c r="M396" i="4"/>
  <c r="L396" i="4"/>
  <c r="K396" i="4"/>
  <c r="J396" i="4"/>
  <c r="I396" i="4"/>
  <c r="H396" i="4"/>
  <c r="R396" i="4" s="1"/>
  <c r="G396" i="4"/>
  <c r="G454" i="4" s="1"/>
  <c r="F396" i="4"/>
  <c r="E396" i="4"/>
  <c r="D396" i="4"/>
  <c r="C396" i="4"/>
  <c r="B396" i="4"/>
  <c r="M395" i="4"/>
  <c r="L395" i="4"/>
  <c r="K395" i="4"/>
  <c r="J395" i="4"/>
  <c r="I395" i="4"/>
  <c r="H395" i="4"/>
  <c r="H279" i="4" s="1"/>
  <c r="G395" i="4"/>
  <c r="G279" i="4" s="1"/>
  <c r="F395" i="4"/>
  <c r="E395" i="4"/>
  <c r="Q395" i="4" s="1"/>
  <c r="D395" i="4"/>
  <c r="C395" i="4"/>
  <c r="C453" i="4" s="1"/>
  <c r="B395" i="4"/>
  <c r="S394" i="4"/>
  <c r="Q394" i="4"/>
  <c r="M394" i="4"/>
  <c r="L394" i="4"/>
  <c r="K394" i="4"/>
  <c r="J394" i="4"/>
  <c r="I394" i="4"/>
  <c r="H394" i="4"/>
  <c r="H278" i="4" s="1"/>
  <c r="G394" i="4"/>
  <c r="F394" i="4"/>
  <c r="E394" i="4"/>
  <c r="D394" i="4"/>
  <c r="C394" i="4"/>
  <c r="B394" i="4"/>
  <c r="P393" i="4"/>
  <c r="M393" i="4"/>
  <c r="M277" i="4" s="1"/>
  <c r="L393" i="4"/>
  <c r="L277" i="4" s="1"/>
  <c r="K393" i="4"/>
  <c r="S393" i="4" s="1"/>
  <c r="J393" i="4"/>
  <c r="N393" i="4" s="1"/>
  <c r="I393" i="4"/>
  <c r="H393" i="4"/>
  <c r="G393" i="4"/>
  <c r="F393" i="4"/>
  <c r="E393" i="4"/>
  <c r="Q393" i="4" s="1"/>
  <c r="D393" i="4"/>
  <c r="C393" i="4"/>
  <c r="B393" i="4"/>
  <c r="M392" i="4"/>
  <c r="L392" i="4"/>
  <c r="K392" i="4"/>
  <c r="S392" i="4" s="1"/>
  <c r="J392" i="4"/>
  <c r="I392" i="4"/>
  <c r="I276" i="4" s="1"/>
  <c r="H392" i="4"/>
  <c r="R392" i="4" s="1"/>
  <c r="G392" i="4"/>
  <c r="G276" i="4" s="1"/>
  <c r="F392" i="4"/>
  <c r="F276" i="4" s="1"/>
  <c r="E392" i="4"/>
  <c r="Q392" i="4" s="1"/>
  <c r="D392" i="4"/>
  <c r="D276" i="4" s="1"/>
  <c r="C392" i="4"/>
  <c r="C276" i="4" s="1"/>
  <c r="B392" i="4"/>
  <c r="N392" i="4" s="1"/>
  <c r="R391" i="4"/>
  <c r="M391" i="4"/>
  <c r="L391" i="4"/>
  <c r="K391" i="4"/>
  <c r="S391" i="4" s="1"/>
  <c r="J391" i="4"/>
  <c r="I391" i="4"/>
  <c r="H391" i="4"/>
  <c r="G391" i="4"/>
  <c r="F391" i="4"/>
  <c r="E391" i="4"/>
  <c r="Q391" i="4" s="1"/>
  <c r="D391" i="4"/>
  <c r="D449" i="4" s="1"/>
  <c r="C391" i="4"/>
  <c r="C449" i="4" s="1"/>
  <c r="B391" i="4"/>
  <c r="Q390" i="4"/>
  <c r="P390" i="4"/>
  <c r="M390" i="4"/>
  <c r="L390" i="4"/>
  <c r="K390" i="4"/>
  <c r="S390" i="4" s="1"/>
  <c r="J390" i="4"/>
  <c r="N390" i="4" s="1"/>
  <c r="I390" i="4"/>
  <c r="H390" i="4"/>
  <c r="G390" i="4"/>
  <c r="F390" i="4"/>
  <c r="E390" i="4"/>
  <c r="D390" i="4"/>
  <c r="C390" i="4"/>
  <c r="B390" i="4"/>
  <c r="P389" i="4"/>
  <c r="M389" i="4"/>
  <c r="M447" i="4" s="1"/>
  <c r="L389" i="4"/>
  <c r="L273" i="4" s="1"/>
  <c r="K389" i="4"/>
  <c r="S389" i="4" s="1"/>
  <c r="J389" i="4"/>
  <c r="J273" i="4" s="1"/>
  <c r="I389" i="4"/>
  <c r="I273" i="4" s="1"/>
  <c r="H389" i="4"/>
  <c r="G389" i="4"/>
  <c r="F389" i="4"/>
  <c r="F447" i="4" s="1"/>
  <c r="E389" i="4"/>
  <c r="D389" i="4"/>
  <c r="C389" i="4"/>
  <c r="B389" i="4"/>
  <c r="M388" i="4"/>
  <c r="L388" i="4"/>
  <c r="K388" i="4"/>
  <c r="S388" i="4" s="1"/>
  <c r="J388" i="4"/>
  <c r="I388" i="4"/>
  <c r="H388" i="4"/>
  <c r="G388" i="4"/>
  <c r="F388" i="4"/>
  <c r="E388" i="4"/>
  <c r="D388" i="4"/>
  <c r="C388" i="4"/>
  <c r="B388" i="4"/>
  <c r="R387" i="4"/>
  <c r="M387" i="4"/>
  <c r="L387" i="4"/>
  <c r="L271" i="4" s="1"/>
  <c r="K387" i="4"/>
  <c r="K271" i="4" s="1"/>
  <c r="J387" i="4"/>
  <c r="I387" i="4"/>
  <c r="H387" i="4"/>
  <c r="G387" i="4"/>
  <c r="F387" i="4"/>
  <c r="E387" i="4"/>
  <c r="Q387" i="4" s="1"/>
  <c r="D387" i="4"/>
  <c r="C387" i="4"/>
  <c r="B387" i="4"/>
  <c r="S386" i="4"/>
  <c r="R386" i="4"/>
  <c r="M386" i="4"/>
  <c r="L386" i="4"/>
  <c r="K386" i="4"/>
  <c r="J386" i="4"/>
  <c r="I386" i="4"/>
  <c r="H386" i="4"/>
  <c r="G386" i="4"/>
  <c r="F386" i="4"/>
  <c r="F444" i="4" s="1"/>
  <c r="E386" i="4"/>
  <c r="D386" i="4"/>
  <c r="C386" i="4"/>
  <c r="B386" i="4"/>
  <c r="P386" i="4" s="1"/>
  <c r="Q385" i="4"/>
  <c r="M385" i="4"/>
  <c r="M443" i="4" s="1"/>
  <c r="L385" i="4"/>
  <c r="L269" i="4" s="1"/>
  <c r="K385" i="4"/>
  <c r="J385" i="4"/>
  <c r="I385" i="4"/>
  <c r="H385" i="4"/>
  <c r="R385" i="4" s="1"/>
  <c r="G385" i="4"/>
  <c r="F385" i="4"/>
  <c r="E385" i="4"/>
  <c r="D385" i="4"/>
  <c r="C385" i="4"/>
  <c r="B385" i="4"/>
  <c r="M384" i="4"/>
  <c r="M442" i="4" s="1"/>
  <c r="L384" i="4"/>
  <c r="L442" i="4" s="1"/>
  <c r="K384" i="4"/>
  <c r="J384" i="4"/>
  <c r="I384" i="4"/>
  <c r="H384" i="4"/>
  <c r="R384" i="4" s="1"/>
  <c r="G384" i="4"/>
  <c r="F384" i="4"/>
  <c r="Q384" i="4" s="1"/>
  <c r="E384" i="4"/>
  <c r="D384" i="4"/>
  <c r="D268" i="4" s="1"/>
  <c r="C384" i="4"/>
  <c r="C442" i="4" s="1"/>
  <c r="B384" i="4"/>
  <c r="M383" i="4"/>
  <c r="L383" i="4"/>
  <c r="K383" i="4"/>
  <c r="S383" i="4" s="1"/>
  <c r="J383" i="4"/>
  <c r="I383" i="4"/>
  <c r="I441" i="4" s="1"/>
  <c r="H383" i="4"/>
  <c r="R383" i="4" s="1"/>
  <c r="G383" i="4"/>
  <c r="F383" i="4"/>
  <c r="E383" i="4"/>
  <c r="D383" i="4"/>
  <c r="C383" i="4"/>
  <c r="B383" i="4"/>
  <c r="S382" i="4"/>
  <c r="Q382" i="4"/>
  <c r="P382" i="4"/>
  <c r="M382" i="4"/>
  <c r="L382" i="4"/>
  <c r="K382" i="4"/>
  <c r="J382" i="4"/>
  <c r="I382" i="4"/>
  <c r="H382" i="4"/>
  <c r="R382" i="4" s="1"/>
  <c r="G382" i="4"/>
  <c r="F382" i="4"/>
  <c r="E382" i="4"/>
  <c r="D382" i="4"/>
  <c r="C382" i="4"/>
  <c r="C440" i="4" s="1"/>
  <c r="B382" i="4"/>
  <c r="S379" i="4"/>
  <c r="Q379" i="4"/>
  <c r="P379" i="4"/>
  <c r="M379" i="4"/>
  <c r="L379" i="4"/>
  <c r="K379" i="4"/>
  <c r="K466" i="4" s="1"/>
  <c r="J379" i="4"/>
  <c r="J466" i="4" s="1"/>
  <c r="I379" i="4"/>
  <c r="H379" i="4"/>
  <c r="G379" i="4"/>
  <c r="F379" i="4"/>
  <c r="E379" i="4"/>
  <c r="D379" i="4"/>
  <c r="C379" i="4"/>
  <c r="N379" i="4" s="1"/>
  <c r="B379" i="4"/>
  <c r="Q378" i="4"/>
  <c r="P378" i="4"/>
  <c r="M378" i="4"/>
  <c r="M465" i="4" s="1"/>
  <c r="L378" i="4"/>
  <c r="K378" i="4"/>
  <c r="J378" i="4"/>
  <c r="I378" i="4"/>
  <c r="H378" i="4"/>
  <c r="N378" i="4" s="1"/>
  <c r="G378" i="4"/>
  <c r="F378" i="4"/>
  <c r="F465" i="4" s="1"/>
  <c r="E378" i="4"/>
  <c r="D378" i="4"/>
  <c r="C378" i="4"/>
  <c r="B378" i="4"/>
  <c r="P377" i="4"/>
  <c r="M377" i="4"/>
  <c r="L377" i="4"/>
  <c r="K377" i="4"/>
  <c r="J377" i="4"/>
  <c r="J464" i="4" s="1"/>
  <c r="I377" i="4"/>
  <c r="I464" i="4" s="1"/>
  <c r="H377" i="4"/>
  <c r="H464" i="4" s="1"/>
  <c r="R464" i="4" s="1"/>
  <c r="G377" i="4"/>
  <c r="G464" i="4" s="1"/>
  <c r="F377" i="4"/>
  <c r="F464" i="4" s="1"/>
  <c r="E377" i="4"/>
  <c r="D377" i="4"/>
  <c r="C377" i="4"/>
  <c r="C464" i="4" s="1"/>
  <c r="B377" i="4"/>
  <c r="S376" i="4"/>
  <c r="M376" i="4"/>
  <c r="L376" i="4"/>
  <c r="K376" i="4"/>
  <c r="J376" i="4"/>
  <c r="I376" i="4"/>
  <c r="H376" i="4"/>
  <c r="G376" i="4"/>
  <c r="F376" i="4"/>
  <c r="F463" i="4" s="1"/>
  <c r="E376" i="4"/>
  <c r="D376" i="4"/>
  <c r="D463" i="4" s="1"/>
  <c r="C376" i="4"/>
  <c r="B376" i="4"/>
  <c r="B260" i="4" s="1"/>
  <c r="S375" i="4"/>
  <c r="R375" i="4"/>
  <c r="Q375" i="4"/>
  <c r="P375" i="4"/>
  <c r="M375" i="4"/>
  <c r="L375" i="4"/>
  <c r="L462" i="4" s="1"/>
  <c r="K375" i="4"/>
  <c r="J375" i="4"/>
  <c r="I375" i="4"/>
  <c r="H375" i="4"/>
  <c r="G375" i="4"/>
  <c r="F375" i="4"/>
  <c r="E375" i="4"/>
  <c r="D375" i="4"/>
  <c r="C375" i="4"/>
  <c r="B375" i="4"/>
  <c r="R374" i="4"/>
  <c r="Q374" i="4"/>
  <c r="P374" i="4"/>
  <c r="M374" i="4"/>
  <c r="M461" i="4" s="1"/>
  <c r="L374" i="4"/>
  <c r="L461" i="4" s="1"/>
  <c r="K374" i="4"/>
  <c r="S374" i="4" s="1"/>
  <c r="J374" i="4"/>
  <c r="J461" i="4" s="1"/>
  <c r="I374" i="4"/>
  <c r="H374" i="4"/>
  <c r="G374" i="4"/>
  <c r="G461" i="4" s="1"/>
  <c r="F374" i="4"/>
  <c r="E374" i="4"/>
  <c r="D374" i="4"/>
  <c r="C374" i="4"/>
  <c r="B374" i="4"/>
  <c r="M373" i="4"/>
  <c r="M257" i="4" s="1"/>
  <c r="L373" i="4"/>
  <c r="K373" i="4"/>
  <c r="J373" i="4"/>
  <c r="J460" i="4" s="1"/>
  <c r="I373" i="4"/>
  <c r="I460" i="4" s="1"/>
  <c r="H373" i="4"/>
  <c r="H257" i="4" s="1"/>
  <c r="G373" i="4"/>
  <c r="G460" i="4" s="1"/>
  <c r="F373" i="4"/>
  <c r="E373" i="4"/>
  <c r="D373" i="4"/>
  <c r="C373" i="4"/>
  <c r="B373" i="4"/>
  <c r="B257" i="4" s="1"/>
  <c r="S372" i="4"/>
  <c r="M372" i="4"/>
  <c r="L372" i="4"/>
  <c r="K372" i="4"/>
  <c r="J372" i="4"/>
  <c r="I372" i="4"/>
  <c r="H372" i="4"/>
  <c r="G372" i="4"/>
  <c r="F372" i="4"/>
  <c r="E372" i="4"/>
  <c r="Q372" i="4" s="1"/>
  <c r="D372" i="4"/>
  <c r="D459" i="4" s="1"/>
  <c r="C372" i="4"/>
  <c r="B372" i="4"/>
  <c r="S371" i="4"/>
  <c r="P371" i="4"/>
  <c r="M371" i="4"/>
  <c r="L371" i="4"/>
  <c r="K371" i="4"/>
  <c r="J371" i="4"/>
  <c r="I371" i="4"/>
  <c r="H371" i="4"/>
  <c r="H255" i="4" s="1"/>
  <c r="G371" i="4"/>
  <c r="F371" i="4"/>
  <c r="E371" i="4"/>
  <c r="D371" i="4"/>
  <c r="C371" i="4"/>
  <c r="B371" i="4"/>
  <c r="Q370" i="4"/>
  <c r="M370" i="4"/>
  <c r="L370" i="4"/>
  <c r="L457" i="4" s="1"/>
  <c r="K370" i="4"/>
  <c r="J370" i="4"/>
  <c r="I370" i="4"/>
  <c r="I457" i="4" s="1"/>
  <c r="H370" i="4"/>
  <c r="H457" i="4" s="1"/>
  <c r="G370" i="4"/>
  <c r="F370" i="4"/>
  <c r="E370" i="4"/>
  <c r="D370" i="4"/>
  <c r="C370" i="4"/>
  <c r="B370" i="4"/>
  <c r="P370" i="4" s="1"/>
  <c r="P369" i="4"/>
  <c r="M369" i="4"/>
  <c r="M253" i="4" s="1"/>
  <c r="L369" i="4"/>
  <c r="K369" i="4"/>
  <c r="J369" i="4"/>
  <c r="I369" i="4"/>
  <c r="H369" i="4"/>
  <c r="G369" i="4"/>
  <c r="F369" i="4"/>
  <c r="E369" i="4"/>
  <c r="D369" i="4"/>
  <c r="D456" i="4" s="1"/>
  <c r="C369" i="4"/>
  <c r="B369" i="4"/>
  <c r="M368" i="4"/>
  <c r="L368" i="4"/>
  <c r="S368" i="4" s="1"/>
  <c r="K368" i="4"/>
  <c r="J368" i="4"/>
  <c r="J455" i="4" s="1"/>
  <c r="I368" i="4"/>
  <c r="I455" i="4" s="1"/>
  <c r="H368" i="4"/>
  <c r="R368" i="4" s="1"/>
  <c r="G368" i="4"/>
  <c r="G455" i="4" s="1"/>
  <c r="F368" i="4"/>
  <c r="F455" i="4" s="1"/>
  <c r="E368" i="4"/>
  <c r="D368" i="4"/>
  <c r="C368" i="4"/>
  <c r="C455" i="4" s="1"/>
  <c r="B368" i="4"/>
  <c r="B455" i="4" s="1"/>
  <c r="M367" i="4"/>
  <c r="L367" i="4"/>
  <c r="K367" i="4"/>
  <c r="S367" i="4" s="1"/>
  <c r="J367" i="4"/>
  <c r="J454" i="4" s="1"/>
  <c r="I367" i="4"/>
  <c r="H367" i="4"/>
  <c r="G367" i="4"/>
  <c r="F367" i="4"/>
  <c r="E367" i="4"/>
  <c r="D367" i="4"/>
  <c r="D454" i="4" s="1"/>
  <c r="C367" i="4"/>
  <c r="C251" i="4" s="1"/>
  <c r="B367" i="4"/>
  <c r="N367" i="4" s="1"/>
  <c r="S366" i="4"/>
  <c r="R366" i="4"/>
  <c r="Q366" i="4"/>
  <c r="P366" i="4"/>
  <c r="N366" i="4"/>
  <c r="M366" i="4"/>
  <c r="L366" i="4"/>
  <c r="L453" i="4" s="1"/>
  <c r="K366" i="4"/>
  <c r="J366" i="4"/>
  <c r="I366" i="4"/>
  <c r="H366" i="4"/>
  <c r="G366" i="4"/>
  <c r="F366" i="4"/>
  <c r="E366" i="4"/>
  <c r="D366" i="4"/>
  <c r="C366" i="4"/>
  <c r="B366" i="4"/>
  <c r="Q365" i="4"/>
  <c r="P365" i="4"/>
  <c r="M365" i="4"/>
  <c r="M249" i="4" s="1"/>
  <c r="L365" i="4"/>
  <c r="L452" i="4" s="1"/>
  <c r="K365" i="4"/>
  <c r="K249" i="4" s="1"/>
  <c r="J365" i="4"/>
  <c r="I365" i="4"/>
  <c r="I249" i="4" s="1"/>
  <c r="H365" i="4"/>
  <c r="G365" i="4"/>
  <c r="G452" i="4" s="1"/>
  <c r="F365" i="4"/>
  <c r="E365" i="4"/>
  <c r="D365" i="4"/>
  <c r="C365" i="4"/>
  <c r="B365" i="4"/>
  <c r="M364" i="4"/>
  <c r="L364" i="4"/>
  <c r="K364" i="4"/>
  <c r="J364" i="4"/>
  <c r="I364" i="4"/>
  <c r="I451" i="4" s="1"/>
  <c r="H364" i="4"/>
  <c r="G364" i="4"/>
  <c r="G451" i="4" s="1"/>
  <c r="F364" i="4"/>
  <c r="F451" i="4" s="1"/>
  <c r="E364" i="4"/>
  <c r="D364" i="4"/>
  <c r="D248" i="4" s="1"/>
  <c r="C364" i="4"/>
  <c r="B364" i="4"/>
  <c r="S363" i="4"/>
  <c r="R363" i="4"/>
  <c r="M363" i="4"/>
  <c r="L363" i="4"/>
  <c r="L450" i="4" s="1"/>
  <c r="K363" i="4"/>
  <c r="K450" i="4" s="1"/>
  <c r="S450" i="4" s="1"/>
  <c r="J363" i="4"/>
  <c r="I363" i="4"/>
  <c r="H363" i="4"/>
  <c r="G363" i="4"/>
  <c r="F363" i="4"/>
  <c r="E363" i="4"/>
  <c r="D363" i="4"/>
  <c r="C363" i="4"/>
  <c r="B363" i="4"/>
  <c r="R362" i="4"/>
  <c r="Q362" i="4"/>
  <c r="M362" i="4"/>
  <c r="L362" i="4"/>
  <c r="S362" i="4" s="1"/>
  <c r="K362" i="4"/>
  <c r="J362" i="4"/>
  <c r="I362" i="4"/>
  <c r="H362" i="4"/>
  <c r="G362" i="4"/>
  <c r="F362" i="4"/>
  <c r="E362" i="4"/>
  <c r="D362" i="4"/>
  <c r="C362" i="4"/>
  <c r="B362" i="4"/>
  <c r="P361" i="4"/>
  <c r="M361" i="4"/>
  <c r="M448" i="4" s="1"/>
  <c r="L361" i="4"/>
  <c r="K361" i="4"/>
  <c r="J361" i="4"/>
  <c r="I361" i="4"/>
  <c r="H361" i="4"/>
  <c r="G361" i="4"/>
  <c r="F361" i="4"/>
  <c r="E361" i="4"/>
  <c r="D361" i="4"/>
  <c r="C361" i="4"/>
  <c r="B361" i="4"/>
  <c r="M360" i="4"/>
  <c r="L360" i="4"/>
  <c r="S360" i="4" s="1"/>
  <c r="K360" i="4"/>
  <c r="J360" i="4"/>
  <c r="I360" i="4"/>
  <c r="I447" i="4" s="1"/>
  <c r="H360" i="4"/>
  <c r="G360" i="4"/>
  <c r="F360" i="4"/>
  <c r="E360" i="4"/>
  <c r="D360" i="4"/>
  <c r="C360" i="4"/>
  <c r="B360" i="4"/>
  <c r="M359" i="4"/>
  <c r="L359" i="4"/>
  <c r="K359" i="4"/>
  <c r="J359" i="4"/>
  <c r="I359" i="4"/>
  <c r="H359" i="4"/>
  <c r="R359" i="4" s="1"/>
  <c r="G359" i="4"/>
  <c r="F359" i="4"/>
  <c r="F446" i="4" s="1"/>
  <c r="E359" i="4"/>
  <c r="D359" i="4"/>
  <c r="C359" i="4"/>
  <c r="C446" i="4" s="1"/>
  <c r="B359" i="4"/>
  <c r="S358" i="4"/>
  <c r="Q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Q357" i="4"/>
  <c r="M357" i="4"/>
  <c r="M444" i="4" s="1"/>
  <c r="L357" i="4"/>
  <c r="K357" i="4"/>
  <c r="J357" i="4"/>
  <c r="J444" i="4" s="1"/>
  <c r="I357" i="4"/>
  <c r="N357" i="4" s="1"/>
  <c r="H357" i="4"/>
  <c r="G357" i="4"/>
  <c r="F357" i="4"/>
  <c r="E357" i="4"/>
  <c r="D357" i="4"/>
  <c r="D444" i="4" s="1"/>
  <c r="C357" i="4"/>
  <c r="B357" i="4"/>
  <c r="Q356" i="4"/>
  <c r="M356" i="4"/>
  <c r="L356" i="4"/>
  <c r="K356" i="4"/>
  <c r="J356" i="4"/>
  <c r="I356" i="4"/>
  <c r="I443" i="4" s="1"/>
  <c r="H356" i="4"/>
  <c r="R356" i="4" s="1"/>
  <c r="G356" i="4"/>
  <c r="F356" i="4"/>
  <c r="F443" i="4" s="1"/>
  <c r="E356" i="4"/>
  <c r="E443" i="4" s="1"/>
  <c r="D356" i="4"/>
  <c r="P356" i="4" s="1"/>
  <c r="C356" i="4"/>
  <c r="B356" i="4"/>
  <c r="M355" i="4"/>
  <c r="L355" i="4"/>
  <c r="K355" i="4"/>
  <c r="J355" i="4"/>
  <c r="J442" i="4" s="1"/>
  <c r="I355" i="4"/>
  <c r="H355" i="4"/>
  <c r="R355" i="4" s="1"/>
  <c r="G355" i="4"/>
  <c r="F355" i="4"/>
  <c r="E355" i="4"/>
  <c r="D355" i="4"/>
  <c r="C355" i="4"/>
  <c r="B355" i="4"/>
  <c r="M354" i="4"/>
  <c r="L354" i="4"/>
  <c r="K354" i="4"/>
  <c r="K441" i="4" s="1"/>
  <c r="S441" i="4" s="1"/>
  <c r="J354" i="4"/>
  <c r="J441" i="4" s="1"/>
  <c r="I354" i="4"/>
  <c r="H354" i="4"/>
  <c r="G354" i="4"/>
  <c r="F354" i="4"/>
  <c r="F441" i="4" s="1"/>
  <c r="E354" i="4"/>
  <c r="E238" i="4" s="1"/>
  <c r="D354" i="4"/>
  <c r="D441" i="4" s="1"/>
  <c r="C354" i="4"/>
  <c r="C441" i="4" s="1"/>
  <c r="B354" i="4"/>
  <c r="R353" i="4"/>
  <c r="P353" i="4"/>
  <c r="M353" i="4"/>
  <c r="L353" i="4"/>
  <c r="K353" i="4"/>
  <c r="J353" i="4"/>
  <c r="I353" i="4"/>
  <c r="H353" i="4"/>
  <c r="G353" i="4"/>
  <c r="F353" i="4"/>
  <c r="E353" i="4"/>
  <c r="E237" i="4" s="1"/>
  <c r="D353" i="4"/>
  <c r="C353" i="4"/>
  <c r="B353" i="4"/>
  <c r="I321" i="4"/>
  <c r="F318" i="4"/>
  <c r="L315" i="4"/>
  <c r="K315" i="4"/>
  <c r="G315" i="4"/>
  <c r="F315" i="4"/>
  <c r="E315" i="4"/>
  <c r="Q315" i="4" s="1"/>
  <c r="L312" i="4"/>
  <c r="K312" i="4"/>
  <c r="J312" i="4"/>
  <c r="G312" i="4"/>
  <c r="F312" i="4"/>
  <c r="J310" i="4"/>
  <c r="I310" i="4"/>
  <c r="H310" i="4"/>
  <c r="R310" i="4" s="1"/>
  <c r="G310" i="4"/>
  <c r="K307" i="4"/>
  <c r="J307" i="4"/>
  <c r="I307" i="4"/>
  <c r="D307" i="4"/>
  <c r="C307" i="4"/>
  <c r="H305" i="4"/>
  <c r="G305" i="4"/>
  <c r="B305" i="4"/>
  <c r="K303" i="4"/>
  <c r="J303" i="4"/>
  <c r="I303" i="4"/>
  <c r="F303" i="4"/>
  <c r="E303" i="4"/>
  <c r="Q303" i="4" s="1"/>
  <c r="D303" i="4"/>
  <c r="C303" i="4"/>
  <c r="B303" i="4"/>
  <c r="P303" i="4" s="1"/>
  <c r="L299" i="4"/>
  <c r="K299" i="4"/>
  <c r="L297" i="4"/>
  <c r="K297" i="4"/>
  <c r="F297" i="4"/>
  <c r="B295" i="4"/>
  <c r="M291" i="4"/>
  <c r="H291" i="4"/>
  <c r="E291" i="4"/>
  <c r="D291" i="4"/>
  <c r="C291" i="4"/>
  <c r="L288" i="4"/>
  <c r="J287" i="4"/>
  <c r="G287" i="4"/>
  <c r="F287" i="4"/>
  <c r="E287" i="4"/>
  <c r="Q287" i="4" s="1"/>
  <c r="B287" i="4"/>
  <c r="F285" i="4"/>
  <c r="E285" i="4"/>
  <c r="M284" i="4"/>
  <c r="L284" i="4"/>
  <c r="H281" i="4"/>
  <c r="G281" i="4"/>
  <c r="B281" i="4"/>
  <c r="K280" i="4"/>
  <c r="J280" i="4"/>
  <c r="D277" i="4"/>
  <c r="M276" i="4"/>
  <c r="L276" i="4"/>
  <c r="K276" i="4"/>
  <c r="S276" i="4" s="1"/>
  <c r="J276" i="4"/>
  <c r="K275" i="4"/>
  <c r="K274" i="4"/>
  <c r="H274" i="4"/>
  <c r="B273" i="4"/>
  <c r="M272" i="4"/>
  <c r="L272" i="4"/>
  <c r="K272" i="4"/>
  <c r="S272" i="4" s="1"/>
  <c r="J272" i="4"/>
  <c r="B271" i="4"/>
  <c r="M270" i="4"/>
  <c r="J270" i="4"/>
  <c r="I270" i="4"/>
  <c r="H270" i="4"/>
  <c r="R270" i="4" s="1"/>
  <c r="D267" i="4"/>
  <c r="C267" i="4"/>
  <c r="L266" i="4"/>
  <c r="K266" i="4"/>
  <c r="S266" i="4" s="1"/>
  <c r="J266" i="4"/>
  <c r="G266" i="4"/>
  <c r="F266" i="4"/>
  <c r="K262" i="4"/>
  <c r="J262" i="4"/>
  <c r="M260" i="4"/>
  <c r="L260" i="4"/>
  <c r="I260" i="4"/>
  <c r="H260" i="4"/>
  <c r="G260" i="4"/>
  <c r="F260" i="4"/>
  <c r="G259" i="4"/>
  <c r="G258" i="4"/>
  <c r="D258" i="4"/>
  <c r="K256" i="4"/>
  <c r="J256" i="4"/>
  <c r="I256" i="4"/>
  <c r="H256" i="4"/>
  <c r="G256" i="4"/>
  <c r="F256" i="4"/>
  <c r="I254" i="4"/>
  <c r="F254" i="4"/>
  <c r="E254" i="4"/>
  <c r="D254" i="4"/>
  <c r="I253" i="4"/>
  <c r="K250" i="4"/>
  <c r="H250" i="4"/>
  <c r="G250" i="4"/>
  <c r="F250" i="4"/>
  <c r="C250" i="4"/>
  <c r="B250" i="4"/>
  <c r="G248" i="4"/>
  <c r="F248" i="4"/>
  <c r="I246" i="4"/>
  <c r="H246" i="4"/>
  <c r="E246" i="4"/>
  <c r="D246" i="4"/>
  <c r="C246" i="4"/>
  <c r="C333" i="4" s="1"/>
  <c r="B246" i="4"/>
  <c r="H244" i="4"/>
  <c r="C244" i="4"/>
  <c r="G242" i="4"/>
  <c r="F242" i="4"/>
  <c r="E242" i="4"/>
  <c r="Q242" i="4" s="1"/>
  <c r="D242" i="4"/>
  <c r="C242" i="4"/>
  <c r="B242" i="4"/>
  <c r="P242" i="4" s="1"/>
  <c r="J240" i="4"/>
  <c r="E240" i="4"/>
  <c r="B240" i="4"/>
  <c r="M238" i="4"/>
  <c r="L238" i="4"/>
  <c r="D234" i="4"/>
  <c r="C234" i="4"/>
  <c r="B234" i="4"/>
  <c r="K232" i="4"/>
  <c r="G232" i="4"/>
  <c r="F232" i="4"/>
  <c r="E232" i="4"/>
  <c r="Q232" i="4" s="1"/>
  <c r="D232" i="4"/>
  <c r="C232" i="4"/>
  <c r="B232" i="4"/>
  <c r="P232" i="4" s="1"/>
  <c r="I231" i="4"/>
  <c r="I230" i="4"/>
  <c r="E230" i="4"/>
  <c r="D230" i="4"/>
  <c r="K229" i="4"/>
  <c r="I228" i="4"/>
  <c r="H228" i="4"/>
  <c r="M227" i="4"/>
  <c r="K227" i="4"/>
  <c r="F226" i="4"/>
  <c r="B226" i="4"/>
  <c r="G224" i="4"/>
  <c r="F224" i="4"/>
  <c r="M223" i="4"/>
  <c r="S223" i="4" s="1"/>
  <c r="H222" i="4"/>
  <c r="E222" i="4"/>
  <c r="C222" i="4"/>
  <c r="B222" i="4"/>
  <c r="C221" i="4"/>
  <c r="C220" i="4"/>
  <c r="L219" i="4"/>
  <c r="K219" i="4"/>
  <c r="S219" i="4" s="1"/>
  <c r="J218" i="4"/>
  <c r="G218" i="4"/>
  <c r="C218" i="4"/>
  <c r="B218" i="4"/>
  <c r="P218" i="4" s="1"/>
  <c r="E217" i="4"/>
  <c r="K216" i="4"/>
  <c r="M215" i="4"/>
  <c r="L215" i="4"/>
  <c r="K215" i="4"/>
  <c r="S215" i="4" s="1"/>
  <c r="L214" i="4"/>
  <c r="G214" i="4"/>
  <c r="B214" i="4"/>
  <c r="L213" i="4"/>
  <c r="I213" i="4"/>
  <c r="G213" i="4"/>
  <c r="B212" i="4"/>
  <c r="M211" i="4"/>
  <c r="I210" i="4"/>
  <c r="K209" i="4"/>
  <c r="J209" i="4"/>
  <c r="I209" i="4"/>
  <c r="E208" i="4"/>
  <c r="Q208" i="4" s="1"/>
  <c r="D208" i="4"/>
  <c r="Q205" i="4"/>
  <c r="P205" i="4"/>
  <c r="N205" i="4"/>
  <c r="I205" i="4"/>
  <c r="H205" i="4"/>
  <c r="G205" i="4"/>
  <c r="F205" i="4"/>
  <c r="E205" i="4"/>
  <c r="D205" i="4"/>
  <c r="C205" i="4"/>
  <c r="B205" i="4"/>
  <c r="M204" i="4"/>
  <c r="M320" i="4" s="1"/>
  <c r="L204" i="4"/>
  <c r="K204" i="4"/>
  <c r="S204" i="4" s="1"/>
  <c r="J204" i="4"/>
  <c r="I204" i="4"/>
  <c r="I320" i="4" s="1"/>
  <c r="H204" i="4"/>
  <c r="H320" i="4" s="1"/>
  <c r="G204" i="4"/>
  <c r="G320" i="4" s="1"/>
  <c r="F204" i="4"/>
  <c r="F320" i="4" s="1"/>
  <c r="E204" i="4"/>
  <c r="Q204" i="4" s="1"/>
  <c r="D204" i="4"/>
  <c r="N204" i="4" s="1"/>
  <c r="C204" i="4"/>
  <c r="B204" i="4"/>
  <c r="M203" i="4"/>
  <c r="L203" i="4"/>
  <c r="L319" i="4" s="1"/>
  <c r="K203" i="4"/>
  <c r="J203" i="4"/>
  <c r="I203" i="4"/>
  <c r="H203" i="4"/>
  <c r="G203" i="4"/>
  <c r="F203" i="4"/>
  <c r="E203" i="4"/>
  <c r="Q203" i="4" s="1"/>
  <c r="D203" i="4"/>
  <c r="D319" i="4" s="1"/>
  <c r="C203" i="4"/>
  <c r="C319" i="4" s="1"/>
  <c r="B203" i="4"/>
  <c r="B319" i="4" s="1"/>
  <c r="R202" i="4"/>
  <c r="Q202" i="4"/>
  <c r="M202" i="4"/>
  <c r="L202" i="4"/>
  <c r="K202" i="4"/>
  <c r="S202" i="4" s="1"/>
  <c r="J202" i="4"/>
  <c r="I202" i="4"/>
  <c r="H202" i="4"/>
  <c r="G202" i="4"/>
  <c r="F202" i="4"/>
  <c r="F231" i="4" s="1"/>
  <c r="E202" i="4"/>
  <c r="D202" i="4"/>
  <c r="C202" i="4"/>
  <c r="B202" i="4"/>
  <c r="R201" i="4"/>
  <c r="P201" i="4"/>
  <c r="M201" i="4"/>
  <c r="M317" i="4" s="1"/>
  <c r="L201" i="4"/>
  <c r="L317" i="4" s="1"/>
  <c r="K201" i="4"/>
  <c r="S201" i="4" s="1"/>
  <c r="J201" i="4"/>
  <c r="I201" i="4"/>
  <c r="H201" i="4"/>
  <c r="G201" i="4"/>
  <c r="F201" i="4"/>
  <c r="F230" i="4" s="1"/>
  <c r="E201" i="4"/>
  <c r="D201" i="4"/>
  <c r="C201" i="4"/>
  <c r="B201" i="4"/>
  <c r="S200" i="4"/>
  <c r="P200" i="4"/>
  <c r="M200" i="4"/>
  <c r="L200" i="4"/>
  <c r="K200" i="4"/>
  <c r="J200" i="4"/>
  <c r="I200" i="4"/>
  <c r="I316" i="4" s="1"/>
  <c r="H200" i="4"/>
  <c r="G200" i="4"/>
  <c r="F200" i="4"/>
  <c r="Q200" i="4" s="1"/>
  <c r="E200" i="4"/>
  <c r="D200" i="4"/>
  <c r="C200" i="4"/>
  <c r="B200" i="4"/>
  <c r="P199" i="4"/>
  <c r="M199" i="4"/>
  <c r="N199" i="4" s="1"/>
  <c r="L199" i="4"/>
  <c r="K199" i="4"/>
  <c r="J199" i="4"/>
  <c r="I199" i="4"/>
  <c r="H199" i="4"/>
  <c r="G199" i="4"/>
  <c r="F199" i="4"/>
  <c r="E199" i="4"/>
  <c r="D199" i="4"/>
  <c r="D315" i="4" s="1"/>
  <c r="C199" i="4"/>
  <c r="C315" i="4" s="1"/>
  <c r="B199" i="4"/>
  <c r="M198" i="4"/>
  <c r="S198" i="4" s="1"/>
  <c r="L198" i="4"/>
  <c r="K198" i="4"/>
  <c r="J198" i="4"/>
  <c r="I198" i="4"/>
  <c r="H198" i="4"/>
  <c r="R198" i="4" s="1"/>
  <c r="G198" i="4"/>
  <c r="F198" i="4"/>
  <c r="E198" i="4"/>
  <c r="D198" i="4"/>
  <c r="C198" i="4"/>
  <c r="B198" i="4"/>
  <c r="M197" i="4"/>
  <c r="S197" i="4" s="1"/>
  <c r="L197" i="4"/>
  <c r="K197" i="4"/>
  <c r="J197" i="4"/>
  <c r="I197" i="4"/>
  <c r="H197" i="4"/>
  <c r="R197" i="4" s="1"/>
  <c r="G197" i="4"/>
  <c r="F197" i="4"/>
  <c r="E197" i="4"/>
  <c r="Q197" i="4" s="1"/>
  <c r="D197" i="4"/>
  <c r="C197" i="4"/>
  <c r="P197" i="4" s="1"/>
  <c r="B197" i="4"/>
  <c r="R196" i="4"/>
  <c r="Q196" i="4"/>
  <c r="P196" i="4"/>
  <c r="M196" i="4"/>
  <c r="L196" i="4"/>
  <c r="K196" i="4"/>
  <c r="S196" i="4" s="1"/>
  <c r="J196" i="4"/>
  <c r="I196" i="4"/>
  <c r="H196" i="4"/>
  <c r="G196" i="4"/>
  <c r="F196" i="4"/>
  <c r="E196" i="4"/>
  <c r="D196" i="4"/>
  <c r="C196" i="4"/>
  <c r="N196" i="4" s="1"/>
  <c r="B196" i="4"/>
  <c r="Q195" i="4"/>
  <c r="P195" i="4"/>
  <c r="M195" i="4"/>
  <c r="L195" i="4"/>
  <c r="L311" i="4" s="1"/>
  <c r="K195" i="4"/>
  <c r="S195" i="4" s="1"/>
  <c r="J195" i="4"/>
  <c r="J224" i="4" s="1"/>
  <c r="I195" i="4"/>
  <c r="I224" i="4" s="1"/>
  <c r="H195" i="4"/>
  <c r="H311" i="4" s="1"/>
  <c r="G195" i="4"/>
  <c r="F195" i="4"/>
  <c r="E195" i="4"/>
  <c r="D195" i="4"/>
  <c r="D311" i="4" s="1"/>
  <c r="C195" i="4"/>
  <c r="B195" i="4"/>
  <c r="M194" i="4"/>
  <c r="L194" i="4"/>
  <c r="K194" i="4"/>
  <c r="J194" i="4"/>
  <c r="R194" i="4" s="1"/>
  <c r="I194" i="4"/>
  <c r="H194" i="4"/>
  <c r="G194" i="4"/>
  <c r="F194" i="4"/>
  <c r="E194" i="4"/>
  <c r="Q194" i="4" s="1"/>
  <c r="D194" i="4"/>
  <c r="D310" i="4" s="1"/>
  <c r="C194" i="4"/>
  <c r="C310" i="4" s="1"/>
  <c r="B194" i="4"/>
  <c r="N194" i="4" s="1"/>
  <c r="S193" i="4"/>
  <c r="R193" i="4"/>
  <c r="Q193" i="4"/>
  <c r="M193" i="4"/>
  <c r="L193" i="4"/>
  <c r="K193" i="4"/>
  <c r="J193" i="4"/>
  <c r="J309" i="4" s="1"/>
  <c r="I193" i="4"/>
  <c r="H193" i="4"/>
  <c r="G193" i="4"/>
  <c r="F193" i="4"/>
  <c r="E193" i="4"/>
  <c r="D193" i="4"/>
  <c r="C193" i="4"/>
  <c r="B193" i="4"/>
  <c r="Q192" i="4"/>
  <c r="P192" i="4"/>
  <c r="M192" i="4"/>
  <c r="M308" i="4" s="1"/>
  <c r="L192" i="4"/>
  <c r="L308" i="4" s="1"/>
  <c r="K192" i="4"/>
  <c r="S192" i="4" s="1"/>
  <c r="J192" i="4"/>
  <c r="R192" i="4" s="1"/>
  <c r="I192" i="4"/>
  <c r="H192" i="4"/>
  <c r="G192" i="4"/>
  <c r="F192" i="4"/>
  <c r="E192" i="4"/>
  <c r="D192" i="4"/>
  <c r="C192" i="4"/>
  <c r="B192" i="4"/>
  <c r="M191" i="4"/>
  <c r="L191" i="4"/>
  <c r="K191" i="4"/>
  <c r="S191" i="4" s="1"/>
  <c r="J191" i="4"/>
  <c r="J220" i="4" s="1"/>
  <c r="I191" i="4"/>
  <c r="I220" i="4" s="1"/>
  <c r="H191" i="4"/>
  <c r="H307" i="4" s="1"/>
  <c r="G191" i="4"/>
  <c r="G307" i="4" s="1"/>
  <c r="F191" i="4"/>
  <c r="F307" i="4" s="1"/>
  <c r="E191" i="4"/>
  <c r="Q191" i="4" s="1"/>
  <c r="D191" i="4"/>
  <c r="C191" i="4"/>
  <c r="B191" i="4"/>
  <c r="P191" i="4" s="1"/>
  <c r="M190" i="4"/>
  <c r="M306" i="4" s="1"/>
  <c r="L190" i="4"/>
  <c r="S190" i="4" s="1"/>
  <c r="K190" i="4"/>
  <c r="J190" i="4"/>
  <c r="I190" i="4"/>
  <c r="H190" i="4"/>
  <c r="G190" i="4"/>
  <c r="G306" i="4" s="1"/>
  <c r="F190" i="4"/>
  <c r="E190" i="4"/>
  <c r="D190" i="4"/>
  <c r="D306" i="4" s="1"/>
  <c r="D335" i="4" s="1"/>
  <c r="C190" i="4"/>
  <c r="C306" i="4" s="1"/>
  <c r="B190" i="4"/>
  <c r="P190" i="4" s="1"/>
  <c r="M189" i="4"/>
  <c r="L189" i="4"/>
  <c r="S189" i="4" s="1"/>
  <c r="K189" i="4"/>
  <c r="J189" i="4"/>
  <c r="I189" i="4"/>
  <c r="I305" i="4" s="1"/>
  <c r="H189" i="4"/>
  <c r="G189" i="4"/>
  <c r="F189" i="4"/>
  <c r="E189" i="4"/>
  <c r="Q189" i="4" s="1"/>
  <c r="D189" i="4"/>
  <c r="C189" i="4"/>
  <c r="B189" i="4"/>
  <c r="R188" i="4"/>
  <c r="M188" i="4"/>
  <c r="L188" i="4"/>
  <c r="S188" i="4" s="1"/>
  <c r="K188" i="4"/>
  <c r="J188" i="4"/>
  <c r="I188" i="4"/>
  <c r="H188" i="4"/>
  <c r="G188" i="4"/>
  <c r="Q188" i="4" s="1"/>
  <c r="F188" i="4"/>
  <c r="E188" i="4"/>
  <c r="D188" i="4"/>
  <c r="D304" i="4" s="1"/>
  <c r="C188" i="4"/>
  <c r="C304" i="4" s="1"/>
  <c r="B188" i="4"/>
  <c r="B217" i="4" s="1"/>
  <c r="M187" i="4"/>
  <c r="L187" i="4"/>
  <c r="K187" i="4"/>
  <c r="J187" i="4"/>
  <c r="I187" i="4"/>
  <c r="H187" i="4"/>
  <c r="G187" i="4"/>
  <c r="Q187" i="4" s="1"/>
  <c r="F187" i="4"/>
  <c r="E187" i="4"/>
  <c r="D187" i="4"/>
  <c r="C187" i="4"/>
  <c r="B187" i="4"/>
  <c r="P187" i="4" s="1"/>
  <c r="Q186" i="4"/>
  <c r="P186" i="4"/>
  <c r="N186" i="4"/>
  <c r="M186" i="4"/>
  <c r="L186" i="4"/>
  <c r="K186" i="4"/>
  <c r="J186" i="4"/>
  <c r="I186" i="4"/>
  <c r="I302" i="4" s="1"/>
  <c r="H186" i="4"/>
  <c r="G186" i="4"/>
  <c r="F186" i="4"/>
  <c r="F302" i="4" s="1"/>
  <c r="E186" i="4"/>
  <c r="E302" i="4" s="1"/>
  <c r="D186" i="4"/>
  <c r="D302" i="4" s="1"/>
  <c r="C186" i="4"/>
  <c r="B186" i="4"/>
  <c r="M185" i="4"/>
  <c r="L185" i="4"/>
  <c r="K185" i="4"/>
  <c r="S185" i="4" s="1"/>
  <c r="J185" i="4"/>
  <c r="I185" i="4"/>
  <c r="I214" i="4" s="1"/>
  <c r="H185" i="4"/>
  <c r="R185" i="4" s="1"/>
  <c r="G185" i="4"/>
  <c r="F185" i="4"/>
  <c r="F301" i="4" s="1"/>
  <c r="E185" i="4"/>
  <c r="Q185" i="4" s="1"/>
  <c r="D185" i="4"/>
  <c r="D214" i="4" s="1"/>
  <c r="C185" i="4"/>
  <c r="C301" i="4" s="1"/>
  <c r="B185" i="4"/>
  <c r="S184" i="4"/>
  <c r="M184" i="4"/>
  <c r="L184" i="4"/>
  <c r="K184" i="4"/>
  <c r="J184" i="4"/>
  <c r="I184" i="4"/>
  <c r="R184" i="4" s="1"/>
  <c r="H184" i="4"/>
  <c r="G184" i="4"/>
  <c r="F184" i="4"/>
  <c r="F300" i="4" s="1"/>
  <c r="E184" i="4"/>
  <c r="Q184" i="4" s="1"/>
  <c r="D184" i="4"/>
  <c r="D213" i="4" s="1"/>
  <c r="C184" i="4"/>
  <c r="B184" i="4"/>
  <c r="S183" i="4"/>
  <c r="R183" i="4"/>
  <c r="Q183" i="4"/>
  <c r="P183" i="4"/>
  <c r="M183" i="4"/>
  <c r="M299" i="4" s="1"/>
  <c r="L183" i="4"/>
  <c r="K183" i="4"/>
  <c r="J183" i="4"/>
  <c r="I183" i="4"/>
  <c r="H183" i="4"/>
  <c r="G183" i="4"/>
  <c r="F183" i="4"/>
  <c r="E183" i="4"/>
  <c r="D183" i="4"/>
  <c r="N183" i="4" s="1"/>
  <c r="C183" i="4"/>
  <c r="B183" i="4"/>
  <c r="Q182" i="4"/>
  <c r="M182" i="4"/>
  <c r="M298" i="4" s="1"/>
  <c r="L182" i="4"/>
  <c r="K182" i="4"/>
  <c r="S182" i="4" s="1"/>
  <c r="J182" i="4"/>
  <c r="I182" i="4"/>
  <c r="I298" i="4" s="1"/>
  <c r="H182" i="4"/>
  <c r="H298" i="4" s="1"/>
  <c r="G182" i="4"/>
  <c r="G298" i="4" s="1"/>
  <c r="F182" i="4"/>
  <c r="F298" i="4" s="1"/>
  <c r="E182" i="4"/>
  <c r="D182" i="4"/>
  <c r="C182" i="4"/>
  <c r="B182" i="4"/>
  <c r="P182" i="4" s="1"/>
  <c r="M181" i="4"/>
  <c r="L181" i="4"/>
  <c r="K181" i="4"/>
  <c r="S181" i="4" s="1"/>
  <c r="J181" i="4"/>
  <c r="I181" i="4"/>
  <c r="H181" i="4"/>
  <c r="G181" i="4"/>
  <c r="F181" i="4"/>
  <c r="E181" i="4"/>
  <c r="Q181" i="4" s="1"/>
  <c r="D181" i="4"/>
  <c r="D297" i="4" s="1"/>
  <c r="C181" i="4"/>
  <c r="C297" i="4" s="1"/>
  <c r="B181" i="4"/>
  <c r="S180" i="4"/>
  <c r="R180" i="4"/>
  <c r="Q180" i="4"/>
  <c r="M180" i="4"/>
  <c r="L180" i="4"/>
  <c r="K180" i="4"/>
  <c r="K296" i="4" s="1"/>
  <c r="J180" i="4"/>
  <c r="I180" i="4"/>
  <c r="H180" i="4"/>
  <c r="H296" i="4" s="1"/>
  <c r="G180" i="4"/>
  <c r="G296" i="4" s="1"/>
  <c r="F180" i="4"/>
  <c r="F209" i="4" s="1"/>
  <c r="E180" i="4"/>
  <c r="D180" i="4"/>
  <c r="C180" i="4"/>
  <c r="B180" i="4"/>
  <c r="R179" i="4"/>
  <c r="Q179" i="4"/>
  <c r="P179" i="4"/>
  <c r="M179" i="4"/>
  <c r="M295" i="4" s="1"/>
  <c r="L179" i="4"/>
  <c r="K179" i="4"/>
  <c r="N179" i="4" s="1"/>
  <c r="J179" i="4"/>
  <c r="I179" i="4"/>
  <c r="H179" i="4"/>
  <c r="G179" i="4"/>
  <c r="F179" i="4"/>
  <c r="E179" i="4"/>
  <c r="D179" i="4"/>
  <c r="C179" i="4"/>
  <c r="B179" i="4"/>
  <c r="P176" i="4"/>
  <c r="N176" i="4"/>
  <c r="I176" i="4"/>
  <c r="I292" i="4" s="1"/>
  <c r="H176" i="4"/>
  <c r="H292" i="4" s="1"/>
  <c r="G176" i="4"/>
  <c r="G234" i="4" s="1"/>
  <c r="F176" i="4"/>
  <c r="Q176" i="4" s="1"/>
  <c r="E176" i="4"/>
  <c r="D176" i="4"/>
  <c r="C176" i="4"/>
  <c r="B176" i="4"/>
  <c r="M175" i="4"/>
  <c r="S175" i="4" s="1"/>
  <c r="L175" i="4"/>
  <c r="K175" i="4"/>
  <c r="J175" i="4"/>
  <c r="I175" i="4"/>
  <c r="I233" i="4" s="1"/>
  <c r="H175" i="4"/>
  <c r="G175" i="4"/>
  <c r="F175" i="4"/>
  <c r="E175" i="4"/>
  <c r="D175" i="4"/>
  <c r="C175" i="4"/>
  <c r="B175" i="4"/>
  <c r="P175" i="4" s="1"/>
  <c r="M174" i="4"/>
  <c r="M290" i="4" s="1"/>
  <c r="L174" i="4"/>
  <c r="K174" i="4"/>
  <c r="J174" i="4"/>
  <c r="I174" i="4"/>
  <c r="I232" i="4" s="1"/>
  <c r="H174" i="4"/>
  <c r="R174" i="4" s="1"/>
  <c r="G174" i="4"/>
  <c r="F174" i="4"/>
  <c r="E174" i="4"/>
  <c r="D174" i="4"/>
  <c r="C174" i="4"/>
  <c r="C290" i="4" s="1"/>
  <c r="B174" i="4"/>
  <c r="M173" i="4"/>
  <c r="S173" i="4" s="1"/>
  <c r="L173" i="4"/>
  <c r="K173" i="4"/>
  <c r="J173" i="4"/>
  <c r="I173" i="4"/>
  <c r="H173" i="4"/>
  <c r="R173" i="4" s="1"/>
  <c r="G173" i="4"/>
  <c r="F173" i="4"/>
  <c r="E173" i="4"/>
  <c r="E289" i="4" s="1"/>
  <c r="D173" i="4"/>
  <c r="D231" i="4" s="1"/>
  <c r="C173" i="4"/>
  <c r="C289" i="4" s="1"/>
  <c r="B173" i="4"/>
  <c r="Q172" i="4"/>
  <c r="M172" i="4"/>
  <c r="L172" i="4"/>
  <c r="K172" i="4"/>
  <c r="J172" i="4"/>
  <c r="J288" i="4" s="1"/>
  <c r="I172" i="4"/>
  <c r="H172" i="4"/>
  <c r="R172" i="4" s="1"/>
  <c r="G172" i="4"/>
  <c r="F172" i="4"/>
  <c r="E172" i="4"/>
  <c r="D172" i="4"/>
  <c r="C172" i="4"/>
  <c r="P172" i="4" s="1"/>
  <c r="B172" i="4"/>
  <c r="R171" i="4"/>
  <c r="Q171" i="4"/>
  <c r="P171" i="4"/>
  <c r="M171" i="4"/>
  <c r="L171" i="4"/>
  <c r="L287" i="4" s="1"/>
  <c r="K171" i="4"/>
  <c r="J171" i="4"/>
  <c r="J229" i="4" s="1"/>
  <c r="I171" i="4"/>
  <c r="H171" i="4"/>
  <c r="G171" i="4"/>
  <c r="F171" i="4"/>
  <c r="E171" i="4"/>
  <c r="D171" i="4"/>
  <c r="C171" i="4"/>
  <c r="B171" i="4"/>
  <c r="M170" i="4"/>
  <c r="L170" i="4"/>
  <c r="L286" i="4" s="1"/>
  <c r="K170" i="4"/>
  <c r="S170" i="4" s="1"/>
  <c r="J170" i="4"/>
  <c r="J286" i="4" s="1"/>
  <c r="I170" i="4"/>
  <c r="H170" i="4"/>
  <c r="R170" i="4" s="1"/>
  <c r="G170" i="4"/>
  <c r="G286" i="4" s="1"/>
  <c r="F170" i="4"/>
  <c r="F228" i="4" s="1"/>
  <c r="E170" i="4"/>
  <c r="Q170" i="4" s="1"/>
  <c r="D170" i="4"/>
  <c r="D228" i="4" s="1"/>
  <c r="C170" i="4"/>
  <c r="C286" i="4" s="1"/>
  <c r="B170" i="4"/>
  <c r="B286" i="4" s="1"/>
  <c r="S169" i="4"/>
  <c r="M169" i="4"/>
  <c r="L169" i="4"/>
  <c r="K169" i="4"/>
  <c r="J169" i="4"/>
  <c r="R169" i="4" s="1"/>
  <c r="I169" i="4"/>
  <c r="H169" i="4"/>
  <c r="G169" i="4"/>
  <c r="F169" i="4"/>
  <c r="F227" i="4" s="1"/>
  <c r="E169" i="4"/>
  <c r="Q169" i="4" s="1"/>
  <c r="D169" i="4"/>
  <c r="C169" i="4"/>
  <c r="B169" i="4"/>
  <c r="P169" i="4" s="1"/>
  <c r="S168" i="4"/>
  <c r="R168" i="4"/>
  <c r="Q168" i="4"/>
  <c r="P168" i="4"/>
  <c r="N168" i="4"/>
  <c r="M168" i="4"/>
  <c r="L168" i="4"/>
  <c r="K168" i="4"/>
  <c r="J168" i="4"/>
  <c r="I168" i="4"/>
  <c r="H168" i="4"/>
  <c r="G168" i="4"/>
  <c r="F168" i="4"/>
  <c r="E168" i="4"/>
  <c r="E284" i="4" s="1"/>
  <c r="D168" i="4"/>
  <c r="C168" i="4"/>
  <c r="B168" i="4"/>
  <c r="M167" i="4"/>
  <c r="M225" i="4" s="1"/>
  <c r="L167" i="4"/>
  <c r="L225" i="4" s="1"/>
  <c r="K167" i="4"/>
  <c r="S167" i="4" s="1"/>
  <c r="J167" i="4"/>
  <c r="J283" i="4" s="1"/>
  <c r="I167" i="4"/>
  <c r="I283" i="4" s="1"/>
  <c r="H167" i="4"/>
  <c r="R167" i="4" s="1"/>
  <c r="G167" i="4"/>
  <c r="N167" i="4" s="1"/>
  <c r="F167" i="4"/>
  <c r="E167" i="4"/>
  <c r="D167" i="4"/>
  <c r="C167" i="4"/>
  <c r="B167" i="4"/>
  <c r="P167" i="4" s="1"/>
  <c r="M166" i="4"/>
  <c r="M224" i="4" s="1"/>
  <c r="L166" i="4"/>
  <c r="L224" i="4" s="1"/>
  <c r="K166" i="4"/>
  <c r="K282" i="4" s="1"/>
  <c r="J166" i="4"/>
  <c r="I166" i="4"/>
  <c r="H166" i="4"/>
  <c r="R166" i="4" s="1"/>
  <c r="G166" i="4"/>
  <c r="F166" i="4"/>
  <c r="E166" i="4"/>
  <c r="D166" i="4"/>
  <c r="D282" i="4" s="1"/>
  <c r="C166" i="4"/>
  <c r="C282" i="4" s="1"/>
  <c r="B166" i="4"/>
  <c r="P166" i="4" s="1"/>
  <c r="S165" i="4"/>
  <c r="R165" i="4"/>
  <c r="M165" i="4"/>
  <c r="L165" i="4"/>
  <c r="L281" i="4" s="1"/>
  <c r="K165" i="4"/>
  <c r="J165" i="4"/>
  <c r="I165" i="4"/>
  <c r="H165" i="4"/>
  <c r="H223" i="4" s="1"/>
  <c r="G165" i="4"/>
  <c r="G223" i="4" s="1"/>
  <c r="F165" i="4"/>
  <c r="E165" i="4"/>
  <c r="D165" i="4"/>
  <c r="C165" i="4"/>
  <c r="C281" i="4" s="1"/>
  <c r="B165" i="4"/>
  <c r="R164" i="4"/>
  <c r="Q164" i="4"/>
  <c r="P164" i="4"/>
  <c r="M164" i="4"/>
  <c r="L164" i="4"/>
  <c r="N164" i="4" s="1"/>
  <c r="K164" i="4"/>
  <c r="J164" i="4"/>
  <c r="I164" i="4"/>
  <c r="H164" i="4"/>
  <c r="G164" i="4"/>
  <c r="G280" i="4" s="1"/>
  <c r="F164" i="4"/>
  <c r="E164" i="4"/>
  <c r="D164" i="4"/>
  <c r="D280" i="4" s="1"/>
  <c r="C164" i="4"/>
  <c r="C280" i="4" s="1"/>
  <c r="B164" i="4"/>
  <c r="B280" i="4" s="1"/>
  <c r="M163" i="4"/>
  <c r="L163" i="4"/>
  <c r="K163" i="4"/>
  <c r="J163" i="4"/>
  <c r="J279" i="4" s="1"/>
  <c r="I163" i="4"/>
  <c r="I279" i="4" s="1"/>
  <c r="H163" i="4"/>
  <c r="R163" i="4" s="1"/>
  <c r="G163" i="4"/>
  <c r="Q163" i="4" s="1"/>
  <c r="F163" i="4"/>
  <c r="E163" i="4"/>
  <c r="D163" i="4"/>
  <c r="C163" i="4"/>
  <c r="B163" i="4"/>
  <c r="P163" i="4" s="1"/>
  <c r="Q162" i="4"/>
  <c r="M162" i="4"/>
  <c r="L162" i="4"/>
  <c r="K162" i="4"/>
  <c r="J162" i="4"/>
  <c r="I162" i="4"/>
  <c r="I278" i="4" s="1"/>
  <c r="H162" i="4"/>
  <c r="G162" i="4"/>
  <c r="F162" i="4"/>
  <c r="F278" i="4" s="1"/>
  <c r="E162" i="4"/>
  <c r="E278" i="4" s="1"/>
  <c r="D162" i="4"/>
  <c r="D278" i="4" s="1"/>
  <c r="C162" i="4"/>
  <c r="B162" i="4"/>
  <c r="P162" i="4" s="1"/>
  <c r="M161" i="4"/>
  <c r="L161" i="4"/>
  <c r="K161" i="4"/>
  <c r="S161" i="4" s="1"/>
  <c r="J161" i="4"/>
  <c r="J219" i="4" s="1"/>
  <c r="I161" i="4"/>
  <c r="I219" i="4" s="1"/>
  <c r="H161" i="4"/>
  <c r="R161" i="4" s="1"/>
  <c r="G161" i="4"/>
  <c r="G277" i="4" s="1"/>
  <c r="F161" i="4"/>
  <c r="E161" i="4"/>
  <c r="E219" i="4" s="1"/>
  <c r="Q219" i="4" s="1"/>
  <c r="D161" i="4"/>
  <c r="D219" i="4" s="1"/>
  <c r="C161" i="4"/>
  <c r="B161" i="4"/>
  <c r="S160" i="4"/>
  <c r="M160" i="4"/>
  <c r="L160" i="4"/>
  <c r="K160" i="4"/>
  <c r="J160" i="4"/>
  <c r="I160" i="4"/>
  <c r="R160" i="4" s="1"/>
  <c r="H160" i="4"/>
  <c r="G160" i="4"/>
  <c r="F160" i="4"/>
  <c r="F218" i="4" s="1"/>
  <c r="E160" i="4"/>
  <c r="Q160" i="4" s="1"/>
  <c r="D160" i="4"/>
  <c r="D218" i="4" s="1"/>
  <c r="C160" i="4"/>
  <c r="B160" i="4"/>
  <c r="Q159" i="4"/>
  <c r="M159" i="4"/>
  <c r="M275" i="4" s="1"/>
  <c r="L159" i="4"/>
  <c r="L275" i="4" s="1"/>
  <c r="K159" i="4"/>
  <c r="S159" i="4" s="1"/>
  <c r="J159" i="4"/>
  <c r="I159" i="4"/>
  <c r="H159" i="4"/>
  <c r="G159" i="4"/>
  <c r="F159" i="4"/>
  <c r="E159" i="4"/>
  <c r="D159" i="4"/>
  <c r="P159" i="4" s="1"/>
  <c r="C159" i="4"/>
  <c r="B159" i="4"/>
  <c r="R158" i="4"/>
  <c r="Q158" i="4"/>
  <c r="M158" i="4"/>
  <c r="M274" i="4" s="1"/>
  <c r="L158" i="4"/>
  <c r="S158" i="4" s="1"/>
  <c r="K158" i="4"/>
  <c r="J158" i="4"/>
  <c r="I158" i="4"/>
  <c r="H158" i="4"/>
  <c r="G158" i="4"/>
  <c r="G274" i="4" s="1"/>
  <c r="F158" i="4"/>
  <c r="F274" i="4" s="1"/>
  <c r="E158" i="4"/>
  <c r="D158" i="4"/>
  <c r="C158" i="4"/>
  <c r="B158" i="4"/>
  <c r="P158" i="4" s="1"/>
  <c r="M157" i="4"/>
  <c r="L157" i="4"/>
  <c r="K157" i="4"/>
  <c r="S157" i="4" s="1"/>
  <c r="J157" i="4"/>
  <c r="I157" i="4"/>
  <c r="H157" i="4"/>
  <c r="G157" i="4"/>
  <c r="G215" i="4" s="1"/>
  <c r="F157" i="4"/>
  <c r="F215" i="4" s="1"/>
  <c r="E157" i="4"/>
  <c r="Q157" i="4" s="1"/>
  <c r="D157" i="4"/>
  <c r="D273" i="4" s="1"/>
  <c r="C157" i="4"/>
  <c r="C273" i="4" s="1"/>
  <c r="B157" i="4"/>
  <c r="S156" i="4"/>
  <c r="M156" i="4"/>
  <c r="L156" i="4"/>
  <c r="K156" i="4"/>
  <c r="J156" i="4"/>
  <c r="I156" i="4"/>
  <c r="H156" i="4"/>
  <c r="H272" i="4" s="1"/>
  <c r="G156" i="4"/>
  <c r="G272" i="4" s="1"/>
  <c r="F156" i="4"/>
  <c r="F272" i="4" s="1"/>
  <c r="E156" i="4"/>
  <c r="D156" i="4"/>
  <c r="C156" i="4"/>
  <c r="C272" i="4" s="1"/>
  <c r="B156" i="4"/>
  <c r="R155" i="4"/>
  <c r="Q155" i="4"/>
  <c r="P155" i="4"/>
  <c r="M155" i="4"/>
  <c r="N155" i="4" s="1"/>
  <c r="L155" i="4"/>
  <c r="K155" i="4"/>
  <c r="J155" i="4"/>
  <c r="I155" i="4"/>
  <c r="H155" i="4"/>
  <c r="G155" i="4"/>
  <c r="F155" i="4"/>
  <c r="E155" i="4"/>
  <c r="D155" i="4"/>
  <c r="C155" i="4"/>
  <c r="B155" i="4"/>
  <c r="B213" i="4" s="1"/>
  <c r="P154" i="4"/>
  <c r="M154" i="4"/>
  <c r="M212" i="4" s="1"/>
  <c r="L154" i="4"/>
  <c r="K154" i="4"/>
  <c r="K270" i="4" s="1"/>
  <c r="J154" i="4"/>
  <c r="I154" i="4"/>
  <c r="H154" i="4"/>
  <c r="R154" i="4" s="1"/>
  <c r="G154" i="4"/>
  <c r="F154" i="4"/>
  <c r="N154" i="4" s="1"/>
  <c r="E154" i="4"/>
  <c r="D154" i="4"/>
  <c r="C154" i="4"/>
  <c r="B154" i="4"/>
  <c r="S153" i="4"/>
  <c r="M153" i="4"/>
  <c r="L153" i="4"/>
  <c r="K153" i="4"/>
  <c r="J153" i="4"/>
  <c r="I153" i="4"/>
  <c r="H153" i="4"/>
  <c r="R153" i="4" s="1"/>
  <c r="G153" i="4"/>
  <c r="F153" i="4"/>
  <c r="F269" i="4" s="1"/>
  <c r="E153" i="4"/>
  <c r="Q153" i="4" s="1"/>
  <c r="D153" i="4"/>
  <c r="D269" i="4" s="1"/>
  <c r="C153" i="4"/>
  <c r="C269" i="4" s="1"/>
  <c r="B153" i="4"/>
  <c r="P153" i="4" s="1"/>
  <c r="M152" i="4"/>
  <c r="M268" i="4" s="1"/>
  <c r="L152" i="4"/>
  <c r="K152" i="4"/>
  <c r="J152" i="4"/>
  <c r="I152" i="4"/>
  <c r="I268" i="4" s="1"/>
  <c r="H152" i="4"/>
  <c r="R152" i="4" s="1"/>
  <c r="G152" i="4"/>
  <c r="F152" i="4"/>
  <c r="E152" i="4"/>
  <c r="D152" i="4"/>
  <c r="C152" i="4"/>
  <c r="C268" i="4" s="1"/>
  <c r="B152" i="4"/>
  <c r="Q151" i="4"/>
  <c r="P151" i="4"/>
  <c r="M151" i="4"/>
  <c r="S151" i="4" s="1"/>
  <c r="L151" i="4"/>
  <c r="K151" i="4"/>
  <c r="J151" i="4"/>
  <c r="I151" i="4"/>
  <c r="H151" i="4"/>
  <c r="N151" i="4" s="1"/>
  <c r="G151" i="4"/>
  <c r="F151" i="4"/>
  <c r="E151" i="4"/>
  <c r="D151" i="4"/>
  <c r="D209" i="4" s="1"/>
  <c r="C151" i="4"/>
  <c r="C209" i="4" s="1"/>
  <c r="B151" i="4"/>
  <c r="Q150" i="4"/>
  <c r="M150" i="4"/>
  <c r="M266" i="4" s="1"/>
  <c r="L150" i="4"/>
  <c r="K150" i="4"/>
  <c r="J150" i="4"/>
  <c r="I150" i="4"/>
  <c r="I266" i="4" s="1"/>
  <c r="H150" i="4"/>
  <c r="H266" i="4" s="1"/>
  <c r="G150" i="4"/>
  <c r="F150" i="4"/>
  <c r="E150" i="4"/>
  <c r="D150" i="4"/>
  <c r="C150" i="4"/>
  <c r="C266" i="4" s="1"/>
  <c r="B150" i="4"/>
  <c r="N147" i="4"/>
  <c r="H147" i="4"/>
  <c r="G147" i="4"/>
  <c r="F147" i="4"/>
  <c r="F263" i="4" s="1"/>
  <c r="E147" i="4"/>
  <c r="E234" i="4" s="1"/>
  <c r="D147" i="4"/>
  <c r="C147" i="4"/>
  <c r="B147" i="4"/>
  <c r="P146" i="4"/>
  <c r="M146" i="4"/>
  <c r="L146" i="4"/>
  <c r="L233" i="4" s="1"/>
  <c r="K146" i="4"/>
  <c r="S146" i="4" s="1"/>
  <c r="J146" i="4"/>
  <c r="J233" i="4" s="1"/>
  <c r="I146" i="4"/>
  <c r="H146" i="4"/>
  <c r="R146" i="4" s="1"/>
  <c r="G146" i="4"/>
  <c r="G262" i="4" s="1"/>
  <c r="F146" i="4"/>
  <c r="E146" i="4"/>
  <c r="D146" i="4"/>
  <c r="C146" i="4"/>
  <c r="B146" i="4"/>
  <c r="B233" i="4" s="1"/>
  <c r="S145" i="4"/>
  <c r="M145" i="4"/>
  <c r="L145" i="4"/>
  <c r="L232" i="4" s="1"/>
  <c r="K145" i="4"/>
  <c r="J145" i="4"/>
  <c r="I145" i="4"/>
  <c r="H145" i="4"/>
  <c r="G145" i="4"/>
  <c r="G261" i="4" s="1"/>
  <c r="F145" i="4"/>
  <c r="F261" i="4" s="1"/>
  <c r="E145" i="4"/>
  <c r="E261" i="4" s="1"/>
  <c r="D145" i="4"/>
  <c r="C145" i="4"/>
  <c r="B145" i="4"/>
  <c r="S144" i="4"/>
  <c r="M144" i="4"/>
  <c r="M231" i="4" s="1"/>
  <c r="L144" i="4"/>
  <c r="L231" i="4" s="1"/>
  <c r="K144" i="4"/>
  <c r="J144" i="4"/>
  <c r="R144" i="4" s="1"/>
  <c r="I144" i="4"/>
  <c r="H144" i="4"/>
  <c r="G144" i="4"/>
  <c r="G231" i="4" s="1"/>
  <c r="F144" i="4"/>
  <c r="E144" i="4"/>
  <c r="Q144" i="4" s="1"/>
  <c r="D144" i="4"/>
  <c r="C144" i="4"/>
  <c r="B144" i="4"/>
  <c r="P144" i="4" s="1"/>
  <c r="R143" i="4"/>
  <c r="M143" i="4"/>
  <c r="M230" i="4" s="1"/>
  <c r="L143" i="4"/>
  <c r="L230" i="4" s="1"/>
  <c r="K143" i="4"/>
  <c r="K230" i="4" s="1"/>
  <c r="S230" i="4" s="1"/>
  <c r="J143" i="4"/>
  <c r="I143" i="4"/>
  <c r="I259" i="4" s="1"/>
  <c r="H143" i="4"/>
  <c r="H259" i="4" s="1"/>
  <c r="G143" i="4"/>
  <c r="G230" i="4" s="1"/>
  <c r="F143" i="4"/>
  <c r="E143" i="4"/>
  <c r="D143" i="4"/>
  <c r="C143" i="4"/>
  <c r="B143" i="4"/>
  <c r="B230" i="4" s="1"/>
  <c r="M142" i="4"/>
  <c r="M229" i="4" s="1"/>
  <c r="L142" i="4"/>
  <c r="S142" i="4" s="1"/>
  <c r="K142" i="4"/>
  <c r="J142" i="4"/>
  <c r="I142" i="4"/>
  <c r="I258" i="4" s="1"/>
  <c r="H142" i="4"/>
  <c r="H229" i="4" s="1"/>
  <c r="G142" i="4"/>
  <c r="G229" i="4" s="1"/>
  <c r="F142" i="4"/>
  <c r="F229" i="4" s="1"/>
  <c r="E142" i="4"/>
  <c r="D142" i="4"/>
  <c r="D229" i="4" s="1"/>
  <c r="C142" i="4"/>
  <c r="C229" i="4" s="1"/>
  <c r="B142" i="4"/>
  <c r="B258" i="4" s="1"/>
  <c r="M141" i="4"/>
  <c r="L141" i="4"/>
  <c r="S141" i="4" s="1"/>
  <c r="K141" i="4"/>
  <c r="J141" i="4"/>
  <c r="I141" i="4"/>
  <c r="H141" i="4"/>
  <c r="R141" i="4" s="1"/>
  <c r="G141" i="4"/>
  <c r="Q141" i="4" s="1"/>
  <c r="F141" i="4"/>
  <c r="E141" i="4"/>
  <c r="D141" i="4"/>
  <c r="D257" i="4" s="1"/>
  <c r="C141" i="4"/>
  <c r="B141" i="4"/>
  <c r="R140" i="4"/>
  <c r="Q140" i="4"/>
  <c r="P140" i="4"/>
  <c r="M140" i="4"/>
  <c r="L140" i="4"/>
  <c r="L227" i="4" s="1"/>
  <c r="K140" i="4"/>
  <c r="J140" i="4"/>
  <c r="I140" i="4"/>
  <c r="H140" i="4"/>
  <c r="G140" i="4"/>
  <c r="G227" i="4" s="1"/>
  <c r="F140" i="4"/>
  <c r="E140" i="4"/>
  <c r="D140" i="4"/>
  <c r="D227" i="4" s="1"/>
  <c r="C140" i="4"/>
  <c r="C256" i="4" s="1"/>
  <c r="B140" i="4"/>
  <c r="B256" i="4" s="1"/>
  <c r="P139" i="4"/>
  <c r="M139" i="4"/>
  <c r="L139" i="4"/>
  <c r="K139" i="4"/>
  <c r="S139" i="4" s="1"/>
  <c r="J139" i="4"/>
  <c r="J226" i="4" s="1"/>
  <c r="I139" i="4"/>
  <c r="I226" i="4" s="1"/>
  <c r="H139" i="4"/>
  <c r="R139" i="4" s="1"/>
  <c r="G139" i="4"/>
  <c r="G226" i="4" s="1"/>
  <c r="F139" i="4"/>
  <c r="E139" i="4"/>
  <c r="E226" i="4" s="1"/>
  <c r="Q226" i="4" s="1"/>
  <c r="D139" i="4"/>
  <c r="C139" i="4"/>
  <c r="B139" i="4"/>
  <c r="M138" i="4"/>
  <c r="L138" i="4"/>
  <c r="K138" i="4"/>
  <c r="J138" i="4"/>
  <c r="I138" i="4"/>
  <c r="H138" i="4"/>
  <c r="G138" i="4"/>
  <c r="F138" i="4"/>
  <c r="F225" i="4" s="1"/>
  <c r="E138" i="4"/>
  <c r="E225" i="4" s="1"/>
  <c r="D138" i="4"/>
  <c r="D225" i="4" s="1"/>
  <c r="C138" i="4"/>
  <c r="C225" i="4" s="1"/>
  <c r="B138" i="4"/>
  <c r="P138" i="4" s="1"/>
  <c r="M137" i="4"/>
  <c r="L137" i="4"/>
  <c r="K137" i="4"/>
  <c r="S137" i="4" s="1"/>
  <c r="J137" i="4"/>
  <c r="J253" i="4" s="1"/>
  <c r="I137" i="4"/>
  <c r="R137" i="4" s="1"/>
  <c r="H137" i="4"/>
  <c r="G137" i="4"/>
  <c r="F137" i="4"/>
  <c r="E137" i="4"/>
  <c r="D137" i="4"/>
  <c r="D253" i="4" s="1"/>
  <c r="C137" i="4"/>
  <c r="B137" i="4"/>
  <c r="S136" i="4"/>
  <c r="P136" i="4"/>
  <c r="M136" i="4"/>
  <c r="L136" i="4"/>
  <c r="L223" i="4" s="1"/>
  <c r="K136" i="4"/>
  <c r="K223" i="4" s="1"/>
  <c r="J136" i="4"/>
  <c r="I136" i="4"/>
  <c r="I223" i="4" s="1"/>
  <c r="H136" i="4"/>
  <c r="G136" i="4"/>
  <c r="F136" i="4"/>
  <c r="F223" i="4" s="1"/>
  <c r="E136" i="4"/>
  <c r="E223" i="4" s="1"/>
  <c r="D136" i="4"/>
  <c r="D223" i="4" s="1"/>
  <c r="C136" i="4"/>
  <c r="B136" i="4"/>
  <c r="Q135" i="4"/>
  <c r="M135" i="4"/>
  <c r="M251" i="4" s="1"/>
  <c r="L135" i="4"/>
  <c r="K135" i="4"/>
  <c r="K222" i="4" s="1"/>
  <c r="J135" i="4"/>
  <c r="J222" i="4" s="1"/>
  <c r="I135" i="4"/>
  <c r="R135" i="4" s="1"/>
  <c r="H135" i="4"/>
  <c r="G135" i="4"/>
  <c r="G222" i="4" s="1"/>
  <c r="F135" i="4"/>
  <c r="F222" i="4" s="1"/>
  <c r="E135" i="4"/>
  <c r="D135" i="4"/>
  <c r="D222" i="4" s="1"/>
  <c r="C135" i="4"/>
  <c r="B135" i="4"/>
  <c r="S134" i="4"/>
  <c r="M134" i="4"/>
  <c r="L134" i="4"/>
  <c r="K134" i="4"/>
  <c r="J134" i="4"/>
  <c r="I134" i="4"/>
  <c r="H134" i="4"/>
  <c r="R134" i="4" s="1"/>
  <c r="G134" i="4"/>
  <c r="F134" i="4"/>
  <c r="F221" i="4" s="1"/>
  <c r="E134" i="4"/>
  <c r="Q134" i="4" s="1"/>
  <c r="D134" i="4"/>
  <c r="D221" i="4" s="1"/>
  <c r="C134" i="4"/>
  <c r="B134" i="4"/>
  <c r="M133" i="4"/>
  <c r="M220" i="4" s="1"/>
  <c r="L133" i="4"/>
  <c r="L220" i="4" s="1"/>
  <c r="K133" i="4"/>
  <c r="S133" i="4" s="1"/>
  <c r="J133" i="4"/>
  <c r="I133" i="4"/>
  <c r="H133" i="4"/>
  <c r="H220" i="4" s="1"/>
  <c r="R220" i="4" s="1"/>
  <c r="G133" i="4"/>
  <c r="F133" i="4"/>
  <c r="F249" i="4" s="1"/>
  <c r="E133" i="4"/>
  <c r="D133" i="4"/>
  <c r="C133" i="4"/>
  <c r="B133" i="4"/>
  <c r="B249" i="4" s="1"/>
  <c r="M132" i="4"/>
  <c r="M219" i="4" s="1"/>
  <c r="L132" i="4"/>
  <c r="K132" i="4"/>
  <c r="S132" i="4" s="1"/>
  <c r="J132" i="4"/>
  <c r="I132" i="4"/>
  <c r="H132" i="4"/>
  <c r="H219" i="4" s="1"/>
  <c r="R219" i="4" s="1"/>
  <c r="G132" i="4"/>
  <c r="G219" i="4" s="1"/>
  <c r="F132" i="4"/>
  <c r="F219" i="4" s="1"/>
  <c r="E132" i="4"/>
  <c r="D132" i="4"/>
  <c r="C132" i="4"/>
  <c r="C248" i="4" s="1"/>
  <c r="B132" i="4"/>
  <c r="S131" i="4"/>
  <c r="R131" i="4"/>
  <c r="M131" i="4"/>
  <c r="M218" i="4" s="1"/>
  <c r="L131" i="4"/>
  <c r="K131" i="4"/>
  <c r="K218" i="4" s="1"/>
  <c r="J131" i="4"/>
  <c r="I131" i="4"/>
  <c r="H131" i="4"/>
  <c r="H218" i="4" s="1"/>
  <c r="G131" i="4"/>
  <c r="F131" i="4"/>
  <c r="Q131" i="4" s="1"/>
  <c r="E131" i="4"/>
  <c r="D131" i="4"/>
  <c r="C131" i="4"/>
  <c r="C247" i="4" s="1"/>
  <c r="B131" i="4"/>
  <c r="P131" i="4" s="1"/>
  <c r="P130" i="4"/>
  <c r="M130" i="4"/>
  <c r="M217" i="4" s="1"/>
  <c r="L130" i="4"/>
  <c r="L217" i="4" s="1"/>
  <c r="K130" i="4"/>
  <c r="S130" i="4" s="1"/>
  <c r="J130" i="4"/>
  <c r="J217" i="4" s="1"/>
  <c r="I130" i="4"/>
  <c r="H130" i="4"/>
  <c r="G130" i="4"/>
  <c r="F130" i="4"/>
  <c r="E130" i="4"/>
  <c r="Q130" i="4" s="1"/>
  <c r="D130" i="4"/>
  <c r="C130" i="4"/>
  <c r="C217" i="4" s="1"/>
  <c r="B130" i="4"/>
  <c r="M129" i="4"/>
  <c r="M245" i="4" s="1"/>
  <c r="L129" i="4"/>
  <c r="K129" i="4"/>
  <c r="J129" i="4"/>
  <c r="J245" i="4" s="1"/>
  <c r="I129" i="4"/>
  <c r="I216" i="4" s="1"/>
  <c r="H129" i="4"/>
  <c r="G129" i="4"/>
  <c r="G216" i="4" s="1"/>
  <c r="F129" i="4"/>
  <c r="E129" i="4"/>
  <c r="Q129" i="4" s="1"/>
  <c r="D129" i="4"/>
  <c r="D216" i="4" s="1"/>
  <c r="C129" i="4"/>
  <c r="C216" i="4" s="1"/>
  <c r="B129" i="4"/>
  <c r="S128" i="4"/>
  <c r="M128" i="4"/>
  <c r="L128" i="4"/>
  <c r="K128" i="4"/>
  <c r="J128" i="4"/>
  <c r="J215" i="4" s="1"/>
  <c r="I128" i="4"/>
  <c r="I215" i="4" s="1"/>
  <c r="H128" i="4"/>
  <c r="G128" i="4"/>
  <c r="F128" i="4"/>
  <c r="F244" i="4" s="1"/>
  <c r="E128" i="4"/>
  <c r="D128" i="4"/>
  <c r="C128" i="4"/>
  <c r="B128" i="4"/>
  <c r="R127" i="4"/>
  <c r="Q127" i="4"/>
  <c r="P127" i="4"/>
  <c r="M127" i="4"/>
  <c r="M214" i="4" s="1"/>
  <c r="L127" i="4"/>
  <c r="K127" i="4"/>
  <c r="K214" i="4" s="1"/>
  <c r="J127" i="4"/>
  <c r="I127" i="4"/>
  <c r="H127" i="4"/>
  <c r="H214" i="4" s="1"/>
  <c r="G127" i="4"/>
  <c r="F127" i="4"/>
  <c r="E127" i="4"/>
  <c r="D127" i="4"/>
  <c r="D243" i="4" s="1"/>
  <c r="C127" i="4"/>
  <c r="B127" i="4"/>
  <c r="Q126" i="4"/>
  <c r="P126" i="4"/>
  <c r="M126" i="4"/>
  <c r="L126" i="4"/>
  <c r="L242" i="4" s="1"/>
  <c r="K126" i="4"/>
  <c r="J126" i="4"/>
  <c r="J213" i="4" s="1"/>
  <c r="I126" i="4"/>
  <c r="H126" i="4"/>
  <c r="H213" i="4" s="1"/>
  <c r="R213" i="4" s="1"/>
  <c r="G126" i="4"/>
  <c r="F126" i="4"/>
  <c r="F213" i="4" s="1"/>
  <c r="E126" i="4"/>
  <c r="E213" i="4" s="1"/>
  <c r="Q213" i="4" s="1"/>
  <c r="D126" i="4"/>
  <c r="C126" i="4"/>
  <c r="C213" i="4" s="1"/>
  <c r="B126" i="4"/>
  <c r="M125" i="4"/>
  <c r="L125" i="4"/>
  <c r="L212" i="4" s="1"/>
  <c r="K125" i="4"/>
  <c r="J125" i="4"/>
  <c r="I125" i="4"/>
  <c r="H125" i="4"/>
  <c r="G125" i="4"/>
  <c r="G241" i="4" s="1"/>
  <c r="F125" i="4"/>
  <c r="E125" i="4"/>
  <c r="E212" i="4" s="1"/>
  <c r="D125" i="4"/>
  <c r="D212" i="4" s="1"/>
  <c r="C125" i="4"/>
  <c r="P125" i="4" s="1"/>
  <c r="B125" i="4"/>
  <c r="N125" i="4" s="1"/>
  <c r="P124" i="4"/>
  <c r="M124" i="4"/>
  <c r="L124" i="4"/>
  <c r="L211" i="4" s="1"/>
  <c r="K124" i="4"/>
  <c r="S124" i="4" s="1"/>
  <c r="J124" i="4"/>
  <c r="J211" i="4" s="1"/>
  <c r="I124" i="4"/>
  <c r="H124" i="4"/>
  <c r="G124" i="4"/>
  <c r="F124" i="4"/>
  <c r="E124" i="4"/>
  <c r="D124" i="4"/>
  <c r="C124" i="4"/>
  <c r="B124" i="4"/>
  <c r="S123" i="4"/>
  <c r="P123" i="4"/>
  <c r="M123" i="4"/>
  <c r="L123" i="4"/>
  <c r="L210" i="4" s="1"/>
  <c r="K123" i="4"/>
  <c r="J123" i="4"/>
  <c r="J210" i="4" s="1"/>
  <c r="I123" i="4"/>
  <c r="H123" i="4"/>
  <c r="G123" i="4"/>
  <c r="G210" i="4" s="1"/>
  <c r="F123" i="4"/>
  <c r="F210" i="4" s="1"/>
  <c r="E123" i="4"/>
  <c r="E210" i="4" s="1"/>
  <c r="Q210" i="4" s="1"/>
  <c r="D123" i="4"/>
  <c r="C123" i="4"/>
  <c r="B123" i="4"/>
  <c r="M122" i="4"/>
  <c r="L122" i="4"/>
  <c r="L209" i="4" s="1"/>
  <c r="K122" i="4"/>
  <c r="S122" i="4" s="1"/>
  <c r="J122" i="4"/>
  <c r="R122" i="4" s="1"/>
  <c r="I122" i="4"/>
  <c r="H122" i="4"/>
  <c r="G122" i="4"/>
  <c r="G209" i="4" s="1"/>
  <c r="F122" i="4"/>
  <c r="E122" i="4"/>
  <c r="E209" i="4" s="1"/>
  <c r="D122" i="4"/>
  <c r="C122" i="4"/>
  <c r="B122" i="4"/>
  <c r="B209" i="4" s="1"/>
  <c r="S121" i="4"/>
  <c r="R121" i="4"/>
  <c r="M121" i="4"/>
  <c r="L121" i="4"/>
  <c r="K121" i="4"/>
  <c r="J121" i="4"/>
  <c r="I121" i="4"/>
  <c r="I237" i="4" s="1"/>
  <c r="H121" i="4"/>
  <c r="G121" i="4"/>
  <c r="G208" i="4" s="1"/>
  <c r="F121" i="4"/>
  <c r="F208" i="4" s="1"/>
  <c r="E121" i="4"/>
  <c r="Q121" i="4" s="1"/>
  <c r="D121" i="4"/>
  <c r="C121" i="4"/>
  <c r="B121" i="4"/>
  <c r="B208" i="4" s="1"/>
  <c r="H118" i="4"/>
  <c r="G118" i="4"/>
  <c r="F118" i="4"/>
  <c r="E118" i="4"/>
  <c r="Q118" i="4" s="1"/>
  <c r="D116" i="4"/>
  <c r="C116" i="4"/>
  <c r="K114" i="4"/>
  <c r="J114" i="4"/>
  <c r="I114" i="4"/>
  <c r="H114" i="4"/>
  <c r="R114" i="4" s="1"/>
  <c r="G114" i="4"/>
  <c r="F114" i="4"/>
  <c r="E114" i="4"/>
  <c r="Q114" i="4" s="1"/>
  <c r="F112" i="4"/>
  <c r="E112" i="4"/>
  <c r="D112" i="4"/>
  <c r="M110" i="4"/>
  <c r="L110" i="4"/>
  <c r="K110" i="4"/>
  <c r="S110" i="4" s="1"/>
  <c r="J110" i="4"/>
  <c r="I110" i="4"/>
  <c r="H110" i="4"/>
  <c r="R110" i="4" s="1"/>
  <c r="L109" i="4"/>
  <c r="K109" i="4"/>
  <c r="S109" i="4" s="1"/>
  <c r="J109" i="4"/>
  <c r="I109" i="4"/>
  <c r="H109" i="4"/>
  <c r="R109" i="4" s="1"/>
  <c r="G109" i="4"/>
  <c r="F109" i="4"/>
  <c r="E109" i="4"/>
  <c r="Q109" i="4" s="1"/>
  <c r="D109" i="4"/>
  <c r="C109" i="4"/>
  <c r="J108" i="4"/>
  <c r="G108" i="4"/>
  <c r="F108" i="4"/>
  <c r="E108" i="4"/>
  <c r="Q108" i="4" s="1"/>
  <c r="D108" i="4"/>
  <c r="C108" i="4"/>
  <c r="B108" i="4"/>
  <c r="P108" i="4" s="1"/>
  <c r="E107" i="4"/>
  <c r="B107" i="4"/>
  <c r="M106" i="4"/>
  <c r="L106" i="4"/>
  <c r="K106" i="4"/>
  <c r="S106" i="4" s="1"/>
  <c r="J106" i="4"/>
  <c r="M105" i="4"/>
  <c r="L105" i="4"/>
  <c r="K105" i="4"/>
  <c r="S105" i="4" s="1"/>
  <c r="J105" i="4"/>
  <c r="I105" i="4"/>
  <c r="H105" i="4"/>
  <c r="R105" i="4" s="1"/>
  <c r="G105" i="4"/>
  <c r="F105" i="4"/>
  <c r="E105" i="4"/>
  <c r="Q105" i="4" s="1"/>
  <c r="L104" i="4"/>
  <c r="I104" i="4"/>
  <c r="H104" i="4"/>
  <c r="G104" i="4"/>
  <c r="F104" i="4"/>
  <c r="E104" i="4"/>
  <c r="Q104" i="4" s="1"/>
  <c r="D104" i="4"/>
  <c r="C104" i="4"/>
  <c r="B104" i="4"/>
  <c r="P104" i="4" s="1"/>
  <c r="G103" i="4"/>
  <c r="D103" i="4"/>
  <c r="C103" i="4"/>
  <c r="B103" i="4"/>
  <c r="P103" i="4" s="1"/>
  <c r="M102" i="4"/>
  <c r="L102" i="4"/>
  <c r="B102" i="4"/>
  <c r="M101" i="4"/>
  <c r="L101" i="4"/>
  <c r="K101" i="4"/>
  <c r="S101" i="4" s="1"/>
  <c r="J101" i="4"/>
  <c r="I101" i="4"/>
  <c r="H101" i="4"/>
  <c r="R101" i="4" s="1"/>
  <c r="G101" i="4"/>
  <c r="K100" i="4"/>
  <c r="J100" i="4"/>
  <c r="I100" i="4"/>
  <c r="H100" i="4"/>
  <c r="R100" i="4" s="1"/>
  <c r="G100" i="4"/>
  <c r="F100" i="4"/>
  <c r="E100" i="4"/>
  <c r="Q100" i="4" s="1"/>
  <c r="D100" i="4"/>
  <c r="C100" i="4"/>
  <c r="B100" i="4"/>
  <c r="N100" i="4" s="1"/>
  <c r="I99" i="4"/>
  <c r="F99" i="4"/>
  <c r="E99" i="4"/>
  <c r="Q99" i="4" s="1"/>
  <c r="D99" i="4"/>
  <c r="C99" i="4"/>
  <c r="B99" i="4"/>
  <c r="P99" i="4" s="1"/>
  <c r="D98" i="4"/>
  <c r="M97" i="4"/>
  <c r="L97" i="4"/>
  <c r="K97" i="4"/>
  <c r="S97" i="4" s="1"/>
  <c r="J97" i="4"/>
  <c r="I97" i="4"/>
  <c r="M96" i="4"/>
  <c r="L96" i="4"/>
  <c r="K96" i="4"/>
  <c r="S96" i="4" s="1"/>
  <c r="J96" i="4"/>
  <c r="I96" i="4"/>
  <c r="H96" i="4"/>
  <c r="R96" i="4" s="1"/>
  <c r="G96" i="4"/>
  <c r="F96" i="4"/>
  <c r="E96" i="4"/>
  <c r="Q96" i="4" s="1"/>
  <c r="D96" i="4"/>
  <c r="K95" i="4"/>
  <c r="H95" i="4"/>
  <c r="R95" i="4" s="1"/>
  <c r="G95" i="4"/>
  <c r="F95" i="4"/>
  <c r="E95" i="4"/>
  <c r="Q95" i="4" s="1"/>
  <c r="D95" i="4"/>
  <c r="C95" i="4"/>
  <c r="B95" i="4"/>
  <c r="P95" i="4" s="1"/>
  <c r="F94" i="4"/>
  <c r="C94" i="4"/>
  <c r="B94" i="4"/>
  <c r="M93" i="4"/>
  <c r="L93" i="4"/>
  <c r="K93" i="4"/>
  <c r="S93" i="4" s="1"/>
  <c r="M92" i="4"/>
  <c r="L92" i="4"/>
  <c r="K92" i="4"/>
  <c r="S92" i="4" s="1"/>
  <c r="J92" i="4"/>
  <c r="I92" i="4"/>
  <c r="H92" i="4"/>
  <c r="R92" i="4" s="1"/>
  <c r="G92" i="4"/>
  <c r="F92" i="4"/>
  <c r="N89" i="4"/>
  <c r="I89" i="4"/>
  <c r="H89" i="4"/>
  <c r="G89" i="4"/>
  <c r="F89" i="4"/>
  <c r="E89" i="4"/>
  <c r="Q89" i="4" s="1"/>
  <c r="D89" i="4"/>
  <c r="D321" i="4" s="1"/>
  <c r="C89" i="4"/>
  <c r="C321" i="4" s="1"/>
  <c r="B89" i="4"/>
  <c r="P89" i="4" s="1"/>
  <c r="S88" i="4"/>
  <c r="M88" i="4"/>
  <c r="L88" i="4"/>
  <c r="K88" i="4"/>
  <c r="J88" i="4"/>
  <c r="I88" i="4"/>
  <c r="H88" i="4"/>
  <c r="R88" i="4" s="1"/>
  <c r="G88" i="4"/>
  <c r="F88" i="4"/>
  <c r="E88" i="4"/>
  <c r="Q88" i="4" s="1"/>
  <c r="D88" i="4"/>
  <c r="D117" i="4" s="1"/>
  <c r="C88" i="4"/>
  <c r="C320" i="4" s="1"/>
  <c r="B88" i="4"/>
  <c r="P88" i="4" s="1"/>
  <c r="R87" i="4"/>
  <c r="Q87" i="4"/>
  <c r="P87" i="4"/>
  <c r="M87" i="4"/>
  <c r="N87" i="4" s="1"/>
  <c r="L87" i="4"/>
  <c r="K87" i="4"/>
  <c r="J87" i="4"/>
  <c r="I87" i="4"/>
  <c r="I319" i="4" s="1"/>
  <c r="H87" i="4"/>
  <c r="G87" i="4"/>
  <c r="F87" i="4"/>
  <c r="E87" i="4"/>
  <c r="D87" i="4"/>
  <c r="C87" i="4"/>
  <c r="B87" i="4"/>
  <c r="Q86" i="4"/>
  <c r="P86" i="4"/>
  <c r="M86" i="4"/>
  <c r="L86" i="4"/>
  <c r="K86" i="4"/>
  <c r="S86" i="4" s="1"/>
  <c r="J86" i="4"/>
  <c r="I86" i="4"/>
  <c r="H86" i="4"/>
  <c r="R86" i="4" s="1"/>
  <c r="G86" i="4"/>
  <c r="F86" i="4"/>
  <c r="E86" i="4"/>
  <c r="D86" i="4"/>
  <c r="C86" i="4"/>
  <c r="B86" i="4"/>
  <c r="M85" i="4"/>
  <c r="L85" i="4"/>
  <c r="K85" i="4"/>
  <c r="S85" i="4" s="1"/>
  <c r="J85" i="4"/>
  <c r="J317" i="4" s="1"/>
  <c r="I85" i="4"/>
  <c r="I317" i="4" s="1"/>
  <c r="H85" i="4"/>
  <c r="R85" i="4" s="1"/>
  <c r="G85" i="4"/>
  <c r="F85" i="4"/>
  <c r="E85" i="4"/>
  <c r="Q85" i="4" s="1"/>
  <c r="D85" i="4"/>
  <c r="C85" i="4"/>
  <c r="P85" i="4" s="1"/>
  <c r="B85" i="4"/>
  <c r="M84" i="4"/>
  <c r="L84" i="4"/>
  <c r="S84" i="4" s="1"/>
  <c r="K84" i="4"/>
  <c r="J84" i="4"/>
  <c r="I84" i="4"/>
  <c r="H84" i="4"/>
  <c r="R84" i="4" s="1"/>
  <c r="G84" i="4"/>
  <c r="F84" i="4"/>
  <c r="E84" i="4"/>
  <c r="Q84" i="4" s="1"/>
  <c r="D84" i="4"/>
  <c r="D316" i="4" s="1"/>
  <c r="C84" i="4"/>
  <c r="B84" i="4"/>
  <c r="P84" i="4" s="1"/>
  <c r="S83" i="4"/>
  <c r="R83" i="4"/>
  <c r="Q83" i="4"/>
  <c r="P83" i="4"/>
  <c r="M83" i="4"/>
  <c r="L83" i="4"/>
  <c r="K83" i="4"/>
  <c r="J83" i="4"/>
  <c r="I83" i="4"/>
  <c r="H83" i="4"/>
  <c r="G83" i="4"/>
  <c r="F83" i="4"/>
  <c r="E83" i="4"/>
  <c r="D83" i="4"/>
  <c r="C83" i="4"/>
  <c r="B83" i="4"/>
  <c r="N83" i="4" s="1"/>
  <c r="Q82" i="4"/>
  <c r="P82" i="4"/>
  <c r="M82" i="4"/>
  <c r="L82" i="4"/>
  <c r="K82" i="4"/>
  <c r="S82" i="4" s="1"/>
  <c r="J82" i="4"/>
  <c r="R82" i="4" s="1"/>
  <c r="I82" i="4"/>
  <c r="H82" i="4"/>
  <c r="G82" i="4"/>
  <c r="F82" i="4"/>
  <c r="E82" i="4"/>
  <c r="D82" i="4"/>
  <c r="C82" i="4"/>
  <c r="B82" i="4"/>
  <c r="P81" i="4"/>
  <c r="M81" i="4"/>
  <c r="L81" i="4"/>
  <c r="L313" i="4" s="1"/>
  <c r="K81" i="4"/>
  <c r="K313" i="4" s="1"/>
  <c r="J81" i="4"/>
  <c r="I81" i="4"/>
  <c r="I313" i="4" s="1"/>
  <c r="H81" i="4"/>
  <c r="H313" i="4" s="1"/>
  <c r="G81" i="4"/>
  <c r="F81" i="4"/>
  <c r="E81" i="4"/>
  <c r="N81" i="4" s="1"/>
  <c r="D81" i="4"/>
  <c r="C81" i="4"/>
  <c r="B81" i="4"/>
  <c r="M80" i="4"/>
  <c r="L80" i="4"/>
  <c r="K80" i="4"/>
  <c r="S80" i="4" s="1"/>
  <c r="J80" i="4"/>
  <c r="I80" i="4"/>
  <c r="H80" i="4"/>
  <c r="R80" i="4" s="1"/>
  <c r="G80" i="4"/>
  <c r="F80" i="4"/>
  <c r="E80" i="4"/>
  <c r="Q80" i="4" s="1"/>
  <c r="D80" i="4"/>
  <c r="D312" i="4" s="1"/>
  <c r="C80" i="4"/>
  <c r="B80" i="4"/>
  <c r="B312" i="4" s="1"/>
  <c r="S79" i="4"/>
  <c r="R79" i="4"/>
  <c r="M79" i="4"/>
  <c r="M311" i="4" s="1"/>
  <c r="L79" i="4"/>
  <c r="K79" i="4"/>
  <c r="J79" i="4"/>
  <c r="I79" i="4"/>
  <c r="H79" i="4"/>
  <c r="G79" i="4"/>
  <c r="F79" i="4"/>
  <c r="E79" i="4"/>
  <c r="Q79" i="4" s="1"/>
  <c r="D79" i="4"/>
  <c r="C79" i="4"/>
  <c r="B79" i="4"/>
  <c r="P79" i="4" s="1"/>
  <c r="R78" i="4"/>
  <c r="Q78" i="4"/>
  <c r="P78" i="4"/>
  <c r="M78" i="4"/>
  <c r="L78" i="4"/>
  <c r="N78" i="4" s="1"/>
  <c r="K78" i="4"/>
  <c r="J78" i="4"/>
  <c r="I78" i="4"/>
  <c r="H78" i="4"/>
  <c r="G78" i="4"/>
  <c r="F78" i="4"/>
  <c r="E78" i="4"/>
  <c r="D78" i="4"/>
  <c r="C78" i="4"/>
  <c r="B78" i="4"/>
  <c r="P77" i="4"/>
  <c r="M77" i="4"/>
  <c r="L77" i="4"/>
  <c r="K77" i="4"/>
  <c r="S77" i="4" s="1"/>
  <c r="J77" i="4"/>
  <c r="I77" i="4"/>
  <c r="H77" i="4"/>
  <c r="R77" i="4" s="1"/>
  <c r="G77" i="4"/>
  <c r="Q77" i="4" s="1"/>
  <c r="F77" i="4"/>
  <c r="E77" i="4"/>
  <c r="D77" i="4"/>
  <c r="D309" i="4" s="1"/>
  <c r="C77" i="4"/>
  <c r="C309" i="4" s="1"/>
  <c r="B77" i="4"/>
  <c r="M76" i="4"/>
  <c r="L76" i="4"/>
  <c r="K76" i="4"/>
  <c r="S76" i="4" s="1"/>
  <c r="J76" i="4"/>
  <c r="I76" i="4"/>
  <c r="I308" i="4" s="1"/>
  <c r="H76" i="4"/>
  <c r="R76" i="4" s="1"/>
  <c r="G76" i="4"/>
  <c r="G308" i="4" s="1"/>
  <c r="F76" i="4"/>
  <c r="F308" i="4" s="1"/>
  <c r="E76" i="4"/>
  <c r="Q76" i="4" s="1"/>
  <c r="D76" i="4"/>
  <c r="C76" i="4"/>
  <c r="B76" i="4"/>
  <c r="N76" i="4" s="1"/>
  <c r="M75" i="4"/>
  <c r="L75" i="4"/>
  <c r="K75" i="4"/>
  <c r="S75" i="4" s="1"/>
  <c r="J75" i="4"/>
  <c r="I75" i="4"/>
  <c r="H75" i="4"/>
  <c r="R75" i="4" s="1"/>
  <c r="G75" i="4"/>
  <c r="F75" i="4"/>
  <c r="E75" i="4"/>
  <c r="Q75" i="4" s="1"/>
  <c r="D75" i="4"/>
  <c r="C75" i="4"/>
  <c r="B75" i="4"/>
  <c r="B307" i="4" s="1"/>
  <c r="S74" i="4"/>
  <c r="R74" i="4"/>
  <c r="Q74" i="4"/>
  <c r="P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Q73" i="4"/>
  <c r="P73" i="4"/>
  <c r="M73" i="4"/>
  <c r="M305" i="4" s="1"/>
  <c r="L73" i="4"/>
  <c r="K73" i="4"/>
  <c r="S73" i="4" s="1"/>
  <c r="J73" i="4"/>
  <c r="J305" i="4" s="1"/>
  <c r="I73" i="4"/>
  <c r="R73" i="4" s="1"/>
  <c r="H73" i="4"/>
  <c r="G73" i="4"/>
  <c r="F73" i="4"/>
  <c r="E73" i="4"/>
  <c r="D73" i="4"/>
  <c r="C73" i="4"/>
  <c r="B73" i="4"/>
  <c r="M72" i="4"/>
  <c r="L72" i="4"/>
  <c r="K72" i="4"/>
  <c r="K304" i="4" s="1"/>
  <c r="J72" i="4"/>
  <c r="J304" i="4" s="1"/>
  <c r="I72" i="4"/>
  <c r="I304" i="4" s="1"/>
  <c r="H72" i="4"/>
  <c r="H304" i="4" s="1"/>
  <c r="R304" i="4" s="1"/>
  <c r="G72" i="4"/>
  <c r="F72" i="4"/>
  <c r="F304" i="4" s="1"/>
  <c r="E72" i="4"/>
  <c r="E304" i="4" s="1"/>
  <c r="D72" i="4"/>
  <c r="P72" i="4" s="1"/>
  <c r="C72" i="4"/>
  <c r="B72" i="4"/>
  <c r="M71" i="4"/>
  <c r="L71" i="4"/>
  <c r="K71" i="4"/>
  <c r="S71" i="4" s="1"/>
  <c r="J71" i="4"/>
  <c r="I71" i="4"/>
  <c r="H71" i="4"/>
  <c r="R71" i="4" s="1"/>
  <c r="G71" i="4"/>
  <c r="F71" i="4"/>
  <c r="E71" i="4"/>
  <c r="Q71" i="4" s="1"/>
  <c r="D71" i="4"/>
  <c r="C71" i="4"/>
  <c r="B71" i="4"/>
  <c r="P71" i="4" s="1"/>
  <c r="S70" i="4"/>
  <c r="R70" i="4"/>
  <c r="Q70" i="4"/>
  <c r="M70" i="4"/>
  <c r="L70" i="4"/>
  <c r="K70" i="4"/>
  <c r="J70" i="4"/>
  <c r="I70" i="4"/>
  <c r="H70" i="4"/>
  <c r="G70" i="4"/>
  <c r="F70" i="4"/>
  <c r="E70" i="4"/>
  <c r="D70" i="4"/>
  <c r="C70" i="4"/>
  <c r="B70" i="4"/>
  <c r="P70" i="4" s="1"/>
  <c r="R69" i="4"/>
  <c r="Q69" i="4"/>
  <c r="P69" i="4"/>
  <c r="M69" i="4"/>
  <c r="L69" i="4"/>
  <c r="K69" i="4"/>
  <c r="N69" i="4" s="1"/>
  <c r="J69" i="4"/>
  <c r="I69" i="4"/>
  <c r="H69" i="4"/>
  <c r="G69" i="4"/>
  <c r="F69" i="4"/>
  <c r="E69" i="4"/>
  <c r="D69" i="4"/>
  <c r="C69" i="4"/>
  <c r="B69" i="4"/>
  <c r="P68" i="4"/>
  <c r="M68" i="4"/>
  <c r="M300" i="4" s="1"/>
  <c r="L68" i="4"/>
  <c r="L300" i="4" s="1"/>
  <c r="K68" i="4"/>
  <c r="K300" i="4" s="1"/>
  <c r="S300" i="4" s="1"/>
  <c r="J68" i="4"/>
  <c r="I68" i="4"/>
  <c r="H68" i="4"/>
  <c r="H300" i="4" s="1"/>
  <c r="G68" i="4"/>
  <c r="G300" i="4" s="1"/>
  <c r="F68" i="4"/>
  <c r="N68" i="4" s="1"/>
  <c r="E68" i="4"/>
  <c r="D68" i="4"/>
  <c r="C68" i="4"/>
  <c r="B68" i="4"/>
  <c r="M67" i="4"/>
  <c r="L67" i="4"/>
  <c r="S67" i="4" s="1"/>
  <c r="K67" i="4"/>
  <c r="J67" i="4"/>
  <c r="I67" i="4"/>
  <c r="H67" i="4"/>
  <c r="R67" i="4" s="1"/>
  <c r="G67" i="4"/>
  <c r="G299" i="4" s="1"/>
  <c r="F67" i="4"/>
  <c r="F299" i="4" s="1"/>
  <c r="E67" i="4"/>
  <c r="Q67" i="4" s="1"/>
  <c r="D67" i="4"/>
  <c r="D299" i="4" s="1"/>
  <c r="C67" i="4"/>
  <c r="C299" i="4" s="1"/>
  <c r="B67" i="4"/>
  <c r="B299" i="4" s="1"/>
  <c r="S66" i="4"/>
  <c r="M66" i="4"/>
  <c r="L66" i="4"/>
  <c r="K66" i="4"/>
  <c r="J66" i="4"/>
  <c r="I66" i="4"/>
  <c r="H66" i="4"/>
  <c r="R66" i="4" s="1"/>
  <c r="G66" i="4"/>
  <c r="F66" i="4"/>
  <c r="E66" i="4"/>
  <c r="Q66" i="4" s="1"/>
  <c r="D66" i="4"/>
  <c r="C66" i="4"/>
  <c r="C298" i="4" s="1"/>
  <c r="B66" i="4"/>
  <c r="P66" i="4" s="1"/>
  <c r="R65" i="4"/>
  <c r="Q65" i="4"/>
  <c r="P65" i="4"/>
  <c r="M65" i="4"/>
  <c r="N65" i="4" s="1"/>
  <c r="L65" i="4"/>
  <c r="K65" i="4"/>
  <c r="J65" i="4"/>
  <c r="I65" i="4"/>
  <c r="H65" i="4"/>
  <c r="G65" i="4"/>
  <c r="F65" i="4"/>
  <c r="E65" i="4"/>
  <c r="D65" i="4"/>
  <c r="C65" i="4"/>
  <c r="B65" i="4"/>
  <c r="Q64" i="4"/>
  <c r="P64" i="4"/>
  <c r="M64" i="4"/>
  <c r="M296" i="4" s="1"/>
  <c r="L64" i="4"/>
  <c r="L296" i="4" s="1"/>
  <c r="K64" i="4"/>
  <c r="S64" i="4" s="1"/>
  <c r="J64" i="4"/>
  <c r="J296" i="4" s="1"/>
  <c r="I64" i="4"/>
  <c r="I296" i="4" s="1"/>
  <c r="H64" i="4"/>
  <c r="R64" i="4" s="1"/>
  <c r="G64" i="4"/>
  <c r="F64" i="4"/>
  <c r="E64" i="4"/>
  <c r="D64" i="4"/>
  <c r="C64" i="4"/>
  <c r="B64" i="4"/>
  <c r="M63" i="4"/>
  <c r="L63" i="4"/>
  <c r="K63" i="4"/>
  <c r="S63" i="4" s="1"/>
  <c r="J63" i="4"/>
  <c r="J295" i="4" s="1"/>
  <c r="I63" i="4"/>
  <c r="I295" i="4" s="1"/>
  <c r="H63" i="4"/>
  <c r="H295" i="4" s="1"/>
  <c r="R295" i="4" s="1"/>
  <c r="G63" i="4"/>
  <c r="F63" i="4"/>
  <c r="E63" i="4"/>
  <c r="E295" i="4" s="1"/>
  <c r="D63" i="4"/>
  <c r="D295" i="4" s="1"/>
  <c r="C63" i="4"/>
  <c r="C295" i="4" s="1"/>
  <c r="B63" i="4"/>
  <c r="N60" i="4"/>
  <c r="I60" i="4"/>
  <c r="H60" i="4"/>
  <c r="G60" i="4"/>
  <c r="F60" i="4"/>
  <c r="E60" i="4"/>
  <c r="Q60" i="4" s="1"/>
  <c r="D60" i="4"/>
  <c r="D292" i="4" s="1"/>
  <c r="C60" i="4"/>
  <c r="C292" i="4" s="1"/>
  <c r="B60" i="4"/>
  <c r="P60" i="4" s="1"/>
  <c r="S59" i="4"/>
  <c r="R59" i="4"/>
  <c r="Q59" i="4"/>
  <c r="P59" i="4"/>
  <c r="M59" i="4"/>
  <c r="L59" i="4"/>
  <c r="K59" i="4"/>
  <c r="J59" i="4"/>
  <c r="I59" i="4"/>
  <c r="H59" i="4"/>
  <c r="G59" i="4"/>
  <c r="F59" i="4"/>
  <c r="E59" i="4"/>
  <c r="D59" i="4"/>
  <c r="C59" i="4"/>
  <c r="B59" i="4"/>
  <c r="N59" i="4" s="1"/>
  <c r="Q58" i="4"/>
  <c r="P58" i="4"/>
  <c r="M58" i="4"/>
  <c r="M116" i="4" s="1"/>
  <c r="L58" i="4"/>
  <c r="L116" i="4" s="1"/>
  <c r="K58" i="4"/>
  <c r="S58" i="4" s="1"/>
  <c r="J58" i="4"/>
  <c r="N58" i="4" s="1"/>
  <c r="I58" i="4"/>
  <c r="H58" i="4"/>
  <c r="G58" i="4"/>
  <c r="F58" i="4"/>
  <c r="E58" i="4"/>
  <c r="D58" i="4"/>
  <c r="C58" i="4"/>
  <c r="B58" i="4"/>
  <c r="P57" i="4"/>
  <c r="M57" i="4"/>
  <c r="L57" i="4"/>
  <c r="L289" i="4" s="1"/>
  <c r="K57" i="4"/>
  <c r="S57" i="4" s="1"/>
  <c r="J57" i="4"/>
  <c r="I57" i="4"/>
  <c r="I289" i="4" s="1"/>
  <c r="H57" i="4"/>
  <c r="R57" i="4" s="1"/>
  <c r="G57" i="4"/>
  <c r="G289" i="4" s="1"/>
  <c r="F57" i="4"/>
  <c r="F289" i="4" s="1"/>
  <c r="E57" i="4"/>
  <c r="Q57" i="4" s="1"/>
  <c r="D57" i="4"/>
  <c r="C57" i="4"/>
  <c r="B57" i="4"/>
  <c r="M56" i="4"/>
  <c r="L56" i="4"/>
  <c r="K56" i="4"/>
  <c r="S56" i="4" s="1"/>
  <c r="J56" i="4"/>
  <c r="I56" i="4"/>
  <c r="H56" i="4"/>
  <c r="R56" i="4" s="1"/>
  <c r="G56" i="4"/>
  <c r="G288" i="4" s="1"/>
  <c r="F56" i="4"/>
  <c r="F288" i="4" s="1"/>
  <c r="E56" i="4"/>
  <c r="E288" i="4" s="1"/>
  <c r="Q288" i="4" s="1"/>
  <c r="D56" i="4"/>
  <c r="D288" i="4" s="1"/>
  <c r="C56" i="4"/>
  <c r="B56" i="4"/>
  <c r="P56" i="4" s="1"/>
  <c r="S55" i="4"/>
  <c r="R55" i="4"/>
  <c r="M55" i="4"/>
  <c r="L55" i="4"/>
  <c r="K55" i="4"/>
  <c r="J55" i="4"/>
  <c r="I55" i="4"/>
  <c r="H55" i="4"/>
  <c r="G55" i="4"/>
  <c r="F55" i="4"/>
  <c r="E55" i="4"/>
  <c r="Q55" i="4" s="1"/>
  <c r="D55" i="4"/>
  <c r="C55" i="4"/>
  <c r="B55" i="4"/>
  <c r="P55" i="4" s="1"/>
  <c r="R54" i="4"/>
  <c r="Q54" i="4"/>
  <c r="P54" i="4"/>
  <c r="M54" i="4"/>
  <c r="M286" i="4" s="1"/>
  <c r="L54" i="4"/>
  <c r="N54" i="4" s="1"/>
  <c r="K54" i="4"/>
  <c r="J54" i="4"/>
  <c r="I54" i="4"/>
  <c r="H54" i="4"/>
  <c r="G54" i="4"/>
  <c r="F54" i="4"/>
  <c r="E54" i="4"/>
  <c r="D54" i="4"/>
  <c r="C54" i="4"/>
  <c r="B54" i="4"/>
  <c r="P53" i="4"/>
  <c r="M53" i="4"/>
  <c r="M285" i="4" s="1"/>
  <c r="L53" i="4"/>
  <c r="L285" i="4" s="1"/>
  <c r="K53" i="4"/>
  <c r="S53" i="4" s="1"/>
  <c r="J53" i="4"/>
  <c r="I53" i="4"/>
  <c r="H53" i="4"/>
  <c r="R53" i="4" s="1"/>
  <c r="G53" i="4"/>
  <c r="N53" i="4" s="1"/>
  <c r="F53" i="4"/>
  <c r="E53" i="4"/>
  <c r="D53" i="4"/>
  <c r="C53" i="4"/>
  <c r="B53" i="4"/>
  <c r="M52" i="4"/>
  <c r="L52" i="4"/>
  <c r="K52" i="4"/>
  <c r="S52" i="4" s="1"/>
  <c r="J52" i="4"/>
  <c r="I52" i="4"/>
  <c r="I284" i="4" s="1"/>
  <c r="H52" i="4"/>
  <c r="H284" i="4" s="1"/>
  <c r="G52" i="4"/>
  <c r="G284" i="4" s="1"/>
  <c r="F52" i="4"/>
  <c r="E52" i="4"/>
  <c r="Q52" i="4" s="1"/>
  <c r="D52" i="4"/>
  <c r="D284" i="4" s="1"/>
  <c r="C52" i="4"/>
  <c r="B52" i="4"/>
  <c r="N52" i="4" s="1"/>
  <c r="M51" i="4"/>
  <c r="L51" i="4"/>
  <c r="K51" i="4"/>
  <c r="S51" i="4" s="1"/>
  <c r="J51" i="4"/>
  <c r="I51" i="4"/>
  <c r="H51" i="4"/>
  <c r="R51" i="4" s="1"/>
  <c r="G51" i="4"/>
  <c r="F51" i="4"/>
  <c r="E51" i="4"/>
  <c r="Q51" i="4" s="1"/>
  <c r="D51" i="4"/>
  <c r="D283" i="4" s="1"/>
  <c r="C51" i="4"/>
  <c r="C283" i="4" s="1"/>
  <c r="B51" i="4"/>
  <c r="P51" i="4" s="1"/>
  <c r="S50" i="4"/>
  <c r="R50" i="4"/>
  <c r="Q50" i="4"/>
  <c r="P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Q49" i="4"/>
  <c r="P49" i="4"/>
  <c r="M49" i="4"/>
  <c r="M281" i="4" s="1"/>
  <c r="L49" i="4"/>
  <c r="K49" i="4"/>
  <c r="K281" i="4" s="1"/>
  <c r="J49" i="4"/>
  <c r="J281" i="4" s="1"/>
  <c r="I49" i="4"/>
  <c r="N49" i="4" s="1"/>
  <c r="H49" i="4"/>
  <c r="G49" i="4"/>
  <c r="F49" i="4"/>
  <c r="E49" i="4"/>
  <c r="D49" i="4"/>
  <c r="C49" i="4"/>
  <c r="B49" i="4"/>
  <c r="M48" i="4"/>
  <c r="L48" i="4"/>
  <c r="K48" i="4"/>
  <c r="S48" i="4" s="1"/>
  <c r="J48" i="4"/>
  <c r="I48" i="4"/>
  <c r="I280" i="4" s="1"/>
  <c r="H48" i="4"/>
  <c r="H280" i="4" s="1"/>
  <c r="R280" i="4" s="1"/>
  <c r="G48" i="4"/>
  <c r="F48" i="4"/>
  <c r="F280" i="4" s="1"/>
  <c r="E48" i="4"/>
  <c r="E280" i="4" s="1"/>
  <c r="Q280" i="4" s="1"/>
  <c r="D48" i="4"/>
  <c r="P48" i="4" s="1"/>
  <c r="C48" i="4"/>
  <c r="B48" i="4"/>
  <c r="M47" i="4"/>
  <c r="L47" i="4"/>
  <c r="K47" i="4"/>
  <c r="S47" i="4" s="1"/>
  <c r="J47" i="4"/>
  <c r="I47" i="4"/>
  <c r="H47" i="4"/>
  <c r="R47" i="4" s="1"/>
  <c r="G47" i="4"/>
  <c r="F47" i="4"/>
  <c r="F279" i="4" s="1"/>
  <c r="E47" i="4"/>
  <c r="Q47" i="4" s="1"/>
  <c r="D47" i="4"/>
  <c r="D279" i="4" s="1"/>
  <c r="C47" i="4"/>
  <c r="B47" i="4"/>
  <c r="P47" i="4" s="1"/>
  <c r="S46" i="4"/>
  <c r="R46" i="4"/>
  <c r="Q46" i="4"/>
  <c r="M46" i="4"/>
  <c r="L46" i="4"/>
  <c r="K46" i="4"/>
  <c r="J46" i="4"/>
  <c r="I46" i="4"/>
  <c r="H46" i="4"/>
  <c r="G46" i="4"/>
  <c r="F46" i="4"/>
  <c r="E46" i="4"/>
  <c r="D46" i="4"/>
  <c r="C46" i="4"/>
  <c r="B46" i="4"/>
  <c r="P46" i="4" s="1"/>
  <c r="R45" i="4"/>
  <c r="Q45" i="4"/>
  <c r="P45" i="4"/>
  <c r="M45" i="4"/>
  <c r="L45" i="4"/>
  <c r="K45" i="4"/>
  <c r="S45" i="4" s="1"/>
  <c r="J45" i="4"/>
  <c r="I45" i="4"/>
  <c r="H45" i="4"/>
  <c r="G45" i="4"/>
  <c r="F45" i="4"/>
  <c r="E45" i="4"/>
  <c r="D45" i="4"/>
  <c r="C45" i="4"/>
  <c r="B45" i="4"/>
  <c r="P44" i="4"/>
  <c r="M44" i="4"/>
  <c r="L44" i="4"/>
  <c r="K44" i="4"/>
  <c r="S44" i="4" s="1"/>
  <c r="J44" i="4"/>
  <c r="I44" i="4"/>
  <c r="H44" i="4"/>
  <c r="R44" i="4" s="1"/>
  <c r="G44" i="4"/>
  <c r="F44" i="4"/>
  <c r="N44" i="4" s="1"/>
  <c r="E44" i="4"/>
  <c r="D44" i="4"/>
  <c r="C44" i="4"/>
  <c r="B44" i="4"/>
  <c r="M43" i="4"/>
  <c r="L43" i="4"/>
  <c r="K43" i="4"/>
  <c r="S43" i="4" s="1"/>
  <c r="J43" i="4"/>
  <c r="I43" i="4"/>
  <c r="H43" i="4"/>
  <c r="R43" i="4" s="1"/>
  <c r="G43" i="4"/>
  <c r="G275" i="4" s="1"/>
  <c r="F43" i="4"/>
  <c r="F275" i="4" s="1"/>
  <c r="E43" i="4"/>
  <c r="E275" i="4" s="1"/>
  <c r="Q275" i="4" s="1"/>
  <c r="D43" i="4"/>
  <c r="C43" i="4"/>
  <c r="C275" i="4" s="1"/>
  <c r="B43" i="4"/>
  <c r="B275" i="4" s="1"/>
  <c r="S42" i="4"/>
  <c r="M42" i="4"/>
  <c r="L42" i="4"/>
  <c r="K42" i="4"/>
  <c r="J42" i="4"/>
  <c r="I42" i="4"/>
  <c r="H42" i="4"/>
  <c r="R42" i="4" s="1"/>
  <c r="G42" i="4"/>
  <c r="F42" i="4"/>
  <c r="E42" i="4"/>
  <c r="Q42" i="4" s="1"/>
  <c r="D42" i="4"/>
  <c r="C42" i="4"/>
  <c r="C274" i="4" s="1"/>
  <c r="B42" i="4"/>
  <c r="P42" i="4" s="1"/>
  <c r="R41" i="4"/>
  <c r="Q41" i="4"/>
  <c r="P41" i="4"/>
  <c r="M41" i="4"/>
  <c r="S41" i="4" s="1"/>
  <c r="L41" i="4"/>
  <c r="K41" i="4"/>
  <c r="J41" i="4"/>
  <c r="I41" i="4"/>
  <c r="H41" i="4"/>
  <c r="G41" i="4"/>
  <c r="F41" i="4"/>
  <c r="E41" i="4"/>
  <c r="D41" i="4"/>
  <c r="C41" i="4"/>
  <c r="B41" i="4"/>
  <c r="Q40" i="4"/>
  <c r="P40" i="4"/>
  <c r="M40" i="4"/>
  <c r="L40" i="4"/>
  <c r="K40" i="4"/>
  <c r="S40" i="4" s="1"/>
  <c r="J40" i="4"/>
  <c r="I40" i="4"/>
  <c r="I272" i="4" s="1"/>
  <c r="H40" i="4"/>
  <c r="R40" i="4" s="1"/>
  <c r="G40" i="4"/>
  <c r="F40" i="4"/>
  <c r="E40" i="4"/>
  <c r="D40" i="4"/>
  <c r="C40" i="4"/>
  <c r="B40" i="4"/>
  <c r="M39" i="4"/>
  <c r="L39" i="4"/>
  <c r="K39" i="4"/>
  <c r="S39" i="4" s="1"/>
  <c r="J39" i="4"/>
  <c r="J271" i="4" s="1"/>
  <c r="I39" i="4"/>
  <c r="I271" i="4" s="1"/>
  <c r="H39" i="4"/>
  <c r="R39" i="4" s="1"/>
  <c r="G39" i="4"/>
  <c r="G271" i="4" s="1"/>
  <c r="F39" i="4"/>
  <c r="F271" i="4" s="1"/>
  <c r="E39" i="4"/>
  <c r="Q39" i="4" s="1"/>
  <c r="D39" i="4"/>
  <c r="D271" i="4" s="1"/>
  <c r="C39" i="4"/>
  <c r="P39" i="4" s="1"/>
  <c r="B39" i="4"/>
  <c r="M38" i="4"/>
  <c r="L38" i="4"/>
  <c r="S38" i="4" s="1"/>
  <c r="K38" i="4"/>
  <c r="J38" i="4"/>
  <c r="I38" i="4"/>
  <c r="H38" i="4"/>
  <c r="R38" i="4" s="1"/>
  <c r="G38" i="4"/>
  <c r="F38" i="4"/>
  <c r="E38" i="4"/>
  <c r="E270" i="4" s="1"/>
  <c r="D38" i="4"/>
  <c r="D270" i="4" s="1"/>
  <c r="C38" i="4"/>
  <c r="C270" i="4" s="1"/>
  <c r="B38" i="4"/>
  <c r="B270" i="4" s="1"/>
  <c r="S37" i="4"/>
  <c r="R37" i="4"/>
  <c r="Q37" i="4"/>
  <c r="P37" i="4"/>
  <c r="M37" i="4"/>
  <c r="L37" i="4"/>
  <c r="K37" i="4"/>
  <c r="J37" i="4"/>
  <c r="I37" i="4"/>
  <c r="H37" i="4"/>
  <c r="G37" i="4"/>
  <c r="F37" i="4"/>
  <c r="E37" i="4"/>
  <c r="D37" i="4"/>
  <c r="C37" i="4"/>
  <c r="B37" i="4"/>
  <c r="N37" i="4" s="1"/>
  <c r="Q36" i="4"/>
  <c r="P36" i="4"/>
  <c r="M36" i="4"/>
  <c r="L36" i="4"/>
  <c r="L268" i="4" s="1"/>
  <c r="K36" i="4"/>
  <c r="S36" i="4" s="1"/>
  <c r="J36" i="4"/>
  <c r="R36" i="4" s="1"/>
  <c r="I36" i="4"/>
  <c r="H36" i="4"/>
  <c r="G36" i="4"/>
  <c r="F36" i="4"/>
  <c r="E36" i="4"/>
  <c r="D36" i="4"/>
  <c r="C36" i="4"/>
  <c r="B36" i="4"/>
  <c r="P35" i="4"/>
  <c r="M35" i="4"/>
  <c r="L35" i="4"/>
  <c r="L267" i="4" s="1"/>
  <c r="K35" i="4"/>
  <c r="K267" i="4" s="1"/>
  <c r="J35" i="4"/>
  <c r="J267" i="4" s="1"/>
  <c r="I35" i="4"/>
  <c r="I267" i="4" s="1"/>
  <c r="H35" i="4"/>
  <c r="R35" i="4" s="1"/>
  <c r="G35" i="4"/>
  <c r="G267" i="4" s="1"/>
  <c r="F35" i="4"/>
  <c r="F267" i="4" s="1"/>
  <c r="E35" i="4"/>
  <c r="E267" i="4" s="1"/>
  <c r="Q267" i="4" s="1"/>
  <c r="D35" i="4"/>
  <c r="C35" i="4"/>
  <c r="B35" i="4"/>
  <c r="M34" i="4"/>
  <c r="L34" i="4"/>
  <c r="K34" i="4"/>
  <c r="S34" i="4" s="1"/>
  <c r="J34" i="4"/>
  <c r="I34" i="4"/>
  <c r="H34" i="4"/>
  <c r="R34" i="4" s="1"/>
  <c r="G34" i="4"/>
  <c r="F34" i="4"/>
  <c r="E34" i="4"/>
  <c r="E266" i="4" s="1"/>
  <c r="Q266" i="4" s="1"/>
  <c r="D34" i="4"/>
  <c r="D266" i="4" s="1"/>
  <c r="C34" i="4"/>
  <c r="B34" i="4"/>
  <c r="B266" i="4" s="1"/>
  <c r="N31" i="4"/>
  <c r="H31" i="4"/>
  <c r="G31" i="4"/>
  <c r="G263" i="4" s="1"/>
  <c r="F31" i="4"/>
  <c r="E31" i="4"/>
  <c r="Q31" i="4" s="1"/>
  <c r="D31" i="4"/>
  <c r="D118" i="4" s="1"/>
  <c r="C31" i="4"/>
  <c r="C118" i="4" s="1"/>
  <c r="B31" i="4"/>
  <c r="P31" i="4" s="1"/>
  <c r="R30" i="4"/>
  <c r="Q30" i="4"/>
  <c r="P30" i="4"/>
  <c r="M30" i="4"/>
  <c r="M117" i="4" s="1"/>
  <c r="L30" i="4"/>
  <c r="L117" i="4" s="1"/>
  <c r="K30" i="4"/>
  <c r="J30" i="4"/>
  <c r="I30" i="4"/>
  <c r="I117" i="4" s="1"/>
  <c r="H30" i="4"/>
  <c r="H117" i="4" s="1"/>
  <c r="G30" i="4"/>
  <c r="G117" i="4" s="1"/>
  <c r="F30" i="4"/>
  <c r="F117" i="4" s="1"/>
  <c r="E30" i="4"/>
  <c r="D30" i="4"/>
  <c r="C30" i="4"/>
  <c r="C117" i="4" s="1"/>
  <c r="B30" i="4"/>
  <c r="B117" i="4" s="1"/>
  <c r="P29" i="4"/>
  <c r="M29" i="4"/>
  <c r="M261" i="4" s="1"/>
  <c r="L29" i="4"/>
  <c r="L261" i="4" s="1"/>
  <c r="L348" i="4" s="1"/>
  <c r="K29" i="4"/>
  <c r="K261" i="4" s="1"/>
  <c r="J29" i="4"/>
  <c r="I29" i="4"/>
  <c r="I116" i="4" s="1"/>
  <c r="H29" i="4"/>
  <c r="H116" i="4" s="1"/>
  <c r="G29" i="4"/>
  <c r="Q29" i="4" s="1"/>
  <c r="F29" i="4"/>
  <c r="E29" i="4"/>
  <c r="D29" i="4"/>
  <c r="C29" i="4"/>
  <c r="B29" i="4"/>
  <c r="B116" i="4" s="1"/>
  <c r="M28" i="4"/>
  <c r="M115" i="4" s="1"/>
  <c r="L28" i="4"/>
  <c r="K28" i="4"/>
  <c r="J28" i="4"/>
  <c r="J115" i="4" s="1"/>
  <c r="I28" i="4"/>
  <c r="I115" i="4" s="1"/>
  <c r="H28" i="4"/>
  <c r="R28" i="4" s="1"/>
  <c r="G28" i="4"/>
  <c r="G115" i="4" s="1"/>
  <c r="F28" i="4"/>
  <c r="E28" i="4"/>
  <c r="Q28" i="4" s="1"/>
  <c r="D28" i="4"/>
  <c r="D115" i="4" s="1"/>
  <c r="C28" i="4"/>
  <c r="C115" i="4" s="1"/>
  <c r="B28" i="4"/>
  <c r="P28" i="4" s="1"/>
  <c r="M27" i="4"/>
  <c r="M114" i="4" s="1"/>
  <c r="L27" i="4"/>
  <c r="K27" i="4"/>
  <c r="S27" i="4" s="1"/>
  <c r="J27" i="4"/>
  <c r="I27" i="4"/>
  <c r="H27" i="4"/>
  <c r="R27" i="4" s="1"/>
  <c r="G27" i="4"/>
  <c r="F27" i="4"/>
  <c r="E27" i="4"/>
  <c r="Q27" i="4" s="1"/>
  <c r="D27" i="4"/>
  <c r="D114" i="4" s="1"/>
  <c r="C27" i="4"/>
  <c r="C114" i="4" s="1"/>
  <c r="B27" i="4"/>
  <c r="B114" i="4" s="1"/>
  <c r="S26" i="4"/>
  <c r="R26" i="4"/>
  <c r="Q26" i="4"/>
  <c r="P26" i="4"/>
  <c r="N26" i="4"/>
  <c r="M26" i="4"/>
  <c r="L26" i="4"/>
  <c r="K26" i="4"/>
  <c r="K113" i="4" s="1"/>
  <c r="J26" i="4"/>
  <c r="J113" i="4" s="1"/>
  <c r="I26" i="4"/>
  <c r="I113" i="4" s="1"/>
  <c r="H26" i="4"/>
  <c r="H113" i="4" s="1"/>
  <c r="G26" i="4"/>
  <c r="F26" i="4"/>
  <c r="F113" i="4" s="1"/>
  <c r="E26" i="4"/>
  <c r="E113" i="4" s="1"/>
  <c r="D26" i="4"/>
  <c r="D113" i="4" s="1"/>
  <c r="C26" i="4"/>
  <c r="C113" i="4" s="1"/>
  <c r="B26" i="4"/>
  <c r="B113" i="4" s="1"/>
  <c r="Q25" i="4"/>
  <c r="P25" i="4"/>
  <c r="M25" i="4"/>
  <c r="L25" i="4"/>
  <c r="K25" i="4"/>
  <c r="K112" i="4" s="1"/>
  <c r="J25" i="4"/>
  <c r="J112" i="4" s="1"/>
  <c r="I25" i="4"/>
  <c r="I112" i="4" s="1"/>
  <c r="H25" i="4"/>
  <c r="G25" i="4"/>
  <c r="F25" i="4"/>
  <c r="E25" i="4"/>
  <c r="D25" i="4"/>
  <c r="C25" i="4"/>
  <c r="C112" i="4" s="1"/>
  <c r="B25" i="4"/>
  <c r="M24" i="4"/>
  <c r="M111" i="4" s="1"/>
  <c r="L24" i="4"/>
  <c r="L111" i="4" s="1"/>
  <c r="K24" i="4"/>
  <c r="K111" i="4" s="1"/>
  <c r="S111" i="4" s="1"/>
  <c r="J24" i="4"/>
  <c r="J111" i="4" s="1"/>
  <c r="I24" i="4"/>
  <c r="I111" i="4" s="1"/>
  <c r="H24" i="4"/>
  <c r="R24" i="4" s="1"/>
  <c r="G24" i="4"/>
  <c r="F24" i="4"/>
  <c r="F111" i="4" s="1"/>
  <c r="E24" i="4"/>
  <c r="E256" i="4" s="1"/>
  <c r="D24" i="4"/>
  <c r="D111" i="4" s="1"/>
  <c r="C24" i="4"/>
  <c r="B24" i="4"/>
  <c r="M23" i="4"/>
  <c r="L23" i="4"/>
  <c r="K23" i="4"/>
  <c r="S23" i="4" s="1"/>
  <c r="J23" i="4"/>
  <c r="I23" i="4"/>
  <c r="H23" i="4"/>
  <c r="R23" i="4" s="1"/>
  <c r="G23" i="4"/>
  <c r="G110" i="4" s="1"/>
  <c r="F23" i="4"/>
  <c r="F110" i="4" s="1"/>
  <c r="E23" i="4"/>
  <c r="E255" i="4" s="1"/>
  <c r="D23" i="4"/>
  <c r="D110" i="4" s="1"/>
  <c r="C23" i="4"/>
  <c r="C110" i="4" s="1"/>
  <c r="B23" i="4"/>
  <c r="B110" i="4" s="1"/>
  <c r="S22" i="4"/>
  <c r="R22" i="4"/>
  <c r="Q22" i="4"/>
  <c r="M22" i="4"/>
  <c r="M109" i="4" s="1"/>
  <c r="L22" i="4"/>
  <c r="K22" i="4"/>
  <c r="J22" i="4"/>
  <c r="I22" i="4"/>
  <c r="H22" i="4"/>
  <c r="G22" i="4"/>
  <c r="F22" i="4"/>
  <c r="E22" i="4"/>
  <c r="D22" i="4"/>
  <c r="C22" i="4"/>
  <c r="B22" i="4"/>
  <c r="B109" i="4" s="1"/>
  <c r="R21" i="4"/>
  <c r="Q21" i="4"/>
  <c r="P21" i="4"/>
  <c r="M21" i="4"/>
  <c r="M108" i="4" s="1"/>
  <c r="L21" i="4"/>
  <c r="L253" i="4" s="1"/>
  <c r="K21" i="4"/>
  <c r="S21" i="4" s="1"/>
  <c r="J21" i="4"/>
  <c r="I21" i="4"/>
  <c r="I108" i="4" s="1"/>
  <c r="H21" i="4"/>
  <c r="H108" i="4" s="1"/>
  <c r="R108" i="4" s="1"/>
  <c r="G21" i="4"/>
  <c r="F21" i="4"/>
  <c r="E21" i="4"/>
  <c r="D21" i="4"/>
  <c r="C21" i="4"/>
  <c r="B21" i="4"/>
  <c r="P20" i="4"/>
  <c r="M20" i="4"/>
  <c r="M107" i="4" s="1"/>
  <c r="L20" i="4"/>
  <c r="L107" i="4" s="1"/>
  <c r="K20" i="4"/>
  <c r="K107" i="4" s="1"/>
  <c r="S107" i="4" s="1"/>
  <c r="J20" i="4"/>
  <c r="J107" i="4" s="1"/>
  <c r="I20" i="4"/>
  <c r="I107" i="4" s="1"/>
  <c r="H20" i="4"/>
  <c r="H107" i="4" s="1"/>
  <c r="G20" i="4"/>
  <c r="G252" i="4" s="1"/>
  <c r="G339" i="4" s="1"/>
  <c r="F20" i="4"/>
  <c r="N20" i="4" s="1"/>
  <c r="E20" i="4"/>
  <c r="D20" i="4"/>
  <c r="D107" i="4" s="1"/>
  <c r="C20" i="4"/>
  <c r="C107" i="4" s="1"/>
  <c r="P107" i="4" s="1"/>
  <c r="B20" i="4"/>
  <c r="M19" i="4"/>
  <c r="L19" i="4"/>
  <c r="K19" i="4"/>
  <c r="S19" i="4" s="1"/>
  <c r="J19" i="4"/>
  <c r="I19" i="4"/>
  <c r="I106" i="4" s="1"/>
  <c r="H19" i="4"/>
  <c r="H106" i="4" s="1"/>
  <c r="G19" i="4"/>
  <c r="G106" i="4" s="1"/>
  <c r="F19" i="4"/>
  <c r="F106" i="4" s="1"/>
  <c r="E19" i="4"/>
  <c r="E106" i="4" s="1"/>
  <c r="D19" i="4"/>
  <c r="D106" i="4" s="1"/>
  <c r="C19" i="4"/>
  <c r="C106" i="4" s="1"/>
  <c r="B19" i="4"/>
  <c r="B106" i="4" s="1"/>
  <c r="S18" i="4"/>
  <c r="M18" i="4"/>
  <c r="L18" i="4"/>
  <c r="K18" i="4"/>
  <c r="J18" i="4"/>
  <c r="I18" i="4"/>
  <c r="H18" i="4"/>
  <c r="R18" i="4" s="1"/>
  <c r="G18" i="4"/>
  <c r="F18" i="4"/>
  <c r="E18" i="4"/>
  <c r="Q18" i="4" s="1"/>
  <c r="D18" i="4"/>
  <c r="D105" i="4" s="1"/>
  <c r="C18" i="4"/>
  <c r="C105" i="4" s="1"/>
  <c r="B18" i="4"/>
  <c r="B105" i="4" s="1"/>
  <c r="R17" i="4"/>
  <c r="Q17" i="4"/>
  <c r="P17" i="4"/>
  <c r="M17" i="4"/>
  <c r="N17" i="4" s="1"/>
  <c r="L17" i="4"/>
  <c r="K17" i="4"/>
  <c r="K104" i="4" s="1"/>
  <c r="J17" i="4"/>
  <c r="J104" i="4" s="1"/>
  <c r="I17" i="4"/>
  <c r="H17" i="4"/>
  <c r="G17" i="4"/>
  <c r="F17" i="4"/>
  <c r="E17" i="4"/>
  <c r="D17" i="4"/>
  <c r="C17" i="4"/>
  <c r="C249" i="4" s="1"/>
  <c r="B17" i="4"/>
  <c r="Q16" i="4"/>
  <c r="P16" i="4"/>
  <c r="M16" i="4"/>
  <c r="M103" i="4" s="1"/>
  <c r="L16" i="4"/>
  <c r="L103" i="4" s="1"/>
  <c r="K16" i="4"/>
  <c r="K103" i="4" s="1"/>
  <c r="S103" i="4" s="1"/>
  <c r="J16" i="4"/>
  <c r="J103" i="4" s="1"/>
  <c r="I16" i="4"/>
  <c r="I248" i="4" s="1"/>
  <c r="H16" i="4"/>
  <c r="N16" i="4" s="1"/>
  <c r="G16" i="4"/>
  <c r="F16" i="4"/>
  <c r="F103" i="4" s="1"/>
  <c r="E16" i="4"/>
  <c r="E103" i="4" s="1"/>
  <c r="Q103" i="4" s="1"/>
  <c r="D16" i="4"/>
  <c r="C16" i="4"/>
  <c r="B16" i="4"/>
  <c r="M15" i="4"/>
  <c r="L15" i="4"/>
  <c r="K15" i="4"/>
  <c r="K102" i="4" s="1"/>
  <c r="S102" i="4" s="1"/>
  <c r="J15" i="4"/>
  <c r="J102" i="4" s="1"/>
  <c r="I15" i="4"/>
  <c r="I102" i="4" s="1"/>
  <c r="H15" i="4"/>
  <c r="H102" i="4" s="1"/>
  <c r="G15" i="4"/>
  <c r="G102" i="4" s="1"/>
  <c r="F15" i="4"/>
  <c r="F102" i="4" s="1"/>
  <c r="E15" i="4"/>
  <c r="E102" i="4" s="1"/>
  <c r="Q102" i="4" s="1"/>
  <c r="D15" i="4"/>
  <c r="D102" i="4" s="1"/>
  <c r="C15" i="4"/>
  <c r="P15" i="4" s="1"/>
  <c r="B15" i="4"/>
  <c r="S14" i="4"/>
  <c r="M14" i="4"/>
  <c r="L14" i="4"/>
  <c r="K14" i="4"/>
  <c r="J14" i="4"/>
  <c r="I14" i="4"/>
  <c r="H14" i="4"/>
  <c r="R14" i="4" s="1"/>
  <c r="G14" i="4"/>
  <c r="F14" i="4"/>
  <c r="F101" i="4" s="1"/>
  <c r="E14" i="4"/>
  <c r="E101" i="4" s="1"/>
  <c r="D14" i="4"/>
  <c r="D101" i="4" s="1"/>
  <c r="C14" i="4"/>
  <c r="C101" i="4" s="1"/>
  <c r="B14" i="4"/>
  <c r="B101" i="4" s="1"/>
  <c r="S13" i="4"/>
  <c r="R13" i="4"/>
  <c r="Q13" i="4"/>
  <c r="P13" i="4"/>
  <c r="M13" i="4"/>
  <c r="M100" i="4" s="1"/>
  <c r="L13" i="4"/>
  <c r="L100" i="4" s="1"/>
  <c r="K13" i="4"/>
  <c r="J13" i="4"/>
  <c r="I13" i="4"/>
  <c r="H13" i="4"/>
  <c r="G13" i="4"/>
  <c r="F13" i="4"/>
  <c r="E13" i="4"/>
  <c r="D13" i="4"/>
  <c r="C13" i="4"/>
  <c r="B13" i="4"/>
  <c r="N13" i="4" s="1"/>
  <c r="Q12" i="4"/>
  <c r="P12" i="4"/>
  <c r="M12" i="4"/>
  <c r="M99" i="4" s="1"/>
  <c r="L12" i="4"/>
  <c r="L99" i="4" s="1"/>
  <c r="K12" i="4"/>
  <c r="S12" i="4" s="1"/>
  <c r="J12" i="4"/>
  <c r="N12" i="4" s="1"/>
  <c r="I12" i="4"/>
  <c r="H12" i="4"/>
  <c r="H99" i="4" s="1"/>
  <c r="G12" i="4"/>
  <c r="G99" i="4" s="1"/>
  <c r="F12" i="4"/>
  <c r="E12" i="4"/>
  <c r="D12" i="4"/>
  <c r="C12" i="4"/>
  <c r="B12" i="4"/>
  <c r="P11" i="4"/>
  <c r="M11" i="4"/>
  <c r="M98" i="4" s="1"/>
  <c r="L11" i="4"/>
  <c r="L98" i="4" s="1"/>
  <c r="K11" i="4"/>
  <c r="K98" i="4" s="1"/>
  <c r="S98" i="4" s="1"/>
  <c r="J11" i="4"/>
  <c r="J98" i="4" s="1"/>
  <c r="I11" i="4"/>
  <c r="I98" i="4" s="1"/>
  <c r="H11" i="4"/>
  <c r="H98" i="4" s="1"/>
  <c r="G11" i="4"/>
  <c r="G98" i="4" s="1"/>
  <c r="F11" i="4"/>
  <c r="F98" i="4" s="1"/>
  <c r="E11" i="4"/>
  <c r="E243" i="4" s="1"/>
  <c r="D11" i="4"/>
  <c r="C11" i="4"/>
  <c r="C98" i="4" s="1"/>
  <c r="B11" i="4"/>
  <c r="B98" i="4" s="1"/>
  <c r="M10" i="4"/>
  <c r="L10" i="4"/>
  <c r="K10" i="4"/>
  <c r="S10" i="4" s="1"/>
  <c r="J10" i="4"/>
  <c r="I10" i="4"/>
  <c r="H10" i="4"/>
  <c r="H97" i="4" s="1"/>
  <c r="R97" i="4" s="1"/>
  <c r="G10" i="4"/>
  <c r="G97" i="4" s="1"/>
  <c r="F10" i="4"/>
  <c r="F97" i="4" s="1"/>
  <c r="E10" i="4"/>
  <c r="E97" i="4" s="1"/>
  <c r="Q97" i="4" s="1"/>
  <c r="D10" i="4"/>
  <c r="D97" i="4" s="1"/>
  <c r="C10" i="4"/>
  <c r="C97" i="4" s="1"/>
  <c r="B10" i="4"/>
  <c r="B97" i="4" s="1"/>
  <c r="S9" i="4"/>
  <c r="R9" i="4"/>
  <c r="M9" i="4"/>
  <c r="L9" i="4"/>
  <c r="K9" i="4"/>
  <c r="J9" i="4"/>
  <c r="I9" i="4"/>
  <c r="H9" i="4"/>
  <c r="G9" i="4"/>
  <c r="F9" i="4"/>
  <c r="E9" i="4"/>
  <c r="Q9" i="4" s="1"/>
  <c r="D9" i="4"/>
  <c r="C9" i="4"/>
  <c r="C96" i="4" s="1"/>
  <c r="B9" i="4"/>
  <c r="B96" i="4" s="1"/>
  <c r="R8" i="4"/>
  <c r="Q8" i="4"/>
  <c r="P8" i="4"/>
  <c r="M8" i="4"/>
  <c r="M240" i="4" s="1"/>
  <c r="L8" i="4"/>
  <c r="N8" i="4" s="1"/>
  <c r="K8" i="4"/>
  <c r="J8" i="4"/>
  <c r="J95" i="4" s="1"/>
  <c r="I8" i="4"/>
  <c r="I95" i="4" s="1"/>
  <c r="H8" i="4"/>
  <c r="G8" i="4"/>
  <c r="F8" i="4"/>
  <c r="E8" i="4"/>
  <c r="D8" i="4"/>
  <c r="C8" i="4"/>
  <c r="B8" i="4"/>
  <c r="P7" i="4"/>
  <c r="M7" i="4"/>
  <c r="M239" i="4" s="1"/>
  <c r="L7" i="4"/>
  <c r="L239" i="4" s="1"/>
  <c r="L326" i="4" s="1"/>
  <c r="K7" i="4"/>
  <c r="K239" i="4" s="1"/>
  <c r="J7" i="4"/>
  <c r="J94" i="4" s="1"/>
  <c r="I7" i="4"/>
  <c r="I239" i="4" s="1"/>
  <c r="H7" i="4"/>
  <c r="H239" i="4" s="1"/>
  <c r="G7" i="4"/>
  <c r="N7" i="4" s="1"/>
  <c r="F7" i="4"/>
  <c r="E7" i="4"/>
  <c r="E94" i="4" s="1"/>
  <c r="D7" i="4"/>
  <c r="D94" i="4" s="1"/>
  <c r="C7" i="4"/>
  <c r="B7" i="4"/>
  <c r="M6" i="4"/>
  <c r="L6" i="4"/>
  <c r="K6" i="4"/>
  <c r="S6" i="4" s="1"/>
  <c r="J6" i="4"/>
  <c r="J93" i="4" s="1"/>
  <c r="I6" i="4"/>
  <c r="I238" i="4" s="1"/>
  <c r="H6" i="4"/>
  <c r="H93" i="4" s="1"/>
  <c r="G6" i="4"/>
  <c r="G238" i="4" s="1"/>
  <c r="F6" i="4"/>
  <c r="F93" i="4" s="1"/>
  <c r="E6" i="4"/>
  <c r="E93" i="4" s="1"/>
  <c r="D6" i="4"/>
  <c r="D93" i="4" s="1"/>
  <c r="C6" i="4"/>
  <c r="C238" i="4" s="1"/>
  <c r="B6" i="4"/>
  <c r="N6" i="4" s="1"/>
  <c r="M5" i="4"/>
  <c r="L5" i="4"/>
  <c r="K5" i="4"/>
  <c r="S5" i="4" s="1"/>
  <c r="J5" i="4"/>
  <c r="I5" i="4"/>
  <c r="H5" i="4"/>
  <c r="R5" i="4" s="1"/>
  <c r="G5" i="4"/>
  <c r="F5" i="4"/>
  <c r="E5" i="4"/>
  <c r="E92" i="4" s="1"/>
  <c r="Q92" i="4" s="1"/>
  <c r="D5" i="4"/>
  <c r="D92" i="4" s="1"/>
  <c r="C5" i="4"/>
  <c r="C92" i="4" s="1"/>
  <c r="B5" i="4"/>
  <c r="B92" i="4" s="1"/>
  <c r="AD54" i="3"/>
  <c r="AC54" i="3"/>
  <c r="AB54" i="3"/>
  <c r="AA54" i="3"/>
  <c r="Z54" i="3"/>
  <c r="X54" i="3"/>
  <c r="J54" i="3"/>
  <c r="I54" i="3"/>
  <c r="H54" i="3"/>
  <c r="G54" i="3"/>
  <c r="F54" i="3"/>
  <c r="E54" i="3"/>
  <c r="D54" i="3"/>
  <c r="B54" i="3"/>
  <c r="AD48" i="3"/>
  <c r="AC48" i="3"/>
  <c r="AB48" i="3"/>
  <c r="AA48" i="3"/>
  <c r="Z48" i="3"/>
  <c r="Y48" i="3"/>
  <c r="Y54" i="3" s="1"/>
  <c r="X48" i="3"/>
  <c r="W48" i="3"/>
  <c r="W54" i="3" s="1"/>
  <c r="V48" i="3"/>
  <c r="V54" i="3" s="1"/>
  <c r="U48" i="3"/>
  <c r="U54" i="3" s="1"/>
  <c r="T48" i="3"/>
  <c r="T54" i="3" s="1"/>
  <c r="S48" i="3"/>
  <c r="S54" i="3" s="1"/>
  <c r="R48" i="3"/>
  <c r="R54" i="3" s="1"/>
  <c r="Q48" i="3"/>
  <c r="Q54" i="3" s="1"/>
  <c r="P48" i="3"/>
  <c r="P54" i="3" s="1"/>
  <c r="O48" i="3"/>
  <c r="O54" i="3" s="1"/>
  <c r="N48" i="3"/>
  <c r="N54" i="3" s="1"/>
  <c r="M48" i="3"/>
  <c r="M54" i="3" s="1"/>
  <c r="L48" i="3"/>
  <c r="L54" i="3" s="1"/>
  <c r="K48" i="3"/>
  <c r="K54" i="3" s="1"/>
  <c r="J48" i="3"/>
  <c r="I48" i="3"/>
  <c r="H48" i="3"/>
  <c r="G48" i="3"/>
  <c r="F48" i="3"/>
  <c r="E48" i="3"/>
  <c r="D48" i="3"/>
  <c r="C48" i="3"/>
  <c r="C54" i="3" s="1"/>
  <c r="B48" i="3"/>
  <c r="AA44" i="3"/>
  <c r="Z44" i="3"/>
  <c r="Y44" i="3"/>
  <c r="X44" i="3"/>
  <c r="W44" i="3"/>
  <c r="V44" i="3"/>
  <c r="U44" i="3"/>
  <c r="T44" i="3"/>
  <c r="S44" i="3"/>
  <c r="R44" i="3"/>
  <c r="E44" i="3"/>
  <c r="D44" i="3"/>
  <c r="C44" i="3"/>
  <c r="B44" i="3"/>
  <c r="AD41" i="3"/>
  <c r="AC41" i="3"/>
  <c r="AB41" i="3"/>
  <c r="AA41" i="3"/>
  <c r="Z41" i="3"/>
  <c r="Y41" i="3"/>
  <c r="O41" i="3"/>
  <c r="L41" i="3"/>
  <c r="K41" i="3"/>
  <c r="J41" i="3"/>
  <c r="I41" i="3"/>
  <c r="H41" i="3"/>
  <c r="G41" i="3"/>
  <c r="F41" i="3"/>
  <c r="E41" i="3"/>
  <c r="D41" i="3"/>
  <c r="C41" i="3"/>
  <c r="D39" i="3"/>
  <c r="C39" i="3"/>
  <c r="B39" i="3"/>
  <c r="U37" i="3"/>
  <c r="R37" i="3"/>
  <c r="Q37" i="3"/>
  <c r="P37" i="3"/>
  <c r="O37" i="3"/>
  <c r="N37" i="3"/>
  <c r="M37" i="3"/>
  <c r="L37" i="3"/>
  <c r="K37" i="3"/>
  <c r="J37" i="3"/>
  <c r="I37" i="3"/>
  <c r="AB36" i="3"/>
  <c r="Y36" i="3"/>
  <c r="X36" i="3"/>
  <c r="W36" i="3"/>
  <c r="V36" i="3"/>
  <c r="U36" i="3"/>
  <c r="T36" i="3"/>
  <c r="S36" i="3"/>
  <c r="R36" i="3"/>
  <c r="Q36" i="3"/>
  <c r="P36" i="3"/>
  <c r="F36" i="3"/>
  <c r="C36" i="3"/>
  <c r="B36" i="3"/>
  <c r="U33" i="3"/>
  <c r="E33" i="3"/>
  <c r="B33" i="3"/>
  <c r="AD31" i="3"/>
  <c r="AC31" i="3"/>
  <c r="S31" i="3"/>
  <c r="P31" i="3"/>
  <c r="O31" i="3"/>
  <c r="N31" i="3"/>
  <c r="M31" i="3"/>
  <c r="L31" i="3"/>
  <c r="K31" i="3"/>
  <c r="J31" i="3"/>
  <c r="I31" i="3"/>
  <c r="H31" i="3"/>
  <c r="G31" i="3"/>
  <c r="Z30" i="3"/>
  <c r="W30" i="3"/>
  <c r="V30" i="3"/>
  <c r="U30" i="3"/>
  <c r="T30" i="3"/>
  <c r="S30" i="3"/>
  <c r="R30" i="3"/>
  <c r="Q30" i="3"/>
  <c r="P30" i="3"/>
  <c r="O30" i="3"/>
  <c r="N30" i="3"/>
  <c r="D30" i="3"/>
  <c r="AD27" i="3"/>
  <c r="AC27" i="3"/>
  <c r="AB27" i="3"/>
  <c r="AA27" i="3"/>
  <c r="Z27" i="3"/>
  <c r="Y27" i="3"/>
  <c r="X27" i="3"/>
  <c r="X41" i="3" s="1"/>
  <c r="W27" i="3"/>
  <c r="W41" i="3" s="1"/>
  <c r="V27" i="3"/>
  <c r="V41" i="3" s="1"/>
  <c r="U27" i="3"/>
  <c r="U41" i="3" s="1"/>
  <c r="T27" i="3"/>
  <c r="S27" i="3"/>
  <c r="R27" i="3"/>
  <c r="R41" i="3" s="1"/>
  <c r="Q27" i="3"/>
  <c r="Q41" i="3" s="1"/>
  <c r="P27" i="3"/>
  <c r="P41" i="3" s="1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B41" i="3" s="1"/>
  <c r="AD25" i="3"/>
  <c r="Z25" i="3"/>
  <c r="S25" i="3"/>
  <c r="D25" i="3"/>
  <c r="C25" i="3"/>
  <c r="B25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D23" i="3"/>
  <c r="AD37" i="3" s="1"/>
  <c r="AC23" i="3"/>
  <c r="AC37" i="3" s="1"/>
  <c r="AB23" i="3"/>
  <c r="AB37" i="3" s="1"/>
  <c r="AA23" i="3"/>
  <c r="AA37" i="3" s="1"/>
  <c r="Z23" i="3"/>
  <c r="Y23" i="3"/>
  <c r="X23" i="3"/>
  <c r="X37" i="3" s="1"/>
  <c r="W23" i="3"/>
  <c r="W37" i="3" s="1"/>
  <c r="V23" i="3"/>
  <c r="V37" i="3" s="1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H37" i="3" s="1"/>
  <c r="G23" i="3"/>
  <c r="G37" i="3" s="1"/>
  <c r="F23" i="3"/>
  <c r="F37" i="3" s="1"/>
  <c r="E23" i="3"/>
  <c r="E37" i="3" s="1"/>
  <c r="D23" i="3"/>
  <c r="C23" i="3"/>
  <c r="B23" i="3"/>
  <c r="B37" i="3" s="1"/>
  <c r="AD22" i="3"/>
  <c r="AD36" i="3" s="1"/>
  <c r="AC22" i="3"/>
  <c r="AC36" i="3" s="1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O36" i="3" s="1"/>
  <c r="N22" i="3"/>
  <c r="N36" i="3" s="1"/>
  <c r="M22" i="3"/>
  <c r="M36" i="3" s="1"/>
  <c r="L22" i="3"/>
  <c r="L36" i="3" s="1"/>
  <c r="K22" i="3"/>
  <c r="J22" i="3"/>
  <c r="I22" i="3"/>
  <c r="I36" i="3" s="1"/>
  <c r="H22" i="3"/>
  <c r="H36" i="3" s="1"/>
  <c r="G22" i="3"/>
  <c r="G36" i="3" s="1"/>
  <c r="F22" i="3"/>
  <c r="E22" i="3"/>
  <c r="D22" i="3"/>
  <c r="C22" i="3"/>
  <c r="B22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D19" i="3"/>
  <c r="W19" i="3"/>
  <c r="U19" i="3"/>
  <c r="T19" i="3"/>
  <c r="R19" i="3"/>
  <c r="H19" i="3"/>
  <c r="G19" i="3"/>
  <c r="F19" i="3"/>
  <c r="E19" i="3"/>
  <c r="D19" i="3"/>
  <c r="C19" i="3"/>
  <c r="B19" i="3"/>
  <c r="AC18" i="3"/>
  <c r="AD17" i="3"/>
  <c r="AC17" i="3"/>
  <c r="AB17" i="3"/>
  <c r="AB31" i="3" s="1"/>
  <c r="AA17" i="3"/>
  <c r="AA31" i="3" s="1"/>
  <c r="Z17" i="3"/>
  <c r="Z31" i="3" s="1"/>
  <c r="Y17" i="3"/>
  <c r="X17" i="3"/>
  <c r="W17" i="3"/>
  <c r="V17" i="3"/>
  <c r="U17" i="3"/>
  <c r="U31" i="3" s="1"/>
  <c r="T17" i="3"/>
  <c r="T31" i="3" s="1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F31" i="3" s="1"/>
  <c r="E17" i="3"/>
  <c r="E31" i="3" s="1"/>
  <c r="D17" i="3"/>
  <c r="D31" i="3" s="1"/>
  <c r="C17" i="3"/>
  <c r="B17" i="3"/>
  <c r="Z16" i="3"/>
  <c r="V16" i="3"/>
  <c r="S16" i="3"/>
  <c r="R16" i="3"/>
  <c r="Q16" i="3"/>
  <c r="P16" i="3"/>
  <c r="O16" i="3"/>
  <c r="N16" i="3"/>
  <c r="M16" i="3"/>
  <c r="L16" i="3"/>
  <c r="K16" i="3"/>
  <c r="J16" i="3"/>
  <c r="D16" i="3"/>
  <c r="AD13" i="3"/>
  <c r="AC13" i="3"/>
  <c r="AB13" i="3"/>
  <c r="AA13" i="3"/>
  <c r="Z13" i="3"/>
  <c r="Y13" i="3"/>
  <c r="X13" i="3"/>
  <c r="W13" i="3"/>
  <c r="V13" i="3"/>
  <c r="U13" i="3"/>
  <c r="T13" i="3"/>
  <c r="T41" i="3" s="1"/>
  <c r="S13" i="3"/>
  <c r="S41" i="3" s="1"/>
  <c r="R13" i="3"/>
  <c r="Q13" i="3"/>
  <c r="P13" i="3"/>
  <c r="O13" i="3"/>
  <c r="N13" i="3"/>
  <c r="N41" i="3" s="1"/>
  <c r="M13" i="3"/>
  <c r="M41" i="3" s="1"/>
  <c r="L13" i="3"/>
  <c r="K13" i="3"/>
  <c r="J13" i="3"/>
  <c r="I13" i="3"/>
  <c r="H13" i="3"/>
  <c r="G13" i="3"/>
  <c r="F13" i="3"/>
  <c r="E13" i="3"/>
  <c r="D13" i="3"/>
  <c r="C13" i="3"/>
  <c r="B13" i="3"/>
  <c r="D11" i="3"/>
  <c r="C11" i="3"/>
  <c r="B11" i="3"/>
  <c r="AD9" i="3"/>
  <c r="AC9" i="3"/>
  <c r="AB9" i="3"/>
  <c r="AA9" i="3"/>
  <c r="Z9" i="3"/>
  <c r="Z37" i="3" s="1"/>
  <c r="Y9" i="3"/>
  <c r="Y37" i="3" s="1"/>
  <c r="X9" i="3"/>
  <c r="W9" i="3"/>
  <c r="V9" i="3"/>
  <c r="U9" i="3"/>
  <c r="T9" i="3"/>
  <c r="T37" i="3" s="1"/>
  <c r="S9" i="3"/>
  <c r="S37" i="3" s="1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D37" i="3" s="1"/>
  <c r="C9" i="3"/>
  <c r="C37" i="3" s="1"/>
  <c r="B9" i="3"/>
  <c r="AD8" i="3"/>
  <c r="AC8" i="3"/>
  <c r="AB8" i="3"/>
  <c r="AA8" i="3"/>
  <c r="AA36" i="3" s="1"/>
  <c r="Z8" i="3"/>
  <c r="Z36" i="3" s="1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K36" i="3" s="1"/>
  <c r="J8" i="3"/>
  <c r="J36" i="3" s="1"/>
  <c r="I8" i="3"/>
  <c r="H8" i="3"/>
  <c r="G8" i="3"/>
  <c r="F8" i="3"/>
  <c r="E8" i="3"/>
  <c r="E36" i="3" s="1"/>
  <c r="D8" i="3"/>
  <c r="D36" i="3" s="1"/>
  <c r="C8" i="3"/>
  <c r="B8" i="3"/>
  <c r="U5" i="3"/>
  <c r="E5" i="3"/>
  <c r="D5" i="3"/>
  <c r="D33" i="3" s="1"/>
  <c r="C5" i="3"/>
  <c r="C33" i="3" s="1"/>
  <c r="B5" i="3"/>
  <c r="AD4" i="3"/>
  <c r="AD3" i="3"/>
  <c r="AC3" i="3"/>
  <c r="AB3" i="3"/>
  <c r="AA3" i="3"/>
  <c r="Z3" i="3"/>
  <c r="Y3" i="3"/>
  <c r="X3" i="3"/>
  <c r="W3" i="3"/>
  <c r="W31" i="3" s="1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D2" i="3"/>
  <c r="AD16" i="3" s="1"/>
  <c r="AC2" i="3"/>
  <c r="AC16" i="3" s="1"/>
  <c r="AB2" i="3"/>
  <c r="AB16" i="3" s="1"/>
  <c r="AA2" i="3"/>
  <c r="AA16" i="3" s="1"/>
  <c r="Z2" i="3"/>
  <c r="Y2" i="3"/>
  <c r="Y16" i="3" s="1"/>
  <c r="X2" i="3"/>
  <c r="X16" i="3" s="1"/>
  <c r="W2" i="3"/>
  <c r="W16" i="3" s="1"/>
  <c r="V2" i="3"/>
  <c r="U2" i="3"/>
  <c r="U16" i="3" s="1"/>
  <c r="T2" i="3"/>
  <c r="T16" i="3" s="1"/>
  <c r="S2" i="3"/>
  <c r="R2" i="3"/>
  <c r="Q2" i="3"/>
  <c r="Q44" i="3" s="1"/>
  <c r="P2" i="3"/>
  <c r="P44" i="3" s="1"/>
  <c r="O2" i="3"/>
  <c r="O44" i="3" s="1"/>
  <c r="N2" i="3"/>
  <c r="N44" i="3" s="1"/>
  <c r="M2" i="3"/>
  <c r="M30" i="3" s="1"/>
  <c r="L2" i="3"/>
  <c r="L30" i="3" s="1"/>
  <c r="K2" i="3"/>
  <c r="K30" i="3" s="1"/>
  <c r="J2" i="3"/>
  <c r="J30" i="3" s="1"/>
  <c r="I2" i="3"/>
  <c r="I16" i="3" s="1"/>
  <c r="H2" i="3"/>
  <c r="H16" i="3" s="1"/>
  <c r="G2" i="3"/>
  <c r="G16" i="3" s="1"/>
  <c r="F2" i="3"/>
  <c r="F16" i="3" s="1"/>
  <c r="E2" i="3"/>
  <c r="E16" i="3" s="1"/>
  <c r="D2" i="3"/>
  <c r="C2" i="3"/>
  <c r="C16" i="3" s="1"/>
  <c r="B2" i="3"/>
  <c r="B16" i="3" s="1"/>
  <c r="S43" i="2"/>
  <c r="R43" i="2"/>
  <c r="Q43" i="2"/>
  <c r="P43" i="2"/>
  <c r="O43" i="2"/>
  <c r="N43" i="2"/>
  <c r="M43" i="2"/>
  <c r="AD42" i="2"/>
  <c r="AC42" i="2"/>
  <c r="AB42" i="2"/>
  <c r="AA42" i="2"/>
  <c r="Z42" i="2"/>
  <c r="Y42" i="2"/>
  <c r="Y43" i="2" s="1"/>
  <c r="X42" i="2"/>
  <c r="W42" i="2"/>
  <c r="W43" i="2" s="1"/>
  <c r="V42" i="2"/>
  <c r="V43" i="2" s="1"/>
  <c r="U42" i="2"/>
  <c r="U43" i="2" s="1"/>
  <c r="T42" i="2"/>
  <c r="T43" i="2" s="1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C43" i="2" s="1"/>
  <c r="B42" i="2"/>
  <c r="AD39" i="2"/>
  <c r="AD43" i="2" s="1"/>
  <c r="AC39" i="2"/>
  <c r="AC43" i="2" s="1"/>
  <c r="AB39" i="2"/>
  <c r="AB43" i="2" s="1"/>
  <c r="AA39" i="2"/>
  <c r="AA43" i="2" s="1"/>
  <c r="Z39" i="2"/>
  <c r="Z43" i="2" s="1"/>
  <c r="Y39" i="2"/>
  <c r="X39" i="2"/>
  <c r="X43" i="2" s="1"/>
  <c r="W39" i="2"/>
  <c r="V39" i="2"/>
  <c r="U39" i="2"/>
  <c r="T39" i="2"/>
  <c r="S39" i="2"/>
  <c r="R39" i="2"/>
  <c r="Q39" i="2"/>
  <c r="P39" i="2"/>
  <c r="O39" i="2"/>
  <c r="N39" i="2"/>
  <c r="M39" i="2"/>
  <c r="L39" i="2"/>
  <c r="L43" i="2" s="1"/>
  <c r="K39" i="2"/>
  <c r="K43" i="2" s="1"/>
  <c r="J39" i="2"/>
  <c r="J43" i="2" s="1"/>
  <c r="I39" i="2"/>
  <c r="I43" i="2" s="1"/>
  <c r="H39" i="2"/>
  <c r="H43" i="2" s="1"/>
  <c r="G39" i="2"/>
  <c r="G43" i="2" s="1"/>
  <c r="F39" i="2"/>
  <c r="F43" i="2" s="1"/>
  <c r="E39" i="2"/>
  <c r="E43" i="2" s="1"/>
  <c r="D39" i="2"/>
  <c r="D43" i="2" s="1"/>
  <c r="C39" i="2"/>
  <c r="B39" i="2"/>
  <c r="B43" i="2" s="1"/>
  <c r="X35" i="2"/>
  <c r="U35" i="2"/>
  <c r="T35" i="2"/>
  <c r="S35" i="2"/>
  <c r="R35" i="2"/>
  <c r="Q35" i="2"/>
  <c r="P35" i="2"/>
  <c r="O35" i="2"/>
  <c r="N35" i="2"/>
  <c r="M35" i="2"/>
  <c r="L35" i="2"/>
  <c r="B35" i="2"/>
  <c r="AD25" i="2"/>
  <c r="AC25" i="2"/>
  <c r="AB25" i="2"/>
  <c r="AA25" i="2"/>
  <c r="Z25" i="2"/>
  <c r="Y25" i="2"/>
  <c r="X25" i="2"/>
  <c r="K25" i="2"/>
  <c r="J25" i="2"/>
  <c r="I25" i="2"/>
  <c r="H25" i="2"/>
  <c r="G25" i="2"/>
  <c r="F25" i="2"/>
  <c r="E25" i="2"/>
  <c r="D25" i="2"/>
  <c r="C25" i="2"/>
  <c r="B25" i="2"/>
  <c r="U24" i="2"/>
  <c r="R24" i="2"/>
  <c r="Q24" i="2"/>
  <c r="P24" i="2"/>
  <c r="O24" i="2"/>
  <c r="N24" i="2"/>
  <c r="M24" i="2"/>
  <c r="L24" i="2"/>
  <c r="K24" i="2"/>
  <c r="J24" i="2"/>
  <c r="I24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D19" i="2"/>
  <c r="AC19" i="2"/>
  <c r="U19" i="2"/>
  <c r="P19" i="2"/>
  <c r="N19" i="2"/>
  <c r="M19" i="2"/>
  <c r="G19" i="2"/>
  <c r="C19" i="2"/>
  <c r="C30" i="2" s="1"/>
  <c r="B19" i="2"/>
  <c r="B30" i="2" s="1"/>
  <c r="AD18" i="2"/>
  <c r="AD16" i="2"/>
  <c r="AC16" i="2"/>
  <c r="K16" i="2"/>
  <c r="G16" i="2"/>
  <c r="E16" i="2"/>
  <c r="E27" i="2" s="1"/>
  <c r="D16" i="2"/>
  <c r="C16" i="2"/>
  <c r="C27" i="2" s="1"/>
  <c r="B16" i="2"/>
  <c r="B27" i="2" s="1"/>
  <c r="AD15" i="2"/>
  <c r="AD14" i="2"/>
  <c r="AC14" i="2"/>
  <c r="AB14" i="2"/>
  <c r="AA14" i="2"/>
  <c r="Z14" i="2"/>
  <c r="Y14" i="2"/>
  <c r="X14" i="2"/>
  <c r="W14" i="2"/>
  <c r="W25" i="2" s="1"/>
  <c r="V14" i="2"/>
  <c r="V25" i="2" s="1"/>
  <c r="U14" i="2"/>
  <c r="T14" i="2"/>
  <c r="S14" i="2"/>
  <c r="R14" i="2"/>
  <c r="Q14" i="2"/>
  <c r="P14" i="2"/>
  <c r="P25" i="2" s="1"/>
  <c r="O14" i="2"/>
  <c r="N14" i="2"/>
  <c r="M14" i="2"/>
  <c r="L14" i="2"/>
  <c r="L25" i="2" s="1"/>
  <c r="K14" i="2"/>
  <c r="J14" i="2"/>
  <c r="I14" i="2"/>
  <c r="H14" i="2"/>
  <c r="G14" i="2"/>
  <c r="F14" i="2"/>
  <c r="E14" i="2"/>
  <c r="D14" i="2"/>
  <c r="C14" i="2"/>
  <c r="B14" i="2"/>
  <c r="AD13" i="2"/>
  <c r="AC13" i="2"/>
  <c r="AB13" i="2"/>
  <c r="R13" i="2"/>
  <c r="O13" i="2"/>
  <c r="N13" i="2"/>
  <c r="M13" i="2"/>
  <c r="L13" i="2"/>
  <c r="K13" i="2"/>
  <c r="J13" i="2"/>
  <c r="I13" i="2"/>
  <c r="H13" i="2"/>
  <c r="G13" i="2"/>
  <c r="F13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E8" i="2"/>
  <c r="D8" i="2"/>
  <c r="C8" i="2"/>
  <c r="B8" i="2"/>
  <c r="E5" i="2"/>
  <c r="D5" i="2"/>
  <c r="D27" i="2" s="1"/>
  <c r="C5" i="2"/>
  <c r="B5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L3" i="2"/>
  <c r="K3" i="2"/>
  <c r="J3" i="2"/>
  <c r="I3" i="2"/>
  <c r="H3" i="2"/>
  <c r="G3" i="2"/>
  <c r="F3" i="2"/>
  <c r="E3" i="2"/>
  <c r="D3" i="2"/>
  <c r="C3" i="2"/>
  <c r="B3" i="2"/>
  <c r="AD2" i="2"/>
  <c r="AD24" i="2" s="1"/>
  <c r="AC2" i="2"/>
  <c r="AC24" i="2" s="1"/>
  <c r="AB2" i="2"/>
  <c r="AB24" i="2" s="1"/>
  <c r="AA2" i="2"/>
  <c r="AA13" i="2" s="1"/>
  <c r="Z2" i="2"/>
  <c r="Z13" i="2" s="1"/>
  <c r="Y2" i="2"/>
  <c r="Y13" i="2" s="1"/>
  <c r="X2" i="2"/>
  <c r="X13" i="2" s="1"/>
  <c r="W2" i="2"/>
  <c r="W13" i="2" s="1"/>
  <c r="V2" i="2"/>
  <c r="V13" i="2" s="1"/>
  <c r="U2" i="2"/>
  <c r="U13" i="2" s="1"/>
  <c r="T2" i="2"/>
  <c r="T13" i="2" s="1"/>
  <c r="S2" i="2"/>
  <c r="S13" i="2" s="1"/>
  <c r="R2" i="2"/>
  <c r="Q2" i="2"/>
  <c r="Q13" i="2" s="1"/>
  <c r="P2" i="2"/>
  <c r="P13" i="2" s="1"/>
  <c r="O2" i="2"/>
  <c r="N2" i="2"/>
  <c r="M2" i="2"/>
  <c r="L2" i="2"/>
  <c r="K2" i="2"/>
  <c r="K35" i="2" s="1"/>
  <c r="J2" i="2"/>
  <c r="J35" i="2" s="1"/>
  <c r="I2" i="2"/>
  <c r="I35" i="2" s="1"/>
  <c r="H2" i="2"/>
  <c r="H24" i="2" s="1"/>
  <c r="G2" i="2"/>
  <c r="G24" i="2" s="1"/>
  <c r="F2" i="2"/>
  <c r="F24" i="2" s="1"/>
  <c r="E2" i="2"/>
  <c r="E13" i="2" s="1"/>
  <c r="D2" i="2"/>
  <c r="D13" i="2" s="1"/>
  <c r="C2" i="2"/>
  <c r="C13" i="2" s="1"/>
  <c r="B2" i="2"/>
  <c r="B13" i="2" s="1"/>
  <c r="AD61" i="1"/>
  <c r="AB61" i="1"/>
  <c r="H61" i="1"/>
  <c r="F61" i="1"/>
  <c r="AD60" i="1"/>
  <c r="AB60" i="1"/>
  <c r="N60" i="1"/>
  <c r="N61" i="1" s="1"/>
  <c r="M60" i="1"/>
  <c r="L60" i="1"/>
  <c r="K60" i="1"/>
  <c r="K61" i="1" s="1"/>
  <c r="J60" i="1"/>
  <c r="I60" i="1"/>
  <c r="I61" i="1" s="1"/>
  <c r="H60" i="1"/>
  <c r="F60" i="1"/>
  <c r="AC59" i="1"/>
  <c r="AC60" i="1" s="1"/>
  <c r="AB59" i="1"/>
  <c r="AA59" i="1"/>
  <c r="AA60" i="1" s="1"/>
  <c r="Z59" i="1"/>
  <c r="Z60" i="1" s="1"/>
  <c r="Y59" i="1"/>
  <c r="Y60" i="1" s="1"/>
  <c r="X59" i="1"/>
  <c r="W59" i="1"/>
  <c r="V59" i="1"/>
  <c r="U59" i="1"/>
  <c r="U60" i="1" s="1"/>
  <c r="T59" i="1"/>
  <c r="S59" i="1"/>
  <c r="R59" i="1"/>
  <c r="Q59" i="1"/>
  <c r="P59" i="1"/>
  <c r="P60" i="1" s="1"/>
  <c r="O59" i="1"/>
  <c r="N59" i="1"/>
  <c r="M59" i="1"/>
  <c r="L59" i="1"/>
  <c r="L61" i="1" s="1"/>
  <c r="K59" i="1"/>
  <c r="J59" i="1"/>
  <c r="I59" i="1"/>
  <c r="H59" i="1"/>
  <c r="G59" i="1"/>
  <c r="G60" i="1" s="1"/>
  <c r="F59" i="1"/>
  <c r="E59" i="1"/>
  <c r="E60" i="1" s="1"/>
  <c r="D59" i="1"/>
  <c r="D60" i="1" s="1"/>
  <c r="C59" i="1"/>
  <c r="C60" i="1" s="1"/>
  <c r="B59" i="1"/>
  <c r="AD56" i="1"/>
  <c r="AD62" i="1" s="1"/>
  <c r="AD63" i="1" s="1"/>
  <c r="AC56" i="1"/>
  <c r="AB56" i="1"/>
  <c r="AB62" i="1" s="1"/>
  <c r="AB63" i="1" s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N62" i="1" s="1"/>
  <c r="N63" i="1" s="1"/>
  <c r="M56" i="1"/>
  <c r="L56" i="1"/>
  <c r="K56" i="1"/>
  <c r="J56" i="1"/>
  <c r="I56" i="1"/>
  <c r="H56" i="1"/>
  <c r="H62" i="1" s="1"/>
  <c r="H63" i="1" s="1"/>
  <c r="G56" i="1"/>
  <c r="F56" i="1"/>
  <c r="F62" i="1" s="1"/>
  <c r="F63" i="1" s="1"/>
  <c r="E56" i="1"/>
  <c r="D56" i="1"/>
  <c r="C56" i="1"/>
  <c r="B56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U50" i="1"/>
  <c r="T50" i="1"/>
  <c r="S50" i="1"/>
  <c r="R50" i="1"/>
  <c r="Q50" i="1"/>
  <c r="P50" i="1"/>
  <c r="O50" i="1"/>
  <c r="N50" i="1"/>
  <c r="AA38" i="1"/>
  <c r="Z38" i="1"/>
  <c r="Z36" i="1" s="1"/>
  <c r="Y38" i="1"/>
  <c r="Y36" i="1" s="1"/>
  <c r="X38" i="1"/>
  <c r="W38" i="1"/>
  <c r="V38" i="1"/>
  <c r="U38" i="1"/>
  <c r="S38" i="1"/>
  <c r="S36" i="1" s="1"/>
  <c r="R38" i="1"/>
  <c r="R36" i="1" s="1"/>
  <c r="E38" i="1"/>
  <c r="D38" i="1"/>
  <c r="D36" i="1" s="1"/>
  <c r="AD37" i="1"/>
  <c r="AC37" i="1"/>
  <c r="AB37" i="1"/>
  <c r="AA37" i="1"/>
  <c r="Z37" i="1"/>
  <c r="Y37" i="1"/>
  <c r="L37" i="1"/>
  <c r="K37" i="1"/>
  <c r="J37" i="1"/>
  <c r="I37" i="1"/>
  <c r="H37" i="1"/>
  <c r="G37" i="1"/>
  <c r="F37" i="1"/>
  <c r="E37" i="1"/>
  <c r="D37" i="1"/>
  <c r="C37" i="1"/>
  <c r="Z35" i="1"/>
  <c r="Y35" i="1"/>
  <c r="T35" i="1"/>
  <c r="S35" i="1"/>
  <c r="R35" i="1"/>
  <c r="Q35" i="1"/>
  <c r="D35" i="1"/>
  <c r="C35" i="1"/>
  <c r="B35" i="1"/>
  <c r="AD34" i="1"/>
  <c r="AC34" i="1"/>
  <c r="AB34" i="1"/>
  <c r="AA34" i="1"/>
  <c r="Z34" i="1"/>
  <c r="Y34" i="1"/>
  <c r="X34" i="1"/>
  <c r="N34" i="1"/>
  <c r="K34" i="1"/>
  <c r="J34" i="1"/>
  <c r="I34" i="1"/>
  <c r="H34" i="1"/>
  <c r="G34" i="1"/>
  <c r="F34" i="1"/>
  <c r="E34" i="1"/>
  <c r="D34" i="1"/>
  <c r="C34" i="1"/>
  <c r="B34" i="1"/>
  <c r="X27" i="1"/>
  <c r="W27" i="1"/>
  <c r="V27" i="1"/>
  <c r="U27" i="1"/>
  <c r="T27" i="1"/>
  <c r="S27" i="1"/>
  <c r="R27" i="1"/>
  <c r="P27" i="1"/>
  <c r="N27" i="1"/>
  <c r="M27" i="1"/>
  <c r="B27" i="1"/>
  <c r="AD26" i="1"/>
  <c r="W26" i="1"/>
  <c r="U26" i="1"/>
  <c r="T26" i="1"/>
  <c r="G26" i="1"/>
  <c r="F26" i="1"/>
  <c r="C26" i="1"/>
  <c r="B26" i="1"/>
  <c r="B42" i="1" s="1"/>
  <c r="AD25" i="1"/>
  <c r="AC25" i="1"/>
  <c r="S24" i="1"/>
  <c r="AD23" i="1"/>
  <c r="AC23" i="1"/>
  <c r="AB23" i="1"/>
  <c r="U23" i="1"/>
  <c r="U24" i="1" s="1"/>
  <c r="S23" i="1"/>
  <c r="J23" i="1"/>
  <c r="I23" i="1"/>
  <c r="G23" i="1"/>
  <c r="F23" i="1"/>
  <c r="E23" i="1"/>
  <c r="E39" i="1" s="1"/>
  <c r="E40" i="1" s="1"/>
  <c r="C23" i="1"/>
  <c r="C39" i="1" s="1"/>
  <c r="B23" i="1"/>
  <c r="B39" i="1" s="1"/>
  <c r="AD22" i="1"/>
  <c r="AD38" i="1" s="1"/>
  <c r="AC22" i="1"/>
  <c r="AC20" i="1" s="1"/>
  <c r="AB22" i="1"/>
  <c r="AB20" i="1" s="1"/>
  <c r="AA22" i="1"/>
  <c r="Z22" i="1"/>
  <c r="Y22" i="1"/>
  <c r="X22" i="1"/>
  <c r="W22" i="1"/>
  <c r="V22" i="1"/>
  <c r="U22" i="1"/>
  <c r="T22" i="1"/>
  <c r="S22" i="1"/>
  <c r="R22" i="1"/>
  <c r="R20" i="1" s="1"/>
  <c r="Q22" i="1"/>
  <c r="Q38" i="1" s="1"/>
  <c r="Q36" i="1" s="1"/>
  <c r="P22" i="1"/>
  <c r="P38" i="1" s="1"/>
  <c r="O22" i="1"/>
  <c r="O38" i="1" s="1"/>
  <c r="N22" i="1"/>
  <c r="N38" i="1" s="1"/>
  <c r="N36" i="1" s="1"/>
  <c r="M22" i="1"/>
  <c r="M38" i="1" s="1"/>
  <c r="M36" i="1" s="1"/>
  <c r="L22" i="1"/>
  <c r="L38" i="1" s="1"/>
  <c r="K22" i="1"/>
  <c r="K38" i="1" s="1"/>
  <c r="J22" i="1"/>
  <c r="J20" i="1" s="1"/>
  <c r="I22" i="1"/>
  <c r="I38" i="1" s="1"/>
  <c r="H22" i="1"/>
  <c r="H38" i="1" s="1"/>
  <c r="G22" i="1"/>
  <c r="G20" i="1" s="1"/>
  <c r="F22" i="1"/>
  <c r="F20" i="1" s="1"/>
  <c r="E22" i="1"/>
  <c r="D22" i="1"/>
  <c r="C22" i="1"/>
  <c r="B22" i="1"/>
  <c r="AD21" i="1"/>
  <c r="AD24" i="1" s="1"/>
  <c r="AC21" i="1"/>
  <c r="AC24" i="1" s="1"/>
  <c r="AB21" i="1"/>
  <c r="AB24" i="1" s="1"/>
  <c r="AA21" i="1"/>
  <c r="Z21" i="1"/>
  <c r="Y21" i="1"/>
  <c r="X21" i="1"/>
  <c r="X37" i="1" s="1"/>
  <c r="W21" i="1"/>
  <c r="W37" i="1" s="1"/>
  <c r="V21" i="1"/>
  <c r="V37" i="1" s="1"/>
  <c r="U21" i="1"/>
  <c r="U37" i="1" s="1"/>
  <c r="T21" i="1"/>
  <c r="T37" i="1" s="1"/>
  <c r="S21" i="1"/>
  <c r="S37" i="1" s="1"/>
  <c r="R21" i="1"/>
  <c r="R37" i="1" s="1"/>
  <c r="Q21" i="1"/>
  <c r="Q37" i="1" s="1"/>
  <c r="P21" i="1"/>
  <c r="P37" i="1" s="1"/>
  <c r="O21" i="1"/>
  <c r="O37" i="1" s="1"/>
  <c r="N21" i="1"/>
  <c r="N37" i="1" s="1"/>
  <c r="M21" i="1"/>
  <c r="L21" i="1"/>
  <c r="K21" i="1"/>
  <c r="J21" i="1"/>
  <c r="J24" i="1" s="1"/>
  <c r="I21" i="1"/>
  <c r="I24" i="1" s="1"/>
  <c r="H21" i="1"/>
  <c r="G21" i="1"/>
  <c r="G24" i="1" s="1"/>
  <c r="F21" i="1"/>
  <c r="F24" i="1" s="1"/>
  <c r="E21" i="1"/>
  <c r="E24" i="1" s="1"/>
  <c r="D21" i="1"/>
  <c r="C21" i="1"/>
  <c r="C24" i="1" s="1"/>
  <c r="B21" i="1"/>
  <c r="B37" i="1" s="1"/>
  <c r="Z20" i="1"/>
  <c r="Y20" i="1"/>
  <c r="X20" i="1"/>
  <c r="W20" i="1"/>
  <c r="V20" i="1"/>
  <c r="U20" i="1"/>
  <c r="T20" i="1"/>
  <c r="D20" i="1"/>
  <c r="C20" i="1"/>
  <c r="B20" i="1"/>
  <c r="AD19" i="1"/>
  <c r="AD35" i="1" s="1"/>
  <c r="AC19" i="1"/>
  <c r="AC35" i="1" s="1"/>
  <c r="AB19" i="1"/>
  <c r="AA19" i="1"/>
  <c r="AA20" i="1" s="1"/>
  <c r="Z19" i="1"/>
  <c r="Y19" i="1"/>
  <c r="X19" i="1"/>
  <c r="W19" i="1"/>
  <c r="V19" i="1"/>
  <c r="U19" i="1"/>
  <c r="T19" i="1"/>
  <c r="S19" i="1"/>
  <c r="S20" i="1" s="1"/>
  <c r="R19" i="1"/>
  <c r="Q19" i="1"/>
  <c r="Q20" i="1" s="1"/>
  <c r="P19" i="1"/>
  <c r="P35" i="1" s="1"/>
  <c r="O19" i="1"/>
  <c r="O35" i="1" s="1"/>
  <c r="N19" i="1"/>
  <c r="N35" i="1" s="1"/>
  <c r="M19" i="1"/>
  <c r="M35" i="1" s="1"/>
  <c r="L19" i="1"/>
  <c r="L35" i="1" s="1"/>
  <c r="K19" i="1"/>
  <c r="K35" i="1" s="1"/>
  <c r="J19" i="1"/>
  <c r="J35" i="1" s="1"/>
  <c r="I19" i="1"/>
  <c r="I35" i="1" s="1"/>
  <c r="H19" i="1"/>
  <c r="H35" i="1" s="1"/>
  <c r="G19" i="1"/>
  <c r="G35" i="1" s="1"/>
  <c r="F19" i="1"/>
  <c r="F35" i="1" s="1"/>
  <c r="E19" i="1"/>
  <c r="E20" i="1" s="1"/>
  <c r="D19" i="1"/>
  <c r="C19" i="1"/>
  <c r="B19" i="1"/>
  <c r="U18" i="1"/>
  <c r="T18" i="1"/>
  <c r="S18" i="1"/>
  <c r="R18" i="1"/>
  <c r="Q18" i="1"/>
  <c r="P18" i="1"/>
  <c r="O18" i="1"/>
  <c r="N18" i="1"/>
  <c r="M18" i="1"/>
  <c r="L18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1" i="1"/>
  <c r="P11" i="1"/>
  <c r="O11" i="1"/>
  <c r="L11" i="1"/>
  <c r="F11" i="1"/>
  <c r="B10" i="1"/>
  <c r="X8" i="1"/>
  <c r="X13" i="1" s="1"/>
  <c r="E8" i="1"/>
  <c r="E13" i="1" s="1"/>
  <c r="D8" i="1"/>
  <c r="D13" i="1" s="1"/>
  <c r="X7" i="1"/>
  <c r="E7" i="1"/>
  <c r="D7" i="1"/>
  <c r="C7" i="1"/>
  <c r="B7" i="1"/>
  <c r="AD6" i="1"/>
  <c r="AC6" i="1"/>
  <c r="AA6" i="1"/>
  <c r="Z6" i="1"/>
  <c r="Y6" i="1"/>
  <c r="Y4" i="1" s="1"/>
  <c r="X6" i="1"/>
  <c r="W6" i="1"/>
  <c r="V6" i="1"/>
  <c r="U6" i="1"/>
  <c r="S6" i="1"/>
  <c r="S4" i="1" s="1"/>
  <c r="R6" i="1"/>
  <c r="R4" i="1" s="1"/>
  <c r="Q6" i="1"/>
  <c r="Q4" i="1" s="1"/>
  <c r="P6" i="1"/>
  <c r="P4" i="1" s="1"/>
  <c r="O6" i="1"/>
  <c r="N6" i="1"/>
  <c r="M6" i="1"/>
  <c r="L6" i="1"/>
  <c r="K6" i="1"/>
  <c r="J6" i="1"/>
  <c r="I6" i="1"/>
  <c r="H6" i="1"/>
  <c r="G6" i="1"/>
  <c r="E6" i="1"/>
  <c r="D6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D4" i="1"/>
  <c r="N4" i="1"/>
  <c r="M4" i="1"/>
  <c r="L4" i="1"/>
  <c r="K4" i="1"/>
  <c r="J4" i="1"/>
  <c r="I4" i="1"/>
  <c r="H4" i="1"/>
  <c r="AD3" i="1"/>
  <c r="AC3" i="1"/>
  <c r="AC4" i="1" s="1"/>
  <c r="AA3" i="1"/>
  <c r="AA4" i="1" s="1"/>
  <c r="Z3" i="1"/>
  <c r="Z4" i="1" s="1"/>
  <c r="Y3" i="1"/>
  <c r="T3" i="1"/>
  <c r="S3" i="1"/>
  <c r="R3" i="1"/>
  <c r="Q3" i="1"/>
  <c r="P3" i="1"/>
  <c r="O3" i="1"/>
  <c r="O4" i="1" s="1"/>
  <c r="N3" i="1"/>
  <c r="M3" i="1"/>
  <c r="L3" i="1"/>
  <c r="K3" i="1"/>
  <c r="J3" i="1"/>
  <c r="I3" i="1"/>
  <c r="H3" i="1"/>
  <c r="G3" i="1"/>
  <c r="G4" i="1" s="1"/>
  <c r="F3" i="1"/>
  <c r="E3" i="1"/>
  <c r="E4" i="1" s="1"/>
  <c r="D3" i="1"/>
  <c r="D4" i="1" s="1"/>
  <c r="C3" i="1"/>
  <c r="B3" i="1"/>
  <c r="AD2" i="1"/>
  <c r="AD18" i="1" s="1"/>
  <c r="AC2" i="1"/>
  <c r="AC18" i="1" s="1"/>
  <c r="AB2" i="1"/>
  <c r="AB18" i="1" s="1"/>
  <c r="AA2" i="1"/>
  <c r="AA18" i="1" s="1"/>
  <c r="Z2" i="1"/>
  <c r="Z50" i="1" s="1"/>
  <c r="Y2" i="1"/>
  <c r="Y18" i="1" s="1"/>
  <c r="X2" i="1"/>
  <c r="X18" i="1" s="1"/>
  <c r="W2" i="1"/>
  <c r="W34" i="1" s="1"/>
  <c r="V2" i="1"/>
  <c r="V34" i="1" s="1"/>
  <c r="U2" i="1"/>
  <c r="U34" i="1" s="1"/>
  <c r="T2" i="1"/>
  <c r="T34" i="1" s="1"/>
  <c r="S2" i="1"/>
  <c r="S34" i="1" s="1"/>
  <c r="R2" i="1"/>
  <c r="R34" i="1" s="1"/>
  <c r="Q2" i="1"/>
  <c r="Q34" i="1" s="1"/>
  <c r="P2" i="1"/>
  <c r="P34" i="1" s="1"/>
  <c r="O2" i="1"/>
  <c r="O34" i="1" s="1"/>
  <c r="N2" i="1"/>
  <c r="M2" i="1"/>
  <c r="M50" i="1" s="1"/>
  <c r="L2" i="1"/>
  <c r="L50" i="1" s="1"/>
  <c r="K2" i="1"/>
  <c r="K18" i="1" s="1"/>
  <c r="J2" i="1"/>
  <c r="J18" i="1" s="1"/>
  <c r="I2" i="1"/>
  <c r="I18" i="1" s="1"/>
  <c r="H2" i="1"/>
  <c r="H18" i="1" s="1"/>
  <c r="G2" i="1"/>
  <c r="G18" i="1" s="1"/>
  <c r="F2" i="1"/>
  <c r="F18" i="1" s="1"/>
  <c r="E2" i="1"/>
  <c r="E18" i="1" s="1"/>
  <c r="D2" i="1"/>
  <c r="D50" i="1" s="1"/>
  <c r="C2" i="1"/>
  <c r="C18" i="1" s="1"/>
  <c r="B2" i="1"/>
  <c r="B18" i="1" s="1"/>
  <c r="N105" i="4" l="1"/>
  <c r="P105" i="4"/>
  <c r="P299" i="4"/>
  <c r="B343" i="4"/>
  <c r="Q225" i="4"/>
  <c r="P217" i="4"/>
  <c r="Q304" i="4"/>
  <c r="I324" i="4"/>
  <c r="Q261" i="4"/>
  <c r="R260" i="4"/>
  <c r="P273" i="4"/>
  <c r="B344" i="4"/>
  <c r="X15" i="1"/>
  <c r="E36" i="1"/>
  <c r="N266" i="4"/>
  <c r="P266" i="4"/>
  <c r="C343" i="4"/>
  <c r="P319" i="4"/>
  <c r="G347" i="4"/>
  <c r="P96" i="4"/>
  <c r="N96" i="4"/>
  <c r="R102" i="4"/>
  <c r="R107" i="4"/>
  <c r="P109" i="4"/>
  <c r="N109" i="4"/>
  <c r="M332" i="4"/>
  <c r="F336" i="4"/>
  <c r="G61" i="1"/>
  <c r="P97" i="4"/>
  <c r="N97" i="4"/>
  <c r="G349" i="4"/>
  <c r="P280" i="4"/>
  <c r="P36" i="1"/>
  <c r="P110" i="4"/>
  <c r="P117" i="4"/>
  <c r="N117" i="4"/>
  <c r="R259" i="4"/>
  <c r="I326" i="4"/>
  <c r="R104" i="4"/>
  <c r="L329" i="4"/>
  <c r="S274" i="4"/>
  <c r="M340" i="4"/>
  <c r="Q309" i="4"/>
  <c r="R105" i="5"/>
  <c r="P98" i="4"/>
  <c r="P106" i="4"/>
  <c r="N106" i="4"/>
  <c r="S112" i="4"/>
  <c r="P114" i="4"/>
  <c r="N114" i="4"/>
  <c r="P94" i="4"/>
  <c r="Q212" i="4"/>
  <c r="S317" i="4"/>
  <c r="C326" i="5"/>
  <c r="S305" i="5"/>
  <c r="V11" i="10"/>
  <c r="V16" i="10" s="1"/>
  <c r="S312" i="4"/>
  <c r="N101" i="4"/>
  <c r="P101" i="4"/>
  <c r="C325" i="4"/>
  <c r="M326" i="4"/>
  <c r="G337" i="4"/>
  <c r="D15" i="1"/>
  <c r="G62" i="1"/>
  <c r="G63" i="1" s="1"/>
  <c r="V61" i="1"/>
  <c r="V62" i="1" s="1"/>
  <c r="V63" i="1" s="1"/>
  <c r="Q101" i="4"/>
  <c r="P116" i="4"/>
  <c r="P209" i="4"/>
  <c r="D340" i="4"/>
  <c r="R272" i="4"/>
  <c r="R296" i="4"/>
  <c r="P295" i="4"/>
  <c r="E15" i="1"/>
  <c r="H36" i="1"/>
  <c r="AD36" i="1"/>
  <c r="AA36" i="1"/>
  <c r="W61" i="1"/>
  <c r="W62" i="1" s="1"/>
  <c r="W63" i="1" s="1"/>
  <c r="Q106" i="4"/>
  <c r="P213" i="4"/>
  <c r="J15" i="1"/>
  <c r="M62" i="1"/>
  <c r="M63" i="1" s="1"/>
  <c r="J340" i="4"/>
  <c r="S298" i="4"/>
  <c r="S220" i="5"/>
  <c r="N92" i="4"/>
  <c r="P92" i="4"/>
  <c r="S261" i="4"/>
  <c r="Q223" i="4"/>
  <c r="S313" i="4"/>
  <c r="R320" i="4"/>
  <c r="Q221" i="5"/>
  <c r="M348" i="4"/>
  <c r="Q289" i="4"/>
  <c r="I336" i="4"/>
  <c r="N25" i="2"/>
  <c r="P212" i="4"/>
  <c r="I36" i="1"/>
  <c r="J62" i="1"/>
  <c r="J63" i="1" s="1"/>
  <c r="C61" i="1"/>
  <c r="C62" i="1" s="1"/>
  <c r="C63" i="1" s="1"/>
  <c r="Y61" i="1"/>
  <c r="G325" i="4"/>
  <c r="P113" i="4"/>
  <c r="P270" i="4"/>
  <c r="S281" i="4"/>
  <c r="Q209" i="4"/>
  <c r="S296" i="4"/>
  <c r="Q230" i="4"/>
  <c r="F329" i="4"/>
  <c r="Q113" i="4"/>
  <c r="Q211" i="5"/>
  <c r="O36" i="1"/>
  <c r="E325" i="4"/>
  <c r="S100" i="4"/>
  <c r="R282" i="4"/>
  <c r="S61" i="1"/>
  <c r="S62" i="1" s="1"/>
  <c r="S63" i="1" s="1"/>
  <c r="S239" i="4"/>
  <c r="R117" i="4"/>
  <c r="Q291" i="4"/>
  <c r="K36" i="1"/>
  <c r="K62" i="1"/>
  <c r="K63" i="1" s="1"/>
  <c r="D61" i="1"/>
  <c r="D62" i="1" s="1"/>
  <c r="D63" i="1" s="1"/>
  <c r="Z61" i="1"/>
  <c r="R93" i="4"/>
  <c r="R98" i="4"/>
  <c r="R106" i="4"/>
  <c r="AC61" i="1"/>
  <c r="AC62" i="1" s="1"/>
  <c r="AC63" i="1" s="1"/>
  <c r="G350" i="4"/>
  <c r="P307" i="4"/>
  <c r="B332" i="5"/>
  <c r="Y62" i="1"/>
  <c r="Y63" i="1" s="1"/>
  <c r="P284" i="4"/>
  <c r="Z62" i="1"/>
  <c r="Z63" i="1" s="1"/>
  <c r="J176" i="4"/>
  <c r="R452" i="5"/>
  <c r="I62" i="1"/>
  <c r="I63" i="1" s="1"/>
  <c r="Q256" i="4"/>
  <c r="L36" i="1"/>
  <c r="L62" i="1"/>
  <c r="L63" i="1" s="1"/>
  <c r="E61" i="1"/>
  <c r="E62" i="1" s="1"/>
  <c r="E63" i="1" s="1"/>
  <c r="AA61" i="1"/>
  <c r="AA62" i="1" s="1"/>
  <c r="AA63" i="1" s="1"/>
  <c r="I325" i="4"/>
  <c r="C331" i="4"/>
  <c r="C338" i="4"/>
  <c r="F343" i="4"/>
  <c r="L454" i="4"/>
  <c r="L280" i="4"/>
  <c r="H109" i="5"/>
  <c r="R109" i="5" s="1"/>
  <c r="G330" i="5"/>
  <c r="E341" i="4"/>
  <c r="N426" i="4"/>
  <c r="D238" i="4"/>
  <c r="D325" i="4" s="1"/>
  <c r="L262" i="4"/>
  <c r="L349" i="4" s="1"/>
  <c r="E455" i="4"/>
  <c r="Q455" i="4" s="1"/>
  <c r="Q368" i="4"/>
  <c r="F231" i="5"/>
  <c r="Q231" i="5" s="1"/>
  <c r="E284" i="5"/>
  <c r="M330" i="5"/>
  <c r="AO40" i="7"/>
  <c r="DX29" i="7"/>
  <c r="H333" i="4"/>
  <c r="EL5" i="8"/>
  <c r="N25" i="4"/>
  <c r="S65" i="4"/>
  <c r="C226" i="4"/>
  <c r="P226" i="4" s="1"/>
  <c r="K248" i="4"/>
  <c r="P17" i="5"/>
  <c r="D104" i="5"/>
  <c r="P104" i="5" s="1"/>
  <c r="O60" i="1"/>
  <c r="S114" i="4"/>
  <c r="P156" i="4"/>
  <c r="N156" i="4"/>
  <c r="K305" i="4"/>
  <c r="S69" i="4"/>
  <c r="S127" i="4"/>
  <c r="B210" i="5"/>
  <c r="P123" i="5"/>
  <c r="N123" i="5"/>
  <c r="S193" i="5"/>
  <c r="L457" i="5"/>
  <c r="L254" i="5"/>
  <c r="L341" i="5" s="1"/>
  <c r="V50" i="1"/>
  <c r="R25" i="4"/>
  <c r="J232" i="4"/>
  <c r="E271" i="4"/>
  <c r="Q271" i="4" s="1"/>
  <c r="S431" i="4"/>
  <c r="P296" i="5"/>
  <c r="N11" i="4"/>
  <c r="S49" i="4"/>
  <c r="N57" i="4"/>
  <c r="N126" i="4"/>
  <c r="N139" i="4"/>
  <c r="C263" i="4"/>
  <c r="C350" i="4" s="1"/>
  <c r="S179" i="4"/>
  <c r="G212" i="4"/>
  <c r="K220" i="4"/>
  <c r="S220" i="4" s="1"/>
  <c r="K224" i="4"/>
  <c r="S224" i="4" s="1"/>
  <c r="K228" i="4"/>
  <c r="P234" i="4"/>
  <c r="F273" i="4"/>
  <c r="F331" i="4" s="1"/>
  <c r="J277" i="4"/>
  <c r="H283" i="4"/>
  <c r="R283" i="4" s="1"/>
  <c r="J285" i="4"/>
  <c r="J289" i="4"/>
  <c r="E316" i="4"/>
  <c r="Q316" i="4" s="1"/>
  <c r="I446" i="4"/>
  <c r="R446" i="4" s="1"/>
  <c r="E451" i="4"/>
  <c r="Q451" i="4" s="1"/>
  <c r="E248" i="4"/>
  <c r="N365" i="4"/>
  <c r="R398" i="4"/>
  <c r="Q408" i="4"/>
  <c r="F466" i="4"/>
  <c r="F292" i="4"/>
  <c r="F350" i="4" s="1"/>
  <c r="J314" i="4"/>
  <c r="P432" i="4"/>
  <c r="B461" i="4"/>
  <c r="N432" i="4"/>
  <c r="B316" i="4"/>
  <c r="Q435" i="4"/>
  <c r="N435" i="4"/>
  <c r="N436" i="4"/>
  <c r="K447" i="4"/>
  <c r="C454" i="4"/>
  <c r="I98" i="5"/>
  <c r="P38" i="5"/>
  <c r="P84" i="5"/>
  <c r="P321" i="5"/>
  <c r="E256" i="5"/>
  <c r="Q140" i="5"/>
  <c r="N181" i="5"/>
  <c r="R187" i="5"/>
  <c r="E218" i="5"/>
  <c r="J260" i="5"/>
  <c r="J347" i="5" s="1"/>
  <c r="M449" i="5"/>
  <c r="M246" i="5"/>
  <c r="S370" i="5"/>
  <c r="J269" i="5"/>
  <c r="N385" i="5"/>
  <c r="D313" i="5"/>
  <c r="P429" i="5"/>
  <c r="ES6" i="6"/>
  <c r="EL25" i="6"/>
  <c r="Z28" i="6"/>
  <c r="BK40" i="6"/>
  <c r="DC40" i="6"/>
  <c r="DT10" i="7"/>
  <c r="EI10" i="7"/>
  <c r="AZ22" i="7"/>
  <c r="V203" i="9"/>
  <c r="B87" i="11"/>
  <c r="B103" i="11" s="1"/>
  <c r="B119" i="11" s="1"/>
  <c r="B274" i="11"/>
  <c r="B272" i="11"/>
  <c r="B281" i="11"/>
  <c r="B279" i="11"/>
  <c r="B270" i="11"/>
  <c r="B275" i="11"/>
  <c r="B276" i="11"/>
  <c r="B273" i="11"/>
  <c r="B278" i="11"/>
  <c r="B280" i="11"/>
  <c r="B277" i="11"/>
  <c r="B271" i="11"/>
  <c r="V18" i="1"/>
  <c r="H20" i="1"/>
  <c r="AD20" i="1"/>
  <c r="B24" i="1"/>
  <c r="L34" i="1"/>
  <c r="E35" i="1"/>
  <c r="AA35" i="1"/>
  <c r="M37" i="1"/>
  <c r="B50" i="1"/>
  <c r="X50" i="1"/>
  <c r="S60" i="1"/>
  <c r="S24" i="2"/>
  <c r="V35" i="2"/>
  <c r="B30" i="3"/>
  <c r="X30" i="3"/>
  <c r="Q31" i="3"/>
  <c r="F44" i="3"/>
  <c r="AB44" i="3"/>
  <c r="R7" i="4"/>
  <c r="S16" i="4"/>
  <c r="Q20" i="4"/>
  <c r="N24" i="4"/>
  <c r="R29" i="4"/>
  <c r="Q44" i="4"/>
  <c r="N48" i="4"/>
  <c r="Q68" i="4"/>
  <c r="N72" i="4"/>
  <c r="B115" i="4"/>
  <c r="C208" i="4"/>
  <c r="N208" i="4" s="1"/>
  <c r="Q123" i="4"/>
  <c r="H212" i="4"/>
  <c r="R212" i="4" s="1"/>
  <c r="H241" i="4"/>
  <c r="D215" i="4"/>
  <c r="Q136" i="4"/>
  <c r="H225" i="4"/>
  <c r="H254" i="4"/>
  <c r="R138" i="4"/>
  <c r="D263" i="4"/>
  <c r="D350" i="4" s="1"/>
  <c r="S150" i="4"/>
  <c r="R151" i="4"/>
  <c r="I269" i="4"/>
  <c r="S154" i="4"/>
  <c r="S163" i="4"/>
  <c r="S164" i="4"/>
  <c r="I282" i="4"/>
  <c r="I340" i="4" s="1"/>
  <c r="Q175" i="4"/>
  <c r="P180" i="4"/>
  <c r="N180" i="4"/>
  <c r="B296" i="4"/>
  <c r="N188" i="4"/>
  <c r="Q190" i="4"/>
  <c r="E306" i="4"/>
  <c r="H316" i="4"/>
  <c r="R200" i="4"/>
  <c r="H210" i="4"/>
  <c r="R210" i="4" s="1"/>
  <c r="L216" i="4"/>
  <c r="S216" i="4" s="1"/>
  <c r="L228" i="4"/>
  <c r="C243" i="4"/>
  <c r="C330" i="4" s="1"/>
  <c r="C255" i="4"/>
  <c r="C342" i="4" s="1"/>
  <c r="G257" i="4"/>
  <c r="G344" i="4" s="1"/>
  <c r="C259" i="4"/>
  <c r="E263" i="4"/>
  <c r="E269" i="4"/>
  <c r="E327" i="4" s="1"/>
  <c r="K273" i="4"/>
  <c r="K277" i="4"/>
  <c r="S277" i="4" s="1"/>
  <c r="K285" i="4"/>
  <c r="S285" i="4" s="1"/>
  <c r="K289" i="4"/>
  <c r="B304" i="4"/>
  <c r="H308" i="4"/>
  <c r="M313" i="4"/>
  <c r="F316" i="4"/>
  <c r="Q354" i="4"/>
  <c r="D445" i="4"/>
  <c r="G448" i="4"/>
  <c r="G245" i="4"/>
  <c r="G332" i="4" s="1"/>
  <c r="N361" i="4"/>
  <c r="N362" i="4"/>
  <c r="S373" i="4"/>
  <c r="N383" i="4"/>
  <c r="N384" i="4"/>
  <c r="S395" i="4"/>
  <c r="M279" i="4"/>
  <c r="D286" i="4"/>
  <c r="D344" i="4" s="1"/>
  <c r="P402" i="4"/>
  <c r="N402" i="4"/>
  <c r="M287" i="4"/>
  <c r="S287" i="4" s="1"/>
  <c r="G466" i="4"/>
  <c r="G292" i="4"/>
  <c r="I297" i="4"/>
  <c r="R413" i="4"/>
  <c r="S414" i="4"/>
  <c r="R416" i="4"/>
  <c r="Q425" i="4"/>
  <c r="J311" i="4"/>
  <c r="K314" i="4"/>
  <c r="S430" i="4"/>
  <c r="L447" i="4"/>
  <c r="D451" i="4"/>
  <c r="P9" i="5"/>
  <c r="J98" i="5"/>
  <c r="S15" i="5"/>
  <c r="B111" i="5"/>
  <c r="B117" i="5"/>
  <c r="N30" i="5"/>
  <c r="S50" i="5"/>
  <c r="N58" i="5"/>
  <c r="N89" i="5"/>
  <c r="G97" i="5"/>
  <c r="H100" i="5"/>
  <c r="G107" i="5"/>
  <c r="M113" i="5"/>
  <c r="H117" i="5"/>
  <c r="R117" i="5" s="1"/>
  <c r="Q123" i="5"/>
  <c r="E210" i="5"/>
  <c r="Q210" i="5" s="1"/>
  <c r="P127" i="5"/>
  <c r="K222" i="5"/>
  <c r="K251" i="5"/>
  <c r="N138" i="5"/>
  <c r="N141" i="5"/>
  <c r="L349" i="5"/>
  <c r="M281" i="5"/>
  <c r="P169" i="5"/>
  <c r="N169" i="5"/>
  <c r="R184" i="5"/>
  <c r="C307" i="5"/>
  <c r="F218" i="5"/>
  <c r="M223" i="5"/>
  <c r="I233" i="5"/>
  <c r="D256" i="5"/>
  <c r="F280" i="5"/>
  <c r="Q280" i="5" s="1"/>
  <c r="L285" i="5"/>
  <c r="B299" i="5"/>
  <c r="E305" i="5"/>
  <c r="G311" i="5"/>
  <c r="D317" i="5"/>
  <c r="E448" i="5"/>
  <c r="Q361" i="5"/>
  <c r="N361" i="5"/>
  <c r="E245" i="5"/>
  <c r="N362" i="5"/>
  <c r="D451" i="5"/>
  <c r="P451" i="5" s="1"/>
  <c r="P364" i="5"/>
  <c r="D248" i="5"/>
  <c r="N384" i="5"/>
  <c r="B268" i="5"/>
  <c r="S385" i="5"/>
  <c r="K269" i="5"/>
  <c r="Q429" i="5"/>
  <c r="EB4" i="6"/>
  <c r="DU4" i="6"/>
  <c r="ED31" i="6"/>
  <c r="V22" i="7"/>
  <c r="EH8" i="7"/>
  <c r="ET8" i="7"/>
  <c r="EP8" i="7"/>
  <c r="DU10" i="7"/>
  <c r="D40" i="7"/>
  <c r="DP40" i="7" s="1"/>
  <c r="Z40" i="7"/>
  <c r="AV40" i="7"/>
  <c r="BR40" i="7"/>
  <c r="CN40" i="7"/>
  <c r="DJ40" i="7"/>
  <c r="EB4" i="8"/>
  <c r="BO41" i="8"/>
  <c r="DU4" i="8"/>
  <c r="DN4" i="8"/>
  <c r="AN22" i="8"/>
  <c r="CD22" i="8"/>
  <c r="Q155" i="9"/>
  <c r="Q270" i="9"/>
  <c r="R60" i="10"/>
  <c r="AQ48" i="10"/>
  <c r="B333" i="4"/>
  <c r="P246" i="4"/>
  <c r="J268" i="4"/>
  <c r="L331" i="5"/>
  <c r="L292" i="5"/>
  <c r="S408" i="5"/>
  <c r="EO34" i="6"/>
  <c r="ES34" i="6" s="1"/>
  <c r="EM4" i="7"/>
  <c r="CS22" i="8"/>
  <c r="N145" i="4"/>
  <c r="B261" i="4"/>
  <c r="N369" i="4"/>
  <c r="M454" i="4"/>
  <c r="M280" i="4"/>
  <c r="M338" i="4" s="1"/>
  <c r="P419" i="4"/>
  <c r="N419" i="4"/>
  <c r="C317" i="4"/>
  <c r="N317" i="4" s="1"/>
  <c r="P154" i="5"/>
  <c r="J335" i="5"/>
  <c r="P320" i="5"/>
  <c r="P445" i="5"/>
  <c r="BC22" i="6"/>
  <c r="EL7" i="6"/>
  <c r="BX28" i="8"/>
  <c r="ED23" i="8"/>
  <c r="F337" i="4"/>
  <c r="L274" i="4"/>
  <c r="K94" i="5"/>
  <c r="S94" i="5" s="1"/>
  <c r="S7" i="5"/>
  <c r="N40" i="5"/>
  <c r="H112" i="5"/>
  <c r="R112" i="5" s="1"/>
  <c r="C212" i="5"/>
  <c r="DV22" i="6"/>
  <c r="CI40" i="6"/>
  <c r="DU5" i="8"/>
  <c r="AE320" i="9"/>
  <c r="AE331" i="9" s="1"/>
  <c r="AE314" i="9"/>
  <c r="AE40" i="9" s="1"/>
  <c r="L112" i="4"/>
  <c r="N127" i="4"/>
  <c r="N137" i="4"/>
  <c r="D301" i="4"/>
  <c r="G284" i="5"/>
  <c r="P388" i="5"/>
  <c r="D272" i="5"/>
  <c r="N411" i="5"/>
  <c r="B295" i="5"/>
  <c r="P411" i="5"/>
  <c r="B440" i="5"/>
  <c r="EH32" i="6"/>
  <c r="ED35" i="7"/>
  <c r="AF215" i="9"/>
  <c r="AF216" i="9"/>
  <c r="AF217" i="9" s="1"/>
  <c r="F238" i="4"/>
  <c r="F325" i="4" s="1"/>
  <c r="C457" i="4"/>
  <c r="C254" i="4"/>
  <c r="S407" i="4"/>
  <c r="P275" i="5"/>
  <c r="B222" i="5"/>
  <c r="D277" i="5"/>
  <c r="P393" i="5"/>
  <c r="DO30" i="6"/>
  <c r="EI32" i="6"/>
  <c r="DW5" i="8"/>
  <c r="R189" i="4"/>
  <c r="C210" i="4"/>
  <c r="K343" i="4"/>
  <c r="B448" i="4"/>
  <c r="M209" i="5"/>
  <c r="M238" i="5"/>
  <c r="N190" i="5"/>
  <c r="EC21" i="8"/>
  <c r="S8" i="4"/>
  <c r="L252" i="4"/>
  <c r="L339" i="4" s="1"/>
  <c r="Q17" i="5"/>
  <c r="E104" i="5"/>
  <c r="Q104" i="5" s="1"/>
  <c r="L34" i="9"/>
  <c r="R58" i="4"/>
  <c r="N77" i="4"/>
  <c r="M252" i="4"/>
  <c r="M339" i="4" s="1"/>
  <c r="H299" i="4"/>
  <c r="F219" i="5"/>
  <c r="Q132" i="5"/>
  <c r="S147" i="5"/>
  <c r="J462" i="5"/>
  <c r="J259" i="5"/>
  <c r="J346" i="5" s="1"/>
  <c r="O22" i="6"/>
  <c r="EA7" i="6"/>
  <c r="DQ14" i="6"/>
  <c r="EP5" i="8"/>
  <c r="ET5" i="8" s="1"/>
  <c r="AE60" i="9"/>
  <c r="AE10" i="9" s="1"/>
  <c r="AE11" i="9" s="1"/>
  <c r="AE16" i="9" s="1"/>
  <c r="AE15" i="9" s="1"/>
  <c r="J61" i="1"/>
  <c r="B215" i="4"/>
  <c r="P128" i="4"/>
  <c r="N128" i="4"/>
  <c r="M226" i="4"/>
  <c r="M255" i="4"/>
  <c r="I281" i="4"/>
  <c r="R281" i="4" s="1"/>
  <c r="B445" i="4"/>
  <c r="S387" i="4"/>
  <c r="S85" i="5"/>
  <c r="K317" i="5"/>
  <c r="H319" i="5"/>
  <c r="R319" i="5" s="1"/>
  <c r="R435" i="5"/>
  <c r="EO4" i="6"/>
  <c r="B22" i="6"/>
  <c r="DN8" i="6"/>
  <c r="EN14" i="6"/>
  <c r="Q7" i="4"/>
  <c r="N35" i="4"/>
  <c r="C215" i="4"/>
  <c r="G225" i="4"/>
  <c r="G254" i="4"/>
  <c r="H297" i="4"/>
  <c r="R297" i="4" s="1"/>
  <c r="R181" i="4"/>
  <c r="N193" i="4"/>
  <c r="B309" i="4"/>
  <c r="N201" i="4"/>
  <c r="I222" i="4"/>
  <c r="R222" i="4" s="1"/>
  <c r="K226" i="4"/>
  <c r="M325" i="4"/>
  <c r="B247" i="4"/>
  <c r="B251" i="4"/>
  <c r="B255" i="4"/>
  <c r="B259" i="4"/>
  <c r="B263" i="4"/>
  <c r="C445" i="4"/>
  <c r="M449" i="4"/>
  <c r="J260" i="4"/>
  <c r="P388" i="4"/>
  <c r="N388" i="4"/>
  <c r="B272" i="4"/>
  <c r="N391" i="4"/>
  <c r="P391" i="4"/>
  <c r="P464" i="4"/>
  <c r="H101" i="5"/>
  <c r="R14" i="5"/>
  <c r="N39" i="5"/>
  <c r="P57" i="5"/>
  <c r="F224" i="5"/>
  <c r="M228" i="5"/>
  <c r="M257" i="5"/>
  <c r="M344" i="5" s="1"/>
  <c r="B232" i="5"/>
  <c r="P145" i="5"/>
  <c r="N145" i="5"/>
  <c r="S168" i="5"/>
  <c r="L223" i="5"/>
  <c r="M240" i="5"/>
  <c r="H274" i="5"/>
  <c r="M241" i="5"/>
  <c r="C248" i="5"/>
  <c r="C451" i="5"/>
  <c r="R367" i="5"/>
  <c r="I251" i="5"/>
  <c r="I338" i="5" s="1"/>
  <c r="I454" i="5"/>
  <c r="J308" i="5"/>
  <c r="EA4" i="6"/>
  <c r="S40" i="6"/>
  <c r="DU39" i="6"/>
  <c r="EP10" i="7"/>
  <c r="Y314" i="11"/>
  <c r="Y39" i="11"/>
  <c r="T7" i="1"/>
  <c r="W18" i="1"/>
  <c r="I20" i="1"/>
  <c r="M34" i="1"/>
  <c r="G38" i="1"/>
  <c r="AC38" i="1"/>
  <c r="P43" i="1"/>
  <c r="C50" i="1"/>
  <c r="Y50" i="1"/>
  <c r="T60" i="1"/>
  <c r="M61" i="1"/>
  <c r="T24" i="2"/>
  <c r="M25" i="2"/>
  <c r="W35" i="2"/>
  <c r="C30" i="3"/>
  <c r="Y30" i="3"/>
  <c r="R31" i="3"/>
  <c r="G44" i="3"/>
  <c r="AC44" i="3"/>
  <c r="S7" i="4"/>
  <c r="Q11" i="4"/>
  <c r="N15" i="4"/>
  <c r="R20" i="4"/>
  <c r="P24" i="4"/>
  <c r="S29" i="4"/>
  <c r="Q35" i="4"/>
  <c r="N39" i="4"/>
  <c r="N63" i="4"/>
  <c r="R68" i="4"/>
  <c r="Q81" i="4"/>
  <c r="N85" i="4"/>
  <c r="R123" i="4"/>
  <c r="I212" i="4"/>
  <c r="Q128" i="4"/>
  <c r="E244" i="4"/>
  <c r="N129" i="4"/>
  <c r="L222" i="4"/>
  <c r="S222" i="4" s="1"/>
  <c r="R136" i="4"/>
  <c r="I225" i="4"/>
  <c r="Q139" i="4"/>
  <c r="F257" i="4"/>
  <c r="F344" i="4" s="1"/>
  <c r="N142" i="4"/>
  <c r="I147" i="4" s="1"/>
  <c r="J269" i="4"/>
  <c r="L279" i="4"/>
  <c r="P165" i="4"/>
  <c r="N165" i="4"/>
  <c r="J282" i="4"/>
  <c r="P170" i="4"/>
  <c r="N173" i="4"/>
  <c r="F291" i="4"/>
  <c r="C296" i="4"/>
  <c r="J297" i="4"/>
  <c r="N185" i="4"/>
  <c r="R187" i="4"/>
  <c r="P188" i="4"/>
  <c r="F306" i="4"/>
  <c r="N191" i="4"/>
  <c r="B315" i="4"/>
  <c r="Q201" i="4"/>
  <c r="R204" i="4"/>
  <c r="I208" i="4"/>
  <c r="M216" i="4"/>
  <c r="M222" i="4"/>
  <c r="M228" i="4"/>
  <c r="R244" i="4"/>
  <c r="D247" i="4"/>
  <c r="D334" i="4" s="1"/>
  <c r="D251" i="4"/>
  <c r="D338" i="4" s="1"/>
  <c r="D255" i="4"/>
  <c r="D342" i="4" s="1"/>
  <c r="D259" i="4"/>
  <c r="H261" i="4"/>
  <c r="H267" i="4"/>
  <c r="R267" i="4" s="1"/>
  <c r="H269" i="4"/>
  <c r="H271" i="4"/>
  <c r="R271" i="4" s="1"/>
  <c r="H275" i="4"/>
  <c r="L283" i="4"/>
  <c r="L443" i="4"/>
  <c r="H448" i="4"/>
  <c r="E454" i="4"/>
  <c r="Q367" i="4"/>
  <c r="J457" i="4"/>
  <c r="R457" i="4" s="1"/>
  <c r="J254" i="4"/>
  <c r="J341" i="4" s="1"/>
  <c r="F462" i="4"/>
  <c r="Q383" i="4"/>
  <c r="S384" i="4"/>
  <c r="D272" i="4"/>
  <c r="D330" i="4" s="1"/>
  <c r="R395" i="4"/>
  <c r="Q405" i="4"/>
  <c r="N406" i="4"/>
  <c r="N415" i="4"/>
  <c r="N423" i="4"/>
  <c r="K311" i="4"/>
  <c r="S311" i="4" s="1"/>
  <c r="S427" i="4"/>
  <c r="P429" i="4"/>
  <c r="N429" i="4"/>
  <c r="B313" i="4"/>
  <c r="L314" i="4"/>
  <c r="Q436" i="4"/>
  <c r="E441" i="4"/>
  <c r="Q441" i="4" s="1"/>
  <c r="H454" i="4"/>
  <c r="R454" i="4" s="1"/>
  <c r="F95" i="5"/>
  <c r="S98" i="5"/>
  <c r="J101" i="5"/>
  <c r="B103" i="5"/>
  <c r="N103" i="5" s="1"/>
  <c r="N16" i="5"/>
  <c r="Q106" i="5"/>
  <c r="C111" i="5"/>
  <c r="M115" i="5"/>
  <c r="K118" i="5"/>
  <c r="S118" i="5" s="1"/>
  <c r="S31" i="5"/>
  <c r="Q38" i="5"/>
  <c r="F270" i="5"/>
  <c r="Q270" i="5" s="1"/>
  <c r="R44" i="5"/>
  <c r="J102" i="5"/>
  <c r="P51" i="5"/>
  <c r="N51" i="5"/>
  <c r="S52" i="5"/>
  <c r="P58" i="5"/>
  <c r="R60" i="5"/>
  <c r="P75" i="5"/>
  <c r="N75" i="5"/>
  <c r="N78" i="5"/>
  <c r="H97" i="5"/>
  <c r="G110" i="5"/>
  <c r="R124" i="5"/>
  <c r="L222" i="5"/>
  <c r="L251" i="5"/>
  <c r="H230" i="5"/>
  <c r="R230" i="5" s="1"/>
  <c r="R143" i="5"/>
  <c r="M262" i="5"/>
  <c r="M349" i="5" s="1"/>
  <c r="S146" i="5"/>
  <c r="M233" i="5"/>
  <c r="E219" i="5"/>
  <c r="Q161" i="5"/>
  <c r="P164" i="5"/>
  <c r="G283" i="5"/>
  <c r="H214" i="5"/>
  <c r="G218" i="5"/>
  <c r="R261" i="5"/>
  <c r="H317" i="5"/>
  <c r="R317" i="5" s="1"/>
  <c r="B242" i="5"/>
  <c r="P358" i="5"/>
  <c r="N358" i="5"/>
  <c r="F448" i="5"/>
  <c r="F245" i="5"/>
  <c r="F332" i="5" s="1"/>
  <c r="E451" i="5"/>
  <c r="E248" i="5"/>
  <c r="Q364" i="5"/>
  <c r="S454" i="5"/>
  <c r="F253" i="5"/>
  <c r="F456" i="5"/>
  <c r="E464" i="5"/>
  <c r="E261" i="5"/>
  <c r="Q377" i="5"/>
  <c r="L303" i="5"/>
  <c r="S303" i="5" s="1"/>
  <c r="D310" i="5"/>
  <c r="P426" i="5"/>
  <c r="N427" i="5"/>
  <c r="S430" i="5"/>
  <c r="K319" i="5"/>
  <c r="S319" i="5" s="1"/>
  <c r="S435" i="5"/>
  <c r="J442" i="5"/>
  <c r="EC4" i="6"/>
  <c r="DV30" i="6"/>
  <c r="EG30" i="6"/>
  <c r="N22" i="7"/>
  <c r="DZ7" i="7"/>
  <c r="AJ22" i="7"/>
  <c r="DS7" i="7"/>
  <c r="CX22" i="7"/>
  <c r="CX41" i="7"/>
  <c r="EI8" i="7"/>
  <c r="W22" i="7"/>
  <c r="AS22" i="7"/>
  <c r="AV28" i="7"/>
  <c r="BU40" i="7"/>
  <c r="EP32" i="7"/>
  <c r="ET32" i="7" s="1"/>
  <c r="DW14" i="8"/>
  <c r="B40" i="8"/>
  <c r="DN29" i="8"/>
  <c r="EJ29" i="8"/>
  <c r="AT40" i="8"/>
  <c r="EC29" i="8"/>
  <c r="X40" i="8"/>
  <c r="X193" i="9"/>
  <c r="X187" i="9"/>
  <c r="X27" i="9" s="1"/>
  <c r="X203" i="9"/>
  <c r="S18" i="10"/>
  <c r="I76" i="10"/>
  <c r="I13" i="10" s="1"/>
  <c r="I10" i="1" s="1"/>
  <c r="L24" i="13"/>
  <c r="D113" i="5"/>
  <c r="P26" i="5"/>
  <c r="EK24" i="6"/>
  <c r="Y28" i="6"/>
  <c r="DR9" i="7"/>
  <c r="F22" i="7"/>
  <c r="BA28" i="8"/>
  <c r="BA41" i="8" s="1"/>
  <c r="EJ23" i="8"/>
  <c r="E243" i="5"/>
  <c r="E214" i="5"/>
  <c r="Q214" i="5" s="1"/>
  <c r="DQ32" i="8"/>
  <c r="H248" i="4"/>
  <c r="N128" i="5"/>
  <c r="E281" i="5"/>
  <c r="Q165" i="5"/>
  <c r="L330" i="5"/>
  <c r="R308" i="5"/>
  <c r="BM40" i="6"/>
  <c r="EI12" i="7"/>
  <c r="DO14" i="7"/>
  <c r="DR32" i="8"/>
  <c r="N45" i="4"/>
  <c r="P181" i="4"/>
  <c r="N181" i="4"/>
  <c r="I252" i="4"/>
  <c r="D289" i="4"/>
  <c r="K444" i="4"/>
  <c r="S357" i="4"/>
  <c r="K241" i="4"/>
  <c r="R422" i="4"/>
  <c r="H306" i="4"/>
  <c r="Q466" i="4"/>
  <c r="N192" i="5"/>
  <c r="B308" i="5"/>
  <c r="E317" i="5"/>
  <c r="Q201" i="5"/>
  <c r="G262" i="5"/>
  <c r="G465" i="5"/>
  <c r="EG5" i="7"/>
  <c r="ES15" i="7"/>
  <c r="Y266" i="9"/>
  <c r="Y282" i="9" s="1"/>
  <c r="Y270" i="9"/>
  <c r="L347" i="4"/>
  <c r="E299" i="4"/>
  <c r="Q299" i="4" s="1"/>
  <c r="G273" i="4"/>
  <c r="B300" i="4"/>
  <c r="P416" i="4"/>
  <c r="N416" i="4"/>
  <c r="H217" i="5"/>
  <c r="H246" i="5"/>
  <c r="R130" i="5"/>
  <c r="F233" i="5"/>
  <c r="Q233" i="5" s="1"/>
  <c r="Q146" i="5"/>
  <c r="I249" i="5"/>
  <c r="N394" i="5"/>
  <c r="EH5" i="7"/>
  <c r="AP40" i="7"/>
  <c r="DY40" i="7" s="1"/>
  <c r="DY29" i="7"/>
  <c r="S17" i="4"/>
  <c r="S87" i="4"/>
  <c r="B283" i="4"/>
  <c r="M456" i="4"/>
  <c r="H346" i="5"/>
  <c r="EL36" i="6"/>
  <c r="EG6" i="8"/>
  <c r="S30" i="4"/>
  <c r="N40" i="4"/>
  <c r="N86" i="4"/>
  <c r="Q166" i="4"/>
  <c r="E282" i="4"/>
  <c r="L240" i="4"/>
  <c r="B451" i="4"/>
  <c r="P364" i="4"/>
  <c r="N364" i="4"/>
  <c r="B248" i="4"/>
  <c r="P394" i="4"/>
  <c r="N394" i="4"/>
  <c r="B452" i="4"/>
  <c r="B278" i="4"/>
  <c r="K295" i="4"/>
  <c r="Q413" i="4"/>
  <c r="E297" i="4"/>
  <c r="Q297" i="4" s="1"/>
  <c r="S42" i="5"/>
  <c r="K100" i="5"/>
  <c r="S100" i="5" s="1"/>
  <c r="S125" i="5"/>
  <c r="R193" i="5"/>
  <c r="N218" i="5"/>
  <c r="I462" i="5"/>
  <c r="R462" i="5" s="1"/>
  <c r="I259" i="5"/>
  <c r="I346" i="5" s="1"/>
  <c r="CZ40" i="6"/>
  <c r="F266" i="9"/>
  <c r="F270" i="9"/>
  <c r="E218" i="4"/>
  <c r="Q218" i="4" s="1"/>
  <c r="N398" i="4"/>
  <c r="H450" i="4"/>
  <c r="R450" i="4" s="1"/>
  <c r="H116" i="5"/>
  <c r="R116" i="5" s="1"/>
  <c r="F311" i="5"/>
  <c r="EM14" i="6"/>
  <c r="M213" i="4"/>
  <c r="M242" i="4"/>
  <c r="R371" i="4"/>
  <c r="R31" i="5"/>
  <c r="H118" i="5"/>
  <c r="R118" i="5" s="1"/>
  <c r="E107" i="5"/>
  <c r="Q107" i="5" s="1"/>
  <c r="L249" i="5"/>
  <c r="EJ10" i="6"/>
  <c r="EO16" i="7"/>
  <c r="Q53" i="4"/>
  <c r="N28" i="4"/>
  <c r="P63" i="4"/>
  <c r="Q72" i="4"/>
  <c r="J212" i="4"/>
  <c r="R191" i="4"/>
  <c r="E239" i="4"/>
  <c r="M269" i="4"/>
  <c r="M327" i="4" s="1"/>
  <c r="K279" i="4"/>
  <c r="C456" i="4"/>
  <c r="P456" i="4" s="1"/>
  <c r="C253" i="4"/>
  <c r="C340" i="4" s="1"/>
  <c r="E272" i="4"/>
  <c r="Q272" i="4" s="1"/>
  <c r="Q388" i="4"/>
  <c r="J451" i="4"/>
  <c r="M208" i="5"/>
  <c r="M237" i="5"/>
  <c r="M324" i="5" s="1"/>
  <c r="H218" i="5"/>
  <c r="R218" i="5" s="1"/>
  <c r="I348" i="5"/>
  <c r="G448" i="5"/>
  <c r="G245" i="5"/>
  <c r="G332" i="5" s="1"/>
  <c r="C263" i="5"/>
  <c r="C350" i="5" s="1"/>
  <c r="N379" i="5"/>
  <c r="Q423" i="5"/>
  <c r="E307" i="5"/>
  <c r="Y203" i="9"/>
  <c r="K20" i="1"/>
  <c r="E50" i="1"/>
  <c r="AA50" i="1"/>
  <c r="V60" i="1"/>
  <c r="V24" i="2"/>
  <c r="O25" i="2"/>
  <c r="C35" i="2"/>
  <c r="Y35" i="2"/>
  <c r="E30" i="3"/>
  <c r="AA30" i="3"/>
  <c r="I44" i="3"/>
  <c r="P6" i="4"/>
  <c r="S11" i="4"/>
  <c r="Q15" i="4"/>
  <c r="N19" i="4"/>
  <c r="S35" i="4"/>
  <c r="N43" i="4"/>
  <c r="R48" i="4"/>
  <c r="P52" i="4"/>
  <c r="Q63" i="4"/>
  <c r="N67" i="4"/>
  <c r="R72" i="4"/>
  <c r="P76" i="4"/>
  <c r="S81" i="4"/>
  <c r="B93" i="4"/>
  <c r="G94" i="4"/>
  <c r="Q94" i="4" s="1"/>
  <c r="L95" i="4"/>
  <c r="E98" i="4"/>
  <c r="Q98" i="4" s="1"/>
  <c r="J99" i="4"/>
  <c r="R99" i="4" s="1"/>
  <c r="P100" i="4"/>
  <c r="C102" i="4"/>
  <c r="H103" i="4"/>
  <c r="R103" i="4" s="1"/>
  <c r="M104" i="4"/>
  <c r="S104" i="4" s="1"/>
  <c r="F107" i="4"/>
  <c r="Q107" i="4" s="1"/>
  <c r="K108" i="4"/>
  <c r="F237" i="4"/>
  <c r="F324" i="4" s="1"/>
  <c r="M209" i="4"/>
  <c r="S209" i="4" s="1"/>
  <c r="N124" i="4"/>
  <c r="K212" i="4"/>
  <c r="S212" i="4" s="1"/>
  <c r="S125" i="4"/>
  <c r="B243" i="4"/>
  <c r="S129" i="4"/>
  <c r="G221" i="4"/>
  <c r="N135" i="4"/>
  <c r="B224" i="4"/>
  <c r="P137" i="4"/>
  <c r="B253" i="4"/>
  <c r="K254" i="4"/>
  <c r="S138" i="4"/>
  <c r="P145" i="4"/>
  <c r="N150" i="4"/>
  <c r="P160" i="4"/>
  <c r="G278" i="4"/>
  <c r="Q278" i="4" s="1"/>
  <c r="N163" i="4"/>
  <c r="D281" i="4"/>
  <c r="P281" i="4" s="1"/>
  <c r="S166" i="4"/>
  <c r="Q173" i="4"/>
  <c r="R175" i="4"/>
  <c r="K316" i="4"/>
  <c r="H319" i="4"/>
  <c r="R203" i="4"/>
  <c r="P208" i="4"/>
  <c r="K210" i="4"/>
  <c r="B223" i="4"/>
  <c r="B227" i="4"/>
  <c r="B231" i="4"/>
  <c r="B237" i="4"/>
  <c r="F239" i="4"/>
  <c r="B241" i="4"/>
  <c r="F243" i="4"/>
  <c r="D245" i="4"/>
  <c r="D332" i="4" s="1"/>
  <c r="F247" i="4"/>
  <c r="F251" i="4"/>
  <c r="F338" i="4" s="1"/>
  <c r="F255" i="4"/>
  <c r="J257" i="4"/>
  <c r="J344" i="4" s="1"/>
  <c r="J261" i="4"/>
  <c r="N273" i="4"/>
  <c r="E300" i="4"/>
  <c r="Q300" i="4" s="1"/>
  <c r="K308" i="4"/>
  <c r="S308" i="4" s="1"/>
  <c r="D442" i="4"/>
  <c r="D239" i="4"/>
  <c r="D326" i="4" s="1"/>
  <c r="P355" i="4"/>
  <c r="N356" i="4"/>
  <c r="S359" i="4"/>
  <c r="M446" i="4"/>
  <c r="M243" i="4"/>
  <c r="M330" i="4" s="1"/>
  <c r="S370" i="4"/>
  <c r="L254" i="4"/>
  <c r="L341" i="4" s="1"/>
  <c r="R376" i="4"/>
  <c r="I465" i="4"/>
  <c r="I262" i="4"/>
  <c r="R379" i="4"/>
  <c r="L444" i="4"/>
  <c r="L270" i="4"/>
  <c r="S270" i="4" s="1"/>
  <c r="R389" i="4"/>
  <c r="Q399" i="4"/>
  <c r="E283" i="4"/>
  <c r="Q283" i="4" s="1"/>
  <c r="P407" i="4"/>
  <c r="B465" i="4"/>
  <c r="N407" i="4"/>
  <c r="B291" i="4"/>
  <c r="D296" i="4"/>
  <c r="D313" i="4"/>
  <c r="S433" i="4"/>
  <c r="R435" i="4"/>
  <c r="H441" i="4"/>
  <c r="R441" i="4" s="1"/>
  <c r="K451" i="4"/>
  <c r="B458" i="4"/>
  <c r="H92" i="5"/>
  <c r="R6" i="5"/>
  <c r="M98" i="5"/>
  <c r="B100" i="5"/>
  <c r="N13" i="5"/>
  <c r="N20" i="5"/>
  <c r="Q27" i="5"/>
  <c r="E114" i="5"/>
  <c r="Q114" i="5" s="1"/>
  <c r="Q117" i="5"/>
  <c r="Q70" i="5"/>
  <c r="E94" i="5"/>
  <c r="M107" i="5"/>
  <c r="S117" i="5"/>
  <c r="H326" i="5"/>
  <c r="N125" i="5"/>
  <c r="C229" i="5"/>
  <c r="C258" i="5"/>
  <c r="C345" i="5" s="1"/>
  <c r="P176" i="5"/>
  <c r="S181" i="5"/>
  <c r="Q188" i="5"/>
  <c r="E304" i="5"/>
  <c r="J214" i="5"/>
  <c r="B224" i="5"/>
  <c r="I246" i="5"/>
  <c r="I333" i="5" s="1"/>
  <c r="C251" i="5"/>
  <c r="S256" i="5"/>
  <c r="E312" i="5"/>
  <c r="Q312" i="5" s="1"/>
  <c r="H448" i="5"/>
  <c r="R448" i="5" s="1"/>
  <c r="H245" i="5"/>
  <c r="R361" i="5"/>
  <c r="R362" i="5"/>
  <c r="G248" i="5"/>
  <c r="G335" i="5" s="1"/>
  <c r="G451" i="5"/>
  <c r="P366" i="5"/>
  <c r="N366" i="5"/>
  <c r="D250" i="5"/>
  <c r="D453" i="5"/>
  <c r="P453" i="5" s="1"/>
  <c r="R375" i="5"/>
  <c r="I287" i="5"/>
  <c r="H290" i="5"/>
  <c r="R406" i="5"/>
  <c r="H464" i="5"/>
  <c r="R464" i="5" s="1"/>
  <c r="H305" i="5"/>
  <c r="R305" i="5" s="1"/>
  <c r="R421" i="5"/>
  <c r="N424" i="5"/>
  <c r="F310" i="5"/>
  <c r="K457" i="5"/>
  <c r="EB5" i="6"/>
  <c r="EN6" i="6"/>
  <c r="DH22" i="6"/>
  <c r="ES17" i="6"/>
  <c r="ET19" i="6"/>
  <c r="DT25" i="6"/>
  <c r="H28" i="6"/>
  <c r="DP27" i="6"/>
  <c r="EL27" i="6"/>
  <c r="EM12" i="8"/>
  <c r="AW40" i="8"/>
  <c r="AA200" i="9"/>
  <c r="AA187" i="9"/>
  <c r="Z191" i="9"/>
  <c r="Z203" i="9" s="1"/>
  <c r="U18" i="10"/>
  <c r="U15" i="10"/>
  <c r="AC76" i="10"/>
  <c r="B238" i="4"/>
  <c r="F252" i="4"/>
  <c r="C461" i="4"/>
  <c r="C287" i="4"/>
  <c r="P287" i="4" s="1"/>
  <c r="E274" i="5"/>
  <c r="Q42" i="5"/>
  <c r="F460" i="5"/>
  <c r="F257" i="5"/>
  <c r="DO24" i="6"/>
  <c r="C28" i="6"/>
  <c r="EF4" i="7"/>
  <c r="K268" i="4"/>
  <c r="S268" i="4" s="1"/>
  <c r="D455" i="4"/>
  <c r="P455" i="4" s="1"/>
  <c r="P368" i="4"/>
  <c r="N368" i="4"/>
  <c r="B276" i="4"/>
  <c r="P392" i="4"/>
  <c r="S434" i="4"/>
  <c r="K318" i="4"/>
  <c r="G260" i="5"/>
  <c r="G231" i="5"/>
  <c r="N166" i="5"/>
  <c r="L273" i="5"/>
  <c r="L447" i="5"/>
  <c r="EL5" i="6"/>
  <c r="H252" i="4"/>
  <c r="S396" i="4"/>
  <c r="S136" i="5"/>
  <c r="K252" i="5"/>
  <c r="M318" i="5"/>
  <c r="S318" i="5" s="1"/>
  <c r="F465" i="5"/>
  <c r="F262" i="5"/>
  <c r="N21" i="4"/>
  <c r="E333" i="4"/>
  <c r="Q333" i="4" s="1"/>
  <c r="Q246" i="4"/>
  <c r="S309" i="5"/>
  <c r="K315" i="5"/>
  <c r="K286" i="5"/>
  <c r="S286" i="5" s="1"/>
  <c r="S402" i="5"/>
  <c r="H111" i="4"/>
  <c r="R111" i="4" s="1"/>
  <c r="J248" i="4"/>
  <c r="G346" i="5"/>
  <c r="S155" i="4"/>
  <c r="C214" i="4"/>
  <c r="G228" i="4"/>
  <c r="K240" i="4"/>
  <c r="K252" i="4"/>
  <c r="B279" i="4"/>
  <c r="B337" i="4" s="1"/>
  <c r="F295" i="4"/>
  <c r="Q295" i="4" s="1"/>
  <c r="E321" i="4"/>
  <c r="Q321" i="4" s="1"/>
  <c r="R434" i="4"/>
  <c r="P106" i="5"/>
  <c r="S78" i="4"/>
  <c r="K213" i="4"/>
  <c r="S213" i="4" s="1"/>
  <c r="S126" i="4"/>
  <c r="S174" i="4"/>
  <c r="B216" i="4"/>
  <c r="J246" i="4"/>
  <c r="R246" i="4" s="1"/>
  <c r="N174" i="5"/>
  <c r="R12" i="4"/>
  <c r="R266" i="4"/>
  <c r="N161" i="4"/>
  <c r="Q222" i="4"/>
  <c r="M248" i="4"/>
  <c r="M335" i="4" s="1"/>
  <c r="H289" i="4"/>
  <c r="R18" i="5"/>
  <c r="N126" i="5"/>
  <c r="B213" i="5"/>
  <c r="P213" i="5" s="1"/>
  <c r="K228" i="5"/>
  <c r="S228" i="5" s="1"/>
  <c r="S141" i="5"/>
  <c r="K257" i="5"/>
  <c r="M244" i="5"/>
  <c r="R304" i="5"/>
  <c r="BJ22" i="6"/>
  <c r="BJ41" i="6" s="1"/>
  <c r="DP7" i="6"/>
  <c r="EE33" i="7"/>
  <c r="M210" i="4"/>
  <c r="I277" i="4"/>
  <c r="M297" i="4"/>
  <c r="S297" i="4" s="1"/>
  <c r="S466" i="4"/>
  <c r="G297" i="4"/>
  <c r="S113" i="5"/>
  <c r="B451" i="5"/>
  <c r="N364" i="5"/>
  <c r="B248" i="5"/>
  <c r="AT41" i="6"/>
  <c r="EC8" i="6"/>
  <c r="R16" i="4"/>
  <c r="R11" i="4"/>
  <c r="E111" i="4"/>
  <c r="Q111" i="4" s="1"/>
  <c r="M232" i="4"/>
  <c r="S232" i="4" s="1"/>
  <c r="N160" i="4"/>
  <c r="I288" i="4"/>
  <c r="I346" i="4" s="1"/>
  <c r="L218" i="4"/>
  <c r="S218" i="4" s="1"/>
  <c r="E247" i="4"/>
  <c r="J308" i="4"/>
  <c r="S124" i="5"/>
  <c r="E232" i="5"/>
  <c r="Q232" i="5" s="1"/>
  <c r="Q145" i="5"/>
  <c r="H316" i="5"/>
  <c r="R316" i="5" s="1"/>
  <c r="R200" i="5"/>
  <c r="R280" i="5"/>
  <c r="R416" i="5"/>
  <c r="H300" i="5"/>
  <c r="R300" i="5" s="1"/>
  <c r="P427" i="5"/>
  <c r="L452" i="5"/>
  <c r="EM6" i="6"/>
  <c r="D18" i="1"/>
  <c r="Z18" i="1"/>
  <c r="L20" i="1"/>
  <c r="J38" i="1"/>
  <c r="F50" i="1"/>
  <c r="AB50" i="1"/>
  <c r="W60" i="1"/>
  <c r="P61" i="1"/>
  <c r="P62" i="1" s="1"/>
  <c r="P63" i="1" s="1"/>
  <c r="W24" i="2"/>
  <c r="D35" i="2"/>
  <c r="Z35" i="2"/>
  <c r="F30" i="3"/>
  <c r="AB30" i="3"/>
  <c r="J44" i="3"/>
  <c r="Q6" i="4"/>
  <c r="N10" i="4"/>
  <c r="R15" i="4"/>
  <c r="P19" i="4"/>
  <c r="S24" i="4"/>
  <c r="N34" i="4"/>
  <c r="P43" i="4"/>
  <c r="N56" i="4"/>
  <c r="L60" i="4"/>
  <c r="R63" i="4"/>
  <c r="P67" i="4"/>
  <c r="S72" i="4"/>
  <c r="N80" i="4"/>
  <c r="C93" i="4"/>
  <c r="H94" i="4"/>
  <c r="R94" i="4" s="1"/>
  <c r="M95" i="4"/>
  <c r="K99" i="4"/>
  <c r="S99" i="4" s="1"/>
  <c r="I103" i="4"/>
  <c r="G107" i="4"/>
  <c r="L108" i="4"/>
  <c r="N122" i="4"/>
  <c r="C211" i="4"/>
  <c r="C240" i="4"/>
  <c r="C327" i="4" s="1"/>
  <c r="L241" i="4"/>
  <c r="L328" i="4" s="1"/>
  <c r="R128" i="4"/>
  <c r="I218" i="4"/>
  <c r="R218" i="4" s="1"/>
  <c r="Q132" i="4"/>
  <c r="P135" i="4"/>
  <c r="C224" i="4"/>
  <c r="C230" i="4"/>
  <c r="Q145" i="4"/>
  <c r="H234" i="4"/>
  <c r="H263" i="4"/>
  <c r="P150" i="4"/>
  <c r="D274" i="4"/>
  <c r="N158" i="4"/>
  <c r="R162" i="4"/>
  <c r="Q165" i="4"/>
  <c r="D287" i="4"/>
  <c r="S172" i="4"/>
  <c r="S187" i="4"/>
  <c r="I306" i="4"/>
  <c r="I335" i="4" s="1"/>
  <c r="Q199" i="4"/>
  <c r="L316" i="4"/>
  <c r="P202" i="4"/>
  <c r="N202" i="4"/>
  <c r="C219" i="4"/>
  <c r="C223" i="4"/>
  <c r="C227" i="4"/>
  <c r="C231" i="4"/>
  <c r="G233" i="4"/>
  <c r="C237" i="4"/>
  <c r="C324" i="4" s="1"/>
  <c r="G239" i="4"/>
  <c r="G326" i="4" s="1"/>
  <c r="E241" i="4"/>
  <c r="G243" i="4"/>
  <c r="E245" i="4"/>
  <c r="G247" i="4"/>
  <c r="G334" i="4" s="1"/>
  <c r="G251" i="4"/>
  <c r="K253" i="4"/>
  <c r="I255" i="4"/>
  <c r="I342" i="4" s="1"/>
  <c r="K257" i="4"/>
  <c r="M271" i="4"/>
  <c r="S271" i="4" s="1"/>
  <c r="B288" i="4"/>
  <c r="B292" i="4"/>
  <c r="F296" i="4"/>
  <c r="B298" i="4"/>
  <c r="I311" i="4"/>
  <c r="R311" i="4" s="1"/>
  <c r="E442" i="4"/>
  <c r="Q355" i="4"/>
  <c r="R358" i="4"/>
  <c r="H242" i="4"/>
  <c r="N359" i="4"/>
  <c r="K245" i="4"/>
  <c r="K448" i="4"/>
  <c r="S361" i="4"/>
  <c r="F459" i="4"/>
  <c r="J465" i="4"/>
  <c r="F283" i="4"/>
  <c r="F341" i="4" s="1"/>
  <c r="R402" i="4"/>
  <c r="H286" i="4"/>
  <c r="H344" i="4" s="1"/>
  <c r="R405" i="4"/>
  <c r="H463" i="4"/>
  <c r="E296" i="4"/>
  <c r="P420" i="4"/>
  <c r="N420" i="4"/>
  <c r="E310" i="4"/>
  <c r="Q310" i="4" s="1"/>
  <c r="Q426" i="4"/>
  <c r="N427" i="4"/>
  <c r="E313" i="4"/>
  <c r="Q429" i="4"/>
  <c r="P434" i="4"/>
  <c r="N434" i="4"/>
  <c r="B318" i="4"/>
  <c r="B347" i="4" s="1"/>
  <c r="J319" i="4"/>
  <c r="M451" i="4"/>
  <c r="H455" i="4"/>
  <c r="R455" i="4" s="1"/>
  <c r="D458" i="4"/>
  <c r="I92" i="5"/>
  <c r="D97" i="5"/>
  <c r="P97" i="5" s="1"/>
  <c r="P10" i="5"/>
  <c r="N10" i="5"/>
  <c r="N11" i="5"/>
  <c r="C100" i="5"/>
  <c r="P40" i="5"/>
  <c r="R46" i="5"/>
  <c r="N52" i="5"/>
  <c r="P54" i="5"/>
  <c r="P72" i="5"/>
  <c r="N72" i="5"/>
  <c r="Q76" i="5"/>
  <c r="H104" i="5"/>
  <c r="R104" i="5" s="1"/>
  <c r="R123" i="5"/>
  <c r="I239" i="5"/>
  <c r="S216" i="5"/>
  <c r="M219" i="5"/>
  <c r="S219" i="5" s="1"/>
  <c r="S135" i="5"/>
  <c r="K224" i="5"/>
  <c r="S137" i="5"/>
  <c r="G348" i="5"/>
  <c r="F274" i="5"/>
  <c r="Q158" i="5"/>
  <c r="B298" i="5"/>
  <c r="P298" i="5" s="1"/>
  <c r="N182" i="5"/>
  <c r="K299" i="5"/>
  <c r="Q185" i="5"/>
  <c r="N185" i="5"/>
  <c r="N186" i="5"/>
  <c r="N189" i="5"/>
  <c r="C315" i="5"/>
  <c r="N315" i="5" s="1"/>
  <c r="N199" i="5"/>
  <c r="H209" i="5"/>
  <c r="K214" i="5"/>
  <c r="S214" i="5" s="1"/>
  <c r="I219" i="5"/>
  <c r="M229" i="5"/>
  <c r="S229" i="5" s="1"/>
  <c r="J246" i="5"/>
  <c r="J333" i="5" s="1"/>
  <c r="F251" i="5"/>
  <c r="D287" i="5"/>
  <c r="P287" i="5" s="1"/>
  <c r="D292" i="5"/>
  <c r="P292" i="5" s="1"/>
  <c r="H443" i="5"/>
  <c r="R356" i="5"/>
  <c r="H240" i="5"/>
  <c r="N356" i="5"/>
  <c r="I448" i="5"/>
  <c r="I245" i="5"/>
  <c r="L256" i="5"/>
  <c r="G461" i="5"/>
  <c r="G258" i="5"/>
  <c r="Q374" i="5"/>
  <c r="J287" i="5"/>
  <c r="I290" i="5"/>
  <c r="P428" i="5"/>
  <c r="B312" i="5"/>
  <c r="N428" i="5"/>
  <c r="M316" i="5"/>
  <c r="S316" i="5" s="1"/>
  <c r="J448" i="5"/>
  <c r="BD41" i="6"/>
  <c r="DT4" i="6"/>
  <c r="EC5" i="6"/>
  <c r="DS6" i="6"/>
  <c r="EO6" i="6"/>
  <c r="DI22" i="6"/>
  <c r="EH17" i="6"/>
  <c r="EC24" i="6"/>
  <c r="DU25" i="6"/>
  <c r="I28" i="6"/>
  <c r="EM27" i="6"/>
  <c r="AA28" i="6"/>
  <c r="DN6" i="7"/>
  <c r="EN29" i="7"/>
  <c r="DZ26" i="8"/>
  <c r="DN34" i="8"/>
  <c r="EJ34" i="8"/>
  <c r="AX40" i="8"/>
  <c r="R242" i="10"/>
  <c r="R99" i="10"/>
  <c r="R108" i="10" s="1"/>
  <c r="R23" i="10" s="1"/>
  <c r="I243" i="10"/>
  <c r="F347" i="4"/>
  <c r="P112" i="5"/>
  <c r="D246" i="5"/>
  <c r="D217" i="5"/>
  <c r="P130" i="5"/>
  <c r="L272" i="5"/>
  <c r="S272" i="5" s="1"/>
  <c r="CV41" i="7"/>
  <c r="DY4" i="7"/>
  <c r="I22" i="8"/>
  <c r="DU7" i="8"/>
  <c r="Q102" i="5"/>
  <c r="P238" i="5"/>
  <c r="D41" i="6"/>
  <c r="DP5" i="6"/>
  <c r="DV9" i="8"/>
  <c r="N30" i="4"/>
  <c r="G116" i="4"/>
  <c r="N116" i="4" s="1"/>
  <c r="B219" i="4"/>
  <c r="P132" i="4"/>
  <c r="N132" i="4"/>
  <c r="C460" i="4"/>
  <c r="C257" i="4"/>
  <c r="C344" i="4" s="1"/>
  <c r="E273" i="4"/>
  <c r="N389" i="4"/>
  <c r="D317" i="4"/>
  <c r="C324" i="5"/>
  <c r="P227" i="5"/>
  <c r="Q259" i="5"/>
  <c r="N375" i="5"/>
  <c r="E462" i="5"/>
  <c r="E41" i="6"/>
  <c r="DE40" i="6"/>
  <c r="EK14" i="7"/>
  <c r="DQ34" i="7"/>
  <c r="EN32" i="8"/>
  <c r="G111" i="4"/>
  <c r="N143" i="4"/>
  <c r="I244" i="4"/>
  <c r="I331" i="4" s="1"/>
  <c r="M258" i="4"/>
  <c r="P198" i="5"/>
  <c r="N198" i="5"/>
  <c r="H457" i="5"/>
  <c r="H254" i="5"/>
  <c r="R370" i="5"/>
  <c r="DN12" i="7"/>
  <c r="DV5" i="8"/>
  <c r="F115" i="4"/>
  <c r="N130" i="4"/>
  <c r="H113" i="5"/>
  <c r="R113" i="5" s="1"/>
  <c r="R26" i="5"/>
  <c r="N59" i="5"/>
  <c r="E267" i="5"/>
  <c r="Q267" i="5" s="1"/>
  <c r="Q151" i="5"/>
  <c r="H249" i="5"/>
  <c r="R365" i="5"/>
  <c r="I457" i="5"/>
  <c r="I254" i="5"/>
  <c r="R414" i="5"/>
  <c r="H298" i="5"/>
  <c r="H216" i="4"/>
  <c r="R129" i="4"/>
  <c r="K337" i="4"/>
  <c r="H270" i="5"/>
  <c r="R154" i="5"/>
  <c r="P192" i="5"/>
  <c r="S54" i="4"/>
  <c r="S140" i="4"/>
  <c r="H232" i="4"/>
  <c r="Q254" i="4"/>
  <c r="K452" i="4"/>
  <c r="S452" i="4" s="1"/>
  <c r="S365" i="4"/>
  <c r="D450" i="4"/>
  <c r="R36" i="5"/>
  <c r="H94" i="5"/>
  <c r="R94" i="5" s="1"/>
  <c r="EB29" i="6"/>
  <c r="P40" i="6"/>
  <c r="EB40" i="6" s="1"/>
  <c r="CJ40" i="7"/>
  <c r="S271" i="9"/>
  <c r="S266" i="9"/>
  <c r="S282" i="9" s="1"/>
  <c r="N29" i="4"/>
  <c r="L31" i="4" s="1"/>
  <c r="C212" i="4"/>
  <c r="E324" i="4"/>
  <c r="Q237" i="4"/>
  <c r="H460" i="4"/>
  <c r="R460" i="4" s="1"/>
  <c r="R373" i="4"/>
  <c r="K110" i="5"/>
  <c r="S110" i="5" s="1"/>
  <c r="S23" i="5"/>
  <c r="K268" i="5"/>
  <c r="S268" i="5" s="1"/>
  <c r="K452" i="5"/>
  <c r="S452" i="5" s="1"/>
  <c r="K249" i="5"/>
  <c r="S365" i="5"/>
  <c r="DP31" i="6"/>
  <c r="BJ40" i="6"/>
  <c r="Q60" i="1"/>
  <c r="Q61" i="1" s="1"/>
  <c r="Q62" i="1" s="1"/>
  <c r="Q63" i="1" s="1"/>
  <c r="F212" i="4"/>
  <c r="N212" i="4" s="1"/>
  <c r="N136" i="4"/>
  <c r="F214" i="4"/>
  <c r="L325" i="4"/>
  <c r="E279" i="4"/>
  <c r="Q279" i="4" s="1"/>
  <c r="L449" i="4"/>
  <c r="S449" i="4" s="1"/>
  <c r="L246" i="4"/>
  <c r="B454" i="4"/>
  <c r="G101" i="5"/>
  <c r="Q101" i="5" s="1"/>
  <c r="G246" i="5"/>
  <c r="R170" i="5"/>
  <c r="H286" i="5"/>
  <c r="R286" i="5" s="1"/>
  <c r="L268" i="5"/>
  <c r="AF60" i="10"/>
  <c r="AF10" i="10" s="1"/>
  <c r="S25" i="4"/>
  <c r="H115" i="4"/>
  <c r="R115" i="4" s="1"/>
  <c r="P129" i="4"/>
  <c r="R142" i="4"/>
  <c r="I275" i="4"/>
  <c r="C245" i="4"/>
  <c r="C332" i="4" s="1"/>
  <c r="I448" i="4"/>
  <c r="I245" i="4"/>
  <c r="I332" i="4" s="1"/>
  <c r="Q389" i="4"/>
  <c r="F286" i="4"/>
  <c r="P30" i="5"/>
  <c r="D117" i="5"/>
  <c r="P117" i="5" s="1"/>
  <c r="P70" i="5"/>
  <c r="N70" i="5"/>
  <c r="N201" i="5"/>
  <c r="J343" i="5"/>
  <c r="P312" i="5"/>
  <c r="Q457" i="5"/>
  <c r="EO25" i="6"/>
  <c r="ES25" i="6" s="1"/>
  <c r="AU40" i="8"/>
  <c r="AU41" i="8" s="1"/>
  <c r="ED29" i="8"/>
  <c r="M20" i="1"/>
  <c r="G50" i="1"/>
  <c r="AC50" i="1"/>
  <c r="B60" i="1"/>
  <c r="X60" i="1"/>
  <c r="B24" i="2"/>
  <c r="X24" i="2"/>
  <c r="Q25" i="2"/>
  <c r="E35" i="2"/>
  <c r="AA35" i="2"/>
  <c r="G30" i="3"/>
  <c r="AC30" i="3"/>
  <c r="V31" i="3"/>
  <c r="K44" i="3"/>
  <c r="R6" i="4"/>
  <c r="P10" i="4"/>
  <c r="S15" i="4"/>
  <c r="Q19" i="4"/>
  <c r="N23" i="4"/>
  <c r="B112" i="4"/>
  <c r="G113" i="4"/>
  <c r="L114" i="4"/>
  <c r="E117" i="4"/>
  <c r="Q117" i="4" s="1"/>
  <c r="P34" i="4"/>
  <c r="Q43" i="4"/>
  <c r="N47" i="4"/>
  <c r="R52" i="4"/>
  <c r="N71" i="4"/>
  <c r="P80" i="4"/>
  <c r="I94" i="4"/>
  <c r="K115" i="4"/>
  <c r="S115" i="4" s="1"/>
  <c r="H208" i="4"/>
  <c r="R208" i="4" s="1"/>
  <c r="P122" i="4"/>
  <c r="D211" i="4"/>
  <c r="M241" i="4"/>
  <c r="M328" i="4" s="1"/>
  <c r="R132" i="4"/>
  <c r="I221" i="4"/>
  <c r="I250" i="4"/>
  <c r="I337" i="4" s="1"/>
  <c r="D224" i="4"/>
  <c r="M254" i="4"/>
  <c r="K260" i="4"/>
  <c r="R145" i="4"/>
  <c r="Q152" i="4"/>
  <c r="E268" i="4"/>
  <c r="N153" i="4"/>
  <c r="N166" i="4"/>
  <c r="J291" i="4"/>
  <c r="J349" i="4" s="1"/>
  <c r="L303" i="4"/>
  <c r="S303" i="4" s="1"/>
  <c r="P189" i="4"/>
  <c r="N189" i="4"/>
  <c r="P194" i="4"/>
  <c r="H312" i="4"/>
  <c r="R312" i="4" s="1"/>
  <c r="N197" i="4"/>
  <c r="C318" i="4"/>
  <c r="B225" i="4"/>
  <c r="H233" i="4"/>
  <c r="R233" i="4" s="1"/>
  <c r="D237" i="4"/>
  <c r="D324" i="4" s="1"/>
  <c r="F241" i="4"/>
  <c r="H243" i="4"/>
  <c r="H245" i="4"/>
  <c r="H247" i="4"/>
  <c r="L249" i="4"/>
  <c r="S249" i="4" s="1"/>
  <c r="H251" i="4"/>
  <c r="J255" i="4"/>
  <c r="R255" i="4" s="1"/>
  <c r="L257" i="4"/>
  <c r="L344" i="4" s="1"/>
  <c r="L259" i="4"/>
  <c r="L346" i="4" s="1"/>
  <c r="C288" i="4"/>
  <c r="G304" i="4"/>
  <c r="E317" i="4"/>
  <c r="Q317" i="4" s="1"/>
  <c r="M440" i="4"/>
  <c r="M237" i="4"/>
  <c r="M324" i="4" s="1"/>
  <c r="F442" i="4"/>
  <c r="I242" i="4"/>
  <c r="B447" i="4"/>
  <c r="P360" i="4"/>
  <c r="N360" i="4"/>
  <c r="B244" i="4"/>
  <c r="L448" i="4"/>
  <c r="L245" i="4"/>
  <c r="D453" i="4"/>
  <c r="D250" i="4"/>
  <c r="D337" i="4" s="1"/>
  <c r="R367" i="4"/>
  <c r="I251" i="4"/>
  <c r="G459" i="4"/>
  <c r="K465" i="4"/>
  <c r="S378" i="4"/>
  <c r="N382" i="4"/>
  <c r="B440" i="4"/>
  <c r="R388" i="4"/>
  <c r="C451" i="4"/>
  <c r="C277" i="4"/>
  <c r="C335" i="4" s="1"/>
  <c r="Q396" i="4"/>
  <c r="Q400" i="4"/>
  <c r="I286" i="4"/>
  <c r="S403" i="4"/>
  <c r="S408" i="4"/>
  <c r="N413" i="4"/>
  <c r="F310" i="4"/>
  <c r="E445" i="4"/>
  <c r="Q445" i="4" s="1"/>
  <c r="E458" i="4"/>
  <c r="Q458" i="4" s="1"/>
  <c r="N7" i="5"/>
  <c r="E97" i="5"/>
  <c r="Q97" i="5" s="1"/>
  <c r="Q10" i="5"/>
  <c r="S14" i="5"/>
  <c r="Q16" i="5"/>
  <c r="I106" i="5"/>
  <c r="R106" i="5" s="1"/>
  <c r="M112" i="5"/>
  <c r="G114" i="5"/>
  <c r="Q54" i="5"/>
  <c r="E112" i="5"/>
  <c r="Q112" i="5" s="1"/>
  <c r="N68" i="5"/>
  <c r="P79" i="5"/>
  <c r="Q86" i="5"/>
  <c r="N86" i="5"/>
  <c r="S121" i="5"/>
  <c r="J239" i="5"/>
  <c r="J326" i="5" s="1"/>
  <c r="J210" i="5"/>
  <c r="Q131" i="5"/>
  <c r="B223" i="5"/>
  <c r="B252" i="5"/>
  <c r="N136" i="5"/>
  <c r="N139" i="5"/>
  <c r="B226" i="5"/>
  <c r="P152" i="5"/>
  <c r="D210" i="5"/>
  <c r="P210" i="5" s="1"/>
  <c r="N152" i="5"/>
  <c r="P155" i="5"/>
  <c r="D271" i="5"/>
  <c r="G274" i="5"/>
  <c r="S159" i="5"/>
  <c r="S162" i="5"/>
  <c r="R164" i="5"/>
  <c r="R288" i="5"/>
  <c r="Q173" i="5"/>
  <c r="S180" i="5"/>
  <c r="P186" i="5"/>
  <c r="D315" i="5"/>
  <c r="P202" i="5"/>
  <c r="D318" i="5"/>
  <c r="L214" i="5"/>
  <c r="R224" i="5"/>
  <c r="B234" i="5"/>
  <c r="P234" i="5" s="1"/>
  <c r="G251" i="5"/>
  <c r="G338" i="5" s="1"/>
  <c r="H312" i="5"/>
  <c r="I443" i="5"/>
  <c r="I240" i="5"/>
  <c r="N363" i="5"/>
  <c r="B247" i="5"/>
  <c r="P247" i="5" s="1"/>
  <c r="P363" i="5"/>
  <c r="B450" i="5"/>
  <c r="P450" i="5" s="1"/>
  <c r="G458" i="5"/>
  <c r="Q458" i="5" s="1"/>
  <c r="N390" i="5"/>
  <c r="K287" i="5"/>
  <c r="S287" i="5" s="1"/>
  <c r="S403" i="5"/>
  <c r="N405" i="5"/>
  <c r="B289" i="5"/>
  <c r="B463" i="5"/>
  <c r="N463" i="5" s="1"/>
  <c r="S419" i="5"/>
  <c r="R426" i="5"/>
  <c r="Q431" i="5"/>
  <c r="N431" i="5"/>
  <c r="ES15" i="6"/>
  <c r="EA16" i="6"/>
  <c r="ES16" i="6"/>
  <c r="C22" i="6"/>
  <c r="J22" i="7"/>
  <c r="EG4" i="8"/>
  <c r="EO4" i="8"/>
  <c r="D341" i="4"/>
  <c r="G335" i="4"/>
  <c r="P165" i="5"/>
  <c r="N165" i="5"/>
  <c r="EH34" i="6"/>
  <c r="R256" i="4"/>
  <c r="H260" i="5"/>
  <c r="R144" i="5"/>
  <c r="H231" i="5"/>
  <c r="R231" i="5" s="1"/>
  <c r="S199" i="4"/>
  <c r="D443" i="4"/>
  <c r="D240" i="4"/>
  <c r="P400" i="4"/>
  <c r="N400" i="4"/>
  <c r="B104" i="5"/>
  <c r="N17" i="5"/>
  <c r="CG40" i="7"/>
  <c r="EM29" i="7"/>
  <c r="B210" i="4"/>
  <c r="J252" i="4"/>
  <c r="J339" i="4" s="1"/>
  <c r="Q373" i="4"/>
  <c r="E257" i="4"/>
  <c r="E460" i="4"/>
  <c r="N73" i="4"/>
  <c r="K244" i="4"/>
  <c r="J452" i="4"/>
  <c r="J249" i="4"/>
  <c r="R279" i="4"/>
  <c r="E277" i="5"/>
  <c r="Q277" i="5" s="1"/>
  <c r="Q393" i="5"/>
  <c r="EG29" i="7"/>
  <c r="K301" i="4"/>
  <c r="S301" i="4" s="1"/>
  <c r="B228" i="4"/>
  <c r="P141" i="4"/>
  <c r="N141" i="4"/>
  <c r="R182" i="4"/>
  <c r="M244" i="4"/>
  <c r="D275" i="4"/>
  <c r="L305" i="4"/>
  <c r="E447" i="4"/>
  <c r="M231" i="5"/>
  <c r="M260" i="5"/>
  <c r="AF22" i="7"/>
  <c r="AF41" i="7" s="1"/>
  <c r="DO7" i="7"/>
  <c r="R49" i="4"/>
  <c r="C228" i="4"/>
  <c r="J228" i="4"/>
  <c r="R228" i="4" s="1"/>
  <c r="L240" i="5"/>
  <c r="C313" i="5"/>
  <c r="C458" i="5"/>
  <c r="R60" i="1"/>
  <c r="R61" i="1" s="1"/>
  <c r="R62" i="1" s="1"/>
  <c r="R63" i="1" s="1"/>
  <c r="G316" i="4"/>
  <c r="G345" i="4" s="1"/>
  <c r="Q24" i="4"/>
  <c r="S68" i="4"/>
  <c r="N171" i="4"/>
  <c r="M273" i="4"/>
  <c r="P403" i="4"/>
  <c r="F221" i="5"/>
  <c r="Q134" i="5"/>
  <c r="E440" i="5"/>
  <c r="Q440" i="5" s="1"/>
  <c r="N353" i="5"/>
  <c r="N434" i="5"/>
  <c r="B318" i="5"/>
  <c r="EK29" i="8"/>
  <c r="Y40" i="8"/>
  <c r="AG351" i="20"/>
  <c r="N20" i="1"/>
  <c r="H50" i="1"/>
  <c r="AD50" i="1"/>
  <c r="C24" i="2"/>
  <c r="Y24" i="2"/>
  <c r="R25" i="2"/>
  <c r="F35" i="2"/>
  <c r="AB35" i="2"/>
  <c r="H30" i="3"/>
  <c r="AD30" i="3"/>
  <c r="L44" i="3"/>
  <c r="Q10" i="4"/>
  <c r="N14" i="4"/>
  <c r="R19" i="4"/>
  <c r="P23" i="4"/>
  <c r="R113" i="4"/>
  <c r="S28" i="4"/>
  <c r="Q34" i="4"/>
  <c r="N38" i="4"/>
  <c r="Q56" i="4"/>
  <c r="N84" i="4"/>
  <c r="J89" i="4" s="1"/>
  <c r="L115" i="4"/>
  <c r="Q122" i="4"/>
  <c r="E211" i="4"/>
  <c r="Q124" i="4"/>
  <c r="D217" i="4"/>
  <c r="K247" i="4"/>
  <c r="J221" i="4"/>
  <c r="J250" i="4"/>
  <c r="J337" i="4" s="1"/>
  <c r="E224" i="4"/>
  <c r="Q224" i="4" s="1"/>
  <c r="Q137" i="4"/>
  <c r="E253" i="4"/>
  <c r="N138" i="4"/>
  <c r="Q143" i="4"/>
  <c r="E259" i="4"/>
  <c r="R150" i="4"/>
  <c r="F268" i="4"/>
  <c r="J278" i="4"/>
  <c r="R278" i="4" s="1"/>
  <c r="M288" i="4"/>
  <c r="P174" i="4"/>
  <c r="N174" i="4"/>
  <c r="B290" i="4"/>
  <c r="K291" i="4"/>
  <c r="S291" i="4" s="1"/>
  <c r="I299" i="4"/>
  <c r="N184" i="4"/>
  <c r="M303" i="4"/>
  <c r="C305" i="4"/>
  <c r="C334" i="4" s="1"/>
  <c r="K306" i="4"/>
  <c r="S306" i="4" s="1"/>
  <c r="D308" i="4"/>
  <c r="B311" i="4"/>
  <c r="I312" i="4"/>
  <c r="I341" i="4" s="1"/>
  <c r="N200" i="4"/>
  <c r="D318" i="4"/>
  <c r="S203" i="4"/>
  <c r="K319" i="4"/>
  <c r="S319" i="4" s="1"/>
  <c r="E215" i="4"/>
  <c r="Q215" i="4" s="1"/>
  <c r="E227" i="4"/>
  <c r="Q227" i="4" s="1"/>
  <c r="I229" i="4"/>
  <c r="R229" i="4" s="1"/>
  <c r="E231" i="4"/>
  <c r="Q231" i="4" s="1"/>
  <c r="G237" i="4"/>
  <c r="I243" i="4"/>
  <c r="I330" i="4" s="1"/>
  <c r="I247" i="4"/>
  <c r="I334" i="4" s="1"/>
  <c r="K251" i="4"/>
  <c r="K255" i="4"/>
  <c r="B282" i="4"/>
  <c r="H290" i="4"/>
  <c r="R290" i="4" s="1"/>
  <c r="L306" i="4"/>
  <c r="G442" i="4"/>
  <c r="C447" i="4"/>
  <c r="L451" i="4"/>
  <c r="E250" i="4"/>
  <c r="J251" i="4"/>
  <c r="J338" i="4" s="1"/>
  <c r="G253" i="4"/>
  <c r="K462" i="4"/>
  <c r="S462" i="4" s="1"/>
  <c r="K259" i="4"/>
  <c r="N377" i="4"/>
  <c r="C261" i="4"/>
  <c r="C348" i="4" s="1"/>
  <c r="L465" i="4"/>
  <c r="F454" i="4"/>
  <c r="P404" i="4"/>
  <c r="N404" i="4"/>
  <c r="L302" i="4"/>
  <c r="H458" i="4"/>
  <c r="R458" i="4" s="1"/>
  <c r="H465" i="4"/>
  <c r="K92" i="5"/>
  <c r="N102" i="5"/>
  <c r="H111" i="5"/>
  <c r="R111" i="5" s="1"/>
  <c r="R24" i="5"/>
  <c r="N25" i="5"/>
  <c r="H114" i="5"/>
  <c r="R114" i="5" s="1"/>
  <c r="R27" i="5"/>
  <c r="S28" i="5"/>
  <c r="S38" i="5"/>
  <c r="N45" i="5"/>
  <c r="R70" i="5"/>
  <c r="S76" i="5"/>
  <c r="S89" i="5"/>
  <c r="C105" i="5"/>
  <c r="N122" i="5"/>
  <c r="B238" i="5"/>
  <c r="K239" i="5"/>
  <c r="S123" i="5"/>
  <c r="K210" i="5"/>
  <c r="S210" i="5" s="1"/>
  <c r="M224" i="5"/>
  <c r="C255" i="5"/>
  <c r="C342" i="5" s="1"/>
  <c r="M230" i="5"/>
  <c r="S143" i="5"/>
  <c r="N153" i="5"/>
  <c r="Q155" i="5"/>
  <c r="N163" i="5"/>
  <c r="B279" i="5"/>
  <c r="N171" i="5"/>
  <c r="S175" i="5"/>
  <c r="N179" i="5"/>
  <c r="P182" i="5"/>
  <c r="Q186" i="5"/>
  <c r="D241" i="5"/>
  <c r="H338" i="5"/>
  <c r="R251" i="5"/>
  <c r="B350" i="5"/>
  <c r="D270" i="5"/>
  <c r="I312" i="5"/>
  <c r="R354" i="5"/>
  <c r="E273" i="5"/>
  <c r="Q389" i="5"/>
  <c r="E447" i="5"/>
  <c r="L282" i="5"/>
  <c r="L456" i="5"/>
  <c r="B286" i="5"/>
  <c r="N402" i="5"/>
  <c r="C289" i="5"/>
  <c r="C463" i="5"/>
  <c r="Q408" i="5"/>
  <c r="N408" i="5"/>
  <c r="F292" i="5"/>
  <c r="Q292" i="5" s="1"/>
  <c r="N420" i="5"/>
  <c r="B304" i="5"/>
  <c r="B449" i="5"/>
  <c r="P449" i="5" s="1"/>
  <c r="S421" i="5"/>
  <c r="K450" i="5"/>
  <c r="S450" i="5" s="1"/>
  <c r="I307" i="5"/>
  <c r="R423" i="5"/>
  <c r="R424" i="5"/>
  <c r="I310" i="5"/>
  <c r="R310" i="5" s="1"/>
  <c r="I455" i="5"/>
  <c r="F315" i="5"/>
  <c r="Q315" i="5" s="1"/>
  <c r="R432" i="5"/>
  <c r="F318" i="5"/>
  <c r="F347" i="5" s="1"/>
  <c r="F463" i="5"/>
  <c r="Q434" i="5"/>
  <c r="ET12" i="6"/>
  <c r="DT15" i="6"/>
  <c r="EP15" i="6"/>
  <c r="ET15" i="6" s="1"/>
  <c r="D22" i="6"/>
  <c r="DW25" i="6"/>
  <c r="K28" i="6"/>
  <c r="DW28" i="6" s="1"/>
  <c r="CN41" i="7"/>
  <c r="M22" i="7"/>
  <c r="DY22" i="7" s="1"/>
  <c r="BG41" i="8"/>
  <c r="V320" i="9"/>
  <c r="V331" i="9" s="1"/>
  <c r="V298" i="9"/>
  <c r="V34" i="9" s="1"/>
  <c r="G220" i="4"/>
  <c r="G249" i="4"/>
  <c r="J274" i="4"/>
  <c r="J332" i="4" s="1"/>
  <c r="J448" i="4"/>
  <c r="P466" i="4"/>
  <c r="H249" i="4"/>
  <c r="R133" i="4"/>
  <c r="Q217" i="5"/>
  <c r="G460" i="5"/>
  <c r="G257" i="5"/>
  <c r="G344" i="5" s="1"/>
  <c r="DY7" i="6"/>
  <c r="EI27" i="7"/>
  <c r="BB28" i="8"/>
  <c r="EK23" i="8"/>
  <c r="E229" i="4"/>
  <c r="Q229" i="4" s="1"/>
  <c r="Q142" i="4"/>
  <c r="E258" i="4"/>
  <c r="L258" i="4"/>
  <c r="L345" i="4" s="1"/>
  <c r="L321" i="5"/>
  <c r="S205" i="5"/>
  <c r="G457" i="5"/>
  <c r="G254" i="5"/>
  <c r="G341" i="5" s="1"/>
  <c r="EG32" i="6"/>
  <c r="DU19" i="7"/>
  <c r="I343" i="4"/>
  <c r="F93" i="5"/>
  <c r="Q93" i="5" s="1"/>
  <c r="N6" i="5"/>
  <c r="B116" i="5"/>
  <c r="DZ5" i="7"/>
  <c r="EJ12" i="7"/>
  <c r="N56" i="5"/>
  <c r="L209" i="5"/>
  <c r="S209" i="5" s="1"/>
  <c r="L238" i="5"/>
  <c r="L325" i="5" s="1"/>
  <c r="G320" i="5"/>
  <c r="Q204" i="5"/>
  <c r="H284" i="5"/>
  <c r="R284" i="5" s="1"/>
  <c r="L248" i="4"/>
  <c r="L335" i="4" s="1"/>
  <c r="C279" i="4"/>
  <c r="C337" i="4" s="1"/>
  <c r="N15" i="5"/>
  <c r="H233" i="5"/>
  <c r="R233" i="5" s="1"/>
  <c r="H262" i="5"/>
  <c r="R146" i="5"/>
  <c r="S394" i="5"/>
  <c r="DP14" i="6"/>
  <c r="ED33" i="7"/>
  <c r="E216" i="4"/>
  <c r="Q216" i="4" s="1"/>
  <c r="Q386" i="4"/>
  <c r="N386" i="4"/>
  <c r="F270" i="4"/>
  <c r="L295" i="4"/>
  <c r="R419" i="4"/>
  <c r="H303" i="4"/>
  <c r="R303" i="4" s="1"/>
  <c r="D107" i="5"/>
  <c r="P107" i="5" s="1"/>
  <c r="Q250" i="5"/>
  <c r="G446" i="5"/>
  <c r="AS41" i="6"/>
  <c r="Q18" i="10"/>
  <c r="G283" i="4"/>
  <c r="C242" i="5"/>
  <c r="C329" i="5" s="1"/>
  <c r="C213" i="5"/>
  <c r="E224" i="5"/>
  <c r="Q137" i="5"/>
  <c r="DS16" i="7"/>
  <c r="H44" i="3"/>
  <c r="S20" i="4"/>
  <c r="Q48" i="4"/>
  <c r="R81" i="4"/>
  <c r="F234" i="4"/>
  <c r="S194" i="4"/>
  <c r="K310" i="4"/>
  <c r="S310" i="4" s="1"/>
  <c r="E251" i="4"/>
  <c r="I261" i="4"/>
  <c r="I348" i="4" s="1"/>
  <c r="E319" i="4"/>
  <c r="Q6" i="5"/>
  <c r="D94" i="5"/>
  <c r="P94" i="5" s="1"/>
  <c r="B229" i="5"/>
  <c r="B258" i="5"/>
  <c r="P142" i="5"/>
  <c r="N142" i="5"/>
  <c r="K300" i="5"/>
  <c r="S300" i="5" s="1"/>
  <c r="C299" i="5"/>
  <c r="C328" i="5" s="1"/>
  <c r="E310" i="5"/>
  <c r="Q310" i="5" s="1"/>
  <c r="Q426" i="5"/>
  <c r="V40" i="6"/>
  <c r="EH40" i="6" s="1"/>
  <c r="CC22" i="7"/>
  <c r="O20" i="1"/>
  <c r="I50" i="1"/>
  <c r="D24" i="2"/>
  <c r="Z24" i="2"/>
  <c r="S25" i="2"/>
  <c r="G35" i="2"/>
  <c r="AC35" i="2"/>
  <c r="I30" i="3"/>
  <c r="B31" i="3"/>
  <c r="X31" i="3"/>
  <c r="M44" i="3"/>
  <c r="N5" i="4"/>
  <c r="R10" i="4"/>
  <c r="P14" i="4"/>
  <c r="Q23" i="4"/>
  <c r="N27" i="4"/>
  <c r="P38" i="4"/>
  <c r="N51" i="4"/>
  <c r="N75" i="4"/>
  <c r="K94" i="4"/>
  <c r="N99" i="4"/>
  <c r="J208" i="4"/>
  <c r="J237" i="4"/>
  <c r="J324" i="4" s="1"/>
  <c r="F211" i="4"/>
  <c r="F240" i="4"/>
  <c r="F327" i="4" s="1"/>
  <c r="Q125" i="4"/>
  <c r="L247" i="4"/>
  <c r="L334" i="4" s="1"/>
  <c r="B220" i="4"/>
  <c r="P133" i="4"/>
  <c r="N133" i="4"/>
  <c r="K221" i="4"/>
  <c r="S135" i="4"/>
  <c r="F253" i="4"/>
  <c r="F259" i="4"/>
  <c r="F346" i="4" s="1"/>
  <c r="N146" i="4"/>
  <c r="B267" i="4"/>
  <c r="G268" i="4"/>
  <c r="N159" i="4"/>
  <c r="P161" i="4"/>
  <c r="B277" i="4"/>
  <c r="K278" i="4"/>
  <c r="S162" i="4"/>
  <c r="N172" i="4"/>
  <c r="J299" i="4"/>
  <c r="P184" i="4"/>
  <c r="G302" i="4"/>
  <c r="N302" i="4" s="1"/>
  <c r="N187" i="4"/>
  <c r="D305" i="4"/>
  <c r="P305" i="4" s="1"/>
  <c r="E308" i="4"/>
  <c r="Q308" i="4" s="1"/>
  <c r="C311" i="4"/>
  <c r="R199" i="4"/>
  <c r="B211" i="4"/>
  <c r="H237" i="4"/>
  <c r="J239" i="4"/>
  <c r="R239" i="4" s="1"/>
  <c r="J241" i="4"/>
  <c r="J243" i="4"/>
  <c r="J330" i="4" s="1"/>
  <c r="J247" i="4"/>
  <c r="J334" i="4" s="1"/>
  <c r="L251" i="4"/>
  <c r="L338" i="4" s="1"/>
  <c r="E276" i="4"/>
  <c r="Q276" i="4" s="1"/>
  <c r="E286" i="4"/>
  <c r="Q286" i="4" s="1"/>
  <c r="E292" i="4"/>
  <c r="Q292" i="4" s="1"/>
  <c r="I300" i="4"/>
  <c r="R300" i="4" s="1"/>
  <c r="H314" i="4"/>
  <c r="R314" i="4" s="1"/>
  <c r="G317" i="4"/>
  <c r="G346" i="4" s="1"/>
  <c r="Q353" i="4"/>
  <c r="P357" i="4"/>
  <c r="C444" i="4"/>
  <c r="C241" i="4"/>
  <c r="C328" i="4" s="1"/>
  <c r="D447" i="4"/>
  <c r="D244" i="4"/>
  <c r="D331" i="4" s="1"/>
  <c r="Q363" i="4"/>
  <c r="E450" i="4"/>
  <c r="F461" i="4"/>
  <c r="Q461" i="4" s="1"/>
  <c r="F258" i="4"/>
  <c r="F345" i="4" s="1"/>
  <c r="N374" i="4"/>
  <c r="D464" i="4"/>
  <c r="D261" i="4"/>
  <c r="D348" i="4" s="1"/>
  <c r="G269" i="4"/>
  <c r="P387" i="4"/>
  <c r="N387" i="4"/>
  <c r="E274" i="4"/>
  <c r="Q274" i="4" s="1"/>
  <c r="J275" i="4"/>
  <c r="N408" i="4"/>
  <c r="M302" i="4"/>
  <c r="R426" i="4"/>
  <c r="R429" i="4"/>
  <c r="E318" i="4"/>
  <c r="Q318" i="4" s="1"/>
  <c r="E448" i="4"/>
  <c r="Q448" i="4" s="1"/>
  <c r="B462" i="4"/>
  <c r="L92" i="5"/>
  <c r="R11" i="5"/>
  <c r="D108" i="5"/>
  <c r="P108" i="5" s="1"/>
  <c r="P25" i="5"/>
  <c r="P73" i="5"/>
  <c r="N88" i="5"/>
  <c r="E95" i="5"/>
  <c r="Q95" i="5" s="1"/>
  <c r="D98" i="5"/>
  <c r="P98" i="5" s="1"/>
  <c r="F328" i="5"/>
  <c r="B220" i="5"/>
  <c r="B249" i="5"/>
  <c r="P133" i="5"/>
  <c r="S221" i="5"/>
  <c r="D223" i="5"/>
  <c r="P136" i="5"/>
  <c r="N137" i="5"/>
  <c r="S266" i="5"/>
  <c r="P153" i="5"/>
  <c r="C279" i="5"/>
  <c r="J280" i="5"/>
  <c r="J222" i="5"/>
  <c r="Q205" i="5"/>
  <c r="E321" i="5"/>
  <c r="Q321" i="5" s="1"/>
  <c r="G215" i="5"/>
  <c r="J220" i="5"/>
  <c r="E237" i="5"/>
  <c r="H295" i="5"/>
  <c r="R295" i="5" s="1"/>
  <c r="K240" i="5"/>
  <c r="S356" i="5"/>
  <c r="K443" i="5"/>
  <c r="R358" i="5"/>
  <c r="H242" i="5"/>
  <c r="J345" i="5"/>
  <c r="D281" i="5"/>
  <c r="P281" i="5" s="1"/>
  <c r="P397" i="5"/>
  <c r="M282" i="5"/>
  <c r="R400" i="5"/>
  <c r="J458" i="5"/>
  <c r="R458" i="5" s="1"/>
  <c r="C286" i="5"/>
  <c r="D289" i="5"/>
  <c r="P289" i="5" s="1"/>
  <c r="P405" i="5"/>
  <c r="L464" i="5"/>
  <c r="S464" i="5" s="1"/>
  <c r="L290" i="5"/>
  <c r="N412" i="5"/>
  <c r="B296" i="5"/>
  <c r="K297" i="5"/>
  <c r="S413" i="5"/>
  <c r="K442" i="5"/>
  <c r="S442" i="5" s="1"/>
  <c r="J307" i="5"/>
  <c r="S432" i="5"/>
  <c r="G318" i="5"/>
  <c r="Y22" i="6"/>
  <c r="EK7" i="6"/>
  <c r="AG41" i="6"/>
  <c r="DP13" i="6"/>
  <c r="EL13" i="6"/>
  <c r="DO17" i="6"/>
  <c r="EK17" i="6"/>
  <c r="ED17" i="6"/>
  <c r="E22" i="6"/>
  <c r="M28" i="6"/>
  <c r="DY28" i="6" s="1"/>
  <c r="DY23" i="6"/>
  <c r="EN23" i="6"/>
  <c r="BE28" i="6"/>
  <c r="DX25" i="6"/>
  <c r="N28" i="8"/>
  <c r="DZ24" i="8"/>
  <c r="DO29" i="8"/>
  <c r="J39" i="9"/>
  <c r="J330" i="9"/>
  <c r="G14" i="10"/>
  <c r="G11" i="1" s="1"/>
  <c r="H6" i="10"/>
  <c r="H76" i="10"/>
  <c r="H13" i="10" s="1"/>
  <c r="D345" i="4"/>
  <c r="N266" i="5"/>
  <c r="E306" i="5"/>
  <c r="Q422" i="5"/>
  <c r="I444" i="4"/>
  <c r="R357" i="4"/>
  <c r="I241" i="4"/>
  <c r="I328" i="4" s="1"/>
  <c r="H342" i="4"/>
  <c r="EF32" i="6"/>
  <c r="EM32" i="8"/>
  <c r="S152" i="4"/>
  <c r="D329" i="4"/>
  <c r="S109" i="5"/>
  <c r="M271" i="5"/>
  <c r="M213" i="5"/>
  <c r="P266" i="5"/>
  <c r="H257" i="5"/>
  <c r="H460" i="5"/>
  <c r="R460" i="5" s="1"/>
  <c r="AN41" i="8"/>
  <c r="D18" i="10"/>
  <c r="D15" i="10"/>
  <c r="E115" i="4"/>
  <c r="M262" i="4"/>
  <c r="M349" i="4" s="1"/>
  <c r="B297" i="4"/>
  <c r="B310" i="4"/>
  <c r="B457" i="4"/>
  <c r="N370" i="4"/>
  <c r="B254" i="4"/>
  <c r="J463" i="4"/>
  <c r="G342" i="5"/>
  <c r="P151" i="5"/>
  <c r="N401" i="5"/>
  <c r="B285" i="5"/>
  <c r="EE29" i="7"/>
  <c r="S40" i="7"/>
  <c r="P271" i="9"/>
  <c r="P266" i="9"/>
  <c r="P282" i="9" s="1"/>
  <c r="E18" i="10"/>
  <c r="E15" i="10"/>
  <c r="S76" i="10"/>
  <c r="S13" i="10" s="1"/>
  <c r="K160" i="10"/>
  <c r="N36" i="4"/>
  <c r="N82" i="4"/>
  <c r="N192" i="4"/>
  <c r="P214" i="4"/>
  <c r="J343" i="4"/>
  <c r="R453" i="4"/>
  <c r="K312" i="5"/>
  <c r="S312" i="5" s="1"/>
  <c r="CJ41" i="7"/>
  <c r="CJ45" i="7" s="1"/>
  <c r="EH22" i="8"/>
  <c r="S143" i="4"/>
  <c r="G329" i="4"/>
  <c r="L298" i="4"/>
  <c r="P421" i="4"/>
  <c r="N421" i="4"/>
  <c r="Q430" i="4"/>
  <c r="F314" i="4"/>
  <c r="L463" i="4"/>
  <c r="P44" i="5"/>
  <c r="N44" i="5"/>
  <c r="J457" i="5"/>
  <c r="J254" i="5"/>
  <c r="EK21" i="8"/>
  <c r="CE22" i="8"/>
  <c r="N64" i="4"/>
  <c r="H224" i="4"/>
  <c r="R224" i="4" s="1"/>
  <c r="H238" i="4"/>
  <c r="L244" i="4"/>
  <c r="C271" i="4"/>
  <c r="N271" i="4" s="1"/>
  <c r="G285" i="4"/>
  <c r="G343" i="4" s="1"/>
  <c r="G295" i="4"/>
  <c r="R354" i="4"/>
  <c r="J238" i="4"/>
  <c r="J325" i="4" s="1"/>
  <c r="L231" i="5"/>
  <c r="L260" i="5"/>
  <c r="L347" i="5" s="1"/>
  <c r="DW9" i="6"/>
  <c r="BH40" i="6"/>
  <c r="M246" i="4"/>
  <c r="M333" i="4" s="1"/>
  <c r="H285" i="4"/>
  <c r="R390" i="4"/>
  <c r="R103" i="5"/>
  <c r="K225" i="5"/>
  <c r="S225" i="5" s="1"/>
  <c r="G217" i="5"/>
  <c r="G275" i="5"/>
  <c r="N275" i="5" s="1"/>
  <c r="P183" i="5"/>
  <c r="D299" i="5"/>
  <c r="P299" i="5" s="1"/>
  <c r="L466" i="5"/>
  <c r="AJ41" i="8"/>
  <c r="DS5" i="8"/>
  <c r="R195" i="4"/>
  <c r="H226" i="4"/>
  <c r="R226" i="4" s="1"/>
  <c r="P443" i="4"/>
  <c r="Q63" i="5"/>
  <c r="I103" i="5"/>
  <c r="Q183" i="5"/>
  <c r="E299" i="5"/>
  <c r="Q299" i="5" s="1"/>
  <c r="K223" i="5"/>
  <c r="I347" i="5"/>
  <c r="F256" i="5"/>
  <c r="Q372" i="5"/>
  <c r="U203" i="9"/>
  <c r="W50" i="1"/>
  <c r="R126" i="4"/>
  <c r="J225" i="4"/>
  <c r="H231" i="4"/>
  <c r="R231" i="4" s="1"/>
  <c r="P173" i="4"/>
  <c r="S275" i="4"/>
  <c r="B306" i="4"/>
  <c r="M460" i="4"/>
  <c r="S460" i="4" s="1"/>
  <c r="C313" i="4"/>
  <c r="S104" i="5"/>
  <c r="H256" i="5"/>
  <c r="R140" i="5"/>
  <c r="B251" i="5"/>
  <c r="P251" i="5" s="1"/>
  <c r="F451" i="5"/>
  <c r="F248" i="5"/>
  <c r="CJ40" i="6"/>
  <c r="P20" i="1"/>
  <c r="J50" i="1"/>
  <c r="E24" i="2"/>
  <c r="AA24" i="2"/>
  <c r="T25" i="2"/>
  <c r="H35" i="2"/>
  <c r="AD35" i="2"/>
  <c r="C31" i="3"/>
  <c r="Y31" i="3"/>
  <c r="P5" i="4"/>
  <c r="Q14" i="4"/>
  <c r="N18" i="4"/>
  <c r="P27" i="4"/>
  <c r="Q38" i="4"/>
  <c r="N42" i="4"/>
  <c r="N66" i="4"/>
  <c r="P75" i="4"/>
  <c r="N88" i="4"/>
  <c r="G93" i="4"/>
  <c r="Q93" i="4" s="1"/>
  <c r="L94" i="4"/>
  <c r="K208" i="4"/>
  <c r="K237" i="4"/>
  <c r="G240" i="4"/>
  <c r="R125" i="4"/>
  <c r="F246" i="4"/>
  <c r="F333" i="4" s="1"/>
  <c r="L221" i="4"/>
  <c r="L250" i="4"/>
  <c r="B252" i="4"/>
  <c r="Q138" i="4"/>
  <c r="N144" i="4"/>
  <c r="L147" i="4" s="1"/>
  <c r="C233" i="4"/>
  <c r="C262" i="4"/>
  <c r="C349" i="4" s="1"/>
  <c r="Q156" i="4"/>
  <c r="L278" i="4"/>
  <c r="J284" i="4"/>
  <c r="R284" i="4" s="1"/>
  <c r="H287" i="4"/>
  <c r="D298" i="4"/>
  <c r="N182" i="4"/>
  <c r="H302" i="4"/>
  <c r="R302" i="4" s="1"/>
  <c r="R186" i="4"/>
  <c r="K309" i="4"/>
  <c r="S309" i="4" s="1"/>
  <c r="G321" i="4"/>
  <c r="G211" i="4"/>
  <c r="E221" i="4"/>
  <c r="Q221" i="4" s="1"/>
  <c r="K225" i="4"/>
  <c r="S225" i="4" s="1"/>
  <c r="K233" i="4"/>
  <c r="K243" i="4"/>
  <c r="M247" i="4"/>
  <c r="M334" i="4" s="1"/>
  <c r="B274" i="4"/>
  <c r="F284" i="4"/>
  <c r="Q284" i="4" s="1"/>
  <c r="J300" i="4"/>
  <c r="H337" i="4"/>
  <c r="D241" i="4"/>
  <c r="D328" i="4" s="1"/>
  <c r="Q361" i="4"/>
  <c r="F450" i="4"/>
  <c r="Q364" i="4"/>
  <c r="C458" i="4"/>
  <c r="N371" i="4"/>
  <c r="M462" i="4"/>
  <c r="M259" i="4"/>
  <c r="M346" i="4" s="1"/>
  <c r="E464" i="4"/>
  <c r="Q464" i="4" s="1"/>
  <c r="Q377" i="4"/>
  <c r="N401" i="4"/>
  <c r="G465" i="4"/>
  <c r="Q407" i="4"/>
  <c r="G291" i="4"/>
  <c r="P417" i="4"/>
  <c r="N417" i="4"/>
  <c r="N418" i="4"/>
  <c r="S421" i="4"/>
  <c r="H445" i="4"/>
  <c r="M455" i="4"/>
  <c r="E108" i="5"/>
  <c r="Q108" i="5" s="1"/>
  <c r="Q21" i="5"/>
  <c r="N22" i="5"/>
  <c r="M267" i="5"/>
  <c r="S35" i="5"/>
  <c r="P37" i="5"/>
  <c r="N66" i="5"/>
  <c r="E98" i="5"/>
  <c r="Q98" i="5" s="1"/>
  <c r="H108" i="5"/>
  <c r="R108" i="5" s="1"/>
  <c r="D115" i="5"/>
  <c r="B118" i="5"/>
  <c r="E223" i="5"/>
  <c r="Q136" i="5"/>
  <c r="N140" i="5"/>
  <c r="H229" i="5"/>
  <c r="R229" i="5" s="1"/>
  <c r="S261" i="5"/>
  <c r="F234" i="5"/>
  <c r="F263" i="5"/>
  <c r="F350" i="5" s="1"/>
  <c r="Q147" i="5"/>
  <c r="G271" i="5"/>
  <c r="G329" i="5" s="1"/>
  <c r="B273" i="5"/>
  <c r="P157" i="5"/>
  <c r="N157" i="5"/>
  <c r="D232" i="5"/>
  <c r="P232" i="5" s="1"/>
  <c r="P174" i="5"/>
  <c r="D295" i="5"/>
  <c r="P295" i="5" s="1"/>
  <c r="P179" i="5"/>
  <c r="C303" i="5"/>
  <c r="S197" i="5"/>
  <c r="K313" i="5"/>
  <c r="S313" i="5" s="1"/>
  <c r="N200" i="5"/>
  <c r="I210" i="5"/>
  <c r="R210" i="5" s="1"/>
  <c r="L215" i="5"/>
  <c r="C225" i="5"/>
  <c r="E247" i="5"/>
  <c r="D288" i="5"/>
  <c r="K440" i="5"/>
  <c r="K237" i="5"/>
  <c r="N355" i="5"/>
  <c r="B239" i="5"/>
  <c r="B442" i="5"/>
  <c r="D447" i="5"/>
  <c r="P447" i="5" s="1"/>
  <c r="D244" i="5"/>
  <c r="P360" i="5"/>
  <c r="M448" i="5"/>
  <c r="M245" i="5"/>
  <c r="M332" i="5" s="1"/>
  <c r="I453" i="5"/>
  <c r="R453" i="5" s="1"/>
  <c r="I250" i="5"/>
  <c r="I337" i="5" s="1"/>
  <c r="R366" i="5"/>
  <c r="Q394" i="5"/>
  <c r="F278" i="5"/>
  <c r="D286" i="5"/>
  <c r="P402" i="5"/>
  <c r="N403" i="5"/>
  <c r="K302" i="5"/>
  <c r="K447" i="5"/>
  <c r="S447" i="5" s="1"/>
  <c r="N418" i="5"/>
  <c r="J463" i="5"/>
  <c r="R463" i="5" s="1"/>
  <c r="Z22" i="6"/>
  <c r="DS15" i="6"/>
  <c r="ET21" i="6"/>
  <c r="DI40" i="6"/>
  <c r="DS15" i="7"/>
  <c r="EO15" i="7"/>
  <c r="BB22" i="7"/>
  <c r="DX40" i="7"/>
  <c r="EA24" i="8"/>
  <c r="O28" i="8"/>
  <c r="EA28" i="8" s="1"/>
  <c r="AK28" i="8"/>
  <c r="DT24" i="8"/>
  <c r="BG28" i="8"/>
  <c r="EP28" i="8" s="1"/>
  <c r="ET28" i="8" s="1"/>
  <c r="CC28" i="8"/>
  <c r="CY28" i="8"/>
  <c r="DU29" i="8"/>
  <c r="I40" i="8"/>
  <c r="DU36" i="8"/>
  <c r="AE196" i="9"/>
  <c r="S214" i="4"/>
  <c r="F335" i="4"/>
  <c r="G458" i="4"/>
  <c r="G255" i="4"/>
  <c r="R404" i="4"/>
  <c r="H288" i="4"/>
  <c r="R288" i="4" s="1"/>
  <c r="R417" i="4"/>
  <c r="H301" i="4"/>
  <c r="R301" i="4" s="1"/>
  <c r="P433" i="4"/>
  <c r="N433" i="4"/>
  <c r="G220" i="5"/>
  <c r="Q133" i="5"/>
  <c r="R226" i="5"/>
  <c r="P444" i="5"/>
  <c r="P414" i="5"/>
  <c r="N414" i="5"/>
  <c r="I28" i="8"/>
  <c r="DU23" i="8"/>
  <c r="N41" i="4"/>
  <c r="M218" i="5"/>
  <c r="M247" i="5"/>
  <c r="M334" i="5" s="1"/>
  <c r="R243" i="5"/>
  <c r="N140" i="4"/>
  <c r="R305" i="4"/>
  <c r="K116" i="4"/>
  <c r="S116" i="4" s="1"/>
  <c r="J244" i="4"/>
  <c r="J331" i="4" s="1"/>
  <c r="Q222" i="5"/>
  <c r="P189" i="5"/>
  <c r="B459" i="5"/>
  <c r="N459" i="5" s="1"/>
  <c r="N372" i="5"/>
  <c r="B256" i="5"/>
  <c r="R307" i="4"/>
  <c r="I333" i="4"/>
  <c r="M315" i="4"/>
  <c r="M344" i="4" s="1"/>
  <c r="J446" i="4"/>
  <c r="D101" i="5"/>
  <c r="P14" i="5"/>
  <c r="S40" i="5"/>
  <c r="D219" i="5"/>
  <c r="P219" i="5" s="1"/>
  <c r="P132" i="5"/>
  <c r="B230" i="5"/>
  <c r="B259" i="5"/>
  <c r="P143" i="5"/>
  <c r="DV21" i="8"/>
  <c r="AM22" i="8"/>
  <c r="AQ54" i="10"/>
  <c r="J242" i="4"/>
  <c r="C216" i="5"/>
  <c r="N129" i="5"/>
  <c r="C245" i="5"/>
  <c r="C230" i="5"/>
  <c r="C259" i="5"/>
  <c r="C346" i="5" s="1"/>
  <c r="E311" i="5"/>
  <c r="Q311" i="5" s="1"/>
  <c r="Q195" i="5"/>
  <c r="J452" i="5"/>
  <c r="J249" i="5"/>
  <c r="J336" i="5" s="1"/>
  <c r="AR40" i="7"/>
  <c r="AB266" i="9"/>
  <c r="AB270" i="9"/>
  <c r="AQ51" i="10"/>
  <c r="E214" i="4"/>
  <c r="Q214" i="4" s="1"/>
  <c r="K242" i="4"/>
  <c r="S354" i="4"/>
  <c r="K238" i="4"/>
  <c r="Q14" i="5"/>
  <c r="F246" i="5"/>
  <c r="H208" i="5"/>
  <c r="R208" i="5" s="1"/>
  <c r="G319" i="5"/>
  <c r="G464" i="5"/>
  <c r="AD17" i="2"/>
  <c r="AD20" i="2" s="1"/>
  <c r="H209" i="4"/>
  <c r="R209" i="4" s="1"/>
  <c r="B221" i="4"/>
  <c r="S299" i="4"/>
  <c r="P41" i="5"/>
  <c r="C115" i="5"/>
  <c r="N115" i="5" s="1"/>
  <c r="N57" i="5"/>
  <c r="L449" i="5"/>
  <c r="L246" i="5"/>
  <c r="L333" i="5" s="1"/>
  <c r="K311" i="5"/>
  <c r="S427" i="5"/>
  <c r="DK41" i="6"/>
  <c r="DN10" i="6"/>
  <c r="AD44" i="3"/>
  <c r="P152" i="4"/>
  <c r="N152" i="4"/>
  <c r="B268" i="4"/>
  <c r="J316" i="4"/>
  <c r="I257" i="4"/>
  <c r="R365" i="4"/>
  <c r="H283" i="5"/>
  <c r="R283" i="5" s="1"/>
  <c r="R167" i="5"/>
  <c r="K50" i="1"/>
  <c r="U61" i="1"/>
  <c r="U62" i="1" s="1"/>
  <c r="U63" i="1" s="1"/>
  <c r="U25" i="2"/>
  <c r="Q5" i="4"/>
  <c r="N9" i="4"/>
  <c r="P18" i="4"/>
  <c r="N55" i="4"/>
  <c r="K60" i="4" s="1"/>
  <c r="N79" i="4"/>
  <c r="M94" i="4"/>
  <c r="N103" i="4"/>
  <c r="E110" i="4"/>
  <c r="Q110" i="4" s="1"/>
  <c r="B118" i="4"/>
  <c r="L208" i="4"/>
  <c r="N123" i="4"/>
  <c r="B239" i="4"/>
  <c r="H240" i="4"/>
  <c r="G246" i="4"/>
  <c r="G333" i="4" s="1"/>
  <c r="N131" i="4"/>
  <c r="D220" i="4"/>
  <c r="D249" i="4"/>
  <c r="D336" i="4" s="1"/>
  <c r="M250" i="4"/>
  <c r="C252" i="4"/>
  <c r="C339" i="4" s="1"/>
  <c r="H253" i="4"/>
  <c r="I227" i="4"/>
  <c r="H230" i="4"/>
  <c r="R230" i="4" s="1"/>
  <c r="D233" i="4"/>
  <c r="N233" i="4" s="1"/>
  <c r="D262" i="4"/>
  <c r="D349" i="4" s="1"/>
  <c r="R156" i="4"/>
  <c r="I274" i="4"/>
  <c r="R274" i="4" s="1"/>
  <c r="M278" i="4"/>
  <c r="M336" i="4" s="1"/>
  <c r="I287" i="4"/>
  <c r="I345" i="4" s="1"/>
  <c r="Q174" i="4"/>
  <c r="E290" i="4"/>
  <c r="Q290" i="4" s="1"/>
  <c r="N175" i="4"/>
  <c r="E298" i="4"/>
  <c r="Q298" i="4" s="1"/>
  <c r="F305" i="4"/>
  <c r="N190" i="4"/>
  <c r="E311" i="4"/>
  <c r="Q311" i="4" s="1"/>
  <c r="J315" i="4"/>
  <c r="G318" i="4"/>
  <c r="H321" i="4"/>
  <c r="R321" i="4" s="1"/>
  <c r="H211" i="4"/>
  <c r="H215" i="4"/>
  <c r="R215" i="4" s="1"/>
  <c r="F217" i="4"/>
  <c r="H221" i="4"/>
  <c r="H227" i="4"/>
  <c r="L229" i="4"/>
  <c r="S229" i="4" s="1"/>
  <c r="J231" i="4"/>
  <c r="L237" i="4"/>
  <c r="L324" i="4" s="1"/>
  <c r="L243" i="4"/>
  <c r="L330" i="4" s="1"/>
  <c r="C260" i="4"/>
  <c r="C347" i="4" s="1"/>
  <c r="G282" i="4"/>
  <c r="K286" i="4"/>
  <c r="S286" i="4" s="1"/>
  <c r="K290" i="4"/>
  <c r="S290" i="4" s="1"/>
  <c r="S353" i="4"/>
  <c r="R361" i="4"/>
  <c r="H461" i="4"/>
  <c r="R461" i="4" s="1"/>
  <c r="H258" i="4"/>
  <c r="M267" i="4"/>
  <c r="S267" i="4" s="1"/>
  <c r="L446" i="4"/>
  <c r="R394" i="4"/>
  <c r="K283" i="4"/>
  <c r="C285" i="4"/>
  <c r="P401" i="4"/>
  <c r="M289" i="4"/>
  <c r="Q417" i="4"/>
  <c r="E301" i="4"/>
  <c r="Q301" i="4" s="1"/>
  <c r="P418" i="4"/>
  <c r="I445" i="4"/>
  <c r="E449" i="4"/>
  <c r="Q449" i="4" s="1"/>
  <c r="D462" i="4"/>
  <c r="R5" i="5"/>
  <c r="F94" i="5"/>
  <c r="B99" i="5"/>
  <c r="N99" i="5" s="1"/>
  <c r="M338" i="5"/>
  <c r="P22" i="5"/>
  <c r="S27" i="5"/>
  <c r="P83" i="5"/>
  <c r="N83" i="5"/>
  <c r="P88" i="5"/>
  <c r="H95" i="5"/>
  <c r="R95" i="5" s="1"/>
  <c r="I108" i="5"/>
  <c r="I215" i="5"/>
  <c r="I247" i="5"/>
  <c r="I334" i="5" s="1"/>
  <c r="I218" i="5"/>
  <c r="F252" i="5"/>
  <c r="F223" i="5"/>
  <c r="R137" i="5"/>
  <c r="F226" i="5"/>
  <c r="R152" i="5"/>
  <c r="R155" i="5"/>
  <c r="H271" i="5"/>
  <c r="R271" i="5" s="1"/>
  <c r="B284" i="5"/>
  <c r="N168" i="5"/>
  <c r="K285" i="5"/>
  <c r="S285" i="5" s="1"/>
  <c r="K227" i="5"/>
  <c r="S227" i="5" s="1"/>
  <c r="E287" i="5"/>
  <c r="Q287" i="5" s="1"/>
  <c r="E229" i="5"/>
  <c r="Q229" i="5" s="1"/>
  <c r="Q174" i="5"/>
  <c r="N175" i="5"/>
  <c r="N184" i="5"/>
  <c r="D303" i="5"/>
  <c r="P196" i="5"/>
  <c r="R202" i="5"/>
  <c r="H318" i="5"/>
  <c r="R318" i="5" s="1"/>
  <c r="G321" i="5"/>
  <c r="G350" i="5" s="1"/>
  <c r="D230" i="5"/>
  <c r="F242" i="5"/>
  <c r="F329" i="5" s="1"/>
  <c r="I257" i="5"/>
  <c r="M263" i="5"/>
  <c r="S301" i="5"/>
  <c r="Q313" i="5"/>
  <c r="L440" i="5"/>
  <c r="L237" i="5"/>
  <c r="L324" i="5" s="1"/>
  <c r="N395" i="5"/>
  <c r="F281" i="5"/>
  <c r="F455" i="5"/>
  <c r="E286" i="5"/>
  <c r="Q402" i="5"/>
  <c r="S406" i="5"/>
  <c r="N417" i="5"/>
  <c r="B301" i="5"/>
  <c r="P437" i="5"/>
  <c r="F459" i="5"/>
  <c r="Q459" i="5" s="1"/>
  <c r="D28" i="7"/>
  <c r="F28" i="8"/>
  <c r="DR28" i="8" s="1"/>
  <c r="DR23" i="8"/>
  <c r="AB28" i="8"/>
  <c r="EN23" i="8"/>
  <c r="AX28" i="8"/>
  <c r="EG23" i="8"/>
  <c r="BT28" i="8"/>
  <c r="CP28" i="8"/>
  <c r="DL28" i="8"/>
  <c r="EB24" i="8"/>
  <c r="P28" i="8"/>
  <c r="EB28" i="8" s="1"/>
  <c r="AL28" i="8"/>
  <c r="DU24" i="8"/>
  <c r="BH28" i="8"/>
  <c r="DN24" i="8"/>
  <c r="CD28" i="8"/>
  <c r="EJ24" i="8"/>
  <c r="L35" i="9"/>
  <c r="L41" i="9" s="1"/>
  <c r="K461" i="4"/>
  <c r="S461" i="4" s="1"/>
  <c r="K258" i="4"/>
  <c r="D110" i="5"/>
  <c r="P23" i="5"/>
  <c r="M445" i="5"/>
  <c r="M242" i="5"/>
  <c r="DQ4" i="7"/>
  <c r="BW28" i="8"/>
  <c r="EC28" i="8" s="1"/>
  <c r="EC23" i="8"/>
  <c r="AA10" i="9"/>
  <c r="B463" i="4"/>
  <c r="P376" i="4"/>
  <c r="N376" i="4"/>
  <c r="E110" i="5"/>
  <c r="Q23" i="5"/>
  <c r="E255" i="5"/>
  <c r="EI36" i="7"/>
  <c r="E307" i="4"/>
  <c r="P47" i="5"/>
  <c r="DW28" i="8"/>
  <c r="J116" i="4"/>
  <c r="R116" i="4" s="1"/>
  <c r="F216" i="4"/>
  <c r="F245" i="4"/>
  <c r="F332" i="4" s="1"/>
  <c r="E228" i="4"/>
  <c r="Q228" i="4" s="1"/>
  <c r="S315" i="4"/>
  <c r="J298" i="4"/>
  <c r="R298" i="4" s="1"/>
  <c r="R414" i="4"/>
  <c r="J312" i="5"/>
  <c r="P212" i="5"/>
  <c r="N367" i="5"/>
  <c r="P367" i="5"/>
  <c r="H301" i="5"/>
  <c r="H330" i="5" s="1"/>
  <c r="R417" i="5"/>
  <c r="H446" i="5"/>
  <c r="BK40" i="7"/>
  <c r="DQ29" i="7"/>
  <c r="C266" i="9"/>
  <c r="C270" i="9"/>
  <c r="K314" i="9"/>
  <c r="K40" i="9" s="1"/>
  <c r="M112" i="4"/>
  <c r="P222" i="4"/>
  <c r="N222" i="4"/>
  <c r="Q376" i="4"/>
  <c r="E463" i="4"/>
  <c r="Q463" i="4" s="1"/>
  <c r="C104" i="5"/>
  <c r="C249" i="5"/>
  <c r="C336" i="5" s="1"/>
  <c r="S202" i="5"/>
  <c r="EE35" i="7"/>
  <c r="P82" i="5"/>
  <c r="G233" i="5"/>
  <c r="D274" i="5"/>
  <c r="P274" i="5" s="1"/>
  <c r="D448" i="5"/>
  <c r="P448" i="5" s="1"/>
  <c r="DV9" i="6"/>
  <c r="DP36" i="6"/>
  <c r="R176" i="4"/>
  <c r="D210" i="4"/>
  <c r="Q440" i="4"/>
  <c r="R47" i="5"/>
  <c r="H279" i="5"/>
  <c r="R279" i="5" s="1"/>
  <c r="N80" i="5"/>
  <c r="B283" i="5"/>
  <c r="P167" i="5"/>
  <c r="N167" i="5"/>
  <c r="K331" i="5"/>
  <c r="S456" i="5"/>
  <c r="EL14" i="6"/>
  <c r="BN40" i="7"/>
  <c r="ED21" i="8"/>
  <c r="Q133" i="4"/>
  <c r="P60" i="5"/>
  <c r="DZ5" i="8"/>
  <c r="M323" i="9"/>
  <c r="L304" i="4"/>
  <c r="S304" i="4" s="1"/>
  <c r="G313" i="4"/>
  <c r="J216" i="4"/>
  <c r="F442" i="5"/>
  <c r="EJ8" i="6"/>
  <c r="H451" i="4"/>
  <c r="R451" i="4" s="1"/>
  <c r="R364" i="4"/>
  <c r="R378" i="4"/>
  <c r="H262" i="4"/>
  <c r="P385" i="4"/>
  <c r="N385" i="4"/>
  <c r="B269" i="4"/>
  <c r="B327" i="4" s="1"/>
  <c r="K458" i="4"/>
  <c r="K284" i="4"/>
  <c r="S284" i="4" s="1"/>
  <c r="M314" i="4"/>
  <c r="L464" i="4"/>
  <c r="N146" i="5"/>
  <c r="N162" i="5"/>
  <c r="R180" i="5"/>
  <c r="H296" i="5"/>
  <c r="R296" i="5" s="1"/>
  <c r="I214" i="5"/>
  <c r="Q375" i="5"/>
  <c r="DG40" i="6"/>
  <c r="EJ40" i="6" s="1"/>
  <c r="Y187" i="9"/>
  <c r="Y27" i="9" s="1"/>
  <c r="Y26" i="9" s="1"/>
  <c r="T18" i="10"/>
  <c r="T15" i="10"/>
  <c r="P9" i="4"/>
  <c r="N22" i="4"/>
  <c r="B111" i="4"/>
  <c r="G112" i="4"/>
  <c r="Q112" i="4" s="1"/>
  <c r="L113" i="4"/>
  <c r="S113" i="4" s="1"/>
  <c r="E116" i="4"/>
  <c r="J117" i="4"/>
  <c r="N46" i="4"/>
  <c r="N70" i="4"/>
  <c r="I93" i="4"/>
  <c r="M208" i="4"/>
  <c r="C239" i="4"/>
  <c r="C326" i="4" s="1"/>
  <c r="I240" i="4"/>
  <c r="H217" i="4"/>
  <c r="R217" i="4" s="1"/>
  <c r="R130" i="4"/>
  <c r="E220" i="4"/>
  <c r="E249" i="4"/>
  <c r="J227" i="4"/>
  <c r="E233" i="4"/>
  <c r="Q233" i="4" s="1"/>
  <c r="Q146" i="4"/>
  <c r="P147" i="4"/>
  <c r="R159" i="4"/>
  <c r="Q161" i="4"/>
  <c r="E277" i="4"/>
  <c r="N162" i="4"/>
  <c r="Q167" i="4"/>
  <c r="F290" i="4"/>
  <c r="J302" i="4"/>
  <c r="R190" i="4"/>
  <c r="M309" i="4"/>
  <c r="F311" i="4"/>
  <c r="M312" i="4"/>
  <c r="P198" i="4"/>
  <c r="N198" i="4"/>
  <c r="B314" i="4"/>
  <c r="B320" i="4"/>
  <c r="I211" i="4"/>
  <c r="G217" i="4"/>
  <c r="M221" i="4"/>
  <c r="S227" i="4"/>
  <c r="K231" i="4"/>
  <c r="S231" i="4" s="1"/>
  <c r="M233" i="4"/>
  <c r="D252" i="4"/>
  <c r="D339" i="4" s="1"/>
  <c r="D256" i="4"/>
  <c r="D260" i="4"/>
  <c r="D347" i="4" s="1"/>
  <c r="B262" i="4"/>
  <c r="H268" i="4"/>
  <c r="H276" i="4"/>
  <c r="R276" i="4" s="1"/>
  <c r="L282" i="4"/>
  <c r="S282" i="4" s="1"/>
  <c r="C312" i="4"/>
  <c r="P312" i="4" s="1"/>
  <c r="J320" i="4"/>
  <c r="B441" i="4"/>
  <c r="P354" i="4"/>
  <c r="N354" i="4"/>
  <c r="K442" i="4"/>
  <c r="S442" i="4" s="1"/>
  <c r="S355" i="4"/>
  <c r="N358" i="4"/>
  <c r="G447" i="4"/>
  <c r="G244" i="4"/>
  <c r="P367" i="4"/>
  <c r="Q371" i="4"/>
  <c r="L256" i="4"/>
  <c r="L343" i="4" s="1"/>
  <c r="R393" i="4"/>
  <c r="H277" i="4"/>
  <c r="R277" i="4" s="1"/>
  <c r="D285" i="4"/>
  <c r="I291" i="4"/>
  <c r="R291" i="4" s="1"/>
  <c r="S423" i="4"/>
  <c r="I459" i="4"/>
  <c r="E462" i="4"/>
  <c r="Q462" i="4" s="1"/>
  <c r="S5" i="5"/>
  <c r="N9" i="5"/>
  <c r="B113" i="5"/>
  <c r="N26" i="5"/>
  <c r="R54" i="5"/>
  <c r="J112" i="5"/>
  <c r="P66" i="5"/>
  <c r="N69" i="5"/>
  <c r="R72" i="5"/>
  <c r="Q83" i="5"/>
  <c r="Q88" i="5"/>
  <c r="E320" i="5"/>
  <c r="Q89" i="5"/>
  <c r="K105" i="5"/>
  <c r="S105" i="5" s="1"/>
  <c r="I115" i="5"/>
  <c r="R115" i="5" s="1"/>
  <c r="N127" i="5"/>
  <c r="B246" i="5"/>
  <c r="B217" i="5"/>
  <c r="N217" i="5" s="1"/>
  <c r="N130" i="5"/>
  <c r="N134" i="5"/>
  <c r="R234" i="5"/>
  <c r="I213" i="5"/>
  <c r="R213" i="5" s="1"/>
  <c r="I271" i="5"/>
  <c r="S158" i="5"/>
  <c r="L216" i="5"/>
  <c r="F287" i="5"/>
  <c r="C226" i="5"/>
  <c r="E230" i="5"/>
  <c r="H237" i="5"/>
  <c r="L257" i="5"/>
  <c r="L344" i="5" s="1"/>
  <c r="K296" i="5"/>
  <c r="D308" i="5"/>
  <c r="P308" i="5" s="1"/>
  <c r="B465" i="5"/>
  <c r="B262" i="5"/>
  <c r="K466" i="5"/>
  <c r="K263" i="5"/>
  <c r="S379" i="5"/>
  <c r="G281" i="5"/>
  <c r="G455" i="5"/>
  <c r="F286" i="5"/>
  <c r="Q441" i="5"/>
  <c r="M307" i="5"/>
  <c r="J315" i="5"/>
  <c r="R431" i="5"/>
  <c r="H320" i="5"/>
  <c r="F454" i="5"/>
  <c r="Q454" i="5" s="1"/>
  <c r="CS22" i="6"/>
  <c r="CS41" i="6" s="1"/>
  <c r="EK9" i="6"/>
  <c r="ED14" i="6"/>
  <c r="BF22" i="7"/>
  <c r="ES29" i="7"/>
  <c r="R40" i="7"/>
  <c r="DS28" i="8"/>
  <c r="AC28" i="8"/>
  <c r="EO23" i="8"/>
  <c r="ES23" i="8" s="1"/>
  <c r="AY28" i="8"/>
  <c r="AY41" i="8" s="1"/>
  <c r="EH23" i="8"/>
  <c r="BS28" i="8"/>
  <c r="K211" i="4"/>
  <c r="S211" i="4" s="1"/>
  <c r="P50" i="5"/>
  <c r="D282" i="5"/>
  <c r="P282" i="5" s="1"/>
  <c r="I223" i="5"/>
  <c r="I252" i="5"/>
  <c r="EK30" i="6"/>
  <c r="DH40" i="6"/>
  <c r="EN9" i="7"/>
  <c r="AB22" i="7"/>
  <c r="K217" i="4"/>
  <c r="S217" i="4" s="1"/>
  <c r="K246" i="4"/>
  <c r="N246" i="4" s="1"/>
  <c r="E314" i="4"/>
  <c r="Q314" i="4" s="1"/>
  <c r="Q198" i="4"/>
  <c r="K349" i="4"/>
  <c r="S349" i="4" s="1"/>
  <c r="B460" i="4"/>
  <c r="P373" i="4"/>
  <c r="N373" i="4"/>
  <c r="F211" i="5"/>
  <c r="F240" i="5"/>
  <c r="Q124" i="5"/>
  <c r="H220" i="5"/>
  <c r="R133" i="5"/>
  <c r="I22" i="6"/>
  <c r="I41" i="6" s="1"/>
  <c r="DU7" i="6"/>
  <c r="J28" i="8"/>
  <c r="DV28" i="8" s="1"/>
  <c r="DV23" i="8"/>
  <c r="S420" i="4"/>
  <c r="I309" i="4"/>
  <c r="K463" i="4"/>
  <c r="S463" i="4" s="1"/>
  <c r="C101" i="5"/>
  <c r="N14" i="5"/>
  <c r="P302" i="5"/>
  <c r="N376" i="5"/>
  <c r="EF29" i="7"/>
  <c r="T40" i="7"/>
  <c r="EF40" i="7" s="1"/>
  <c r="AG208" i="9"/>
  <c r="AG207" i="9"/>
  <c r="H273" i="4"/>
  <c r="R273" i="4" s="1"/>
  <c r="R157" i="4"/>
  <c r="N169" i="4"/>
  <c r="B285" i="4"/>
  <c r="G317" i="5"/>
  <c r="M232" i="5"/>
  <c r="I298" i="5"/>
  <c r="Q397" i="4"/>
  <c r="E281" i="4"/>
  <c r="Q281" i="4" s="1"/>
  <c r="K320" i="4"/>
  <c r="S320" i="4" s="1"/>
  <c r="S436" i="4"/>
  <c r="G208" i="5"/>
  <c r="N121" i="5"/>
  <c r="M220" i="5"/>
  <c r="M249" i="5"/>
  <c r="J228" i="5"/>
  <c r="J257" i="5"/>
  <c r="J344" i="5" s="1"/>
  <c r="CD40" i="6"/>
  <c r="DQ36" i="6"/>
  <c r="DF40" i="7"/>
  <c r="L226" i="4"/>
  <c r="L255" i="4"/>
  <c r="L342" i="4" s="1"/>
  <c r="P203" i="4"/>
  <c r="N203" i="4"/>
  <c r="C452" i="4"/>
  <c r="C278" i="4"/>
  <c r="C336" i="4" s="1"/>
  <c r="J223" i="5"/>
  <c r="B456" i="5"/>
  <c r="N369" i="5"/>
  <c r="B253" i="5"/>
  <c r="S391" i="5"/>
  <c r="M275" i="5"/>
  <c r="S275" i="5" s="1"/>
  <c r="DJ40" i="6"/>
  <c r="M452" i="4"/>
  <c r="G444" i="4"/>
  <c r="Q444" i="4" s="1"/>
  <c r="G270" i="4"/>
  <c r="G328" i="4" s="1"/>
  <c r="P405" i="4"/>
  <c r="B289" i="4"/>
  <c r="R373" i="5"/>
  <c r="DS4" i="6"/>
  <c r="EP39" i="6"/>
  <c r="ET39" i="6" s="1"/>
  <c r="P22" i="4"/>
  <c r="C111" i="4"/>
  <c r="H112" i="4"/>
  <c r="R112" i="4" s="1"/>
  <c r="M113" i="4"/>
  <c r="F116" i="4"/>
  <c r="K117" i="4"/>
  <c r="S117" i="4" s="1"/>
  <c r="N121" i="4"/>
  <c r="J214" i="4"/>
  <c r="R214" i="4" s="1"/>
  <c r="B245" i="4"/>
  <c r="I217" i="4"/>
  <c r="F220" i="4"/>
  <c r="D226" i="4"/>
  <c r="B229" i="4"/>
  <c r="P142" i="4"/>
  <c r="J230" i="4"/>
  <c r="J259" i="4"/>
  <c r="J346" i="4" s="1"/>
  <c r="F233" i="4"/>
  <c r="F262" i="4"/>
  <c r="F349" i="4" s="1"/>
  <c r="Q147" i="4"/>
  <c r="Q154" i="4"/>
  <c r="P157" i="4"/>
  <c r="N157" i="4"/>
  <c r="F277" i="4"/>
  <c r="N170" i="4"/>
  <c r="S171" i="4"/>
  <c r="G290" i="4"/>
  <c r="P185" i="4"/>
  <c r="B301" i="4"/>
  <c r="K302" i="4"/>
  <c r="S186" i="4"/>
  <c r="P193" i="4"/>
  <c r="G311" i="4"/>
  <c r="J223" i="4"/>
  <c r="R223" i="4" s="1"/>
  <c r="E252" i="4"/>
  <c r="C258" i="4"/>
  <c r="E260" i="4"/>
  <c r="E262" i="4"/>
  <c r="K288" i="4"/>
  <c r="S288" i="4" s="1"/>
  <c r="P358" i="4"/>
  <c r="H447" i="4"/>
  <c r="R447" i="4" s="1"/>
  <c r="R360" i="4"/>
  <c r="M256" i="4"/>
  <c r="M343" i="4" s="1"/>
  <c r="J258" i="4"/>
  <c r="J345" i="4" s="1"/>
  <c r="R377" i="4"/>
  <c r="K269" i="4"/>
  <c r="S269" i="4" s="1"/>
  <c r="S385" i="4"/>
  <c r="B453" i="4"/>
  <c r="P395" i="4"/>
  <c r="N395" i="4"/>
  <c r="Q398" i="4"/>
  <c r="F282" i="4"/>
  <c r="F456" i="4"/>
  <c r="M283" i="4"/>
  <c r="G301" i="4"/>
  <c r="L310" i="4"/>
  <c r="D320" i="4"/>
  <c r="H442" i="4"/>
  <c r="R442" i="4" s="1"/>
  <c r="K445" i="4"/>
  <c r="S445" i="4" s="1"/>
  <c r="H452" i="4"/>
  <c r="H462" i="4"/>
  <c r="R462" i="4" s="1"/>
  <c r="K97" i="5"/>
  <c r="S97" i="5" s="1"/>
  <c r="S10" i="5"/>
  <c r="Q19" i="5"/>
  <c r="C110" i="5"/>
  <c r="N110" i="5" s="1"/>
  <c r="N23" i="5"/>
  <c r="M111" i="5"/>
  <c r="S111" i="5" s="1"/>
  <c r="C113" i="5"/>
  <c r="M114" i="5"/>
  <c r="S114" i="5" s="1"/>
  <c r="S51" i="5"/>
  <c r="S54" i="5"/>
  <c r="K112" i="5"/>
  <c r="S112" i="5" s="1"/>
  <c r="N67" i="5"/>
  <c r="P85" i="5"/>
  <c r="N85" i="5"/>
  <c r="J95" i="5"/>
  <c r="E99" i="5"/>
  <c r="Q99" i="5" s="1"/>
  <c r="C102" i="5"/>
  <c r="P102" i="5" s="1"/>
  <c r="K215" i="5"/>
  <c r="S215" i="5" s="1"/>
  <c r="S128" i="5"/>
  <c r="C246" i="5"/>
  <c r="C217" i="5"/>
  <c r="S131" i="5"/>
  <c r="H223" i="5"/>
  <c r="R223" i="5" s="1"/>
  <c r="C254" i="5"/>
  <c r="C341" i="5" s="1"/>
  <c r="B270" i="5"/>
  <c r="N154" i="5"/>
  <c r="P168" i="5"/>
  <c r="N204" i="5"/>
  <c r="D221" i="5"/>
  <c r="P221" i="5" s="1"/>
  <c r="I237" i="5"/>
  <c r="I324" i="5" s="1"/>
  <c r="F243" i="5"/>
  <c r="H247" i="5"/>
  <c r="E283" i="5"/>
  <c r="E308" i="5"/>
  <c r="Q308" i="5" s="1"/>
  <c r="B320" i="5"/>
  <c r="C444" i="5"/>
  <c r="P357" i="5"/>
  <c r="N357" i="5"/>
  <c r="L445" i="5"/>
  <c r="S445" i="5" s="1"/>
  <c r="L242" i="5"/>
  <c r="L329" i="5" s="1"/>
  <c r="S358" i="5"/>
  <c r="I278" i="5"/>
  <c r="H281" i="5"/>
  <c r="R281" i="5" s="1"/>
  <c r="Q399" i="5"/>
  <c r="N399" i="5"/>
  <c r="N400" i="5"/>
  <c r="P422" i="5"/>
  <c r="N422" i="5"/>
  <c r="D306" i="5"/>
  <c r="N423" i="5"/>
  <c r="N430" i="5"/>
  <c r="B314" i="5"/>
  <c r="I320" i="5"/>
  <c r="N436" i="5"/>
  <c r="B445" i="5"/>
  <c r="R459" i="5"/>
  <c r="BX22" i="6"/>
  <c r="CT22" i="6"/>
  <c r="CT41" i="6" s="1"/>
  <c r="ET10" i="6"/>
  <c r="ES20" i="7"/>
  <c r="EO20" i="7"/>
  <c r="ES36" i="7"/>
  <c r="N41" i="7"/>
  <c r="EL16" i="8"/>
  <c r="CF22" i="8"/>
  <c r="CF41" i="8" s="1"/>
  <c r="H28" i="8"/>
  <c r="DT28" i="8" s="1"/>
  <c r="DT23" i="8"/>
  <c r="AZ28" i="8"/>
  <c r="EI23" i="8"/>
  <c r="DN23" i="8"/>
  <c r="AC318" i="9"/>
  <c r="AC314" i="9"/>
  <c r="AC40" i="9" s="1"/>
  <c r="P121" i="4"/>
  <c r="N134" i="4"/>
  <c r="P143" i="4"/>
  <c r="Q360" i="4"/>
  <c r="B450" i="4"/>
  <c r="P363" i="4"/>
  <c r="N363" i="4"/>
  <c r="M458" i="4"/>
  <c r="F460" i="4"/>
  <c r="P397" i="4"/>
  <c r="N397" i="4"/>
  <c r="P412" i="4"/>
  <c r="N412" i="4"/>
  <c r="Q419" i="4"/>
  <c r="N425" i="4"/>
  <c r="F313" i="4"/>
  <c r="F319" i="4"/>
  <c r="N319" i="4" s="1"/>
  <c r="L320" i="4"/>
  <c r="B444" i="4"/>
  <c r="R10" i="5"/>
  <c r="D100" i="5"/>
  <c r="P13" i="5"/>
  <c r="P16" i="5"/>
  <c r="J107" i="5"/>
  <c r="R107" i="5" s="1"/>
  <c r="H110" i="5"/>
  <c r="R110" i="5" s="1"/>
  <c r="R23" i="5"/>
  <c r="Q26" i="5"/>
  <c r="N65" i="5"/>
  <c r="E116" i="5"/>
  <c r="Q116" i="5" s="1"/>
  <c r="P126" i="5"/>
  <c r="D242" i="5"/>
  <c r="S127" i="5"/>
  <c r="K243" i="5"/>
  <c r="P216" i="5"/>
  <c r="I217" i="5"/>
  <c r="G339" i="5"/>
  <c r="D226" i="5"/>
  <c r="P226" i="5" s="1"/>
  <c r="J230" i="5"/>
  <c r="B276" i="5"/>
  <c r="N160" i="5"/>
  <c r="Q167" i="5"/>
  <c r="N173" i="5"/>
  <c r="F298" i="5"/>
  <c r="Q298" i="5" s="1"/>
  <c r="L299" i="5"/>
  <c r="L233" i="5"/>
  <c r="S233" i="5" s="1"/>
  <c r="C261" i="5"/>
  <c r="E266" i="5"/>
  <c r="D442" i="5"/>
  <c r="P442" i="5" s="1"/>
  <c r="D239" i="5"/>
  <c r="B447" i="5"/>
  <c r="N360" i="5"/>
  <c r="B244" i="5"/>
  <c r="K448" i="5"/>
  <c r="S448" i="5" s="1"/>
  <c r="S361" i="5"/>
  <c r="K245" i="5"/>
  <c r="G269" i="5"/>
  <c r="N393" i="5"/>
  <c r="B277" i="5"/>
  <c r="N277" i="5" s="1"/>
  <c r="N396" i="5"/>
  <c r="B280" i="5"/>
  <c r="S397" i="5"/>
  <c r="K281" i="5"/>
  <c r="Q407" i="5"/>
  <c r="N407" i="5"/>
  <c r="E291" i="5"/>
  <c r="M292" i="5"/>
  <c r="D301" i="5"/>
  <c r="P417" i="5"/>
  <c r="F304" i="5"/>
  <c r="Q420" i="5"/>
  <c r="K307" i="5"/>
  <c r="S423" i="5"/>
  <c r="N425" i="5"/>
  <c r="B309" i="5"/>
  <c r="K310" i="5"/>
  <c r="S310" i="5" s="1"/>
  <c r="S426" i="5"/>
  <c r="EG4" i="6"/>
  <c r="CA41" i="6"/>
  <c r="EH11" i="6"/>
  <c r="EI14" i="6"/>
  <c r="DX15" i="6"/>
  <c r="DQ15" i="6"/>
  <c r="EB17" i="6"/>
  <c r="DU17" i="6"/>
  <c r="DY19" i="6"/>
  <c r="EH24" i="6"/>
  <c r="EA24" i="6"/>
  <c r="DY25" i="6"/>
  <c r="EF29" i="6"/>
  <c r="T40" i="6"/>
  <c r="BL40" i="6"/>
  <c r="DD40" i="6"/>
  <c r="CU22" i="7"/>
  <c r="CU41" i="7" s="1"/>
  <c r="EF8" i="7"/>
  <c r="EA11" i="7"/>
  <c r="EP11" i="7"/>
  <c r="ET11" i="7" s="1"/>
  <c r="DO12" i="7"/>
  <c r="EK12" i="7"/>
  <c r="DZ17" i="7"/>
  <c r="ES17" i="7"/>
  <c r="G40" i="7"/>
  <c r="DS31" i="7"/>
  <c r="AC40" i="7"/>
  <c r="EO40" i="7" s="1"/>
  <c r="EH31" i="7"/>
  <c r="AY40" i="7"/>
  <c r="CQ40" i="7"/>
  <c r="EF33" i="7"/>
  <c r="EC4" i="8"/>
  <c r="BP41" i="8"/>
  <c r="CL41" i="8"/>
  <c r="DO4" i="8"/>
  <c r="DH41" i="8"/>
  <c r="EA15" i="8"/>
  <c r="DZ20" i="8"/>
  <c r="E39" i="9"/>
  <c r="E330" i="9"/>
  <c r="H14" i="10"/>
  <c r="I6" i="10"/>
  <c r="C18" i="10"/>
  <c r="C15" i="10"/>
  <c r="P134" i="4"/>
  <c r="N195" i="4"/>
  <c r="P204" i="4"/>
  <c r="N353" i="4"/>
  <c r="C450" i="4"/>
  <c r="S364" i="4"/>
  <c r="K464" i="4"/>
  <c r="S377" i="4"/>
  <c r="P384" i="4"/>
  <c r="S405" i="4"/>
  <c r="S413" i="4"/>
  <c r="L307" i="4"/>
  <c r="S307" i="4" s="1"/>
  <c r="S426" i="4"/>
  <c r="G319" i="4"/>
  <c r="G348" i="4" s="1"/>
  <c r="B442" i="4"/>
  <c r="I97" i="5"/>
  <c r="E100" i="5"/>
  <c r="Q100" i="5" s="1"/>
  <c r="Q13" i="5"/>
  <c r="S107" i="5"/>
  <c r="Q47" i="5"/>
  <c r="N50" i="5"/>
  <c r="N53" i="5"/>
  <c r="Q60" i="5"/>
  <c r="S66" i="5"/>
  <c r="P78" i="5"/>
  <c r="E242" i="5"/>
  <c r="C219" i="5"/>
  <c r="E226" i="5"/>
  <c r="Q226" i="5" s="1"/>
  <c r="S155" i="5"/>
  <c r="S161" i="5"/>
  <c r="L284" i="5"/>
  <c r="S284" i="5" s="1"/>
  <c r="S174" i="5"/>
  <c r="G295" i="5"/>
  <c r="G324" i="5" s="1"/>
  <c r="B297" i="5"/>
  <c r="G298" i="5"/>
  <c r="S189" i="5"/>
  <c r="B307" i="5"/>
  <c r="E251" i="5"/>
  <c r="N321" i="5"/>
  <c r="E442" i="5"/>
  <c r="Q442" i="5" s="1"/>
  <c r="E239" i="5"/>
  <c r="Q355" i="5"/>
  <c r="C447" i="5"/>
  <c r="C244" i="5"/>
  <c r="C331" i="5" s="1"/>
  <c r="L448" i="5"/>
  <c r="L245" i="5"/>
  <c r="D464" i="5"/>
  <c r="D261" i="5"/>
  <c r="H266" i="5"/>
  <c r="R266" i="5" s="1"/>
  <c r="H269" i="5"/>
  <c r="F272" i="5"/>
  <c r="C277" i="5"/>
  <c r="C280" i="5"/>
  <c r="P280" i="5" s="1"/>
  <c r="R399" i="5"/>
  <c r="I283" i="5"/>
  <c r="F291" i="5"/>
  <c r="M299" i="5"/>
  <c r="E301" i="5"/>
  <c r="Q301" i="5" s="1"/>
  <c r="Q417" i="5"/>
  <c r="L307" i="5"/>
  <c r="F446" i="5"/>
  <c r="Q446" i="5" s="1"/>
  <c r="C450" i="5"/>
  <c r="B454" i="5"/>
  <c r="N454" i="5" s="1"/>
  <c r="CB41" i="6"/>
  <c r="EH4" i="6"/>
  <c r="CX41" i="6"/>
  <c r="N22" i="6"/>
  <c r="N41" i="6" s="1"/>
  <c r="BI22" i="6"/>
  <c r="CE22" i="6"/>
  <c r="DA22" i="6"/>
  <c r="DT9" i="6"/>
  <c r="EP9" i="6"/>
  <c r="ET9" i="6" s="1"/>
  <c r="DW12" i="6"/>
  <c r="DN14" i="6"/>
  <c r="EJ14" i="6"/>
  <c r="DY15" i="6"/>
  <c r="DV18" i="6"/>
  <c r="EI24" i="6"/>
  <c r="EC31" i="6"/>
  <c r="DR5" i="7"/>
  <c r="F41" i="7"/>
  <c r="EN5" i="7"/>
  <c r="AB41" i="7"/>
  <c r="EG8" i="7"/>
  <c r="EL12" i="7"/>
  <c r="DZ29" i="7"/>
  <c r="ES32" i="7"/>
  <c r="EG33" i="7"/>
  <c r="BF40" i="7"/>
  <c r="R26" i="9"/>
  <c r="AG315" i="11"/>
  <c r="AG39" i="11"/>
  <c r="AG314" i="11"/>
  <c r="Q443" i="4"/>
  <c r="J447" i="4"/>
  <c r="G450" i="4"/>
  <c r="E456" i="4"/>
  <c r="Q456" i="4" s="1"/>
  <c r="Q369" i="4"/>
  <c r="M457" i="4"/>
  <c r="S457" i="4" s="1"/>
  <c r="B459" i="4"/>
  <c r="P372" i="4"/>
  <c r="N372" i="4"/>
  <c r="N375" i="4"/>
  <c r="P406" i="4"/>
  <c r="G309" i="4"/>
  <c r="S429" i="4"/>
  <c r="S435" i="4"/>
  <c r="K446" i="4"/>
  <c r="K454" i="4"/>
  <c r="I100" i="5"/>
  <c r="S17" i="5"/>
  <c r="E109" i="5"/>
  <c r="Q22" i="5"/>
  <c r="Q37" i="5"/>
  <c r="Q71" i="5"/>
  <c r="N74" i="5"/>
  <c r="N77" i="5"/>
  <c r="E92" i="5"/>
  <c r="L239" i="5"/>
  <c r="L326" i="5" s="1"/>
  <c r="I242" i="5"/>
  <c r="I329" i="5" s="1"/>
  <c r="I216" i="5"/>
  <c r="R216" i="5" s="1"/>
  <c r="G219" i="5"/>
  <c r="P135" i="5"/>
  <c r="L252" i="5"/>
  <c r="L339" i="5" s="1"/>
  <c r="D225" i="5"/>
  <c r="D254" i="5"/>
  <c r="I226" i="5"/>
  <c r="I255" i="5"/>
  <c r="H232" i="5"/>
  <c r="P150" i="5"/>
  <c r="K267" i="5"/>
  <c r="S151" i="5"/>
  <c r="D269" i="5"/>
  <c r="P269" i="5" s="1"/>
  <c r="I270" i="5"/>
  <c r="S179" i="5"/>
  <c r="S185" i="5"/>
  <c r="L308" i="5"/>
  <c r="S308" i="5" s="1"/>
  <c r="S198" i="5"/>
  <c r="N203" i="5"/>
  <c r="B319" i="5"/>
  <c r="K289" i="5"/>
  <c r="S289" i="5" s="1"/>
  <c r="K314" i="5"/>
  <c r="S314" i="5" s="1"/>
  <c r="J453" i="5"/>
  <c r="J250" i="5"/>
  <c r="H461" i="5"/>
  <c r="R461" i="5" s="1"/>
  <c r="H258" i="5"/>
  <c r="R374" i="5"/>
  <c r="R377" i="5"/>
  <c r="P466" i="5"/>
  <c r="C268" i="5"/>
  <c r="L269" i="5"/>
  <c r="L443" i="5"/>
  <c r="N387" i="5"/>
  <c r="B271" i="5"/>
  <c r="P387" i="5"/>
  <c r="J272" i="5"/>
  <c r="J446" i="5"/>
  <c r="N391" i="5"/>
  <c r="E295" i="5"/>
  <c r="Q295" i="5" s="1"/>
  <c r="Q411" i="5"/>
  <c r="J298" i="5"/>
  <c r="I301" i="5"/>
  <c r="I330" i="5" s="1"/>
  <c r="I446" i="5"/>
  <c r="F306" i="5"/>
  <c r="J320" i="5"/>
  <c r="AV41" i="6"/>
  <c r="EE8" i="6"/>
  <c r="BR41" i="6"/>
  <c r="BR22" i="6"/>
  <c r="DX9" i="6"/>
  <c r="DQ11" i="6"/>
  <c r="EM11" i="6"/>
  <c r="ED13" i="6"/>
  <c r="DR14" i="6"/>
  <c r="EG16" i="6"/>
  <c r="ED19" i="6"/>
  <c r="CM40" i="6"/>
  <c r="DV39" i="6"/>
  <c r="EJ6" i="7"/>
  <c r="EC6" i="7"/>
  <c r="DT12" i="7"/>
  <c r="EP12" i="7"/>
  <c r="ET12" i="7" s="1"/>
  <c r="ET19" i="7"/>
  <c r="BG41" i="7"/>
  <c r="V28" i="7"/>
  <c r="EH28" i="7" s="1"/>
  <c r="AR28" i="7"/>
  <c r="BN28" i="7"/>
  <c r="DF28" i="7"/>
  <c r="EM25" i="7"/>
  <c r="AA28" i="7"/>
  <c r="DN27" i="7"/>
  <c r="EJ27" i="7"/>
  <c r="ED32" i="7"/>
  <c r="EH4" i="8"/>
  <c r="BU41" i="8"/>
  <c r="X22" i="8"/>
  <c r="EJ22" i="8" s="1"/>
  <c r="EJ7" i="8"/>
  <c r="AT22" i="8"/>
  <c r="AT41" i="8" s="1"/>
  <c r="EC7" i="8"/>
  <c r="EI11" i="8"/>
  <c r="DY12" i="8"/>
  <c r="DS32" i="8"/>
  <c r="EO32" i="8"/>
  <c r="ES32" i="8" s="1"/>
  <c r="L108" i="10"/>
  <c r="L23" i="10" s="1"/>
  <c r="B446" i="4"/>
  <c r="P359" i="4"/>
  <c r="B449" i="4"/>
  <c r="P362" i="4"/>
  <c r="C459" i="4"/>
  <c r="I466" i="4"/>
  <c r="N466" i="4" s="1"/>
  <c r="H309" i="4"/>
  <c r="R309" i="4" s="1"/>
  <c r="R425" i="4"/>
  <c r="H440" i="4"/>
  <c r="R440" i="4" s="1"/>
  <c r="R444" i="4"/>
  <c r="B92" i="5"/>
  <c r="P5" i="5"/>
  <c r="N5" i="5"/>
  <c r="F96" i="5"/>
  <c r="N96" i="5" s="1"/>
  <c r="D99" i="5"/>
  <c r="B105" i="5"/>
  <c r="N18" i="5"/>
  <c r="J106" i="5"/>
  <c r="J251" i="5"/>
  <c r="F109" i="5"/>
  <c r="F115" i="5"/>
  <c r="K116" i="5"/>
  <c r="S116" i="5" s="1"/>
  <c r="N31" i="5"/>
  <c r="P87" i="5"/>
  <c r="K108" i="5"/>
  <c r="P122" i="5"/>
  <c r="D209" i="5"/>
  <c r="P209" i="5" s="1"/>
  <c r="M239" i="5"/>
  <c r="M326" i="5" s="1"/>
  <c r="J213" i="5"/>
  <c r="J216" i="5"/>
  <c r="H248" i="5"/>
  <c r="H219" i="5"/>
  <c r="R219" i="5" s="1"/>
  <c r="R132" i="5"/>
  <c r="Q135" i="5"/>
  <c r="E225" i="5"/>
  <c r="J226" i="5"/>
  <c r="J255" i="5"/>
  <c r="J342" i="5" s="1"/>
  <c r="C228" i="5"/>
  <c r="I232" i="5"/>
  <c r="E269" i="5"/>
  <c r="R173" i="5"/>
  <c r="P184" i="5"/>
  <c r="R188" i="5"/>
  <c r="B306" i="5"/>
  <c r="G307" i="5"/>
  <c r="M308" i="5"/>
  <c r="B316" i="5"/>
  <c r="R201" i="5"/>
  <c r="J242" i="5"/>
  <c r="J329" i="5" s="1"/>
  <c r="D245" i="5"/>
  <c r="D255" i="5"/>
  <c r="H447" i="5"/>
  <c r="R447" i="5" s="1"/>
  <c r="H244" i="5"/>
  <c r="R360" i="5"/>
  <c r="E252" i="5"/>
  <c r="Q368" i="5"/>
  <c r="M253" i="5"/>
  <c r="S253" i="5" s="1"/>
  <c r="M266" i="5"/>
  <c r="D268" i="5"/>
  <c r="P384" i="5"/>
  <c r="M269" i="5"/>
  <c r="M443" i="5"/>
  <c r="R390" i="5"/>
  <c r="K298" i="5"/>
  <c r="S414" i="5"/>
  <c r="J301" i="5"/>
  <c r="L304" i="5"/>
  <c r="G443" i="5"/>
  <c r="R454" i="5"/>
  <c r="DQ8" i="6"/>
  <c r="AA22" i="6"/>
  <c r="EM22" i="6" s="1"/>
  <c r="EM8" i="6"/>
  <c r="AW41" i="6"/>
  <c r="BS22" i="6"/>
  <c r="BS41" i="6" s="1"/>
  <c r="EB12" i="6"/>
  <c r="EH16" i="6"/>
  <c r="DS17" i="6"/>
  <c r="EO17" i="6"/>
  <c r="DP21" i="6"/>
  <c r="DZ30" i="6"/>
  <c r="DL41" i="7"/>
  <c r="DL45" i="7" s="1"/>
  <c r="DP8" i="7"/>
  <c r="D22" i="7"/>
  <c r="EL8" i="7"/>
  <c r="Z22" i="7"/>
  <c r="DU12" i="7"/>
  <c r="W28" i="7"/>
  <c r="EI28" i="7" s="1"/>
  <c r="AS28" i="7"/>
  <c r="AS41" i="7" s="1"/>
  <c r="BO28" i="7"/>
  <c r="CK28" i="7"/>
  <c r="DG28" i="7"/>
  <c r="DR25" i="7"/>
  <c r="EN25" i="7"/>
  <c r="DO27" i="7"/>
  <c r="EK27" i="7"/>
  <c r="EE32" i="7"/>
  <c r="D39" i="9"/>
  <c r="D330" i="9"/>
  <c r="O60" i="9"/>
  <c r="K60" i="9"/>
  <c r="AD13" i="9"/>
  <c r="AG74" i="9"/>
  <c r="P298" i="9"/>
  <c r="P34" i="9" s="1"/>
  <c r="P35" i="9" s="1"/>
  <c r="P41" i="9" s="1"/>
  <c r="P319" i="9"/>
  <c r="P321" i="9"/>
  <c r="AQ50" i="10"/>
  <c r="R247" i="11"/>
  <c r="R263" i="11" s="1"/>
  <c r="R105" i="11"/>
  <c r="R121" i="11" s="1"/>
  <c r="O248" i="11"/>
  <c r="O264" i="11" s="1"/>
  <c r="O106" i="11"/>
  <c r="O122" i="11" s="1"/>
  <c r="P424" i="4"/>
  <c r="N424" i="4"/>
  <c r="B308" i="4"/>
  <c r="H315" i="4"/>
  <c r="M316" i="4"/>
  <c r="M319" i="4"/>
  <c r="N437" i="4"/>
  <c r="B321" i="4"/>
  <c r="G96" i="5"/>
  <c r="K106" i="5"/>
  <c r="S106" i="5" s="1"/>
  <c r="S19" i="5"/>
  <c r="G115" i="5"/>
  <c r="L116" i="5"/>
  <c r="R98" i="5"/>
  <c r="Q122" i="5"/>
  <c r="E238" i="5"/>
  <c r="E209" i="5"/>
  <c r="E212" i="5"/>
  <c r="K213" i="5"/>
  <c r="D215" i="5"/>
  <c r="D228" i="5"/>
  <c r="F266" i="5"/>
  <c r="F324" i="5" s="1"/>
  <c r="N172" i="5"/>
  <c r="N187" i="5"/>
  <c r="H307" i="5"/>
  <c r="N214" i="5"/>
  <c r="K242" i="5"/>
  <c r="M348" i="5"/>
  <c r="Q275" i="5"/>
  <c r="P279" i="5"/>
  <c r="R299" i="5"/>
  <c r="Q303" i="5"/>
  <c r="P354" i="5"/>
  <c r="N354" i="5"/>
  <c r="D441" i="5"/>
  <c r="P441" i="5" s="1"/>
  <c r="I244" i="5"/>
  <c r="I331" i="5" s="1"/>
  <c r="B254" i="5"/>
  <c r="P370" i="5"/>
  <c r="N370" i="5"/>
  <c r="K458" i="5"/>
  <c r="K255" i="5"/>
  <c r="J461" i="5"/>
  <c r="D463" i="5"/>
  <c r="E268" i="5"/>
  <c r="Q268" i="5" s="1"/>
  <c r="Q384" i="5"/>
  <c r="I274" i="5"/>
  <c r="E282" i="5"/>
  <c r="Q398" i="5"/>
  <c r="C290" i="5"/>
  <c r="L291" i="5"/>
  <c r="S291" i="5" s="1"/>
  <c r="L465" i="5"/>
  <c r="S465" i="5" s="1"/>
  <c r="L298" i="5"/>
  <c r="N416" i="5"/>
  <c r="B300" i="5"/>
  <c r="N300" i="5" s="1"/>
  <c r="T41" i="6"/>
  <c r="EF5" i="6"/>
  <c r="AX41" i="6"/>
  <c r="EF13" i="6"/>
  <c r="DY13" i="6"/>
  <c r="DT17" i="6"/>
  <c r="EP17" i="6"/>
  <c r="DS24" i="6"/>
  <c r="G28" i="6"/>
  <c r="EO24" i="6"/>
  <c r="AC28" i="6"/>
  <c r="DS34" i="6"/>
  <c r="BU41" i="7"/>
  <c r="DM41" i="7"/>
  <c r="DM45" i="7" s="1"/>
  <c r="EL6" i="7"/>
  <c r="EE6" i="7"/>
  <c r="AV41" i="7"/>
  <c r="BR41" i="7"/>
  <c r="DJ41" i="7"/>
  <c r="DQ8" i="7"/>
  <c r="EM8" i="7"/>
  <c r="B28" i="7"/>
  <c r="DN23" i="7"/>
  <c r="X28" i="7"/>
  <c r="EJ23" i="7"/>
  <c r="AT28" i="7"/>
  <c r="BP28" i="7"/>
  <c r="DV23" i="7"/>
  <c r="CL28" i="7"/>
  <c r="CL41" i="7" s="1"/>
  <c r="DH28" i="7"/>
  <c r="DS25" i="7"/>
  <c r="G28" i="7"/>
  <c r="AC28" i="7"/>
  <c r="EO25" i="7"/>
  <c r="DM28" i="7"/>
  <c r="DZ40" i="7"/>
  <c r="DS29" i="7"/>
  <c r="AJ40" i="7"/>
  <c r="AJ41" i="7" s="1"/>
  <c r="CS41" i="8"/>
  <c r="P60" i="9"/>
  <c r="L60" i="9"/>
  <c r="AG73" i="9"/>
  <c r="T266" i="9"/>
  <c r="T270" i="9"/>
  <c r="K266" i="9"/>
  <c r="K271" i="9"/>
  <c r="AA274" i="9"/>
  <c r="AG258" i="9"/>
  <c r="AH9" i="10"/>
  <c r="AK7" i="10"/>
  <c r="AJ7" i="10"/>
  <c r="J11" i="10"/>
  <c r="J16" i="10" s="1"/>
  <c r="AF11" i="10"/>
  <c r="AF16" i="10" s="1"/>
  <c r="Y211" i="10"/>
  <c r="Y227" i="10" s="1"/>
  <c r="Y243" i="10" s="1"/>
  <c r="Y100" i="10"/>
  <c r="AE86" i="10"/>
  <c r="P108" i="10"/>
  <c r="P23" i="10" s="1"/>
  <c r="S247" i="11"/>
  <c r="S263" i="11" s="1"/>
  <c r="S105" i="11"/>
  <c r="S121" i="11" s="1"/>
  <c r="D446" i="4"/>
  <c r="J453" i="4"/>
  <c r="H456" i="4"/>
  <c r="R456" i="4" s="1"/>
  <c r="R369" i="4"/>
  <c r="D465" i="4"/>
  <c r="P411" i="4"/>
  <c r="N411" i="4"/>
  <c r="N422" i="4"/>
  <c r="C308" i="4"/>
  <c r="I315" i="4"/>
  <c r="L93" i="5"/>
  <c r="S93" i="5" s="1"/>
  <c r="R9" i="5"/>
  <c r="G102" i="5"/>
  <c r="L103" i="5"/>
  <c r="S103" i="5" s="1"/>
  <c r="L106" i="5"/>
  <c r="S20" i="5"/>
  <c r="D118" i="5"/>
  <c r="P59" i="5"/>
  <c r="F238" i="5"/>
  <c r="F209" i="5"/>
  <c r="F212" i="5"/>
  <c r="E215" i="5"/>
  <c r="Q215" i="5" s="1"/>
  <c r="G222" i="5"/>
  <c r="R136" i="5"/>
  <c r="G225" i="5"/>
  <c r="E228" i="5"/>
  <c r="Q228" i="5" s="1"/>
  <c r="Q141" i="5"/>
  <c r="N144" i="5"/>
  <c r="B260" i="5"/>
  <c r="K232" i="5"/>
  <c r="N159" i="5"/>
  <c r="J276" i="5"/>
  <c r="R276" i="5" s="1"/>
  <c r="B278" i="5"/>
  <c r="N170" i="5"/>
  <c r="C291" i="5"/>
  <c r="H292" i="5"/>
  <c r="R176" i="5"/>
  <c r="J304" i="5"/>
  <c r="P193" i="5"/>
  <c r="N193" i="5"/>
  <c r="B208" i="5"/>
  <c r="M210" i="5"/>
  <c r="F342" i="5"/>
  <c r="L458" i="5"/>
  <c r="L255" i="5"/>
  <c r="B460" i="5"/>
  <c r="N373" i="5"/>
  <c r="B257" i="5"/>
  <c r="K461" i="5"/>
  <c r="K258" i="5"/>
  <c r="S374" i="5"/>
  <c r="Q387" i="5"/>
  <c r="E271" i="5"/>
  <c r="J274" i="5"/>
  <c r="J332" i="5" s="1"/>
  <c r="F282" i="5"/>
  <c r="D290" i="5"/>
  <c r="P406" i="5"/>
  <c r="M291" i="5"/>
  <c r="M465" i="5"/>
  <c r="N413" i="5"/>
  <c r="M298" i="5"/>
  <c r="Q419" i="5"/>
  <c r="N419" i="5"/>
  <c r="N435" i="5"/>
  <c r="M320" i="5"/>
  <c r="P440" i="5"/>
  <c r="EG5" i="6"/>
  <c r="EG7" i="6"/>
  <c r="U22" i="6"/>
  <c r="CL22" i="6"/>
  <c r="DS8" i="6"/>
  <c r="EO8" i="6"/>
  <c r="ES8" i="6" s="1"/>
  <c r="AY41" i="6"/>
  <c r="BU22" i="6"/>
  <c r="BU41" i="6" s="1"/>
  <c r="EE10" i="6"/>
  <c r="DX10" i="6"/>
  <c r="DT11" i="6"/>
  <c r="EG13" i="6"/>
  <c r="EG19" i="6"/>
  <c r="B28" i="6"/>
  <c r="X28" i="6"/>
  <c r="BP28" i="6"/>
  <c r="BP41" i="6" s="1"/>
  <c r="CL28" i="6"/>
  <c r="DH28" i="6"/>
  <c r="DT24" i="6"/>
  <c r="EP24" i="6"/>
  <c r="ET24" i="6" s="1"/>
  <c r="DQ6" i="7"/>
  <c r="EM6" i="7"/>
  <c r="DO23" i="7"/>
  <c r="EK23" i="7"/>
  <c r="DT25" i="7"/>
  <c r="H28" i="7"/>
  <c r="DT28" i="7" s="1"/>
  <c r="EP25" i="7"/>
  <c r="ET25" i="7" s="1"/>
  <c r="AD28" i="7"/>
  <c r="DQ27" i="7"/>
  <c r="EM27" i="7"/>
  <c r="EA29" i="7"/>
  <c r="O40" i="7"/>
  <c r="EA40" i="7" s="1"/>
  <c r="DT29" i="7"/>
  <c r="AK40" i="7"/>
  <c r="ET29" i="7"/>
  <c r="CC40" i="7"/>
  <c r="EO31" i="7"/>
  <c r="ES31" i="7" s="1"/>
  <c r="DT36" i="7"/>
  <c r="EP36" i="7"/>
  <c r="ET36" i="7" s="1"/>
  <c r="E22" i="8"/>
  <c r="DQ7" i="8"/>
  <c r="AA22" i="8"/>
  <c r="EM22" i="8" s="1"/>
  <c r="EM7" i="8"/>
  <c r="AW22" i="8"/>
  <c r="EF7" i="8"/>
  <c r="AK22" i="8"/>
  <c r="DV26" i="8"/>
  <c r="D54" i="9"/>
  <c r="M60" i="9"/>
  <c r="R321" i="9"/>
  <c r="R298" i="9"/>
  <c r="B290" i="9" s="1"/>
  <c r="B322" i="9" s="1"/>
  <c r="R322" i="9"/>
  <c r="AI7" i="10"/>
  <c r="AI9" i="10" s="1"/>
  <c r="AI11" i="10" s="1"/>
  <c r="AI16" i="10" s="1"/>
  <c r="AL304" i="10"/>
  <c r="M76" i="10"/>
  <c r="M13" i="10" s="1"/>
  <c r="M10" i="1" s="1"/>
  <c r="Z100" i="10"/>
  <c r="Z211" i="10"/>
  <c r="Z227" i="10" s="1"/>
  <c r="Z243" i="10" s="1"/>
  <c r="D245" i="11"/>
  <c r="D261" i="11" s="1"/>
  <c r="D103" i="11"/>
  <c r="D119" i="11" s="1"/>
  <c r="AM291" i="11"/>
  <c r="AQ294" i="11"/>
  <c r="R124" i="4"/>
  <c r="L309" i="4"/>
  <c r="E312" i="4"/>
  <c r="Q312" i="4" s="1"/>
  <c r="J313" i="4"/>
  <c r="R313" i="4" s="1"/>
  <c r="C316" i="4"/>
  <c r="H317" i="4"/>
  <c r="R317" i="4" s="1"/>
  <c r="M318" i="4"/>
  <c r="F321" i="4"/>
  <c r="E446" i="4"/>
  <c r="Q446" i="4" s="1"/>
  <c r="Q359" i="4"/>
  <c r="E452" i="4"/>
  <c r="Q452" i="4" s="1"/>
  <c r="K453" i="4"/>
  <c r="S453" i="4" s="1"/>
  <c r="I456" i="4"/>
  <c r="R370" i="4"/>
  <c r="E465" i="4"/>
  <c r="Q465" i="4" s="1"/>
  <c r="P396" i="4"/>
  <c r="N396" i="4"/>
  <c r="N399" i="4"/>
  <c r="E459" i="4"/>
  <c r="Q459" i="4" s="1"/>
  <c r="M93" i="5"/>
  <c r="B95" i="5"/>
  <c r="N95" i="5" s="1"/>
  <c r="N8" i="5"/>
  <c r="H102" i="5"/>
  <c r="R102" i="5" s="1"/>
  <c r="M103" i="5"/>
  <c r="M106" i="5"/>
  <c r="N21" i="5"/>
  <c r="E118" i="5"/>
  <c r="G238" i="5"/>
  <c r="G325" i="5" s="1"/>
  <c r="G241" i="5"/>
  <c r="B221" i="5"/>
  <c r="B250" i="5"/>
  <c r="H222" i="5"/>
  <c r="R222" i="5" s="1"/>
  <c r="C231" i="5"/>
  <c r="N231" i="5" s="1"/>
  <c r="C234" i="5"/>
  <c r="K276" i="5"/>
  <c r="S276" i="5" s="1"/>
  <c r="S160" i="5"/>
  <c r="P172" i="5"/>
  <c r="D291" i="5"/>
  <c r="P291" i="5" s="1"/>
  <c r="I292" i="5"/>
  <c r="Q182" i="5"/>
  <c r="S304" i="5"/>
  <c r="C208" i="5"/>
  <c r="K231" i="5"/>
  <c r="E333" i="5"/>
  <c r="K290" i="5"/>
  <c r="S290" i="5" s="1"/>
  <c r="R368" i="5"/>
  <c r="H252" i="5"/>
  <c r="H455" i="5"/>
  <c r="P457" i="5"/>
  <c r="M458" i="5"/>
  <c r="M255" i="5"/>
  <c r="M342" i="5" s="1"/>
  <c r="C460" i="5"/>
  <c r="C257" i="5"/>
  <c r="L461" i="5"/>
  <c r="L258" i="5"/>
  <c r="L345" i="5" s="1"/>
  <c r="H466" i="5"/>
  <c r="H263" i="5"/>
  <c r="R379" i="5"/>
  <c r="R385" i="5"/>
  <c r="Q388" i="5"/>
  <c r="I285" i="5"/>
  <c r="I343" i="5" s="1"/>
  <c r="M288" i="5"/>
  <c r="S288" i="5" s="1"/>
  <c r="D297" i="5"/>
  <c r="P413" i="5"/>
  <c r="D300" i="5"/>
  <c r="P416" i="5"/>
  <c r="S420" i="5"/>
  <c r="J451" i="5"/>
  <c r="J306" i="5"/>
  <c r="H314" i="5"/>
  <c r="R314" i="5" s="1"/>
  <c r="R430" i="5"/>
  <c r="D319" i="5"/>
  <c r="P435" i="5"/>
  <c r="V22" i="6"/>
  <c r="EH7" i="6"/>
  <c r="BQ22" i="6"/>
  <c r="CM22" i="6"/>
  <c r="AZ41" i="6"/>
  <c r="CR22" i="6"/>
  <c r="CR41" i="6" s="1"/>
  <c r="BQ28" i="6"/>
  <c r="CM28" i="6"/>
  <c r="DI28" i="6"/>
  <c r="DR6" i="7"/>
  <c r="EN6" i="7"/>
  <c r="EG6" i="7"/>
  <c r="EG9" i="7"/>
  <c r="DZ9" i="7"/>
  <c r="ES10" i="7"/>
  <c r="DU25" i="7"/>
  <c r="I28" i="7"/>
  <c r="DU28" i="7" s="1"/>
  <c r="EB29" i="7"/>
  <c r="P40" i="7"/>
  <c r="AL40" i="7"/>
  <c r="AL41" i="7" s="1"/>
  <c r="DU29" i="7"/>
  <c r="BH40" i="7"/>
  <c r="BH41" i="7" s="1"/>
  <c r="CD40" i="7"/>
  <c r="CZ40" i="7"/>
  <c r="CZ41" i="7" s="1"/>
  <c r="DT37" i="7"/>
  <c r="H40" i="7"/>
  <c r="DT40" i="7" s="1"/>
  <c r="EP37" i="7"/>
  <c r="AD40" i="7"/>
  <c r="EP40" i="7" s="1"/>
  <c r="F22" i="8"/>
  <c r="EN7" i="8"/>
  <c r="AB22" i="8"/>
  <c r="AX22" i="8"/>
  <c r="AX41" i="8" s="1"/>
  <c r="EG7" i="8"/>
  <c r="BT22" i="8"/>
  <c r="BT41" i="8" s="1"/>
  <c r="CP22" i="8"/>
  <c r="DL22" i="8"/>
  <c r="DL41" i="8" s="1"/>
  <c r="DL45" i="8" s="1"/>
  <c r="AA279" i="9"/>
  <c r="AG263" i="9"/>
  <c r="S321" i="9"/>
  <c r="S298" i="9"/>
  <c r="S34" i="9" s="1"/>
  <c r="E245" i="11"/>
  <c r="E261" i="11" s="1"/>
  <c r="E103" i="11"/>
  <c r="E119" i="11" s="1"/>
  <c r="E305" i="4"/>
  <c r="Q305" i="4" s="1"/>
  <c r="K440" i="4"/>
  <c r="S440" i="4" s="1"/>
  <c r="N355" i="4"/>
  <c r="J443" i="4"/>
  <c r="R443" i="4" s="1"/>
  <c r="F452" i="4"/>
  <c r="J456" i="4"/>
  <c r="P383" i="4"/>
  <c r="C314" i="4"/>
  <c r="H318" i="4"/>
  <c r="F92" i="5"/>
  <c r="F105" i="5"/>
  <c r="N19" i="5"/>
  <c r="J109" i="5"/>
  <c r="B114" i="5"/>
  <c r="N114" i="5" s="1"/>
  <c r="P27" i="5"/>
  <c r="N27" i="5"/>
  <c r="F118" i="5"/>
  <c r="N34" i="5"/>
  <c r="N42" i="5"/>
  <c r="Q49" i="5"/>
  <c r="E113" i="5"/>
  <c r="Q113" i="5" s="1"/>
  <c r="H238" i="5"/>
  <c r="R122" i="5"/>
  <c r="C211" i="5"/>
  <c r="Q126" i="5"/>
  <c r="L248" i="5"/>
  <c r="L219" i="5"/>
  <c r="C221" i="5"/>
  <c r="I222" i="5"/>
  <c r="P139" i="5"/>
  <c r="P144" i="5"/>
  <c r="P159" i="5"/>
  <c r="L276" i="5"/>
  <c r="L334" i="5" s="1"/>
  <c r="D278" i="5"/>
  <c r="I279" i="5"/>
  <c r="Q170" i="5"/>
  <c r="E288" i="5"/>
  <c r="Q288" i="5" s="1"/>
  <c r="R197" i="5"/>
  <c r="G223" i="5"/>
  <c r="M339" i="5"/>
  <c r="H255" i="5"/>
  <c r="R275" i="5"/>
  <c r="H303" i="5"/>
  <c r="R303" i="5" s="1"/>
  <c r="P355" i="5"/>
  <c r="J444" i="5"/>
  <c r="N444" i="5" s="1"/>
  <c r="J241" i="5"/>
  <c r="J328" i="5" s="1"/>
  <c r="D446" i="5"/>
  <c r="P446" i="5" s="1"/>
  <c r="N371" i="5"/>
  <c r="D257" i="5"/>
  <c r="P373" i="5"/>
  <c r="D460" i="5"/>
  <c r="M258" i="5"/>
  <c r="I466" i="5"/>
  <c r="I263" i="5"/>
  <c r="R382" i="5"/>
  <c r="H268" i="5"/>
  <c r="R384" i="5"/>
  <c r="H442" i="5"/>
  <c r="R442" i="5" s="1"/>
  <c r="D276" i="5"/>
  <c r="P276" i="5" s="1"/>
  <c r="P392" i="5"/>
  <c r="G279" i="5"/>
  <c r="G453" i="5"/>
  <c r="N453" i="5" s="1"/>
  <c r="S396" i="5"/>
  <c r="L280" i="5"/>
  <c r="D458" i="5"/>
  <c r="F290" i="5"/>
  <c r="E297" i="5"/>
  <c r="Q413" i="5"/>
  <c r="N421" i="5"/>
  <c r="B305" i="5"/>
  <c r="N305" i="5" s="1"/>
  <c r="K306" i="5"/>
  <c r="K335" i="5" s="1"/>
  <c r="S422" i="5"/>
  <c r="I314" i="5"/>
  <c r="E319" i="5"/>
  <c r="Q319" i="5" s="1"/>
  <c r="Q435" i="5"/>
  <c r="H440" i="5"/>
  <c r="R440" i="5" s="1"/>
  <c r="K451" i="5"/>
  <c r="S451" i="5" s="1"/>
  <c r="E455" i="5"/>
  <c r="EI5" i="6"/>
  <c r="DY6" i="6"/>
  <c r="DU8" i="6"/>
  <c r="AE41" i="6"/>
  <c r="BA41" i="6"/>
  <c r="BW22" i="6"/>
  <c r="BW41" i="6" s="1"/>
  <c r="EO9" i="6"/>
  <c r="ES9" i="6" s="1"/>
  <c r="DV11" i="6"/>
  <c r="EI13" i="6"/>
  <c r="DW14" i="6"/>
  <c r="DN35" i="6"/>
  <c r="EJ35" i="6"/>
  <c r="B40" i="6"/>
  <c r="DN40" i="6" s="1"/>
  <c r="DS27" i="7"/>
  <c r="EO27" i="7"/>
  <c r="Q40" i="7"/>
  <c r="EC29" i="7"/>
  <c r="AM40" i="7"/>
  <c r="DV29" i="7"/>
  <c r="BI40" i="7"/>
  <c r="CE40" i="7"/>
  <c r="DA40" i="7"/>
  <c r="EI37" i="7"/>
  <c r="DX39" i="7"/>
  <c r="G22" i="8"/>
  <c r="DS7" i="8"/>
  <c r="AC22" i="8"/>
  <c r="EO7" i="8"/>
  <c r="ES7" i="8" s="1"/>
  <c r="DR11" i="8"/>
  <c r="EN11" i="8"/>
  <c r="EG11" i="8"/>
  <c r="EI31" i="8"/>
  <c r="W40" i="8"/>
  <c r="EI40" i="8" s="1"/>
  <c r="DG40" i="8"/>
  <c r="DG41" i="8" s="1"/>
  <c r="CC41" i="8"/>
  <c r="G39" i="9"/>
  <c r="G330" i="9"/>
  <c r="W266" i="9"/>
  <c r="W282" i="9" s="1"/>
  <c r="W270" i="9"/>
  <c r="N266" i="9"/>
  <c r="N271" i="9"/>
  <c r="U275" i="9"/>
  <c r="J281" i="9"/>
  <c r="AF265" i="9"/>
  <c r="AB60" i="10"/>
  <c r="AC13" i="11"/>
  <c r="BF44" i="6"/>
  <c r="L440" i="4"/>
  <c r="K443" i="4"/>
  <c r="S356" i="4"/>
  <c r="K456" i="4"/>
  <c r="S456" i="4" s="1"/>
  <c r="S369" i="4"/>
  <c r="H459" i="4"/>
  <c r="R459" i="4" s="1"/>
  <c r="R372" i="4"/>
  <c r="R406" i="4"/>
  <c r="Q411" i="4"/>
  <c r="D314" i="4"/>
  <c r="I318" i="4"/>
  <c r="I347" i="4" s="1"/>
  <c r="G92" i="5"/>
  <c r="P8" i="5"/>
  <c r="K96" i="5"/>
  <c r="S96" i="5" s="1"/>
  <c r="S9" i="5"/>
  <c r="B101" i="5"/>
  <c r="G105" i="5"/>
  <c r="K115" i="5"/>
  <c r="G118" i="5"/>
  <c r="S37" i="5"/>
  <c r="S43" i="5"/>
  <c r="N55" i="5"/>
  <c r="S56" i="5"/>
  <c r="S71" i="5"/>
  <c r="I209" i="5"/>
  <c r="R126" i="5"/>
  <c r="H215" i="5"/>
  <c r="R215" i="5" s="1"/>
  <c r="R128" i="5"/>
  <c r="P129" i="5"/>
  <c r="P131" i="5"/>
  <c r="P134" i="5"/>
  <c r="J225" i="5"/>
  <c r="Q139" i="5"/>
  <c r="H228" i="5"/>
  <c r="R228" i="5" s="1"/>
  <c r="R141" i="5"/>
  <c r="Q144" i="5"/>
  <c r="E260" i="5"/>
  <c r="R145" i="5"/>
  <c r="E234" i="5"/>
  <c r="E263" i="5"/>
  <c r="J266" i="5"/>
  <c r="R156" i="5"/>
  <c r="Q159" i="5"/>
  <c r="E278" i="5"/>
  <c r="Q278" i="5" s="1"/>
  <c r="J279" i="5"/>
  <c r="F288" i="5"/>
  <c r="F346" i="5" s="1"/>
  <c r="F230" i="5"/>
  <c r="P180" i="5"/>
  <c r="Q193" i="5"/>
  <c r="N196" i="5"/>
  <c r="I313" i="5"/>
  <c r="R313" i="5" s="1"/>
  <c r="G316" i="5"/>
  <c r="M317" i="5"/>
  <c r="F208" i="5"/>
  <c r="Q208" i="5" s="1"/>
  <c r="D220" i="5"/>
  <c r="P220" i="5" s="1"/>
  <c r="D324" i="5"/>
  <c r="P237" i="5"/>
  <c r="K279" i="5"/>
  <c r="S279" i="5" s="1"/>
  <c r="B443" i="5"/>
  <c r="B240" i="5"/>
  <c r="K444" i="5"/>
  <c r="S357" i="5"/>
  <c r="K241" i="5"/>
  <c r="G452" i="5"/>
  <c r="G249" i="5"/>
  <c r="G336" i="5" s="1"/>
  <c r="F457" i="5"/>
  <c r="Q370" i="5"/>
  <c r="E460" i="5"/>
  <c r="Q460" i="5" s="1"/>
  <c r="Q373" i="5"/>
  <c r="P377" i="5"/>
  <c r="J466" i="5"/>
  <c r="J263" i="5"/>
  <c r="J350" i="5" s="1"/>
  <c r="I268" i="5"/>
  <c r="H287" i="5"/>
  <c r="R287" i="5" s="1"/>
  <c r="R403" i="5"/>
  <c r="K295" i="5"/>
  <c r="S295" i="5" s="1"/>
  <c r="F297" i="5"/>
  <c r="F326" i="5" s="1"/>
  <c r="J311" i="5"/>
  <c r="F316" i="5"/>
  <c r="Q432" i="5"/>
  <c r="N432" i="5"/>
  <c r="F319" i="5"/>
  <c r="DV4" i="6"/>
  <c r="CL41" i="6"/>
  <c r="X22" i="6"/>
  <c r="CO22" i="6"/>
  <c r="CO41" i="6" s="1"/>
  <c r="AF41" i="6"/>
  <c r="ED9" i="6"/>
  <c r="EE27" i="6"/>
  <c r="I40" i="6"/>
  <c r="DU40" i="6" s="1"/>
  <c r="BW40" i="6"/>
  <c r="EC40" i="6" s="1"/>
  <c r="CS40" i="6"/>
  <c r="DV40" i="6" s="1"/>
  <c r="DT6" i="7"/>
  <c r="EP6" i="7"/>
  <c r="ET6" i="7" s="1"/>
  <c r="EN13" i="7"/>
  <c r="DW25" i="7"/>
  <c r="K28" i="7"/>
  <c r="DQ25" i="7"/>
  <c r="AN40" i="7"/>
  <c r="DW29" i="7"/>
  <c r="CF40" i="7"/>
  <c r="DB40" i="7"/>
  <c r="DR4" i="8"/>
  <c r="EN4" i="8"/>
  <c r="AB41" i="8"/>
  <c r="H22" i="8"/>
  <c r="H41" i="8" s="1"/>
  <c r="DT7" i="8"/>
  <c r="AZ22" i="8"/>
  <c r="BV22" i="8"/>
  <c r="CR22" i="8"/>
  <c r="CR41" i="8" s="1"/>
  <c r="DN7" i="8"/>
  <c r="E15" i="9"/>
  <c r="M76" i="9"/>
  <c r="M13" i="9" s="1"/>
  <c r="B266" i="9"/>
  <c r="B282" i="9" s="1"/>
  <c r="B270" i="9"/>
  <c r="X266" i="9"/>
  <c r="X282" i="9" s="1"/>
  <c r="X270" i="9"/>
  <c r="O271" i="9"/>
  <c r="O266" i="9"/>
  <c r="AA272" i="9"/>
  <c r="AG256" i="9"/>
  <c r="L266" i="9"/>
  <c r="L282" i="9" s="1"/>
  <c r="U318" i="9"/>
  <c r="U298" i="9"/>
  <c r="U34" i="9" s="1"/>
  <c r="U35" i="9" s="1"/>
  <c r="U41" i="9" s="1"/>
  <c r="U36" i="9" s="1"/>
  <c r="U320" i="9"/>
  <c r="O60" i="10"/>
  <c r="O10" i="10" s="1"/>
  <c r="G60" i="10"/>
  <c r="AC60" i="10"/>
  <c r="J218" i="5"/>
  <c r="E244" i="5"/>
  <c r="Q360" i="5"/>
  <c r="C456" i="5"/>
  <c r="C253" i="5"/>
  <c r="C340" i="5" s="1"/>
  <c r="M457" i="5"/>
  <c r="M254" i="5"/>
  <c r="M341" i="5" s="1"/>
  <c r="C256" i="5"/>
  <c r="S463" i="5"/>
  <c r="C465" i="5"/>
  <c r="C262" i="5"/>
  <c r="C349" i="5" s="1"/>
  <c r="L263" i="5"/>
  <c r="L350" i="5" s="1"/>
  <c r="N383" i="5"/>
  <c r="B267" i="5"/>
  <c r="K274" i="5"/>
  <c r="S274" i="5" s="1"/>
  <c r="S390" i="5"/>
  <c r="H277" i="5"/>
  <c r="R277" i="5" s="1"/>
  <c r="R393" i="5"/>
  <c r="K283" i="5"/>
  <c r="G297" i="5"/>
  <c r="G326" i="5" s="1"/>
  <c r="E300" i="5"/>
  <c r="Q300" i="5" s="1"/>
  <c r="Q416" i="5"/>
  <c r="G306" i="5"/>
  <c r="D309" i="5"/>
  <c r="G315" i="5"/>
  <c r="C318" i="5"/>
  <c r="C347" i="5" s="1"/>
  <c r="L319" i="5"/>
  <c r="H450" i="5"/>
  <c r="R450" i="5" s="1"/>
  <c r="P462" i="5"/>
  <c r="ED4" i="6"/>
  <c r="BX41" i="6"/>
  <c r="F41" i="6"/>
  <c r="DV6" i="6"/>
  <c r="DY8" i="6"/>
  <c r="AI41" i="6"/>
  <c r="DZ9" i="6"/>
  <c r="DX12" i="6"/>
  <c r="DS13" i="6"/>
  <c r="EO13" i="6"/>
  <c r="ES13" i="6" s="1"/>
  <c r="DT14" i="6"/>
  <c r="EP14" i="6"/>
  <c r="ET14" i="6" s="1"/>
  <c r="DP17" i="6"/>
  <c r="EL17" i="6"/>
  <c r="DN19" i="6"/>
  <c r="EJ19" i="6"/>
  <c r="DP24" i="6"/>
  <c r="D28" i="6"/>
  <c r="EL24" i="6"/>
  <c r="DU27" i="6"/>
  <c r="ES30" i="6"/>
  <c r="EE31" i="6"/>
  <c r="DW37" i="6"/>
  <c r="CC41" i="7"/>
  <c r="DV6" i="7"/>
  <c r="DV10" i="7"/>
  <c r="DQ12" i="7"/>
  <c r="EM12" i="7"/>
  <c r="DT27" i="7"/>
  <c r="EP27" i="7"/>
  <c r="ET27" i="7" s="1"/>
  <c r="EI29" i="7"/>
  <c r="W40" i="7"/>
  <c r="AS40" i="7"/>
  <c r="BO40" i="7"/>
  <c r="CK40" i="7"/>
  <c r="DG40" i="7"/>
  <c r="EH35" i="7"/>
  <c r="ED4" i="8"/>
  <c r="CM41" i="8"/>
  <c r="DI41" i="8"/>
  <c r="EL4" i="8"/>
  <c r="EH6" i="8"/>
  <c r="DW9" i="8"/>
  <c r="DV11" i="8"/>
  <c r="L28" i="8"/>
  <c r="DX28" i="8" s="1"/>
  <c r="AH28" i="8"/>
  <c r="BD28" i="8"/>
  <c r="BZ28" i="8"/>
  <c r="EF28" i="8" s="1"/>
  <c r="CV28" i="8"/>
  <c r="DX30" i="8"/>
  <c r="DU32" i="8"/>
  <c r="DY36" i="8"/>
  <c r="W60" i="9"/>
  <c r="W10" i="9" s="1"/>
  <c r="AB187" i="9"/>
  <c r="AB27" i="9" s="1"/>
  <c r="AM310" i="10"/>
  <c r="AM311" i="10" s="1"/>
  <c r="AM312" i="10" s="1"/>
  <c r="AM313" i="10" s="1"/>
  <c r="L227" i="10"/>
  <c r="L243" i="10" s="1"/>
  <c r="L219" i="10"/>
  <c r="L33" i="10" s="1"/>
  <c r="AI361" i="11"/>
  <c r="AM355" i="11"/>
  <c r="AM357" i="11"/>
  <c r="AM359" i="11"/>
  <c r="AM350" i="11"/>
  <c r="B6" i="12"/>
  <c r="B9" i="12"/>
  <c r="B4" i="12"/>
  <c r="K218" i="5"/>
  <c r="S218" i="5" s="1"/>
  <c r="K280" i="5"/>
  <c r="B311" i="5"/>
  <c r="P311" i="5" s="1"/>
  <c r="H444" i="5"/>
  <c r="H241" i="5"/>
  <c r="R357" i="5"/>
  <c r="F447" i="5"/>
  <c r="D456" i="5"/>
  <c r="P456" i="5" s="1"/>
  <c r="D253" i="5"/>
  <c r="P369" i="5"/>
  <c r="P372" i="5"/>
  <c r="D465" i="5"/>
  <c r="P465" i="5" s="1"/>
  <c r="D262" i="5"/>
  <c r="P378" i="5"/>
  <c r="M466" i="5"/>
  <c r="C267" i="5"/>
  <c r="C325" i="5" s="1"/>
  <c r="N389" i="5"/>
  <c r="L274" i="5"/>
  <c r="I277" i="5"/>
  <c r="I335" i="5" s="1"/>
  <c r="L283" i="5"/>
  <c r="I286" i="5"/>
  <c r="H297" i="5"/>
  <c r="R297" i="5" s="1"/>
  <c r="R413" i="5"/>
  <c r="H306" i="5"/>
  <c r="R422" i="5"/>
  <c r="E309" i="5"/>
  <c r="Q425" i="5"/>
  <c r="H315" i="5"/>
  <c r="P434" i="5"/>
  <c r="G41" i="6"/>
  <c r="EO5" i="6"/>
  <c r="ES5" i="6" s="1"/>
  <c r="DW6" i="6"/>
  <c r="DZ8" i="6"/>
  <c r="EA9" i="6"/>
  <c r="DX11" i="6"/>
  <c r="DY12" i="6"/>
  <c r="DU14" i="6"/>
  <c r="DQ16" i="6"/>
  <c r="EM16" i="6"/>
  <c r="DO19" i="6"/>
  <c r="EK19" i="6"/>
  <c r="DP20" i="6"/>
  <c r="EL20" i="6"/>
  <c r="ES20" i="6"/>
  <c r="EN21" i="6"/>
  <c r="DQ24" i="6"/>
  <c r="EM24" i="6"/>
  <c r="EF31" i="6"/>
  <c r="EE5" i="7"/>
  <c r="DW10" i="7"/>
  <c r="DR12" i="7"/>
  <c r="EN12" i="7"/>
  <c r="EL16" i="7"/>
  <c r="EE18" i="7"/>
  <c r="DX20" i="7"/>
  <c r="H22" i="7"/>
  <c r="EG24" i="7"/>
  <c r="DZ25" i="7"/>
  <c r="ES25" i="7"/>
  <c r="EH32" i="7"/>
  <c r="DX4" i="8"/>
  <c r="CN41" i="8"/>
  <c r="DJ41" i="8"/>
  <c r="EM4" i="8"/>
  <c r="EI6" i="8"/>
  <c r="EK8" i="8"/>
  <c r="DX9" i="8"/>
  <c r="M28" i="8"/>
  <c r="DY28" i="8" s="1"/>
  <c r="DY23" i="8"/>
  <c r="AI28" i="8"/>
  <c r="BE28" i="8"/>
  <c r="CA28" i="8"/>
  <c r="EG28" i="8" s="1"/>
  <c r="CW28" i="8"/>
  <c r="EG31" i="8"/>
  <c r="U40" i="8"/>
  <c r="AQ40" i="8"/>
  <c r="DZ31" i="8"/>
  <c r="CI40" i="8"/>
  <c r="DE40" i="8"/>
  <c r="DV32" i="8"/>
  <c r="AC187" i="9"/>
  <c r="AC27" i="9" s="1"/>
  <c r="Y320" i="9"/>
  <c r="M227" i="10"/>
  <c r="M243" i="10" s="1"/>
  <c r="M219" i="10"/>
  <c r="M33" i="10" s="1"/>
  <c r="AE267" i="10"/>
  <c r="AE34" i="10" s="1"/>
  <c r="EQ4" i="8" s="1"/>
  <c r="EQ41" i="8" s="1"/>
  <c r="AN360" i="11"/>
  <c r="AN355" i="11"/>
  <c r="AN357" i="11"/>
  <c r="AN350" i="11"/>
  <c r="F320" i="5"/>
  <c r="K321" i="5"/>
  <c r="S321" i="5" s="1"/>
  <c r="K247" i="5"/>
  <c r="B288" i="5"/>
  <c r="J292" i="5"/>
  <c r="I444" i="5"/>
  <c r="I241" i="5"/>
  <c r="I328" i="5" s="1"/>
  <c r="G447" i="5"/>
  <c r="G244" i="5"/>
  <c r="E456" i="5"/>
  <c r="Q456" i="5" s="1"/>
  <c r="E253" i="5"/>
  <c r="Q369" i="5"/>
  <c r="E465" i="5"/>
  <c r="E262" i="5"/>
  <c r="Q378" i="5"/>
  <c r="D267" i="5"/>
  <c r="P383" i="5"/>
  <c r="D273" i="5"/>
  <c r="P273" i="5" s="1"/>
  <c r="M274" i="5"/>
  <c r="J277" i="5"/>
  <c r="P398" i="5"/>
  <c r="N398" i="5"/>
  <c r="M283" i="5"/>
  <c r="J286" i="5"/>
  <c r="K292" i="5"/>
  <c r="S292" i="5" s="1"/>
  <c r="I306" i="5"/>
  <c r="F309" i="5"/>
  <c r="I315" i="5"/>
  <c r="E318" i="5"/>
  <c r="EF4" i="6"/>
  <c r="BZ41" i="6"/>
  <c r="DT5" i="6"/>
  <c r="EP5" i="6"/>
  <c r="ET5" i="6" s="1"/>
  <c r="M22" i="6"/>
  <c r="BH22" i="6"/>
  <c r="CD22" i="6"/>
  <c r="CZ22" i="6"/>
  <c r="CZ41" i="6" s="1"/>
  <c r="EB9" i="6"/>
  <c r="DW15" i="6"/>
  <c r="DR16" i="6"/>
  <c r="EN16" i="6"/>
  <c r="DR17" i="6"/>
  <c r="EN17" i="6"/>
  <c r="EB18" i="6"/>
  <c r="DP19" i="6"/>
  <c r="EL19" i="6"/>
  <c r="DQ20" i="6"/>
  <c r="EM20" i="6"/>
  <c r="W28" i="6"/>
  <c r="BO28" i="6"/>
  <c r="CK28" i="6"/>
  <c r="DG28" i="6"/>
  <c r="DG41" i="6" s="1"/>
  <c r="H40" i="6"/>
  <c r="EG31" i="6"/>
  <c r="EJ36" i="6"/>
  <c r="AM41" i="7"/>
  <c r="EF5" i="7"/>
  <c r="CL22" i="7"/>
  <c r="DH22" i="7"/>
  <c r="DH41" i="7" s="1"/>
  <c r="DX10" i="7"/>
  <c r="DS12" i="7"/>
  <c r="EO12" i="7"/>
  <c r="ES12" i="7" s="1"/>
  <c r="EM16" i="7"/>
  <c r="DX17" i="7"/>
  <c r="DY20" i="7"/>
  <c r="ED21" i="7"/>
  <c r="I22" i="7"/>
  <c r="EH24" i="7"/>
  <c r="DN26" i="7"/>
  <c r="EJ26" i="7"/>
  <c r="EI32" i="7"/>
  <c r="AW41" i="8"/>
  <c r="EF4" i="8"/>
  <c r="BS41" i="8"/>
  <c r="DY4" i="8"/>
  <c r="DK41" i="8"/>
  <c r="DN6" i="8"/>
  <c r="EJ6" i="8"/>
  <c r="EL8" i="8"/>
  <c r="DY9" i="8"/>
  <c r="DZ23" i="8"/>
  <c r="AJ28" i="8"/>
  <c r="BF28" i="8"/>
  <c r="CB28" i="8"/>
  <c r="CX28" i="8"/>
  <c r="EI29" i="8"/>
  <c r="AS40" i="8"/>
  <c r="CK40" i="8"/>
  <c r="CK41" i="8" s="1"/>
  <c r="EH31" i="8"/>
  <c r="V40" i="8"/>
  <c r="CJ40" i="8"/>
  <c r="ET40" i="8" s="1"/>
  <c r="ET31" i="8"/>
  <c r="C39" i="9"/>
  <c r="C330" i="9"/>
  <c r="L76" i="9"/>
  <c r="L13" i="9" s="1"/>
  <c r="AQ67" i="10"/>
  <c r="I208" i="5"/>
  <c r="B211" i="5"/>
  <c r="N211" i="5" s="1"/>
  <c r="G212" i="5"/>
  <c r="L213" i="5"/>
  <c r="E216" i="5"/>
  <c r="J217" i="5"/>
  <c r="C220" i="5"/>
  <c r="H221" i="5"/>
  <c r="M222" i="5"/>
  <c r="F225" i="5"/>
  <c r="K226" i="5"/>
  <c r="S226" i="5" s="1"/>
  <c r="D229" i="5"/>
  <c r="P229" i="5" s="1"/>
  <c r="I230" i="5"/>
  <c r="B233" i="5"/>
  <c r="G234" i="5"/>
  <c r="S441" i="5"/>
  <c r="C443" i="5"/>
  <c r="C240" i="5"/>
  <c r="C327" i="5" s="1"/>
  <c r="L241" i="5"/>
  <c r="B446" i="5"/>
  <c r="N359" i="5"/>
  <c r="B243" i="5"/>
  <c r="K453" i="5"/>
  <c r="K250" i="5"/>
  <c r="S366" i="5"/>
  <c r="H456" i="5"/>
  <c r="R456" i="5" s="1"/>
  <c r="H253" i="5"/>
  <c r="R369" i="5"/>
  <c r="K462" i="5"/>
  <c r="K259" i="5"/>
  <c r="H465" i="5"/>
  <c r="R465" i="5" s="1"/>
  <c r="R378" i="5"/>
  <c r="G273" i="5"/>
  <c r="E276" i="5"/>
  <c r="Q276" i="5" s="1"/>
  <c r="Q392" i="5"/>
  <c r="G282" i="5"/>
  <c r="G340" i="5" s="1"/>
  <c r="D285" i="5"/>
  <c r="G291" i="5"/>
  <c r="C296" i="5"/>
  <c r="L297" i="5"/>
  <c r="M303" i="5"/>
  <c r="C305" i="5"/>
  <c r="C334" i="5" s="1"/>
  <c r="L306" i="5"/>
  <c r="C314" i="5"/>
  <c r="L315" i="5"/>
  <c r="N433" i="5"/>
  <c r="B317" i="5"/>
  <c r="R441" i="5"/>
  <c r="K460" i="5"/>
  <c r="BG41" i="6"/>
  <c r="CY41" i="6"/>
  <c r="EA6" i="6"/>
  <c r="P22" i="6"/>
  <c r="BK22" i="6"/>
  <c r="BK41" i="6" s="1"/>
  <c r="CG22" i="6"/>
  <c r="DC22" i="6"/>
  <c r="DC41" i="6" s="1"/>
  <c r="AN41" i="6"/>
  <c r="EB11" i="6"/>
  <c r="EC12" i="6"/>
  <c r="DY14" i="6"/>
  <c r="DZ15" i="6"/>
  <c r="DW18" i="6"/>
  <c r="DT20" i="6"/>
  <c r="DV21" i="6"/>
  <c r="BR28" i="6"/>
  <c r="CN28" i="6"/>
  <c r="DJ28" i="6"/>
  <c r="DJ41" i="6" s="1"/>
  <c r="K40" i="6"/>
  <c r="DW40" i="6" s="1"/>
  <c r="BC40" i="6"/>
  <c r="BY40" i="6"/>
  <c r="CU40" i="6"/>
  <c r="DX40" i="6" s="1"/>
  <c r="EI5" i="7"/>
  <c r="W41" i="7"/>
  <c r="EI9" i="7"/>
  <c r="EI11" i="7"/>
  <c r="DT16" i="7"/>
  <c r="EP16" i="7"/>
  <c r="ET16" i="7" s="1"/>
  <c r="DV19" i="7"/>
  <c r="C28" i="7"/>
  <c r="DO28" i="7" s="1"/>
  <c r="DO24" i="7"/>
  <c r="EK24" i="7"/>
  <c r="Y28" i="7"/>
  <c r="AU28" i="7"/>
  <c r="ED24" i="7"/>
  <c r="BQ28" i="7"/>
  <c r="BQ41" i="7" s="1"/>
  <c r="CM28" i="7"/>
  <c r="DI28" i="7"/>
  <c r="EI4" i="8"/>
  <c r="BV41" i="8"/>
  <c r="D40" i="8"/>
  <c r="DP40" i="8" s="1"/>
  <c r="DP29" i="8"/>
  <c r="EL29" i="8"/>
  <c r="Z40" i="8"/>
  <c r="EL40" i="8" s="1"/>
  <c r="AV40" i="8"/>
  <c r="BR40" i="8"/>
  <c r="BR41" i="8" s="1"/>
  <c r="CN40" i="8"/>
  <c r="DO31" i="8"/>
  <c r="EK31" i="8"/>
  <c r="O76" i="9"/>
  <c r="O13" i="9" s="1"/>
  <c r="AA267" i="10"/>
  <c r="K271" i="5"/>
  <c r="S271" i="5" s="1"/>
  <c r="D443" i="5"/>
  <c r="P443" i="5" s="1"/>
  <c r="D240" i="5"/>
  <c r="P356" i="5"/>
  <c r="M444" i="5"/>
  <c r="C446" i="5"/>
  <c r="C243" i="5"/>
  <c r="C452" i="5"/>
  <c r="N365" i="5"/>
  <c r="L453" i="5"/>
  <c r="L250" i="5"/>
  <c r="S367" i="5"/>
  <c r="I456" i="5"/>
  <c r="I253" i="5"/>
  <c r="L462" i="5"/>
  <c r="L259" i="5"/>
  <c r="L346" i="5" s="1"/>
  <c r="I465" i="5"/>
  <c r="I262" i="5"/>
  <c r="I349" i="5" s="1"/>
  <c r="H273" i="5"/>
  <c r="R389" i="5"/>
  <c r="H282" i="5"/>
  <c r="R282" i="5" s="1"/>
  <c r="R398" i="5"/>
  <c r="E285" i="5"/>
  <c r="Q285" i="5" s="1"/>
  <c r="Q401" i="5"/>
  <c r="H291" i="5"/>
  <c r="P412" i="5"/>
  <c r="G302" i="5"/>
  <c r="D305" i="5"/>
  <c r="P421" i="5"/>
  <c r="M306" i="5"/>
  <c r="M335" i="5" s="1"/>
  <c r="M312" i="5"/>
  <c r="D314" i="5"/>
  <c r="P314" i="5" s="1"/>
  <c r="P430" i="5"/>
  <c r="M315" i="5"/>
  <c r="L460" i="5"/>
  <c r="Q22" i="6"/>
  <c r="BL22" i="6"/>
  <c r="CH22" i="6"/>
  <c r="CH41" i="6" s="1"/>
  <c r="DD22" i="6"/>
  <c r="DD41" i="6" s="1"/>
  <c r="EN7" i="6"/>
  <c r="EF9" i="6"/>
  <c r="DZ14" i="6"/>
  <c r="ES14" i="6"/>
  <c r="EA15" i="6"/>
  <c r="DV17" i="6"/>
  <c r="DU20" i="6"/>
  <c r="DW21" i="6"/>
  <c r="EE21" i="6"/>
  <c r="BS28" i="6"/>
  <c r="CO28" i="6"/>
  <c r="DK28" i="6"/>
  <c r="ET27" i="6"/>
  <c r="DO31" i="6"/>
  <c r="EK31" i="6"/>
  <c r="EB35" i="6"/>
  <c r="DU35" i="6"/>
  <c r="DN5" i="7"/>
  <c r="EJ5" i="7"/>
  <c r="B22" i="7"/>
  <c r="EJ9" i="7"/>
  <c r="AT22" i="7"/>
  <c r="AT41" i="7" s="1"/>
  <c r="EC9" i="7"/>
  <c r="BP22" i="7"/>
  <c r="DU16" i="7"/>
  <c r="CD41" i="7"/>
  <c r="DW19" i="7"/>
  <c r="X22" i="7"/>
  <c r="DP24" i="7"/>
  <c r="EL24" i="7"/>
  <c r="Z28" i="7"/>
  <c r="BR28" i="7"/>
  <c r="DX28" i="7" s="1"/>
  <c r="CN28" i="7"/>
  <c r="DJ28" i="7"/>
  <c r="EI39" i="7"/>
  <c r="AE41" i="8"/>
  <c r="EJ4" i="8"/>
  <c r="BW41" i="8"/>
  <c r="DP4" i="8"/>
  <c r="DR6" i="8"/>
  <c r="EN6" i="8"/>
  <c r="EC9" i="8"/>
  <c r="DQ29" i="8"/>
  <c r="E40" i="8"/>
  <c r="EM29" i="8"/>
  <c r="BS40" i="8"/>
  <c r="CO40" i="8"/>
  <c r="CO41" i="8" s="1"/>
  <c r="DK40" i="8"/>
  <c r="P76" i="9"/>
  <c r="P13" i="9" s="1"/>
  <c r="K6" i="10"/>
  <c r="J14" i="10"/>
  <c r="J11" i="1" s="1"/>
  <c r="U161" i="10"/>
  <c r="K7" i="11"/>
  <c r="K208" i="5"/>
  <c r="S208" i="5" s="1"/>
  <c r="D211" i="5"/>
  <c r="I212" i="5"/>
  <c r="R212" i="5" s="1"/>
  <c r="B215" i="5"/>
  <c r="N215" i="5" s="1"/>
  <c r="G216" i="5"/>
  <c r="L217" i="5"/>
  <c r="S217" i="5" s="1"/>
  <c r="E220" i="5"/>
  <c r="Q220" i="5" s="1"/>
  <c r="J221" i="5"/>
  <c r="C224" i="5"/>
  <c r="P224" i="5" s="1"/>
  <c r="H225" i="5"/>
  <c r="M226" i="5"/>
  <c r="F229" i="5"/>
  <c r="K230" i="5"/>
  <c r="D233" i="5"/>
  <c r="P233" i="5" s="1"/>
  <c r="I234" i="5"/>
  <c r="S188" i="5"/>
  <c r="C250" i="5"/>
  <c r="E443" i="5"/>
  <c r="E240" i="5"/>
  <c r="Q356" i="5"/>
  <c r="D243" i="5"/>
  <c r="P359" i="5"/>
  <c r="D452" i="5"/>
  <c r="P452" i="5" s="1"/>
  <c r="D249" i="5"/>
  <c r="M250" i="5"/>
  <c r="M337" i="5" s="1"/>
  <c r="B455" i="5"/>
  <c r="N455" i="5" s="1"/>
  <c r="J253" i="5"/>
  <c r="J340" i="5" s="1"/>
  <c r="D461" i="5"/>
  <c r="P374" i="5"/>
  <c r="N374" i="5"/>
  <c r="M462" i="5"/>
  <c r="M259" i="5"/>
  <c r="J465" i="5"/>
  <c r="J262" i="5"/>
  <c r="K270" i="5"/>
  <c r="I282" i="5"/>
  <c r="S399" i="5"/>
  <c r="F285" i="5"/>
  <c r="I291" i="5"/>
  <c r="E296" i="5"/>
  <c r="H302" i="5"/>
  <c r="R418" i="5"/>
  <c r="Q421" i="5"/>
  <c r="E314" i="5"/>
  <c r="Q314" i="5" s="1"/>
  <c r="Q430" i="5"/>
  <c r="H451" i="5"/>
  <c r="R451" i="5" s="1"/>
  <c r="M453" i="5"/>
  <c r="M460" i="5"/>
  <c r="EE4" i="6"/>
  <c r="EC6" i="6"/>
  <c r="R22" i="6"/>
  <c r="ED22" i="6" s="1"/>
  <c r="BM22" i="6"/>
  <c r="CI22" i="6"/>
  <c r="CI41" i="6" s="1"/>
  <c r="DE22" i="6"/>
  <c r="EG9" i="6"/>
  <c r="DW11" i="6"/>
  <c r="EE12" i="6"/>
  <c r="EB15" i="6"/>
  <c r="DY18" i="6"/>
  <c r="DV20" i="6"/>
  <c r="M40" i="6"/>
  <c r="DY40" i="6" s="1"/>
  <c r="DR29" i="6"/>
  <c r="EN29" i="6"/>
  <c r="BE40" i="6"/>
  <c r="CA40" i="6"/>
  <c r="EG40" i="6" s="1"/>
  <c r="CW40" i="6"/>
  <c r="EC35" i="6"/>
  <c r="DV35" i="6"/>
  <c r="DS36" i="6"/>
  <c r="EO36" i="6"/>
  <c r="ES36" i="6" s="1"/>
  <c r="DO5" i="7"/>
  <c r="EK5" i="7"/>
  <c r="EH7" i="7"/>
  <c r="DO9" i="7"/>
  <c r="C22" i="7"/>
  <c r="EK9" i="7"/>
  <c r="AU22" i="7"/>
  <c r="ED9" i="7"/>
  <c r="CM22" i="7"/>
  <c r="CM41" i="7" s="1"/>
  <c r="DI22" i="7"/>
  <c r="DI41" i="7" s="1"/>
  <c r="DX19" i="7"/>
  <c r="ED20" i="7"/>
  <c r="Y22" i="7"/>
  <c r="DQ24" i="7"/>
  <c r="EM24" i="7"/>
  <c r="DK28" i="7"/>
  <c r="ES30" i="7"/>
  <c r="ET37" i="7"/>
  <c r="AF41" i="8"/>
  <c r="BB41" i="8"/>
  <c r="EK4" i="8"/>
  <c r="DQ4" i="8"/>
  <c r="DU8" i="8"/>
  <c r="DR29" i="8"/>
  <c r="F40" i="8"/>
  <c r="EN29" i="8"/>
  <c r="AB40" i="8"/>
  <c r="BT40" i="8"/>
  <c r="CP40" i="8"/>
  <c r="DL40" i="8"/>
  <c r="DX39" i="8"/>
  <c r="Z314" i="9"/>
  <c r="Z40" i="9" s="1"/>
  <c r="Z318" i="9"/>
  <c r="AQ58" i="10"/>
  <c r="AQ74" i="10"/>
  <c r="AB108" i="10"/>
  <c r="AB23" i="10" s="1"/>
  <c r="AB160" i="10"/>
  <c r="B249" i="10"/>
  <c r="D258" i="5"/>
  <c r="F443" i="5"/>
  <c r="Q359" i="5"/>
  <c r="E452" i="5"/>
  <c r="Q452" i="5" s="1"/>
  <c r="E249" i="5"/>
  <c r="Q365" i="5"/>
  <c r="C455" i="5"/>
  <c r="C252" i="5"/>
  <c r="C339" i="5" s="1"/>
  <c r="S369" i="5"/>
  <c r="E461" i="5"/>
  <c r="E258" i="5"/>
  <c r="N377" i="5"/>
  <c r="B261" i="5"/>
  <c r="K262" i="5"/>
  <c r="S378" i="5"/>
  <c r="Q385" i="5"/>
  <c r="L270" i="5"/>
  <c r="J273" i="5"/>
  <c r="J291" i="5"/>
  <c r="F296" i="5"/>
  <c r="I302" i="5"/>
  <c r="F305" i="5"/>
  <c r="F334" i="5" s="1"/>
  <c r="H311" i="5"/>
  <c r="R427" i="5"/>
  <c r="I451" i="5"/>
  <c r="Q463" i="5"/>
  <c r="CF41" i="6"/>
  <c r="DB41" i="6"/>
  <c r="EI4" i="6"/>
  <c r="S22" i="6"/>
  <c r="BN22" i="6"/>
  <c r="DF22" i="6"/>
  <c r="DT13" i="6"/>
  <c r="EP13" i="6"/>
  <c r="ET13" i="6" s="1"/>
  <c r="DX17" i="6"/>
  <c r="DZ18" i="6"/>
  <c r="N40" i="6"/>
  <c r="DZ40" i="6" s="1"/>
  <c r="BF40" i="6"/>
  <c r="ES29" i="6"/>
  <c r="EO29" i="6"/>
  <c r="DN33" i="6"/>
  <c r="EC33" i="6"/>
  <c r="DW35" i="6"/>
  <c r="BV22" i="7"/>
  <c r="BV41" i="7" s="1"/>
  <c r="CR22" i="7"/>
  <c r="CR41" i="7" s="1"/>
  <c r="DZ8" i="7"/>
  <c r="DP9" i="7"/>
  <c r="EL9" i="7"/>
  <c r="EE9" i="7"/>
  <c r="EE13" i="7"/>
  <c r="DR24" i="7"/>
  <c r="EN24" i="7"/>
  <c r="AB28" i="7"/>
  <c r="BT28" i="7"/>
  <c r="BT41" i="7" s="1"/>
  <c r="EB37" i="7"/>
  <c r="EH7" i="8"/>
  <c r="AL22" i="8"/>
  <c r="EK14" i="8"/>
  <c r="G40" i="8"/>
  <c r="DS40" i="8" s="1"/>
  <c r="DS29" i="8"/>
  <c r="AC40" i="8"/>
  <c r="EO29" i="8"/>
  <c r="ES29" i="8" s="1"/>
  <c r="AY40" i="8"/>
  <c r="EH29" i="8"/>
  <c r="CQ40" i="8"/>
  <c r="CQ41" i="8" s="1"/>
  <c r="AA314" i="9"/>
  <c r="AA40" i="9" s="1"/>
  <c r="D66" i="10"/>
  <c r="D72" i="10"/>
  <c r="W6" i="11"/>
  <c r="W7" i="11"/>
  <c r="J440" i="5"/>
  <c r="J237" i="5"/>
  <c r="J324" i="5" s="1"/>
  <c r="G240" i="5"/>
  <c r="R449" i="5"/>
  <c r="F452" i="5"/>
  <c r="F249" i="5"/>
  <c r="D455" i="5"/>
  <c r="D252" i="5"/>
  <c r="P368" i="5"/>
  <c r="F461" i="5"/>
  <c r="F258" i="5"/>
  <c r="F345" i="5" s="1"/>
  <c r="C464" i="5"/>
  <c r="N464" i="5" s="1"/>
  <c r="F269" i="5"/>
  <c r="M270" i="5"/>
  <c r="N388" i="5"/>
  <c r="B272" i="5"/>
  <c r="N272" i="5" s="1"/>
  <c r="K273" i="5"/>
  <c r="S273" i="5" s="1"/>
  <c r="S389" i="5"/>
  <c r="L279" i="5"/>
  <c r="N397" i="5"/>
  <c r="B281" i="5"/>
  <c r="K282" i="5"/>
  <c r="K340" i="5" s="1"/>
  <c r="S398" i="5"/>
  <c r="R401" i="5"/>
  <c r="N406" i="5"/>
  <c r="B290" i="5"/>
  <c r="N290" i="5" s="1"/>
  <c r="S407" i="5"/>
  <c r="G296" i="5"/>
  <c r="J302" i="5"/>
  <c r="G305" i="5"/>
  <c r="G334" i="5" s="1"/>
  <c r="I311" i="5"/>
  <c r="S446" i="5"/>
  <c r="O41" i="6"/>
  <c r="EE6" i="6"/>
  <c r="T22" i="6"/>
  <c r="EF22" i="6" s="1"/>
  <c r="EF7" i="6"/>
  <c r="CK22" i="6"/>
  <c r="DG22" i="6"/>
  <c r="AR41" i="6"/>
  <c r="EA8" i="6"/>
  <c r="ET8" i="6"/>
  <c r="ED15" i="6"/>
  <c r="ET18" i="6"/>
  <c r="J28" i="6"/>
  <c r="DV28" i="6" s="1"/>
  <c r="EM38" i="6"/>
  <c r="BW22" i="7"/>
  <c r="CS22" i="7"/>
  <c r="CS41" i="7" s="1"/>
  <c r="EA8" i="7"/>
  <c r="DT8" i="7"/>
  <c r="E22" i="7"/>
  <c r="DQ9" i="7"/>
  <c r="AW22" i="7"/>
  <c r="AW41" i="7" s="1"/>
  <c r="EF9" i="7"/>
  <c r="EM13" i="7"/>
  <c r="EF13" i="7"/>
  <c r="EO14" i="7"/>
  <c r="ES14" i="7" s="1"/>
  <c r="DN15" i="7"/>
  <c r="EJ15" i="7"/>
  <c r="EC15" i="7"/>
  <c r="AA22" i="7"/>
  <c r="EI7" i="8"/>
  <c r="AS22" i="8"/>
  <c r="AS41" i="8" s="1"/>
  <c r="EB7" i="8"/>
  <c r="DT29" i="8"/>
  <c r="H40" i="8"/>
  <c r="AZ40" i="8"/>
  <c r="BV40" i="8"/>
  <c r="CR40" i="8"/>
  <c r="N10" i="9"/>
  <c r="N11" i="9" s="1"/>
  <c r="N16" i="9" s="1"/>
  <c r="N15" i="9" s="1"/>
  <c r="E51" i="9"/>
  <c r="E59" i="9"/>
  <c r="E49" i="9"/>
  <c r="E57" i="9"/>
  <c r="J266" i="9"/>
  <c r="J271" i="9"/>
  <c r="O280" i="9"/>
  <c r="AA281" i="9"/>
  <c r="AG265" i="9"/>
  <c r="K318" i="9"/>
  <c r="Y328" i="9"/>
  <c r="AB314" i="9"/>
  <c r="AB40" i="9" s="1"/>
  <c r="N6" i="10"/>
  <c r="M14" i="10"/>
  <c r="M11" i="1" s="1"/>
  <c r="M43" i="1" s="1"/>
  <c r="O224" i="10"/>
  <c r="O240" i="10" s="1"/>
  <c r="O219" i="10"/>
  <c r="O33" i="10" s="1"/>
  <c r="AA59" i="11"/>
  <c r="Z155" i="11"/>
  <c r="Z27" i="11" s="1"/>
  <c r="EA11" i="6"/>
  <c r="EF15" i="6"/>
  <c r="ET17" i="6"/>
  <c r="EC18" i="6"/>
  <c r="DR19" i="6"/>
  <c r="EN19" i="6"/>
  <c r="BX28" i="6"/>
  <c r="CT28" i="6"/>
  <c r="E28" i="6"/>
  <c r="DQ28" i="6" s="1"/>
  <c r="EM25" i="6"/>
  <c r="ET25" i="6"/>
  <c r="DX26" i="6"/>
  <c r="L28" i="6"/>
  <c r="EC29" i="6"/>
  <c r="BI40" i="6"/>
  <c r="CE40" i="6"/>
  <c r="DA40" i="6"/>
  <c r="ED40" i="6" s="1"/>
  <c r="DQ33" i="6"/>
  <c r="EG35" i="6"/>
  <c r="DZ35" i="6"/>
  <c r="ES35" i="6"/>
  <c r="DM45" i="6"/>
  <c r="K22" i="7"/>
  <c r="DW7" i="7"/>
  <c r="AG22" i="7"/>
  <c r="AG41" i="7" s="1"/>
  <c r="BY22" i="7"/>
  <c r="BY41" i="7" s="1"/>
  <c r="DS9" i="7"/>
  <c r="EO9" i="7"/>
  <c r="ES9" i="7" s="1"/>
  <c r="AC22" i="7"/>
  <c r="AY22" i="7"/>
  <c r="AY41" i="7" s="1"/>
  <c r="CQ22" i="7"/>
  <c r="CQ41" i="7" s="1"/>
  <c r="EO13" i="7"/>
  <c r="DP15" i="7"/>
  <c r="EL15" i="7"/>
  <c r="DZ16" i="7"/>
  <c r="ES16" i="7"/>
  <c r="EB19" i="7"/>
  <c r="T28" i="7"/>
  <c r="EF28" i="7" s="1"/>
  <c r="EF23" i="7"/>
  <c r="AP28" i="7"/>
  <c r="DY23" i="7"/>
  <c r="BL28" i="7"/>
  <c r="DR28" i="7" s="1"/>
  <c r="DR23" i="7"/>
  <c r="CH28" i="7"/>
  <c r="CH41" i="7" s="1"/>
  <c r="EN23" i="7"/>
  <c r="AE28" i="7"/>
  <c r="AE41" i="7" s="1"/>
  <c r="BW28" i="7"/>
  <c r="EA28" i="7"/>
  <c r="DW30" i="7"/>
  <c r="DQ31" i="7"/>
  <c r="DP35" i="7"/>
  <c r="DU36" i="7"/>
  <c r="DP37" i="7"/>
  <c r="DR39" i="7"/>
  <c r="EN39" i="7"/>
  <c r="Y22" i="8"/>
  <c r="Y41" i="8" s="1"/>
  <c r="EK7" i="8"/>
  <c r="BQ22" i="8"/>
  <c r="BQ41" i="8" s="1"/>
  <c r="DW7" i="8"/>
  <c r="DS26" i="8"/>
  <c r="EO26" i="8"/>
  <c r="ES26" i="8" s="1"/>
  <c r="EB27" i="8"/>
  <c r="V35" i="9"/>
  <c r="V41" i="9" s="1"/>
  <c r="V36" i="9" s="1"/>
  <c r="U266" i="9"/>
  <c r="U282" i="9" s="1"/>
  <c r="U270" i="9"/>
  <c r="C279" i="9"/>
  <c r="Y279" i="9"/>
  <c r="G281" i="9"/>
  <c r="AC281" i="9"/>
  <c r="M322" i="9"/>
  <c r="M298" i="9"/>
  <c r="AD318" i="9"/>
  <c r="AD314" i="9"/>
  <c r="AD40" i="9" s="1"/>
  <c r="AA11" i="10"/>
  <c r="AA16" i="10" s="1"/>
  <c r="Y60" i="10"/>
  <c r="Y10" i="10" s="1"/>
  <c r="Y11" i="10" s="1"/>
  <c r="Y16" i="10" s="1"/>
  <c r="L114" i="11"/>
  <c r="L162" i="11"/>
  <c r="S139" i="5"/>
  <c r="H250" i="5"/>
  <c r="M440" i="5"/>
  <c r="J443" i="5"/>
  <c r="J240" i="5"/>
  <c r="J327" i="5" s="1"/>
  <c r="K449" i="5"/>
  <c r="S449" i="5" s="1"/>
  <c r="K246" i="5"/>
  <c r="I452" i="5"/>
  <c r="I258" i="5"/>
  <c r="I345" i="5" s="1"/>
  <c r="S375" i="5"/>
  <c r="F261" i="5"/>
  <c r="F348" i="5" s="1"/>
  <c r="I269" i="5"/>
  <c r="E272" i="5"/>
  <c r="Q272" i="5" s="1"/>
  <c r="P389" i="5"/>
  <c r="H278" i="5"/>
  <c r="R394" i="5"/>
  <c r="Q397" i="5"/>
  <c r="E290" i="5"/>
  <c r="Q406" i="5"/>
  <c r="C301" i="5"/>
  <c r="M302" i="5"/>
  <c r="C304" i="5"/>
  <c r="C310" i="5"/>
  <c r="N310" i="5" s="1"/>
  <c r="L311" i="5"/>
  <c r="N429" i="5"/>
  <c r="B313" i="5"/>
  <c r="K320" i="5"/>
  <c r="S320" i="5" s="1"/>
  <c r="S436" i="5"/>
  <c r="Q449" i="5"/>
  <c r="D454" i="5"/>
  <c r="C459" i="5"/>
  <c r="W22" i="6"/>
  <c r="CN22" i="6"/>
  <c r="AU41" i="6"/>
  <c r="EE13" i="6"/>
  <c r="EG15" i="6"/>
  <c r="DN16" i="6"/>
  <c r="EJ16" i="6"/>
  <c r="EC21" i="6"/>
  <c r="DW23" i="6"/>
  <c r="BC28" i="6"/>
  <c r="CU28" i="6"/>
  <c r="CU41" i="6" s="1"/>
  <c r="EN25" i="6"/>
  <c r="BV28" i="6"/>
  <c r="BV41" i="6" s="1"/>
  <c r="EA28" i="6"/>
  <c r="EP29" i="6"/>
  <c r="ET29" i="6" s="1"/>
  <c r="W40" i="6"/>
  <c r="EI40" i="6" s="1"/>
  <c r="CN40" i="6"/>
  <c r="DQ40" i="6" s="1"/>
  <c r="DU31" i="6"/>
  <c r="DR33" i="6"/>
  <c r="EN33" i="6"/>
  <c r="BS41" i="7"/>
  <c r="CO41" i="7"/>
  <c r="BZ22" i="7"/>
  <c r="BZ41" i="7" s="1"/>
  <c r="DT9" i="7"/>
  <c r="EP9" i="7"/>
  <c r="DN9" i="7"/>
  <c r="DT13" i="7"/>
  <c r="EP13" i="7"/>
  <c r="DQ15" i="7"/>
  <c r="EM15" i="7"/>
  <c r="EA16" i="7"/>
  <c r="BA22" i="7"/>
  <c r="U28" i="7"/>
  <c r="EG28" i="7" s="1"/>
  <c r="EG23" i="7"/>
  <c r="AQ28" i="7"/>
  <c r="DZ23" i="7"/>
  <c r="BM28" i="7"/>
  <c r="DS23" i="7"/>
  <c r="CI28" i="7"/>
  <c r="DE28" i="7"/>
  <c r="DV24" i="7"/>
  <c r="ED25" i="7"/>
  <c r="DR29" i="7"/>
  <c r="F40" i="7"/>
  <c r="DR40" i="7" s="1"/>
  <c r="CP40" i="7"/>
  <c r="CP41" i="7" s="1"/>
  <c r="DO34" i="7"/>
  <c r="DQ37" i="7"/>
  <c r="EM37" i="7"/>
  <c r="DS39" i="7"/>
  <c r="EO39" i="7"/>
  <c r="D22" i="8"/>
  <c r="DP7" i="8"/>
  <c r="EL7" i="8"/>
  <c r="AV22" i="8"/>
  <c r="AV41" i="8" s="1"/>
  <c r="EE7" i="8"/>
  <c r="DZ8" i="8"/>
  <c r="N22" i="8"/>
  <c r="DY15" i="8"/>
  <c r="DT26" i="8"/>
  <c r="EP26" i="8"/>
  <c r="ET26" i="8" s="1"/>
  <c r="EC27" i="8"/>
  <c r="EH34" i="8"/>
  <c r="DZ37" i="8"/>
  <c r="F203" i="9"/>
  <c r="V270" i="9"/>
  <c r="V266" i="9"/>
  <c r="V282" i="9" s="1"/>
  <c r="M271" i="9"/>
  <c r="M266" i="9"/>
  <c r="K276" i="9"/>
  <c r="AG260" i="9"/>
  <c r="W277" i="9"/>
  <c r="N278" i="9"/>
  <c r="Z279" i="9"/>
  <c r="AF263" i="9"/>
  <c r="N322" i="9"/>
  <c r="N298" i="9"/>
  <c r="L323" i="9"/>
  <c r="C291" i="9"/>
  <c r="C323" i="9" s="1"/>
  <c r="Z60" i="10"/>
  <c r="Z10" i="10" s="1"/>
  <c r="Z11" i="10" s="1"/>
  <c r="Z16" i="10" s="1"/>
  <c r="AQ68" i="10"/>
  <c r="AE217" i="10"/>
  <c r="AE233" i="10" s="1"/>
  <c r="AE249" i="10" s="1"/>
  <c r="AH80" i="10"/>
  <c r="K112" i="11"/>
  <c r="K160" i="11"/>
  <c r="AE139" i="11"/>
  <c r="X41" i="6"/>
  <c r="DU24" i="6"/>
  <c r="DZ25" i="6"/>
  <c r="ED29" i="6"/>
  <c r="EE29" i="6"/>
  <c r="DN32" i="6"/>
  <c r="EJ32" i="6"/>
  <c r="DS33" i="6"/>
  <c r="EO33" i="6"/>
  <c r="DP35" i="6"/>
  <c r="EL35" i="6"/>
  <c r="DX39" i="6"/>
  <c r="AC41" i="6"/>
  <c r="DO4" i="7"/>
  <c r="EK4" i="7"/>
  <c r="BB41" i="7"/>
  <c r="BX41" i="7"/>
  <c r="CT41" i="7"/>
  <c r="DS5" i="7"/>
  <c r="EO5" i="7"/>
  <c r="ES5" i="7" s="1"/>
  <c r="DW6" i="7"/>
  <c r="L22" i="7"/>
  <c r="DX7" i="7"/>
  <c r="AH22" i="7"/>
  <c r="BD22" i="7"/>
  <c r="BD41" i="7" s="1"/>
  <c r="DU9" i="7"/>
  <c r="DV12" i="7"/>
  <c r="DZ13" i="7"/>
  <c r="ES13" i="7"/>
  <c r="EB16" i="7"/>
  <c r="DT24" i="7"/>
  <c r="EP24" i="7"/>
  <c r="DX25" i="7"/>
  <c r="DU27" i="7"/>
  <c r="DN29" i="7"/>
  <c r="EJ29" i="7"/>
  <c r="AT40" i="7"/>
  <c r="BP40" i="7"/>
  <c r="BP41" i="7" s="1"/>
  <c r="CL40" i="7"/>
  <c r="DH40" i="7"/>
  <c r="EI30" i="7"/>
  <c r="EH33" i="7"/>
  <c r="ET33" i="7"/>
  <c r="DN36" i="7"/>
  <c r="EJ36" i="7"/>
  <c r="DR37" i="7"/>
  <c r="EN37" i="7"/>
  <c r="ET39" i="7"/>
  <c r="DX5" i="8"/>
  <c r="DX8" i="8"/>
  <c r="EA9" i="8"/>
  <c r="EC15" i="8"/>
  <c r="EA23" i="8"/>
  <c r="DR25" i="8"/>
  <c r="EN25" i="8"/>
  <c r="EA26" i="8"/>
  <c r="ED28" i="8"/>
  <c r="DV29" i="8"/>
  <c r="J40" i="8"/>
  <c r="DV40" i="8" s="1"/>
  <c r="AF40" i="8"/>
  <c r="BB40" i="8"/>
  <c r="BX40" i="8"/>
  <c r="DV36" i="8"/>
  <c r="Q76" i="9"/>
  <c r="Q13" i="9" s="1"/>
  <c r="Q15" i="9" s="1"/>
  <c r="R155" i="9"/>
  <c r="AC155" i="9"/>
  <c r="AC23" i="9" s="1"/>
  <c r="AD187" i="9"/>
  <c r="AG183" i="9" s="1"/>
  <c r="AB199" i="9"/>
  <c r="X298" i="9"/>
  <c r="AG288" i="9" s="1"/>
  <c r="D294" i="9"/>
  <c r="D326" i="9" s="1"/>
  <c r="M326" i="9"/>
  <c r="L314" i="9"/>
  <c r="L40" i="9" s="1"/>
  <c r="L6" i="10"/>
  <c r="K14" i="10"/>
  <c r="Q76" i="10"/>
  <c r="Q13" i="10" s="1"/>
  <c r="G76" i="10"/>
  <c r="Z213" i="10"/>
  <c r="Z229" i="10" s="1"/>
  <c r="Z245" i="10" s="1"/>
  <c r="Z102" i="10"/>
  <c r="AF88" i="10"/>
  <c r="X108" i="10"/>
  <c r="X23" i="10" s="1"/>
  <c r="AE140" i="10"/>
  <c r="AE24" i="10" s="1"/>
  <c r="EQ4" i="7" s="1"/>
  <c r="EQ41" i="7" s="1"/>
  <c r="S267" i="10"/>
  <c r="S34" i="10" s="1"/>
  <c r="S5" i="3" s="1"/>
  <c r="AE13" i="11"/>
  <c r="CG44" i="6"/>
  <c r="D246" i="11"/>
  <c r="D262" i="11" s="1"/>
  <c r="D104" i="11"/>
  <c r="D120" i="11" s="1"/>
  <c r="D263" i="11" s="1"/>
  <c r="R248" i="11"/>
  <c r="R264" i="11" s="1"/>
  <c r="R106" i="11"/>
  <c r="R122" i="11" s="1"/>
  <c r="R265" i="11" s="1"/>
  <c r="E298" i="11"/>
  <c r="E40" i="11" s="1"/>
  <c r="E11" i="3" s="1"/>
  <c r="AA298" i="11"/>
  <c r="Y41" i="6"/>
  <c r="EA25" i="6"/>
  <c r="ES27" i="6"/>
  <c r="DN31" i="6"/>
  <c r="EJ31" i="6"/>
  <c r="DO32" i="6"/>
  <c r="EK32" i="6"/>
  <c r="DQ35" i="6"/>
  <c r="EM35" i="6"/>
  <c r="DU36" i="6"/>
  <c r="DY39" i="6"/>
  <c r="AD41" i="6"/>
  <c r="BC41" i="7"/>
  <c r="H41" i="7"/>
  <c r="DX6" i="7"/>
  <c r="DY7" i="7"/>
  <c r="AI22" i="7"/>
  <c r="BE22" i="7"/>
  <c r="CA22" i="7"/>
  <c r="CA41" i="7" s="1"/>
  <c r="DV9" i="7"/>
  <c r="DW12" i="7"/>
  <c r="EA13" i="7"/>
  <c r="ET13" i="7"/>
  <c r="EC16" i="7"/>
  <c r="ES18" i="7"/>
  <c r="DU24" i="7"/>
  <c r="DY25" i="7"/>
  <c r="DP26" i="7"/>
  <c r="EL26" i="7"/>
  <c r="C40" i="7"/>
  <c r="Y40" i="7"/>
  <c r="EK40" i="7" s="1"/>
  <c r="AU40" i="7"/>
  <c r="BQ40" i="7"/>
  <c r="CM40" i="7"/>
  <c r="DI40" i="7"/>
  <c r="DO36" i="7"/>
  <c r="EK36" i="7"/>
  <c r="DT38" i="7"/>
  <c r="DY5" i="8"/>
  <c r="L22" i="8"/>
  <c r="DX7" i="8"/>
  <c r="AH22" i="8"/>
  <c r="BD22" i="8"/>
  <c r="BD41" i="8" s="1"/>
  <c r="BZ22" i="8"/>
  <c r="CV22" i="8"/>
  <c r="CV41" i="8" s="1"/>
  <c r="ED15" i="8"/>
  <c r="R22" i="8"/>
  <c r="EE28" i="8"/>
  <c r="DW29" i="8"/>
  <c r="AG40" i="8"/>
  <c r="AG41" i="8" s="1"/>
  <c r="BC40" i="8"/>
  <c r="BY40" i="8"/>
  <c r="CU40" i="8"/>
  <c r="DY32" i="8"/>
  <c r="EG35" i="8"/>
  <c r="AD15" i="9"/>
  <c r="AE187" i="9"/>
  <c r="AE27" i="9" s="1"/>
  <c r="AC198" i="9"/>
  <c r="AC203" i="9" s="1"/>
  <c r="Y298" i="9"/>
  <c r="Y34" i="9" s="1"/>
  <c r="Y35" i="9" s="1"/>
  <c r="Y41" i="9" s="1"/>
  <c r="Y36" i="9" s="1"/>
  <c r="AI50" i="10"/>
  <c r="R76" i="10"/>
  <c r="R13" i="10" s="1"/>
  <c r="R10" i="1" s="1"/>
  <c r="AH69" i="10"/>
  <c r="AH66" i="10"/>
  <c r="AH71" i="10"/>
  <c r="Y106" i="10"/>
  <c r="Y217" i="10"/>
  <c r="Y233" i="10" s="1"/>
  <c r="Y249" i="10" s="1"/>
  <c r="L101" i="11"/>
  <c r="L117" i="11" s="1"/>
  <c r="L260" i="11" s="1"/>
  <c r="L243" i="11"/>
  <c r="L259" i="11" s="1"/>
  <c r="E104" i="11"/>
  <c r="E120" i="11" s="1"/>
  <c r="E263" i="11" s="1"/>
  <c r="E246" i="11"/>
  <c r="V247" i="11"/>
  <c r="V263" i="11" s="1"/>
  <c r="V105" i="11"/>
  <c r="V121" i="11" s="1"/>
  <c r="CG41" i="6"/>
  <c r="EI7" i="6"/>
  <c r="N28" i="6"/>
  <c r="DZ28" i="6" s="1"/>
  <c r="DZ23" i="6"/>
  <c r="EC25" i="6"/>
  <c r="EG29" i="6"/>
  <c r="DQ32" i="6"/>
  <c r="EM32" i="6"/>
  <c r="DV33" i="6"/>
  <c r="DS35" i="6"/>
  <c r="EO35" i="6"/>
  <c r="DW36" i="6"/>
  <c r="EA39" i="6"/>
  <c r="AI41" i="7"/>
  <c r="BE41" i="7"/>
  <c r="CW41" i="7"/>
  <c r="J41" i="7"/>
  <c r="DV41" i="7" s="1"/>
  <c r="DZ6" i="7"/>
  <c r="ES6" i="7"/>
  <c r="O22" i="7"/>
  <c r="EA7" i="7"/>
  <c r="AK22" i="7"/>
  <c r="AK41" i="7" s="1"/>
  <c r="CY22" i="7"/>
  <c r="CY41" i="7" s="1"/>
  <c r="DX9" i="7"/>
  <c r="EA10" i="7"/>
  <c r="ET10" i="7"/>
  <c r="DQ11" i="7"/>
  <c r="EM11" i="7"/>
  <c r="EC13" i="7"/>
  <c r="ET15" i="7"/>
  <c r="EE20" i="7"/>
  <c r="DU21" i="7"/>
  <c r="DP23" i="7"/>
  <c r="EL23" i="7"/>
  <c r="DU23" i="7"/>
  <c r="EA25" i="7"/>
  <c r="DP30" i="7"/>
  <c r="EL30" i="7"/>
  <c r="DT31" i="7"/>
  <c r="DO33" i="7"/>
  <c r="EK33" i="7"/>
  <c r="EI35" i="7"/>
  <c r="DQ36" i="7"/>
  <c r="EM36" i="7"/>
  <c r="DU37" i="7"/>
  <c r="EA5" i="8"/>
  <c r="EA8" i="8"/>
  <c r="DO10" i="8"/>
  <c r="EK10" i="8"/>
  <c r="DZ11" i="8"/>
  <c r="DS13" i="8"/>
  <c r="EO13" i="8"/>
  <c r="ES13" i="8" s="1"/>
  <c r="DZ18" i="8"/>
  <c r="DS31" i="8"/>
  <c r="EO31" i="8"/>
  <c r="ES31" i="8" s="1"/>
  <c r="DM45" i="8"/>
  <c r="K203" i="9"/>
  <c r="K187" i="9"/>
  <c r="K27" i="9" s="1"/>
  <c r="K194" i="9"/>
  <c r="AA298" i="9"/>
  <c r="AA34" i="9" s="1"/>
  <c r="Z320" i="9"/>
  <c r="O6" i="10"/>
  <c r="N14" i="10"/>
  <c r="N11" i="1" s="1"/>
  <c r="N43" i="1" s="1"/>
  <c r="T76" i="10"/>
  <c r="T13" i="10" s="1"/>
  <c r="C106" i="10"/>
  <c r="C249" i="10"/>
  <c r="M295" i="12"/>
  <c r="M289" i="12"/>
  <c r="M297" i="12"/>
  <c r="M291" i="12"/>
  <c r="M287" i="12"/>
  <c r="M288" i="12"/>
  <c r="M293" i="12"/>
  <c r="M298" i="12"/>
  <c r="M294" i="12"/>
  <c r="M296" i="12"/>
  <c r="M292" i="12"/>
  <c r="M290" i="12"/>
  <c r="DN5" i="6"/>
  <c r="EJ5" i="6"/>
  <c r="EJ7" i="6"/>
  <c r="AJ41" i="6"/>
  <c r="ED25" i="6"/>
  <c r="BF28" i="6"/>
  <c r="EH29" i="6"/>
  <c r="DR32" i="6"/>
  <c r="EN32" i="6"/>
  <c r="DW33" i="6"/>
  <c r="DT35" i="6"/>
  <c r="EP35" i="6"/>
  <c r="ET35" i="6" s="1"/>
  <c r="DX36" i="6"/>
  <c r="EB39" i="6"/>
  <c r="P22" i="7"/>
  <c r="EB7" i="7"/>
  <c r="AL22" i="7"/>
  <c r="BH22" i="7"/>
  <c r="CD22" i="7"/>
  <c r="EB10" i="7"/>
  <c r="DR11" i="7"/>
  <c r="EN11" i="7"/>
  <c r="ED13" i="7"/>
  <c r="DV18" i="7"/>
  <c r="EF20" i="7"/>
  <c r="DQ23" i="7"/>
  <c r="EM23" i="7"/>
  <c r="EB25" i="7"/>
  <c r="E40" i="7"/>
  <c r="DQ40" i="7" s="1"/>
  <c r="DQ30" i="7"/>
  <c r="AA40" i="7"/>
  <c r="EM40" i="7" s="1"/>
  <c r="EM30" i="7"/>
  <c r="AW40" i="7"/>
  <c r="BS40" i="7"/>
  <c r="CO40" i="7"/>
  <c r="DK40" i="7"/>
  <c r="EN40" i="7" s="1"/>
  <c r="DP33" i="7"/>
  <c r="EL33" i="7"/>
  <c r="DN35" i="7"/>
  <c r="EJ35" i="7"/>
  <c r="DR36" i="7"/>
  <c r="EN36" i="7"/>
  <c r="DV37" i="7"/>
  <c r="EB5" i="8"/>
  <c r="O22" i="8"/>
  <c r="CY22" i="8"/>
  <c r="EB8" i="8"/>
  <c r="EB14" i="8"/>
  <c r="EG15" i="8"/>
  <c r="EH28" i="8"/>
  <c r="DZ29" i="8"/>
  <c r="DT31" i="8"/>
  <c r="EJ35" i="8"/>
  <c r="AG84" i="9"/>
  <c r="E60" i="10"/>
  <c r="U76" i="10"/>
  <c r="U13" i="10" s="1"/>
  <c r="Y90" i="10"/>
  <c r="Y87" i="10"/>
  <c r="Y84" i="10"/>
  <c r="Y85" i="10"/>
  <c r="Y89" i="10"/>
  <c r="Y88" i="10"/>
  <c r="M108" i="10"/>
  <c r="M23" i="10" s="1"/>
  <c r="M140" i="10"/>
  <c r="AM235" i="10"/>
  <c r="V239" i="10"/>
  <c r="M250" i="10"/>
  <c r="Q267" i="10"/>
  <c r="Q34" i="10" s="1"/>
  <c r="S241" i="11"/>
  <c r="S257" i="11" s="1"/>
  <c r="S99" i="11"/>
  <c r="S115" i="11" s="1"/>
  <c r="O243" i="11"/>
  <c r="O259" i="11" s="1"/>
  <c r="O101" i="11"/>
  <c r="O117" i="11" s="1"/>
  <c r="N244" i="11"/>
  <c r="N102" i="11"/>
  <c r="N118" i="11" s="1"/>
  <c r="N261" i="11" s="1"/>
  <c r="DE41" i="6"/>
  <c r="DO5" i="6"/>
  <c r="EK5" i="6"/>
  <c r="AK41" i="6"/>
  <c r="P28" i="6"/>
  <c r="BH28" i="6"/>
  <c r="CD28" i="6"/>
  <c r="CZ28" i="6"/>
  <c r="ES24" i="6"/>
  <c r="EE26" i="6"/>
  <c r="DW27" i="6"/>
  <c r="CY28" i="6"/>
  <c r="EI29" i="6"/>
  <c r="DS32" i="6"/>
  <c r="EO32" i="6"/>
  <c r="ES32" i="6" s="1"/>
  <c r="DX33" i="6"/>
  <c r="DY36" i="6"/>
  <c r="DY37" i="6"/>
  <c r="DU38" i="6"/>
  <c r="EC39" i="6"/>
  <c r="DW4" i="7"/>
  <c r="Q22" i="7"/>
  <c r="EC7" i="7"/>
  <c r="AM22" i="7"/>
  <c r="BI22" i="7"/>
  <c r="BI41" i="7" s="1"/>
  <c r="CE22" i="7"/>
  <c r="DA22" i="7"/>
  <c r="EC10" i="7"/>
  <c r="EC14" i="7"/>
  <c r="EE17" i="7"/>
  <c r="DW18" i="7"/>
  <c r="EG20" i="7"/>
  <c r="M28" i="7"/>
  <c r="AI28" i="7"/>
  <c r="BE28" i="7"/>
  <c r="CA28" i="7"/>
  <c r="EC25" i="7"/>
  <c r="EA26" i="7"/>
  <c r="ES27" i="7"/>
  <c r="DR30" i="7"/>
  <c r="EN30" i="7"/>
  <c r="DQ33" i="7"/>
  <c r="EM33" i="7"/>
  <c r="DV34" i="7"/>
  <c r="DS36" i="7"/>
  <c r="EO36" i="7"/>
  <c r="DW37" i="7"/>
  <c r="DY39" i="7"/>
  <c r="EC5" i="8"/>
  <c r="P22" i="8"/>
  <c r="BH22" i="8"/>
  <c r="CZ22" i="8"/>
  <c r="EC8" i="8"/>
  <c r="DU13" i="8"/>
  <c r="EC14" i="8"/>
  <c r="EB18" i="8"/>
  <c r="EI28" i="8"/>
  <c r="DZ34" i="8"/>
  <c r="AG7" i="9"/>
  <c r="AG9" i="9" s="1"/>
  <c r="AG11" i="9" s="1"/>
  <c r="AG16" i="9" s="1"/>
  <c r="AG15" i="9" s="1"/>
  <c r="V11" i="9"/>
  <c r="V16" i="9" s="1"/>
  <c r="V15" i="9" s="1"/>
  <c r="H25" i="9"/>
  <c r="H28" i="9" s="1"/>
  <c r="H26" i="9" s="1"/>
  <c r="Z35" i="9"/>
  <c r="Z41" i="9" s="1"/>
  <c r="G48" i="9"/>
  <c r="AC298" i="9"/>
  <c r="AC34" i="9" s="1"/>
  <c r="AB298" i="9"/>
  <c r="AB34" i="9" s="1"/>
  <c r="AB319" i="9"/>
  <c r="K298" i="9"/>
  <c r="K34" i="9" s="1"/>
  <c r="K35" i="9" s="1"/>
  <c r="K41" i="9" s="1"/>
  <c r="K36" i="9" s="1"/>
  <c r="P160" i="10"/>
  <c r="S244" i="10"/>
  <c r="E91" i="11"/>
  <c r="E12" i="11" s="1"/>
  <c r="P296" i="13"/>
  <c r="P293" i="13"/>
  <c r="P290" i="13"/>
  <c r="P298" i="13"/>
  <c r="P287" i="13"/>
  <c r="P207" i="13" s="1"/>
  <c r="P292" i="13"/>
  <c r="P297" i="13"/>
  <c r="P289" i="13"/>
  <c r="P209" i="13" s="1"/>
  <c r="P294" i="13"/>
  <c r="P295" i="13"/>
  <c r="P291" i="13"/>
  <c r="P288" i="13"/>
  <c r="P208" i="13" s="1"/>
  <c r="BN41" i="6"/>
  <c r="EH21" i="6"/>
  <c r="Q28" i="6"/>
  <c r="EC23" i="6"/>
  <c r="BI28" i="6"/>
  <c r="BI41" i="6" s="1"/>
  <c r="CE28" i="6"/>
  <c r="CE41" i="6" s="1"/>
  <c r="DA28" i="6"/>
  <c r="EF26" i="6"/>
  <c r="DN29" i="6"/>
  <c r="EJ29" i="6"/>
  <c r="DT32" i="6"/>
  <c r="EP32" i="6"/>
  <c r="ET32" i="6" s="1"/>
  <c r="DY33" i="6"/>
  <c r="DZ36" i="6"/>
  <c r="DV38" i="6"/>
  <c r="ED39" i="6"/>
  <c r="AA40" i="6"/>
  <c r="EM40" i="6" s="1"/>
  <c r="DX4" i="7"/>
  <c r="M41" i="7"/>
  <c r="R22" i="7"/>
  <c r="AN22" i="7"/>
  <c r="BJ22" i="7"/>
  <c r="BJ41" i="7" s="1"/>
  <c r="CF22" i="7"/>
  <c r="CF41" i="7" s="1"/>
  <c r="DB22" i="7"/>
  <c r="DB41" i="7" s="1"/>
  <c r="DR8" i="7"/>
  <c r="EN8" i="7"/>
  <c r="ET9" i="7"/>
  <c r="ED10" i="7"/>
  <c r="DW15" i="7"/>
  <c r="EF17" i="7"/>
  <c r="EH20" i="7"/>
  <c r="DZ28" i="7"/>
  <c r="ES24" i="7"/>
  <c r="EB26" i="7"/>
  <c r="DS30" i="7"/>
  <c r="EO30" i="7"/>
  <c r="DW31" i="7"/>
  <c r="DR31" i="7"/>
  <c r="DR33" i="7"/>
  <c r="EN33" i="7"/>
  <c r="DW34" i="7"/>
  <c r="DX37" i="7"/>
  <c r="DZ39" i="7"/>
  <c r="ES39" i="7"/>
  <c r="AX40" i="7"/>
  <c r="AX41" i="7" s="1"/>
  <c r="CB41" i="7"/>
  <c r="DV4" i="8"/>
  <c r="ED5" i="8"/>
  <c r="DS6" i="8"/>
  <c r="EO6" i="8"/>
  <c r="ES6" i="8" s="1"/>
  <c r="Q22" i="8"/>
  <c r="BI22" i="8"/>
  <c r="DA22" i="8"/>
  <c r="DA41" i="8" s="1"/>
  <c r="EL28" i="8"/>
  <c r="DT33" i="8"/>
  <c r="EI33" i="8"/>
  <c r="EA34" i="8"/>
  <c r="EP34" i="8"/>
  <c r="ET34" i="8" s="1"/>
  <c r="EB36" i="8"/>
  <c r="DV38" i="8"/>
  <c r="I41" i="9"/>
  <c r="I36" i="9" s="1"/>
  <c r="N187" i="9"/>
  <c r="N27" i="9" s="1"/>
  <c r="N26" i="9" s="1"/>
  <c r="N191" i="9"/>
  <c r="N203" i="9" s="1"/>
  <c r="H203" i="9"/>
  <c r="AD298" i="9"/>
  <c r="AD34" i="9" s="1"/>
  <c r="T329" i="9"/>
  <c r="B297" i="9"/>
  <c r="B329" i="9" s="1"/>
  <c r="W76" i="10"/>
  <c r="W13" i="10" s="1"/>
  <c r="N244" i="10"/>
  <c r="N101" i="10"/>
  <c r="N108" i="10" s="1"/>
  <c r="N23" i="10" s="1"/>
  <c r="Z283" i="10"/>
  <c r="Z40" i="10" s="1"/>
  <c r="BO41" i="6"/>
  <c r="CK41" i="6"/>
  <c r="DQ5" i="6"/>
  <c r="H22" i="6"/>
  <c r="BY22" i="6"/>
  <c r="BY41" i="6" s="1"/>
  <c r="AM41" i="6"/>
  <c r="EI21" i="6"/>
  <c r="R28" i="6"/>
  <c r="ED23" i="6"/>
  <c r="EG26" i="6"/>
  <c r="EO26" i="6"/>
  <c r="ES26" i="6" s="1"/>
  <c r="DO29" i="6"/>
  <c r="C40" i="6"/>
  <c r="DO40" i="6" s="1"/>
  <c r="EK29" i="6"/>
  <c r="Y40" i="6"/>
  <c r="EL31" i="6"/>
  <c r="DU32" i="6"/>
  <c r="DZ33" i="6"/>
  <c r="ES33" i="6"/>
  <c r="DZ34" i="6"/>
  <c r="EA36" i="6"/>
  <c r="ET36" i="6"/>
  <c r="EA37" i="6"/>
  <c r="DW38" i="6"/>
  <c r="EE39" i="6"/>
  <c r="EP40" i="6"/>
  <c r="S22" i="7"/>
  <c r="AO22" i="7"/>
  <c r="AO41" i="7" s="1"/>
  <c r="BK22" i="7"/>
  <c r="BK41" i="7" s="1"/>
  <c r="CG22" i="7"/>
  <c r="CG41" i="7" s="1"/>
  <c r="DC22" i="7"/>
  <c r="DC41" i="7" s="1"/>
  <c r="DS8" i="7"/>
  <c r="EO8" i="7"/>
  <c r="ES8" i="7" s="1"/>
  <c r="EE10" i="7"/>
  <c r="EE14" i="7"/>
  <c r="DX15" i="7"/>
  <c r="EG17" i="7"/>
  <c r="EO17" i="7"/>
  <c r="EC19" i="7"/>
  <c r="EI20" i="7"/>
  <c r="EF21" i="7"/>
  <c r="ET24" i="7"/>
  <c r="DT30" i="7"/>
  <c r="EP30" i="7"/>
  <c r="ET30" i="7" s="1"/>
  <c r="DX31" i="7"/>
  <c r="DN32" i="7"/>
  <c r="EJ32" i="7"/>
  <c r="DS33" i="7"/>
  <c r="EO33" i="7"/>
  <c r="ES33" i="7" s="1"/>
  <c r="DX34" i="7"/>
  <c r="DY37" i="7"/>
  <c r="DW4" i="8"/>
  <c r="DB41" i="8"/>
  <c r="DT6" i="8"/>
  <c r="EP6" i="8"/>
  <c r="ET6" i="8" s="1"/>
  <c r="BJ22" i="8"/>
  <c r="BJ41" i="8" s="1"/>
  <c r="DB22" i="8"/>
  <c r="DS10" i="8"/>
  <c r="EO10" i="8"/>
  <c r="ES10" i="8" s="1"/>
  <c r="DS16" i="8"/>
  <c r="EO16" i="8"/>
  <c r="ES16" i="8" s="1"/>
  <c r="DZ17" i="8"/>
  <c r="EO27" i="8"/>
  <c r="ES27" i="8" s="1"/>
  <c r="EB34" i="8"/>
  <c r="DU34" i="8"/>
  <c r="EE40" i="8"/>
  <c r="F15" i="9"/>
  <c r="K26" i="9"/>
  <c r="C25" i="9"/>
  <c r="C28" i="9" s="1"/>
  <c r="C26" i="9" s="1"/>
  <c r="F41" i="9"/>
  <c r="F36" i="9" s="1"/>
  <c r="AA346" i="9"/>
  <c r="AB32" i="9"/>
  <c r="R60" i="9"/>
  <c r="AF91" i="9"/>
  <c r="AF93" i="9" s="1"/>
  <c r="AF90" i="9"/>
  <c r="AF89" i="9"/>
  <c r="AF88" i="9"/>
  <c r="AF246" i="9" s="1"/>
  <c r="C155" i="9"/>
  <c r="I203" i="9"/>
  <c r="AQ52" i="10"/>
  <c r="H60" i="10"/>
  <c r="X76" i="10"/>
  <c r="X13" i="10" s="1"/>
  <c r="Z87" i="10"/>
  <c r="Z82" i="10"/>
  <c r="Z84" i="10"/>
  <c r="Z89" i="10"/>
  <c r="Z81" i="10"/>
  <c r="Z85" i="10"/>
  <c r="AF85" i="10" s="1"/>
  <c r="Z90" i="10"/>
  <c r="Z83" i="10"/>
  <c r="V12" i="10"/>
  <c r="L156" i="10"/>
  <c r="H162" i="10"/>
  <c r="Z267" i="10"/>
  <c r="Z34" i="10" s="1"/>
  <c r="AI257" i="10"/>
  <c r="S59" i="11"/>
  <c r="S10" i="11" s="1"/>
  <c r="EJ21" i="6"/>
  <c r="S28" i="6"/>
  <c r="EE28" i="6" s="1"/>
  <c r="EE23" i="6"/>
  <c r="DV24" i="6"/>
  <c r="ET33" i="6"/>
  <c r="EB36" i="6"/>
  <c r="DX38" i="6"/>
  <c r="ES38" i="6"/>
  <c r="DT5" i="7"/>
  <c r="EP5" i="7"/>
  <c r="ET5" i="7" s="1"/>
  <c r="T22" i="7"/>
  <c r="EF7" i="7"/>
  <c r="AP22" i="7"/>
  <c r="AP41" i="7" s="1"/>
  <c r="BL22" i="7"/>
  <c r="CH22" i="7"/>
  <c r="DD22" i="7"/>
  <c r="DD41" i="7" s="1"/>
  <c r="ED19" i="7"/>
  <c r="EG21" i="7"/>
  <c r="ES21" i="7"/>
  <c r="P28" i="7"/>
  <c r="EB23" i="7"/>
  <c r="DV27" i="7"/>
  <c r="DO29" i="7"/>
  <c r="EK29" i="7"/>
  <c r="DO32" i="7"/>
  <c r="EK32" i="7"/>
  <c r="ES37" i="7"/>
  <c r="T41" i="8"/>
  <c r="EF5" i="8"/>
  <c r="EP24" i="8"/>
  <c r="ET24" i="8" s="1"/>
  <c r="EP27" i="8"/>
  <c r="ET27" i="8" s="1"/>
  <c r="EI27" i="8"/>
  <c r="AF15" i="9"/>
  <c r="G15" i="9"/>
  <c r="D25" i="9"/>
  <c r="D28" i="9" s="1"/>
  <c r="D26" i="9" s="1"/>
  <c r="Z26" i="9"/>
  <c r="AB346" i="9"/>
  <c r="AC32" i="9"/>
  <c r="M155" i="9"/>
  <c r="M270" i="9"/>
  <c r="B203" i="9"/>
  <c r="J203" i="9"/>
  <c r="T331" i="9"/>
  <c r="AJ66" i="10"/>
  <c r="AQ70" i="10"/>
  <c r="AF218" i="10"/>
  <c r="AG208" i="10"/>
  <c r="AG224" i="10" s="1"/>
  <c r="AF107" i="10"/>
  <c r="M156" i="10"/>
  <c r="W245" i="10"/>
  <c r="T11" i="11"/>
  <c r="T16" i="11" s="1"/>
  <c r="BQ41" i="6"/>
  <c r="CM41" i="6"/>
  <c r="DI41" i="6"/>
  <c r="DS5" i="6"/>
  <c r="CW22" i="6"/>
  <c r="CW41" i="6" s="1"/>
  <c r="EO7" i="6"/>
  <c r="ES7" i="6" s="1"/>
  <c r="AO41" i="6"/>
  <c r="T28" i="6"/>
  <c r="EF28" i="6" s="1"/>
  <c r="BL28" i="6"/>
  <c r="CH28" i="6"/>
  <c r="DD28" i="6"/>
  <c r="EI26" i="6"/>
  <c r="EH27" i="6"/>
  <c r="DQ29" i="6"/>
  <c r="EM29" i="6"/>
  <c r="DR30" i="6"/>
  <c r="EN30" i="6"/>
  <c r="EB33" i="6"/>
  <c r="EB34" i="6"/>
  <c r="EC37" i="6"/>
  <c r="ET38" i="6"/>
  <c r="EG39" i="6"/>
  <c r="EL4" i="7"/>
  <c r="DU5" i="7"/>
  <c r="U22" i="7"/>
  <c r="AQ22" i="7"/>
  <c r="AQ41" i="7" s="1"/>
  <c r="BM22" i="7"/>
  <c r="CI22" i="7"/>
  <c r="CI41" i="7" s="1"/>
  <c r="DE22" i="7"/>
  <c r="DE41" i="7" s="1"/>
  <c r="ED11" i="7"/>
  <c r="DX12" i="7"/>
  <c r="EG14" i="7"/>
  <c r="ED16" i="7"/>
  <c r="EI17" i="7"/>
  <c r="EH18" i="7"/>
  <c r="ET18" i="7"/>
  <c r="Q28" i="7"/>
  <c r="EC23" i="7"/>
  <c r="AM28" i="7"/>
  <c r="DV28" i="7" s="1"/>
  <c r="BI28" i="7"/>
  <c r="CE28" i="7"/>
  <c r="DA28" i="7"/>
  <c r="EE26" i="7"/>
  <c r="DW27" i="7"/>
  <c r="AH28" i="7"/>
  <c r="DP29" i="7"/>
  <c r="EL29" i="7"/>
  <c r="DZ31" i="7"/>
  <c r="DZ34" i="7"/>
  <c r="ES34" i="7"/>
  <c r="DZ35" i="7"/>
  <c r="I40" i="7"/>
  <c r="DU40" i="7" s="1"/>
  <c r="AP22" i="8"/>
  <c r="AP41" i="8" s="1"/>
  <c r="CH22" i="8"/>
  <c r="CH41" i="8" s="1"/>
  <c r="DU10" i="8"/>
  <c r="EF18" i="8"/>
  <c r="DY21" i="8"/>
  <c r="DR21" i="8"/>
  <c r="EN21" i="8"/>
  <c r="EJ27" i="8"/>
  <c r="DT30" i="8"/>
  <c r="DW33" i="8"/>
  <c r="DS35" i="8"/>
  <c r="EO35" i="8"/>
  <c r="ES35" i="8" s="1"/>
  <c r="H15" i="9"/>
  <c r="M25" i="9"/>
  <c r="M28" i="9" s="1"/>
  <c r="E25" i="9"/>
  <c r="E28" i="9" s="1"/>
  <c r="E26" i="9" s="1"/>
  <c r="AA25" i="9"/>
  <c r="AA28" i="9" s="1"/>
  <c r="H35" i="9"/>
  <c r="H41" i="9" s="1"/>
  <c r="H36" i="9" s="1"/>
  <c r="AD32" i="9"/>
  <c r="AD35" i="9" s="1"/>
  <c r="AD41" i="9" s="1"/>
  <c r="AD36" i="9" s="1"/>
  <c r="AC346" i="9"/>
  <c r="T60" i="9"/>
  <c r="D50" i="9"/>
  <c r="AG52" i="9"/>
  <c r="G55" i="9"/>
  <c r="AG72" i="9"/>
  <c r="AG71" i="9"/>
  <c r="AG70" i="9"/>
  <c r="AG69" i="9"/>
  <c r="AG68" i="9"/>
  <c r="AG67" i="9"/>
  <c r="AG66" i="9"/>
  <c r="AG65" i="9"/>
  <c r="AG64" i="9"/>
  <c r="N155" i="9"/>
  <c r="N270" i="9"/>
  <c r="Q203" i="9"/>
  <c r="C203" i="9"/>
  <c r="X331" i="9"/>
  <c r="AE76" i="10"/>
  <c r="AG73" i="10" s="1"/>
  <c r="J108" i="10"/>
  <c r="J23" i="10" s="1"/>
  <c r="AD240" i="10"/>
  <c r="U11" i="11"/>
  <c r="U16" i="11" s="1"/>
  <c r="U15" i="11" s="1"/>
  <c r="U45" i="11" s="1"/>
  <c r="L59" i="11"/>
  <c r="L249" i="11"/>
  <c r="L265" i="11" s="1"/>
  <c r="M91" i="11"/>
  <c r="M12" i="11" s="1"/>
  <c r="M95" i="11"/>
  <c r="I238" i="11"/>
  <c r="I96" i="11"/>
  <c r="I112" i="11" s="1"/>
  <c r="I91" i="11"/>
  <c r="I12" i="11" s="1"/>
  <c r="D240" i="11"/>
  <c r="D256" i="11" s="1"/>
  <c r="D98" i="11"/>
  <c r="D114" i="11" s="1"/>
  <c r="D91" i="11"/>
  <c r="D12" i="11" s="1"/>
  <c r="Z98" i="11"/>
  <c r="Z114" i="11" s="1"/>
  <c r="Z240" i="11"/>
  <c r="Z256" i="11" s="1"/>
  <c r="J244" i="11"/>
  <c r="J260" i="11" s="1"/>
  <c r="K22" i="6"/>
  <c r="BE22" i="6"/>
  <c r="CB22" i="6"/>
  <c r="DT7" i="6"/>
  <c r="AP41" i="6"/>
  <c r="EL21" i="6"/>
  <c r="U28" i="6"/>
  <c r="EG28" i="6" s="1"/>
  <c r="BM28" i="6"/>
  <c r="CI28" i="6"/>
  <c r="DE28" i="6"/>
  <c r="DN26" i="6"/>
  <c r="EJ26" i="6"/>
  <c r="EI27" i="6"/>
  <c r="F40" i="6"/>
  <c r="DR40" i="6" s="1"/>
  <c r="AB40" i="6"/>
  <c r="BT40" i="6"/>
  <c r="BT41" i="6" s="1"/>
  <c r="CP40" i="6"/>
  <c r="CP41" i="6" s="1"/>
  <c r="DL40" i="6"/>
  <c r="DL41" i="6" s="1"/>
  <c r="DL45" i="6" s="1"/>
  <c r="EC34" i="6"/>
  <c r="ED37" i="6"/>
  <c r="EH39" i="6"/>
  <c r="AR22" i="7"/>
  <c r="AR41" i="7" s="1"/>
  <c r="BN22" i="7"/>
  <c r="BN41" i="7" s="1"/>
  <c r="DF22" i="7"/>
  <c r="DF41" i="7" s="1"/>
  <c r="EM7" i="7"/>
  <c r="DY12" i="7"/>
  <c r="EH14" i="7"/>
  <c r="EE16" i="7"/>
  <c r="DN17" i="7"/>
  <c r="EJ17" i="7"/>
  <c r="EI18" i="7"/>
  <c r="R28" i="7"/>
  <c r="AN28" i="7"/>
  <c r="BJ28" i="7"/>
  <c r="CF28" i="7"/>
  <c r="DB28" i="7"/>
  <c r="ED23" i="7"/>
  <c r="DW24" i="7"/>
  <c r="EF26" i="7"/>
  <c r="EA31" i="7"/>
  <c r="EA34" i="7"/>
  <c r="ET34" i="7"/>
  <c r="DZ4" i="8"/>
  <c r="DZ7" i="8"/>
  <c r="ET7" i="8"/>
  <c r="EK9" i="8"/>
  <c r="DX34" i="8"/>
  <c r="DZ38" i="8"/>
  <c r="I15" i="9"/>
  <c r="F25" i="9"/>
  <c r="F28" i="9" s="1"/>
  <c r="F26" i="9" s="1"/>
  <c r="AE32" i="9"/>
  <c r="AD346" i="9"/>
  <c r="U60" i="9"/>
  <c r="O155" i="9"/>
  <c r="R203" i="9"/>
  <c r="D203" i="9"/>
  <c r="Y331" i="9"/>
  <c r="W11" i="10"/>
  <c r="W16" i="10" s="1"/>
  <c r="E76" i="10"/>
  <c r="K161" i="10"/>
  <c r="AD243" i="10"/>
  <c r="AB247" i="10"/>
  <c r="H283" i="10"/>
  <c r="H40" i="10" s="1"/>
  <c r="K304" i="10"/>
  <c r="K305" i="10" s="1"/>
  <c r="K306" i="10" s="1"/>
  <c r="K307" i="10" s="1"/>
  <c r="K308" i="10" s="1"/>
  <c r="K309" i="10" s="1"/>
  <c r="K303" i="10"/>
  <c r="J303" i="10"/>
  <c r="J305" i="10"/>
  <c r="J306" i="10" s="1"/>
  <c r="J307" i="10" s="1"/>
  <c r="J308" i="10" s="1"/>
  <c r="J309" i="10" s="1"/>
  <c r="J310" i="10" s="1"/>
  <c r="J311" i="10" s="1"/>
  <c r="J312" i="10" s="1"/>
  <c r="K310" i="10"/>
  <c r="K311" i="10" s="1"/>
  <c r="K312" i="10" s="1"/>
  <c r="K313" i="10" s="1"/>
  <c r="J313" i="10"/>
  <c r="J304" i="10"/>
  <c r="AF304" i="10"/>
  <c r="AF305" i="10" s="1"/>
  <c r="AF306" i="10" s="1"/>
  <c r="AF307" i="10" s="1"/>
  <c r="AF308" i="10" s="1"/>
  <c r="AF309" i="10" s="1"/>
  <c r="AF310" i="10" s="1"/>
  <c r="AF311" i="10" s="1"/>
  <c r="AF312" i="10" s="1"/>
  <c r="AF313" i="10" s="1"/>
  <c r="AG303" i="10"/>
  <c r="AG304" i="10" s="1"/>
  <c r="AG305" i="10" s="1"/>
  <c r="AG306" i="10" s="1"/>
  <c r="AG307" i="10" s="1"/>
  <c r="AG308" i="10" s="1"/>
  <c r="AG309" i="10" s="1"/>
  <c r="AG310" i="10" s="1"/>
  <c r="AG311" i="10" s="1"/>
  <c r="AG312" i="10" s="1"/>
  <c r="AG313" i="10" s="1"/>
  <c r="AF303" i="10"/>
  <c r="AE7" i="11"/>
  <c r="AE11" i="11"/>
  <c r="AE16" i="11" s="1"/>
  <c r="I314" i="11"/>
  <c r="I39" i="11"/>
  <c r="K257" i="11"/>
  <c r="K244" i="11"/>
  <c r="K260" i="11" s="1"/>
  <c r="L22" i="6"/>
  <c r="BF22" i="6"/>
  <c r="CC22" i="6"/>
  <c r="CC41" i="6" s="1"/>
  <c r="CY22" i="6"/>
  <c r="EQ41" i="6"/>
  <c r="AQ41" i="6"/>
  <c r="EM21" i="6"/>
  <c r="ET22" i="6"/>
  <c r="V28" i="6"/>
  <c r="EH28" i="6" s="1"/>
  <c r="EH23" i="6"/>
  <c r="BN28" i="6"/>
  <c r="CJ28" i="6"/>
  <c r="DF28" i="6"/>
  <c r="DF41" i="6" s="1"/>
  <c r="G40" i="6"/>
  <c r="AC40" i="6"/>
  <c r="BU40" i="6"/>
  <c r="EA40" i="6" s="1"/>
  <c r="CQ40" i="6"/>
  <c r="CQ41" i="6" s="1"/>
  <c r="EA38" i="6"/>
  <c r="EA6" i="7"/>
  <c r="BO22" i="7"/>
  <c r="BO41" i="7" s="1"/>
  <c r="CK22" i="7"/>
  <c r="CK41" i="7" s="1"/>
  <c r="DG22" i="7"/>
  <c r="DG41" i="7" s="1"/>
  <c r="EN7" i="7"/>
  <c r="DY9" i="7"/>
  <c r="S28" i="7"/>
  <c r="EE28" i="7" s="1"/>
  <c r="EE23" i="7"/>
  <c r="DX24" i="7"/>
  <c r="DP39" i="7"/>
  <c r="EL39" i="7"/>
  <c r="K40" i="7"/>
  <c r="EA4" i="8"/>
  <c r="EA7" i="8"/>
  <c r="AR22" i="8"/>
  <c r="AR41" i="8" s="1"/>
  <c r="EP12" i="8"/>
  <c r="ET12" i="8" s="1"/>
  <c r="DP28" i="8"/>
  <c r="EA31" i="8"/>
  <c r="EI32" i="8"/>
  <c r="EB32" i="8"/>
  <c r="J15" i="9"/>
  <c r="O25" i="9"/>
  <c r="O28" i="9" s="1"/>
  <c r="O26" i="9" s="1"/>
  <c r="AA35" i="9"/>
  <c r="AA41" i="9" s="1"/>
  <c r="AA36" i="9" s="1"/>
  <c r="V60" i="9"/>
  <c r="V10" i="9" s="1"/>
  <c r="G58" i="9"/>
  <c r="G155" i="9"/>
  <c r="E203" i="9"/>
  <c r="X11" i="10"/>
  <c r="X16" i="10" s="1"/>
  <c r="AQ55" i="10"/>
  <c r="F76" i="10"/>
  <c r="Y83" i="10"/>
  <c r="AI130" i="10"/>
  <c r="P156" i="10"/>
  <c r="P27" i="10" s="1"/>
  <c r="F156" i="10"/>
  <c r="F27" i="10" s="1"/>
  <c r="F8" i="2" s="1"/>
  <c r="AB156" i="10"/>
  <c r="AH148" i="10"/>
  <c r="R248" i="10"/>
  <c r="J22" i="8"/>
  <c r="AF22" i="8"/>
  <c r="DO22" i="8" s="1"/>
  <c r="BB22" i="8"/>
  <c r="BX22" i="8"/>
  <c r="BX41" i="8" s="1"/>
  <c r="CT22" i="8"/>
  <c r="CT41" i="8" s="1"/>
  <c r="ED8" i="8"/>
  <c r="EA11" i="8"/>
  <c r="EB12" i="8"/>
  <c r="EG18" i="8"/>
  <c r="EI21" i="8"/>
  <c r="EB23" i="8"/>
  <c r="EC24" i="8"/>
  <c r="ED27" i="8"/>
  <c r="DX29" i="8"/>
  <c r="AH40" i="8"/>
  <c r="BD40" i="8"/>
  <c r="EM40" i="8" s="1"/>
  <c r="BZ40" i="8"/>
  <c r="EF40" i="8" s="1"/>
  <c r="CV40" i="8"/>
  <c r="DY30" i="8"/>
  <c r="DU31" i="8"/>
  <c r="DW32" i="8"/>
  <c r="DW35" i="8"/>
  <c r="DZ36" i="8"/>
  <c r="DX38" i="8"/>
  <c r="EA39" i="8"/>
  <c r="Y60" i="9"/>
  <c r="Y10" i="9" s="1"/>
  <c r="Y11" i="9" s="1"/>
  <c r="Y16" i="9" s="1"/>
  <c r="Y15" i="9" s="1"/>
  <c r="E58" i="9"/>
  <c r="R76" i="9"/>
  <c r="R13" i="9" s="1"/>
  <c r="AG90" i="9"/>
  <c r="AG248" i="9" s="1"/>
  <c r="AG88" i="9"/>
  <c r="AG246" i="9" s="1"/>
  <c r="L187" i="9"/>
  <c r="L27" i="9" s="1"/>
  <c r="L26" i="9" s="1"/>
  <c r="AA201" i="9"/>
  <c r="AA203" i="9" s="1"/>
  <c r="D266" i="9"/>
  <c r="D282" i="9" s="1"/>
  <c r="D270" i="9"/>
  <c r="Z266" i="9"/>
  <c r="Z282" i="9" s="1"/>
  <c r="Z270" i="9"/>
  <c r="G272" i="9"/>
  <c r="AC272" i="9"/>
  <c r="Q278" i="9"/>
  <c r="G279" i="9"/>
  <c r="AC279" i="9"/>
  <c r="U280" i="9"/>
  <c r="K281" i="9"/>
  <c r="AE298" i="9"/>
  <c r="AE34" i="9" s="1"/>
  <c r="Z298" i="9"/>
  <c r="Z34" i="9" s="1"/>
  <c r="AD11" i="10"/>
  <c r="AD16" i="10" s="1"/>
  <c r="K60" i="10"/>
  <c r="K10" i="10" s="1"/>
  <c r="T161" i="10"/>
  <c r="W140" i="10"/>
  <c r="W24" i="10" s="1"/>
  <c r="H241" i="10"/>
  <c r="V245" i="10"/>
  <c r="AE251" i="10"/>
  <c r="M243" i="11"/>
  <c r="M101" i="11"/>
  <c r="M117" i="11" s="1"/>
  <c r="F104" i="11"/>
  <c r="F120" i="11" s="1"/>
  <c r="F246" i="11"/>
  <c r="F262" i="11" s="1"/>
  <c r="AJ217" i="11"/>
  <c r="J99" i="12"/>
  <c r="J115" i="12" s="1"/>
  <c r="J225" i="12"/>
  <c r="EP22" i="6"/>
  <c r="D40" i="6"/>
  <c r="Z40" i="6"/>
  <c r="AU41" i="7"/>
  <c r="S41" i="8"/>
  <c r="K22" i="8"/>
  <c r="AG22" i="8"/>
  <c r="BC22" i="8"/>
  <c r="BY22" i="8"/>
  <c r="BY41" i="8" s="1"/>
  <c r="CU22" i="8"/>
  <c r="CU41" i="8" s="1"/>
  <c r="EB9" i="8"/>
  <c r="EB11" i="8"/>
  <c r="EC12" i="8"/>
  <c r="EF15" i="8"/>
  <c r="EH18" i="8"/>
  <c r="ED24" i="8"/>
  <c r="EE27" i="8"/>
  <c r="DY29" i="8"/>
  <c r="M40" i="8"/>
  <c r="DY40" i="8" s="1"/>
  <c r="AI40" i="8"/>
  <c r="BE40" i="8"/>
  <c r="CA40" i="8"/>
  <c r="CW40" i="8"/>
  <c r="DX32" i="8"/>
  <c r="DZ33" i="8"/>
  <c r="DX35" i="8"/>
  <c r="EA36" i="8"/>
  <c r="DY38" i="8"/>
  <c r="EB39" i="8"/>
  <c r="Z60" i="9"/>
  <c r="F50" i="9"/>
  <c r="F54" i="9"/>
  <c r="F58" i="9"/>
  <c r="S76" i="9"/>
  <c r="S13" i="9" s="1"/>
  <c r="S15" i="9" s="1"/>
  <c r="M187" i="9"/>
  <c r="M27" i="9" s="1"/>
  <c r="E266" i="9"/>
  <c r="E282" i="9" s="1"/>
  <c r="E270" i="9"/>
  <c r="AA266" i="9"/>
  <c r="AA270" i="9"/>
  <c r="AG254" i="9"/>
  <c r="R271" i="9"/>
  <c r="H272" i="9"/>
  <c r="AD272" i="9"/>
  <c r="U273" i="9"/>
  <c r="O276" i="9"/>
  <c r="E277" i="9"/>
  <c r="AA277" i="9"/>
  <c r="R278" i="9"/>
  <c r="H279" i="9"/>
  <c r="AD279" i="9"/>
  <c r="E286" i="9"/>
  <c r="E318" i="9" s="1"/>
  <c r="AA319" i="9"/>
  <c r="AA331" i="9" s="1"/>
  <c r="E295" i="9"/>
  <c r="E327" i="9" s="1"/>
  <c r="O298" i="9"/>
  <c r="O34" i="9" s="1"/>
  <c r="O35" i="9" s="1"/>
  <c r="O41" i="9" s="1"/>
  <c r="O36" i="9" s="1"/>
  <c r="O314" i="9"/>
  <c r="O40" i="9" s="1"/>
  <c r="N314" i="9"/>
  <c r="N40" i="9" s="1"/>
  <c r="L328" i="9"/>
  <c r="Q140" i="10"/>
  <c r="Q24" i="10" s="1"/>
  <c r="Q25" i="10" s="1"/>
  <c r="Q28" i="10" s="1"/>
  <c r="Q26" i="10" s="1"/>
  <c r="J140" i="10"/>
  <c r="J24" i="10" s="1"/>
  <c r="AF140" i="10"/>
  <c r="D151" i="10"/>
  <c r="D148" i="10"/>
  <c r="D145" i="10"/>
  <c r="AF251" i="10"/>
  <c r="G36" i="11"/>
  <c r="N243" i="11"/>
  <c r="N259" i="11" s="1"/>
  <c r="N101" i="11"/>
  <c r="N117" i="11" s="1"/>
  <c r="EP30" i="6"/>
  <c r="ET30" i="6" s="1"/>
  <c r="AA41" i="7"/>
  <c r="U41" i="8"/>
  <c r="M22" i="8"/>
  <c r="AI22" i="8"/>
  <c r="AI41" i="8" s="1"/>
  <c r="BE22" i="8"/>
  <c r="BE41" i="8" s="1"/>
  <c r="CA22" i="8"/>
  <c r="CW22" i="8"/>
  <c r="CW41" i="8" s="1"/>
  <c r="ED9" i="8"/>
  <c r="EH15" i="8"/>
  <c r="DN18" i="8"/>
  <c r="EJ18" i="8"/>
  <c r="EG19" i="8"/>
  <c r="EF24" i="8"/>
  <c r="EG27" i="8"/>
  <c r="EA29" i="8"/>
  <c r="AK40" i="8"/>
  <c r="CC40" i="8"/>
  <c r="CY40" i="8"/>
  <c r="EB30" i="8"/>
  <c r="DZ32" i="8"/>
  <c r="EB33" i="8"/>
  <c r="DZ35" i="8"/>
  <c r="EC36" i="8"/>
  <c r="EA38" i="8"/>
  <c r="ED39" i="8"/>
  <c r="W11" i="9"/>
  <c r="W16" i="9" s="1"/>
  <c r="W15" i="9" s="1"/>
  <c r="AB60" i="9"/>
  <c r="AG80" i="9"/>
  <c r="G266" i="9"/>
  <c r="G282" i="9" s="1"/>
  <c r="G270" i="9"/>
  <c r="AC266" i="9"/>
  <c r="AC282" i="9" s="1"/>
  <c r="AC270" i="9"/>
  <c r="W273" i="9"/>
  <c r="N274" i="9"/>
  <c r="D275" i="9"/>
  <c r="Z275" i="9"/>
  <c r="Q276" i="9"/>
  <c r="G277" i="9"/>
  <c r="AC277" i="9"/>
  <c r="L318" i="9"/>
  <c r="AC319" i="9"/>
  <c r="Y322" i="9"/>
  <c r="Q298" i="9"/>
  <c r="Q314" i="9"/>
  <c r="Q40" i="9" s="1"/>
  <c r="P314" i="9"/>
  <c r="P40" i="9" s="1"/>
  <c r="F60" i="10"/>
  <c r="AD76" i="10"/>
  <c r="AD108" i="10"/>
  <c r="AD23" i="10" s="1"/>
  <c r="W108" i="10"/>
  <c r="W23" i="10" s="1"/>
  <c r="L140" i="10"/>
  <c r="K156" i="10"/>
  <c r="H161" i="10"/>
  <c r="Q162" i="10"/>
  <c r="AA245" i="10"/>
  <c r="AF315" i="11"/>
  <c r="AF314" i="11"/>
  <c r="AF39" i="11"/>
  <c r="W241" i="11"/>
  <c r="W257" i="11" s="1"/>
  <c r="W99" i="11"/>
  <c r="W115" i="11" s="1"/>
  <c r="P243" i="11"/>
  <c r="P101" i="11"/>
  <c r="P117" i="11" s="1"/>
  <c r="P260" i="11" s="1"/>
  <c r="O244" i="11"/>
  <c r="O260" i="11" s="1"/>
  <c r="O102" i="11"/>
  <c r="O118" i="11" s="1"/>
  <c r="AE177" i="14"/>
  <c r="P80" i="15"/>
  <c r="V41" i="8"/>
  <c r="AJ22" i="8"/>
  <c r="BF22" i="8"/>
  <c r="BF41" i="8" s="1"/>
  <c r="CB22" i="8"/>
  <c r="CB41" i="8" s="1"/>
  <c r="CX22" i="8"/>
  <c r="CX41" i="8" s="1"/>
  <c r="EF12" i="8"/>
  <c r="DP13" i="8"/>
  <c r="EL13" i="8"/>
  <c r="EI15" i="8"/>
  <c r="EF16" i="8"/>
  <c r="EG24" i="8"/>
  <c r="EH27" i="8"/>
  <c r="EB29" i="8"/>
  <c r="AL40" i="8"/>
  <c r="BH40" i="8"/>
  <c r="CD40" i="8"/>
  <c r="CD41" i="8" s="1"/>
  <c r="CZ40" i="8"/>
  <c r="CZ41" i="8" s="1"/>
  <c r="EC30" i="8"/>
  <c r="EA32" i="8"/>
  <c r="EC33" i="8"/>
  <c r="ED36" i="8"/>
  <c r="EE39" i="8"/>
  <c r="X11" i="9"/>
  <c r="X16" i="9" s="1"/>
  <c r="X15" i="9" s="1"/>
  <c r="AC60" i="9"/>
  <c r="AC10" i="9" s="1"/>
  <c r="AG55" i="9"/>
  <c r="AG53" i="9"/>
  <c r="AG81" i="9"/>
  <c r="AG239" i="9" s="1"/>
  <c r="E155" i="9"/>
  <c r="AA155" i="9"/>
  <c r="AA23" i="9" s="1"/>
  <c r="H266" i="9"/>
  <c r="AD266" i="9"/>
  <c r="AD282" i="9" s="1"/>
  <c r="U271" i="9"/>
  <c r="K272" i="9"/>
  <c r="B273" i="9"/>
  <c r="X273" i="9"/>
  <c r="O274" i="9"/>
  <c r="E275" i="9"/>
  <c r="AA275" i="9"/>
  <c r="Z321" i="9"/>
  <c r="Z322" i="9"/>
  <c r="O325" i="9"/>
  <c r="M327" i="9"/>
  <c r="O328" i="9"/>
  <c r="AH11" i="10"/>
  <c r="AH16" i="10" s="1"/>
  <c r="AG18" i="10"/>
  <c r="AQ73" i="10"/>
  <c r="AQ75" i="10"/>
  <c r="Z140" i="10"/>
  <c r="Z24" i="10" s="1"/>
  <c r="Z5" i="2" s="1"/>
  <c r="C258" i="10"/>
  <c r="C133" i="10"/>
  <c r="C137" i="10"/>
  <c r="Z156" i="10"/>
  <c r="Z27" i="10" s="1"/>
  <c r="I160" i="10"/>
  <c r="H178" i="10"/>
  <c r="H179" i="10"/>
  <c r="AE176" i="10"/>
  <c r="AD176" i="10"/>
  <c r="AD177" i="10"/>
  <c r="D219" i="10"/>
  <c r="D33" i="10" s="1"/>
  <c r="D223" i="10"/>
  <c r="D239" i="10" s="1"/>
  <c r="B242" i="10"/>
  <c r="D245" i="10"/>
  <c r="AB240" i="10"/>
  <c r="U36" i="11"/>
  <c r="AG63" i="11"/>
  <c r="AG72" i="11"/>
  <c r="AG68" i="11"/>
  <c r="AG73" i="11"/>
  <c r="AG64" i="11"/>
  <c r="U40" i="7"/>
  <c r="G41" i="7"/>
  <c r="AL41" i="8"/>
  <c r="W41" i="8"/>
  <c r="EF9" i="8"/>
  <c r="EG12" i="8"/>
  <c r="DN15" i="8"/>
  <c r="EJ15" i="8"/>
  <c r="EG16" i="8"/>
  <c r="EH24" i="8"/>
  <c r="Q40" i="8"/>
  <c r="AM40" i="8"/>
  <c r="BI40" i="8"/>
  <c r="DO40" i="8" s="1"/>
  <c r="CE40" i="8"/>
  <c r="DA40" i="8"/>
  <c r="ED30" i="8"/>
  <c r="ED33" i="8"/>
  <c r="EF39" i="8"/>
  <c r="C15" i="9"/>
  <c r="AG82" i="9"/>
  <c r="F155" i="9"/>
  <c r="AB155" i="9"/>
  <c r="AB23" i="9" s="1"/>
  <c r="AB25" i="9" s="1"/>
  <c r="AB28" i="9" s="1"/>
  <c r="AB26" i="9" s="1"/>
  <c r="I266" i="9"/>
  <c r="I282" i="9" s="1"/>
  <c r="AE266" i="9"/>
  <c r="AE282" i="9" s="1"/>
  <c r="L272" i="9"/>
  <c r="AA321" i="9"/>
  <c r="N327" i="9"/>
  <c r="S314" i="9"/>
  <c r="S40" i="9" s="1"/>
  <c r="R314" i="9"/>
  <c r="R40" i="9" s="1"/>
  <c r="AB76" i="10"/>
  <c r="O100" i="10"/>
  <c r="O243" i="10"/>
  <c r="U140" i="10"/>
  <c r="U24" i="10" s="1"/>
  <c r="AH130" i="10"/>
  <c r="D305" i="10"/>
  <c r="D306" i="10" s="1"/>
  <c r="D307" i="10" s="1"/>
  <c r="D308" i="10" s="1"/>
  <c r="D309" i="10" s="1"/>
  <c r="D310" i="10" s="1"/>
  <c r="D311" i="10" s="1"/>
  <c r="D312" i="10" s="1"/>
  <c r="D313" i="10" s="1"/>
  <c r="J239" i="11"/>
  <c r="J255" i="11" s="1"/>
  <c r="J97" i="11"/>
  <c r="J113" i="11" s="1"/>
  <c r="V242" i="11"/>
  <c r="V258" i="11" s="1"/>
  <c r="V100" i="11"/>
  <c r="V116" i="11" s="1"/>
  <c r="V259" i="11" s="1"/>
  <c r="EF23" i="6"/>
  <c r="ED7" i="7"/>
  <c r="EH23" i="7"/>
  <c r="V40" i="7"/>
  <c r="EH40" i="7" s="1"/>
  <c r="AZ41" i="7"/>
  <c r="AM41" i="8"/>
  <c r="CE41" i="8"/>
  <c r="DV7" i="8"/>
  <c r="EG9" i="8"/>
  <c r="EH12" i="8"/>
  <c r="DN19" i="8"/>
  <c r="EJ19" i="8"/>
  <c r="DR20" i="8"/>
  <c r="EN20" i="8"/>
  <c r="EI24" i="8"/>
  <c r="EE30" i="8"/>
  <c r="EE33" i="8"/>
  <c r="EF36" i="8"/>
  <c r="ED38" i="8"/>
  <c r="EG39" i="8"/>
  <c r="AG6" i="9"/>
  <c r="D15" i="9"/>
  <c r="AC25" i="9"/>
  <c r="AC28" i="9" s="1"/>
  <c r="AC26" i="9" s="1"/>
  <c r="AG83" i="9"/>
  <c r="AG177" i="9"/>
  <c r="W271" i="9"/>
  <c r="AF319" i="9"/>
  <c r="T314" i="9"/>
  <c r="T40" i="9" s="1"/>
  <c r="AQ69" i="10"/>
  <c r="AA108" i="10"/>
  <c r="AA23" i="10" s="1"/>
  <c r="B108" i="10"/>
  <c r="B23" i="10" s="1"/>
  <c r="V140" i="10"/>
  <c r="V24" i="10" s="1"/>
  <c r="G140" i="10"/>
  <c r="G24" i="10" s="1"/>
  <c r="R250" i="10"/>
  <c r="W242" i="11"/>
  <c r="W258" i="11" s="1"/>
  <c r="W100" i="11"/>
  <c r="W116" i="11" s="1"/>
  <c r="V93" i="14"/>
  <c r="V96" i="14"/>
  <c r="EG23" i="6"/>
  <c r="EE7" i="7"/>
  <c r="EI23" i="7"/>
  <c r="BA41" i="7"/>
  <c r="C41" i="8"/>
  <c r="ET8" i="8"/>
  <c r="EH9" i="8"/>
  <c r="DP10" i="8"/>
  <c r="EL10" i="8"/>
  <c r="EI12" i="8"/>
  <c r="EG13" i="8"/>
  <c r="DO19" i="8"/>
  <c r="EK19" i="8"/>
  <c r="EF25" i="8"/>
  <c r="EF30" i="8"/>
  <c r="EF33" i="8"/>
  <c r="EG36" i="8"/>
  <c r="ED37" i="8"/>
  <c r="EE38" i="8"/>
  <c r="EH39" i="8"/>
  <c r="AA11" i="9"/>
  <c r="AA16" i="9" s="1"/>
  <c r="AA15" i="9" s="1"/>
  <c r="AD25" i="9"/>
  <c r="AD28" i="9" s="1"/>
  <c r="H270" i="9"/>
  <c r="H155" i="9"/>
  <c r="AD270" i="9"/>
  <c r="AD155" i="9"/>
  <c r="AD23" i="9" s="1"/>
  <c r="K270" i="9"/>
  <c r="AG241" i="9"/>
  <c r="Q266" i="9"/>
  <c r="Q282" i="9" s="1"/>
  <c r="B294" i="9"/>
  <c r="B326" i="9" s="1"/>
  <c r="P327" i="9"/>
  <c r="K328" i="9"/>
  <c r="AA4" i="10"/>
  <c r="Q14" i="10"/>
  <c r="AD25" i="10"/>
  <c r="AD28" i="10" s="1"/>
  <c r="J60" i="10"/>
  <c r="J10" i="10" s="1"/>
  <c r="J7" i="1" s="1"/>
  <c r="J8" i="1" s="1"/>
  <c r="J13" i="1" s="1"/>
  <c r="O108" i="10"/>
  <c r="O23" i="10" s="1"/>
  <c r="H140" i="10"/>
  <c r="H24" i="10" s="1"/>
  <c r="AC156" i="10"/>
  <c r="L161" i="10"/>
  <c r="K177" i="10"/>
  <c r="K178" i="10"/>
  <c r="K179" i="10"/>
  <c r="L160" i="10"/>
  <c r="AG177" i="10"/>
  <c r="AG178" i="10"/>
  <c r="AG179" i="10"/>
  <c r="AG176" i="10"/>
  <c r="G219" i="10"/>
  <c r="G33" i="10" s="1"/>
  <c r="G223" i="10"/>
  <c r="G239" i="10" s="1"/>
  <c r="AC219" i="10"/>
  <c r="AC33" i="10" s="1"/>
  <c r="AC223" i="10"/>
  <c r="AC239" i="10" s="1"/>
  <c r="E242" i="10"/>
  <c r="O267" i="10"/>
  <c r="O34" i="10" s="1"/>
  <c r="Q249" i="11"/>
  <c r="Q265" i="11" s="1"/>
  <c r="R95" i="11"/>
  <c r="R91" i="11"/>
  <c r="R12" i="11" s="1"/>
  <c r="L255" i="11"/>
  <c r="AD276" i="13"/>
  <c r="X40" i="13"/>
  <c r="AD279" i="13"/>
  <c r="AD280" i="13"/>
  <c r="B40" i="7"/>
  <c r="DN40" i="7" s="1"/>
  <c r="X40" i="7"/>
  <c r="EJ40" i="7" s="1"/>
  <c r="AO41" i="8"/>
  <c r="BK41" i="8"/>
  <c r="CG41" i="8"/>
  <c r="DC41" i="8"/>
  <c r="Z41" i="8"/>
  <c r="EI9" i="8"/>
  <c r="DN12" i="8"/>
  <c r="EJ12" i="8"/>
  <c r="DN16" i="8"/>
  <c r="EJ16" i="8"/>
  <c r="DR17" i="8"/>
  <c r="EN17" i="8"/>
  <c r="DP19" i="8"/>
  <c r="EL19" i="8"/>
  <c r="DT20" i="8"/>
  <c r="EP20" i="8"/>
  <c r="ET20" i="8" s="1"/>
  <c r="B28" i="8"/>
  <c r="X28" i="8"/>
  <c r="EJ28" i="8" s="1"/>
  <c r="EG30" i="8"/>
  <c r="EG33" i="8"/>
  <c r="EH36" i="8"/>
  <c r="EF38" i="8"/>
  <c r="EI39" i="8"/>
  <c r="AG85" i="9"/>
  <c r="I155" i="9"/>
  <c r="AE155" i="9"/>
  <c r="AE23" i="9" s="1"/>
  <c r="AE25" i="9" s="1"/>
  <c r="AE28" i="9" s="1"/>
  <c r="AE26" i="9" s="1"/>
  <c r="R266" i="9"/>
  <c r="R282" i="9" s="1"/>
  <c r="AD321" i="9"/>
  <c r="AG293" i="9"/>
  <c r="AG292" i="9"/>
  <c r="D108" i="10"/>
  <c r="D23" i="10" s="1"/>
  <c r="M161" i="10"/>
  <c r="L178" i="10"/>
  <c r="M160" i="10"/>
  <c r="AH178" i="10"/>
  <c r="AH177" i="10"/>
  <c r="AH176" i="10"/>
  <c r="H223" i="10"/>
  <c r="H239" i="10" s="1"/>
  <c r="H219" i="10"/>
  <c r="H33" i="10" s="1"/>
  <c r="U240" i="10"/>
  <c r="AB249" i="10"/>
  <c r="F250" i="10"/>
  <c r="P267" i="10"/>
  <c r="P34" i="10" s="1"/>
  <c r="P5" i="3" s="1"/>
  <c r="EI23" i="6"/>
  <c r="EG7" i="7"/>
  <c r="BL41" i="8"/>
  <c r="DD41" i="8"/>
  <c r="AA41" i="8"/>
  <c r="EG5" i="8"/>
  <c r="DY7" i="8"/>
  <c r="DN9" i="8"/>
  <c r="EJ9" i="8"/>
  <c r="EF10" i="8"/>
  <c r="EI13" i="8"/>
  <c r="DO16" i="8"/>
  <c r="EK16" i="8"/>
  <c r="DS17" i="8"/>
  <c r="EO17" i="8"/>
  <c r="ES17" i="8" s="1"/>
  <c r="DQ19" i="8"/>
  <c r="EM19" i="8"/>
  <c r="DU20" i="8"/>
  <c r="DO28" i="8"/>
  <c r="EK28" i="8"/>
  <c r="EH25" i="8"/>
  <c r="EH30" i="8"/>
  <c r="EH33" i="8"/>
  <c r="ED34" i="8"/>
  <c r="EF37" i="8"/>
  <c r="DN39" i="8"/>
  <c r="EJ39" i="8"/>
  <c r="AC11" i="9"/>
  <c r="AC16" i="9" s="1"/>
  <c r="AC15" i="9" s="1"/>
  <c r="AF73" i="9"/>
  <c r="AF75" i="9" s="1"/>
  <c r="AF72" i="9"/>
  <c r="S35" i="9"/>
  <c r="S41" i="9" s="1"/>
  <c r="C48" i="9"/>
  <c r="C56" i="9"/>
  <c r="AG86" i="9"/>
  <c r="J155" i="9"/>
  <c r="R318" i="9"/>
  <c r="U324" i="9"/>
  <c r="T326" i="9"/>
  <c r="N326" i="9"/>
  <c r="AB4" i="10"/>
  <c r="J25" i="10"/>
  <c r="J28" i="10" s="1"/>
  <c r="J26" i="10" s="1"/>
  <c r="AB304" i="10"/>
  <c r="AB305" i="10" s="1"/>
  <c r="AB306" i="10" s="1"/>
  <c r="AB307" i="10" s="1"/>
  <c r="AB308" i="10" s="1"/>
  <c r="AB309" i="10" s="1"/>
  <c r="AB310" i="10" s="1"/>
  <c r="AB311" i="10" s="1"/>
  <c r="AB312" i="10" s="1"/>
  <c r="AB313" i="10" s="1"/>
  <c r="L60" i="10"/>
  <c r="AQ49" i="10"/>
  <c r="M60" i="10"/>
  <c r="M10" i="10" s="1"/>
  <c r="AG58" i="10"/>
  <c r="Y140" i="10"/>
  <c r="Y24" i="10" s="1"/>
  <c r="AD140" i="10"/>
  <c r="AD24" i="10" s="1"/>
  <c r="T178" i="10"/>
  <c r="M178" i="10"/>
  <c r="M179" i="10"/>
  <c r="M177" i="10"/>
  <c r="N160" i="10"/>
  <c r="AI176" i="10"/>
  <c r="I223" i="10"/>
  <c r="I239" i="10" s="1"/>
  <c r="I219" i="10"/>
  <c r="I33" i="10" s="1"/>
  <c r="F249" i="10"/>
  <c r="AA304" i="10"/>
  <c r="AA305" i="10" s="1"/>
  <c r="AA306" i="10" s="1"/>
  <c r="AA307" i="10" s="1"/>
  <c r="AA308" i="10" s="1"/>
  <c r="AA309" i="10" s="1"/>
  <c r="AA310" i="10" s="1"/>
  <c r="AA311" i="10" s="1"/>
  <c r="AA312" i="10" s="1"/>
  <c r="AA313" i="10" s="1"/>
  <c r="AG279" i="11"/>
  <c r="AF279" i="11"/>
  <c r="AF281" i="11" s="1"/>
  <c r="AD282" i="11"/>
  <c r="L156" i="12"/>
  <c r="DN23" i="6"/>
  <c r="EJ23" i="6"/>
  <c r="AQ41" i="8"/>
  <c r="BM41" i="8"/>
  <c r="CI41" i="8"/>
  <c r="DE41" i="8"/>
  <c r="EG10" i="8"/>
  <c r="DW11" i="8"/>
  <c r="DN13" i="8"/>
  <c r="EJ13" i="8"/>
  <c r="DR14" i="8"/>
  <c r="EN14" i="8"/>
  <c r="DR19" i="8"/>
  <c r="EN19" i="8"/>
  <c r="DV20" i="8"/>
  <c r="EI25" i="8"/>
  <c r="EI30" i="8"/>
  <c r="EE34" i="8"/>
  <c r="ET36" i="8"/>
  <c r="EG37" i="8"/>
  <c r="DO39" i="8"/>
  <c r="EK39" i="8"/>
  <c r="B28" i="9"/>
  <c r="B26" i="9" s="1"/>
  <c r="W25" i="9"/>
  <c r="W28" i="9" s="1"/>
  <c r="W26" i="9" s="1"/>
  <c r="T35" i="9"/>
  <c r="T41" i="9" s="1"/>
  <c r="D48" i="9"/>
  <c r="D52" i="9"/>
  <c r="D56" i="9"/>
  <c r="AG87" i="9"/>
  <c r="K155" i="9"/>
  <c r="B295" i="9"/>
  <c r="B327" i="9" s="1"/>
  <c r="AH56" i="10"/>
  <c r="AQ57" i="10"/>
  <c r="O76" i="10"/>
  <c r="O13" i="10" s="1"/>
  <c r="V76" i="10"/>
  <c r="V13" i="10" s="1"/>
  <c r="J156" i="10"/>
  <c r="J27" i="10" s="1"/>
  <c r="AF156" i="10"/>
  <c r="AF27" i="10" s="1"/>
  <c r="U163" i="10"/>
  <c r="N177" i="10"/>
  <c r="N178" i="10" s="1"/>
  <c r="AJ176" i="10"/>
  <c r="J219" i="10"/>
  <c r="J33" i="10" s="1"/>
  <c r="J223" i="10"/>
  <c r="J239" i="10" s="1"/>
  <c r="P244" i="10"/>
  <c r="J250" i="10"/>
  <c r="W259" i="11"/>
  <c r="C112" i="11"/>
  <c r="L60" i="12"/>
  <c r="BN41" i="8"/>
  <c r="CJ41" i="8"/>
  <c r="CJ45" i="8" s="1"/>
  <c r="DF41" i="8"/>
  <c r="DS8" i="8"/>
  <c r="EO8" i="8"/>
  <c r="ES8" i="8" s="1"/>
  <c r="E28" i="8"/>
  <c r="DQ23" i="8"/>
  <c r="AA28" i="8"/>
  <c r="EM28" i="8" s="1"/>
  <c r="EM23" i="8"/>
  <c r="DQ26" i="8"/>
  <c r="EM26" i="8"/>
  <c r="EF31" i="8"/>
  <c r="DR31" i="8"/>
  <c r="EN31" i="8"/>
  <c r="EH37" i="8"/>
  <c r="DP39" i="8"/>
  <c r="EL39" i="8"/>
  <c r="X25" i="9"/>
  <c r="X28" i="9" s="1"/>
  <c r="E48" i="9"/>
  <c r="E56" i="9"/>
  <c r="L155" i="9"/>
  <c r="T155" i="9"/>
  <c r="AF248" i="9"/>
  <c r="AB323" i="9"/>
  <c r="W324" i="9"/>
  <c r="W331" i="9" s="1"/>
  <c r="T327" i="9"/>
  <c r="L329" i="9"/>
  <c r="N60" i="10"/>
  <c r="N10" i="10" s="1"/>
  <c r="P76" i="10"/>
  <c r="P13" i="10" s="1"/>
  <c r="H108" i="10"/>
  <c r="H23" i="10" s="1"/>
  <c r="C108" i="10"/>
  <c r="C23" i="10" s="1"/>
  <c r="F108" i="10"/>
  <c r="F23" i="10" s="1"/>
  <c r="AH135" i="10"/>
  <c r="B240" i="10"/>
  <c r="X240" i="10"/>
  <c r="S241" i="10"/>
  <c r="Y283" i="10"/>
  <c r="Y40" i="10" s="1"/>
  <c r="S7" i="11"/>
  <c r="S6" i="11"/>
  <c r="AD75" i="11"/>
  <c r="AM69" i="11"/>
  <c r="AM75" i="11" s="1"/>
  <c r="P239" i="11"/>
  <c r="P97" i="11"/>
  <c r="P113" i="11" s="1"/>
  <c r="P256" i="11" s="1"/>
  <c r="AL291" i="11"/>
  <c r="AC310" i="11"/>
  <c r="S298" i="11"/>
  <c r="S40" i="11" s="1"/>
  <c r="N177" i="12"/>
  <c r="O176" i="12"/>
  <c r="N176" i="12"/>
  <c r="S14" i="10"/>
  <c r="AH136" i="10"/>
  <c r="N156" i="10"/>
  <c r="D149" i="10" s="1"/>
  <c r="P176" i="10"/>
  <c r="O176" i="10"/>
  <c r="AL176" i="10"/>
  <c r="K223" i="10"/>
  <c r="K239" i="10" s="1"/>
  <c r="K219" i="10"/>
  <c r="K33" i="10" s="1"/>
  <c r="C242" i="10"/>
  <c r="AB250" i="10"/>
  <c r="E283" i="10"/>
  <c r="X35" i="11"/>
  <c r="X41" i="11" s="1"/>
  <c r="X36" i="11" s="1"/>
  <c r="E75" i="11"/>
  <c r="E13" i="11" s="1"/>
  <c r="U112" i="11"/>
  <c r="T175" i="11"/>
  <c r="Y261" i="11"/>
  <c r="V254" i="11"/>
  <c r="AB191" i="9"/>
  <c r="AB203" i="9" s="1"/>
  <c r="E288" i="9"/>
  <c r="E320" i="9" s="1"/>
  <c r="B293" i="9"/>
  <c r="B325" i="9" s="1"/>
  <c r="D297" i="9"/>
  <c r="D329" i="9" s="1"/>
  <c r="Z304" i="10"/>
  <c r="Z305" i="10" s="1"/>
  <c r="Z306" i="10" s="1"/>
  <c r="Z307" i="10" s="1"/>
  <c r="Z308" i="10" s="1"/>
  <c r="Z309" i="10" s="1"/>
  <c r="Z310" i="10" s="1"/>
  <c r="Z311" i="10" s="1"/>
  <c r="Z312" i="10"/>
  <c r="Z313" i="10" s="1"/>
  <c r="AH53" i="10"/>
  <c r="AH57" i="10"/>
  <c r="AD60" i="10"/>
  <c r="AD10" i="10" s="1"/>
  <c r="AF86" i="10"/>
  <c r="T98" i="10"/>
  <c r="T108" i="10" s="1"/>
  <c r="T23" i="10" s="1"/>
  <c r="O156" i="10"/>
  <c r="O27" i="10" s="1"/>
  <c r="N241" i="10"/>
  <c r="D242" i="10"/>
  <c r="P246" i="10"/>
  <c r="U248" i="10"/>
  <c r="AC250" i="10"/>
  <c r="Y267" i="10"/>
  <c r="Y34" i="10" s="1"/>
  <c r="D6" i="11"/>
  <c r="D7" i="11"/>
  <c r="L159" i="11"/>
  <c r="P59" i="11"/>
  <c r="C136" i="11"/>
  <c r="N258" i="11"/>
  <c r="Z307" i="11"/>
  <c r="T156" i="12"/>
  <c r="U18" i="14"/>
  <c r="U15" i="14"/>
  <c r="X32" i="9"/>
  <c r="AD191" i="9"/>
  <c r="AD203" i="9" s="1"/>
  <c r="W298" i="9"/>
  <c r="AG56" i="10"/>
  <c r="N140" i="10"/>
  <c r="N24" i="10" s="1"/>
  <c r="N5" i="2" s="1"/>
  <c r="Q156" i="10"/>
  <c r="Q27" i="10" s="1"/>
  <c r="AK177" i="10"/>
  <c r="S176" i="10"/>
  <c r="R177" i="10"/>
  <c r="R178" i="10" s="1"/>
  <c r="N239" i="10"/>
  <c r="E245" i="10"/>
  <c r="AB245" i="10"/>
  <c r="M247" i="10"/>
  <c r="W248" i="10"/>
  <c r="F240" i="10"/>
  <c r="H243" i="10"/>
  <c r="AH304" i="10"/>
  <c r="U304" i="10"/>
  <c r="T304" i="10"/>
  <c r="T305" i="10" s="1"/>
  <c r="T306" i="10" s="1"/>
  <c r="T307" i="10" s="1"/>
  <c r="T308" i="10" s="1"/>
  <c r="T309" i="10" s="1"/>
  <c r="T310" i="10" s="1"/>
  <c r="T311" i="10" s="1"/>
  <c r="T312" i="10" s="1"/>
  <c r="T313" i="10" s="1"/>
  <c r="U308" i="10"/>
  <c r="U309" i="10" s="1"/>
  <c r="U310" i="10" s="1"/>
  <c r="U311" i="10" s="1"/>
  <c r="U312" i="10" s="1"/>
  <c r="U313" i="10" s="1"/>
  <c r="AA35" i="11"/>
  <c r="AA41" i="11" s="1"/>
  <c r="W59" i="11"/>
  <c r="W10" i="11" s="1"/>
  <c r="T112" i="11"/>
  <c r="Q239" i="11"/>
  <c r="Q255" i="11" s="1"/>
  <c r="Q97" i="11"/>
  <c r="J241" i="11"/>
  <c r="J99" i="11"/>
  <c r="J115" i="11" s="1"/>
  <c r="S155" i="11"/>
  <c r="S27" i="11" s="1"/>
  <c r="G149" i="11"/>
  <c r="W175" i="11"/>
  <c r="S297" i="12"/>
  <c r="S291" i="12"/>
  <c r="S288" i="12"/>
  <c r="S293" i="12"/>
  <c r="S292" i="12"/>
  <c r="S294" i="12"/>
  <c r="S289" i="12"/>
  <c r="S296" i="12"/>
  <c r="S295" i="12"/>
  <c r="S287" i="12"/>
  <c r="S290" i="12"/>
  <c r="AE191" i="9"/>
  <c r="AE203" i="9" s="1"/>
  <c r="C289" i="9"/>
  <c r="C321" i="9" s="1"/>
  <c r="AJ5" i="10"/>
  <c r="W14" i="10"/>
  <c r="AC304" i="10"/>
  <c r="AC305" i="10" s="1"/>
  <c r="AC306" i="10" s="1"/>
  <c r="AC307" i="10" s="1"/>
  <c r="AC308" i="10" s="1"/>
  <c r="AC309" i="10" s="1"/>
  <c r="AC310" i="10" s="1"/>
  <c r="AC311" i="10" s="1"/>
  <c r="AC312" i="10" s="1"/>
  <c r="AC313" i="10" s="1"/>
  <c r="Y76" i="10"/>
  <c r="Y13" i="10" s="1"/>
  <c r="E108" i="10"/>
  <c r="E23" i="10" s="1"/>
  <c r="E25" i="10" s="1"/>
  <c r="E28" i="10" s="1"/>
  <c r="E26" i="10" s="1"/>
  <c r="O140" i="10"/>
  <c r="R156" i="10"/>
  <c r="R27" i="10" s="1"/>
  <c r="O239" i="10"/>
  <c r="AD242" i="10"/>
  <c r="F245" i="10"/>
  <c r="AC245" i="10"/>
  <c r="N247" i="10"/>
  <c r="B248" i="10"/>
  <c r="X248" i="10"/>
  <c r="D246" i="10"/>
  <c r="R249" i="10"/>
  <c r="R261" i="11"/>
  <c r="J111" i="11"/>
  <c r="J254" i="11" s="1"/>
  <c r="T155" i="11"/>
  <c r="T27" i="11" s="1"/>
  <c r="H160" i="11"/>
  <c r="B175" i="11"/>
  <c r="X175" i="11"/>
  <c r="X176" i="11"/>
  <c r="AG202" i="11"/>
  <c r="Z243" i="11"/>
  <c r="Z259" i="11" s="1"/>
  <c r="Z85" i="11"/>
  <c r="Z101" i="11" s="1"/>
  <c r="Z117" i="11" s="1"/>
  <c r="AG276" i="11"/>
  <c r="AF276" i="11"/>
  <c r="K40" i="8"/>
  <c r="DW40" i="8" s="1"/>
  <c r="D289" i="9"/>
  <c r="D321" i="9" s="1"/>
  <c r="B14" i="10"/>
  <c r="X14" i="10"/>
  <c r="X11" i="1" s="1"/>
  <c r="X43" i="1" s="1"/>
  <c r="AD307" i="10"/>
  <c r="AD305" i="10"/>
  <c r="AD306" i="10" s="1"/>
  <c r="AD35" i="10"/>
  <c r="AD41" i="10" s="1"/>
  <c r="AD36" i="10" s="1"/>
  <c r="AI52" i="10"/>
  <c r="AF89" i="10"/>
  <c r="P140" i="10"/>
  <c r="P24" i="10" s="1"/>
  <c r="S156" i="10"/>
  <c r="S27" i="10" s="1"/>
  <c r="AG149" i="10"/>
  <c r="G245" i="10"/>
  <c r="O247" i="10"/>
  <c r="K250" i="10"/>
  <c r="V249" i="10"/>
  <c r="AE283" i="10"/>
  <c r="AE40" i="10" s="1"/>
  <c r="AD283" i="10"/>
  <c r="AD40" i="10" s="1"/>
  <c r="H7" i="11"/>
  <c r="H6" i="11"/>
  <c r="Q59" i="11"/>
  <c r="J75" i="11"/>
  <c r="J13" i="11" s="1"/>
  <c r="AD95" i="11"/>
  <c r="AC249" i="11"/>
  <c r="AC265" i="11" s="1"/>
  <c r="H248" i="11"/>
  <c r="H264" i="11" s="1"/>
  <c r="H106" i="11"/>
  <c r="H122" i="11" s="1"/>
  <c r="H91" i="11"/>
  <c r="H12" i="11" s="1"/>
  <c r="K111" i="11"/>
  <c r="U155" i="11"/>
  <c r="U27" i="11" s="1"/>
  <c r="U8" i="2" s="1"/>
  <c r="U30" i="2" s="1"/>
  <c r="C177" i="11"/>
  <c r="C176" i="11"/>
  <c r="C178" i="11"/>
  <c r="Y175" i="11"/>
  <c r="B262" i="11"/>
  <c r="DW23" i="8"/>
  <c r="L40" i="8"/>
  <c r="AE310" i="10"/>
  <c r="AE307" i="10"/>
  <c r="AE308" i="10" s="1"/>
  <c r="AE309" i="10" s="1"/>
  <c r="AE311" i="10"/>
  <c r="AE312" i="10" s="1"/>
  <c r="AE313" i="10" s="1"/>
  <c r="AE306" i="10"/>
  <c r="AA76" i="10"/>
  <c r="G108" i="10"/>
  <c r="G23" i="10" s="1"/>
  <c r="AC108" i="10"/>
  <c r="AC23" i="10" s="1"/>
  <c r="AA156" i="10"/>
  <c r="I242" i="10"/>
  <c r="P247" i="10"/>
  <c r="L250" i="10"/>
  <c r="W249" i="10"/>
  <c r="J283" i="10"/>
  <c r="J40" i="10" s="1"/>
  <c r="AF283" i="10"/>
  <c r="AF40" i="10" s="1"/>
  <c r="AF44" i="8" s="1"/>
  <c r="F15" i="11"/>
  <c r="F95" i="11"/>
  <c r="F91" i="11"/>
  <c r="F12" i="11" s="1"/>
  <c r="E249" i="11"/>
  <c r="E265" i="11" s="1"/>
  <c r="L24" i="11"/>
  <c r="C133" i="11"/>
  <c r="C138" i="11"/>
  <c r="C128" i="11"/>
  <c r="C131" i="11"/>
  <c r="V155" i="11"/>
  <c r="DX23" i="8"/>
  <c r="L191" i="9"/>
  <c r="L203" i="9" s="1"/>
  <c r="AG261" i="9"/>
  <c r="I60" i="10"/>
  <c r="I10" i="10" s="1"/>
  <c r="AE60" i="10"/>
  <c r="AE10" i="10" s="1"/>
  <c r="AE11" i="10" s="1"/>
  <c r="AE16" i="10" s="1"/>
  <c r="AQ53" i="10"/>
  <c r="AE90" i="10"/>
  <c r="U160" i="10"/>
  <c r="R140" i="10"/>
  <c r="R24" i="10" s="1"/>
  <c r="R5" i="2" s="1"/>
  <c r="O244" i="10"/>
  <c r="V246" i="10"/>
  <c r="Q247" i="10"/>
  <c r="N219" i="10"/>
  <c r="N33" i="10" s="1"/>
  <c r="R283" i="10"/>
  <c r="R40" i="10" s="1"/>
  <c r="K283" i="10"/>
  <c r="K40" i="10" s="1"/>
  <c r="K11" i="3" s="1"/>
  <c r="AH273" i="10"/>
  <c r="B304" i="10"/>
  <c r="B305" i="10" s="1"/>
  <c r="B306" i="10" s="1"/>
  <c r="B307" i="10" s="1"/>
  <c r="B308" i="10" s="1"/>
  <c r="B309" i="10" s="1"/>
  <c r="B310" i="10" s="1"/>
  <c r="B311" i="10" s="1"/>
  <c r="B312" i="10" s="1"/>
  <c r="B313" i="10" s="1"/>
  <c r="X304" i="10"/>
  <c r="X305" i="10" s="1"/>
  <c r="X306" i="10" s="1"/>
  <c r="X309" i="10"/>
  <c r="X310" i="10" s="1"/>
  <c r="X311" i="10" s="1"/>
  <c r="X312" i="10" s="1"/>
  <c r="X313" i="10" s="1"/>
  <c r="X307" i="10"/>
  <c r="X308" i="10" s="1"/>
  <c r="G6" i="11"/>
  <c r="I11" i="11"/>
  <c r="I16" i="11" s="1"/>
  <c r="I15" i="11" s="1"/>
  <c r="AE35" i="11"/>
  <c r="AE41" i="11" s="1"/>
  <c r="AE36" i="11" s="1"/>
  <c r="AL75" i="11"/>
  <c r="B69" i="11"/>
  <c r="G95" i="11"/>
  <c r="G91" i="11"/>
  <c r="G12" i="11" s="1"/>
  <c r="T91" i="11"/>
  <c r="T12" i="11" s="1"/>
  <c r="W155" i="11"/>
  <c r="W27" i="11" s="1"/>
  <c r="W8" i="2" s="1"/>
  <c r="W159" i="11"/>
  <c r="F249" i="11"/>
  <c r="F265" i="11" s="1"/>
  <c r="AK359" i="11"/>
  <c r="AL359" i="11" s="1"/>
  <c r="K4" i="12"/>
  <c r="J14" i="12" s="1"/>
  <c r="K6" i="12"/>
  <c r="S6" i="12"/>
  <c r="S4" i="12"/>
  <c r="R14" i="12" s="1"/>
  <c r="R11" i="1" s="1"/>
  <c r="R43" i="1" s="1"/>
  <c r="S7" i="12"/>
  <c r="Q176" i="13"/>
  <c r="N40" i="8"/>
  <c r="DZ40" i="8" s="1"/>
  <c r="I108" i="10"/>
  <c r="I23" i="10" s="1"/>
  <c r="I25" i="10" s="1"/>
  <c r="I28" i="10" s="1"/>
  <c r="I26" i="10" s="1"/>
  <c r="S140" i="10"/>
  <c r="S24" i="10" s="1"/>
  <c r="AA140" i="10"/>
  <c r="H240" i="10"/>
  <c r="R247" i="10"/>
  <c r="F248" i="10"/>
  <c r="J267" i="10"/>
  <c r="J34" i="10" s="1"/>
  <c r="AF267" i="10"/>
  <c r="AF34" i="10" s="1"/>
  <c r="AI271" i="10"/>
  <c r="AE305" i="10"/>
  <c r="C310" i="10"/>
  <c r="C311" i="10" s="1"/>
  <c r="C312" i="10"/>
  <c r="C313" i="10" s="1"/>
  <c r="D303" i="10"/>
  <c r="D304" i="10"/>
  <c r="C303" i="10"/>
  <c r="C304" i="10" s="1"/>
  <c r="C305" i="10" s="1"/>
  <c r="C306" i="10" s="1"/>
  <c r="C307" i="10" s="1"/>
  <c r="C308" i="10" s="1"/>
  <c r="C309" i="10" s="1"/>
  <c r="Y304" i="10"/>
  <c r="Y305" i="10" s="1"/>
  <c r="Y306" i="10" s="1"/>
  <c r="Y307" i="10" s="1"/>
  <c r="Y308" i="10" s="1"/>
  <c r="Y309" i="10" s="1"/>
  <c r="Y310" i="10" s="1"/>
  <c r="Y311" i="10" s="1"/>
  <c r="Y312" i="10" s="1"/>
  <c r="Y313" i="10" s="1"/>
  <c r="Z303" i="10"/>
  <c r="K248" i="11"/>
  <c r="K106" i="11"/>
  <c r="K122" i="11" s="1"/>
  <c r="AG136" i="11"/>
  <c r="G175" i="11"/>
  <c r="F175" i="11"/>
  <c r="AC185" i="11"/>
  <c r="AC175" i="11"/>
  <c r="AB175" i="11"/>
  <c r="T9" i="12"/>
  <c r="T6" i="1" s="1"/>
  <c r="T6" i="12"/>
  <c r="T4" i="12"/>
  <c r="S14" i="12" s="1"/>
  <c r="S176" i="13"/>
  <c r="R178" i="13"/>
  <c r="R176" i="13"/>
  <c r="R177" i="13" s="1"/>
  <c r="S210" i="13"/>
  <c r="S307" i="13"/>
  <c r="AA6" i="14"/>
  <c r="Z14" i="14"/>
  <c r="O40" i="8"/>
  <c r="EA40" i="8" s="1"/>
  <c r="AG175" i="9"/>
  <c r="AG259" i="9"/>
  <c r="I270" i="9"/>
  <c r="AE270" i="9"/>
  <c r="AH306" i="10"/>
  <c r="AH307" i="10" s="1"/>
  <c r="AH308" i="10" s="1"/>
  <c r="AH309" i="10" s="1"/>
  <c r="AH310" i="10" s="1"/>
  <c r="AH311" i="10" s="1"/>
  <c r="AH312" i="10" s="1"/>
  <c r="AH313" i="10" s="1"/>
  <c r="AG80" i="10"/>
  <c r="T140" i="10"/>
  <c r="C176" i="10"/>
  <c r="B176" i="10"/>
  <c r="Y176" i="10"/>
  <c r="Y160" i="10"/>
  <c r="X177" i="10"/>
  <c r="Q244" i="10"/>
  <c r="S247" i="10"/>
  <c r="O250" i="10"/>
  <c r="P219" i="10"/>
  <c r="P33" i="10" s="1"/>
  <c r="E267" i="10"/>
  <c r="E313" i="10"/>
  <c r="B312" i="11"/>
  <c r="B303" i="11"/>
  <c r="B305" i="11"/>
  <c r="B307" i="11"/>
  <c r="B311" i="11"/>
  <c r="B313" i="11"/>
  <c r="B308" i="11"/>
  <c r="B309" i="11"/>
  <c r="B304" i="11"/>
  <c r="B302" i="11"/>
  <c r="B306" i="11"/>
  <c r="W245" i="11"/>
  <c r="W261" i="11" s="1"/>
  <c r="W103" i="11"/>
  <c r="W119" i="11" s="1"/>
  <c r="AC83" i="11"/>
  <c r="BA10" i="12"/>
  <c r="V5" i="12"/>
  <c r="U5" i="12"/>
  <c r="P40" i="8"/>
  <c r="EB40" i="8" s="1"/>
  <c r="AG176" i="9"/>
  <c r="C6" i="10"/>
  <c r="AI306" i="10"/>
  <c r="AH48" i="10"/>
  <c r="AF82" i="10"/>
  <c r="K103" i="10"/>
  <c r="K108" i="10" s="1"/>
  <c r="K23" i="10" s="1"/>
  <c r="K246" i="10"/>
  <c r="AI129" i="10"/>
  <c r="AB140" i="10"/>
  <c r="I156" i="10"/>
  <c r="I27" i="10" s="1"/>
  <c r="AE156" i="10"/>
  <c r="AG153" i="10"/>
  <c r="R244" i="10"/>
  <c r="Q219" i="10"/>
  <c r="Q33" i="10" s="1"/>
  <c r="B239" i="10"/>
  <c r="F242" i="10"/>
  <c r="AD308" i="10"/>
  <c r="AD309" i="10" s="1"/>
  <c r="AD310" i="10" s="1"/>
  <c r="AD311" i="10" s="1"/>
  <c r="AD312" i="10" s="1"/>
  <c r="AD313" i="10" s="1"/>
  <c r="E36" i="11"/>
  <c r="F75" i="11"/>
  <c r="F13" i="11" s="1"/>
  <c r="AB75" i="11"/>
  <c r="AB13" i="11" s="1"/>
  <c r="E238" i="11"/>
  <c r="E254" i="11" s="1"/>
  <c r="E96" i="11"/>
  <c r="M248" i="11"/>
  <c r="M106" i="11"/>
  <c r="M122" i="11" s="1"/>
  <c r="AC166" i="11"/>
  <c r="AC118" i="11"/>
  <c r="O160" i="11"/>
  <c r="O176" i="11"/>
  <c r="AC260" i="11"/>
  <c r="E244" i="11"/>
  <c r="E260" i="11" s="1"/>
  <c r="AI356" i="11"/>
  <c r="AK356" i="11" s="1"/>
  <c r="AL356" i="11" s="1"/>
  <c r="AM356" i="11"/>
  <c r="Y6" i="12"/>
  <c r="Y4" i="12"/>
  <c r="X14" i="12" s="1"/>
  <c r="K140" i="12"/>
  <c r="K24" i="12" s="1"/>
  <c r="K5" i="2" s="1"/>
  <c r="K27" i="2" s="1"/>
  <c r="L27" i="13"/>
  <c r="T179" i="13"/>
  <c r="J76" i="10"/>
  <c r="B71" i="10"/>
  <c r="B68" i="10"/>
  <c r="AC140" i="10"/>
  <c r="B146" i="10"/>
  <c r="B148" i="10"/>
  <c r="N242" i="10"/>
  <c r="X249" i="10"/>
  <c r="T219" i="10"/>
  <c r="T33" i="10" s="1"/>
  <c r="L248" i="10"/>
  <c r="G246" i="10"/>
  <c r="AH305" i="10"/>
  <c r="G306" i="10"/>
  <c r="G307" i="10" s="1"/>
  <c r="G308" i="10" s="1"/>
  <c r="G309" i="10" s="1"/>
  <c r="G310" i="10" s="1"/>
  <c r="G311" i="10" s="1"/>
  <c r="G312" i="10" s="1"/>
  <c r="G313" i="10" s="1"/>
  <c r="G303" i="10"/>
  <c r="G305" i="10"/>
  <c r="F305" i="10"/>
  <c r="F306" i="10" s="1"/>
  <c r="F307" i="10" s="1"/>
  <c r="F308" i="10" s="1"/>
  <c r="F309" i="10" s="1"/>
  <c r="F310" i="10" s="1"/>
  <c r="F311" i="10" s="1"/>
  <c r="F312" i="10" s="1"/>
  <c r="F313" i="10" s="1"/>
  <c r="G304" i="10"/>
  <c r="F303" i="10"/>
  <c r="F304" i="10" s="1"/>
  <c r="AC303" i="10"/>
  <c r="AB303" i="10"/>
  <c r="B67" i="11"/>
  <c r="N248" i="11"/>
  <c r="N264" i="11" s="1"/>
  <c r="N106" i="11"/>
  <c r="N122" i="11" s="1"/>
  <c r="T240" i="11"/>
  <c r="AN356" i="11"/>
  <c r="C68" i="12"/>
  <c r="Z305" i="12"/>
  <c r="K24" i="13"/>
  <c r="M156" i="13"/>
  <c r="C149" i="13" s="1"/>
  <c r="V177" i="13"/>
  <c r="C248" i="10"/>
  <c r="V283" i="10"/>
  <c r="V40" i="10" s="1"/>
  <c r="N6" i="11"/>
  <c r="AD4" i="11" s="1"/>
  <c r="C75" i="11"/>
  <c r="C13" i="11" s="1"/>
  <c r="C10" i="1" s="1"/>
  <c r="C42" i="1" s="1"/>
  <c r="Y75" i="11"/>
  <c r="Y13" i="11" s="1"/>
  <c r="J240" i="11"/>
  <c r="J256" i="11" s="1"/>
  <c r="J98" i="11"/>
  <c r="F257" i="11"/>
  <c r="X258" i="11"/>
  <c r="L107" i="11"/>
  <c r="L23" i="11" s="1"/>
  <c r="L25" i="11" s="1"/>
  <c r="L28" i="11" s="1"/>
  <c r="L111" i="11"/>
  <c r="S101" i="11"/>
  <c r="S117" i="11" s="1"/>
  <c r="L113" i="11"/>
  <c r="L256" i="11" s="1"/>
  <c r="M260" i="11"/>
  <c r="C274" i="11"/>
  <c r="C272" i="11"/>
  <c r="C281" i="11"/>
  <c r="C279" i="11"/>
  <c r="C270" i="11"/>
  <c r="C275" i="11"/>
  <c r="C278" i="11"/>
  <c r="C280" i="11"/>
  <c r="C277" i="11"/>
  <c r="C276" i="11"/>
  <c r="Z34" i="11"/>
  <c r="Z35" i="11" s="1"/>
  <c r="Z41" i="11" s="1"/>
  <c r="Z36" i="11" s="1"/>
  <c r="AF277" i="11"/>
  <c r="AF278" i="11"/>
  <c r="F298" i="11"/>
  <c r="F40" i="11" s="1"/>
  <c r="AB298" i="11"/>
  <c r="AM289" i="11"/>
  <c r="AQ292" i="11"/>
  <c r="I156" i="13"/>
  <c r="I27" i="13" s="1"/>
  <c r="B176" i="13"/>
  <c r="X176" i="13"/>
  <c r="U216" i="14"/>
  <c r="U105" i="14"/>
  <c r="U121" i="14" s="1"/>
  <c r="U248" i="14" s="1"/>
  <c r="AE240" i="14"/>
  <c r="AE208" i="14"/>
  <c r="W267" i="10"/>
  <c r="W34" i="10" s="1"/>
  <c r="W283" i="10"/>
  <c r="W40" i="10" s="1"/>
  <c r="O6" i="11"/>
  <c r="N7" i="11"/>
  <c r="D75" i="11"/>
  <c r="D13" i="11" s="1"/>
  <c r="Z75" i="11"/>
  <c r="C242" i="11"/>
  <c r="C100" i="11"/>
  <c r="C116" i="11" s="1"/>
  <c r="Y88" i="11"/>
  <c r="Y104" i="11" s="1"/>
  <c r="Y120" i="11" s="1"/>
  <c r="Y246" i="11"/>
  <c r="Y262" i="11" s="1"/>
  <c r="I242" i="11"/>
  <c r="D272" i="11"/>
  <c r="D281" i="11"/>
  <c r="D279" i="11"/>
  <c r="D270" i="11"/>
  <c r="D277" i="11"/>
  <c r="D273" i="11"/>
  <c r="D278" i="11"/>
  <c r="D275" i="11"/>
  <c r="D280" i="11"/>
  <c r="D276" i="11"/>
  <c r="AG272" i="11"/>
  <c r="AA34" i="11"/>
  <c r="AG277" i="11"/>
  <c r="AG278" i="11"/>
  <c r="AC298" i="11"/>
  <c r="R298" i="11"/>
  <c r="R40" i="11" s="1"/>
  <c r="R36" i="11" s="1"/>
  <c r="AN352" i="11"/>
  <c r="W5" i="12"/>
  <c r="X156" i="12"/>
  <c r="R239" i="10"/>
  <c r="P243" i="10"/>
  <c r="D244" i="10"/>
  <c r="AB248" i="10"/>
  <c r="X267" i="10"/>
  <c r="X34" i="10" s="1"/>
  <c r="X5" i="3" s="1"/>
  <c r="AG264" i="10"/>
  <c r="X283" i="10"/>
  <c r="X40" i="10" s="1"/>
  <c r="AD11" i="11"/>
  <c r="AD16" i="11" s="1"/>
  <c r="N75" i="11"/>
  <c r="N13" i="11" s="1"/>
  <c r="H257" i="11"/>
  <c r="D242" i="11"/>
  <c r="D100" i="11"/>
  <c r="D116" i="11" s="1"/>
  <c r="D259" i="11" s="1"/>
  <c r="T101" i="11"/>
  <c r="T117" i="11" s="1"/>
  <c r="T243" i="11"/>
  <c r="T259" i="11" s="1"/>
  <c r="P111" i="11"/>
  <c r="P254" i="11" s="1"/>
  <c r="B127" i="11"/>
  <c r="B138" i="11"/>
  <c r="B129" i="11"/>
  <c r="L163" i="11"/>
  <c r="L179" i="11"/>
  <c r="Z83" i="11"/>
  <c r="J35" i="11"/>
  <c r="J41" i="11" s="1"/>
  <c r="J36" i="11" s="1"/>
  <c r="J258" i="11"/>
  <c r="E272" i="11"/>
  <c r="E281" i="11"/>
  <c r="E279" i="11"/>
  <c r="E270" i="11"/>
  <c r="E277" i="11"/>
  <c r="E273" i="11"/>
  <c r="E278" i="11"/>
  <c r="E275" i="11"/>
  <c r="E280" i="11"/>
  <c r="E271" i="11"/>
  <c r="H298" i="11"/>
  <c r="H40" i="11" s="1"/>
  <c r="H36" i="11" s="1"/>
  <c r="X5" i="12"/>
  <c r="AC76" i="13"/>
  <c r="K27" i="13"/>
  <c r="B155" i="13"/>
  <c r="AA283" i="10"/>
  <c r="S283" i="10"/>
  <c r="S40" i="10" s="1"/>
  <c r="S11" i="3" s="1"/>
  <c r="S39" i="3" s="1"/>
  <c r="M159" i="11"/>
  <c r="O35" i="11"/>
  <c r="O41" i="11" s="1"/>
  <c r="O36" i="11" s="1"/>
  <c r="AC59" i="11"/>
  <c r="AC10" i="11" s="1"/>
  <c r="AC11" i="11" s="1"/>
  <c r="AC16" i="11" s="1"/>
  <c r="H75" i="11"/>
  <c r="H13" i="11" s="1"/>
  <c r="H95" i="11"/>
  <c r="G249" i="11"/>
  <c r="V91" i="11"/>
  <c r="V12" i="11" s="1"/>
  <c r="V96" i="11"/>
  <c r="O261" i="11"/>
  <c r="F247" i="11"/>
  <c r="F263" i="11" s="1"/>
  <c r="F105" i="11"/>
  <c r="F121" i="11" s="1"/>
  <c r="F264" i="11" s="1"/>
  <c r="AC120" i="11"/>
  <c r="AC168" i="11"/>
  <c r="G106" i="11"/>
  <c r="G122" i="11" s="1"/>
  <c r="AD155" i="11"/>
  <c r="Y263" i="11"/>
  <c r="S255" i="11"/>
  <c r="R258" i="11"/>
  <c r="H279" i="11"/>
  <c r="H270" i="11"/>
  <c r="H277" i="11"/>
  <c r="H275" i="11"/>
  <c r="H273" i="11"/>
  <c r="H280" i="11"/>
  <c r="H271" i="11"/>
  <c r="H278" i="11"/>
  <c r="H281" i="11"/>
  <c r="H272" i="11"/>
  <c r="H274" i="11"/>
  <c r="H276" i="11"/>
  <c r="K298" i="11"/>
  <c r="K40" i="11" s="1"/>
  <c r="K36" i="11" s="1"/>
  <c r="W298" i="11"/>
  <c r="W40" i="11" s="1"/>
  <c r="W36" i="11" s="1"/>
  <c r="AO360" i="11"/>
  <c r="AO355" i="11"/>
  <c r="AO357" i="11"/>
  <c r="AO350" i="11"/>
  <c r="M24" i="13"/>
  <c r="N156" i="13"/>
  <c r="V219" i="10"/>
  <c r="V33" i="10" s="1"/>
  <c r="T243" i="10"/>
  <c r="F267" i="10"/>
  <c r="F34" i="10" s="1"/>
  <c r="AB267" i="10"/>
  <c r="T267" i="10"/>
  <c r="T34" i="10" s="1"/>
  <c r="T5" i="3" s="1"/>
  <c r="T33" i="3" s="1"/>
  <c r="F283" i="10"/>
  <c r="F40" i="10" s="1"/>
  <c r="AB283" i="10"/>
  <c r="AD59" i="11"/>
  <c r="AD10" i="11" s="1"/>
  <c r="H249" i="11"/>
  <c r="H265" i="11" s="1"/>
  <c r="I95" i="11"/>
  <c r="W91" i="11"/>
  <c r="W12" i="11" s="1"/>
  <c r="W96" i="11"/>
  <c r="L257" i="11"/>
  <c r="X100" i="11"/>
  <c r="X116" i="11" s="1"/>
  <c r="V111" i="11"/>
  <c r="AG266" i="11"/>
  <c r="AC245" i="11"/>
  <c r="AC261" i="11" s="1"/>
  <c r="AC87" i="11"/>
  <c r="C273" i="11"/>
  <c r="I279" i="11"/>
  <c r="I270" i="11"/>
  <c r="I277" i="11"/>
  <c r="I275" i="11"/>
  <c r="I273" i="11"/>
  <c r="I280" i="11"/>
  <c r="I271" i="11"/>
  <c r="I281" i="11"/>
  <c r="I272" i="11"/>
  <c r="I274" i="11"/>
  <c r="L298" i="11"/>
  <c r="L40" i="11" s="1"/>
  <c r="E305" i="12"/>
  <c r="N24" i="13"/>
  <c r="O156" i="13"/>
  <c r="F144" i="13"/>
  <c r="V247" i="10"/>
  <c r="G267" i="10"/>
  <c r="G34" i="10" s="1"/>
  <c r="G5" i="3" s="1"/>
  <c r="G33" i="3" s="1"/>
  <c r="AC267" i="10"/>
  <c r="G283" i="10"/>
  <c r="G40" i="10" s="1"/>
  <c r="AC283" i="10"/>
  <c r="U283" i="10"/>
  <c r="U40" i="10" s="1"/>
  <c r="N303" i="10"/>
  <c r="N304" i="10" s="1"/>
  <c r="N305" i="10" s="1"/>
  <c r="N306" i="10" s="1"/>
  <c r="N307" i="10" s="1"/>
  <c r="N308" i="10" s="1"/>
  <c r="N309" i="10" s="1"/>
  <c r="N310" i="10" s="1"/>
  <c r="N311" i="10" s="1"/>
  <c r="N312" i="10" s="1"/>
  <c r="N313" i="10" s="1"/>
  <c r="AJ304" i="10"/>
  <c r="AJ308" i="10"/>
  <c r="AJ309" i="10" s="1"/>
  <c r="AJ310" i="10" s="1"/>
  <c r="AJ311" i="10" s="1"/>
  <c r="AJ312" i="10" s="1"/>
  <c r="AJ313" i="10" s="1"/>
  <c r="AK303" i="10"/>
  <c r="AJ303" i="10"/>
  <c r="AJ306" i="10"/>
  <c r="AJ307" i="10" s="1"/>
  <c r="AJ305" i="10"/>
  <c r="O159" i="11"/>
  <c r="C312" i="11"/>
  <c r="C303" i="11"/>
  <c r="C305" i="11"/>
  <c r="C307" i="11"/>
  <c r="C311" i="11"/>
  <c r="C313" i="11"/>
  <c r="C308" i="11"/>
  <c r="C309" i="11"/>
  <c r="C304" i="11"/>
  <c r="C310" i="11"/>
  <c r="C302" i="11"/>
  <c r="I59" i="11"/>
  <c r="AE59" i="11"/>
  <c r="AE10" i="11" s="1"/>
  <c r="B65" i="11"/>
  <c r="I249" i="11"/>
  <c r="J91" i="11"/>
  <c r="J12" i="11" s="1"/>
  <c r="J15" i="11" s="1"/>
  <c r="J45" i="11" s="1"/>
  <c r="X91" i="11"/>
  <c r="X12" i="11" s="1"/>
  <c r="X96" i="11"/>
  <c r="X112" i="11" s="1"/>
  <c r="T239" i="11"/>
  <c r="T255" i="11" s="1"/>
  <c r="T97" i="11"/>
  <c r="M161" i="11"/>
  <c r="M113" i="11"/>
  <c r="Y100" i="11"/>
  <c r="Y116" i="11" s="1"/>
  <c r="R103" i="11"/>
  <c r="R119" i="11" s="1"/>
  <c r="AG128" i="11"/>
  <c r="H155" i="11"/>
  <c r="H27" i="11" s="1"/>
  <c r="B238" i="11"/>
  <c r="B254" i="11" s="1"/>
  <c r="H256" i="11"/>
  <c r="B298" i="11"/>
  <c r="V319" i="11"/>
  <c r="V320" i="11" s="1"/>
  <c r="V321" i="11" s="1"/>
  <c r="V322" i="11" s="1"/>
  <c r="V323" i="11" s="1"/>
  <c r="V324" i="11" s="1"/>
  <c r="V318" i="11"/>
  <c r="V325" i="11"/>
  <c r="V326" i="11" s="1"/>
  <c r="V327" i="11" s="1"/>
  <c r="V328" i="11"/>
  <c r="Q177" i="12"/>
  <c r="R176" i="12"/>
  <c r="Q176" i="12"/>
  <c r="S293" i="13"/>
  <c r="S290" i="13"/>
  <c r="S298" i="13"/>
  <c r="S287" i="13"/>
  <c r="S207" i="13" s="1"/>
  <c r="S295" i="13"/>
  <c r="S289" i="13"/>
  <c r="S209" i="13" s="1"/>
  <c r="S288" i="13"/>
  <c r="S208" i="13" s="1"/>
  <c r="S297" i="13"/>
  <c r="S291" i="13"/>
  <c r="S294" i="13"/>
  <c r="S296" i="13"/>
  <c r="J178" i="13"/>
  <c r="U162" i="10"/>
  <c r="G160" i="10"/>
  <c r="F177" i="10"/>
  <c r="F178" i="10"/>
  <c r="AB177" i="10"/>
  <c r="AB178" i="10" s="1"/>
  <c r="B219" i="10"/>
  <c r="B33" i="10" s="1"/>
  <c r="X219" i="10"/>
  <c r="X33" i="10" s="1"/>
  <c r="H267" i="10"/>
  <c r="H34" i="10" s="1"/>
  <c r="AD267" i="10"/>
  <c r="AD34" i="10" s="1"/>
  <c r="V267" i="10"/>
  <c r="V34" i="10" s="1"/>
  <c r="D303" i="11"/>
  <c r="D305" i="11"/>
  <c r="D307" i="11"/>
  <c r="D309" i="11"/>
  <c r="D313" i="11"/>
  <c r="D302" i="11"/>
  <c r="D308" i="11"/>
  <c r="D304" i="11"/>
  <c r="D310" i="11"/>
  <c r="D312" i="11"/>
  <c r="J59" i="11"/>
  <c r="J249" i="11"/>
  <c r="J265" i="11" s="1"/>
  <c r="K91" i="11"/>
  <c r="K12" i="11" s="1"/>
  <c r="Y91" i="11"/>
  <c r="Y12" i="11" s="1"/>
  <c r="Y96" i="11"/>
  <c r="Y112" i="11" s="1"/>
  <c r="U239" i="11"/>
  <c r="U255" i="11" s="1"/>
  <c r="U97" i="11"/>
  <c r="U113" i="11" s="1"/>
  <c r="U256" i="11" s="1"/>
  <c r="C260" i="11"/>
  <c r="N97" i="11"/>
  <c r="N113" i="11" s="1"/>
  <c r="N256" i="11" s="1"/>
  <c r="AG127" i="11"/>
  <c r="I155" i="11"/>
  <c r="I27" i="11" s="1"/>
  <c r="Z238" i="11"/>
  <c r="B85" i="11"/>
  <c r="B101" i="11" s="1"/>
  <c r="B117" i="11" s="1"/>
  <c r="I256" i="11"/>
  <c r="B264" i="11"/>
  <c r="W319" i="11"/>
  <c r="W320" i="11" s="1"/>
  <c r="W321" i="11" s="1"/>
  <c r="W322" i="11" s="1"/>
  <c r="W323" i="11" s="1"/>
  <c r="W324" i="11" s="1"/>
  <c r="W325" i="11" s="1"/>
  <c r="W326" i="11" s="1"/>
  <c r="W327" i="11" s="1"/>
  <c r="W328" i="11" s="1"/>
  <c r="W318" i="11"/>
  <c r="I209" i="12"/>
  <c r="T290" i="13"/>
  <c r="T298" i="13"/>
  <c r="T287" i="13"/>
  <c r="T207" i="13" s="1"/>
  <c r="T295" i="13"/>
  <c r="T292" i="13"/>
  <c r="T288" i="13"/>
  <c r="T208" i="13" s="1"/>
  <c r="T293" i="13"/>
  <c r="T294" i="13"/>
  <c r="T289" i="13"/>
  <c r="T209" i="13" s="1"/>
  <c r="T297" i="13"/>
  <c r="T291" i="13"/>
  <c r="T296" i="13"/>
  <c r="E49" i="13"/>
  <c r="E52" i="13"/>
  <c r="E57" i="13"/>
  <c r="E54" i="13"/>
  <c r="E51" i="13"/>
  <c r="E53" i="13"/>
  <c r="E50" i="13"/>
  <c r="L178" i="13"/>
  <c r="AC176" i="10"/>
  <c r="AC160" i="10" s="1"/>
  <c r="H160" i="10"/>
  <c r="G177" i="10"/>
  <c r="G178" i="10"/>
  <c r="AD160" i="10"/>
  <c r="AC177" i="10"/>
  <c r="C219" i="10"/>
  <c r="C33" i="10" s="1"/>
  <c r="J242" i="10"/>
  <c r="N250" i="10"/>
  <c r="K59" i="11"/>
  <c r="AF73" i="11"/>
  <c r="K249" i="11"/>
  <c r="L91" i="11"/>
  <c r="L12" i="11" s="1"/>
  <c r="Z260" i="11"/>
  <c r="B96" i="11"/>
  <c r="O97" i="11"/>
  <c r="O113" i="11" s="1"/>
  <c r="S175" i="11"/>
  <c r="H259" i="11"/>
  <c r="D264" i="11"/>
  <c r="AG273" i="11"/>
  <c r="AD53" i="12"/>
  <c r="M60" i="12"/>
  <c r="AC23" i="12"/>
  <c r="U290" i="13"/>
  <c r="U298" i="13"/>
  <c r="U287" i="13"/>
  <c r="U207" i="13" s="1"/>
  <c r="U295" i="13"/>
  <c r="U292" i="13"/>
  <c r="U297" i="13"/>
  <c r="U288" i="13"/>
  <c r="U293" i="13"/>
  <c r="U294" i="13"/>
  <c r="U289" i="13"/>
  <c r="U291" i="13"/>
  <c r="U296" i="13"/>
  <c r="AM354" i="11"/>
  <c r="AI354" i="11"/>
  <c r="AK354" i="11" s="1"/>
  <c r="AL354" i="11" s="1"/>
  <c r="D56" i="12"/>
  <c r="D273" i="12"/>
  <c r="H283" i="12"/>
  <c r="I177" i="10"/>
  <c r="E219" i="10"/>
  <c r="E33" i="10" s="1"/>
  <c r="AA219" i="10"/>
  <c r="AA33" i="10" s="1"/>
  <c r="M246" i="10"/>
  <c r="AK235" i="10"/>
  <c r="R304" i="10"/>
  <c r="M249" i="11"/>
  <c r="N91" i="11"/>
  <c r="N12" i="11" s="1"/>
  <c r="N95" i="11"/>
  <c r="I248" i="11"/>
  <c r="I264" i="11" s="1"/>
  <c r="I106" i="11"/>
  <c r="I122" i="11" s="1"/>
  <c r="D96" i="11"/>
  <c r="B136" i="11"/>
  <c r="Q155" i="11"/>
  <c r="Q27" i="11" s="1"/>
  <c r="AO144" i="11"/>
  <c r="U175" i="11"/>
  <c r="R256" i="11"/>
  <c r="C262" i="11"/>
  <c r="D328" i="11"/>
  <c r="D319" i="11"/>
  <c r="D320" i="11" s="1"/>
  <c r="D321" i="11" s="1"/>
  <c r="D322" i="11" s="1"/>
  <c r="D323" i="11" s="1"/>
  <c r="D324" i="11" s="1"/>
  <c r="D325" i="11" s="1"/>
  <c r="D326" i="11" s="1"/>
  <c r="D327" i="11" s="1"/>
  <c r="E318" i="11"/>
  <c r="Z324" i="11"/>
  <c r="Z319" i="11"/>
  <c r="Z325" i="11"/>
  <c r="P283" i="12"/>
  <c r="P40" i="12" s="1"/>
  <c r="P11" i="3" s="1"/>
  <c r="C50" i="13"/>
  <c r="AA160" i="10"/>
  <c r="B263" i="10"/>
  <c r="H156" i="10"/>
  <c r="H27" i="10" s="1"/>
  <c r="AD156" i="10"/>
  <c r="AF176" i="10"/>
  <c r="J177" i="10"/>
  <c r="AF177" i="10"/>
  <c r="F219" i="10"/>
  <c r="F33" i="10" s="1"/>
  <c r="AB219" i="10"/>
  <c r="AB33" i="10" s="1"/>
  <c r="AL235" i="10"/>
  <c r="S304" i="10"/>
  <c r="S305" i="10" s="1"/>
  <c r="S306" i="10" s="1"/>
  <c r="S307" i="10" s="1"/>
  <c r="C6" i="11"/>
  <c r="C7" i="11"/>
  <c r="Y6" i="11"/>
  <c r="Y7" i="11"/>
  <c r="N59" i="11"/>
  <c r="O75" i="11"/>
  <c r="O13" i="11" s="1"/>
  <c r="O91" i="11"/>
  <c r="O12" i="11" s="1"/>
  <c r="N249" i="11"/>
  <c r="O95" i="11"/>
  <c r="V245" i="11"/>
  <c r="V261" i="11" s="1"/>
  <c r="V103" i="11"/>
  <c r="V119" i="11" s="1"/>
  <c r="V262" i="11" s="1"/>
  <c r="C91" i="11"/>
  <c r="C12" i="11" s="1"/>
  <c r="R155" i="11"/>
  <c r="R27" i="11" s="1"/>
  <c r="M155" i="11"/>
  <c r="V175" i="11"/>
  <c r="S256" i="11"/>
  <c r="D274" i="11"/>
  <c r="C52" i="12"/>
  <c r="AK130" i="10"/>
  <c r="V177" i="10"/>
  <c r="R219" i="10"/>
  <c r="R33" i="10" s="1"/>
  <c r="L311" i="10"/>
  <c r="L308" i="10"/>
  <c r="L309" i="10" s="1"/>
  <c r="L310" i="10" s="1"/>
  <c r="M7" i="11"/>
  <c r="U243" i="11"/>
  <c r="U259" i="11" s="1"/>
  <c r="U101" i="11"/>
  <c r="U117" i="11" s="1"/>
  <c r="P264" i="11"/>
  <c r="AG134" i="11"/>
  <c r="D147" i="11"/>
  <c r="D177" i="11"/>
  <c r="D176" i="11"/>
  <c r="AJ208" i="11"/>
  <c r="AC243" i="11"/>
  <c r="AC259" i="11" s="1"/>
  <c r="AC85" i="11"/>
  <c r="AC117" i="11" s="1"/>
  <c r="V260" i="11"/>
  <c r="K246" i="11"/>
  <c r="K262" i="11" s="1"/>
  <c r="AG274" i="11"/>
  <c r="AG275" i="11"/>
  <c r="AC307" i="11"/>
  <c r="AK350" i="11"/>
  <c r="AL350" i="11" s="1"/>
  <c r="AN354" i="11"/>
  <c r="V294" i="12"/>
  <c r="V291" i="12"/>
  <c r="V288" i="12"/>
  <c r="V296" i="12"/>
  <c r="V290" i="12"/>
  <c r="V293" i="12"/>
  <c r="V289" i="12"/>
  <c r="V292" i="12"/>
  <c r="V295" i="12"/>
  <c r="V297" i="12"/>
  <c r="V287" i="12"/>
  <c r="V207" i="12" s="1"/>
  <c r="J60" i="12"/>
  <c r="D52" i="12"/>
  <c r="Z156" i="12"/>
  <c r="Z27" i="12" s="1"/>
  <c r="O177" i="12"/>
  <c r="V298" i="12"/>
  <c r="T207" i="12"/>
  <c r="H76" i="13"/>
  <c r="H13" i="13" s="1"/>
  <c r="V303" i="13"/>
  <c r="F6" i="14"/>
  <c r="E14" i="14"/>
  <c r="E27" i="1" s="1"/>
  <c r="AB4" i="14"/>
  <c r="S219" i="10"/>
  <c r="S33" i="10" s="1"/>
  <c r="M305" i="10"/>
  <c r="M306" i="10" s="1"/>
  <c r="M307" i="10" s="1"/>
  <c r="M308" i="10" s="1"/>
  <c r="M309" i="10" s="1"/>
  <c r="M310" i="10" s="1"/>
  <c r="M311" i="10" s="1"/>
  <c r="M312" i="10" s="1"/>
  <c r="M313" i="10" s="1"/>
  <c r="AI307" i="10"/>
  <c r="AI308" i="10" s="1"/>
  <c r="AI309" i="10" s="1"/>
  <c r="AI310" i="10" s="1"/>
  <c r="AI311" i="10" s="1"/>
  <c r="AI312" i="10" s="1"/>
  <c r="AI313" i="10" s="1"/>
  <c r="AI304" i="10"/>
  <c r="AI305" i="10" s="1"/>
  <c r="AD14" i="11"/>
  <c r="Q91" i="11"/>
  <c r="Q12" i="11" s="1"/>
  <c r="T260" i="11"/>
  <c r="Q264" i="11"/>
  <c r="S91" i="11"/>
  <c r="S12" i="11" s="1"/>
  <c r="AG131" i="11"/>
  <c r="P177" i="11"/>
  <c r="Z242" i="11"/>
  <c r="AC306" i="11"/>
  <c r="AO354" i="11"/>
  <c r="AK357" i="11"/>
  <c r="AL357" i="11" s="1"/>
  <c r="W7" i="12"/>
  <c r="AD314" i="12"/>
  <c r="AE32" i="12"/>
  <c r="AE35" i="12" s="1"/>
  <c r="AE42" i="12" s="1"/>
  <c r="AE314" i="12" s="1"/>
  <c r="K60" i="12"/>
  <c r="P177" i="12"/>
  <c r="P178" i="12"/>
  <c r="J216" i="12"/>
  <c r="J313" i="12"/>
  <c r="V18" i="14"/>
  <c r="V15" i="14"/>
  <c r="U112" i="14"/>
  <c r="W160" i="10"/>
  <c r="U219" i="10"/>
  <c r="U33" i="10" s="1"/>
  <c r="AK304" i="10"/>
  <c r="AK305" i="10" s="1"/>
  <c r="AK306" i="10" s="1"/>
  <c r="AK307" i="10" s="1"/>
  <c r="AK308" i="10"/>
  <c r="AK309" i="10" s="1"/>
  <c r="AK310" i="10" s="1"/>
  <c r="AK311" i="10" s="1"/>
  <c r="AK312" i="10" s="1"/>
  <c r="AK313" i="10" s="1"/>
  <c r="M35" i="11"/>
  <c r="M41" i="11" s="1"/>
  <c r="M36" i="11" s="1"/>
  <c r="X243" i="11"/>
  <c r="X101" i="11"/>
  <c r="X117" i="11" s="1"/>
  <c r="X260" i="11" s="1"/>
  <c r="S248" i="11"/>
  <c r="S264" i="11" s="1"/>
  <c r="S106" i="11"/>
  <c r="S122" i="11" s="1"/>
  <c r="X98" i="11"/>
  <c r="X114" i="11" s="1"/>
  <c r="D146" i="11"/>
  <c r="J259" i="11"/>
  <c r="AC264" i="11"/>
  <c r="AM358" i="11"/>
  <c r="F4" i="12"/>
  <c r="F9" i="12"/>
  <c r="Y7" i="12"/>
  <c r="K13" i="12"/>
  <c r="V178" i="12"/>
  <c r="F71" i="13"/>
  <c r="S140" i="13"/>
  <c r="S24" i="13" s="1"/>
  <c r="U156" i="13"/>
  <c r="U27" i="13" s="1"/>
  <c r="D177" i="10"/>
  <c r="Z177" i="10"/>
  <c r="P308" i="10"/>
  <c r="P309" i="10" s="1"/>
  <c r="P310" i="10" s="1"/>
  <c r="P311" i="10" s="1"/>
  <c r="P312" i="10" s="1"/>
  <c r="P313" i="10" s="1"/>
  <c r="P305" i="10"/>
  <c r="P306" i="10" s="1"/>
  <c r="P307" i="10" s="1"/>
  <c r="AL305" i="10"/>
  <c r="AL306" i="10" s="1"/>
  <c r="AL307" i="10" s="1"/>
  <c r="AL308" i="10" s="1"/>
  <c r="AL309" i="10" s="1"/>
  <c r="AL310" i="10" s="1"/>
  <c r="AL311" i="10" s="1"/>
  <c r="AL312" i="10" s="1"/>
  <c r="AL313" i="10" s="1"/>
  <c r="N35" i="11"/>
  <c r="N41" i="11" s="1"/>
  <c r="M59" i="11"/>
  <c r="S265" i="11"/>
  <c r="C243" i="11"/>
  <c r="C101" i="11"/>
  <c r="C117" i="11" s="1"/>
  <c r="Y243" i="11"/>
  <c r="Y101" i="11"/>
  <c r="Y117" i="11" s="1"/>
  <c r="Y260" i="11" s="1"/>
  <c r="X247" i="11"/>
  <c r="X263" i="11" s="1"/>
  <c r="X105" i="11"/>
  <c r="X121" i="11" s="1"/>
  <c r="X264" i="11" s="1"/>
  <c r="Y98" i="11"/>
  <c r="Y114" i="11" s="1"/>
  <c r="B240" i="11"/>
  <c r="AC246" i="11"/>
  <c r="K259" i="11"/>
  <c r="AN358" i="11"/>
  <c r="L13" i="12"/>
  <c r="L10" i="1" s="1"/>
  <c r="E296" i="12"/>
  <c r="E290" i="12"/>
  <c r="E298" i="12"/>
  <c r="E287" i="12"/>
  <c r="E207" i="12" s="1"/>
  <c r="E292" i="12"/>
  <c r="E291" i="12"/>
  <c r="E297" i="12"/>
  <c r="E294" i="12"/>
  <c r="E288" i="12"/>
  <c r="E208" i="12" s="1"/>
  <c r="E289" i="12"/>
  <c r="O207" i="12"/>
  <c r="Q60" i="13"/>
  <c r="W18" i="14"/>
  <c r="W15" i="14"/>
  <c r="E177" i="10"/>
  <c r="AA177" i="10"/>
  <c r="Q179" i="10"/>
  <c r="AM179" i="10"/>
  <c r="W219" i="10"/>
  <c r="W33" i="10" s="1"/>
  <c r="Q304" i="10"/>
  <c r="Q308" i="10"/>
  <c r="Q309" i="10" s="1"/>
  <c r="Q310" i="10" s="1"/>
  <c r="Q311" i="10" s="1"/>
  <c r="Q312" i="10" s="1"/>
  <c r="Q313" i="10" s="1"/>
  <c r="Q305" i="10"/>
  <c r="Q306" i="10" s="1"/>
  <c r="Q307" i="10" s="1"/>
  <c r="AM304" i="10"/>
  <c r="AM305" i="10"/>
  <c r="AM306" i="10" s="1"/>
  <c r="AM307" i="10" s="1"/>
  <c r="AM308" i="10" s="1"/>
  <c r="AM309" i="10" s="1"/>
  <c r="AB9" i="11"/>
  <c r="BU5" i="11"/>
  <c r="AB5" i="11" s="1"/>
  <c r="T265" i="11"/>
  <c r="L258" i="11"/>
  <c r="L246" i="11"/>
  <c r="L262" i="11" s="1"/>
  <c r="L104" i="11"/>
  <c r="L120" i="11" s="1"/>
  <c r="L263" i="11" s="1"/>
  <c r="S95" i="11"/>
  <c r="AC119" i="11"/>
  <c r="J155" i="11"/>
  <c r="J27" i="11" s="1"/>
  <c r="I176" i="11"/>
  <c r="AE176" i="11"/>
  <c r="C261" i="11"/>
  <c r="AO358" i="11"/>
  <c r="C4" i="12"/>
  <c r="P11" i="12"/>
  <c r="P16" i="12" s="1"/>
  <c r="V60" i="12"/>
  <c r="V10" i="12" s="1"/>
  <c r="U176" i="12"/>
  <c r="T176" i="12"/>
  <c r="T140" i="14"/>
  <c r="T24" i="14" s="1"/>
  <c r="AC7" i="11"/>
  <c r="P35" i="11"/>
  <c r="P41" i="11" s="1"/>
  <c r="P36" i="11" s="1"/>
  <c r="S75" i="11"/>
  <c r="S13" i="11" s="1"/>
  <c r="H97" i="11"/>
  <c r="H113" i="11" s="1"/>
  <c r="H239" i="11"/>
  <c r="H255" i="11" s="1"/>
  <c r="M242" i="11"/>
  <c r="M258" i="11" s="1"/>
  <c r="M100" i="11"/>
  <c r="M116" i="11" s="1"/>
  <c r="M246" i="11"/>
  <c r="M262" i="11" s="1"/>
  <c r="M104" i="11"/>
  <c r="M120" i="11" s="1"/>
  <c r="M263" i="11" s="1"/>
  <c r="L160" i="11"/>
  <c r="F261" i="11"/>
  <c r="O323" i="11"/>
  <c r="O324" i="11" s="1"/>
  <c r="O325" i="11" s="1"/>
  <c r="O326" i="11" s="1"/>
  <c r="AP358" i="11"/>
  <c r="AQ358" i="11" s="1"/>
  <c r="Q11" i="12"/>
  <c r="Q16" i="12" s="1"/>
  <c r="C9" i="12"/>
  <c r="C6" i="1" s="1"/>
  <c r="B49" i="13"/>
  <c r="AA140" i="14"/>
  <c r="AA24" i="14" s="1"/>
  <c r="M140" i="14"/>
  <c r="M24" i="14" s="1"/>
  <c r="W176" i="10"/>
  <c r="S308" i="10"/>
  <c r="S309" i="10" s="1"/>
  <c r="S310" i="10" s="1"/>
  <c r="S311" i="10" s="1"/>
  <c r="S312" i="10" s="1"/>
  <c r="S313" i="10" s="1"/>
  <c r="R6" i="11"/>
  <c r="Q35" i="11"/>
  <c r="Q41" i="11" s="1"/>
  <c r="Q36" i="11" s="1"/>
  <c r="T75" i="11"/>
  <c r="T13" i="11" s="1"/>
  <c r="K75" i="11"/>
  <c r="B71" i="11" s="1"/>
  <c r="I97" i="11"/>
  <c r="I113" i="11" s="1"/>
  <c r="I239" i="11"/>
  <c r="I255" i="11" s="1"/>
  <c r="Q261" i="11"/>
  <c r="L155" i="11"/>
  <c r="C154" i="11" s="1"/>
  <c r="AC311" i="11"/>
  <c r="AC247" i="11"/>
  <c r="AC263" i="11" s="1"/>
  <c r="J261" i="11"/>
  <c r="B247" i="11"/>
  <c r="B263" i="11" s="1"/>
  <c r="AM351" i="11"/>
  <c r="R11" i="12"/>
  <c r="R16" i="12" s="1"/>
  <c r="H156" i="12"/>
  <c r="H27" i="12" s="1"/>
  <c r="K60" i="13"/>
  <c r="R283" i="13"/>
  <c r="R40" i="13" s="1"/>
  <c r="R25" i="3" s="1"/>
  <c r="D292" i="13"/>
  <c r="D289" i="13"/>
  <c r="D297" i="13"/>
  <c r="D294" i="13"/>
  <c r="D290" i="13"/>
  <c r="D295" i="13"/>
  <c r="D296" i="13"/>
  <c r="D291" i="13"/>
  <c r="D287" i="13"/>
  <c r="D288" i="13"/>
  <c r="D298" i="13"/>
  <c r="D293" i="13"/>
  <c r="Z10" i="14"/>
  <c r="F140" i="14"/>
  <c r="F24" i="14" s="1"/>
  <c r="F16" i="2" s="1"/>
  <c r="AB140" i="14"/>
  <c r="AB24" i="14" s="1"/>
  <c r="AB16" i="2" s="1"/>
  <c r="AB160" i="14"/>
  <c r="AN351" i="11"/>
  <c r="S11" i="12"/>
  <c r="S16" i="12" s="1"/>
  <c r="G76" i="12"/>
  <c r="G13" i="12" s="1"/>
  <c r="AC76" i="12"/>
  <c r="AC13" i="12" s="1"/>
  <c r="CI44" i="6" s="1"/>
  <c r="G140" i="12"/>
  <c r="G24" i="12" s="1"/>
  <c r="AC140" i="12"/>
  <c r="AC24" i="12" s="1"/>
  <c r="F178" i="12"/>
  <c r="B48" i="13"/>
  <c r="N60" i="13"/>
  <c r="C48" i="13"/>
  <c r="D59" i="13"/>
  <c r="C59" i="13"/>
  <c r="C53" i="13"/>
  <c r="L10" i="13"/>
  <c r="L11" i="13" s="1"/>
  <c r="L16" i="13" s="1"/>
  <c r="C58" i="13"/>
  <c r="C56" i="13"/>
  <c r="AB18" i="14"/>
  <c r="U179" i="10"/>
  <c r="M303" i="10"/>
  <c r="M304" i="10" s="1"/>
  <c r="R305" i="10"/>
  <c r="R306" i="10" s="1"/>
  <c r="R307" i="10" s="1"/>
  <c r="R308" i="10" s="1"/>
  <c r="R309" i="10" s="1"/>
  <c r="R310" i="10" s="1"/>
  <c r="R311" i="10" s="1"/>
  <c r="R312" i="10" s="1"/>
  <c r="R313" i="10" s="1"/>
  <c r="U305" i="10"/>
  <c r="U306" i="10" s="1"/>
  <c r="U307" i="10" s="1"/>
  <c r="H159" i="11"/>
  <c r="S35" i="11"/>
  <c r="S41" i="11" s="1"/>
  <c r="S36" i="11" s="1"/>
  <c r="O59" i="11"/>
  <c r="V75" i="11"/>
  <c r="V13" i="11" s="1"/>
  <c r="X265" i="11"/>
  <c r="P91" i="11"/>
  <c r="P12" i="11" s="1"/>
  <c r="K255" i="11"/>
  <c r="E256" i="11"/>
  <c r="P246" i="11"/>
  <c r="P104" i="11"/>
  <c r="P120" i="11" s="1"/>
  <c r="P263" i="11" s="1"/>
  <c r="G247" i="11"/>
  <c r="G263" i="11" s="1"/>
  <c r="G105" i="11"/>
  <c r="G121" i="11" s="1"/>
  <c r="G264" i="11" s="1"/>
  <c r="N103" i="11"/>
  <c r="N119" i="11" s="1"/>
  <c r="N262" i="11" s="1"/>
  <c r="F139" i="11"/>
  <c r="B135" i="11"/>
  <c r="B130" i="11"/>
  <c r="B137" i="11"/>
  <c r="B132" i="11"/>
  <c r="B134" i="11"/>
  <c r="AG129" i="11"/>
  <c r="N155" i="11"/>
  <c r="D178" i="11"/>
  <c r="D179" i="11" s="1"/>
  <c r="M261" i="11"/>
  <c r="V298" i="11"/>
  <c r="V40" i="11" s="1"/>
  <c r="V36" i="11" s="1"/>
  <c r="AO351" i="11"/>
  <c r="AN359" i="11"/>
  <c r="Y140" i="12"/>
  <c r="AE135" i="12" s="1"/>
  <c r="D53" i="13"/>
  <c r="T283" i="13"/>
  <c r="T40" i="13" s="1"/>
  <c r="T25" i="3" s="1"/>
  <c r="T39" i="3" s="1"/>
  <c r="AE86" i="14"/>
  <c r="AE102" i="14" s="1"/>
  <c r="AE118" i="14" s="1"/>
  <c r="AE81" i="14"/>
  <c r="AE97" i="14" s="1"/>
  <c r="AE113" i="14" s="1"/>
  <c r="AE83" i="14"/>
  <c r="AE99" i="14" s="1"/>
  <c r="AE115" i="14" s="1"/>
  <c r="AE88" i="14"/>
  <c r="AE104" i="14" s="1"/>
  <c r="AE120" i="14" s="1"/>
  <c r="AE87" i="14"/>
  <c r="AE103" i="14" s="1"/>
  <c r="AE119" i="14" s="1"/>
  <c r="AE23" i="14"/>
  <c r="AE90" i="14"/>
  <c r="AE106" i="14" s="1"/>
  <c r="AE122" i="14" s="1"/>
  <c r="AE89" i="14"/>
  <c r="AE105" i="14" s="1"/>
  <c r="AE121" i="14" s="1"/>
  <c r="AE80" i="14"/>
  <c r="AE84" i="14"/>
  <c r="AE100" i="14" s="1"/>
  <c r="AE116" i="14" s="1"/>
  <c r="AE82" i="14"/>
  <c r="AE98" i="14" s="1"/>
  <c r="AE114" i="14" s="1"/>
  <c r="AE85" i="14"/>
  <c r="AE101" i="14" s="1"/>
  <c r="AE117" i="14" s="1"/>
  <c r="AA177" i="14"/>
  <c r="AD251" i="10"/>
  <c r="W305" i="10"/>
  <c r="W306" i="10" s="1"/>
  <c r="W307" i="10" s="1"/>
  <c r="W308" i="10" s="1"/>
  <c r="W309" i="10" s="1"/>
  <c r="W310" i="10" s="1"/>
  <c r="W311" i="10" s="1"/>
  <c r="W312" i="10" s="1"/>
  <c r="W313" i="10" s="1"/>
  <c r="V306" i="10"/>
  <c r="V307" i="10" s="1"/>
  <c r="V308" i="10" s="1"/>
  <c r="V309" i="10" s="1"/>
  <c r="V310" i="10" s="1"/>
  <c r="V311" i="10" s="1"/>
  <c r="V312" i="10" s="1"/>
  <c r="V313" i="10" s="1"/>
  <c r="I159" i="11"/>
  <c r="T35" i="11"/>
  <c r="T41" i="11" s="1"/>
  <c r="T36" i="11" s="1"/>
  <c r="F36" i="11"/>
  <c r="Y59" i="11"/>
  <c r="Y10" i="11" s="1"/>
  <c r="Y11" i="11" s="1"/>
  <c r="Y16" i="11" s="1"/>
  <c r="Y15" i="11" s="1"/>
  <c r="Y45" i="11" s="1"/>
  <c r="W75" i="11"/>
  <c r="W13" i="11" s="1"/>
  <c r="D111" i="11"/>
  <c r="D254" i="11" s="1"/>
  <c r="T261" i="11"/>
  <c r="Q246" i="11"/>
  <c r="Q262" i="11" s="1"/>
  <c r="Q104" i="11"/>
  <c r="Q120" i="11" s="1"/>
  <c r="Q263" i="11" s="1"/>
  <c r="C98" i="11"/>
  <c r="C114" i="11" s="1"/>
  <c r="C257" i="11" s="1"/>
  <c r="O103" i="11"/>
  <c r="O119" i="11" s="1"/>
  <c r="O262" i="11" s="1"/>
  <c r="G139" i="11"/>
  <c r="C135" i="11"/>
  <c r="C130" i="11"/>
  <c r="C137" i="11"/>
  <c r="C132" i="11"/>
  <c r="C127" i="11"/>
  <c r="C134" i="11"/>
  <c r="C129" i="11"/>
  <c r="O155" i="11"/>
  <c r="D144" i="11" s="1"/>
  <c r="AB155" i="11"/>
  <c r="AR146" i="11"/>
  <c r="AA176" i="11"/>
  <c r="N176" i="11"/>
  <c r="Z239" i="11"/>
  <c r="Z255" i="11" s="1"/>
  <c r="AC308" i="11"/>
  <c r="AP351" i="11"/>
  <c r="AQ351" i="11" s="1"/>
  <c r="AO359" i="11"/>
  <c r="I140" i="12"/>
  <c r="I24" i="12" s="1"/>
  <c r="I5" i="2" s="1"/>
  <c r="P179" i="12"/>
  <c r="E295" i="12"/>
  <c r="O10" i="13"/>
  <c r="O11" i="13" s="1"/>
  <c r="O16" i="13" s="1"/>
  <c r="AE128" i="14"/>
  <c r="AB177" i="14"/>
  <c r="AB161" i="14" s="1"/>
  <c r="AH128" i="10"/>
  <c r="O303" i="10"/>
  <c r="O304" i="10" s="1"/>
  <c r="O305" i="10" s="1"/>
  <c r="O306" i="10" s="1"/>
  <c r="O307" i="10" s="1"/>
  <c r="O308" i="10" s="1"/>
  <c r="O309" i="10" s="1"/>
  <c r="O310" i="10" s="1"/>
  <c r="O311" i="10" s="1"/>
  <c r="O312" i="10" s="1"/>
  <c r="O313" i="10" s="1"/>
  <c r="AL303" i="10"/>
  <c r="L307" i="10"/>
  <c r="L312" i="10"/>
  <c r="L313" i="10" s="1"/>
  <c r="V6" i="11"/>
  <c r="B7" i="11"/>
  <c r="X7" i="11"/>
  <c r="Z59" i="11"/>
  <c r="X75" i="11"/>
  <c r="X13" i="11" s="1"/>
  <c r="P75" i="11"/>
  <c r="P13" i="11" s="1"/>
  <c r="G256" i="11"/>
  <c r="R262" i="11"/>
  <c r="P103" i="11"/>
  <c r="P119" i="11" s="1"/>
  <c r="T105" i="11"/>
  <c r="T121" i="11" s="1"/>
  <c r="H139" i="11"/>
  <c r="H24" i="11" s="1"/>
  <c r="AF134" i="11"/>
  <c r="AF138" i="11" s="1"/>
  <c r="P155" i="11"/>
  <c r="AC155" i="11"/>
  <c r="E150" i="11"/>
  <c r="Z175" i="11"/>
  <c r="E177" i="11"/>
  <c r="AC164" i="11"/>
  <c r="B241" i="11"/>
  <c r="B257" i="11" s="1"/>
  <c r="B83" i="11"/>
  <c r="B99" i="11" s="1"/>
  <c r="B115" i="11" s="1"/>
  <c r="X257" i="11"/>
  <c r="H263" i="11"/>
  <c r="Z306" i="11"/>
  <c r="AD345" i="11"/>
  <c r="AM352" i="11"/>
  <c r="U60" i="12"/>
  <c r="U10" i="12" s="1"/>
  <c r="J140" i="12"/>
  <c r="J24" i="12" s="1"/>
  <c r="W140" i="12"/>
  <c r="W24" i="12" s="1"/>
  <c r="N283" i="12"/>
  <c r="N40" i="12" s="1"/>
  <c r="T156" i="13"/>
  <c r="T27" i="13" s="1"/>
  <c r="E148" i="13"/>
  <c r="D150" i="13"/>
  <c r="C150" i="13"/>
  <c r="T178" i="13"/>
  <c r="V283" i="13"/>
  <c r="V40" i="13" s="1"/>
  <c r="O265" i="11"/>
  <c r="T99" i="11"/>
  <c r="T115" i="11" s="1"/>
  <c r="T258" i="11" s="1"/>
  <c r="AG271" i="11"/>
  <c r="N298" i="11"/>
  <c r="N40" i="11" s="1"/>
  <c r="B321" i="11"/>
  <c r="B322" i="11" s="1"/>
  <c r="B323" i="11" s="1"/>
  <c r="B324" i="11" s="1"/>
  <c r="B325" i="11" s="1"/>
  <c r="B326" i="11" s="1"/>
  <c r="B327" i="11" s="1"/>
  <c r="B328" i="11" s="1"/>
  <c r="X322" i="11"/>
  <c r="X323" i="11" s="1"/>
  <c r="X324" i="11" s="1"/>
  <c r="X325" i="11" s="1"/>
  <c r="X326" i="11" s="1"/>
  <c r="X327" i="11" s="1"/>
  <c r="X328" i="11" s="1"/>
  <c r="X321" i="11"/>
  <c r="AM349" i="11"/>
  <c r="K14" i="12"/>
  <c r="L6" i="12"/>
  <c r="D4" i="12"/>
  <c r="C14" i="12" s="1"/>
  <c r="C11" i="1" s="1"/>
  <c r="D6" i="12"/>
  <c r="T11" i="12"/>
  <c r="T16" i="12" s="1"/>
  <c r="AC293" i="12"/>
  <c r="AC298" i="12"/>
  <c r="AC287" i="12"/>
  <c r="AC295" i="12"/>
  <c r="AC289" i="12"/>
  <c r="AC294" i="12"/>
  <c r="AC290" i="12"/>
  <c r="AC288" i="12"/>
  <c r="AC297" i="12"/>
  <c r="AC291" i="12"/>
  <c r="G60" i="12"/>
  <c r="AC60" i="12"/>
  <c r="AC10" i="12" s="1"/>
  <c r="AC11" i="12" s="1"/>
  <c r="AC16" i="12" s="1"/>
  <c r="Q140" i="12"/>
  <c r="L140" i="12"/>
  <c r="N76" i="13"/>
  <c r="C66" i="13"/>
  <c r="B66" i="13"/>
  <c r="M76" i="13"/>
  <c r="K76" i="13"/>
  <c r="Q156" i="13"/>
  <c r="Q27" i="13" s="1"/>
  <c r="U304" i="13"/>
  <c r="R218" i="14"/>
  <c r="R107" i="14"/>
  <c r="R123" i="14" s="1"/>
  <c r="R250" i="14" s="1"/>
  <c r="Q91" i="14"/>
  <c r="G283" i="14"/>
  <c r="G40" i="14" s="1"/>
  <c r="G25" i="3" s="1"/>
  <c r="U99" i="11"/>
  <c r="N175" i="11"/>
  <c r="B223" i="11"/>
  <c r="L319" i="11"/>
  <c r="C322" i="11"/>
  <c r="C323" i="11" s="1"/>
  <c r="C324" i="11"/>
  <c r="C325" i="11" s="1"/>
  <c r="C326" i="11" s="1"/>
  <c r="C327" i="11" s="1"/>
  <c r="C328" i="11" s="1"/>
  <c r="C321" i="11"/>
  <c r="Y326" i="11"/>
  <c r="Y327" i="11" s="1"/>
  <c r="Y328" i="11" s="1"/>
  <c r="AN349" i="11"/>
  <c r="E4" i="12"/>
  <c r="H60" i="12"/>
  <c r="AB76" i="12"/>
  <c r="AB13" i="12" s="1"/>
  <c r="AD124" i="12"/>
  <c r="C135" i="12"/>
  <c r="C131" i="12"/>
  <c r="C138" i="12"/>
  <c r="C137" i="12"/>
  <c r="B295" i="13"/>
  <c r="B292" i="13"/>
  <c r="B289" i="13"/>
  <c r="B297" i="13"/>
  <c r="B290" i="13"/>
  <c r="B291" i="13"/>
  <c r="B296" i="13"/>
  <c r="B298" i="13"/>
  <c r="B293" i="13"/>
  <c r="B288" i="13"/>
  <c r="B294" i="13"/>
  <c r="B53" i="13"/>
  <c r="L76" i="13"/>
  <c r="R156" i="13"/>
  <c r="R27" i="13" s="1"/>
  <c r="Y112" i="14"/>
  <c r="Y239" i="14" s="1"/>
  <c r="T216" i="14"/>
  <c r="R89" i="14"/>
  <c r="Y93" i="14"/>
  <c r="W260" i="11"/>
  <c r="E319" i="11"/>
  <c r="E320" i="11" s="1"/>
  <c r="E321" i="11" s="1"/>
  <c r="AA319" i="11"/>
  <c r="AD360" i="11"/>
  <c r="AP360" i="11" s="1"/>
  <c r="AQ360" i="11" s="1"/>
  <c r="AM344" i="11"/>
  <c r="AP349" i="11"/>
  <c r="AQ349" i="11" s="1"/>
  <c r="AP352" i="11"/>
  <c r="AQ352" i="11" s="1"/>
  <c r="W11" i="12"/>
  <c r="W16" i="12" s="1"/>
  <c r="J290" i="12"/>
  <c r="J210" i="12" s="1"/>
  <c r="J298" i="12"/>
  <c r="J287" i="12"/>
  <c r="J207" i="12" s="1"/>
  <c r="J295" i="12"/>
  <c r="J215" i="12" s="1"/>
  <c r="J292" i="12"/>
  <c r="J297" i="12"/>
  <c r="J296" i="12"/>
  <c r="J293" i="12"/>
  <c r="J213" i="12" s="1"/>
  <c r="J294" i="12"/>
  <c r="J214" i="12" s="1"/>
  <c r="J288" i="12"/>
  <c r="J208" i="12" s="1"/>
  <c r="C54" i="12"/>
  <c r="R76" i="12"/>
  <c r="R13" i="12" s="1"/>
  <c r="D276" i="12"/>
  <c r="F296" i="12"/>
  <c r="F293" i="12"/>
  <c r="F290" i="12"/>
  <c r="F298" i="12"/>
  <c r="F287" i="12"/>
  <c r="F207" i="12" s="1"/>
  <c r="F292" i="12"/>
  <c r="F297" i="12"/>
  <c r="F294" i="12"/>
  <c r="F288" i="12"/>
  <c r="F208" i="12" s="1"/>
  <c r="R304" i="12"/>
  <c r="R305" i="12" s="1"/>
  <c r="R303" i="12"/>
  <c r="X6" i="13"/>
  <c r="W14" i="13"/>
  <c r="Z292" i="13"/>
  <c r="Z289" i="13"/>
  <c r="Z297" i="13"/>
  <c r="Z294" i="13"/>
  <c r="Z293" i="13"/>
  <c r="Z298" i="13"/>
  <c r="Z290" i="13"/>
  <c r="Z295" i="13"/>
  <c r="Z288" i="13"/>
  <c r="Z296" i="13"/>
  <c r="Z287" i="13"/>
  <c r="C52" i="13"/>
  <c r="Y267" i="13"/>
  <c r="W303" i="13"/>
  <c r="G6" i="14"/>
  <c r="F14" i="14"/>
  <c r="F27" i="1" s="1"/>
  <c r="F43" i="1" s="1"/>
  <c r="T264" i="11"/>
  <c r="X95" i="11"/>
  <c r="M96" i="11"/>
  <c r="X97" i="11"/>
  <c r="X113" i="11" s="1"/>
  <c r="X256" i="11" s="1"/>
  <c r="M98" i="11"/>
  <c r="M114" i="11" s="1"/>
  <c r="M257" i="11" s="1"/>
  <c r="Q175" i="11"/>
  <c r="G176" i="11"/>
  <c r="AC176" i="11"/>
  <c r="AC177" i="11" s="1"/>
  <c r="AC162" i="11" s="1"/>
  <c r="B228" i="11"/>
  <c r="B226" i="11"/>
  <c r="G280" i="11"/>
  <c r="M318" i="11"/>
  <c r="M319" i="11" s="1"/>
  <c r="Y320" i="11"/>
  <c r="Y321" i="11" s="1"/>
  <c r="Y322" i="11" s="1"/>
  <c r="Y323" i="11" s="1"/>
  <c r="Y324" i="11" s="1"/>
  <c r="Y325" i="11" s="1"/>
  <c r="F319" i="11"/>
  <c r="F320" i="11" s="1"/>
  <c r="F321" i="11" s="1"/>
  <c r="F322" i="11" s="1"/>
  <c r="F323" i="11" s="1"/>
  <c r="F324" i="11" s="1"/>
  <c r="F325" i="11" s="1"/>
  <c r="F326" i="11" s="1"/>
  <c r="F327" i="11" s="1"/>
  <c r="F328" i="11" s="1"/>
  <c r="AB319" i="11"/>
  <c r="AI349" i="11"/>
  <c r="AK349" i="11" s="1"/>
  <c r="AL349" i="11" s="1"/>
  <c r="AI352" i="11"/>
  <c r="AK352" i="11" s="1"/>
  <c r="AL352" i="11" s="1"/>
  <c r="X11" i="12"/>
  <c r="X16" i="12" s="1"/>
  <c r="J7" i="12"/>
  <c r="K298" i="12"/>
  <c r="K287" i="12"/>
  <c r="K292" i="12"/>
  <c r="K289" i="12"/>
  <c r="K294" i="12"/>
  <c r="K288" i="12"/>
  <c r="K296" i="12"/>
  <c r="K290" i="12"/>
  <c r="N76" i="12"/>
  <c r="C136" i="12"/>
  <c r="Z223" i="12"/>
  <c r="I267" i="12"/>
  <c r="I34" i="12" s="1"/>
  <c r="I5" i="3" s="1"/>
  <c r="P291" i="12"/>
  <c r="K295" i="12"/>
  <c r="G293" i="12"/>
  <c r="G298" i="12"/>
  <c r="G287" i="12"/>
  <c r="G207" i="12" s="1"/>
  <c r="G295" i="12"/>
  <c r="G289" i="12"/>
  <c r="G297" i="12"/>
  <c r="G292" i="12"/>
  <c r="G294" i="12"/>
  <c r="G288" i="12"/>
  <c r="G296" i="12"/>
  <c r="G290" i="12"/>
  <c r="S303" i="12"/>
  <c r="S207" i="12" s="1"/>
  <c r="Q76" i="13"/>
  <c r="Q13" i="13" s="1"/>
  <c r="O76" i="13"/>
  <c r="B304" i="13"/>
  <c r="B303" i="13"/>
  <c r="X303" i="13"/>
  <c r="X304" i="13"/>
  <c r="H6" i="14"/>
  <c r="G14" i="14"/>
  <c r="G27" i="1" s="1"/>
  <c r="G43" i="1" s="1"/>
  <c r="K254" i="11"/>
  <c r="M256" i="11"/>
  <c r="Y257" i="11"/>
  <c r="O258" i="11"/>
  <c r="E259" i="11"/>
  <c r="Q260" i="11"/>
  <c r="G261" i="11"/>
  <c r="S262" i="11"/>
  <c r="I263" i="11"/>
  <c r="U264" i="11"/>
  <c r="Y95" i="11"/>
  <c r="N96" i="11"/>
  <c r="N112" i="11" s="1"/>
  <c r="N255" i="11" s="1"/>
  <c r="C97" i="11"/>
  <c r="C113" i="11" s="1"/>
  <c r="C256" i="11" s="1"/>
  <c r="Y97" i="11"/>
  <c r="Y113" i="11" s="1"/>
  <c r="Y256" i="11" s="1"/>
  <c r="N98" i="11"/>
  <c r="N114" i="11" s="1"/>
  <c r="N257" i="11" s="1"/>
  <c r="C99" i="11"/>
  <c r="C115" i="11" s="1"/>
  <c r="Y99" i="11"/>
  <c r="Y115" i="11" s="1"/>
  <c r="Y258" i="11" s="1"/>
  <c r="G151" i="11"/>
  <c r="R175" i="11"/>
  <c r="H176" i="11"/>
  <c r="AD176" i="11"/>
  <c r="AG280" i="11"/>
  <c r="AF280" i="11"/>
  <c r="AL298" i="11"/>
  <c r="Z305" i="11"/>
  <c r="L324" i="11"/>
  <c r="L325" i="11" s="1"/>
  <c r="L326" i="11" s="1"/>
  <c r="L327" i="11" s="1"/>
  <c r="L328" i="11" s="1"/>
  <c r="G319" i="11"/>
  <c r="G320" i="11" s="1"/>
  <c r="G321" i="11"/>
  <c r="G322" i="11" s="1"/>
  <c r="G323" i="11" s="1"/>
  <c r="G324" i="11" s="1"/>
  <c r="G325" i="11"/>
  <c r="G326" i="11" s="1"/>
  <c r="G327" i="11" s="1"/>
  <c r="G328" i="11" s="1"/>
  <c r="AC319" i="11"/>
  <c r="AM339" i="11"/>
  <c r="I4" i="12"/>
  <c r="H14" i="12" s="1"/>
  <c r="I6" i="12"/>
  <c r="C11" i="12"/>
  <c r="C16" i="12" s="1"/>
  <c r="K7" i="12"/>
  <c r="Q14" i="12"/>
  <c r="L298" i="12"/>
  <c r="L287" i="12"/>
  <c r="L295" i="12"/>
  <c r="L292" i="12"/>
  <c r="L289" i="12"/>
  <c r="L294" i="12"/>
  <c r="L297" i="12"/>
  <c r="L288" i="12"/>
  <c r="L293" i="12"/>
  <c r="L296" i="12"/>
  <c r="L290" i="12"/>
  <c r="T76" i="12"/>
  <c r="T13" i="12" s="1"/>
  <c r="O76" i="12"/>
  <c r="C66" i="12" s="1"/>
  <c r="H293" i="12"/>
  <c r="H290" i="12"/>
  <c r="H298" i="12"/>
  <c r="H287" i="12"/>
  <c r="H295" i="12"/>
  <c r="H289" i="12"/>
  <c r="H291" i="12"/>
  <c r="H292" i="12"/>
  <c r="H294" i="12"/>
  <c r="H288" i="12"/>
  <c r="H296" i="12"/>
  <c r="T304" i="12"/>
  <c r="U303" i="12"/>
  <c r="T305" i="12"/>
  <c r="AA60" i="13"/>
  <c r="AA10" i="13" s="1"/>
  <c r="AA11" i="13" s="1"/>
  <c r="AA16" i="13" s="1"/>
  <c r="R76" i="13"/>
  <c r="R13" i="13" s="1"/>
  <c r="AE70" i="13"/>
  <c r="AE71" i="13"/>
  <c r="C136" i="13"/>
  <c r="AB267" i="13"/>
  <c r="AB34" i="13" s="1"/>
  <c r="T210" i="13"/>
  <c r="T307" i="13"/>
  <c r="C304" i="13"/>
  <c r="Y304" i="13"/>
  <c r="Y303" i="13"/>
  <c r="Y207" i="13" s="1"/>
  <c r="I6" i="14"/>
  <c r="H14" i="14"/>
  <c r="H27" i="1" s="1"/>
  <c r="R76" i="14"/>
  <c r="R13" i="14" s="1"/>
  <c r="AA251" i="15"/>
  <c r="AA23" i="15"/>
  <c r="L254" i="11"/>
  <c r="X255" i="11"/>
  <c r="D257" i="11"/>
  <c r="P258" i="11"/>
  <c r="F259" i="11"/>
  <c r="R260" i="11"/>
  <c r="H261" i="11"/>
  <c r="T262" i="11"/>
  <c r="J263" i="11"/>
  <c r="V264" i="11"/>
  <c r="Z95" i="11"/>
  <c r="D99" i="11"/>
  <c r="D115" i="11" s="1"/>
  <c r="F239" i="11"/>
  <c r="F255" i="11" s="1"/>
  <c r="AM286" i="11"/>
  <c r="AV289" i="11"/>
  <c r="AA320" i="11"/>
  <c r="H319" i="11"/>
  <c r="H320" i="11" s="1"/>
  <c r="H321" i="11" s="1"/>
  <c r="H322" i="11" s="1"/>
  <c r="H323" i="11"/>
  <c r="H324" i="11" s="1"/>
  <c r="H325" i="11" s="1"/>
  <c r="H326" i="11" s="1"/>
  <c r="H327" i="11" s="1"/>
  <c r="H328" i="11" s="1"/>
  <c r="AD319" i="11"/>
  <c r="AK355" i="11"/>
  <c r="AL355" i="11" s="1"/>
  <c r="AM360" i="11"/>
  <c r="J4" i="12"/>
  <c r="I14" i="12" s="1"/>
  <c r="I11" i="1" s="1"/>
  <c r="J6" i="12"/>
  <c r="D11" i="12"/>
  <c r="D16" i="12" s="1"/>
  <c r="D54" i="12"/>
  <c r="B54" i="12"/>
  <c r="U76" i="12"/>
  <c r="U13" i="12" s="1"/>
  <c r="N156" i="12"/>
  <c r="N27" i="12" s="1"/>
  <c r="H177" i="12"/>
  <c r="H176" i="12"/>
  <c r="AD176" i="12"/>
  <c r="N267" i="12"/>
  <c r="N34" i="12" s="1"/>
  <c r="N5" i="3" s="1"/>
  <c r="K267" i="12"/>
  <c r="D271" i="12"/>
  <c r="P295" i="12"/>
  <c r="I290" i="12"/>
  <c r="I295" i="12"/>
  <c r="I292" i="12"/>
  <c r="I297" i="12"/>
  <c r="I291" i="12"/>
  <c r="I296" i="12"/>
  <c r="I287" i="12"/>
  <c r="I207" i="12" s="1"/>
  <c r="I288" i="12"/>
  <c r="I208" i="12" s="1"/>
  <c r="I298" i="12"/>
  <c r="I294" i="12"/>
  <c r="I307" i="12"/>
  <c r="I210" i="12"/>
  <c r="AB60" i="13"/>
  <c r="AB10" i="13" s="1"/>
  <c r="AB11" i="13" s="1"/>
  <c r="AB16" i="13" s="1"/>
  <c r="W76" i="13"/>
  <c r="W13" i="13" s="1"/>
  <c r="S76" i="13"/>
  <c r="S13" i="13" s="1"/>
  <c r="J140" i="13"/>
  <c r="J24" i="13" s="1"/>
  <c r="E154" i="13"/>
  <c r="D303" i="13"/>
  <c r="AA303" i="13"/>
  <c r="AA207" i="13" s="1"/>
  <c r="Z303" i="13"/>
  <c r="Z207" i="13" s="1"/>
  <c r="AA304" i="13"/>
  <c r="AA305" i="13" s="1"/>
  <c r="AA209" i="13" s="1"/>
  <c r="Z304" i="13"/>
  <c r="J6" i="14"/>
  <c r="I14" i="14"/>
  <c r="X13" i="14"/>
  <c r="AB124" i="15"/>
  <c r="O140" i="15"/>
  <c r="O24" i="15" s="1"/>
  <c r="AG289" i="11"/>
  <c r="C255" i="11"/>
  <c r="Y255" i="11"/>
  <c r="O256" i="11"/>
  <c r="E257" i="11"/>
  <c r="Q258" i="11"/>
  <c r="G259" i="11"/>
  <c r="S260" i="11"/>
  <c r="I261" i="11"/>
  <c r="U262" i="11"/>
  <c r="K263" i="11"/>
  <c r="W264" i="11"/>
  <c r="P96" i="11"/>
  <c r="E99" i="11"/>
  <c r="P100" i="11"/>
  <c r="P116" i="11" s="1"/>
  <c r="J176" i="11"/>
  <c r="AF176" i="11"/>
  <c r="G239" i="11"/>
  <c r="G255" i="11" s="1"/>
  <c r="E322" i="11"/>
  <c r="E323" i="11" s="1"/>
  <c r="E324" i="11" s="1"/>
  <c r="E325" i="11" s="1"/>
  <c r="E326" i="11" s="1"/>
  <c r="E327" i="11" s="1"/>
  <c r="E328" i="11" s="1"/>
  <c r="I319" i="11"/>
  <c r="I320" i="11" s="1"/>
  <c r="I321" i="11" s="1"/>
  <c r="I322" i="11" s="1"/>
  <c r="I323" i="11" s="1"/>
  <c r="I324" i="11" s="1"/>
  <c r="I325" i="11" s="1"/>
  <c r="I326" i="11" s="1"/>
  <c r="I327" i="11" s="1"/>
  <c r="I328" i="11" s="1"/>
  <c r="J318" i="11"/>
  <c r="J319" i="11" s="1"/>
  <c r="J320" i="11" s="1"/>
  <c r="AE319" i="11"/>
  <c r="AF318" i="11"/>
  <c r="AK360" i="11"/>
  <c r="AL360" i="11" s="1"/>
  <c r="E11" i="12"/>
  <c r="E16" i="12" s="1"/>
  <c r="AB25" i="12"/>
  <c r="AB28" i="12" s="1"/>
  <c r="N295" i="12"/>
  <c r="N292" i="12"/>
  <c r="N289" i="12"/>
  <c r="N297" i="12"/>
  <c r="N291" i="12"/>
  <c r="N287" i="12"/>
  <c r="N207" i="12" s="1"/>
  <c r="N288" i="12"/>
  <c r="N293" i="12"/>
  <c r="N298" i="12"/>
  <c r="N296" i="12"/>
  <c r="N290" i="12"/>
  <c r="AE56" i="12"/>
  <c r="V76" i="12"/>
  <c r="V13" i="12" s="1"/>
  <c r="Q76" i="12"/>
  <c r="Q13" i="12" s="1"/>
  <c r="AA156" i="12"/>
  <c r="AA27" i="12" s="1"/>
  <c r="J176" i="12"/>
  <c r="I177" i="12"/>
  <c r="I176" i="12"/>
  <c r="AE176" i="12"/>
  <c r="L267" i="12"/>
  <c r="E14" i="13"/>
  <c r="F6" i="13"/>
  <c r="AA14" i="13"/>
  <c r="AB6" i="13"/>
  <c r="AC60" i="13"/>
  <c r="U60" i="13"/>
  <c r="U10" i="13" s="1"/>
  <c r="U11" i="13" s="1"/>
  <c r="U16" i="13" s="1"/>
  <c r="AD72" i="13"/>
  <c r="G207" i="13"/>
  <c r="E15" i="14"/>
  <c r="AB156" i="14"/>
  <c r="AB27" i="14" s="1"/>
  <c r="AB19" i="2" s="1"/>
  <c r="Q98" i="11"/>
  <c r="Q114" i="11" s="1"/>
  <c r="Q257" i="11" s="1"/>
  <c r="F99" i="11"/>
  <c r="F115" i="11" s="1"/>
  <c r="F258" i="11" s="1"/>
  <c r="Q100" i="11"/>
  <c r="Q116" i="11" s="1"/>
  <c r="Q259" i="11" s="1"/>
  <c r="F101" i="11"/>
  <c r="F117" i="11" s="1"/>
  <c r="F260" i="11" s="1"/>
  <c r="R102" i="11"/>
  <c r="R118" i="11" s="1"/>
  <c r="H103" i="11"/>
  <c r="H119" i="11" s="1"/>
  <c r="H262" i="11" s="1"/>
  <c r="T104" i="11"/>
  <c r="T120" i="11" s="1"/>
  <c r="T263" i="11" s="1"/>
  <c r="J105" i="11"/>
  <c r="J121" i="11" s="1"/>
  <c r="J264" i="11" s="1"/>
  <c r="V106" i="11"/>
  <c r="V122" i="11" s="1"/>
  <c r="V265" i="11" s="1"/>
  <c r="K176" i="11"/>
  <c r="AG176" i="11"/>
  <c r="M178" i="11"/>
  <c r="AM288" i="11"/>
  <c r="AQ291" i="11"/>
  <c r="AC320" i="11"/>
  <c r="AF319" i="11"/>
  <c r="M6" i="12"/>
  <c r="AC25" i="12"/>
  <c r="AC28" i="12" s="1"/>
  <c r="O292" i="12"/>
  <c r="O297" i="12"/>
  <c r="O294" i="12"/>
  <c r="O288" i="12"/>
  <c r="O293" i="12"/>
  <c r="O298" i="12"/>
  <c r="O296" i="12"/>
  <c r="O290" i="12"/>
  <c r="AA60" i="12"/>
  <c r="AA10" i="12" s="1"/>
  <c r="AA11" i="12" s="1"/>
  <c r="AA16" i="12" s="1"/>
  <c r="C51" i="12"/>
  <c r="W76" i="12"/>
  <c r="W13" i="12" s="1"/>
  <c r="P156" i="12"/>
  <c r="P27" i="12" s="1"/>
  <c r="M156" i="12"/>
  <c r="C153" i="12" s="1"/>
  <c r="C151" i="12"/>
  <c r="J212" i="12"/>
  <c r="M267" i="12"/>
  <c r="I283" i="12"/>
  <c r="I40" i="12" s="1"/>
  <c r="I11" i="3" s="1"/>
  <c r="H60" i="13"/>
  <c r="H10" i="13" s="1"/>
  <c r="H11" i="13" s="1"/>
  <c r="H16" i="13" s="1"/>
  <c r="F15" i="14"/>
  <c r="R88" i="14"/>
  <c r="AA218" i="14"/>
  <c r="AA107" i="14"/>
  <c r="AA123" i="14" s="1"/>
  <c r="AA250" i="14" s="1"/>
  <c r="G257" i="11"/>
  <c r="S258" i="11"/>
  <c r="I259" i="11"/>
  <c r="U260" i="11"/>
  <c r="K261" i="11"/>
  <c r="W262" i="11"/>
  <c r="C264" i="11"/>
  <c r="G99" i="11"/>
  <c r="G115" i="11" s="1"/>
  <c r="G258" i="11" s="1"/>
  <c r="G101" i="11"/>
  <c r="G117" i="11" s="1"/>
  <c r="G260" i="11" s="1"/>
  <c r="S102" i="11"/>
  <c r="S118" i="11" s="1"/>
  <c r="S261" i="11" s="1"/>
  <c r="I103" i="11"/>
  <c r="I119" i="11" s="1"/>
  <c r="I262" i="11" s="1"/>
  <c r="U104" i="11"/>
  <c r="U120" i="11" s="1"/>
  <c r="U263" i="11" s="1"/>
  <c r="K105" i="11"/>
  <c r="K121" i="11" s="1"/>
  <c r="W106" i="11"/>
  <c r="W122" i="11" s="1"/>
  <c r="W265" i="11" s="1"/>
  <c r="M298" i="11"/>
  <c r="M40" i="11" s="1"/>
  <c r="M11" i="3" s="1"/>
  <c r="AD320" i="11"/>
  <c r="AG319" i="11"/>
  <c r="N6" i="12"/>
  <c r="P292" i="12"/>
  <c r="P289" i="12"/>
  <c r="P297" i="12"/>
  <c r="P294" i="12"/>
  <c r="P288" i="12"/>
  <c r="P293" i="12"/>
  <c r="P298" i="12"/>
  <c r="P290" i="12"/>
  <c r="F60" i="12"/>
  <c r="D51" i="12"/>
  <c r="X76" i="12"/>
  <c r="X13" i="12" s="1"/>
  <c r="S76" i="12"/>
  <c r="S13" i="12" s="1"/>
  <c r="Q156" i="12"/>
  <c r="Q27" i="12" s="1"/>
  <c r="J177" i="12"/>
  <c r="AC251" i="12"/>
  <c r="Q267" i="12"/>
  <c r="Q34" i="12" s="1"/>
  <c r="AD279" i="12"/>
  <c r="Z76" i="13"/>
  <c r="Z13" i="13" s="1"/>
  <c r="H99" i="11"/>
  <c r="H115" i="11" s="1"/>
  <c r="H258" i="11" s="1"/>
  <c r="AB218" i="11"/>
  <c r="L321" i="11"/>
  <c r="L322" i="11" s="1"/>
  <c r="L323" i="11" s="1"/>
  <c r="L320" i="11"/>
  <c r="AM353" i="11"/>
  <c r="AI353" i="11"/>
  <c r="AK353" i="11" s="1"/>
  <c r="AL353" i="11" s="1"/>
  <c r="Q289" i="12"/>
  <c r="Q294" i="12"/>
  <c r="Q291" i="12"/>
  <c r="Q296" i="12"/>
  <c r="Q297" i="12"/>
  <c r="Q287" i="12"/>
  <c r="Q298" i="12"/>
  <c r="Q288" i="12"/>
  <c r="Q290" i="12"/>
  <c r="Q292" i="12"/>
  <c r="Q295" i="12"/>
  <c r="Y76" i="12"/>
  <c r="AD74" i="12" s="1"/>
  <c r="AA140" i="12"/>
  <c r="AE128" i="12" s="1"/>
  <c r="AD136" i="12"/>
  <c r="AD134" i="12"/>
  <c r="R156" i="12"/>
  <c r="R27" i="12" s="1"/>
  <c r="K178" i="12"/>
  <c r="R267" i="12"/>
  <c r="R34" i="12" s="1"/>
  <c r="R5" i="3" s="1"/>
  <c r="R33" i="3" s="1"/>
  <c r="Y40" i="12"/>
  <c r="AE274" i="12"/>
  <c r="AA76" i="13"/>
  <c r="AA13" i="13" s="1"/>
  <c r="O140" i="13"/>
  <c r="E132" i="13" s="1"/>
  <c r="P177" i="13"/>
  <c r="T104" i="14"/>
  <c r="T120" i="14" s="1"/>
  <c r="S241" i="14"/>
  <c r="S209" i="14"/>
  <c r="I99" i="11"/>
  <c r="I115" i="11" s="1"/>
  <c r="I101" i="11"/>
  <c r="I117" i="11" s="1"/>
  <c r="I260" i="11" s="1"/>
  <c r="U102" i="11"/>
  <c r="U118" i="11" s="1"/>
  <c r="U261" i="11" s="1"/>
  <c r="K103" i="11"/>
  <c r="K119" i="11" s="1"/>
  <c r="W104" i="11"/>
  <c r="W120" i="11" s="1"/>
  <c r="W263" i="11" s="1"/>
  <c r="M105" i="11"/>
  <c r="M121" i="11" s="1"/>
  <c r="C106" i="11"/>
  <c r="C122" i="11" s="1"/>
  <c r="C265" i="11" s="1"/>
  <c r="AC218" i="11"/>
  <c r="Y248" i="11"/>
  <c r="Y264" i="11" s="1"/>
  <c r="J282" i="11"/>
  <c r="J34" i="11" s="1"/>
  <c r="O298" i="11"/>
  <c r="O40" i="11" s="1"/>
  <c r="O11" i="3" s="1"/>
  <c r="AV287" i="11"/>
  <c r="X319" i="11"/>
  <c r="X320" i="11" s="1"/>
  <c r="N323" i="11"/>
  <c r="N324" i="11" s="1"/>
  <c r="N325" i="11" s="1"/>
  <c r="N326" i="11" s="1"/>
  <c r="N327" i="11" s="1"/>
  <c r="N328" i="11" s="1"/>
  <c r="M327" i="11"/>
  <c r="M328" i="11" s="1"/>
  <c r="N318" i="11"/>
  <c r="N319" i="11" s="1"/>
  <c r="N320" i="11" s="1"/>
  <c r="N321" i="11" s="1"/>
  <c r="M320" i="11"/>
  <c r="M321" i="11" s="1"/>
  <c r="M322" i="11" s="1"/>
  <c r="M323" i="11" s="1"/>
  <c r="M324" i="11" s="1"/>
  <c r="M325" i="11" s="1"/>
  <c r="M326" i="11" s="1"/>
  <c r="N322" i="11"/>
  <c r="AN353" i="11"/>
  <c r="R289" i="12"/>
  <c r="R297" i="12"/>
  <c r="R294" i="12"/>
  <c r="R291" i="12"/>
  <c r="R296" i="12"/>
  <c r="R287" i="12"/>
  <c r="R292" i="12"/>
  <c r="R298" i="12"/>
  <c r="R288" i="12"/>
  <c r="R295" i="12"/>
  <c r="R293" i="12"/>
  <c r="D76" i="12"/>
  <c r="D13" i="12" s="1"/>
  <c r="Z76" i="12"/>
  <c r="Z13" i="12" s="1"/>
  <c r="F140" i="12"/>
  <c r="F24" i="12" s="1"/>
  <c r="F5" i="2" s="1"/>
  <c r="AB140" i="12"/>
  <c r="AB24" i="12" s="1"/>
  <c r="AE134" i="12"/>
  <c r="AE136" i="12"/>
  <c r="AE130" i="12"/>
  <c r="AE133" i="12"/>
  <c r="AE129" i="12"/>
  <c r="S156" i="12"/>
  <c r="S27" i="12" s="1"/>
  <c r="L177" i="12"/>
  <c r="M178" i="12"/>
  <c r="M180" i="12"/>
  <c r="M179" i="12"/>
  <c r="H267" i="12"/>
  <c r="H34" i="12" s="1"/>
  <c r="AC283" i="12"/>
  <c r="AC40" i="12" s="1"/>
  <c r="CI44" i="8" s="1"/>
  <c r="F289" i="12"/>
  <c r="AC292" i="12"/>
  <c r="AB76" i="13"/>
  <c r="AB13" i="13" s="1"/>
  <c r="AE66" i="13"/>
  <c r="P140" i="13"/>
  <c r="P24" i="13" s="1"/>
  <c r="X267" i="13"/>
  <c r="AE25" i="14"/>
  <c r="AE28" i="14" s="1"/>
  <c r="AE26" i="14" s="1"/>
  <c r="T297" i="12"/>
  <c r="T294" i="12"/>
  <c r="T291" i="12"/>
  <c r="T288" i="12"/>
  <c r="T293" i="12"/>
  <c r="T298" i="12"/>
  <c r="T290" i="12"/>
  <c r="D58" i="12"/>
  <c r="H76" i="12"/>
  <c r="H13" i="12" s="1"/>
  <c r="V156" i="12"/>
  <c r="R177" i="12"/>
  <c r="V267" i="12"/>
  <c r="V34" i="12" s="1"/>
  <c r="B262" i="12"/>
  <c r="B264" i="12"/>
  <c r="B258" i="12"/>
  <c r="B266" i="12"/>
  <c r="D274" i="12"/>
  <c r="T289" i="12"/>
  <c r="X295" i="13"/>
  <c r="X292" i="13"/>
  <c r="X289" i="13"/>
  <c r="X297" i="13"/>
  <c r="X287" i="13"/>
  <c r="X288" i="13"/>
  <c r="X293" i="13"/>
  <c r="X298" i="13"/>
  <c r="X294" i="13"/>
  <c r="X290" i="13"/>
  <c r="I76" i="13"/>
  <c r="I13" i="13" s="1"/>
  <c r="Y13" i="14"/>
  <c r="AF132" i="14"/>
  <c r="AC177" i="14"/>
  <c r="AC161" i="14"/>
  <c r="T283" i="14"/>
  <c r="T40" i="14" s="1"/>
  <c r="U294" i="12"/>
  <c r="U288" i="12"/>
  <c r="U296" i="12"/>
  <c r="U290" i="12"/>
  <c r="U298" i="12"/>
  <c r="U293" i="12"/>
  <c r="U289" i="12"/>
  <c r="U295" i="12"/>
  <c r="W156" i="12"/>
  <c r="W27" i="12" s="1"/>
  <c r="AB177" i="12"/>
  <c r="AA178" i="12"/>
  <c r="S177" i="12"/>
  <c r="W267" i="12"/>
  <c r="W34" i="12" s="1"/>
  <c r="C264" i="12"/>
  <c r="C261" i="12"/>
  <c r="C266" i="12"/>
  <c r="C263" i="12"/>
  <c r="W283" i="12"/>
  <c r="W40" i="12" s="1"/>
  <c r="Y287" i="12"/>
  <c r="Z289" i="12"/>
  <c r="Y291" i="12"/>
  <c r="AA293" i="12"/>
  <c r="H303" i="12"/>
  <c r="H304" i="12"/>
  <c r="G304" i="12"/>
  <c r="G208" i="12" s="1"/>
  <c r="G305" i="12"/>
  <c r="AC306" i="12"/>
  <c r="AC307" i="12"/>
  <c r="AC308" i="12" s="1"/>
  <c r="AC309" i="12" s="1"/>
  <c r="AC310" i="12" s="1"/>
  <c r="AC311" i="12" s="1"/>
  <c r="AC312" i="12" s="1"/>
  <c r="AC313" i="12" s="1"/>
  <c r="C295" i="13"/>
  <c r="C292" i="13"/>
  <c r="C289" i="13"/>
  <c r="C297" i="13"/>
  <c r="C291" i="13"/>
  <c r="C290" i="13"/>
  <c r="C296" i="13"/>
  <c r="C293" i="13"/>
  <c r="C288" i="13"/>
  <c r="Y295" i="13"/>
  <c r="Y292" i="13"/>
  <c r="Y289" i="13"/>
  <c r="Y297" i="13"/>
  <c r="Y291" i="13"/>
  <c r="Y288" i="13"/>
  <c r="Y293" i="13"/>
  <c r="Y298" i="13"/>
  <c r="Y294" i="13"/>
  <c r="Y290" i="13"/>
  <c r="Y296" i="13"/>
  <c r="J76" i="13"/>
  <c r="J13" i="13" s="1"/>
  <c r="X76" i="13"/>
  <c r="Z76" i="14"/>
  <c r="AF68" i="14" s="1"/>
  <c r="H140" i="14"/>
  <c r="H24" i="14" s="1"/>
  <c r="H16" i="2" s="1"/>
  <c r="AB250" i="14"/>
  <c r="AB218" i="14"/>
  <c r="AE138" i="15"/>
  <c r="AE135" i="15"/>
  <c r="W291" i="12"/>
  <c r="W296" i="12"/>
  <c r="W293" i="12"/>
  <c r="W298" i="12"/>
  <c r="W287" i="12"/>
  <c r="W289" i="12"/>
  <c r="W294" i="12"/>
  <c r="W295" i="12"/>
  <c r="Y156" i="12"/>
  <c r="AE149" i="12" s="1"/>
  <c r="U177" i="12"/>
  <c r="T295" i="12"/>
  <c r="AB296" i="12"/>
  <c r="AB293" i="12"/>
  <c r="AB290" i="12"/>
  <c r="AB298" i="12"/>
  <c r="AB287" i="12"/>
  <c r="AB292" i="12"/>
  <c r="AB288" i="12"/>
  <c r="AB289" i="12"/>
  <c r="AB295" i="12"/>
  <c r="AE219" i="13"/>
  <c r="AE35" i="13"/>
  <c r="AE41" i="13" s="1"/>
  <c r="AE40" i="13" s="1"/>
  <c r="AE283" i="13" s="1"/>
  <c r="C64" i="13"/>
  <c r="AB76" i="14"/>
  <c r="AB13" i="14" s="1"/>
  <c r="AC215" i="14"/>
  <c r="AC247" i="14"/>
  <c r="F275" i="11"/>
  <c r="AD298" i="11"/>
  <c r="P320" i="11"/>
  <c r="P321" i="11" s="1"/>
  <c r="P322" i="11" s="1"/>
  <c r="P323" i="11" s="1"/>
  <c r="P324" i="11" s="1"/>
  <c r="P325" i="11" s="1"/>
  <c r="P326" i="11" s="1"/>
  <c r="AI351" i="11"/>
  <c r="AK351" i="11" s="1"/>
  <c r="AL351" i="11" s="1"/>
  <c r="AI358" i="11"/>
  <c r="AK358" i="11" s="1"/>
  <c r="AL358" i="11" s="1"/>
  <c r="G6" i="12"/>
  <c r="B291" i="12"/>
  <c r="B288" i="12"/>
  <c r="B296" i="12"/>
  <c r="B293" i="12"/>
  <c r="B298" i="12"/>
  <c r="B287" i="12"/>
  <c r="B292" i="12"/>
  <c r="X291" i="12"/>
  <c r="X288" i="12"/>
  <c r="X296" i="12"/>
  <c r="X293" i="12"/>
  <c r="X298" i="12"/>
  <c r="X287" i="12"/>
  <c r="X207" i="12" s="1"/>
  <c r="X289" i="12"/>
  <c r="X294" i="12"/>
  <c r="X295" i="12"/>
  <c r="X290" i="12"/>
  <c r="AE124" i="12"/>
  <c r="R140" i="12"/>
  <c r="R24" i="12" s="1"/>
  <c r="W176" i="12"/>
  <c r="Z267" i="12"/>
  <c r="Z34" i="12" s="1"/>
  <c r="Z283" i="12"/>
  <c r="D275" i="12"/>
  <c r="AB291" i="12"/>
  <c r="W207" i="12"/>
  <c r="P6" i="13"/>
  <c r="F289" i="13"/>
  <c r="F297" i="13"/>
  <c r="F294" i="13"/>
  <c r="F291" i="13"/>
  <c r="F295" i="13"/>
  <c r="F296" i="13"/>
  <c r="F292" i="13"/>
  <c r="F293" i="13"/>
  <c r="F288" i="13"/>
  <c r="AB289" i="13"/>
  <c r="AB297" i="13"/>
  <c r="AB294" i="13"/>
  <c r="AB291" i="13"/>
  <c r="AB296" i="13"/>
  <c r="AB292" i="13"/>
  <c r="D58" i="13"/>
  <c r="AD73" i="13"/>
  <c r="AD133" i="13"/>
  <c r="AC76" i="14"/>
  <c r="AC13" i="14" s="1"/>
  <c r="AC26" i="1" s="1"/>
  <c r="AC93" i="14"/>
  <c r="AC98" i="14"/>
  <c r="G275" i="11"/>
  <c r="U324" i="11"/>
  <c r="U325" i="11" s="1"/>
  <c r="U326" i="11" s="1"/>
  <c r="U327" i="11" s="1"/>
  <c r="U328" i="11" s="1"/>
  <c r="H6" i="12"/>
  <c r="C288" i="12"/>
  <c r="C293" i="12"/>
  <c r="C290" i="12"/>
  <c r="C295" i="12"/>
  <c r="C296" i="12"/>
  <c r="C291" i="12"/>
  <c r="C292" i="12"/>
  <c r="C297" i="12"/>
  <c r="C287" i="12"/>
  <c r="Y288" i="12"/>
  <c r="Y293" i="12"/>
  <c r="Y290" i="12"/>
  <c r="Y295" i="12"/>
  <c r="Y289" i="12"/>
  <c r="Y294" i="12"/>
  <c r="C255" i="12"/>
  <c r="AA283" i="12"/>
  <c r="K303" i="12"/>
  <c r="Q6" i="13"/>
  <c r="M10" i="13"/>
  <c r="M11" i="13" s="1"/>
  <c r="M16" i="13" s="1"/>
  <c r="G289" i="13"/>
  <c r="G297" i="13"/>
  <c r="G294" i="13"/>
  <c r="G291" i="13"/>
  <c r="G296" i="13"/>
  <c r="G293" i="13"/>
  <c r="G288" i="13"/>
  <c r="G298" i="13"/>
  <c r="G295" i="13"/>
  <c r="AC289" i="13"/>
  <c r="AC297" i="13"/>
  <c r="AC294" i="13"/>
  <c r="AC291" i="13"/>
  <c r="AC296" i="13"/>
  <c r="AC290" i="13"/>
  <c r="AC288" i="13"/>
  <c r="AC292" i="13"/>
  <c r="C65" i="13"/>
  <c r="D153" i="13"/>
  <c r="O267" i="13"/>
  <c r="E260" i="13"/>
  <c r="E263" i="13"/>
  <c r="E266" i="13"/>
  <c r="E258" i="13"/>
  <c r="C277" i="13"/>
  <c r="AB290" i="13"/>
  <c r="AA60" i="14"/>
  <c r="AD98" i="14"/>
  <c r="AD114" i="14" s="1"/>
  <c r="AD209" i="14"/>
  <c r="F277" i="11"/>
  <c r="D288" i="12"/>
  <c r="D296" i="12"/>
  <c r="D293" i="12"/>
  <c r="D290" i="12"/>
  <c r="D295" i="12"/>
  <c r="D291" i="12"/>
  <c r="D292" i="12"/>
  <c r="D297" i="12"/>
  <c r="D287" i="12"/>
  <c r="D298" i="12"/>
  <c r="Z288" i="12"/>
  <c r="Z208" i="12" s="1"/>
  <c r="Z296" i="12"/>
  <c r="Z293" i="12"/>
  <c r="Z290" i="12"/>
  <c r="Z295" i="12"/>
  <c r="Z294" i="12"/>
  <c r="T140" i="12"/>
  <c r="F156" i="12"/>
  <c r="F27" i="12" s="1"/>
  <c r="AB156" i="12"/>
  <c r="B177" i="12"/>
  <c r="C176" i="12"/>
  <c r="X177" i="12"/>
  <c r="Y176" i="12"/>
  <c r="F283" i="12"/>
  <c r="AB283" i="12"/>
  <c r="X283" i="12"/>
  <c r="AB297" i="12"/>
  <c r="L303" i="12"/>
  <c r="V6" i="13"/>
  <c r="D50" i="13"/>
  <c r="AE23" i="13"/>
  <c r="AE25" i="13" s="1"/>
  <c r="AE28" i="13" s="1"/>
  <c r="AE26" i="13" s="1"/>
  <c r="E152" i="13"/>
  <c r="E153" i="13"/>
  <c r="I283" i="13"/>
  <c r="I40" i="13" s="1"/>
  <c r="AB287" i="13"/>
  <c r="AB207" i="13" s="1"/>
  <c r="D60" i="14"/>
  <c r="D10" i="14" s="1"/>
  <c r="V97" i="14"/>
  <c r="V113" i="14" s="1"/>
  <c r="V240" i="14" s="1"/>
  <c r="V208" i="14"/>
  <c r="G277" i="11"/>
  <c r="AQ296" i="11"/>
  <c r="Q318" i="11"/>
  <c r="Q319" i="11" s="1"/>
  <c r="Q320" i="11" s="1"/>
  <c r="Q321" i="11" s="1"/>
  <c r="Q322" i="11" s="1"/>
  <c r="Q323" i="11" s="1"/>
  <c r="Q324" i="11" s="1"/>
  <c r="Q325" i="11" s="1"/>
  <c r="Q326" i="11" s="1"/>
  <c r="Q327" i="11" s="1"/>
  <c r="Q328" i="11" s="1"/>
  <c r="S320" i="11"/>
  <c r="S321" i="11" s="1"/>
  <c r="S322" i="11" s="1"/>
  <c r="S323" i="11" s="1"/>
  <c r="S324" i="11" s="1"/>
  <c r="S325" i="11" s="1"/>
  <c r="S326" i="11" s="1"/>
  <c r="S327" i="11" s="1"/>
  <c r="S328" i="11" s="1"/>
  <c r="O327" i="11"/>
  <c r="O328" i="11" s="1"/>
  <c r="AA296" i="12"/>
  <c r="AA290" i="12"/>
  <c r="AA298" i="12"/>
  <c r="AA287" i="12"/>
  <c r="AA292" i="12"/>
  <c r="AA288" i="12"/>
  <c r="AA295" i="12"/>
  <c r="Y60" i="12"/>
  <c r="U140" i="12"/>
  <c r="U24" i="12" s="1"/>
  <c r="G156" i="12"/>
  <c r="G27" i="12" s="1"/>
  <c r="G8" i="2" s="1"/>
  <c r="G30" i="2" s="1"/>
  <c r="AC156" i="12"/>
  <c r="C177" i="12"/>
  <c r="Y267" i="12"/>
  <c r="AE260" i="12" s="1"/>
  <c r="AD280" i="12"/>
  <c r="M304" i="12"/>
  <c r="M208" i="12" s="1"/>
  <c r="M303" i="12"/>
  <c r="M207" i="12" s="1"/>
  <c r="S6" i="13"/>
  <c r="R14" i="13"/>
  <c r="V60" i="13"/>
  <c r="V10" i="13" s="1"/>
  <c r="V11" i="13" s="1"/>
  <c r="V16" i="13" s="1"/>
  <c r="C71" i="13"/>
  <c r="F153" i="13"/>
  <c r="AC287" i="13"/>
  <c r="AC207" i="13" s="1"/>
  <c r="C294" i="13"/>
  <c r="X296" i="13"/>
  <c r="F270" i="11"/>
  <c r="F279" i="11"/>
  <c r="T320" i="11"/>
  <c r="T321" i="11" s="1"/>
  <c r="T322" i="11" s="1"/>
  <c r="T323" i="11" s="1"/>
  <c r="T324" i="11" s="1"/>
  <c r="T325" i="11" s="1"/>
  <c r="T326" i="11" s="1"/>
  <c r="T327" i="11" s="1"/>
  <c r="T328" i="11" s="1"/>
  <c r="J321" i="11"/>
  <c r="J322" i="11" s="1"/>
  <c r="J323" i="11" s="1"/>
  <c r="J324" i="11" s="1"/>
  <c r="J325" i="11" s="1"/>
  <c r="J326" i="11" s="1"/>
  <c r="J327" i="11" s="1"/>
  <c r="J328" i="11" s="1"/>
  <c r="P327" i="11"/>
  <c r="P328" i="11" s="1"/>
  <c r="Z60" i="12"/>
  <c r="Z10" i="12" s="1"/>
  <c r="Z11" i="12" s="1"/>
  <c r="Z16" i="12" s="1"/>
  <c r="V140" i="12"/>
  <c r="V24" i="12" s="1"/>
  <c r="E179" i="12"/>
  <c r="AA251" i="12"/>
  <c r="AE276" i="12"/>
  <c r="N305" i="12"/>
  <c r="N304" i="12"/>
  <c r="W60" i="13"/>
  <c r="W10" i="13" s="1"/>
  <c r="B52" i="13"/>
  <c r="D147" i="13"/>
  <c r="F271" i="13"/>
  <c r="AA100" i="14"/>
  <c r="AA116" i="14" s="1"/>
  <c r="AG84" i="14"/>
  <c r="AF84" i="14"/>
  <c r="AF100" i="14" s="1"/>
  <c r="AF116" i="14" s="1"/>
  <c r="AA211" i="14"/>
  <c r="AD84" i="14"/>
  <c r="AC160" i="14"/>
  <c r="G270" i="11"/>
  <c r="G279" i="11"/>
  <c r="U320" i="11"/>
  <c r="U321" i="11" s="1"/>
  <c r="U322" i="11" s="1"/>
  <c r="U323" i="11" s="1"/>
  <c r="K321" i="11"/>
  <c r="K322" i="11" s="1"/>
  <c r="K323" i="11" s="1"/>
  <c r="K324" i="11" s="1"/>
  <c r="K325" i="11" s="1"/>
  <c r="K326" i="11" s="1"/>
  <c r="K327" i="11" s="1"/>
  <c r="K328" i="11" s="1"/>
  <c r="AB251" i="12"/>
  <c r="B256" i="12"/>
  <c r="T292" i="12"/>
  <c r="C298" i="12"/>
  <c r="AC303" i="12"/>
  <c r="AC304" i="12" s="1"/>
  <c r="AC305" i="12" s="1"/>
  <c r="O305" i="12"/>
  <c r="O209" i="12" s="1"/>
  <c r="O307" i="12"/>
  <c r="O304" i="12"/>
  <c r="O208" i="12" s="1"/>
  <c r="O306" i="12"/>
  <c r="U6" i="13"/>
  <c r="T14" i="13"/>
  <c r="Q14" i="13"/>
  <c r="C51" i="13"/>
  <c r="D51" i="13"/>
  <c r="C72" i="13"/>
  <c r="C128" i="13"/>
  <c r="AB156" i="13"/>
  <c r="AE144" i="13" s="1"/>
  <c r="G15" i="14"/>
  <c r="AC18" i="14"/>
  <c r="AB100" i="14"/>
  <c r="AB116" i="14" s="1"/>
  <c r="AB211" i="14"/>
  <c r="X217" i="14"/>
  <c r="X106" i="14"/>
  <c r="X122" i="14" s="1"/>
  <c r="X249" i="14" s="1"/>
  <c r="AD90" i="14"/>
  <c r="F281" i="11"/>
  <c r="AD293" i="12"/>
  <c r="AD290" i="12"/>
  <c r="AD298" i="12"/>
  <c r="AD287" i="12"/>
  <c r="AD295" i="12"/>
  <c r="AD289" i="12"/>
  <c r="AD294" i="12"/>
  <c r="AD291" i="12"/>
  <c r="AB60" i="12"/>
  <c r="AB10" i="12" s="1"/>
  <c r="AB11" i="12" s="1"/>
  <c r="AB16" i="12" s="1"/>
  <c r="X140" i="12"/>
  <c r="AD135" i="12" s="1"/>
  <c r="J283" i="12"/>
  <c r="J40" i="12" s="1"/>
  <c r="W288" i="12"/>
  <c r="U292" i="12"/>
  <c r="P305" i="12"/>
  <c r="P304" i="12"/>
  <c r="P303" i="12"/>
  <c r="P207" i="12" s="1"/>
  <c r="L291" i="13"/>
  <c r="L288" i="13"/>
  <c r="L296" i="13"/>
  <c r="L293" i="13"/>
  <c r="L287" i="13"/>
  <c r="L207" i="13" s="1"/>
  <c r="L292" i="13"/>
  <c r="L297" i="13"/>
  <c r="L298" i="13"/>
  <c r="L295" i="13"/>
  <c r="L290" i="13"/>
  <c r="D148" i="13"/>
  <c r="B154" i="13"/>
  <c r="B151" i="13"/>
  <c r="B148" i="13"/>
  <c r="B145" i="13"/>
  <c r="B149" i="13"/>
  <c r="B144" i="13"/>
  <c r="B152" i="13"/>
  <c r="B147" i="13"/>
  <c r="AB288" i="13"/>
  <c r="H60" i="14"/>
  <c r="H10" i="14" s="1"/>
  <c r="AC100" i="14"/>
  <c r="AC116" i="14" s="1"/>
  <c r="AC211" i="14"/>
  <c r="E180" i="14"/>
  <c r="AA305" i="15"/>
  <c r="AA304" i="15"/>
  <c r="AA208" i="15" s="1"/>
  <c r="AA35" i="15"/>
  <c r="AA41" i="15" s="1"/>
  <c r="AA40" i="15" s="1"/>
  <c r="AE290" i="12"/>
  <c r="AE295" i="12"/>
  <c r="AE292" i="12"/>
  <c r="AE297" i="12"/>
  <c r="AE289" i="12"/>
  <c r="AE296" i="12"/>
  <c r="AE144" i="12"/>
  <c r="AD235" i="12"/>
  <c r="AC267" i="12"/>
  <c r="AC34" i="12" s="1"/>
  <c r="AC35" i="12" s="1"/>
  <c r="AC41" i="12" s="1"/>
  <c r="G283" i="12"/>
  <c r="Q304" i="12"/>
  <c r="Q303" i="12"/>
  <c r="W6" i="13"/>
  <c r="V14" i="13"/>
  <c r="Z60" i="13"/>
  <c r="T76" i="13"/>
  <c r="T13" i="13" s="1"/>
  <c r="I140" i="13"/>
  <c r="I24" i="13" s="1"/>
  <c r="O177" i="13"/>
  <c r="AB304" i="15"/>
  <c r="G210" i="15"/>
  <c r="G307" i="15"/>
  <c r="D272" i="12"/>
  <c r="AC4" i="13"/>
  <c r="AD4" i="13" s="1"/>
  <c r="R11" i="13"/>
  <c r="R16" i="13" s="1"/>
  <c r="B75" i="13"/>
  <c r="T140" i="13"/>
  <c r="T24" i="13" s="1"/>
  <c r="C152" i="13"/>
  <c r="C154" i="13"/>
  <c r="C151" i="13"/>
  <c r="C145" i="13"/>
  <c r="C144" i="13"/>
  <c r="W177" i="13"/>
  <c r="AC267" i="13"/>
  <c r="V267" i="13"/>
  <c r="V34" i="13" s="1"/>
  <c r="R292" i="13"/>
  <c r="E303" i="13"/>
  <c r="AA307" i="13"/>
  <c r="AA306" i="13"/>
  <c r="AA210" i="13" s="1"/>
  <c r="J14" i="14"/>
  <c r="J27" i="1" s="1"/>
  <c r="J43" i="1" s="1"/>
  <c r="K6" i="14"/>
  <c r="Q11" i="14"/>
  <c r="Q16" i="14" s="1"/>
  <c r="Q15" i="14" s="1"/>
  <c r="X112" i="14"/>
  <c r="X239" i="14" s="1"/>
  <c r="AC250" i="14"/>
  <c r="AC218" i="14"/>
  <c r="K283" i="14"/>
  <c r="K40" i="14" s="1"/>
  <c r="AA267" i="12"/>
  <c r="AA34" i="12" s="1"/>
  <c r="W304" i="12"/>
  <c r="W306" i="12"/>
  <c r="AF5" i="13"/>
  <c r="AE4" i="13"/>
  <c r="AB7" i="13"/>
  <c r="T11" i="13"/>
  <c r="T16" i="13" s="1"/>
  <c r="C74" i="13"/>
  <c r="C176" i="13"/>
  <c r="C177" i="13" s="1"/>
  <c r="Y176" i="13"/>
  <c r="I267" i="13"/>
  <c r="I34" i="13" s="1"/>
  <c r="I19" i="3" s="1"/>
  <c r="I33" i="3" s="1"/>
  <c r="AC283" i="13"/>
  <c r="S11" i="14"/>
  <c r="S16" i="14" s="1"/>
  <c r="Z207" i="14"/>
  <c r="Z96" i="14"/>
  <c r="Z93" i="14"/>
  <c r="AF80" i="14"/>
  <c r="AF90" i="14"/>
  <c r="AF82" i="14"/>
  <c r="AH82" i="14" s="1"/>
  <c r="AF86" i="14"/>
  <c r="AF102" i="14" s="1"/>
  <c r="AF118" i="14" s="1"/>
  <c r="AF23" i="14"/>
  <c r="AF25" i="14" s="1"/>
  <c r="AF28" i="14" s="1"/>
  <c r="AF26" i="14" s="1"/>
  <c r="AF130" i="14"/>
  <c r="AH130" i="14" s="1"/>
  <c r="X156" i="14"/>
  <c r="AD153" i="14" s="1"/>
  <c r="B144" i="14"/>
  <c r="S156" i="14"/>
  <c r="S27" i="14" s="1"/>
  <c r="S19" i="2" s="1"/>
  <c r="AH177" i="14"/>
  <c r="O176" i="14"/>
  <c r="O177" i="14"/>
  <c r="AD179" i="15"/>
  <c r="D176" i="12"/>
  <c r="Z176" i="12"/>
  <c r="F267" i="12"/>
  <c r="F34" i="12" s="1"/>
  <c r="AB267" i="12"/>
  <c r="AB34" i="12" s="1"/>
  <c r="B304" i="12"/>
  <c r="C303" i="12"/>
  <c r="X304" i="12"/>
  <c r="Y303" i="12"/>
  <c r="E176" i="13"/>
  <c r="D176" i="13"/>
  <c r="Z177" i="13"/>
  <c r="AA176" i="13"/>
  <c r="Z176" i="13"/>
  <c r="J267" i="13"/>
  <c r="J34" i="13" s="1"/>
  <c r="J19" i="3" s="1"/>
  <c r="H303" i="13"/>
  <c r="AD304" i="13"/>
  <c r="AD305" i="13"/>
  <c r="T11" i="14"/>
  <c r="T16" i="14" s="1"/>
  <c r="AG25" i="14"/>
  <c r="AG28" i="14" s="1"/>
  <c r="AG26" i="14" s="1"/>
  <c r="AA96" i="14"/>
  <c r="AA93" i="14"/>
  <c r="X215" i="14"/>
  <c r="X104" i="14"/>
  <c r="X120" i="14" s="1"/>
  <c r="X247" i="14" s="1"/>
  <c r="AG80" i="14"/>
  <c r="AG82" i="14"/>
  <c r="AG130" i="14"/>
  <c r="S304" i="14"/>
  <c r="S288" i="14"/>
  <c r="AD264" i="12"/>
  <c r="E6" i="13"/>
  <c r="Q296" i="13"/>
  <c r="Q293" i="13"/>
  <c r="Q290" i="13"/>
  <c r="Q298" i="13"/>
  <c r="Q287" i="13"/>
  <c r="Q292" i="13"/>
  <c r="Q297" i="13"/>
  <c r="Q294" i="13"/>
  <c r="S60" i="13"/>
  <c r="B67" i="13"/>
  <c r="X140" i="13"/>
  <c r="AE135" i="13"/>
  <c r="X156" i="13"/>
  <c r="K267" i="13"/>
  <c r="AD277" i="13"/>
  <c r="I304" i="13"/>
  <c r="J303" i="13"/>
  <c r="I303" i="13"/>
  <c r="AE304" i="13"/>
  <c r="AE306" i="13"/>
  <c r="AE305" i="13"/>
  <c r="AE7" i="14"/>
  <c r="AB112" i="14"/>
  <c r="AH90" i="14"/>
  <c r="X98" i="14"/>
  <c r="X114" i="14" s="1"/>
  <c r="D156" i="14"/>
  <c r="D27" i="14" s="1"/>
  <c r="D19" i="2" s="1"/>
  <c r="D30" i="2" s="1"/>
  <c r="T304" i="14"/>
  <c r="Z76" i="15"/>
  <c r="AE263" i="12"/>
  <c r="Q283" i="12"/>
  <c r="Q40" i="12" s="1"/>
  <c r="Q11" i="3" s="1"/>
  <c r="W11" i="13"/>
  <c r="W16" i="13" s="1"/>
  <c r="AC25" i="13"/>
  <c r="AC28" i="13" s="1"/>
  <c r="AC26" i="13" s="1"/>
  <c r="R293" i="13"/>
  <c r="R290" i="13"/>
  <c r="R298" i="13"/>
  <c r="R287" i="13"/>
  <c r="R295" i="13"/>
  <c r="R288" i="13"/>
  <c r="T60" i="13"/>
  <c r="T10" i="13" s="1"/>
  <c r="B54" i="13"/>
  <c r="B58" i="13"/>
  <c r="Y140" i="13"/>
  <c r="Y156" i="13"/>
  <c r="L267" i="13"/>
  <c r="AA267" i="13"/>
  <c r="AD261" i="13" s="1"/>
  <c r="J283" i="13"/>
  <c r="J40" i="13" s="1"/>
  <c r="W290" i="13"/>
  <c r="R297" i="13"/>
  <c r="AD35" i="14"/>
  <c r="AD41" i="14" s="1"/>
  <c r="S107" i="14"/>
  <c r="S123" i="14" s="1"/>
  <c r="S250" i="14" s="1"/>
  <c r="S218" i="14"/>
  <c r="Y98" i="14"/>
  <c r="Y114" i="14" s="1"/>
  <c r="E156" i="14"/>
  <c r="E27" i="14" s="1"/>
  <c r="E19" i="2" s="1"/>
  <c r="E30" i="2" s="1"/>
  <c r="AA156" i="14"/>
  <c r="AA27" i="14" s="1"/>
  <c r="Y245" i="14"/>
  <c r="Y213" i="14"/>
  <c r="AB5" i="15"/>
  <c r="AA4" i="15"/>
  <c r="Z14" i="15" s="1"/>
  <c r="AA6" i="15"/>
  <c r="I76" i="15"/>
  <c r="I13" i="15" s="1"/>
  <c r="E76" i="15"/>
  <c r="E13" i="15" s="1"/>
  <c r="G176" i="12"/>
  <c r="AC176" i="12"/>
  <c r="AE255" i="12"/>
  <c r="R283" i="12"/>
  <c r="R40" i="12" s="1"/>
  <c r="AA309" i="12"/>
  <c r="AA310" i="12" s="1"/>
  <c r="AA311" i="12" s="1"/>
  <c r="AA312" i="12" s="1"/>
  <c r="AA313" i="12" s="1"/>
  <c r="C55" i="13"/>
  <c r="U76" i="13"/>
  <c r="U13" i="13" s="1"/>
  <c r="Z140" i="13"/>
  <c r="Z24" i="13" s="1"/>
  <c r="U178" i="13"/>
  <c r="G176" i="13"/>
  <c r="AC176" i="13"/>
  <c r="M267" i="13"/>
  <c r="K283" i="13"/>
  <c r="Q288" i="13"/>
  <c r="AE35" i="14"/>
  <c r="AE41" i="14" s="1"/>
  <c r="AE40" i="14" s="1"/>
  <c r="AE283" i="14" s="1"/>
  <c r="AD96" i="14"/>
  <c r="AD207" i="14"/>
  <c r="T218" i="14"/>
  <c r="T107" i="14"/>
  <c r="T123" i="14" s="1"/>
  <c r="T250" i="14" s="1"/>
  <c r="F156" i="14"/>
  <c r="F27" i="14" s="1"/>
  <c r="F19" i="2" s="1"/>
  <c r="F30" i="2" s="1"/>
  <c r="S176" i="14"/>
  <c r="S177" i="14"/>
  <c r="Y207" i="14"/>
  <c r="F303" i="14"/>
  <c r="F304" i="14"/>
  <c r="AB303" i="14"/>
  <c r="AB304" i="14"/>
  <c r="O76" i="15"/>
  <c r="O13" i="15" s="1"/>
  <c r="Y76" i="15"/>
  <c r="V76" i="13"/>
  <c r="V13" i="13" s="1"/>
  <c r="AE72" i="13"/>
  <c r="B74" i="13"/>
  <c r="B71" i="13"/>
  <c r="B68" i="13"/>
  <c r="B73" i="13"/>
  <c r="V140" i="13"/>
  <c r="V24" i="13" s="1"/>
  <c r="H176" i="13"/>
  <c r="AE176" i="13"/>
  <c r="AD176" i="13"/>
  <c r="N267" i="13"/>
  <c r="S101" i="14"/>
  <c r="R85" i="14"/>
  <c r="R212" i="14" s="1"/>
  <c r="U218" i="14"/>
  <c r="U107" i="14"/>
  <c r="U123" i="14" s="1"/>
  <c r="U250" i="14" s="1"/>
  <c r="X60" i="14"/>
  <c r="V218" i="14"/>
  <c r="V107" i="14"/>
  <c r="V123" i="14" s="1"/>
  <c r="V250" i="14" s="1"/>
  <c r="H283" i="14"/>
  <c r="H40" i="14" s="1"/>
  <c r="H25" i="3" s="1"/>
  <c r="U283" i="12"/>
  <c r="U40" i="12" s="1"/>
  <c r="W305" i="12"/>
  <c r="V298" i="13"/>
  <c r="V287" i="13"/>
  <c r="V295" i="13"/>
  <c r="V292" i="13"/>
  <c r="V289" i="13"/>
  <c r="V288" i="13"/>
  <c r="V293" i="13"/>
  <c r="V294" i="13"/>
  <c r="X60" i="13"/>
  <c r="AD57" i="13"/>
  <c r="D70" i="13"/>
  <c r="C70" i="13"/>
  <c r="AC156" i="13"/>
  <c r="E147" i="13"/>
  <c r="H177" i="13"/>
  <c r="AE264" i="13"/>
  <c r="Y60" i="14"/>
  <c r="W218" i="14"/>
  <c r="W107" i="14"/>
  <c r="W123" i="14" s="1"/>
  <c r="W250" i="14" s="1"/>
  <c r="V267" i="14"/>
  <c r="V34" i="14" s="1"/>
  <c r="X27" i="15"/>
  <c r="V283" i="12"/>
  <c r="V40" i="12" s="1"/>
  <c r="X305" i="12"/>
  <c r="K6" i="13"/>
  <c r="W298" i="13"/>
  <c r="W287" i="13"/>
  <c r="W295" i="13"/>
  <c r="W292" i="13"/>
  <c r="W289" i="13"/>
  <c r="W294" i="13"/>
  <c r="W288" i="13"/>
  <c r="W293" i="13"/>
  <c r="Y60" i="13"/>
  <c r="AE48" i="13" s="1"/>
  <c r="B51" i="13"/>
  <c r="Y76" i="13"/>
  <c r="E71" i="13"/>
  <c r="F147" i="13"/>
  <c r="I177" i="13"/>
  <c r="Z178" i="13"/>
  <c r="Q291" i="13"/>
  <c r="AD207" i="13"/>
  <c r="AD18" i="14"/>
  <c r="AA76" i="14"/>
  <c r="AB93" i="14"/>
  <c r="AB98" i="14"/>
  <c r="X218" i="14"/>
  <c r="X107" i="14"/>
  <c r="X123" i="14" s="1"/>
  <c r="X250" i="14" s="1"/>
  <c r="R90" i="14"/>
  <c r="Y140" i="14"/>
  <c r="C305" i="14"/>
  <c r="P267" i="13"/>
  <c r="P34" i="13" s="1"/>
  <c r="O289" i="13"/>
  <c r="AA291" i="13"/>
  <c r="F304" i="13"/>
  <c r="AB304" i="13"/>
  <c r="L11" i="14"/>
  <c r="L16" i="14" s="1"/>
  <c r="L15" i="14" s="1"/>
  <c r="K60" i="14"/>
  <c r="AF51" i="14"/>
  <c r="D76" i="14"/>
  <c r="D13" i="14" s="1"/>
  <c r="D26" i="1" s="1"/>
  <c r="Z214" i="14"/>
  <c r="AC209" i="14"/>
  <c r="AD215" i="14"/>
  <c r="S267" i="14"/>
  <c r="S34" i="14" s="1"/>
  <c r="S19" i="3" s="1"/>
  <c r="S33" i="3" s="1"/>
  <c r="G303" i="14"/>
  <c r="AC303" i="14"/>
  <c r="AC304" i="14" s="1"/>
  <c r="AD287" i="14"/>
  <c r="F305" i="12"/>
  <c r="AB305" i="12"/>
  <c r="B14" i="13"/>
  <c r="X14" i="13"/>
  <c r="E292" i="13"/>
  <c r="E289" i="13"/>
  <c r="E297" i="13"/>
  <c r="E294" i="13"/>
  <c r="E288" i="13"/>
  <c r="AA292" i="13"/>
  <c r="AA289" i="13"/>
  <c r="AA297" i="13"/>
  <c r="AA294" i="13"/>
  <c r="AA288" i="13"/>
  <c r="AB178" i="13"/>
  <c r="E287" i="13"/>
  <c r="AA295" i="13"/>
  <c r="M305" i="13"/>
  <c r="G304" i="13"/>
  <c r="AC304" i="13"/>
  <c r="AG5" i="14"/>
  <c r="AH5" i="14" s="1"/>
  <c r="L60" i="14"/>
  <c r="L10" i="14" s="1"/>
  <c r="E76" i="14"/>
  <c r="E13" i="14" s="1"/>
  <c r="E26" i="1" s="1"/>
  <c r="T90" i="14"/>
  <c r="T82" i="14"/>
  <c r="T87" i="14"/>
  <c r="T84" i="14"/>
  <c r="T81" i="14"/>
  <c r="T86" i="14"/>
  <c r="W93" i="14"/>
  <c r="AD241" i="14"/>
  <c r="H297" i="13"/>
  <c r="H294" i="13"/>
  <c r="H291" i="13"/>
  <c r="H288" i="13"/>
  <c r="AD297" i="13"/>
  <c r="AD294" i="13"/>
  <c r="AD291" i="13"/>
  <c r="AD288" i="13"/>
  <c r="C57" i="13"/>
  <c r="E73" i="13"/>
  <c r="D155" i="13"/>
  <c r="M178" i="13"/>
  <c r="L283" i="13"/>
  <c r="H287" i="13"/>
  <c r="K293" i="13"/>
  <c r="AD295" i="13"/>
  <c r="J297" i="13"/>
  <c r="K298" i="13"/>
  <c r="O60" i="14"/>
  <c r="O10" i="14" s="1"/>
  <c r="H76" i="14"/>
  <c r="H13" i="14" s="1"/>
  <c r="H26" i="1" s="1"/>
  <c r="U212" i="14"/>
  <c r="U101" i="14"/>
  <c r="U117" i="14" s="1"/>
  <c r="U244" i="14" s="1"/>
  <c r="Z217" i="14"/>
  <c r="Z106" i="14"/>
  <c r="Z122" i="14" s="1"/>
  <c r="Z249" i="14" s="1"/>
  <c r="AF148" i="14"/>
  <c r="T176" i="14"/>
  <c r="T177" i="14" s="1"/>
  <c r="T178" i="14" s="1"/>
  <c r="Z213" i="14"/>
  <c r="Z245" i="14"/>
  <c r="S249" i="14"/>
  <c r="S217" i="14"/>
  <c r="Q267" i="14"/>
  <c r="Q34" i="14" s="1"/>
  <c r="Q19" i="3" s="1"/>
  <c r="L267" i="14"/>
  <c r="L34" i="14" s="1"/>
  <c r="I297" i="13"/>
  <c r="I294" i="13"/>
  <c r="I291" i="13"/>
  <c r="I288" i="13"/>
  <c r="I293" i="13"/>
  <c r="AE297" i="13"/>
  <c r="AE294" i="13"/>
  <c r="AE291" i="13"/>
  <c r="AE288" i="13"/>
  <c r="AE293" i="13"/>
  <c r="D57" i="13"/>
  <c r="F73" i="13"/>
  <c r="E149" i="13"/>
  <c r="M283" i="13"/>
  <c r="I287" i="13"/>
  <c r="AD290" i="13"/>
  <c r="AE295" i="13"/>
  <c r="K297" i="13"/>
  <c r="I76" i="14"/>
  <c r="I13" i="14" s="1"/>
  <c r="R83" i="14"/>
  <c r="V212" i="14"/>
  <c r="V101" i="14"/>
  <c r="V117" i="14" s="1"/>
  <c r="V244" i="14" s="1"/>
  <c r="X214" i="14"/>
  <c r="X103" i="14"/>
  <c r="X119" i="14" s="1"/>
  <c r="X246" i="14" s="1"/>
  <c r="Y103" i="14"/>
  <c r="Y119" i="14" s="1"/>
  <c r="Y246" i="14" s="1"/>
  <c r="Z156" i="14"/>
  <c r="AA207" i="14"/>
  <c r="AA245" i="14"/>
  <c r="AB248" i="14"/>
  <c r="AB216" i="14"/>
  <c r="AE233" i="14"/>
  <c r="AE231" i="14"/>
  <c r="AE229" i="14"/>
  <c r="AE227" i="14"/>
  <c r="AE225" i="14"/>
  <c r="AE223" i="14"/>
  <c r="AE226" i="14"/>
  <c r="AE251" i="14"/>
  <c r="AE228" i="14"/>
  <c r="AE230" i="14"/>
  <c r="AG235" i="14"/>
  <c r="AE33" i="14"/>
  <c r="AH235" i="14"/>
  <c r="AF235" i="14"/>
  <c r="AE232" i="14"/>
  <c r="J294" i="13"/>
  <c r="J291" i="13"/>
  <c r="J288" i="13"/>
  <c r="J296" i="13"/>
  <c r="F152" i="13"/>
  <c r="K177" i="13"/>
  <c r="N283" i="13"/>
  <c r="C275" i="13" s="1"/>
  <c r="J287" i="13"/>
  <c r="AD289" i="13"/>
  <c r="AE290" i="13"/>
  <c r="N298" i="13"/>
  <c r="L304" i="13"/>
  <c r="Q60" i="14"/>
  <c r="Q10" i="14" s="1"/>
  <c r="J76" i="14"/>
  <c r="J13" i="14" s="1"/>
  <c r="AB217" i="14"/>
  <c r="AB106" i="14"/>
  <c r="AB122" i="14" s="1"/>
  <c r="AB249" i="14" s="1"/>
  <c r="AD136" i="14"/>
  <c r="O156" i="14"/>
  <c r="O27" i="14" s="1"/>
  <c r="O19" i="2" s="1"/>
  <c r="AE152" i="14"/>
  <c r="AB219" i="14"/>
  <c r="AC248" i="14"/>
  <c r="AC216" i="14"/>
  <c r="Y267" i="14"/>
  <c r="R289" i="15"/>
  <c r="R297" i="15"/>
  <c r="R294" i="15"/>
  <c r="R291" i="15"/>
  <c r="R296" i="15"/>
  <c r="R290" i="15"/>
  <c r="R298" i="15"/>
  <c r="R293" i="15"/>
  <c r="R287" i="15"/>
  <c r="R207" i="15" s="1"/>
  <c r="R288" i="15"/>
  <c r="R292" i="15"/>
  <c r="R295" i="15"/>
  <c r="Z140" i="15"/>
  <c r="AD138" i="15" s="1"/>
  <c r="B147" i="15"/>
  <c r="F176" i="15"/>
  <c r="E176" i="15"/>
  <c r="F177" i="15"/>
  <c r="F178" i="15" s="1"/>
  <c r="E177" i="15"/>
  <c r="AA179" i="15"/>
  <c r="AB176" i="15"/>
  <c r="AA176" i="15"/>
  <c r="AB177" i="15"/>
  <c r="AA178" i="15"/>
  <c r="AA177" i="15"/>
  <c r="H210" i="15"/>
  <c r="H307" i="15"/>
  <c r="K294" i="13"/>
  <c r="K291" i="13"/>
  <c r="K288" i="13"/>
  <c r="K296" i="13"/>
  <c r="K290" i="13"/>
  <c r="L180" i="13"/>
  <c r="O283" i="13"/>
  <c r="K287" i="13"/>
  <c r="AE289" i="13"/>
  <c r="O298" i="13"/>
  <c r="M304" i="13"/>
  <c r="N303" i="13"/>
  <c r="M60" i="14"/>
  <c r="B281" i="14" s="1"/>
  <c r="AF48" i="14"/>
  <c r="K76" i="14"/>
  <c r="X212" i="14"/>
  <c r="X101" i="14"/>
  <c r="X117" i="14" s="1"/>
  <c r="X244" i="14" s="1"/>
  <c r="AB215" i="14"/>
  <c r="AB104" i="14"/>
  <c r="AB120" i="14" s="1"/>
  <c r="AB247" i="14" s="1"/>
  <c r="AA103" i="14"/>
  <c r="AA119" i="14" s="1"/>
  <c r="AA246" i="14" s="1"/>
  <c r="AC239" i="14"/>
  <c r="U243" i="14"/>
  <c r="U211" i="14"/>
  <c r="AC245" i="14"/>
  <c r="Z267" i="14"/>
  <c r="AF257" i="14" s="1"/>
  <c r="I283" i="14"/>
  <c r="I40" i="14" s="1"/>
  <c r="P283" i="13"/>
  <c r="F274" i="13" s="1"/>
  <c r="AA25" i="14"/>
  <c r="AA28" i="14" s="1"/>
  <c r="AA26" i="14" s="1"/>
  <c r="AE129" i="14"/>
  <c r="AE137" i="14"/>
  <c r="AE135" i="14"/>
  <c r="AE133" i="14"/>
  <c r="AH133" i="14" s="1"/>
  <c r="AE131" i="14"/>
  <c r="AE134" i="14"/>
  <c r="AE136" i="14"/>
  <c r="AH136" i="14" s="1"/>
  <c r="N60" i="14"/>
  <c r="N10" i="14" s="1"/>
  <c r="L76" i="14"/>
  <c r="L13" i="14" s="1"/>
  <c r="AD74" i="14"/>
  <c r="AF74" i="14" s="1"/>
  <c r="AD70" i="14"/>
  <c r="U210" i="14"/>
  <c r="U99" i="14"/>
  <c r="U115" i="14" s="1"/>
  <c r="U242" i="14" s="1"/>
  <c r="Y212" i="14"/>
  <c r="Y101" i="14"/>
  <c r="Y117" i="14" s="1"/>
  <c r="Y244" i="14" s="1"/>
  <c r="AA208" i="14"/>
  <c r="AA97" i="14"/>
  <c r="U140" i="14"/>
  <c r="U24" i="14" s="1"/>
  <c r="AF136" i="14"/>
  <c r="Q156" i="14"/>
  <c r="Q27" i="14" s="1"/>
  <c r="L177" i="14"/>
  <c r="W249" i="14"/>
  <c r="W217" i="14"/>
  <c r="AA267" i="14"/>
  <c r="AA34" i="14" s="1"/>
  <c r="AA35" i="14" s="1"/>
  <c r="AA41" i="14" s="1"/>
  <c r="U283" i="14"/>
  <c r="U40" i="14" s="1"/>
  <c r="U25" i="3" s="1"/>
  <c r="J283" i="14"/>
  <c r="J40" i="14" s="1"/>
  <c r="V304" i="12"/>
  <c r="AB306" i="12"/>
  <c r="AB307" i="12" s="1"/>
  <c r="AB308" i="12" s="1"/>
  <c r="AB309" i="12" s="1"/>
  <c r="AB310" i="12" s="1"/>
  <c r="AB311" i="12" s="1"/>
  <c r="AB312" i="12" s="1"/>
  <c r="AB313" i="12" s="1"/>
  <c r="D309" i="12"/>
  <c r="M291" i="13"/>
  <c r="M288" i="13"/>
  <c r="M296" i="13"/>
  <c r="M293" i="13"/>
  <c r="M298" i="13"/>
  <c r="M287" i="13"/>
  <c r="M207" i="13" s="1"/>
  <c r="C49" i="13"/>
  <c r="D52" i="13"/>
  <c r="B55" i="13"/>
  <c r="E65" i="13"/>
  <c r="D71" i="13"/>
  <c r="F176" i="13"/>
  <c r="L179" i="13"/>
  <c r="N177" i="13"/>
  <c r="Q283" i="13"/>
  <c r="Q40" i="13" s="1"/>
  <c r="Q25" i="3" s="1"/>
  <c r="Q39" i="3" s="1"/>
  <c r="N287" i="13"/>
  <c r="E291" i="13"/>
  <c r="E296" i="13"/>
  <c r="O297" i="13"/>
  <c r="L6" i="14"/>
  <c r="AF7" i="14"/>
  <c r="AF9" i="14" s="1"/>
  <c r="AF11" i="14" s="1"/>
  <c r="AF16" i="14" s="1"/>
  <c r="AB25" i="14"/>
  <c r="AB28" i="14" s="1"/>
  <c r="AB26" i="14" s="1"/>
  <c r="M76" i="14"/>
  <c r="M13" i="14" s="1"/>
  <c r="V99" i="14"/>
  <c r="V115" i="14" s="1"/>
  <c r="V242" i="14" s="1"/>
  <c r="V210" i="14"/>
  <c r="AC103" i="14"/>
  <c r="AC119" i="14" s="1"/>
  <c r="AC246" i="14" s="1"/>
  <c r="V140" i="14"/>
  <c r="V24" i="14" s="1"/>
  <c r="AE130" i="14"/>
  <c r="R156" i="14"/>
  <c r="R27" i="14" s="1"/>
  <c r="R19" i="2" s="1"/>
  <c r="I179" i="15"/>
  <c r="AE180" i="15"/>
  <c r="N288" i="13"/>
  <c r="N296" i="13"/>
  <c r="N293" i="13"/>
  <c r="N290" i="13"/>
  <c r="D49" i="13"/>
  <c r="M179" i="13"/>
  <c r="AD281" i="13"/>
  <c r="AD278" i="13"/>
  <c r="O287" i="13"/>
  <c r="N291" i="13"/>
  <c r="E295" i="13"/>
  <c r="AC25" i="14"/>
  <c r="AC28" i="14" s="1"/>
  <c r="AC26" i="14" s="1"/>
  <c r="P60" i="14"/>
  <c r="P10" i="14" s="1"/>
  <c r="AE52" i="14"/>
  <c r="AG52" i="14" s="1"/>
  <c r="N76" i="14"/>
  <c r="N13" i="14" s="1"/>
  <c r="AF67" i="14"/>
  <c r="T80" i="14"/>
  <c r="T207" i="14" s="1"/>
  <c r="AA212" i="14"/>
  <c r="AA101" i="14"/>
  <c r="AA117" i="14" s="1"/>
  <c r="AA244" i="14" s="1"/>
  <c r="T99" i="14"/>
  <c r="T115" i="14" s="1"/>
  <c r="T242" i="14" s="1"/>
  <c r="P140" i="14"/>
  <c r="P24" i="14" s="1"/>
  <c r="X211" i="14"/>
  <c r="X243" i="14"/>
  <c r="W283" i="14"/>
  <c r="W40" i="14" s="1"/>
  <c r="W25" i="3" s="1"/>
  <c r="O80" i="15"/>
  <c r="O288" i="13"/>
  <c r="O296" i="13"/>
  <c r="O293" i="13"/>
  <c r="O290" i="13"/>
  <c r="O295" i="13"/>
  <c r="AE259" i="13"/>
  <c r="C263" i="13"/>
  <c r="C257" i="13"/>
  <c r="E290" i="13"/>
  <c r="O291" i="13"/>
  <c r="H296" i="13"/>
  <c r="AA298" i="13"/>
  <c r="AF52" i="14"/>
  <c r="O76" i="14"/>
  <c r="O13" i="14" s="1"/>
  <c r="U93" i="14"/>
  <c r="U208" i="14"/>
  <c r="U288" i="14" s="1"/>
  <c r="U97" i="14"/>
  <c r="AD89" i="14"/>
  <c r="AD216" i="14" s="1"/>
  <c r="AD87" i="14"/>
  <c r="AD85" i="14"/>
  <c r="AD83" i="14"/>
  <c r="AD81" i="14"/>
  <c r="AD86" i="14"/>
  <c r="AD33" i="14"/>
  <c r="AD18" i="3" s="1"/>
  <c r="AD88" i="14"/>
  <c r="X140" i="14"/>
  <c r="Q140" i="14"/>
  <c r="Q24" i="14" s="1"/>
  <c r="P176" i="14"/>
  <c r="AA213" i="14"/>
  <c r="Y211" i="14"/>
  <c r="Y243" i="14"/>
  <c r="S247" i="14"/>
  <c r="AC283" i="14"/>
  <c r="AC40" i="14" s="1"/>
  <c r="AC25" i="3" s="1"/>
  <c r="R304" i="14"/>
  <c r="R76" i="15"/>
  <c r="R13" i="15" s="1"/>
  <c r="V156" i="15"/>
  <c r="V27" i="15" s="1"/>
  <c r="B152" i="15"/>
  <c r="K177" i="15"/>
  <c r="W99" i="14"/>
  <c r="W115" i="14" s="1"/>
  <c r="W242" i="14" s="1"/>
  <c r="W210" i="14"/>
  <c r="Y156" i="14"/>
  <c r="Q176" i="14"/>
  <c r="AB240" i="14"/>
  <c r="V243" i="14"/>
  <c r="V211" i="14"/>
  <c r="AD213" i="14"/>
  <c r="U249" i="14"/>
  <c r="U217" i="14"/>
  <c r="AB267" i="14"/>
  <c r="AB34" i="14" s="1"/>
  <c r="AB35" i="14" s="1"/>
  <c r="AB41" i="14" s="1"/>
  <c r="V76" i="15"/>
  <c r="V13" i="15" s="1"/>
  <c r="G76" i="15"/>
  <c r="G13" i="15" s="1"/>
  <c r="K303" i="13"/>
  <c r="K207" i="13" s="1"/>
  <c r="AF304" i="14"/>
  <c r="AF305" i="14"/>
  <c r="S105" i="14"/>
  <c r="S121" i="14" s="1"/>
  <c r="S248" i="14" s="1"/>
  <c r="S216" i="14"/>
  <c r="AC99" i="14"/>
  <c r="AC115" i="14" s="1"/>
  <c r="AC242" i="14" s="1"/>
  <c r="AG177" i="14"/>
  <c r="R176" i="14"/>
  <c r="Z208" i="14"/>
  <c r="AC240" i="14"/>
  <c r="W243" i="14"/>
  <c r="W211" i="14"/>
  <c r="AC267" i="14"/>
  <c r="AC34" i="14" s="1"/>
  <c r="X283" i="14"/>
  <c r="AD281" i="14"/>
  <c r="AD278" i="14"/>
  <c r="E303" i="14"/>
  <c r="AA303" i="14"/>
  <c r="AA304" i="14"/>
  <c r="Z304" i="15"/>
  <c r="W76" i="15"/>
  <c r="W13" i="15" s="1"/>
  <c r="H76" i="15"/>
  <c r="H13" i="15" s="1"/>
  <c r="R84" i="14"/>
  <c r="V216" i="14"/>
  <c r="V105" i="14"/>
  <c r="V121" i="14" s="1"/>
  <c r="V248" i="14" s="1"/>
  <c r="Z107" i="14"/>
  <c r="Z123" i="14" s="1"/>
  <c r="Z250" i="14" s="1"/>
  <c r="AG100" i="14"/>
  <c r="AG116" i="14" s="1"/>
  <c r="AG98" i="14"/>
  <c r="AG114" i="14" s="1"/>
  <c r="AG96" i="14"/>
  <c r="T156" i="14"/>
  <c r="T27" i="14" s="1"/>
  <c r="T19" i="2" s="1"/>
  <c r="U176" i="14"/>
  <c r="U241" i="14"/>
  <c r="Z243" i="14"/>
  <c r="S212" i="14"/>
  <c r="Y217" i="14"/>
  <c r="AJ264" i="14"/>
  <c r="M283" i="14"/>
  <c r="M40" i="14" s="1"/>
  <c r="H303" i="14"/>
  <c r="AD303" i="14"/>
  <c r="AC305" i="15"/>
  <c r="AC209" i="15" s="1"/>
  <c r="AC304" i="15"/>
  <c r="AC208" i="15" s="1"/>
  <c r="S294" i="15"/>
  <c r="S291" i="15"/>
  <c r="S293" i="15"/>
  <c r="S290" i="15"/>
  <c r="S289" i="15"/>
  <c r="S297" i="15"/>
  <c r="S298" i="15"/>
  <c r="S295" i="15"/>
  <c r="S287" i="15"/>
  <c r="S296" i="15"/>
  <c r="S292" i="15"/>
  <c r="S288" i="15"/>
  <c r="K76" i="15"/>
  <c r="M156" i="16"/>
  <c r="M27" i="16" s="1"/>
  <c r="V177" i="16"/>
  <c r="O303" i="13"/>
  <c r="X81" i="14"/>
  <c r="W105" i="14"/>
  <c r="W121" i="14" s="1"/>
  <c r="W248" i="14" s="1"/>
  <c r="W216" i="14"/>
  <c r="AF106" i="14"/>
  <c r="AF122" i="14" s="1"/>
  <c r="AF96" i="14"/>
  <c r="L140" i="14"/>
  <c r="L24" i="14" s="1"/>
  <c r="W160" i="14"/>
  <c r="V176" i="14"/>
  <c r="V241" i="14"/>
  <c r="AA243" i="14"/>
  <c r="AB246" i="14"/>
  <c r="N283" i="14"/>
  <c r="N40" i="14" s="1"/>
  <c r="J304" i="14"/>
  <c r="I303" i="14"/>
  <c r="AE304" i="14"/>
  <c r="AF303" i="14"/>
  <c r="AE303" i="14"/>
  <c r="AE305" i="14"/>
  <c r="T297" i="15"/>
  <c r="T294" i="15"/>
  <c r="T291" i="15"/>
  <c r="T288" i="15"/>
  <c r="T293" i="15"/>
  <c r="T290" i="15"/>
  <c r="T289" i="15"/>
  <c r="T298" i="15"/>
  <c r="T295" i="15"/>
  <c r="T296" i="15"/>
  <c r="T287" i="15"/>
  <c r="B154" i="15"/>
  <c r="Y288" i="14"/>
  <c r="R87" i="14"/>
  <c r="Q87" i="14" s="1"/>
  <c r="AH124" i="14"/>
  <c r="AD137" i="14"/>
  <c r="AD135" i="14"/>
  <c r="V156" i="14"/>
  <c r="B153" i="14" s="1"/>
  <c r="AF145" i="14"/>
  <c r="F177" i="14"/>
  <c r="W176" i="14"/>
  <c r="U213" i="14"/>
  <c r="S239" i="14"/>
  <c r="W241" i="14"/>
  <c r="AB243" i="14"/>
  <c r="AA217" i="14"/>
  <c r="O283" i="14"/>
  <c r="O40" i="14" s="1"/>
  <c r="AE305" i="15"/>
  <c r="AE304" i="15"/>
  <c r="AC35" i="15"/>
  <c r="AC41" i="15" s="1"/>
  <c r="AC40" i="15" s="1"/>
  <c r="U291" i="15"/>
  <c r="U288" i="15"/>
  <c r="U290" i="15"/>
  <c r="U289" i="15"/>
  <c r="U298" i="15"/>
  <c r="U297" i="15"/>
  <c r="U292" i="15"/>
  <c r="U296" i="15"/>
  <c r="U293" i="15"/>
  <c r="U287" i="15"/>
  <c r="U295" i="15"/>
  <c r="U294" i="15"/>
  <c r="F76" i="15"/>
  <c r="F13" i="15" s="1"/>
  <c r="AB76" i="15"/>
  <c r="W207" i="15"/>
  <c r="W304" i="15"/>
  <c r="L295" i="16"/>
  <c r="L294" i="16"/>
  <c r="L288" i="16"/>
  <c r="L296" i="16"/>
  <c r="L297" i="16"/>
  <c r="L293" i="16"/>
  <c r="L298" i="16"/>
  <c r="L291" i="16"/>
  <c r="L289" i="16"/>
  <c r="L292" i="16"/>
  <c r="L287" i="16"/>
  <c r="L207" i="16" s="1"/>
  <c r="L290" i="16"/>
  <c r="F265" i="13"/>
  <c r="Q303" i="13"/>
  <c r="N140" i="14"/>
  <c r="N24" i="14" s="1"/>
  <c r="N16" i="2" s="1"/>
  <c r="N27" i="2" s="1"/>
  <c r="W156" i="14"/>
  <c r="W27" i="14" s="1"/>
  <c r="W19" i="2" s="1"/>
  <c r="W30" i="2" s="1"/>
  <c r="G177" i="14"/>
  <c r="B176" i="14"/>
  <c r="Y160" i="14"/>
  <c r="X176" i="14"/>
  <c r="X241" i="14"/>
  <c r="AC243" i="14"/>
  <c r="P283" i="14"/>
  <c r="P40" i="14" s="1"/>
  <c r="K304" i="14"/>
  <c r="AG304" i="14"/>
  <c r="AG303" i="14"/>
  <c r="V294" i="15"/>
  <c r="V291" i="15"/>
  <c r="V288" i="15"/>
  <c r="V296" i="15"/>
  <c r="V290" i="15"/>
  <c r="V289" i="15"/>
  <c r="V298" i="15"/>
  <c r="V297" i="15"/>
  <c r="V292" i="15"/>
  <c r="V293" i="15"/>
  <c r="V287" i="15"/>
  <c r="V295" i="15"/>
  <c r="D140" i="15"/>
  <c r="D24" i="15" s="1"/>
  <c r="X207" i="15"/>
  <c r="Y177" i="16"/>
  <c r="R303" i="13"/>
  <c r="P306" i="13"/>
  <c r="S93" i="14"/>
  <c r="O140" i="14"/>
  <c r="O24" i="14" s="1"/>
  <c r="AF129" i="14"/>
  <c r="AF137" i="14"/>
  <c r="AF135" i="14"/>
  <c r="AF133" i="14"/>
  <c r="AF131" i="14"/>
  <c r="AF128" i="14"/>
  <c r="Q177" i="14"/>
  <c r="C176" i="14"/>
  <c r="D177" i="14"/>
  <c r="Y176" i="14"/>
  <c r="Z177" i="14"/>
  <c r="AC207" i="14"/>
  <c r="U239" i="14"/>
  <c r="U207" i="14"/>
  <c r="Y241" i="14"/>
  <c r="AC217" i="14"/>
  <c r="N267" i="14"/>
  <c r="N34" i="14" s="1"/>
  <c r="Q283" i="14"/>
  <c r="Q40" i="14" s="1"/>
  <c r="N303" i="14"/>
  <c r="U305" i="14"/>
  <c r="U289" i="14"/>
  <c r="L304" i="14"/>
  <c r="AH304" i="14"/>
  <c r="AH305" i="14" s="1"/>
  <c r="AH303" i="14"/>
  <c r="W288" i="15"/>
  <c r="W296" i="15"/>
  <c r="W298" i="15"/>
  <c r="W287" i="15"/>
  <c r="W297" i="15"/>
  <c r="W290" i="15"/>
  <c r="W291" i="15"/>
  <c r="W293" i="15"/>
  <c r="W292" i="15"/>
  <c r="W294" i="15"/>
  <c r="W295" i="15"/>
  <c r="W289" i="15"/>
  <c r="F296" i="15"/>
  <c r="F293" i="15"/>
  <c r="F290" i="15"/>
  <c r="F298" i="15"/>
  <c r="F287" i="15"/>
  <c r="F207" i="15" s="1"/>
  <c r="F292" i="15"/>
  <c r="F294" i="15"/>
  <c r="F295" i="15"/>
  <c r="F297" i="15"/>
  <c r="F288" i="15"/>
  <c r="F208" i="15" s="1"/>
  <c r="F289" i="15"/>
  <c r="F209" i="15" s="1"/>
  <c r="F291" i="15"/>
  <c r="F211" i="15" s="1"/>
  <c r="Y207" i="15"/>
  <c r="U214" i="14"/>
  <c r="U103" i="14"/>
  <c r="U119" i="14" s="1"/>
  <c r="U246" i="14" s="1"/>
  <c r="Y97" i="14"/>
  <c r="Y113" i="14" s="1"/>
  <c r="Y240" i="14" s="1"/>
  <c r="AD134" i="14"/>
  <c r="AG134" i="14" s="1"/>
  <c r="AG137" i="14"/>
  <c r="AG135" i="14"/>
  <c r="AG133" i="14"/>
  <c r="AG131" i="14"/>
  <c r="I177" i="14"/>
  <c r="X213" i="14"/>
  <c r="V207" i="14"/>
  <c r="Z241" i="14"/>
  <c r="S210" i="14"/>
  <c r="O267" i="14"/>
  <c r="O34" i="14" s="1"/>
  <c r="B291" i="15"/>
  <c r="B288" i="15"/>
  <c r="B296" i="15"/>
  <c r="B293" i="15"/>
  <c r="B298" i="15"/>
  <c r="B287" i="15"/>
  <c r="B295" i="15"/>
  <c r="B294" i="15"/>
  <c r="B292" i="15"/>
  <c r="B290" i="15"/>
  <c r="B297" i="15"/>
  <c r="B289" i="15"/>
  <c r="X291" i="15"/>
  <c r="X288" i="15"/>
  <c r="X296" i="15"/>
  <c r="X293" i="15"/>
  <c r="X298" i="15"/>
  <c r="X287" i="15"/>
  <c r="X297" i="15"/>
  <c r="X290" i="15"/>
  <c r="X292" i="15"/>
  <c r="X294" i="15"/>
  <c r="X289" i="15"/>
  <c r="X295" i="15"/>
  <c r="H60" i="15"/>
  <c r="H10" i="15" s="1"/>
  <c r="H11" i="15" s="1"/>
  <c r="H16" i="15" s="1"/>
  <c r="X60" i="15"/>
  <c r="X10" i="15" s="1"/>
  <c r="X11" i="15" s="1"/>
  <c r="X16" i="15" s="1"/>
  <c r="F257" i="13"/>
  <c r="V214" i="14"/>
  <c r="V103" i="14"/>
  <c r="V119" i="14" s="1"/>
  <c r="V246" i="14" s="1"/>
  <c r="W239" i="14"/>
  <c r="W207" i="14"/>
  <c r="AA241" i="14"/>
  <c r="AA209" i="14"/>
  <c r="P267" i="14"/>
  <c r="P34" i="14" s="1"/>
  <c r="N304" i="14"/>
  <c r="C296" i="15"/>
  <c r="C293" i="15"/>
  <c r="C295" i="15"/>
  <c r="C294" i="15"/>
  <c r="C287" i="15"/>
  <c r="C297" i="15"/>
  <c r="C289" i="15"/>
  <c r="C291" i="15"/>
  <c r="C288" i="15"/>
  <c r="C290" i="15"/>
  <c r="C298" i="15"/>
  <c r="Y296" i="15"/>
  <c r="Y293" i="15"/>
  <c r="Y295" i="15"/>
  <c r="Y298" i="15"/>
  <c r="Y292" i="15"/>
  <c r="Y291" i="15"/>
  <c r="Y289" i="15"/>
  <c r="Y287" i="15"/>
  <c r="Y294" i="15"/>
  <c r="Y290" i="15"/>
  <c r="Y297" i="15"/>
  <c r="Y288" i="15"/>
  <c r="I60" i="15"/>
  <c r="I10" i="15" s="1"/>
  <c r="I11" i="15" s="1"/>
  <c r="I16" i="15" s="1"/>
  <c r="H140" i="15"/>
  <c r="H24" i="15" s="1"/>
  <c r="AD69" i="16"/>
  <c r="S76" i="14"/>
  <c r="S13" i="14" s="1"/>
  <c r="S26" i="1" s="1"/>
  <c r="R140" i="14"/>
  <c r="R24" i="14" s="1"/>
  <c r="K177" i="14"/>
  <c r="X207" i="14"/>
  <c r="D288" i="15"/>
  <c r="D296" i="15"/>
  <c r="D293" i="15"/>
  <c r="D290" i="15"/>
  <c r="D295" i="15"/>
  <c r="D294" i="15"/>
  <c r="D287" i="15"/>
  <c r="D289" i="15"/>
  <c r="D291" i="15"/>
  <c r="D298" i="15"/>
  <c r="D297" i="15"/>
  <c r="Z288" i="15"/>
  <c r="Z296" i="15"/>
  <c r="Z293" i="15"/>
  <c r="Z290" i="15"/>
  <c r="Z295" i="15"/>
  <c r="Z298" i="15"/>
  <c r="Z292" i="15"/>
  <c r="Z291" i="15"/>
  <c r="Z289" i="15"/>
  <c r="Z287" i="15"/>
  <c r="Z294" i="15"/>
  <c r="Z297" i="15"/>
  <c r="Q60" i="16"/>
  <c r="Q10" i="16" s="1"/>
  <c r="Q11" i="16" s="1"/>
  <c r="Q16" i="16" s="1"/>
  <c r="V249" i="14"/>
  <c r="AC249" i="14"/>
  <c r="V283" i="14"/>
  <c r="V40" i="14" s="1"/>
  <c r="M304" i="14"/>
  <c r="B51" i="15"/>
  <c r="B49" i="15"/>
  <c r="AC76" i="15"/>
  <c r="J18" i="17"/>
  <c r="T247" i="14"/>
  <c r="X305" i="14"/>
  <c r="X289" i="14"/>
  <c r="O304" i="14"/>
  <c r="T60" i="15"/>
  <c r="T10" i="15" s="1"/>
  <c r="T11" i="15" s="1"/>
  <c r="T16" i="15" s="1"/>
  <c r="D76" i="15"/>
  <c r="D13" i="15" s="1"/>
  <c r="E140" i="15"/>
  <c r="E24" i="15" s="1"/>
  <c r="AA140" i="15"/>
  <c r="S156" i="15"/>
  <c r="S27" i="15" s="1"/>
  <c r="AB244" i="14"/>
  <c r="U247" i="14"/>
  <c r="Y283" i="14"/>
  <c r="Y40" i="14" s="1"/>
  <c r="Y25" i="3" s="1"/>
  <c r="Y305" i="14"/>
  <c r="Y289" i="14"/>
  <c r="P304" i="14"/>
  <c r="AA7" i="15"/>
  <c r="F140" i="15"/>
  <c r="F24" i="15" s="1"/>
  <c r="B130" i="15"/>
  <c r="B129" i="15"/>
  <c r="B134" i="15"/>
  <c r="B128" i="15"/>
  <c r="I156" i="15"/>
  <c r="I27" i="15" s="1"/>
  <c r="T156" i="15"/>
  <c r="T27" i="15" s="1"/>
  <c r="H177" i="14"/>
  <c r="AD177" i="14"/>
  <c r="AC244" i="14"/>
  <c r="V247" i="14"/>
  <c r="Q304" i="14"/>
  <c r="AB7" i="15"/>
  <c r="G140" i="15"/>
  <c r="G24" i="15" s="1"/>
  <c r="U156" i="15"/>
  <c r="B146" i="15" s="1"/>
  <c r="M140" i="16"/>
  <c r="M24" i="16" s="1"/>
  <c r="S245" i="14"/>
  <c r="W247" i="14"/>
  <c r="E283" i="14"/>
  <c r="E40" i="14" s="1"/>
  <c r="E25" i="3" s="1"/>
  <c r="E39" i="3" s="1"/>
  <c r="AA283" i="14"/>
  <c r="AA40" i="14" s="1"/>
  <c r="AA25" i="3" s="1"/>
  <c r="K156" i="15"/>
  <c r="K27" i="15" s="1"/>
  <c r="Y208" i="15"/>
  <c r="J177" i="14"/>
  <c r="AF177" i="14"/>
  <c r="F283" i="14"/>
  <c r="F40" i="14" s="1"/>
  <c r="F25" i="3" s="1"/>
  <c r="AB283" i="14"/>
  <c r="AB40" i="14" s="1"/>
  <c r="AB25" i="3" s="1"/>
  <c r="L156" i="15"/>
  <c r="L27" i="15" s="1"/>
  <c r="F156" i="15"/>
  <c r="F27" i="15" s="1"/>
  <c r="T60" i="16"/>
  <c r="T10" i="16" s="1"/>
  <c r="T11" i="16" s="1"/>
  <c r="T16" i="16" s="1"/>
  <c r="N60" i="16"/>
  <c r="N10" i="16" s="1"/>
  <c r="AB242" i="14"/>
  <c r="U245" i="14"/>
  <c r="W11" i="15"/>
  <c r="W16" i="15" s="1"/>
  <c r="Y60" i="15"/>
  <c r="Y10" i="15" s="1"/>
  <c r="V245" i="14"/>
  <c r="N295" i="15"/>
  <c r="N292" i="15"/>
  <c r="N289" i="15"/>
  <c r="N297" i="15"/>
  <c r="N291" i="15"/>
  <c r="N288" i="15"/>
  <c r="N287" i="15"/>
  <c r="N207" i="15" s="1"/>
  <c r="N296" i="15"/>
  <c r="N293" i="15"/>
  <c r="N290" i="15"/>
  <c r="N298" i="15"/>
  <c r="Z60" i="15"/>
  <c r="Z10" i="15" s="1"/>
  <c r="Z11" i="15" s="1"/>
  <c r="Z16" i="15" s="1"/>
  <c r="N60" i="15"/>
  <c r="N10" i="15" s="1"/>
  <c r="N11" i="15" s="1"/>
  <c r="N16" i="15" s="1"/>
  <c r="AA76" i="15"/>
  <c r="Z218" i="15"/>
  <c r="AB140" i="15"/>
  <c r="M177" i="14"/>
  <c r="S243" i="14"/>
  <c r="W245" i="14"/>
  <c r="AB239" i="14"/>
  <c r="Y11" i="15"/>
  <c r="Y16" i="15" s="1"/>
  <c r="O289" i="15"/>
  <c r="O297" i="15"/>
  <c r="O288" i="15"/>
  <c r="O296" i="15"/>
  <c r="O295" i="15"/>
  <c r="O298" i="15"/>
  <c r="O291" i="15"/>
  <c r="O293" i="15"/>
  <c r="O290" i="15"/>
  <c r="O294" i="15"/>
  <c r="AA60" i="15"/>
  <c r="AA10" i="15" s="1"/>
  <c r="B55" i="15"/>
  <c r="L140" i="15"/>
  <c r="AC140" i="15"/>
  <c r="AE152" i="15"/>
  <c r="AE150" i="15"/>
  <c r="O267" i="15"/>
  <c r="O34" i="15" s="1"/>
  <c r="N177" i="14"/>
  <c r="X267" i="14"/>
  <c r="B305" i="14"/>
  <c r="AA25" i="15"/>
  <c r="AA28" i="15" s="1"/>
  <c r="AA26" i="15" s="1"/>
  <c r="P292" i="15"/>
  <c r="P289" i="15"/>
  <c r="P297" i="15"/>
  <c r="P294" i="15"/>
  <c r="P288" i="15"/>
  <c r="P208" i="15" s="1"/>
  <c r="P296" i="15"/>
  <c r="P295" i="15"/>
  <c r="P290" i="15"/>
  <c r="P291" i="15"/>
  <c r="P293" i="15"/>
  <c r="AB60" i="15"/>
  <c r="AB10" i="15" s="1"/>
  <c r="V60" i="15"/>
  <c r="V10" i="15" s="1"/>
  <c r="V11" i="15" s="1"/>
  <c r="V16" i="15" s="1"/>
  <c r="B52" i="15"/>
  <c r="AD58" i="15"/>
  <c r="M140" i="15"/>
  <c r="M24" i="15" s="1"/>
  <c r="B177" i="15"/>
  <c r="C176" i="15"/>
  <c r="B178" i="15"/>
  <c r="B179" i="15"/>
  <c r="B176" i="15"/>
  <c r="Y176" i="15"/>
  <c r="X176" i="15"/>
  <c r="P267" i="15"/>
  <c r="P34" i="15" s="1"/>
  <c r="Y305" i="15"/>
  <c r="H291" i="16"/>
  <c r="H290" i="16"/>
  <c r="H287" i="16"/>
  <c r="H294" i="16"/>
  <c r="H293" i="16"/>
  <c r="H292" i="16"/>
  <c r="H289" i="16"/>
  <c r="H295" i="16"/>
  <c r="H296" i="16"/>
  <c r="H288" i="16"/>
  <c r="H298" i="16"/>
  <c r="H297" i="16"/>
  <c r="AD291" i="16"/>
  <c r="AD288" i="16"/>
  <c r="AD290" i="16"/>
  <c r="AD287" i="16"/>
  <c r="AD289" i="16"/>
  <c r="AD294" i="16"/>
  <c r="AD298" i="16"/>
  <c r="AD296" i="16"/>
  <c r="AD292" i="16"/>
  <c r="AD297" i="16"/>
  <c r="AD293" i="16"/>
  <c r="E293" i="15"/>
  <c r="E290" i="15"/>
  <c r="E210" i="15" s="1"/>
  <c r="E292" i="15"/>
  <c r="E294" i="15"/>
  <c r="E287" i="15"/>
  <c r="E207" i="15" s="1"/>
  <c r="E295" i="15"/>
  <c r="E289" i="15"/>
  <c r="E209" i="15" s="1"/>
  <c r="E288" i="15"/>
  <c r="E208" i="15" s="1"/>
  <c r="E297" i="15"/>
  <c r="E298" i="15"/>
  <c r="E291" i="15"/>
  <c r="E211" i="15" s="1"/>
  <c r="E296" i="15"/>
  <c r="AA293" i="15"/>
  <c r="AA290" i="15"/>
  <c r="AA292" i="15"/>
  <c r="AA291" i="15"/>
  <c r="AA289" i="15"/>
  <c r="AA287" i="15"/>
  <c r="AA207" i="15" s="1"/>
  <c r="AA298" i="15"/>
  <c r="AA296" i="15"/>
  <c r="J60" i="15"/>
  <c r="J10" i="15" s="1"/>
  <c r="J11" i="15" s="1"/>
  <c r="J16" i="15" s="1"/>
  <c r="Q140" i="15"/>
  <c r="Q24" i="15" s="1"/>
  <c r="M156" i="15"/>
  <c r="M27" i="15" s="1"/>
  <c r="I289" i="15"/>
  <c r="S156" i="16"/>
  <c r="S27" i="16" s="1"/>
  <c r="K60" i="15"/>
  <c r="R140" i="15"/>
  <c r="R24" i="15" s="1"/>
  <c r="N156" i="15"/>
  <c r="N27" i="15" s="1"/>
  <c r="H156" i="15"/>
  <c r="H27" i="15" s="1"/>
  <c r="V303" i="14"/>
  <c r="S140" i="15"/>
  <c r="S24" i="15" s="1"/>
  <c r="O156" i="15"/>
  <c r="O27" i="15" s="1"/>
  <c r="H178" i="15"/>
  <c r="E309" i="15"/>
  <c r="E212" i="15"/>
  <c r="U156" i="16"/>
  <c r="U27" i="16" s="1"/>
  <c r="W159" i="20"/>
  <c r="AI75" i="20"/>
  <c r="N155" i="20"/>
  <c r="W305" i="14"/>
  <c r="W289" i="14" s="1"/>
  <c r="H293" i="15"/>
  <c r="H290" i="15"/>
  <c r="H298" i="15"/>
  <c r="H287" i="15"/>
  <c r="H207" i="15" s="1"/>
  <c r="H295" i="15"/>
  <c r="H289" i="15"/>
  <c r="H209" i="15" s="1"/>
  <c r="H294" i="15"/>
  <c r="H288" i="15"/>
  <c r="H208" i="15" s="1"/>
  <c r="H296" i="15"/>
  <c r="AD293" i="15"/>
  <c r="AD290" i="15"/>
  <c r="AD298" i="15"/>
  <c r="AD287" i="15"/>
  <c r="AD207" i="15" s="1"/>
  <c r="AD295" i="15"/>
  <c r="AD289" i="15"/>
  <c r="AD291" i="15"/>
  <c r="AD292" i="15"/>
  <c r="AD294" i="15"/>
  <c r="P156" i="15"/>
  <c r="P27" i="15" s="1"/>
  <c r="J156" i="15"/>
  <c r="J27" i="15" s="1"/>
  <c r="I178" i="15"/>
  <c r="N177" i="15"/>
  <c r="N178" i="15" s="1"/>
  <c r="N176" i="15"/>
  <c r="X267" i="15"/>
  <c r="AD265" i="15" s="1"/>
  <c r="G283" i="15"/>
  <c r="G40" i="15" s="1"/>
  <c r="AA294" i="15"/>
  <c r="F308" i="15"/>
  <c r="AE219" i="16"/>
  <c r="AE35" i="16"/>
  <c r="AE41" i="16" s="1"/>
  <c r="AE40" i="16" s="1"/>
  <c r="AE283" i="16" s="1"/>
  <c r="P80" i="16"/>
  <c r="M60" i="16"/>
  <c r="M10" i="16" s="1"/>
  <c r="M11" i="16" s="1"/>
  <c r="M16" i="16" s="1"/>
  <c r="I298" i="15"/>
  <c r="I287" i="15"/>
  <c r="I207" i="15" s="1"/>
  <c r="I295" i="15"/>
  <c r="I297" i="15"/>
  <c r="I288" i="15"/>
  <c r="I293" i="15"/>
  <c r="I296" i="15"/>
  <c r="AE298" i="15"/>
  <c r="AE287" i="15"/>
  <c r="AE295" i="15"/>
  <c r="AE297" i="15"/>
  <c r="AE292" i="15"/>
  <c r="AE291" i="15"/>
  <c r="AE289" i="15"/>
  <c r="AE294" i="15"/>
  <c r="AE296" i="15"/>
  <c r="AE293" i="15"/>
  <c r="AE290" i="15"/>
  <c r="U140" i="15"/>
  <c r="U24" i="15" s="1"/>
  <c r="Q156" i="15"/>
  <c r="Q27" i="15" s="1"/>
  <c r="J178" i="15"/>
  <c r="O177" i="15"/>
  <c r="P176" i="15"/>
  <c r="M283" i="15"/>
  <c r="M40" i="15" s="1"/>
  <c r="S304" i="15"/>
  <c r="S208" i="15" s="1"/>
  <c r="S305" i="15"/>
  <c r="S209" i="15" s="1"/>
  <c r="T303" i="15"/>
  <c r="S303" i="15"/>
  <c r="C6" i="16"/>
  <c r="AA4" i="16"/>
  <c r="B14" i="16"/>
  <c r="AE7" i="16"/>
  <c r="AE9" i="16" s="1"/>
  <c r="AE11" i="16" s="1"/>
  <c r="AE16" i="16" s="1"/>
  <c r="AC33" i="16"/>
  <c r="G180" i="17"/>
  <c r="J290" i="15"/>
  <c r="J298" i="15"/>
  <c r="J287" i="15"/>
  <c r="J295" i="15"/>
  <c r="J292" i="15"/>
  <c r="J297" i="15"/>
  <c r="J288" i="15"/>
  <c r="J296" i="15"/>
  <c r="J289" i="15"/>
  <c r="O60" i="15"/>
  <c r="O10" i="15" s="1"/>
  <c r="O11" i="15" s="1"/>
  <c r="O16" i="15" s="1"/>
  <c r="L76" i="15"/>
  <c r="L13" i="15" s="1"/>
  <c r="R156" i="15"/>
  <c r="R27" i="15" s="1"/>
  <c r="N283" i="15"/>
  <c r="N40" i="15" s="1"/>
  <c r="I283" i="15"/>
  <c r="I40" i="15" s="1"/>
  <c r="H291" i="15"/>
  <c r="O60" i="16"/>
  <c r="O10" i="16" s="1"/>
  <c r="O11" i="16" s="1"/>
  <c r="O16" i="16" s="1"/>
  <c r="AD33" i="16"/>
  <c r="AD219" i="16" s="1"/>
  <c r="D303" i="14"/>
  <c r="Z303" i="14"/>
  <c r="K295" i="15"/>
  <c r="K292" i="15"/>
  <c r="K294" i="15"/>
  <c r="K287" i="15"/>
  <c r="K207" i="15" s="1"/>
  <c r="K288" i="15"/>
  <c r="K296" i="15"/>
  <c r="K289" i="15"/>
  <c r="K291" i="15"/>
  <c r="K298" i="15"/>
  <c r="P60" i="15"/>
  <c r="P10" i="15" s="1"/>
  <c r="P11" i="15" s="1"/>
  <c r="P16" i="15" s="1"/>
  <c r="M76" i="15"/>
  <c r="M13" i="15" s="1"/>
  <c r="B67" i="15"/>
  <c r="B69" i="15"/>
  <c r="L178" i="15"/>
  <c r="AE256" i="15"/>
  <c r="I291" i="15"/>
  <c r="L298" i="15"/>
  <c r="L287" i="15"/>
  <c r="L295" i="15"/>
  <c r="L292" i="15"/>
  <c r="L289" i="15"/>
  <c r="L294" i="15"/>
  <c r="L288" i="15"/>
  <c r="L296" i="15"/>
  <c r="L297" i="15"/>
  <c r="L291" i="15"/>
  <c r="L293" i="15"/>
  <c r="Q60" i="15"/>
  <c r="Q10" i="15" s="1"/>
  <c r="Q11" i="15" s="1"/>
  <c r="Q16" i="15" s="1"/>
  <c r="N76" i="15"/>
  <c r="N13" i="15" s="1"/>
  <c r="F267" i="15"/>
  <c r="F34" i="15" s="1"/>
  <c r="J291" i="15"/>
  <c r="AA295" i="15"/>
  <c r="Z11" i="16"/>
  <c r="Z16" i="16" s="1"/>
  <c r="T294" i="16"/>
  <c r="T297" i="16"/>
  <c r="T287" i="16"/>
  <c r="T296" i="16"/>
  <c r="T295" i="16"/>
  <c r="T298" i="16"/>
  <c r="T291" i="16"/>
  <c r="T289" i="16"/>
  <c r="T288" i="16"/>
  <c r="T293" i="16"/>
  <c r="T292" i="16"/>
  <c r="T290" i="16"/>
  <c r="M292" i="15"/>
  <c r="M289" i="15"/>
  <c r="M291" i="15"/>
  <c r="M288" i="15"/>
  <c r="M287" i="15"/>
  <c r="M295" i="15"/>
  <c r="M296" i="15"/>
  <c r="M297" i="15"/>
  <c r="M290" i="15"/>
  <c r="M293" i="15"/>
  <c r="M298" i="15"/>
  <c r="R60" i="15"/>
  <c r="R10" i="15" s="1"/>
  <c r="R11" i="15" s="1"/>
  <c r="R16" i="15" s="1"/>
  <c r="Y140" i="15"/>
  <c r="S177" i="15"/>
  <c r="AE235" i="15"/>
  <c r="AD235" i="15"/>
  <c r="AB251" i="15"/>
  <c r="AB33" i="15"/>
  <c r="G267" i="15"/>
  <c r="G34" i="15" s="1"/>
  <c r="T177" i="16"/>
  <c r="AB296" i="15"/>
  <c r="AB293" i="15"/>
  <c r="AB290" i="15"/>
  <c r="AB298" i="15"/>
  <c r="AB287" i="15"/>
  <c r="AB207" i="15" s="1"/>
  <c r="AB292" i="15"/>
  <c r="AB291" i="15"/>
  <c r="V140" i="15"/>
  <c r="V24" i="15" s="1"/>
  <c r="R177" i="15"/>
  <c r="R178" i="15" s="1"/>
  <c r="Q292" i="15"/>
  <c r="N11" i="17"/>
  <c r="N16" i="17" s="1"/>
  <c r="G290" i="15"/>
  <c r="G298" i="15"/>
  <c r="G287" i="15"/>
  <c r="G207" i="15" s="1"/>
  <c r="G289" i="15"/>
  <c r="G293" i="15"/>
  <c r="G294" i="15"/>
  <c r="G295" i="15"/>
  <c r="G297" i="15"/>
  <c r="G296" i="15"/>
  <c r="G288" i="15"/>
  <c r="G208" i="15" s="1"/>
  <c r="G291" i="15"/>
  <c r="AC290" i="15"/>
  <c r="AC298" i="15"/>
  <c r="AC287" i="15"/>
  <c r="AC207" i="15" s="1"/>
  <c r="AC289" i="15"/>
  <c r="AC291" i="15"/>
  <c r="AC292" i="15"/>
  <c r="AC294" i="15"/>
  <c r="W140" i="15"/>
  <c r="W24" i="15" s="1"/>
  <c r="AB289" i="15"/>
  <c r="G209" i="15"/>
  <c r="R297" i="16"/>
  <c r="R298" i="16"/>
  <c r="R293" i="16"/>
  <c r="R290" i="16"/>
  <c r="R287" i="16"/>
  <c r="R292" i="16"/>
  <c r="R291" i="16"/>
  <c r="R289" i="16"/>
  <c r="R296" i="16"/>
  <c r="R294" i="16"/>
  <c r="R295" i="16"/>
  <c r="R288" i="16"/>
  <c r="B68" i="16"/>
  <c r="M178" i="15"/>
  <c r="X283" i="15"/>
  <c r="X40" i="15" s="1"/>
  <c r="AB60" i="16"/>
  <c r="AB10" i="16" s="1"/>
  <c r="AB11" i="16" s="1"/>
  <c r="AB16" i="16" s="1"/>
  <c r="B306" i="16"/>
  <c r="Y156" i="15"/>
  <c r="AD152" i="15" s="1"/>
  <c r="T176" i="15"/>
  <c r="AC295" i="15"/>
  <c r="W296" i="16"/>
  <c r="W297" i="16"/>
  <c r="W287" i="16"/>
  <c r="W207" i="16" s="1"/>
  <c r="W292" i="16"/>
  <c r="W298" i="16"/>
  <c r="W289" i="16"/>
  <c r="W294" i="16"/>
  <c r="W295" i="16"/>
  <c r="W288" i="16"/>
  <c r="W208" i="16" s="1"/>
  <c r="W293" i="16"/>
  <c r="L10" i="17"/>
  <c r="L11" i="17" s="1"/>
  <c r="L16" i="17" s="1"/>
  <c r="P76" i="17"/>
  <c r="W306" i="15"/>
  <c r="W305" i="15"/>
  <c r="F14" i="16"/>
  <c r="N10" i="17"/>
  <c r="G60" i="16"/>
  <c r="G10" i="16" s="1"/>
  <c r="G11" i="16" s="1"/>
  <c r="G16" i="16" s="1"/>
  <c r="AC60" i="16"/>
  <c r="E76" i="16"/>
  <c r="E13" i="16" s="1"/>
  <c r="U176" i="15"/>
  <c r="L267" i="15"/>
  <c r="AD304" i="15"/>
  <c r="AD208" i="15" s="1"/>
  <c r="H60" i="16"/>
  <c r="H10" i="16" s="1"/>
  <c r="H11" i="16" s="1"/>
  <c r="H16" i="16" s="1"/>
  <c r="K76" i="16"/>
  <c r="B67" i="16" s="1"/>
  <c r="AB76" i="16"/>
  <c r="L208" i="16"/>
  <c r="L305" i="16"/>
  <c r="L209" i="16" s="1"/>
  <c r="X210" i="16"/>
  <c r="X307" i="16"/>
  <c r="AB18" i="17"/>
  <c r="AE73" i="17"/>
  <c r="G156" i="15"/>
  <c r="G27" i="15" s="1"/>
  <c r="AC156" i="15"/>
  <c r="M267" i="15"/>
  <c r="M34" i="15" s="1"/>
  <c r="H267" i="15"/>
  <c r="H34" i="15" s="1"/>
  <c r="E283" i="15"/>
  <c r="E40" i="15" s="1"/>
  <c r="AA283" i="15"/>
  <c r="U283" i="15"/>
  <c r="U40" i="15" s="1"/>
  <c r="AC293" i="15"/>
  <c r="I60" i="16"/>
  <c r="I10" i="16" s="1"/>
  <c r="I11" i="16" s="1"/>
  <c r="I16" i="16" s="1"/>
  <c r="M305" i="16"/>
  <c r="AD54" i="17"/>
  <c r="AD55" i="17"/>
  <c r="AD58" i="17"/>
  <c r="AD57" i="17"/>
  <c r="Q297" i="15"/>
  <c r="Q294" i="15"/>
  <c r="Q296" i="15"/>
  <c r="Q289" i="15"/>
  <c r="Q290" i="15"/>
  <c r="Q293" i="15"/>
  <c r="Q295" i="15"/>
  <c r="Q287" i="15"/>
  <c r="N267" i="15"/>
  <c r="N34" i="15" s="1"/>
  <c r="K283" i="15"/>
  <c r="B275" i="15" s="1"/>
  <c r="AC296" i="15"/>
  <c r="J60" i="16"/>
  <c r="J10" i="16" s="1"/>
  <c r="J11" i="16" s="1"/>
  <c r="J16" i="16" s="1"/>
  <c r="AD7" i="17"/>
  <c r="G298" i="16"/>
  <c r="G295" i="16"/>
  <c r="G289" i="16"/>
  <c r="G291" i="16"/>
  <c r="G288" i="16"/>
  <c r="G290" i="16"/>
  <c r="G287" i="16"/>
  <c r="G294" i="16"/>
  <c r="G293" i="16"/>
  <c r="G292" i="16"/>
  <c r="G297" i="16"/>
  <c r="G296" i="16"/>
  <c r="N177" i="16"/>
  <c r="U267" i="15"/>
  <c r="U34" i="15" s="1"/>
  <c r="O283" i="15"/>
  <c r="O40" i="15" s="1"/>
  <c r="J283" i="15"/>
  <c r="J40" i="15" s="1"/>
  <c r="N11" i="16"/>
  <c r="N16" i="16" s="1"/>
  <c r="C292" i="16"/>
  <c r="C295" i="16"/>
  <c r="C289" i="16"/>
  <c r="C291" i="16"/>
  <c r="C288" i="16"/>
  <c r="C290" i="16"/>
  <c r="C287" i="16"/>
  <c r="C294" i="16"/>
  <c r="C293" i="16"/>
  <c r="C297" i="16"/>
  <c r="C298" i="16"/>
  <c r="Y296" i="16"/>
  <c r="Y292" i="16"/>
  <c r="Y289" i="16"/>
  <c r="Y295" i="16"/>
  <c r="Y291" i="16"/>
  <c r="Y297" i="16"/>
  <c r="Y298" i="16"/>
  <c r="Y294" i="16"/>
  <c r="Y287" i="16"/>
  <c r="Y290" i="16"/>
  <c r="Y288" i="16"/>
  <c r="Y293" i="16"/>
  <c r="AJ355" i="20"/>
  <c r="AG355" i="20"/>
  <c r="AE263" i="15"/>
  <c r="AE265" i="15"/>
  <c r="AE255" i="15"/>
  <c r="AE261" i="15"/>
  <c r="D296" i="16"/>
  <c r="D295" i="16"/>
  <c r="D289" i="16"/>
  <c r="D294" i="16"/>
  <c r="D288" i="16"/>
  <c r="D291" i="16"/>
  <c r="D290" i="16"/>
  <c r="D287" i="16"/>
  <c r="D293" i="16"/>
  <c r="D292" i="16"/>
  <c r="D297" i="16"/>
  <c r="D298" i="16"/>
  <c r="Z296" i="16"/>
  <c r="Z292" i="16"/>
  <c r="Z289" i="16"/>
  <c r="Z295" i="16"/>
  <c r="Z297" i="16"/>
  <c r="Z298" i="16"/>
  <c r="Z288" i="16"/>
  <c r="Z294" i="16"/>
  <c r="Z287" i="16"/>
  <c r="Z291" i="16"/>
  <c r="Z290" i="16"/>
  <c r="Z293" i="16"/>
  <c r="X60" i="16"/>
  <c r="AD56" i="16" s="1"/>
  <c r="Q76" i="16"/>
  <c r="Q13" i="16" s="1"/>
  <c r="AB251" i="16"/>
  <c r="O140" i="16"/>
  <c r="O24" i="16" s="1"/>
  <c r="X156" i="16"/>
  <c r="N156" i="16"/>
  <c r="N27" i="16" s="1"/>
  <c r="Q176" i="15"/>
  <c r="W267" i="15"/>
  <c r="W34" i="15" s="1"/>
  <c r="Q283" i="15"/>
  <c r="Q40" i="15" s="1"/>
  <c r="P11" i="16"/>
  <c r="P16" i="16" s="1"/>
  <c r="E298" i="16"/>
  <c r="E292" i="16"/>
  <c r="E295" i="16"/>
  <c r="E289" i="16"/>
  <c r="E288" i="16"/>
  <c r="E291" i="16"/>
  <c r="E290" i="16"/>
  <c r="E287" i="16"/>
  <c r="E293" i="16"/>
  <c r="E294" i="16"/>
  <c r="AA298" i="16"/>
  <c r="AA289" i="16"/>
  <c r="AA295" i="16"/>
  <c r="AA294" i="16"/>
  <c r="AA288" i="16"/>
  <c r="AA291" i="16"/>
  <c r="AA287" i="16"/>
  <c r="AA296" i="16"/>
  <c r="AA292" i="16"/>
  <c r="AA290" i="16"/>
  <c r="AA293" i="16"/>
  <c r="AA297" i="16"/>
  <c r="Y60" i="16"/>
  <c r="AC124" i="16"/>
  <c r="T156" i="16"/>
  <c r="T27" i="16" s="1"/>
  <c r="N287" i="16"/>
  <c r="AC18" i="17"/>
  <c r="Z140" i="17"/>
  <c r="Z24" i="17" s="1"/>
  <c r="Z16" i="2" s="1"/>
  <c r="Z27" i="2" s="1"/>
  <c r="D156" i="15"/>
  <c r="D27" i="15" s="1"/>
  <c r="Z156" i="15"/>
  <c r="AD154" i="15" s="1"/>
  <c r="B151" i="15"/>
  <c r="U177" i="15"/>
  <c r="C303" i="15"/>
  <c r="T304" i="15"/>
  <c r="T208" i="15" s="1"/>
  <c r="U303" i="15"/>
  <c r="T305" i="15"/>
  <c r="T209" i="15" s="1"/>
  <c r="AB4" i="16"/>
  <c r="C14" i="16"/>
  <c r="I291" i="16"/>
  <c r="I294" i="16"/>
  <c r="I293" i="16"/>
  <c r="I292" i="16"/>
  <c r="I289" i="16"/>
  <c r="I295" i="16"/>
  <c r="I296" i="16"/>
  <c r="I297" i="16"/>
  <c r="I288" i="16"/>
  <c r="I208" i="16" s="1"/>
  <c r="I298" i="16"/>
  <c r="I290" i="16"/>
  <c r="AE295" i="16"/>
  <c r="AE291" i="16"/>
  <c r="AE288" i="16"/>
  <c r="AE290" i="16"/>
  <c r="AE287" i="16"/>
  <c r="AE289" i="16"/>
  <c r="AE294" i="16"/>
  <c r="AE293" i="16"/>
  <c r="AE292" i="16"/>
  <c r="AE298" i="16"/>
  <c r="AE296" i="16"/>
  <c r="AE297" i="16"/>
  <c r="V267" i="16"/>
  <c r="V34" i="16" s="1"/>
  <c r="Q267" i="16"/>
  <c r="Q34" i="16" s="1"/>
  <c r="C296" i="16"/>
  <c r="E156" i="15"/>
  <c r="E27" i="15" s="1"/>
  <c r="AA156" i="15"/>
  <c r="V177" i="15"/>
  <c r="V283" i="15"/>
  <c r="V40" i="15" s="1"/>
  <c r="J298" i="16"/>
  <c r="J291" i="16"/>
  <c r="J294" i="16"/>
  <c r="J288" i="16"/>
  <c r="J297" i="16"/>
  <c r="J293" i="16"/>
  <c r="J292" i="16"/>
  <c r="J289" i="16"/>
  <c r="J295" i="16"/>
  <c r="J296" i="16"/>
  <c r="J290" i="16"/>
  <c r="W267" i="16"/>
  <c r="W34" i="16" s="1"/>
  <c r="R267" i="16"/>
  <c r="R34" i="16" s="1"/>
  <c r="E296" i="16"/>
  <c r="F148" i="17"/>
  <c r="B145" i="15"/>
  <c r="W176" i="15"/>
  <c r="F210" i="15"/>
  <c r="AD7" i="16"/>
  <c r="V11" i="16"/>
  <c r="V16" i="16" s="1"/>
  <c r="R176" i="16"/>
  <c r="R177" i="16"/>
  <c r="R178" i="16" s="1"/>
  <c r="S177" i="16"/>
  <c r="S11" i="17"/>
  <c r="S16" i="17" s="1"/>
  <c r="I267" i="16"/>
  <c r="I34" i="16" s="1"/>
  <c r="E297" i="16"/>
  <c r="C177" i="15"/>
  <c r="Y177" i="15"/>
  <c r="R267" i="15"/>
  <c r="R34" i="15" s="1"/>
  <c r="B264" i="15"/>
  <c r="B255" i="15"/>
  <c r="B261" i="15"/>
  <c r="B258" i="15"/>
  <c r="B259" i="15"/>
  <c r="B262" i="15"/>
  <c r="B265" i="15"/>
  <c r="Y283" i="15"/>
  <c r="Y40" i="15" s="1"/>
  <c r="B304" i="15"/>
  <c r="X304" i="15"/>
  <c r="K60" i="16"/>
  <c r="B50" i="16" s="1"/>
  <c r="E60" i="16"/>
  <c r="E10" i="16" s="1"/>
  <c r="E11" i="16" s="1"/>
  <c r="E16" i="16" s="1"/>
  <c r="M13" i="17"/>
  <c r="D177" i="15"/>
  <c r="Z177" i="15"/>
  <c r="AE259" i="15"/>
  <c r="D303" i="15"/>
  <c r="Y306" i="15"/>
  <c r="Y307" i="15" s="1"/>
  <c r="Z303" i="15"/>
  <c r="Z207" i="15" s="1"/>
  <c r="N292" i="16"/>
  <c r="N294" i="16"/>
  <c r="N298" i="16"/>
  <c r="N295" i="16"/>
  <c r="N296" i="16"/>
  <c r="N297" i="16"/>
  <c r="N288" i="16"/>
  <c r="N293" i="16"/>
  <c r="N291" i="16"/>
  <c r="N289" i="16"/>
  <c r="F60" i="16"/>
  <c r="F10" i="16" s="1"/>
  <c r="F11" i="16" s="1"/>
  <c r="F16" i="16" s="1"/>
  <c r="W156" i="16"/>
  <c r="W27" i="16" s="1"/>
  <c r="K178" i="16"/>
  <c r="K179" i="16" s="1"/>
  <c r="V267" i="15"/>
  <c r="V34" i="15" s="1"/>
  <c r="W283" i="15"/>
  <c r="W40" i="15" s="1"/>
  <c r="J303" i="15"/>
  <c r="X140" i="16"/>
  <c r="H267" i="16"/>
  <c r="H34" i="16" s="1"/>
  <c r="X208" i="16"/>
  <c r="X267" i="16"/>
  <c r="AD260" i="16" s="1"/>
  <c r="S267" i="16"/>
  <c r="S34" i="16" s="1"/>
  <c r="AE57" i="17"/>
  <c r="AE51" i="17"/>
  <c r="K305" i="15"/>
  <c r="O297" i="16"/>
  <c r="O288" i="16"/>
  <c r="O208" i="16" s="1"/>
  <c r="O298" i="16"/>
  <c r="O296" i="16"/>
  <c r="O295" i="16"/>
  <c r="O294" i="16"/>
  <c r="O293" i="16"/>
  <c r="O291" i="16"/>
  <c r="O289" i="16"/>
  <c r="O209" i="16" s="1"/>
  <c r="O287" i="16"/>
  <c r="O207" i="16" s="1"/>
  <c r="O292" i="16"/>
  <c r="S76" i="16"/>
  <c r="S13" i="16" s="1"/>
  <c r="N76" i="16"/>
  <c r="N13" i="16" s="1"/>
  <c r="Y156" i="16"/>
  <c r="AE153" i="16" s="1"/>
  <c r="AE144" i="16"/>
  <c r="AE148" i="16"/>
  <c r="Y267" i="15"/>
  <c r="L303" i="15"/>
  <c r="P298" i="16"/>
  <c r="P293" i="16"/>
  <c r="P290" i="16"/>
  <c r="P296" i="16"/>
  <c r="P297" i="16"/>
  <c r="P291" i="16"/>
  <c r="P289" i="16"/>
  <c r="P292" i="16"/>
  <c r="P294" i="16"/>
  <c r="P288" i="16"/>
  <c r="D60" i="16"/>
  <c r="D10" i="16" s="1"/>
  <c r="D11" i="16" s="1"/>
  <c r="D16" i="16" s="1"/>
  <c r="T76" i="16"/>
  <c r="T13" i="16" s="1"/>
  <c r="AA140" i="16"/>
  <c r="D156" i="16"/>
  <c r="D27" i="16" s="1"/>
  <c r="Z156" i="16"/>
  <c r="Z27" i="16" s="1"/>
  <c r="J283" i="16"/>
  <c r="J40" i="16" s="1"/>
  <c r="G176" i="15"/>
  <c r="AC176" i="15"/>
  <c r="M303" i="15"/>
  <c r="M207" i="15" s="1"/>
  <c r="I304" i="15"/>
  <c r="M304" i="15"/>
  <c r="M208" i="15" s="1"/>
  <c r="O6" i="16"/>
  <c r="Q293" i="16"/>
  <c r="Q290" i="16"/>
  <c r="Q297" i="16"/>
  <c r="Q296" i="16"/>
  <c r="Q291" i="16"/>
  <c r="Q298" i="16"/>
  <c r="Q289" i="16"/>
  <c r="Q287" i="16"/>
  <c r="Q207" i="16" s="1"/>
  <c r="Q295" i="16"/>
  <c r="Q288" i="16"/>
  <c r="R60" i="16"/>
  <c r="R10" i="16" s="1"/>
  <c r="R11" i="16" s="1"/>
  <c r="R16" i="16" s="1"/>
  <c r="U76" i="16"/>
  <c r="U13" i="16" s="1"/>
  <c r="K283" i="16"/>
  <c r="B272" i="16" s="1"/>
  <c r="F283" i="15"/>
  <c r="F40" i="15" s="1"/>
  <c r="AB283" i="15"/>
  <c r="N305" i="15"/>
  <c r="N304" i="15"/>
  <c r="S60" i="16"/>
  <c r="S10" i="16" s="1"/>
  <c r="S11" i="16" s="1"/>
  <c r="S16" i="16" s="1"/>
  <c r="V76" i="16"/>
  <c r="V13" i="16" s="1"/>
  <c r="G140" i="16"/>
  <c r="G24" i="16" s="1"/>
  <c r="AC140" i="16"/>
  <c r="F177" i="16"/>
  <c r="G176" i="16"/>
  <c r="G177" i="16"/>
  <c r="AC176" i="16"/>
  <c r="AB176" i="16"/>
  <c r="N34" i="17"/>
  <c r="K304" i="15"/>
  <c r="R6" i="16"/>
  <c r="S293" i="16"/>
  <c r="S290" i="16"/>
  <c r="S297" i="16"/>
  <c r="S287" i="16"/>
  <c r="S289" i="16"/>
  <c r="S298" i="16"/>
  <c r="S291" i="16"/>
  <c r="S296" i="16"/>
  <c r="S292" i="16"/>
  <c r="S295" i="16"/>
  <c r="W76" i="16"/>
  <c r="W13" i="16" s="1"/>
  <c r="M76" i="16"/>
  <c r="M13" i="16" s="1"/>
  <c r="H140" i="16"/>
  <c r="H24" i="16" s="1"/>
  <c r="AE264" i="16"/>
  <c r="R283" i="16"/>
  <c r="R40" i="16" s="1"/>
  <c r="F18" i="17"/>
  <c r="V60" i="17"/>
  <c r="V10" i="17" s="1"/>
  <c r="H27" i="17"/>
  <c r="H19" i="2" s="1"/>
  <c r="L304" i="15"/>
  <c r="P305" i="15"/>
  <c r="X76" i="16"/>
  <c r="AD73" i="16" s="1"/>
  <c r="I140" i="16"/>
  <c r="I24" i="16" s="1"/>
  <c r="C177" i="16"/>
  <c r="I176" i="16"/>
  <c r="I177" i="16" s="1"/>
  <c r="H176" i="16"/>
  <c r="H177" i="16"/>
  <c r="AE179" i="16"/>
  <c r="AE176" i="16"/>
  <c r="AE178" i="16"/>
  <c r="AE180" i="16"/>
  <c r="AD176" i="16"/>
  <c r="X283" i="16"/>
  <c r="X40" i="16" s="1"/>
  <c r="E303" i="16"/>
  <c r="E207" i="16" s="1"/>
  <c r="D303" i="16"/>
  <c r="AA303" i="16"/>
  <c r="Z303" i="16"/>
  <c r="Z207" i="16" s="1"/>
  <c r="Z304" i="16"/>
  <c r="Z208" i="16" s="1"/>
  <c r="Z305" i="16"/>
  <c r="Z209" i="16" s="1"/>
  <c r="I14" i="17"/>
  <c r="J6" i="17"/>
  <c r="R297" i="17"/>
  <c r="R294" i="17"/>
  <c r="R291" i="17"/>
  <c r="R290" i="17"/>
  <c r="R289" i="17"/>
  <c r="R293" i="17"/>
  <c r="R292" i="17"/>
  <c r="R287" i="17"/>
  <c r="R295" i="17"/>
  <c r="R298" i="17"/>
  <c r="R288" i="17"/>
  <c r="R296" i="17"/>
  <c r="Q303" i="15"/>
  <c r="O304" i="15"/>
  <c r="U296" i="16"/>
  <c r="U293" i="16"/>
  <c r="U290" i="16"/>
  <c r="U297" i="16"/>
  <c r="U287" i="16"/>
  <c r="U298" i="16"/>
  <c r="U289" i="16"/>
  <c r="U294" i="16"/>
  <c r="U292" i="16"/>
  <c r="U295" i="16"/>
  <c r="U288" i="16"/>
  <c r="Y76" i="16"/>
  <c r="J140" i="16"/>
  <c r="J24" i="16" s="1"/>
  <c r="Y140" i="16"/>
  <c r="AE177" i="16"/>
  <c r="Y283" i="16"/>
  <c r="Y40" i="16" s="1"/>
  <c r="AE128" i="17"/>
  <c r="F138" i="17"/>
  <c r="D283" i="15"/>
  <c r="D40" i="15" s="1"/>
  <c r="Z283" i="15"/>
  <c r="R304" i="15"/>
  <c r="R208" i="15" s="1"/>
  <c r="W60" i="16"/>
  <c r="W10" i="16" s="1"/>
  <c r="W11" i="16" s="1"/>
  <c r="W16" i="16" s="1"/>
  <c r="D76" i="16"/>
  <c r="D13" i="16" s="1"/>
  <c r="Z76" i="16"/>
  <c r="AE73" i="16" s="1"/>
  <c r="K140" i="16"/>
  <c r="B137" i="16" s="1"/>
  <c r="Z140" i="16"/>
  <c r="Z283" i="16"/>
  <c r="Z40" i="16" s="1"/>
  <c r="AA76" i="16"/>
  <c r="E140" i="16"/>
  <c r="E24" i="16" s="1"/>
  <c r="F293" i="16"/>
  <c r="F298" i="16"/>
  <c r="F291" i="16"/>
  <c r="F288" i="16"/>
  <c r="F290" i="16"/>
  <c r="F287" i="16"/>
  <c r="F289" i="16"/>
  <c r="F294" i="16"/>
  <c r="F292" i="16"/>
  <c r="F295" i="16"/>
  <c r="F296" i="16"/>
  <c r="AB293" i="16"/>
  <c r="AB296" i="16"/>
  <c r="AB292" i="16"/>
  <c r="AB295" i="16"/>
  <c r="AB298" i="16"/>
  <c r="AB291" i="16"/>
  <c r="AB288" i="16"/>
  <c r="AB290" i="16"/>
  <c r="AB287" i="16"/>
  <c r="AB207" i="16" s="1"/>
  <c r="AB294" i="16"/>
  <c r="U60" i="16"/>
  <c r="U10" i="16" s="1"/>
  <c r="U11" i="16" s="1"/>
  <c r="U16" i="16" s="1"/>
  <c r="U15" i="16" s="1"/>
  <c r="U46" i="16" s="1"/>
  <c r="L140" i="16"/>
  <c r="L24" i="16" s="1"/>
  <c r="O178" i="16"/>
  <c r="O177" i="16"/>
  <c r="O176" i="16"/>
  <c r="O179" i="16"/>
  <c r="O180" i="16" s="1"/>
  <c r="E267" i="16"/>
  <c r="E34" i="16" s="1"/>
  <c r="AA267" i="16"/>
  <c r="AA34" i="16" s="1"/>
  <c r="T267" i="16"/>
  <c r="T34" i="16" s="1"/>
  <c r="Y18" i="17"/>
  <c r="X60" i="17"/>
  <c r="Z76" i="17"/>
  <c r="Z13" i="17" s="1"/>
  <c r="Q156" i="17"/>
  <c r="Q27" i="17" s="1"/>
  <c r="V303" i="15"/>
  <c r="AD35" i="16"/>
  <c r="AD41" i="16" s="1"/>
  <c r="AD40" i="16" s="1"/>
  <c r="AD283" i="16" s="1"/>
  <c r="AC298" i="16"/>
  <c r="AC295" i="16"/>
  <c r="AC289" i="16"/>
  <c r="AC291" i="16"/>
  <c r="AC288" i="16"/>
  <c r="AC290" i="16"/>
  <c r="AC287" i="16"/>
  <c r="AC294" i="16"/>
  <c r="AC296" i="16"/>
  <c r="AC292" i="16"/>
  <c r="AA251" i="16"/>
  <c r="AB140" i="16"/>
  <c r="U140" i="16"/>
  <c r="U24" i="16" s="1"/>
  <c r="P177" i="16"/>
  <c r="P176" i="16"/>
  <c r="F267" i="16"/>
  <c r="F34" i="16" s="1"/>
  <c r="AB267" i="16"/>
  <c r="AB34" i="16" s="1"/>
  <c r="U267" i="16"/>
  <c r="U34" i="16" s="1"/>
  <c r="AE150" i="17"/>
  <c r="AD150" i="17"/>
  <c r="H308" i="15"/>
  <c r="K291" i="16"/>
  <c r="K294" i="16"/>
  <c r="K288" i="16"/>
  <c r="K293" i="16"/>
  <c r="K290" i="16"/>
  <c r="K295" i="16"/>
  <c r="K296" i="16"/>
  <c r="K297" i="16"/>
  <c r="K298" i="16"/>
  <c r="V156" i="16"/>
  <c r="V27" i="16" s="1"/>
  <c r="J267" i="16"/>
  <c r="J34" i="16" s="1"/>
  <c r="Y267" i="16"/>
  <c r="S303" i="16"/>
  <c r="S207" i="16" s="1"/>
  <c r="R303" i="16"/>
  <c r="R207" i="16" s="1"/>
  <c r="H60" i="17"/>
  <c r="H10" i="17" s="1"/>
  <c r="H11" i="17" s="1"/>
  <c r="H16" i="17" s="1"/>
  <c r="AC76" i="17"/>
  <c r="R140" i="16"/>
  <c r="R24" i="16" s="1"/>
  <c r="F156" i="16"/>
  <c r="F27" i="16" s="1"/>
  <c r="AB156" i="16"/>
  <c r="AB27" i="16" s="1"/>
  <c r="K267" i="16"/>
  <c r="D267" i="16"/>
  <c r="D34" i="16" s="1"/>
  <c r="Z267" i="16"/>
  <c r="Z34" i="16" s="1"/>
  <c r="I283" i="16"/>
  <c r="I40" i="16" s="1"/>
  <c r="U11" i="17"/>
  <c r="U16" i="17" s="1"/>
  <c r="I290" i="17"/>
  <c r="I298" i="17"/>
  <c r="I287" i="17"/>
  <c r="I207" i="17" s="1"/>
  <c r="I295" i="17"/>
  <c r="I292" i="17"/>
  <c r="I288" i="17"/>
  <c r="I296" i="17"/>
  <c r="I294" i="17"/>
  <c r="I289" i="17"/>
  <c r="I293" i="17"/>
  <c r="I291" i="17"/>
  <c r="I297" i="17"/>
  <c r="AE290" i="17"/>
  <c r="AE298" i="17"/>
  <c r="AE287" i="17"/>
  <c r="AE295" i="17"/>
  <c r="AE292" i="17"/>
  <c r="AE297" i="17"/>
  <c r="AE296" i="17"/>
  <c r="AE289" i="17"/>
  <c r="AE288" i="17"/>
  <c r="AE291" i="17"/>
  <c r="AE294" i="17"/>
  <c r="T177" i="17"/>
  <c r="M299" i="19"/>
  <c r="M39" i="19"/>
  <c r="M297" i="16"/>
  <c r="M291" i="16"/>
  <c r="M288" i="16"/>
  <c r="M208" i="16" s="1"/>
  <c r="M298" i="16"/>
  <c r="M287" i="16"/>
  <c r="M207" i="16" s="1"/>
  <c r="M294" i="16"/>
  <c r="M295" i="16"/>
  <c r="M296" i="16"/>
  <c r="M293" i="16"/>
  <c r="S140" i="16"/>
  <c r="S24" i="16" s="1"/>
  <c r="G156" i="16"/>
  <c r="G27" i="16" s="1"/>
  <c r="AC156" i="16"/>
  <c r="L267" i="16"/>
  <c r="L34" i="16" s="1"/>
  <c r="K292" i="16"/>
  <c r="T303" i="16"/>
  <c r="D6" i="17"/>
  <c r="C14" i="17"/>
  <c r="C27" i="1" s="1"/>
  <c r="C43" i="1" s="1"/>
  <c r="Z6" i="17"/>
  <c r="Y14" i="17"/>
  <c r="Y27" i="1" s="1"/>
  <c r="Y43" i="1" s="1"/>
  <c r="AE7" i="17"/>
  <c r="AD153" i="17"/>
  <c r="P283" i="16"/>
  <c r="P40" i="16" s="1"/>
  <c r="V303" i="16"/>
  <c r="U303" i="16"/>
  <c r="U207" i="16" s="1"/>
  <c r="D14" i="17"/>
  <c r="D27" i="1" s="1"/>
  <c r="E6" i="17"/>
  <c r="Z14" i="17"/>
  <c r="AA6" i="17"/>
  <c r="G76" i="17"/>
  <c r="V176" i="17"/>
  <c r="V177" i="17" s="1"/>
  <c r="U176" i="17"/>
  <c r="U177" i="17" s="1"/>
  <c r="J179" i="16"/>
  <c r="N267" i="16"/>
  <c r="N34" i="16" s="1"/>
  <c r="M292" i="16"/>
  <c r="F49" i="17"/>
  <c r="B304" i="17"/>
  <c r="B305" i="17" s="1"/>
  <c r="V140" i="16"/>
  <c r="V24" i="16" s="1"/>
  <c r="O267" i="16"/>
  <c r="O34" i="16" s="1"/>
  <c r="K289" i="16"/>
  <c r="AB304" i="16"/>
  <c r="B66" i="17"/>
  <c r="T140" i="17"/>
  <c r="T24" i="17" s="1"/>
  <c r="W140" i="16"/>
  <c r="W24" i="16" s="1"/>
  <c r="M289" i="16"/>
  <c r="AC207" i="16"/>
  <c r="AE219" i="17"/>
  <c r="AE35" i="17"/>
  <c r="AE41" i="17" s="1"/>
  <c r="AE40" i="17" s="1"/>
  <c r="AE283" i="17" s="1"/>
  <c r="O76" i="17"/>
  <c r="Y76" i="17"/>
  <c r="AD72" i="17" s="1"/>
  <c r="E156" i="16"/>
  <c r="E27" i="16" s="1"/>
  <c r="AA156" i="16"/>
  <c r="AA27" i="16" s="1"/>
  <c r="Q178" i="16"/>
  <c r="M267" i="16"/>
  <c r="M34" i="16" s="1"/>
  <c r="X76" i="17"/>
  <c r="X13" i="17" s="1"/>
  <c r="R140" i="17"/>
  <c r="R24" i="17" s="1"/>
  <c r="M13" i="19"/>
  <c r="S283" i="16"/>
  <c r="S40" i="16" s="1"/>
  <c r="U140" i="17"/>
  <c r="U24" i="17" s="1"/>
  <c r="H156" i="16"/>
  <c r="H27" i="16" s="1"/>
  <c r="T178" i="16"/>
  <c r="P267" i="16"/>
  <c r="P34" i="16" s="1"/>
  <c r="T283" i="16"/>
  <c r="T40" i="16" s="1"/>
  <c r="V287" i="16"/>
  <c r="V292" i="16"/>
  <c r="AB305" i="16"/>
  <c r="K14" i="17"/>
  <c r="K27" i="1" s="1"/>
  <c r="L6" i="17"/>
  <c r="V291" i="17"/>
  <c r="V288" i="17"/>
  <c r="V296" i="17"/>
  <c r="V293" i="17"/>
  <c r="V292" i="17"/>
  <c r="V295" i="17"/>
  <c r="V294" i="17"/>
  <c r="V297" i="17"/>
  <c r="V289" i="17"/>
  <c r="V287" i="17"/>
  <c r="V290" i="17"/>
  <c r="V298" i="17"/>
  <c r="U107" i="19"/>
  <c r="U123" i="19" s="1"/>
  <c r="U233" i="19"/>
  <c r="U249" i="19" s="1"/>
  <c r="R112" i="19"/>
  <c r="I156" i="16"/>
  <c r="I27" i="16" s="1"/>
  <c r="U177" i="16"/>
  <c r="U283" i="16"/>
  <c r="U40" i="16" s="1"/>
  <c r="X287" i="16"/>
  <c r="X207" i="16" s="1"/>
  <c r="H303" i="16"/>
  <c r="H207" i="16" s="1"/>
  <c r="AD303" i="16"/>
  <c r="L14" i="17"/>
  <c r="L27" i="1" s="1"/>
  <c r="L43" i="1" s="1"/>
  <c r="M6" i="17"/>
  <c r="W140" i="17"/>
  <c r="W24" i="17" s="1"/>
  <c r="W16" i="2" s="1"/>
  <c r="AB178" i="17"/>
  <c r="V233" i="19"/>
  <c r="V249" i="19" s="1"/>
  <c r="V107" i="19"/>
  <c r="V123" i="19" s="1"/>
  <c r="V92" i="19"/>
  <c r="J156" i="16"/>
  <c r="J27" i="16" s="1"/>
  <c r="B288" i="17"/>
  <c r="B296" i="17"/>
  <c r="B293" i="17"/>
  <c r="B298" i="17"/>
  <c r="B297" i="17"/>
  <c r="B287" i="17"/>
  <c r="B289" i="17"/>
  <c r="B291" i="17"/>
  <c r="B294" i="17"/>
  <c r="B292" i="17"/>
  <c r="B295" i="17"/>
  <c r="X288" i="17"/>
  <c r="X296" i="17"/>
  <c r="X293" i="17"/>
  <c r="X291" i="17"/>
  <c r="X294" i="17"/>
  <c r="X297" i="17"/>
  <c r="X292" i="17"/>
  <c r="X290" i="17"/>
  <c r="X295" i="17"/>
  <c r="X298" i="17"/>
  <c r="X289" i="17"/>
  <c r="AD71" i="17"/>
  <c r="X140" i="17"/>
  <c r="AC179" i="17"/>
  <c r="D106" i="19"/>
  <c r="D122" i="19" s="1"/>
  <c r="D232" i="19"/>
  <c r="D248" i="19" s="1"/>
  <c r="W177" i="16"/>
  <c r="W283" i="16"/>
  <c r="W40" i="16" s="1"/>
  <c r="C288" i="17"/>
  <c r="C296" i="17"/>
  <c r="C293" i="17"/>
  <c r="C290" i="17"/>
  <c r="C297" i="17"/>
  <c r="C287" i="17"/>
  <c r="C298" i="17"/>
  <c r="C291" i="17"/>
  <c r="C289" i="17"/>
  <c r="C292" i="17"/>
  <c r="C295" i="17"/>
  <c r="C294" i="17"/>
  <c r="Y288" i="17"/>
  <c r="Y296" i="17"/>
  <c r="Y293" i="17"/>
  <c r="Y290" i="17"/>
  <c r="Y295" i="17"/>
  <c r="Y298" i="17"/>
  <c r="Y287" i="17"/>
  <c r="Y297" i="17"/>
  <c r="Y292" i="17"/>
  <c r="Y289" i="17"/>
  <c r="Y294" i="17"/>
  <c r="Y291" i="17"/>
  <c r="I156" i="17"/>
  <c r="AE179" i="17"/>
  <c r="O226" i="19"/>
  <c r="O242" i="19" s="1"/>
  <c r="O100" i="19"/>
  <c r="O116" i="19" s="1"/>
  <c r="K228" i="19"/>
  <c r="K102" i="19"/>
  <c r="K118" i="19" s="1"/>
  <c r="E106" i="19"/>
  <c r="E122" i="19" s="1"/>
  <c r="E232" i="19"/>
  <c r="E248" i="19" s="1"/>
  <c r="B177" i="16"/>
  <c r="X177" i="16"/>
  <c r="F303" i="16"/>
  <c r="I11" i="17"/>
  <c r="I16" i="17" s="1"/>
  <c r="B18" i="17"/>
  <c r="D296" i="17"/>
  <c r="D293" i="17"/>
  <c r="D290" i="17"/>
  <c r="D291" i="17"/>
  <c r="D289" i="17"/>
  <c r="D294" i="17"/>
  <c r="D292" i="17"/>
  <c r="D295" i="17"/>
  <c r="D298" i="17"/>
  <c r="D287" i="17"/>
  <c r="Z296" i="17"/>
  <c r="Z293" i="17"/>
  <c r="Z290" i="17"/>
  <c r="Z295" i="17"/>
  <c r="Z294" i="17"/>
  <c r="Z298" i="17"/>
  <c r="Z297" i="17"/>
  <c r="Z287" i="17"/>
  <c r="Z292" i="17"/>
  <c r="Z289" i="17"/>
  <c r="Z288" i="17"/>
  <c r="Z291" i="17"/>
  <c r="I140" i="17"/>
  <c r="I24" i="17" s="1"/>
  <c r="I16" i="2" s="1"/>
  <c r="I27" i="2" s="1"/>
  <c r="AB5" i="19"/>
  <c r="V296" i="16"/>
  <c r="V297" i="16"/>
  <c r="V298" i="16"/>
  <c r="Q176" i="16"/>
  <c r="G303" i="16"/>
  <c r="O210" i="16"/>
  <c r="AC35" i="17"/>
  <c r="AC41" i="17" s="1"/>
  <c r="AC40" i="17" s="1"/>
  <c r="E296" i="17"/>
  <c r="E293" i="17"/>
  <c r="E290" i="17"/>
  <c r="E298" i="17"/>
  <c r="E287" i="17"/>
  <c r="E292" i="17"/>
  <c r="E291" i="17"/>
  <c r="E289" i="17"/>
  <c r="E294" i="17"/>
  <c r="E295" i="17"/>
  <c r="AA296" i="17"/>
  <c r="AA293" i="17"/>
  <c r="AA290" i="17"/>
  <c r="AA298" i="17"/>
  <c r="AA287" i="17"/>
  <c r="AA295" i="17"/>
  <c r="AA294" i="17"/>
  <c r="AA297" i="17"/>
  <c r="AA292" i="17"/>
  <c r="AA288" i="17"/>
  <c r="AA289" i="17"/>
  <c r="AA291" i="17"/>
  <c r="J140" i="17"/>
  <c r="J24" i="17" s="1"/>
  <c r="J16" i="2" s="1"/>
  <c r="F179" i="17"/>
  <c r="X287" i="17"/>
  <c r="Z276" i="19"/>
  <c r="Z279" i="19"/>
  <c r="AB279" i="19" s="1"/>
  <c r="Z278" i="19"/>
  <c r="AB278" i="19" s="1"/>
  <c r="Z277" i="19"/>
  <c r="AB277" i="19" s="1"/>
  <c r="Z151" i="19"/>
  <c r="AB151" i="19" s="1"/>
  <c r="Z149" i="19"/>
  <c r="AB149" i="19" s="1"/>
  <c r="Z281" i="19"/>
  <c r="AB281" i="19" s="1"/>
  <c r="Z154" i="19"/>
  <c r="AB154" i="19" s="1"/>
  <c r="U178" i="16"/>
  <c r="U179" i="16" s="1"/>
  <c r="D177" i="16"/>
  <c r="Z177" i="16"/>
  <c r="V289" i="16"/>
  <c r="I207" i="16"/>
  <c r="AD303" i="17"/>
  <c r="AD207" i="17" s="1"/>
  <c r="AD304" i="17"/>
  <c r="AD208" i="17" s="1"/>
  <c r="F293" i="17"/>
  <c r="F290" i="17"/>
  <c r="F298" i="17"/>
  <c r="F287" i="17"/>
  <c r="F289" i="17"/>
  <c r="F292" i="17"/>
  <c r="F291" i="17"/>
  <c r="F296" i="17"/>
  <c r="F294" i="17"/>
  <c r="F295" i="17"/>
  <c r="F288" i="17"/>
  <c r="AB293" i="17"/>
  <c r="AB290" i="17"/>
  <c r="AB210" i="17" s="1"/>
  <c r="AB298" i="17"/>
  <c r="AB287" i="17"/>
  <c r="AB207" i="17" s="1"/>
  <c r="AB294" i="17"/>
  <c r="AB297" i="17"/>
  <c r="AB296" i="17"/>
  <c r="AB292" i="17"/>
  <c r="AB295" i="17"/>
  <c r="AB289" i="17"/>
  <c r="AB209" i="17" s="1"/>
  <c r="AB288" i="17"/>
  <c r="AB208" i="17" s="1"/>
  <c r="AB291" i="17"/>
  <c r="AD74" i="17"/>
  <c r="AD73" i="17"/>
  <c r="AD70" i="17"/>
  <c r="AD152" i="17"/>
  <c r="X27" i="17"/>
  <c r="V156" i="17"/>
  <c r="V27" i="17" s="1"/>
  <c r="R176" i="17"/>
  <c r="R177" i="17" s="1"/>
  <c r="Q176" i="17"/>
  <c r="Q177" i="17"/>
  <c r="D288" i="17"/>
  <c r="J35" i="19"/>
  <c r="J41" i="19" s="1"/>
  <c r="AA146" i="19"/>
  <c r="AA153" i="19"/>
  <c r="AA149" i="19"/>
  <c r="AA274" i="19"/>
  <c r="B296" i="16"/>
  <c r="B292" i="16"/>
  <c r="B295" i="16"/>
  <c r="B289" i="16"/>
  <c r="B291" i="16"/>
  <c r="B288" i="16"/>
  <c r="B290" i="16"/>
  <c r="B287" i="16"/>
  <c r="B294" i="16"/>
  <c r="B293" i="16"/>
  <c r="X296" i="16"/>
  <c r="X292" i="16"/>
  <c r="X289" i="16"/>
  <c r="X297" i="16"/>
  <c r="X298" i="16"/>
  <c r="S176" i="16"/>
  <c r="Q177" i="16"/>
  <c r="E177" i="16"/>
  <c r="AA177" i="16"/>
  <c r="J207" i="16"/>
  <c r="AC304" i="16"/>
  <c r="AC208" i="16" s="1"/>
  <c r="E18" i="17"/>
  <c r="G293" i="17"/>
  <c r="G290" i="17"/>
  <c r="G298" i="17"/>
  <c r="G287" i="17"/>
  <c r="G295" i="17"/>
  <c r="G289" i="17"/>
  <c r="G288" i="17"/>
  <c r="G291" i="17"/>
  <c r="G296" i="17"/>
  <c r="G294" i="17"/>
  <c r="G292" i="17"/>
  <c r="AC293" i="17"/>
  <c r="AC290" i="17"/>
  <c r="AC298" i="17"/>
  <c r="AC287" i="17"/>
  <c r="AC295" i="17"/>
  <c r="AC296" i="17"/>
  <c r="AC297" i="17"/>
  <c r="AC288" i="17"/>
  <c r="AC292" i="17"/>
  <c r="AC291" i="17"/>
  <c r="AC289" i="17"/>
  <c r="AC294" i="17"/>
  <c r="AE72" i="17"/>
  <c r="AE69" i="17"/>
  <c r="AE66" i="17"/>
  <c r="AE68" i="17"/>
  <c r="AE71" i="17"/>
  <c r="AE65" i="17"/>
  <c r="AE70" i="17"/>
  <c r="AE64" i="17"/>
  <c r="AE74" i="17"/>
  <c r="L140" i="17"/>
  <c r="AE147" i="17"/>
  <c r="Y156" i="17"/>
  <c r="E255" i="17"/>
  <c r="Q267" i="17"/>
  <c r="Q34" i="17" s="1"/>
  <c r="E288" i="17"/>
  <c r="K299" i="19"/>
  <c r="K39" i="19"/>
  <c r="K303" i="16"/>
  <c r="K207" i="16" s="1"/>
  <c r="M140" i="17"/>
  <c r="AA140" i="17"/>
  <c r="AA24" i="17" s="1"/>
  <c r="D148" i="17"/>
  <c r="C148" i="17"/>
  <c r="F305" i="17"/>
  <c r="M178" i="16"/>
  <c r="N292" i="17"/>
  <c r="N289" i="17"/>
  <c r="N297" i="17"/>
  <c r="N287" i="17"/>
  <c r="N290" i="17"/>
  <c r="N294" i="17"/>
  <c r="N295" i="17"/>
  <c r="N298" i="17"/>
  <c r="N296" i="17"/>
  <c r="N288" i="17"/>
  <c r="N293" i="17"/>
  <c r="Z60" i="17"/>
  <c r="M267" i="17"/>
  <c r="U7" i="19"/>
  <c r="B153" i="19"/>
  <c r="L283" i="16"/>
  <c r="L40" i="16" s="1"/>
  <c r="W209" i="16"/>
  <c r="J304" i="16"/>
  <c r="O14" i="17"/>
  <c r="O27" i="1" s="1"/>
  <c r="O43" i="1" s="1"/>
  <c r="P6" i="17"/>
  <c r="K60" i="17"/>
  <c r="B55" i="17" s="1"/>
  <c r="AA60" i="17"/>
  <c r="AA10" i="17" s="1"/>
  <c r="AA11" i="17" s="1"/>
  <c r="AA16" i="17" s="1"/>
  <c r="O140" i="17"/>
  <c r="F139" i="17" s="1"/>
  <c r="B150" i="17"/>
  <c r="F260" i="17"/>
  <c r="H305" i="17"/>
  <c r="M283" i="16"/>
  <c r="M40" i="16" s="1"/>
  <c r="N303" i="16"/>
  <c r="N304" i="16"/>
  <c r="X209" i="16"/>
  <c r="P289" i="17"/>
  <c r="P297" i="17"/>
  <c r="P294" i="17"/>
  <c r="P291" i="17"/>
  <c r="P290" i="17"/>
  <c r="P293" i="17"/>
  <c r="P296" i="17"/>
  <c r="P295" i="17"/>
  <c r="P292" i="17"/>
  <c r="P287" i="17"/>
  <c r="P298" i="17"/>
  <c r="P288" i="17"/>
  <c r="P208" i="17" s="1"/>
  <c r="N291" i="17"/>
  <c r="O7" i="19"/>
  <c r="N283" i="16"/>
  <c r="N40" i="16" s="1"/>
  <c r="R6" i="17"/>
  <c r="Q14" i="17"/>
  <c r="Q27" i="1" s="1"/>
  <c r="AC60" i="17"/>
  <c r="AE52" i="17" s="1"/>
  <c r="E51" i="17"/>
  <c r="E56" i="17"/>
  <c r="I76" i="17"/>
  <c r="I13" i="17" s="1"/>
  <c r="K178" i="17"/>
  <c r="S303" i="17"/>
  <c r="S304" i="17" s="1"/>
  <c r="C6" i="19"/>
  <c r="B14" i="19"/>
  <c r="X14" i="19"/>
  <c r="Y6" i="19"/>
  <c r="P7" i="19"/>
  <c r="P11" i="19"/>
  <c r="P16" i="19" s="1"/>
  <c r="O283" i="16"/>
  <c r="O40" i="16" s="1"/>
  <c r="F50" i="17"/>
  <c r="F58" i="17"/>
  <c r="F54" i="17"/>
  <c r="J76" i="17"/>
  <c r="J13" i="17" s="1"/>
  <c r="AC23" i="17"/>
  <c r="AA156" i="17"/>
  <c r="AA27" i="17" s="1"/>
  <c r="T304" i="17"/>
  <c r="T208" i="17" s="1"/>
  <c r="U303" i="17"/>
  <c r="T303" i="17"/>
  <c r="T207" i="17" s="1"/>
  <c r="T305" i="17"/>
  <c r="D6" i="19"/>
  <c r="C14" i="19"/>
  <c r="Z6" i="19"/>
  <c r="Y14" i="19"/>
  <c r="R156" i="19"/>
  <c r="R27" i="19" s="1"/>
  <c r="E144" i="19"/>
  <c r="L176" i="16"/>
  <c r="O60" i="17"/>
  <c r="E49" i="17" s="1"/>
  <c r="C70" i="17"/>
  <c r="C67" i="17"/>
  <c r="C75" i="17"/>
  <c r="C69" i="17"/>
  <c r="C73" i="17"/>
  <c r="C65" i="17"/>
  <c r="AD33" i="17"/>
  <c r="AD251" i="17"/>
  <c r="AE124" i="17"/>
  <c r="S140" i="17"/>
  <c r="S24" i="17" s="1"/>
  <c r="S16" i="2" s="1"/>
  <c r="M179" i="17"/>
  <c r="M178" i="17"/>
  <c r="M177" i="17"/>
  <c r="V6" i="19"/>
  <c r="V7" i="19"/>
  <c r="J15" i="19"/>
  <c r="E52" i="19"/>
  <c r="E55" i="19"/>
  <c r="E59" i="19"/>
  <c r="E54" i="19"/>
  <c r="D57" i="19"/>
  <c r="B57" i="19"/>
  <c r="E51" i="19"/>
  <c r="E49" i="19"/>
  <c r="D49" i="19"/>
  <c r="C57" i="19"/>
  <c r="C49" i="19"/>
  <c r="K13" i="19"/>
  <c r="B74" i="19"/>
  <c r="B66" i="19"/>
  <c r="Q283" i="16"/>
  <c r="Q40" i="16" s="1"/>
  <c r="P60" i="17"/>
  <c r="P10" i="17" s="1"/>
  <c r="P11" i="17" s="1"/>
  <c r="P16" i="17" s="1"/>
  <c r="L76" i="17"/>
  <c r="C71" i="17" s="1"/>
  <c r="B70" i="17"/>
  <c r="B130" i="17"/>
  <c r="AC156" i="17"/>
  <c r="N177" i="17"/>
  <c r="N178" i="17" s="1"/>
  <c r="P283" i="17"/>
  <c r="P40" i="17" s="1"/>
  <c r="D271" i="17"/>
  <c r="V304" i="17"/>
  <c r="V208" i="17" s="1"/>
  <c r="V303" i="17"/>
  <c r="E14" i="19"/>
  <c r="F6" i="19"/>
  <c r="C66" i="17"/>
  <c r="L156" i="17"/>
  <c r="F144" i="17"/>
  <c r="D144" i="17"/>
  <c r="AD155" i="17"/>
  <c r="D151" i="17"/>
  <c r="P176" i="17"/>
  <c r="P177" i="17" s="1"/>
  <c r="O176" i="17"/>
  <c r="Q283" i="17"/>
  <c r="Q40" i="17" s="1"/>
  <c r="T36" i="19"/>
  <c r="E112" i="19"/>
  <c r="E239" i="19" s="1"/>
  <c r="E160" i="19"/>
  <c r="AE265" i="17"/>
  <c r="R160" i="19"/>
  <c r="E229" i="19"/>
  <c r="E245" i="19" s="1"/>
  <c r="E103" i="19"/>
  <c r="E119" i="19" s="1"/>
  <c r="T156" i="19"/>
  <c r="I305" i="16"/>
  <c r="AE305" i="16"/>
  <c r="AE137" i="17"/>
  <c r="AE130" i="17"/>
  <c r="M60" i="17"/>
  <c r="D50" i="17" s="1"/>
  <c r="V76" i="17"/>
  <c r="V13" i="17" s="1"/>
  <c r="V26" i="1" s="1"/>
  <c r="F152" i="17"/>
  <c r="AD290" i="17"/>
  <c r="AD298" i="17"/>
  <c r="AD287" i="17"/>
  <c r="AD295" i="17"/>
  <c r="AD297" i="17"/>
  <c r="AD289" i="17"/>
  <c r="AD288" i="17"/>
  <c r="AD292" i="17"/>
  <c r="AD291" i="17"/>
  <c r="AD294" i="17"/>
  <c r="N35" i="19"/>
  <c r="N41" i="19" s="1"/>
  <c r="N36" i="19" s="1"/>
  <c r="F229" i="19"/>
  <c r="F103" i="19"/>
  <c r="F119" i="19" s="1"/>
  <c r="T233" i="19"/>
  <c r="T249" i="19" s="1"/>
  <c r="T107" i="19"/>
  <c r="T123" i="19" s="1"/>
  <c r="U156" i="19"/>
  <c r="U27" i="19" s="1"/>
  <c r="Q289" i="17"/>
  <c r="Q297" i="17"/>
  <c r="Q294" i="17"/>
  <c r="Q291" i="17"/>
  <c r="Q290" i="17"/>
  <c r="Q293" i="17"/>
  <c r="Q292" i="17"/>
  <c r="Q295" i="17"/>
  <c r="Q287" i="17"/>
  <c r="Q207" i="17" s="1"/>
  <c r="Q298" i="17"/>
  <c r="Q60" i="17"/>
  <c r="Q10" i="17" s="1"/>
  <c r="Q11" i="17" s="1"/>
  <c r="Q16" i="17" s="1"/>
  <c r="B64" i="17"/>
  <c r="AE131" i="17"/>
  <c r="AE136" i="17"/>
  <c r="D264" i="17"/>
  <c r="I305" i="17"/>
  <c r="I208" i="17"/>
  <c r="R299" i="19"/>
  <c r="R39" i="19"/>
  <c r="P226" i="19"/>
  <c r="P242" i="19" s="1"/>
  <c r="P100" i="19"/>
  <c r="P116" i="19" s="1"/>
  <c r="P243" i="19" s="1"/>
  <c r="N227" i="19"/>
  <c r="N243" i="19" s="1"/>
  <c r="N101" i="19"/>
  <c r="N117" i="19" s="1"/>
  <c r="L228" i="19"/>
  <c r="L244" i="19" s="1"/>
  <c r="L102" i="19"/>
  <c r="L118" i="19" s="1"/>
  <c r="F106" i="19"/>
  <c r="F122" i="19" s="1"/>
  <c r="F232" i="19"/>
  <c r="F248" i="19" s="1"/>
  <c r="N305" i="16"/>
  <c r="N209" i="16" s="1"/>
  <c r="R60" i="17"/>
  <c r="R10" i="17" s="1"/>
  <c r="R23" i="1" s="1"/>
  <c r="V140" i="17"/>
  <c r="V24" i="17" s="1"/>
  <c r="Y177" i="17"/>
  <c r="S283" i="17"/>
  <c r="S40" i="17" s="1"/>
  <c r="S35" i="19"/>
  <c r="S41" i="19" s="1"/>
  <c r="W223" i="19"/>
  <c r="W239" i="19" s="1"/>
  <c r="W97" i="19"/>
  <c r="W113" i="19" s="1"/>
  <c r="W240" i="19" s="1"/>
  <c r="S225" i="19"/>
  <c r="S99" i="19"/>
  <c r="S115" i="19" s="1"/>
  <c r="S242" i="19" s="1"/>
  <c r="O227" i="19"/>
  <c r="O243" i="19" s="1"/>
  <c r="O101" i="19"/>
  <c r="O117" i="19" s="1"/>
  <c r="O307" i="16"/>
  <c r="O6" i="17"/>
  <c r="S297" i="17"/>
  <c r="S294" i="17"/>
  <c r="S291" i="17"/>
  <c r="S288" i="17"/>
  <c r="S289" i="17"/>
  <c r="S292" i="17"/>
  <c r="S287" i="17"/>
  <c r="S290" i="17"/>
  <c r="S295" i="17"/>
  <c r="S298" i="17"/>
  <c r="E234" i="19"/>
  <c r="E250" i="19" s="1"/>
  <c r="F92" i="19"/>
  <c r="F12" i="19" s="1"/>
  <c r="F93" i="19" s="1"/>
  <c r="F96" i="19"/>
  <c r="X223" i="19"/>
  <c r="X97" i="19"/>
  <c r="X92" i="19"/>
  <c r="X12" i="19" s="1"/>
  <c r="W92" i="19"/>
  <c r="W12" i="19" s="1"/>
  <c r="W93" i="19" s="1"/>
  <c r="P304" i="16"/>
  <c r="T294" i="17"/>
  <c r="T291" i="17"/>
  <c r="T288" i="17"/>
  <c r="T293" i="17"/>
  <c r="T296" i="17"/>
  <c r="T298" i="17"/>
  <c r="T289" i="17"/>
  <c r="T287" i="17"/>
  <c r="T297" i="17"/>
  <c r="T292" i="17"/>
  <c r="T295" i="17"/>
  <c r="T60" i="17"/>
  <c r="T10" i="17" s="1"/>
  <c r="T23" i="1" s="1"/>
  <c r="N76" i="17"/>
  <c r="D74" i="17" s="1"/>
  <c r="K76" i="17"/>
  <c r="K267" i="17"/>
  <c r="E279" i="17"/>
  <c r="D279" i="17"/>
  <c r="C279" i="17"/>
  <c r="E281" i="17"/>
  <c r="Q288" i="17"/>
  <c r="F234" i="19"/>
  <c r="F250" i="19" s="1"/>
  <c r="G96" i="19"/>
  <c r="G92" i="19"/>
  <c r="G12" i="19" s="1"/>
  <c r="G93" i="19" s="1"/>
  <c r="Q304" i="16"/>
  <c r="U294" i="17"/>
  <c r="U291" i="17"/>
  <c r="U288" i="17"/>
  <c r="U296" i="17"/>
  <c r="U293" i="17"/>
  <c r="U292" i="17"/>
  <c r="U295" i="17"/>
  <c r="U298" i="17"/>
  <c r="U297" i="17"/>
  <c r="U289" i="17"/>
  <c r="U287" i="17"/>
  <c r="U290" i="17"/>
  <c r="Y140" i="17"/>
  <c r="AE129" i="17" s="1"/>
  <c r="Q140" i="17"/>
  <c r="Q24" i="17" s="1"/>
  <c r="L267" i="17"/>
  <c r="AE259" i="17"/>
  <c r="T242" i="19"/>
  <c r="W291" i="17"/>
  <c r="W288" i="17"/>
  <c r="W296" i="17"/>
  <c r="W293" i="17"/>
  <c r="W292" i="17"/>
  <c r="W295" i="17"/>
  <c r="W294" i="17"/>
  <c r="W287" i="17"/>
  <c r="W297" i="17"/>
  <c r="W290" i="17"/>
  <c r="W298" i="17"/>
  <c r="W289" i="17"/>
  <c r="W60" i="17"/>
  <c r="W10" i="17" s="1"/>
  <c r="W23" i="1" s="1"/>
  <c r="Q76" i="17"/>
  <c r="Q13" i="17" s="1"/>
  <c r="Q26" i="1" s="1"/>
  <c r="F256" i="17"/>
  <c r="E256" i="17"/>
  <c r="O267" i="17"/>
  <c r="K7" i="19"/>
  <c r="K11" i="19"/>
  <c r="K16" i="19" s="1"/>
  <c r="P140" i="17"/>
  <c r="G130" i="17" s="1"/>
  <c r="W176" i="17"/>
  <c r="W177" i="17" s="1"/>
  <c r="O288" i="17"/>
  <c r="W304" i="17"/>
  <c r="W208" i="17" s="1"/>
  <c r="W303" i="17"/>
  <c r="W6" i="19"/>
  <c r="W7" i="19"/>
  <c r="G234" i="19"/>
  <c r="G250" i="19" s="1"/>
  <c r="H96" i="19"/>
  <c r="T225" i="19"/>
  <c r="T241" i="19" s="1"/>
  <c r="T99" i="19"/>
  <c r="T115" i="19" s="1"/>
  <c r="H92" i="19"/>
  <c r="H12" i="19" s="1"/>
  <c r="H93" i="19" s="1"/>
  <c r="V156" i="19"/>
  <c r="V27" i="19" s="1"/>
  <c r="P7" i="20"/>
  <c r="P11" i="20"/>
  <c r="P16" i="20" s="1"/>
  <c r="P15" i="20" s="1"/>
  <c r="P45" i="20" s="1"/>
  <c r="B148" i="20"/>
  <c r="AE303" i="17"/>
  <c r="H290" i="17"/>
  <c r="H298" i="17"/>
  <c r="H287" i="17"/>
  <c r="H207" i="17" s="1"/>
  <c r="H295" i="17"/>
  <c r="H289" i="17"/>
  <c r="H288" i="17"/>
  <c r="H208" i="17" s="1"/>
  <c r="H291" i="17"/>
  <c r="H296" i="17"/>
  <c r="H294" i="17"/>
  <c r="H292" i="17"/>
  <c r="H297" i="17"/>
  <c r="B151" i="17"/>
  <c r="C176" i="17"/>
  <c r="B176" i="17"/>
  <c r="X177" i="17"/>
  <c r="X178" i="17" s="1"/>
  <c r="Y176" i="17"/>
  <c r="X176" i="17"/>
  <c r="Z283" i="17"/>
  <c r="Z40" i="17" s="1"/>
  <c r="C303" i="17"/>
  <c r="Y303" i="17"/>
  <c r="X303" i="17"/>
  <c r="X207" i="17" s="1"/>
  <c r="Y304" i="17"/>
  <c r="Y208" i="17" s="1"/>
  <c r="X304" i="17"/>
  <c r="H6" i="19"/>
  <c r="G14" i="19"/>
  <c r="AA5" i="19"/>
  <c r="S7" i="19"/>
  <c r="W156" i="19"/>
  <c r="W27" i="19" s="1"/>
  <c r="U176" i="20"/>
  <c r="U160" i="20"/>
  <c r="J298" i="17"/>
  <c r="J287" i="17"/>
  <c r="J295" i="17"/>
  <c r="J292" i="17"/>
  <c r="J289" i="17"/>
  <c r="J294" i="17"/>
  <c r="J296" i="17"/>
  <c r="J297" i="17"/>
  <c r="B144" i="17"/>
  <c r="V267" i="17"/>
  <c r="V34" i="17" s="1"/>
  <c r="T283" i="17"/>
  <c r="T40" i="17" s="1"/>
  <c r="AC5" i="19"/>
  <c r="AD5" i="19" s="1"/>
  <c r="K298" i="17"/>
  <c r="K287" i="17"/>
  <c r="K295" i="17"/>
  <c r="K292" i="17"/>
  <c r="K289" i="17"/>
  <c r="K288" i="17"/>
  <c r="K291" i="17"/>
  <c r="K294" i="17"/>
  <c r="K293" i="17"/>
  <c r="K296" i="17"/>
  <c r="K297" i="17"/>
  <c r="E151" i="17"/>
  <c r="AD154" i="17"/>
  <c r="AD151" i="17"/>
  <c r="W267" i="17"/>
  <c r="W34" i="17" s="1"/>
  <c r="X36" i="19"/>
  <c r="H223" i="19"/>
  <c r="H97" i="19"/>
  <c r="H113" i="19" s="1"/>
  <c r="F240" i="19"/>
  <c r="V250" i="19"/>
  <c r="AC315" i="20"/>
  <c r="AC314" i="20"/>
  <c r="AC39" i="20"/>
  <c r="AD4" i="17"/>
  <c r="L295" i="17"/>
  <c r="L292" i="17"/>
  <c r="L289" i="17"/>
  <c r="L288" i="17"/>
  <c r="L208" i="17" s="1"/>
  <c r="L287" i="17"/>
  <c r="L207" i="17" s="1"/>
  <c r="L291" i="17"/>
  <c r="L290" i="17"/>
  <c r="L293" i="17"/>
  <c r="L294" i="17"/>
  <c r="L297" i="17"/>
  <c r="AE146" i="17"/>
  <c r="AE154" i="17"/>
  <c r="AE151" i="17"/>
  <c r="AE148" i="17"/>
  <c r="AE145" i="17"/>
  <c r="X267" i="17"/>
  <c r="AD263" i="17" s="1"/>
  <c r="AB211" i="17"/>
  <c r="AB308" i="17"/>
  <c r="C225" i="19"/>
  <c r="C99" i="19"/>
  <c r="C115" i="19" s="1"/>
  <c r="C242" i="19" s="1"/>
  <c r="Y99" i="19"/>
  <c r="Y115" i="19" s="1"/>
  <c r="Y225" i="19"/>
  <c r="W242" i="19"/>
  <c r="AC235" i="19"/>
  <c r="AB235" i="19"/>
  <c r="AA251" i="19"/>
  <c r="C303" i="16"/>
  <c r="Y303" i="16"/>
  <c r="W306" i="16"/>
  <c r="M295" i="17"/>
  <c r="M292" i="17"/>
  <c r="M289" i="17"/>
  <c r="M297" i="17"/>
  <c r="M288" i="17"/>
  <c r="M208" i="17" s="1"/>
  <c r="M287" i="17"/>
  <c r="M207" i="17" s="1"/>
  <c r="M291" i="17"/>
  <c r="M290" i="17"/>
  <c r="M294" i="17"/>
  <c r="E144" i="17"/>
  <c r="B155" i="17"/>
  <c r="B152" i="17"/>
  <c r="B149" i="17"/>
  <c r="Y267" i="17"/>
  <c r="P306" i="17"/>
  <c r="P210" i="17" s="1"/>
  <c r="P209" i="17"/>
  <c r="C155" i="17"/>
  <c r="I180" i="17"/>
  <c r="Z267" i="17"/>
  <c r="Z34" i="17" s="1"/>
  <c r="F266" i="17"/>
  <c r="E266" i="17"/>
  <c r="AB147" i="19"/>
  <c r="C54" i="19"/>
  <c r="C52" i="19"/>
  <c r="C50" i="19"/>
  <c r="C48" i="19"/>
  <c r="C51" i="19"/>
  <c r="C56" i="19"/>
  <c r="C58" i="19"/>
  <c r="C53" i="19"/>
  <c r="C55" i="19"/>
  <c r="C59" i="19"/>
  <c r="Y10" i="19"/>
  <c r="Y11" i="19" s="1"/>
  <c r="Y16" i="19" s="1"/>
  <c r="Y15" i="19" s="1"/>
  <c r="AA53" i="19"/>
  <c r="AB52" i="19"/>
  <c r="M24" i="19"/>
  <c r="C130" i="19"/>
  <c r="C133" i="19"/>
  <c r="O292" i="17"/>
  <c r="O289" i="17"/>
  <c r="O297" i="17"/>
  <c r="O294" i="17"/>
  <c r="O291" i="17"/>
  <c r="O296" i="17"/>
  <c r="O287" i="17"/>
  <c r="D149" i="17"/>
  <c r="D146" i="17"/>
  <c r="D154" i="17"/>
  <c r="AA267" i="17"/>
  <c r="AA34" i="17" s="1"/>
  <c r="O295" i="17"/>
  <c r="L160" i="19"/>
  <c r="C114" i="19"/>
  <c r="E152" i="17"/>
  <c r="E146" i="17"/>
  <c r="E154" i="17"/>
  <c r="L283" i="17"/>
  <c r="U299" i="19"/>
  <c r="U39" i="19"/>
  <c r="B299" i="19"/>
  <c r="B39" i="19"/>
  <c r="J156" i="17"/>
  <c r="B145" i="17"/>
  <c r="AE152" i="17"/>
  <c r="F149" i="17"/>
  <c r="F154" i="17"/>
  <c r="F151" i="17"/>
  <c r="M283" i="17"/>
  <c r="D281" i="17" s="1"/>
  <c r="I283" i="17"/>
  <c r="I40" i="17" s="1"/>
  <c r="H293" i="17"/>
  <c r="L296" i="17"/>
  <c r="R207" i="17"/>
  <c r="AB66" i="19"/>
  <c r="E98" i="19"/>
  <c r="E114" i="19" s="1"/>
  <c r="E241" i="19" s="1"/>
  <c r="K156" i="17"/>
  <c r="E149" i="17" s="1"/>
  <c r="L177" i="17"/>
  <c r="J283" i="17"/>
  <c r="J40" i="17" s="1"/>
  <c r="M296" i="17"/>
  <c r="M11" i="19"/>
  <c r="M16" i="19" s="1"/>
  <c r="M15" i="19" s="1"/>
  <c r="W36" i="19"/>
  <c r="F36" i="19"/>
  <c r="F98" i="19"/>
  <c r="F114" i="19" s="1"/>
  <c r="F241" i="19" s="1"/>
  <c r="O283" i="17"/>
  <c r="F275" i="17" s="1"/>
  <c r="G36" i="19"/>
  <c r="B58" i="19"/>
  <c r="B53" i="19"/>
  <c r="B55" i="19"/>
  <c r="M10" i="19"/>
  <c r="B59" i="19"/>
  <c r="W76" i="19"/>
  <c r="W13" i="19" s="1"/>
  <c r="AE127" i="20"/>
  <c r="AE130" i="20"/>
  <c r="AE133" i="20"/>
  <c r="AE129" i="20"/>
  <c r="AE136" i="20"/>
  <c r="AE132" i="20"/>
  <c r="AE128" i="20"/>
  <c r="AE135" i="20"/>
  <c r="AE131" i="20"/>
  <c r="Y24" i="20"/>
  <c r="H267" i="17"/>
  <c r="H34" i="17" s="1"/>
  <c r="F263" i="17"/>
  <c r="P6" i="19"/>
  <c r="D15" i="19"/>
  <c r="T11" i="19"/>
  <c r="T16" i="19" s="1"/>
  <c r="T7" i="19"/>
  <c r="AB296" i="19"/>
  <c r="AB292" i="19"/>
  <c r="AB288" i="19"/>
  <c r="AB287" i="19"/>
  <c r="AB291" i="19"/>
  <c r="AB290" i="19"/>
  <c r="AB289" i="19"/>
  <c r="AB294" i="19"/>
  <c r="AB298" i="19"/>
  <c r="AB295" i="19"/>
  <c r="AB293" i="19"/>
  <c r="F55" i="19"/>
  <c r="F57" i="19"/>
  <c r="F52" i="19"/>
  <c r="O10" i="19"/>
  <c r="O11" i="19" s="1"/>
  <c r="O16" i="19" s="1"/>
  <c r="O15" i="19" s="1"/>
  <c r="F51" i="19"/>
  <c r="C76" i="19"/>
  <c r="C13" i="19" s="1"/>
  <c r="Y76" i="19"/>
  <c r="Y13" i="19" s="1"/>
  <c r="O76" i="19"/>
  <c r="O13" i="19" s="1"/>
  <c r="S112" i="19"/>
  <c r="B178" i="19"/>
  <c r="I267" i="17"/>
  <c r="I34" i="17" s="1"/>
  <c r="AC296" i="19"/>
  <c r="AC292" i="19"/>
  <c r="AC288" i="19"/>
  <c r="AC287" i="19"/>
  <c r="AC291" i="19"/>
  <c r="AC290" i="19"/>
  <c r="AC289" i="19"/>
  <c r="AC295" i="19"/>
  <c r="AC294" i="19"/>
  <c r="AC293" i="19"/>
  <c r="AC298" i="19"/>
  <c r="I51" i="19"/>
  <c r="S76" i="19"/>
  <c r="S13" i="19" s="1"/>
  <c r="C228" i="19"/>
  <c r="C244" i="19" s="1"/>
  <c r="C102" i="19"/>
  <c r="C118" i="19" s="1"/>
  <c r="Y244" i="19"/>
  <c r="S229" i="19"/>
  <c r="S245" i="19" s="1"/>
  <c r="S103" i="19"/>
  <c r="S119" i="19" s="1"/>
  <c r="AB85" i="19"/>
  <c r="AB81" i="19"/>
  <c r="AB84" i="19"/>
  <c r="AB83" i="19"/>
  <c r="P177" i="19"/>
  <c r="P178" i="19" s="1"/>
  <c r="P176" i="19"/>
  <c r="Q176" i="19"/>
  <c r="S177" i="17"/>
  <c r="I179" i="17"/>
  <c r="AE180" i="17"/>
  <c r="J267" i="17"/>
  <c r="J34" i="17" s="1"/>
  <c r="AB267" i="17"/>
  <c r="AB34" i="17" s="1"/>
  <c r="D102" i="19"/>
  <c r="D228" i="19"/>
  <c r="D244" i="19" s="1"/>
  <c r="T229" i="19"/>
  <c r="T245" i="19" s="1"/>
  <c r="T103" i="19"/>
  <c r="T119" i="19" s="1"/>
  <c r="T246" i="19" s="1"/>
  <c r="Z87" i="19"/>
  <c r="R239" i="19"/>
  <c r="D247" i="19"/>
  <c r="J303" i="17"/>
  <c r="J304" i="17" s="1"/>
  <c r="G11" i="19"/>
  <c r="G16" i="19" s="1"/>
  <c r="AC11" i="19"/>
  <c r="AC16" i="19" s="1"/>
  <c r="AC15" i="19" s="1"/>
  <c r="AC58" i="19"/>
  <c r="U229" i="19"/>
  <c r="U245" i="19" s="1"/>
  <c r="U103" i="19"/>
  <c r="U119" i="19" s="1"/>
  <c r="Q231" i="19"/>
  <c r="Q247" i="19" s="1"/>
  <c r="Q105" i="19"/>
  <c r="Q121" i="19" s="1"/>
  <c r="Q248" i="19" s="1"/>
  <c r="G155" i="19"/>
  <c r="F155" i="19"/>
  <c r="Z176" i="17"/>
  <c r="F180" i="17"/>
  <c r="K303" i="17"/>
  <c r="O303" i="17"/>
  <c r="N303" i="17"/>
  <c r="E76" i="19"/>
  <c r="E13" i="19" s="1"/>
  <c r="J242" i="19"/>
  <c r="F102" i="19"/>
  <c r="F118" i="19" s="1"/>
  <c r="F228" i="19"/>
  <c r="F244" i="19" s="1"/>
  <c r="AB86" i="19"/>
  <c r="R231" i="19"/>
  <c r="R247" i="19" s="1"/>
  <c r="R105" i="19"/>
  <c r="R121" i="19" s="1"/>
  <c r="AC124" i="19"/>
  <c r="AB124" i="19"/>
  <c r="AA176" i="17"/>
  <c r="F259" i="17"/>
  <c r="V283" i="17"/>
  <c r="V40" i="17" s="1"/>
  <c r="AB58" i="19"/>
  <c r="F76" i="19"/>
  <c r="F13" i="19" s="1"/>
  <c r="M225" i="19"/>
  <c r="M241" i="19" s="1"/>
  <c r="M99" i="19"/>
  <c r="M115" i="19" s="1"/>
  <c r="I227" i="19"/>
  <c r="I243" i="19" s="1"/>
  <c r="I101" i="19"/>
  <c r="I117" i="19" s="1"/>
  <c r="G102" i="19"/>
  <c r="G118" i="19" s="1"/>
  <c r="G228" i="19"/>
  <c r="G244" i="19" s="1"/>
  <c r="W103" i="19"/>
  <c r="W119" i="19" s="1"/>
  <c r="B83" i="19"/>
  <c r="B99" i="19" s="1"/>
  <c r="B115" i="19" s="1"/>
  <c r="H177" i="17"/>
  <c r="H55" i="19"/>
  <c r="I50" i="19"/>
  <c r="H50" i="19"/>
  <c r="U10" i="19"/>
  <c r="U11" i="19" s="1"/>
  <c r="U16" i="19" s="1"/>
  <c r="I52" i="19"/>
  <c r="AA56" i="19"/>
  <c r="Z56" i="19"/>
  <c r="I56" i="19"/>
  <c r="AA51" i="19"/>
  <c r="H51" i="19"/>
  <c r="AA54" i="19"/>
  <c r="I49" i="19"/>
  <c r="Z54" i="19"/>
  <c r="Z59" i="19" s="1"/>
  <c r="H49" i="19"/>
  <c r="I76" i="19"/>
  <c r="I13" i="19" s="1"/>
  <c r="G76" i="19"/>
  <c r="G13" i="19" s="1"/>
  <c r="J227" i="19"/>
  <c r="J243" i="19" s="1"/>
  <c r="J101" i="19"/>
  <c r="J117" i="19" s="1"/>
  <c r="H102" i="19"/>
  <c r="H118" i="19" s="1"/>
  <c r="H245" i="19" s="1"/>
  <c r="H228" i="19"/>
  <c r="H244" i="19" s="1"/>
  <c r="U230" i="19"/>
  <c r="U246" i="19" s="1"/>
  <c r="U104" i="19"/>
  <c r="U120" i="19" s="1"/>
  <c r="N240" i="20"/>
  <c r="N256" i="20" s="1"/>
  <c r="N98" i="20"/>
  <c r="N114" i="20" s="1"/>
  <c r="L99" i="20"/>
  <c r="L115" i="20" s="1"/>
  <c r="L241" i="20"/>
  <c r="L257" i="20" s="1"/>
  <c r="L91" i="20"/>
  <c r="L12" i="20" s="1"/>
  <c r="L92" i="20" s="1"/>
  <c r="N91" i="20"/>
  <c r="N12" i="20" s="1"/>
  <c r="N92" i="20" s="1"/>
  <c r="D176" i="17"/>
  <c r="B274" i="17"/>
  <c r="P207" i="17"/>
  <c r="D59" i="19"/>
  <c r="Z74" i="19"/>
  <c r="AB74" i="19" s="1"/>
  <c r="C234" i="19"/>
  <c r="C250" i="19" s="1"/>
  <c r="D92" i="19"/>
  <c r="D12" i="19" s="1"/>
  <c r="D93" i="19" s="1"/>
  <c r="Y234" i="19"/>
  <c r="Y250" i="19" s="1"/>
  <c r="Z96" i="19"/>
  <c r="S224" i="19"/>
  <c r="S98" i="19"/>
  <c r="S114" i="19" s="1"/>
  <c r="M226" i="19"/>
  <c r="M242" i="19" s="1"/>
  <c r="M100" i="19"/>
  <c r="M116" i="19" s="1"/>
  <c r="K227" i="19"/>
  <c r="K243" i="19" s="1"/>
  <c r="K101" i="19"/>
  <c r="K117" i="19" s="1"/>
  <c r="V104" i="19"/>
  <c r="V120" i="19" s="1"/>
  <c r="V230" i="19"/>
  <c r="V246" i="19" s="1"/>
  <c r="Y102" i="19"/>
  <c r="Y118" i="19" s="1"/>
  <c r="F154" i="19"/>
  <c r="G154" i="19"/>
  <c r="E154" i="19"/>
  <c r="Z241" i="19"/>
  <c r="V15" i="20"/>
  <c r="V45" i="20" s="1"/>
  <c r="E176" i="17"/>
  <c r="AD176" i="17"/>
  <c r="AD177" i="17" s="1"/>
  <c r="J177" i="17"/>
  <c r="R304" i="17"/>
  <c r="R305" i="17"/>
  <c r="R209" i="17" s="1"/>
  <c r="R6" i="19"/>
  <c r="R7" i="19"/>
  <c r="F54" i="19"/>
  <c r="AB80" i="19"/>
  <c r="V223" i="19"/>
  <c r="V239" i="19" s="1"/>
  <c r="V97" i="19"/>
  <c r="N226" i="19"/>
  <c r="N242" i="19" s="1"/>
  <c r="N100" i="19"/>
  <c r="N116" i="19" s="1"/>
  <c r="Z102" i="19"/>
  <c r="Z118" i="19" s="1"/>
  <c r="Y224" i="19"/>
  <c r="Y98" i="19"/>
  <c r="U225" i="19"/>
  <c r="U241" i="19" s="1"/>
  <c r="C179" i="19"/>
  <c r="S246" i="19"/>
  <c r="B272" i="17"/>
  <c r="F280" i="17"/>
  <c r="F277" i="17"/>
  <c r="F271" i="17"/>
  <c r="D76" i="19"/>
  <c r="D13" i="19" s="1"/>
  <c r="D240" i="19"/>
  <c r="Z224" i="19"/>
  <c r="Z240" i="19" s="1"/>
  <c r="Z98" i="19"/>
  <c r="Z114" i="19" s="1"/>
  <c r="Q243" i="19"/>
  <c r="C232" i="19"/>
  <c r="C106" i="19"/>
  <c r="C122" i="19" s="1"/>
  <c r="Y232" i="19"/>
  <c r="Y248" i="19" s="1"/>
  <c r="Y106" i="19"/>
  <c r="Y122" i="19" s="1"/>
  <c r="Y249" i="19" s="1"/>
  <c r="S107" i="19"/>
  <c r="S123" i="19" s="1"/>
  <c r="S233" i="19"/>
  <c r="S249" i="19" s="1"/>
  <c r="AC137" i="19"/>
  <c r="C136" i="19"/>
  <c r="C138" i="19"/>
  <c r="C132" i="19"/>
  <c r="C134" i="19"/>
  <c r="C137" i="19"/>
  <c r="C131" i="19"/>
  <c r="C128" i="19"/>
  <c r="C139" i="19"/>
  <c r="C129" i="19"/>
  <c r="C135" i="19"/>
  <c r="X241" i="19"/>
  <c r="F304" i="19"/>
  <c r="F305" i="19" s="1"/>
  <c r="F306" i="19" s="1"/>
  <c r="F307" i="19" s="1"/>
  <c r="F308" i="19" s="1"/>
  <c r="F309" i="19" s="1"/>
  <c r="F310" i="19" s="1"/>
  <c r="F311" i="19" s="1"/>
  <c r="F312" i="19" s="1"/>
  <c r="F313" i="19" s="1"/>
  <c r="E303" i="19"/>
  <c r="E304" i="19"/>
  <c r="E305" i="19" s="1"/>
  <c r="E306" i="19" s="1"/>
  <c r="E307" i="19" s="1"/>
  <c r="E308" i="19" s="1"/>
  <c r="E309" i="19" s="1"/>
  <c r="E310" i="19" s="1"/>
  <c r="E311" i="19" s="1"/>
  <c r="E312" i="19" s="1"/>
  <c r="E313" i="19" s="1"/>
  <c r="AB303" i="19"/>
  <c r="AA303" i="19"/>
  <c r="E6" i="20"/>
  <c r="E7" i="20"/>
  <c r="C105" i="20"/>
  <c r="C121" i="20" s="1"/>
  <c r="C247" i="20"/>
  <c r="C263" i="20" s="1"/>
  <c r="Y247" i="20"/>
  <c r="Y263" i="20" s="1"/>
  <c r="Y105" i="20"/>
  <c r="Y121" i="20" s="1"/>
  <c r="E249" i="19"/>
  <c r="T249" i="20"/>
  <c r="T265" i="20" s="1"/>
  <c r="U95" i="20"/>
  <c r="U159" i="20" s="1"/>
  <c r="U91" i="20"/>
  <c r="O240" i="20"/>
  <c r="O256" i="20" s="1"/>
  <c r="O98" i="20"/>
  <c r="O114" i="20" s="1"/>
  <c r="M241" i="20"/>
  <c r="M257" i="20" s="1"/>
  <c r="M99" i="20"/>
  <c r="M115" i="20" s="1"/>
  <c r="O91" i="20"/>
  <c r="O12" i="20" s="1"/>
  <c r="O92" i="20" s="1"/>
  <c r="H76" i="19"/>
  <c r="H13" i="19" s="1"/>
  <c r="G248" i="19"/>
  <c r="W233" i="19"/>
  <c r="W249" i="19" s="1"/>
  <c r="W107" i="19"/>
  <c r="W123" i="19" s="1"/>
  <c r="S100" i="19"/>
  <c r="S116" i="19" s="1"/>
  <c r="S243" i="19" s="1"/>
  <c r="C148" i="19"/>
  <c r="C154" i="19"/>
  <c r="F233" i="19"/>
  <c r="F303" i="19"/>
  <c r="U249" i="20"/>
  <c r="V95" i="20"/>
  <c r="V91" i="20"/>
  <c r="V12" i="20" s="1"/>
  <c r="V92" i="20" s="1"/>
  <c r="E264" i="17"/>
  <c r="E261" i="17"/>
  <c r="E258" i="17"/>
  <c r="K283" i="17"/>
  <c r="L305" i="17"/>
  <c r="O234" i="19"/>
  <c r="O250" i="19" s="1"/>
  <c r="P96" i="19"/>
  <c r="P160" i="19" s="1"/>
  <c r="P92" i="19"/>
  <c r="P12" i="19" s="1"/>
  <c r="P93" i="19" s="1"/>
  <c r="K92" i="19"/>
  <c r="K12" i="19" s="1"/>
  <c r="K93" i="19" s="1"/>
  <c r="I247" i="19"/>
  <c r="H248" i="19"/>
  <c r="F113" i="19"/>
  <c r="T100" i="19"/>
  <c r="T116" i="19" s="1"/>
  <c r="D148" i="19"/>
  <c r="D154" i="19"/>
  <c r="T283" i="19"/>
  <c r="T40" i="19" s="1"/>
  <c r="V249" i="20"/>
  <c r="V265" i="20" s="1"/>
  <c r="W95" i="20"/>
  <c r="W91" i="20"/>
  <c r="W12" i="20" s="1"/>
  <c r="W92" i="20" s="1"/>
  <c r="E260" i="17"/>
  <c r="F264" i="17"/>
  <c r="F261" i="17"/>
  <c r="F258" i="17"/>
  <c r="U283" i="17"/>
  <c r="U40" i="17" s="1"/>
  <c r="M305" i="17"/>
  <c r="AA70" i="19"/>
  <c r="Q96" i="19"/>
  <c r="Q92" i="19"/>
  <c r="Q12" i="19" s="1"/>
  <c r="Q93" i="19" s="1"/>
  <c r="J240" i="19"/>
  <c r="J247" i="19"/>
  <c r="I248" i="19"/>
  <c r="C233" i="19"/>
  <c r="C249" i="19" s="1"/>
  <c r="C107" i="19"/>
  <c r="C123" i="19" s="1"/>
  <c r="E150" i="19"/>
  <c r="V163" i="19"/>
  <c r="V179" i="19"/>
  <c r="R92" i="19"/>
  <c r="R12" i="19" s="1"/>
  <c r="R93" i="19" s="1"/>
  <c r="U244" i="19"/>
  <c r="L230" i="19"/>
  <c r="L246" i="19" s="1"/>
  <c r="L104" i="19"/>
  <c r="L120" i="19" s="1"/>
  <c r="K247" i="19"/>
  <c r="D233" i="19"/>
  <c r="D249" i="19" s="1"/>
  <c r="D107" i="19"/>
  <c r="D123" i="19" s="1"/>
  <c r="J113" i="19"/>
  <c r="J161" i="19"/>
  <c r="O27" i="19"/>
  <c r="P250" i="19"/>
  <c r="S283" i="19"/>
  <c r="S40" i="19" s="1"/>
  <c r="V36" i="20"/>
  <c r="H75" i="20"/>
  <c r="H13" i="20" s="1"/>
  <c r="W283" i="17"/>
  <c r="W40" i="17" s="1"/>
  <c r="N283" i="17"/>
  <c r="C275" i="17" s="1"/>
  <c r="R11" i="19"/>
  <c r="R16" i="19" s="1"/>
  <c r="R15" i="19" s="1"/>
  <c r="L7" i="19"/>
  <c r="C299" i="19"/>
  <c r="C39" i="19"/>
  <c r="D54" i="19"/>
  <c r="D52" i="19"/>
  <c r="D50" i="19"/>
  <c r="D48" i="19"/>
  <c r="D51" i="19"/>
  <c r="D56" i="19"/>
  <c r="D58" i="19"/>
  <c r="D53" i="19"/>
  <c r="Z57" i="19"/>
  <c r="Z55" i="19"/>
  <c r="AB55" i="19" s="1"/>
  <c r="L240" i="19"/>
  <c r="M246" i="19"/>
  <c r="L247" i="19"/>
  <c r="K248" i="19"/>
  <c r="K97" i="19"/>
  <c r="K113" i="19" s="1"/>
  <c r="B148" i="19"/>
  <c r="E155" i="19"/>
  <c r="D155" i="19"/>
  <c r="P156" i="19"/>
  <c r="C144" i="19" s="1"/>
  <c r="V242" i="19"/>
  <c r="Q250" i="19"/>
  <c r="E257" i="17"/>
  <c r="X283" i="17"/>
  <c r="X40" i="17" s="1"/>
  <c r="P307" i="17"/>
  <c r="S11" i="19"/>
  <c r="S16" i="19" s="1"/>
  <c r="AA25" i="19"/>
  <c r="AA28" i="19" s="1"/>
  <c r="AA26" i="19" s="1"/>
  <c r="D299" i="19"/>
  <c r="D39" i="19"/>
  <c r="E56" i="19"/>
  <c r="AA52" i="19"/>
  <c r="AC52" i="19" s="1"/>
  <c r="G226" i="19"/>
  <c r="G242" i="19" s="1"/>
  <c r="G100" i="19"/>
  <c r="G116" i="19" s="1"/>
  <c r="G243" i="19" s="1"/>
  <c r="Q245" i="19"/>
  <c r="M247" i="19"/>
  <c r="L248" i="19"/>
  <c r="G106" i="19"/>
  <c r="G122" i="19" s="1"/>
  <c r="Y179" i="19"/>
  <c r="T250" i="19"/>
  <c r="X314" i="20"/>
  <c r="X39" i="20"/>
  <c r="C75" i="20"/>
  <c r="C13" i="20" s="1"/>
  <c r="Y75" i="20"/>
  <c r="B144" i="20"/>
  <c r="F257" i="17"/>
  <c r="Y283" i="17"/>
  <c r="Y40" i="17" s="1"/>
  <c r="Q304" i="17"/>
  <c r="Q6" i="19"/>
  <c r="N7" i="19"/>
  <c r="X244" i="19"/>
  <c r="R229" i="19"/>
  <c r="R245" i="19" s="1"/>
  <c r="R103" i="19"/>
  <c r="R119" i="19" s="1"/>
  <c r="R246" i="19" s="1"/>
  <c r="O230" i="19"/>
  <c r="O246" i="19" s="1"/>
  <c r="O104" i="19"/>
  <c r="O120" i="19" s="1"/>
  <c r="N231" i="19"/>
  <c r="N247" i="19" s="1"/>
  <c r="N105" i="19"/>
  <c r="N121" i="19" s="1"/>
  <c r="H106" i="19"/>
  <c r="H122" i="19" s="1"/>
  <c r="X107" i="19"/>
  <c r="X123" i="19" s="1"/>
  <c r="G145" i="19"/>
  <c r="D152" i="19"/>
  <c r="U250" i="19"/>
  <c r="Y36" i="20"/>
  <c r="D96" i="20"/>
  <c r="D112" i="20" s="1"/>
  <c r="D238" i="20"/>
  <c r="Z238" i="20"/>
  <c r="Z96" i="20"/>
  <c r="Z112" i="20" s="1"/>
  <c r="Z255" i="20" s="1"/>
  <c r="Z289" i="19"/>
  <c r="Z296" i="19"/>
  <c r="Z292" i="19"/>
  <c r="Z288" i="19"/>
  <c r="Z287" i="19"/>
  <c r="Z294" i="19"/>
  <c r="Z290" i="19"/>
  <c r="Z295" i="19"/>
  <c r="Z291" i="19"/>
  <c r="Z298" i="19"/>
  <c r="AA49" i="19"/>
  <c r="E57" i="19"/>
  <c r="N92" i="19"/>
  <c r="N12" i="19" s="1"/>
  <c r="N93" i="19" s="1"/>
  <c r="M234" i="19"/>
  <c r="M250" i="19" s="1"/>
  <c r="G240" i="19"/>
  <c r="C229" i="19"/>
  <c r="C245" i="19" s="1"/>
  <c r="C103" i="19"/>
  <c r="C119" i="19" s="1"/>
  <c r="Y245" i="19"/>
  <c r="O247" i="19"/>
  <c r="M232" i="19"/>
  <c r="M248" i="19" s="1"/>
  <c r="M106" i="19"/>
  <c r="M122" i="19" s="1"/>
  <c r="G233" i="19"/>
  <c r="G249" i="19" s="1"/>
  <c r="G107" i="19"/>
  <c r="G123" i="19" s="1"/>
  <c r="U100" i="19"/>
  <c r="U116" i="19" s="1"/>
  <c r="X156" i="19"/>
  <c r="X27" i="19" s="1"/>
  <c r="T162" i="19"/>
  <c r="O223" i="19"/>
  <c r="L227" i="19"/>
  <c r="L243" i="19" s="1"/>
  <c r="AE70" i="20"/>
  <c r="V239" i="20"/>
  <c r="V255" i="20" s="1"/>
  <c r="V97" i="20"/>
  <c r="V113" i="20" s="1"/>
  <c r="AB81" i="20"/>
  <c r="AA81" i="20"/>
  <c r="AA97" i="20" s="1"/>
  <c r="AA113" i="20" s="1"/>
  <c r="O160" i="19"/>
  <c r="AA289" i="19"/>
  <c r="AA296" i="19"/>
  <c r="AA292" i="19"/>
  <c r="AA288" i="19"/>
  <c r="AA287" i="19"/>
  <c r="AA291" i="19"/>
  <c r="AA290" i="19"/>
  <c r="AA294" i="19"/>
  <c r="AA298" i="19"/>
  <c r="AA295" i="19"/>
  <c r="E50" i="19"/>
  <c r="B56" i="19"/>
  <c r="B54" i="19"/>
  <c r="B52" i="19"/>
  <c r="B50" i="19"/>
  <c r="B48" i="19"/>
  <c r="N250" i="19"/>
  <c r="H240" i="19"/>
  <c r="M227" i="19"/>
  <c r="M243" i="19" s="1"/>
  <c r="M101" i="19"/>
  <c r="M117" i="19" s="1"/>
  <c r="M244" i="19" s="1"/>
  <c r="D229" i="19"/>
  <c r="D103" i="19"/>
  <c r="D119" i="19" s="1"/>
  <c r="P247" i="19"/>
  <c r="N232" i="19"/>
  <c r="N248" i="19" s="1"/>
  <c r="N106" i="19"/>
  <c r="N122" i="19" s="1"/>
  <c r="N249" i="19" s="1"/>
  <c r="H233" i="19"/>
  <c r="H107" i="19"/>
  <c r="H123" i="19" s="1"/>
  <c r="I97" i="19"/>
  <c r="O105" i="19"/>
  <c r="O121" i="19" s="1"/>
  <c r="Y156" i="19"/>
  <c r="Y27" i="19" s="1"/>
  <c r="B232" i="19"/>
  <c r="W230" i="19"/>
  <c r="AA57" i="19"/>
  <c r="AA55" i="19"/>
  <c r="K98" i="19"/>
  <c r="K114" i="19" s="1"/>
  <c r="K224" i="19"/>
  <c r="G103" i="19"/>
  <c r="G119" i="19" s="1"/>
  <c r="G246" i="19" s="1"/>
  <c r="G229" i="19"/>
  <c r="G245" i="19" s="1"/>
  <c r="S231" i="19"/>
  <c r="S247" i="19" s="1"/>
  <c r="S105" i="19"/>
  <c r="S121" i="19" s="1"/>
  <c r="I92" i="19"/>
  <c r="I12" i="19" s="1"/>
  <c r="I93" i="19" s="1"/>
  <c r="W99" i="19"/>
  <c r="W115" i="19" s="1"/>
  <c r="S160" i="19"/>
  <c r="F59" i="19"/>
  <c r="AB53" i="19"/>
  <c r="AB51" i="19"/>
  <c r="AB49" i="19"/>
  <c r="R250" i="19"/>
  <c r="N244" i="19"/>
  <c r="X246" i="19"/>
  <c r="T231" i="19"/>
  <c r="T247" i="19" s="1"/>
  <c r="T105" i="19"/>
  <c r="T121" i="19" s="1"/>
  <c r="T248" i="19" s="1"/>
  <c r="Z89" i="19"/>
  <c r="Z105" i="19" s="1"/>
  <c r="Z121" i="19" s="1"/>
  <c r="R232" i="19"/>
  <c r="R248" i="19" s="1"/>
  <c r="R106" i="19"/>
  <c r="R122" i="19" s="1"/>
  <c r="R249" i="19" s="1"/>
  <c r="L249" i="19"/>
  <c r="O92" i="19"/>
  <c r="O12" i="19" s="1"/>
  <c r="O93" i="19" s="1"/>
  <c r="D303" i="17"/>
  <c r="Z303" i="17"/>
  <c r="T160" i="19"/>
  <c r="Z304" i="19"/>
  <c r="E48" i="19"/>
  <c r="AA50" i="19"/>
  <c r="AC50" i="19" s="1"/>
  <c r="AC55" i="19"/>
  <c r="AC53" i="19"/>
  <c r="AC51" i="19"/>
  <c r="AC49" i="19"/>
  <c r="Z71" i="19"/>
  <c r="AB71" i="19" s="1"/>
  <c r="S250" i="19"/>
  <c r="M240" i="19"/>
  <c r="G241" i="19"/>
  <c r="T178" i="19"/>
  <c r="Z293" i="19"/>
  <c r="X75" i="20"/>
  <c r="X13" i="20" s="1"/>
  <c r="AC307" i="20"/>
  <c r="C314" i="20"/>
  <c r="C39" i="20"/>
  <c r="E303" i="17"/>
  <c r="AA303" i="17"/>
  <c r="F48" i="19"/>
  <c r="AB50" i="19"/>
  <c r="E53" i="19"/>
  <c r="E58" i="19"/>
  <c r="H59" i="19"/>
  <c r="H57" i="19"/>
  <c r="U96" i="19"/>
  <c r="N240" i="19"/>
  <c r="H225" i="19"/>
  <c r="H241" i="19" s="1"/>
  <c r="H99" i="19"/>
  <c r="H115" i="19" s="1"/>
  <c r="X242" i="19"/>
  <c r="P228" i="19"/>
  <c r="P244" i="19" s="1"/>
  <c r="P102" i="19"/>
  <c r="P118" i="19" s="1"/>
  <c r="J229" i="19"/>
  <c r="J245" i="19" s="1"/>
  <c r="J103" i="19"/>
  <c r="J119" i="19" s="1"/>
  <c r="J246" i="19" s="1"/>
  <c r="D230" i="19"/>
  <c r="D104" i="19"/>
  <c r="D120" i="19" s="1"/>
  <c r="Z88" i="19"/>
  <c r="Z104" i="19" s="1"/>
  <c r="Z120" i="19" s="1"/>
  <c r="L112" i="19"/>
  <c r="L239" i="19" s="1"/>
  <c r="AA139" i="19"/>
  <c r="AB138" i="19"/>
  <c r="C151" i="19"/>
  <c r="O161" i="19"/>
  <c r="I228" i="19"/>
  <c r="I244" i="19" s="1"/>
  <c r="AA293" i="19"/>
  <c r="F314" i="20"/>
  <c r="F39" i="20"/>
  <c r="G314" i="20"/>
  <c r="G39" i="20"/>
  <c r="C150" i="20"/>
  <c r="C148" i="20"/>
  <c r="C154" i="20"/>
  <c r="V160" i="19"/>
  <c r="AB304" i="19"/>
  <c r="AB305" i="19" s="1"/>
  <c r="G48" i="19"/>
  <c r="F53" i="19"/>
  <c r="F58" i="19"/>
  <c r="I59" i="19"/>
  <c r="I57" i="19"/>
  <c r="O98" i="19"/>
  <c r="O114" i="19" s="1"/>
  <c r="O241" i="19" s="1"/>
  <c r="O224" i="19"/>
  <c r="O240" i="19" s="1"/>
  <c r="I241" i="19"/>
  <c r="Y242" i="19"/>
  <c r="T243" i="19"/>
  <c r="Q228" i="19"/>
  <c r="Q244" i="19" s="1"/>
  <c r="Q102" i="19"/>
  <c r="Q118" i="19" s="1"/>
  <c r="K229" i="19"/>
  <c r="K245" i="19" s="1"/>
  <c r="K103" i="19"/>
  <c r="K119" i="19" s="1"/>
  <c r="K246" i="19" s="1"/>
  <c r="E230" i="19"/>
  <c r="E246" i="19" s="1"/>
  <c r="E104" i="19"/>
  <c r="E120" i="19" s="1"/>
  <c r="E247" i="19" s="1"/>
  <c r="J108" i="19"/>
  <c r="J23" i="19" s="1"/>
  <c r="J25" i="19" s="1"/>
  <c r="J28" i="19" s="1"/>
  <c r="J26" i="19" s="1"/>
  <c r="D151" i="19"/>
  <c r="J177" i="19"/>
  <c r="J228" i="19"/>
  <c r="G303" i="17"/>
  <c r="AC303" i="17"/>
  <c r="U304" i="17"/>
  <c r="W160" i="19"/>
  <c r="AC304" i="19"/>
  <c r="AC306" i="19"/>
  <c r="AC307" i="19"/>
  <c r="AC308" i="19" s="1"/>
  <c r="AC35" i="19"/>
  <c r="AC41" i="19" s="1"/>
  <c r="AC40" i="19" s="1"/>
  <c r="AC283" i="19" s="1"/>
  <c r="H48" i="19"/>
  <c r="B51" i="19"/>
  <c r="G53" i="19"/>
  <c r="G58" i="19"/>
  <c r="T76" i="19"/>
  <c r="T13" i="19" s="1"/>
  <c r="D242" i="19"/>
  <c r="Z242" i="19"/>
  <c r="X247" i="19"/>
  <c r="P249" i="19"/>
  <c r="S92" i="19"/>
  <c r="S12" i="19" s="1"/>
  <c r="S93" i="19" s="1"/>
  <c r="N96" i="19"/>
  <c r="M102" i="19"/>
  <c r="M118" i="19" s="1"/>
  <c r="AC128" i="19"/>
  <c r="N314" i="20"/>
  <c r="N39" i="20"/>
  <c r="S36" i="20"/>
  <c r="G53" i="20"/>
  <c r="P10" i="20"/>
  <c r="C48" i="20"/>
  <c r="G48" i="20"/>
  <c r="B127" i="20"/>
  <c r="B133" i="20"/>
  <c r="B129" i="20"/>
  <c r="B136" i="20"/>
  <c r="B132" i="20"/>
  <c r="U24" i="20"/>
  <c r="B135" i="20"/>
  <c r="B130" i="20"/>
  <c r="H35" i="19"/>
  <c r="H41" i="19" s="1"/>
  <c r="H36" i="19" s="1"/>
  <c r="I48" i="19"/>
  <c r="H53" i="19"/>
  <c r="H58" i="19"/>
  <c r="U76" i="19"/>
  <c r="W234" i="19"/>
  <c r="X96" i="19"/>
  <c r="S223" i="19"/>
  <c r="S97" i="19"/>
  <c r="S113" i="19" s="1"/>
  <c r="Q224" i="19"/>
  <c r="Q240" i="19" s="1"/>
  <c r="Q98" i="19"/>
  <c r="Q114" i="19" s="1"/>
  <c r="K225" i="19"/>
  <c r="K99" i="19"/>
  <c r="K115" i="19" s="1"/>
  <c r="K242" i="19" s="1"/>
  <c r="E226" i="19"/>
  <c r="E242" i="19" s="1"/>
  <c r="E100" i="19"/>
  <c r="E116" i="19" s="1"/>
  <c r="E243" i="19" s="1"/>
  <c r="AA84" i="19"/>
  <c r="AC84" i="19" s="1"/>
  <c r="V227" i="19"/>
  <c r="V243" i="19" s="1"/>
  <c r="V101" i="19"/>
  <c r="V117" i="19" s="1"/>
  <c r="V244" i="19" s="1"/>
  <c r="Q249" i="19"/>
  <c r="T92" i="19"/>
  <c r="O96" i="19"/>
  <c r="N102" i="19"/>
  <c r="N118" i="19" s="1"/>
  <c r="AB135" i="19"/>
  <c r="X179" i="19"/>
  <c r="X163" i="19" s="1"/>
  <c r="L176" i="19"/>
  <c r="O36" i="20"/>
  <c r="T36" i="20"/>
  <c r="L155" i="20"/>
  <c r="L27" i="20" s="1"/>
  <c r="AA155" i="20"/>
  <c r="AA27" i="20" s="1"/>
  <c r="I35" i="19"/>
  <c r="I41" i="19" s="1"/>
  <c r="AA48" i="19"/>
  <c r="I53" i="19"/>
  <c r="F56" i="19"/>
  <c r="I58" i="19"/>
  <c r="V76" i="19"/>
  <c r="AA68" i="19" s="1"/>
  <c r="AC68" i="19" s="1"/>
  <c r="X234" i="19"/>
  <c r="Y92" i="19"/>
  <c r="Y12" i="19" s="1"/>
  <c r="Y93" i="19" s="1"/>
  <c r="Y96" i="19"/>
  <c r="T223" i="19"/>
  <c r="T239" i="19" s="1"/>
  <c r="T97" i="19"/>
  <c r="T113" i="19" s="1"/>
  <c r="T240" i="19" s="1"/>
  <c r="R224" i="19"/>
  <c r="R240" i="19" s="1"/>
  <c r="R98" i="19"/>
  <c r="R114" i="19" s="1"/>
  <c r="R241" i="19" s="1"/>
  <c r="L225" i="19"/>
  <c r="L241" i="19" s="1"/>
  <c r="L99" i="19"/>
  <c r="L115" i="19" s="1"/>
  <c r="L242" i="19" s="1"/>
  <c r="F226" i="19"/>
  <c r="F242" i="19" s="1"/>
  <c r="F100" i="19"/>
  <c r="F116" i="19" s="1"/>
  <c r="F243" i="19" s="1"/>
  <c r="W227" i="19"/>
  <c r="W243" i="19" s="1"/>
  <c r="W101" i="19"/>
  <c r="W117" i="19" s="1"/>
  <c r="T244" i="19"/>
  <c r="B90" i="19"/>
  <c r="B106" i="19" s="1"/>
  <c r="B122" i="19" s="1"/>
  <c r="X232" i="19"/>
  <c r="X248" i="19" s="1"/>
  <c r="X106" i="19"/>
  <c r="X122" i="19" s="1"/>
  <c r="X249" i="19" s="1"/>
  <c r="U92" i="19"/>
  <c r="AA88" i="19" s="1"/>
  <c r="F147" i="19"/>
  <c r="P314" i="20"/>
  <c r="P39" i="20"/>
  <c r="M155" i="20"/>
  <c r="C153" i="20" s="1"/>
  <c r="D143" i="20"/>
  <c r="G149" i="19"/>
  <c r="E151" i="19"/>
  <c r="B218" i="19"/>
  <c r="B208" i="19"/>
  <c r="B213" i="19"/>
  <c r="B217" i="19"/>
  <c r="B207" i="19"/>
  <c r="B215" i="19"/>
  <c r="B214" i="19"/>
  <c r="X11" i="20"/>
  <c r="X16" i="20" s="1"/>
  <c r="AB315" i="20"/>
  <c r="AB314" i="20"/>
  <c r="AB39" i="20"/>
  <c r="O59" i="20"/>
  <c r="F48" i="20" s="1"/>
  <c r="C47" i="20"/>
  <c r="C50" i="20"/>
  <c r="B50" i="20"/>
  <c r="W75" i="20"/>
  <c r="W13" i="20" s="1"/>
  <c r="AC167" i="20"/>
  <c r="B247" i="20"/>
  <c r="D234" i="19"/>
  <c r="D250" i="19" s="1"/>
  <c r="E92" i="19"/>
  <c r="E12" i="19" s="1"/>
  <c r="J241" i="19"/>
  <c r="U227" i="19"/>
  <c r="U243" i="19" s="1"/>
  <c r="U101" i="19"/>
  <c r="U117" i="19" s="1"/>
  <c r="O228" i="19"/>
  <c r="O244" i="19" s="1"/>
  <c r="O102" i="19"/>
  <c r="O118" i="19" s="1"/>
  <c r="I229" i="19"/>
  <c r="I245" i="19" s="1"/>
  <c r="I103" i="19"/>
  <c r="I119" i="19" s="1"/>
  <c r="C230" i="19"/>
  <c r="C104" i="19"/>
  <c r="C120" i="19" s="1"/>
  <c r="Y230" i="19"/>
  <c r="Y246" i="19" s="1"/>
  <c r="Y104" i="19"/>
  <c r="Y120" i="19" s="1"/>
  <c r="U231" i="19"/>
  <c r="U247" i="19" s="1"/>
  <c r="U105" i="19"/>
  <c r="U121" i="19" s="1"/>
  <c r="U248" i="19" s="1"/>
  <c r="O232" i="19"/>
  <c r="O248" i="19" s="1"/>
  <c r="O106" i="19"/>
  <c r="O122" i="19" s="1"/>
  <c r="O249" i="19" s="1"/>
  <c r="Z134" i="19"/>
  <c r="Z177" i="19"/>
  <c r="AA135" i="19"/>
  <c r="AC135" i="19" s="1"/>
  <c r="AA134" i="19"/>
  <c r="AA129" i="19"/>
  <c r="AC129" i="19" s="1"/>
  <c r="I156" i="19"/>
  <c r="I27" i="19" s="1"/>
  <c r="AA177" i="19"/>
  <c r="B210" i="19"/>
  <c r="I283" i="19"/>
  <c r="I40" i="19" s="1"/>
  <c r="AC305" i="19"/>
  <c r="B83" i="20"/>
  <c r="B99" i="20" s="1"/>
  <c r="B115" i="20" s="1"/>
  <c r="Z136" i="19"/>
  <c r="AB129" i="19"/>
  <c r="AB131" i="19"/>
  <c r="J156" i="19"/>
  <c r="J27" i="19" s="1"/>
  <c r="T161" i="19"/>
  <c r="P224" i="19"/>
  <c r="P240" i="19" s="1"/>
  <c r="F15" i="20"/>
  <c r="AB11" i="20"/>
  <c r="AB16" i="20" s="1"/>
  <c r="AB15" i="20" s="1"/>
  <c r="AB45" i="20" s="1"/>
  <c r="Z305" i="20"/>
  <c r="Z241" i="20"/>
  <c r="Z257" i="20" s="1"/>
  <c r="Z83" i="20"/>
  <c r="Z99" i="20" s="1"/>
  <c r="Z115" i="20" s="1"/>
  <c r="B128" i="19"/>
  <c r="AA136" i="19"/>
  <c r="D177" i="19"/>
  <c r="P245" i="19"/>
  <c r="Z266" i="19"/>
  <c r="G15" i="20"/>
  <c r="AC11" i="20"/>
  <c r="AC16" i="20" s="1"/>
  <c r="AC15" i="20" s="1"/>
  <c r="AC45" i="20" s="1"/>
  <c r="D314" i="20"/>
  <c r="D39" i="20"/>
  <c r="Z324" i="20"/>
  <c r="Z35" i="20"/>
  <c r="Z41" i="20" s="1"/>
  <c r="Z36" i="20" s="1"/>
  <c r="I96" i="19"/>
  <c r="H234" i="19"/>
  <c r="H250" i="19" s="1"/>
  <c r="C223" i="19"/>
  <c r="C97" i="19"/>
  <c r="Y223" i="19"/>
  <c r="Y97" i="19"/>
  <c r="C243" i="19"/>
  <c r="M245" i="19"/>
  <c r="C247" i="19"/>
  <c r="Y247" i="19"/>
  <c r="S248" i="19"/>
  <c r="M249" i="19"/>
  <c r="J92" i="19"/>
  <c r="J12" i="19" s="1"/>
  <c r="J93" i="19" s="1"/>
  <c r="Y105" i="19"/>
  <c r="Y121" i="19" s="1"/>
  <c r="V106" i="19"/>
  <c r="V122" i="19" s="1"/>
  <c r="B131" i="19"/>
  <c r="Z133" i="19"/>
  <c r="E176" i="19"/>
  <c r="AA178" i="19"/>
  <c r="L283" i="19"/>
  <c r="L40" i="19" s="1"/>
  <c r="L36" i="19" s="1"/>
  <c r="I6" i="20"/>
  <c r="I7" i="20"/>
  <c r="H15" i="20"/>
  <c r="AD11" i="20"/>
  <c r="AD16" i="20" s="1"/>
  <c r="AD15" i="20" s="1"/>
  <c r="AD45" i="20" s="1"/>
  <c r="E111" i="20"/>
  <c r="D243" i="19"/>
  <c r="N245" i="19"/>
  <c r="H246" i="19"/>
  <c r="E140" i="19"/>
  <c r="AA133" i="19"/>
  <c r="B137" i="19"/>
  <c r="G153" i="19"/>
  <c r="F178" i="19"/>
  <c r="B211" i="19"/>
  <c r="L234" i="19"/>
  <c r="L250" i="19" s="1"/>
  <c r="AB261" i="19"/>
  <c r="F263" i="19"/>
  <c r="F257" i="19"/>
  <c r="F261" i="19"/>
  <c r="F259" i="19"/>
  <c r="F266" i="19"/>
  <c r="F255" i="19"/>
  <c r="F262" i="19"/>
  <c r="F258" i="19"/>
  <c r="AB255" i="19"/>
  <c r="AB263" i="19"/>
  <c r="AB256" i="19"/>
  <c r="AB265" i="19"/>
  <c r="AB258" i="19"/>
  <c r="AB264" i="19"/>
  <c r="AB259" i="19"/>
  <c r="AB262" i="19"/>
  <c r="P283" i="19"/>
  <c r="P40" i="19" s="1"/>
  <c r="P36" i="19" s="1"/>
  <c r="O283" i="19"/>
  <c r="O40" i="19" s="1"/>
  <c r="O36" i="19" s="1"/>
  <c r="K308" i="19"/>
  <c r="K309" i="19" s="1"/>
  <c r="K310" i="19" s="1"/>
  <c r="K311" i="19" s="1"/>
  <c r="M7" i="20"/>
  <c r="M6" i="20"/>
  <c r="N159" i="20"/>
  <c r="F111" i="20"/>
  <c r="J250" i="19"/>
  <c r="P241" i="19"/>
  <c r="AA85" i="19"/>
  <c r="AA101" i="19" s="1"/>
  <c r="AA117" i="19" s="1"/>
  <c r="O245" i="19"/>
  <c r="I246" i="19"/>
  <c r="AA89" i="19"/>
  <c r="AA105" i="19" s="1"/>
  <c r="AA121" i="19" s="1"/>
  <c r="L92" i="19"/>
  <c r="L12" i="19" s="1"/>
  <c r="L93" i="19" s="1"/>
  <c r="Q99" i="19"/>
  <c r="Q115" i="19" s="1"/>
  <c r="Q242" i="19" s="1"/>
  <c r="F140" i="19"/>
  <c r="B134" i="19"/>
  <c r="Z176" i="19"/>
  <c r="G177" i="19"/>
  <c r="G176" i="19"/>
  <c r="AC176" i="19"/>
  <c r="G263" i="19"/>
  <c r="G261" i="19"/>
  <c r="G259" i="19"/>
  <c r="G256" i="19"/>
  <c r="G260" i="19"/>
  <c r="G266" i="19"/>
  <c r="G255" i="19"/>
  <c r="G262" i="19"/>
  <c r="G258" i="19"/>
  <c r="G265" i="19"/>
  <c r="AC264" i="19"/>
  <c r="AC263" i="19"/>
  <c r="AC256" i="19"/>
  <c r="AC265" i="19"/>
  <c r="AC260" i="19"/>
  <c r="AC262" i="19"/>
  <c r="AC257" i="19"/>
  <c r="AC261" i="19"/>
  <c r="Q283" i="19"/>
  <c r="Q40" i="19" s="1"/>
  <c r="Q36" i="19" s="1"/>
  <c r="L304" i="19"/>
  <c r="L305" i="19" s="1"/>
  <c r="L306" i="19" s="1"/>
  <c r="L307" i="19" s="1"/>
  <c r="L308" i="19" s="1"/>
  <c r="L309" i="19" s="1"/>
  <c r="L310" i="19" s="1"/>
  <c r="L311" i="19" s="1"/>
  <c r="L312" i="19" s="1"/>
  <c r="L313" i="19" s="1"/>
  <c r="L303" i="19"/>
  <c r="N6" i="20"/>
  <c r="N7" i="20"/>
  <c r="O159" i="20"/>
  <c r="G111" i="20"/>
  <c r="G254" i="20" s="1"/>
  <c r="K250" i="19"/>
  <c r="Q241" i="19"/>
  <c r="V248" i="19"/>
  <c r="U97" i="19"/>
  <c r="U113" i="19" s="1"/>
  <c r="U240" i="19" s="1"/>
  <c r="R99" i="19"/>
  <c r="R115" i="19" s="1"/>
  <c r="R242" i="19" s="1"/>
  <c r="C105" i="19"/>
  <c r="C121" i="19" s="1"/>
  <c r="G140" i="19"/>
  <c r="B136" i="19"/>
  <c r="B130" i="19"/>
  <c r="AA176" i="19"/>
  <c r="H177" i="19"/>
  <c r="H178" i="19" s="1"/>
  <c r="H176" i="19"/>
  <c r="H261" i="19"/>
  <c r="H259" i="19"/>
  <c r="H257" i="19"/>
  <c r="H255" i="19"/>
  <c r="H263" i="19"/>
  <c r="H256" i="19"/>
  <c r="H258" i="19"/>
  <c r="H260" i="19"/>
  <c r="H266" i="19"/>
  <c r="H262" i="19"/>
  <c r="H265" i="19"/>
  <c r="P159" i="20"/>
  <c r="I242" i="20"/>
  <c r="I100" i="20"/>
  <c r="I116" i="20" s="1"/>
  <c r="I259" i="20" s="1"/>
  <c r="H111" i="20"/>
  <c r="B145" i="20"/>
  <c r="W244" i="19"/>
  <c r="W248" i="19"/>
  <c r="V98" i="19"/>
  <c r="E145" i="19"/>
  <c r="G146" i="19"/>
  <c r="F153" i="19"/>
  <c r="F151" i="19"/>
  <c r="AB176" i="19"/>
  <c r="AB177" i="19" s="1"/>
  <c r="I177" i="19"/>
  <c r="I178" i="19" s="1"/>
  <c r="B212" i="19"/>
  <c r="K99" i="20"/>
  <c r="K115" i="20" s="1"/>
  <c r="K241" i="20"/>
  <c r="K257" i="20" s="1"/>
  <c r="B89" i="20"/>
  <c r="B105" i="20" s="1"/>
  <c r="B121" i="20" s="1"/>
  <c r="X247" i="20"/>
  <c r="X263" i="20" s="1"/>
  <c r="X105" i="20"/>
  <c r="X121" i="20" s="1"/>
  <c r="T155" i="20"/>
  <c r="V159" i="20"/>
  <c r="I111" i="20"/>
  <c r="B283" i="19"/>
  <c r="AD91" i="20"/>
  <c r="AE65" i="20"/>
  <c r="C255" i="19"/>
  <c r="AC7" i="20"/>
  <c r="L75" i="20"/>
  <c r="L13" i="20" s="1"/>
  <c r="O177" i="19"/>
  <c r="D255" i="19"/>
  <c r="E258" i="19"/>
  <c r="E262" i="19"/>
  <c r="C256" i="19"/>
  <c r="C258" i="19"/>
  <c r="D283" i="19"/>
  <c r="E75" i="20"/>
  <c r="E13" i="20" s="1"/>
  <c r="X242" i="20"/>
  <c r="X258" i="20" s="1"/>
  <c r="X100" i="20"/>
  <c r="X116" i="20" s="1"/>
  <c r="Q243" i="20"/>
  <c r="Q259" i="20" s="1"/>
  <c r="Q101" i="20"/>
  <c r="Q117" i="20" s="1"/>
  <c r="G281" i="20"/>
  <c r="G276" i="20"/>
  <c r="G271" i="20"/>
  <c r="G278" i="20"/>
  <c r="G272" i="20"/>
  <c r="G279" i="20"/>
  <c r="G270" i="20"/>
  <c r="G274" i="20"/>
  <c r="G277" i="20"/>
  <c r="G280" i="20"/>
  <c r="G275" i="20"/>
  <c r="E283" i="19"/>
  <c r="E40" i="19" s="1"/>
  <c r="E36" i="19" s="1"/>
  <c r="T5" i="20"/>
  <c r="T6" i="20" s="1"/>
  <c r="BT5" i="20"/>
  <c r="BT8" i="20" s="1"/>
  <c r="AD9" i="20" s="1"/>
  <c r="AD7" i="20" s="1"/>
  <c r="F75" i="20"/>
  <c r="F13" i="20" s="1"/>
  <c r="C242" i="20"/>
  <c r="C258" i="20" s="1"/>
  <c r="C100" i="20"/>
  <c r="C116" i="20" s="1"/>
  <c r="Y242" i="20"/>
  <c r="Y258" i="20" s="1"/>
  <c r="Y100" i="20"/>
  <c r="Y116" i="20" s="1"/>
  <c r="R243" i="20"/>
  <c r="R259" i="20" s="1"/>
  <c r="R101" i="20"/>
  <c r="R117" i="20" s="1"/>
  <c r="Q260" i="20"/>
  <c r="K156" i="19"/>
  <c r="K27" i="19" s="1"/>
  <c r="K176" i="19"/>
  <c r="Q177" i="19"/>
  <c r="Q178" i="19" s="1"/>
  <c r="F283" i="19"/>
  <c r="F40" i="19" s="1"/>
  <c r="V283" i="19"/>
  <c r="AA280" i="19" s="1"/>
  <c r="U6" i="20"/>
  <c r="U7" i="20"/>
  <c r="E15" i="20"/>
  <c r="B314" i="20"/>
  <c r="B39" i="20"/>
  <c r="J59" i="20"/>
  <c r="F99" i="20"/>
  <c r="F115" i="20" s="1"/>
  <c r="F241" i="20"/>
  <c r="F257" i="20" s="1"/>
  <c r="D242" i="20"/>
  <c r="D258" i="20" s="1"/>
  <c r="D100" i="20"/>
  <c r="D116" i="20" s="1"/>
  <c r="Z242" i="20"/>
  <c r="Z258" i="20" s="1"/>
  <c r="Z100" i="20"/>
  <c r="Z116" i="20" s="1"/>
  <c r="S243" i="20"/>
  <c r="S259" i="20" s="1"/>
  <c r="S101" i="20"/>
  <c r="S117" i="20" s="1"/>
  <c r="I249" i="19"/>
  <c r="C150" i="19"/>
  <c r="R177" i="19"/>
  <c r="D259" i="19"/>
  <c r="G283" i="19"/>
  <c r="G40" i="19" s="1"/>
  <c r="W283" i="19"/>
  <c r="W40" i="19" s="1"/>
  <c r="V7" i="20"/>
  <c r="V6" i="20"/>
  <c r="G99" i="20"/>
  <c r="G115" i="20" s="1"/>
  <c r="G241" i="20"/>
  <c r="G257" i="20" s="1"/>
  <c r="E242" i="20"/>
  <c r="E258" i="20" s="1"/>
  <c r="E100" i="20"/>
  <c r="E116" i="20" s="1"/>
  <c r="T243" i="20"/>
  <c r="T101" i="20"/>
  <c r="T117" i="20" s="1"/>
  <c r="D239" i="19"/>
  <c r="N241" i="19"/>
  <c r="H242" i="19"/>
  <c r="X243" i="19"/>
  <c r="R244" i="19"/>
  <c r="L245" i="19"/>
  <c r="F246" i="19"/>
  <c r="V247" i="19"/>
  <c r="P248" i="19"/>
  <c r="J249" i="19"/>
  <c r="D146" i="19"/>
  <c r="M176" i="19"/>
  <c r="M160" i="19" s="1"/>
  <c r="S177" i="19"/>
  <c r="I255" i="19"/>
  <c r="I262" i="19"/>
  <c r="H283" i="19"/>
  <c r="H40" i="19" s="1"/>
  <c r="B304" i="19"/>
  <c r="B305" i="19" s="1"/>
  <c r="B306" i="19" s="1"/>
  <c r="B307" i="19" s="1"/>
  <c r="B308" i="19" s="1"/>
  <c r="B309" i="19" s="1"/>
  <c r="B310" i="19" s="1"/>
  <c r="B311" i="19" s="1"/>
  <c r="B312" i="19" s="1"/>
  <c r="B313" i="19" s="1"/>
  <c r="X306" i="19"/>
  <c r="X307" i="19"/>
  <c r="X308" i="19" s="1"/>
  <c r="X309" i="19" s="1"/>
  <c r="X310" i="19" s="1"/>
  <c r="X311" i="19" s="1"/>
  <c r="X312" i="19" s="1"/>
  <c r="X313" i="19" s="1"/>
  <c r="W7" i="20"/>
  <c r="W6" i="20"/>
  <c r="AE50" i="20"/>
  <c r="H241" i="20"/>
  <c r="H257" i="20" s="1"/>
  <c r="H99" i="20"/>
  <c r="H115" i="20" s="1"/>
  <c r="H91" i="20"/>
  <c r="H12" i="20" s="1"/>
  <c r="H92" i="20" s="1"/>
  <c r="F242" i="20"/>
  <c r="F100" i="20"/>
  <c r="F116" i="20" s="1"/>
  <c r="U243" i="20"/>
  <c r="U259" i="20" s="1"/>
  <c r="U101" i="20"/>
  <c r="U117" i="20" s="1"/>
  <c r="K249" i="19"/>
  <c r="I107" i="19"/>
  <c r="I123" i="19" s="1"/>
  <c r="I250" i="19" s="1"/>
  <c r="E149" i="19"/>
  <c r="N176" i="19"/>
  <c r="I266" i="19"/>
  <c r="C303" i="19"/>
  <c r="C304" i="19" s="1"/>
  <c r="C305" i="19" s="1"/>
  <c r="C306" i="19" s="1"/>
  <c r="C307" i="19" s="1"/>
  <c r="C308" i="19" s="1"/>
  <c r="C309" i="19" s="1"/>
  <c r="C310" i="19" s="1"/>
  <c r="C311" i="19" s="1"/>
  <c r="C312" i="19" s="1"/>
  <c r="C313" i="19" s="1"/>
  <c r="Y306" i="19"/>
  <c r="Y307" i="19"/>
  <c r="Y308" i="19" s="1"/>
  <c r="Y309" i="19" s="1"/>
  <c r="Y310" i="19" s="1"/>
  <c r="Y311" i="19" s="1"/>
  <c r="Y312" i="19" s="1"/>
  <c r="Y313" i="19" s="1"/>
  <c r="E305" i="20"/>
  <c r="E313" i="20"/>
  <c r="E302" i="20"/>
  <c r="E310" i="20"/>
  <c r="E307" i="20"/>
  <c r="E304" i="20"/>
  <c r="E312" i="20"/>
  <c r="E311" i="20"/>
  <c r="E303" i="20"/>
  <c r="E309" i="20"/>
  <c r="E306" i="20"/>
  <c r="E308" i="20"/>
  <c r="I99" i="20"/>
  <c r="I115" i="20" s="1"/>
  <c r="I241" i="20"/>
  <c r="I257" i="20" s="1"/>
  <c r="G242" i="20"/>
  <c r="G100" i="20"/>
  <c r="G116" i="20" s="1"/>
  <c r="V243" i="20"/>
  <c r="K177" i="19"/>
  <c r="K178" i="19" s="1"/>
  <c r="O178" i="19"/>
  <c r="J283" i="19"/>
  <c r="J40" i="19" s="1"/>
  <c r="W303" i="19"/>
  <c r="W304" i="19" s="1"/>
  <c r="W305" i="19" s="1"/>
  <c r="W306" i="19" s="1"/>
  <c r="W307" i="19" s="1"/>
  <c r="W308" i="19" s="1"/>
  <c r="W309" i="19" s="1"/>
  <c r="W310" i="19" s="1"/>
  <c r="W311" i="19" s="1"/>
  <c r="W312" i="19" s="1"/>
  <c r="W313" i="19" s="1"/>
  <c r="D309" i="19"/>
  <c r="D310" i="19" s="1"/>
  <c r="D311" i="19" s="1"/>
  <c r="D312" i="19" s="1"/>
  <c r="D313" i="19" s="1"/>
  <c r="D305" i="19"/>
  <c r="D306" i="19" s="1"/>
  <c r="D307" i="19" s="1"/>
  <c r="D308" i="19" s="1"/>
  <c r="D303" i="19"/>
  <c r="D304" i="19" s="1"/>
  <c r="Z305" i="19"/>
  <c r="Z306" i="19" s="1"/>
  <c r="Z307" i="19" s="1"/>
  <c r="Z308" i="19" s="1"/>
  <c r="Z309" i="19" s="1"/>
  <c r="L59" i="20"/>
  <c r="C55" i="20" s="1"/>
  <c r="J241" i="20"/>
  <c r="J257" i="20" s="1"/>
  <c r="J99" i="20"/>
  <c r="J115" i="20" s="1"/>
  <c r="J91" i="20"/>
  <c r="J12" i="20" s="1"/>
  <c r="J92" i="20" s="1"/>
  <c r="H242" i="20"/>
  <c r="H100" i="20"/>
  <c r="H116" i="20" s="1"/>
  <c r="W243" i="20"/>
  <c r="W259" i="20" s="1"/>
  <c r="W101" i="20"/>
  <c r="W117" i="20" s="1"/>
  <c r="W260" i="20" s="1"/>
  <c r="V244" i="20"/>
  <c r="V260" i="20" s="1"/>
  <c r="V102" i="20"/>
  <c r="V118" i="20" s="1"/>
  <c r="D265" i="19"/>
  <c r="R59" i="20"/>
  <c r="H48" i="20" s="1"/>
  <c r="AA75" i="20"/>
  <c r="AA13" i="20" s="1"/>
  <c r="R240" i="20"/>
  <c r="R256" i="20" s="1"/>
  <c r="R91" i="20"/>
  <c r="R12" i="20" s="1"/>
  <c r="R92" i="20" s="1"/>
  <c r="P241" i="20"/>
  <c r="P99" i="20"/>
  <c r="P115" i="20" s="1"/>
  <c r="E259" i="20"/>
  <c r="D258" i="19"/>
  <c r="E265" i="19"/>
  <c r="E263" i="19"/>
  <c r="E261" i="19"/>
  <c r="E259" i="19"/>
  <c r="AA255" i="19"/>
  <c r="AC255" i="19" s="1"/>
  <c r="AC266" i="19" s="1"/>
  <c r="AA266" i="19"/>
  <c r="AE295" i="20"/>
  <c r="N75" i="20"/>
  <c r="N13" i="20" s="1"/>
  <c r="X238" i="20"/>
  <c r="X96" i="20"/>
  <c r="X112" i="20" s="1"/>
  <c r="S240" i="20"/>
  <c r="S256" i="20" s="1"/>
  <c r="S98" i="20"/>
  <c r="S114" i="20" s="1"/>
  <c r="Q241" i="20"/>
  <c r="Q99" i="20"/>
  <c r="Q115" i="20" s="1"/>
  <c r="Q258" i="20" s="1"/>
  <c r="Q91" i="20"/>
  <c r="Q12" i="20" s="1"/>
  <c r="Q92" i="20" s="1"/>
  <c r="M304" i="19"/>
  <c r="M305" i="19" s="1"/>
  <c r="M306" i="19" s="1"/>
  <c r="M307" i="19" s="1"/>
  <c r="M308" i="19" s="1"/>
  <c r="M309" i="19" s="1"/>
  <c r="M310" i="19" s="1"/>
  <c r="M311" i="19" s="1"/>
  <c r="M312" i="19" s="1"/>
  <c r="M313" i="19" s="1"/>
  <c r="B49" i="20"/>
  <c r="B51" i="20"/>
  <c r="B47" i="20"/>
  <c r="E254" i="20"/>
  <c r="F262" i="20"/>
  <c r="D105" i="20"/>
  <c r="D121" i="20" s="1"/>
  <c r="D264" i="20" s="1"/>
  <c r="D247" i="20"/>
  <c r="D263" i="20" s="1"/>
  <c r="AC98" i="20"/>
  <c r="AV94" i="20"/>
  <c r="D263" i="19"/>
  <c r="I261" i="19"/>
  <c r="I259" i="19"/>
  <c r="I257" i="19"/>
  <c r="C239" i="20"/>
  <c r="C255" i="20" s="1"/>
  <c r="C97" i="20"/>
  <c r="C113" i="20" s="1"/>
  <c r="Y97" i="20"/>
  <c r="Y113" i="20" s="1"/>
  <c r="Y239" i="20"/>
  <c r="Y255" i="20" s="1"/>
  <c r="E105" i="20"/>
  <c r="E121" i="20" s="1"/>
  <c r="E264" i="20" s="1"/>
  <c r="E247" i="20"/>
  <c r="E263" i="20" s="1"/>
  <c r="G139" i="20"/>
  <c r="I258" i="19"/>
  <c r="Z265" i="19"/>
  <c r="O304" i="19"/>
  <c r="Z59" i="20"/>
  <c r="Z10" i="20" s="1"/>
  <c r="Z11" i="20" s="1"/>
  <c r="Z16" i="20" s="1"/>
  <c r="Z15" i="20" s="1"/>
  <c r="Z45" i="20" s="1"/>
  <c r="D239" i="20"/>
  <c r="D97" i="20"/>
  <c r="D113" i="20" s="1"/>
  <c r="AC166" i="20"/>
  <c r="U176" i="19"/>
  <c r="I256" i="19"/>
  <c r="AA258" i="19"/>
  <c r="AC258" i="19" s="1"/>
  <c r="I263" i="19"/>
  <c r="AA265" i="19"/>
  <c r="O305" i="19"/>
  <c r="O306" i="19" s="1"/>
  <c r="O307" i="19" s="1"/>
  <c r="O308" i="19" s="1"/>
  <c r="O309" i="19" s="1"/>
  <c r="O310" i="19" s="1"/>
  <c r="O311" i="19" s="1"/>
  <c r="O312" i="19" s="1"/>
  <c r="O313" i="19" s="1"/>
  <c r="P303" i="19"/>
  <c r="P304" i="19" s="1"/>
  <c r="P305" i="19" s="1"/>
  <c r="P306" i="19" s="1"/>
  <c r="P307" i="19" s="1"/>
  <c r="P308" i="19" s="1"/>
  <c r="P309" i="19" s="1"/>
  <c r="P310" i="19" s="1"/>
  <c r="P311" i="19" s="1"/>
  <c r="P312" i="19" s="1"/>
  <c r="P313" i="19" s="1"/>
  <c r="I159" i="20"/>
  <c r="AA59" i="20"/>
  <c r="AA10" i="20" s="1"/>
  <c r="AA11" i="20" s="1"/>
  <c r="AA16" i="20" s="1"/>
  <c r="AA15" i="20" s="1"/>
  <c r="AA45" i="20" s="1"/>
  <c r="B67" i="20"/>
  <c r="B73" i="20"/>
  <c r="B74" i="20"/>
  <c r="B69" i="20"/>
  <c r="B64" i="20"/>
  <c r="J249" i="20"/>
  <c r="K95" i="20"/>
  <c r="H238" i="20"/>
  <c r="H96" i="20"/>
  <c r="H112" i="20" s="1"/>
  <c r="G247" i="20"/>
  <c r="G263" i="20" s="1"/>
  <c r="G105" i="20"/>
  <c r="G121" i="20" s="1"/>
  <c r="D261" i="19"/>
  <c r="Z263" i="19"/>
  <c r="C265" i="19"/>
  <c r="C263" i="19"/>
  <c r="Q303" i="19"/>
  <c r="Q304" i="19" s="1"/>
  <c r="Q305" i="19" s="1"/>
  <c r="Q306" i="19" s="1"/>
  <c r="Q307" i="19" s="1"/>
  <c r="Q308" i="19" s="1"/>
  <c r="Q309" i="19" s="1"/>
  <c r="Q310" i="19" s="1"/>
  <c r="Q311" i="19" s="1"/>
  <c r="Q312" i="19" s="1"/>
  <c r="Q313" i="19" s="1"/>
  <c r="X7" i="20"/>
  <c r="X6" i="20"/>
  <c r="O6" i="20"/>
  <c r="I35" i="20"/>
  <c r="I41" i="20" s="1"/>
  <c r="I36" i="20" s="1"/>
  <c r="AB75" i="20"/>
  <c r="AB13" i="20" s="1"/>
  <c r="I238" i="20"/>
  <c r="I96" i="20"/>
  <c r="W176" i="19"/>
  <c r="AA256" i="19"/>
  <c r="AA263" i="19"/>
  <c r="R303" i="19"/>
  <c r="R304" i="19" s="1"/>
  <c r="R305" i="19" s="1"/>
  <c r="R306" i="19" s="1"/>
  <c r="R307" i="19" s="1"/>
  <c r="R308" i="19" s="1"/>
  <c r="R309" i="19" s="1"/>
  <c r="R310" i="19" s="1"/>
  <c r="R311" i="19" s="1"/>
  <c r="R312" i="19" s="1"/>
  <c r="R313" i="19" s="1"/>
  <c r="Y6" i="20"/>
  <c r="K159" i="20"/>
  <c r="M91" i="20"/>
  <c r="M12" i="20" s="1"/>
  <c r="M92" i="20" s="1"/>
  <c r="N101" i="20"/>
  <c r="N117" i="20" s="1"/>
  <c r="N243" i="20"/>
  <c r="M244" i="20"/>
  <c r="M102" i="20"/>
  <c r="M118" i="20" s="1"/>
  <c r="I91" i="20"/>
  <c r="I12" i="20" s="1"/>
  <c r="I92" i="20" s="1"/>
  <c r="V180" i="19"/>
  <c r="B259" i="19"/>
  <c r="M303" i="19"/>
  <c r="T303" i="19"/>
  <c r="T304" i="19" s="1"/>
  <c r="T305" i="19" s="1"/>
  <c r="T306" i="19" s="1"/>
  <c r="T307" i="19" s="1"/>
  <c r="T308" i="19" s="1"/>
  <c r="T309" i="19" s="1"/>
  <c r="T310" i="19" s="1"/>
  <c r="T311" i="19" s="1"/>
  <c r="T312" i="19" s="1"/>
  <c r="T313" i="19" s="1"/>
  <c r="S303" i="19"/>
  <c r="S304" i="19" s="1"/>
  <c r="S305" i="19" s="1"/>
  <c r="S306" i="19" s="1"/>
  <c r="S307" i="19" s="1"/>
  <c r="S308" i="19" s="1"/>
  <c r="S309" i="19" s="1"/>
  <c r="S310" i="19" s="1"/>
  <c r="S311" i="19" s="1"/>
  <c r="S312" i="19" s="1"/>
  <c r="S313" i="19" s="1"/>
  <c r="K35" i="20"/>
  <c r="K41" i="20" s="1"/>
  <c r="K36" i="20" s="1"/>
  <c r="AI71" i="20"/>
  <c r="AD75" i="20"/>
  <c r="V242" i="20"/>
  <c r="V100" i="20"/>
  <c r="V116" i="20" s="1"/>
  <c r="O243" i="20"/>
  <c r="O101" i="20"/>
  <c r="O117" i="20" s="1"/>
  <c r="N244" i="20"/>
  <c r="N260" i="20" s="1"/>
  <c r="N102" i="20"/>
  <c r="N118" i="20" s="1"/>
  <c r="C259" i="19"/>
  <c r="AA261" i="19"/>
  <c r="C266" i="19"/>
  <c r="C283" i="19"/>
  <c r="Y283" i="19"/>
  <c r="Y40" i="19" s="1"/>
  <c r="Y36" i="19" s="1"/>
  <c r="N303" i="19"/>
  <c r="N304" i="19" s="1"/>
  <c r="N305" i="19" s="1"/>
  <c r="N306" i="19" s="1"/>
  <c r="N307" i="19" s="1"/>
  <c r="N308" i="19" s="1"/>
  <c r="N309" i="19" s="1"/>
  <c r="N310" i="19" s="1"/>
  <c r="N311" i="19" s="1"/>
  <c r="N312" i="19" s="1"/>
  <c r="N313" i="19" s="1"/>
  <c r="L35" i="20"/>
  <c r="L41" i="20" s="1"/>
  <c r="L36" i="20" s="1"/>
  <c r="D53" i="20"/>
  <c r="I75" i="20"/>
  <c r="I13" i="20" s="1"/>
  <c r="W242" i="20"/>
  <c r="W100" i="20"/>
  <c r="W116" i="20" s="1"/>
  <c r="P243" i="20"/>
  <c r="P259" i="20" s="1"/>
  <c r="P101" i="20"/>
  <c r="P117" i="20" s="1"/>
  <c r="P260" i="20" s="1"/>
  <c r="O244" i="20"/>
  <c r="O260" i="20" s="1"/>
  <c r="O102" i="20"/>
  <c r="O118" i="20" s="1"/>
  <c r="O261" i="20" s="1"/>
  <c r="N245" i="20"/>
  <c r="N261" i="20" s="1"/>
  <c r="N103" i="20"/>
  <c r="N119" i="20" s="1"/>
  <c r="K91" i="20"/>
  <c r="K12" i="20" s="1"/>
  <c r="K92" i="20" s="1"/>
  <c r="AA6" i="20"/>
  <c r="R75" i="20"/>
  <c r="R13" i="20" s="1"/>
  <c r="W239" i="20"/>
  <c r="W255" i="20" s="1"/>
  <c r="W97" i="20"/>
  <c r="W113" i="20" s="1"/>
  <c r="P240" i="20"/>
  <c r="P256" i="20" s="1"/>
  <c r="P98" i="20"/>
  <c r="P114" i="20" s="1"/>
  <c r="N241" i="20"/>
  <c r="N257" i="20" s="1"/>
  <c r="N99" i="20"/>
  <c r="N115" i="20" s="1"/>
  <c r="N258" i="20" s="1"/>
  <c r="J242" i="20"/>
  <c r="J100" i="20"/>
  <c r="J116" i="20" s="1"/>
  <c r="J259" i="20" s="1"/>
  <c r="X243" i="20"/>
  <c r="X259" i="20" s="1"/>
  <c r="X101" i="20"/>
  <c r="X117" i="20" s="1"/>
  <c r="X260" i="20" s="1"/>
  <c r="T104" i="20"/>
  <c r="T120" i="20" s="1"/>
  <c r="C131" i="20"/>
  <c r="C134" i="20"/>
  <c r="C137" i="20"/>
  <c r="C128" i="20"/>
  <c r="C135" i="20"/>
  <c r="C127" i="20"/>
  <c r="C138" i="20"/>
  <c r="C133" i="20"/>
  <c r="C129" i="20"/>
  <c r="C136" i="20"/>
  <c r="C132" i="20"/>
  <c r="H155" i="20"/>
  <c r="H27" i="20" s="1"/>
  <c r="V160" i="20"/>
  <c r="C260" i="20"/>
  <c r="AB6" i="20"/>
  <c r="Y59" i="20"/>
  <c r="AE49" i="20" s="1"/>
  <c r="I249" i="20"/>
  <c r="I265" i="20" s="1"/>
  <c r="J95" i="20"/>
  <c r="X239" i="20"/>
  <c r="X255" i="20" s="1"/>
  <c r="X97" i="20"/>
  <c r="X113" i="20" s="1"/>
  <c r="Q240" i="20"/>
  <c r="Q256" i="20" s="1"/>
  <c r="Q98" i="20"/>
  <c r="Q114" i="20" s="1"/>
  <c r="O241" i="20"/>
  <c r="O257" i="20" s="1"/>
  <c r="O99" i="20"/>
  <c r="O115" i="20" s="1"/>
  <c r="K242" i="20"/>
  <c r="K100" i="20"/>
  <c r="K116" i="20" s="1"/>
  <c r="C243" i="20"/>
  <c r="C101" i="20"/>
  <c r="C117" i="20" s="1"/>
  <c r="Y243" i="20"/>
  <c r="Y101" i="20"/>
  <c r="Y117" i="20" s="1"/>
  <c r="W160" i="20"/>
  <c r="L260" i="20"/>
  <c r="G49" i="20"/>
  <c r="G57" i="20"/>
  <c r="G54" i="20"/>
  <c r="G55" i="20"/>
  <c r="G58" i="20"/>
  <c r="O75" i="20"/>
  <c r="O13" i="20" s="1"/>
  <c r="L249" i="20"/>
  <c r="L265" i="20" s="1"/>
  <c r="M95" i="20"/>
  <c r="J238" i="20"/>
  <c r="J96" i="20"/>
  <c r="T240" i="20"/>
  <c r="T256" i="20" s="1"/>
  <c r="T98" i="20"/>
  <c r="T114" i="20" s="1"/>
  <c r="L248" i="20"/>
  <c r="L264" i="20" s="1"/>
  <c r="L106" i="20"/>
  <c r="L122" i="20" s="1"/>
  <c r="P91" i="20"/>
  <c r="P12" i="20" s="1"/>
  <c r="P92" i="20" s="1"/>
  <c r="Z176" i="20"/>
  <c r="G47" i="20"/>
  <c r="AC59" i="20"/>
  <c r="AC10" i="20" s="1"/>
  <c r="H49" i="20"/>
  <c r="P75" i="20"/>
  <c r="P13" i="20" s="1"/>
  <c r="K96" i="20"/>
  <c r="K112" i="20" s="1"/>
  <c r="K238" i="20"/>
  <c r="F239" i="20"/>
  <c r="F255" i="20" s="1"/>
  <c r="F97" i="20"/>
  <c r="F113" i="20" s="1"/>
  <c r="U240" i="20"/>
  <c r="U256" i="20" s="1"/>
  <c r="AA82" i="20"/>
  <c r="AA98" i="20" s="1"/>
  <c r="AA114" i="20" s="1"/>
  <c r="S241" i="20"/>
  <c r="S257" i="20" s="1"/>
  <c r="S99" i="20"/>
  <c r="S115" i="20" s="1"/>
  <c r="S258" i="20" s="1"/>
  <c r="E103" i="20"/>
  <c r="E119" i="20" s="1"/>
  <c r="E262" i="20" s="1"/>
  <c r="E245" i="20"/>
  <c r="E261" i="20" s="1"/>
  <c r="T262" i="20"/>
  <c r="C130" i="20"/>
  <c r="O27" i="20"/>
  <c r="F6" i="20"/>
  <c r="H47" i="20"/>
  <c r="AD59" i="20"/>
  <c r="G51" i="20"/>
  <c r="G56" i="20"/>
  <c r="Q75" i="20"/>
  <c r="Q13" i="20" s="1"/>
  <c r="L96" i="20"/>
  <c r="L238" i="20"/>
  <c r="L254" i="20" s="1"/>
  <c r="G97" i="20"/>
  <c r="G113" i="20" s="1"/>
  <c r="G256" i="20" s="1"/>
  <c r="G239" i="20"/>
  <c r="G255" i="20" s="1"/>
  <c r="AC81" i="20"/>
  <c r="V240" i="20"/>
  <c r="V98" i="20"/>
  <c r="V114" i="20" s="1"/>
  <c r="F245" i="20"/>
  <c r="F103" i="20"/>
  <c r="F119" i="20" s="1"/>
  <c r="U246" i="20"/>
  <c r="U104" i="20"/>
  <c r="U120" i="20" s="1"/>
  <c r="B152" i="20"/>
  <c r="D245" i="20"/>
  <c r="D261" i="20" s="1"/>
  <c r="I308" i="19"/>
  <c r="I309" i="19" s="1"/>
  <c r="I310" i="19" s="1"/>
  <c r="I311" i="19" s="1"/>
  <c r="I312" i="19" s="1"/>
  <c r="I313" i="19" s="1"/>
  <c r="M238" i="20"/>
  <c r="M96" i="20"/>
  <c r="M112" i="20" s="1"/>
  <c r="M255" i="20" s="1"/>
  <c r="H255" i="20"/>
  <c r="G261" i="20"/>
  <c r="V246" i="20"/>
  <c r="V262" i="20" s="1"/>
  <c r="V104" i="20"/>
  <c r="V120" i="20" s="1"/>
  <c r="V263" i="20" s="1"/>
  <c r="T91" i="20"/>
  <c r="Q11" i="20"/>
  <c r="Q16" i="20" s="1"/>
  <c r="D75" i="20"/>
  <c r="D13" i="20" s="1"/>
  <c r="Z75" i="20"/>
  <c r="Z13" i="20" s="1"/>
  <c r="S75" i="20"/>
  <c r="S13" i="20" s="1"/>
  <c r="X240" i="20"/>
  <c r="X98" i="20"/>
  <c r="X114" i="20" s="1"/>
  <c r="W246" i="20"/>
  <c r="W262" i="20" s="1"/>
  <c r="W104" i="20"/>
  <c r="W120" i="20" s="1"/>
  <c r="T247" i="20"/>
  <c r="T105" i="20"/>
  <c r="T121" i="20" s="1"/>
  <c r="P248" i="20"/>
  <c r="P264" i="20" s="1"/>
  <c r="P106" i="20"/>
  <c r="P122" i="20" s="1"/>
  <c r="F148" i="20"/>
  <c r="J177" i="20"/>
  <c r="AA25" i="20"/>
  <c r="AA28" i="20" s="1"/>
  <c r="AA26" i="20" s="1"/>
  <c r="AA172" i="20" s="1"/>
  <c r="K59" i="20"/>
  <c r="B54" i="20" s="1"/>
  <c r="G52" i="20"/>
  <c r="T75" i="20"/>
  <c r="T13" i="20" s="1"/>
  <c r="Q249" i="20"/>
  <c r="R95" i="20"/>
  <c r="O238" i="20"/>
  <c r="O254" i="20" s="1"/>
  <c r="O96" i="20"/>
  <c r="J97" i="20"/>
  <c r="J113" i="20" s="1"/>
  <c r="J256" i="20" s="1"/>
  <c r="J239" i="20"/>
  <c r="I261" i="20"/>
  <c r="Q106" i="20"/>
  <c r="Q122" i="20" s="1"/>
  <c r="Q248" i="20"/>
  <c r="Q264" i="20" s="1"/>
  <c r="E146" i="20"/>
  <c r="H305" i="19"/>
  <c r="H306" i="19" s="1"/>
  <c r="H307" i="19" s="1"/>
  <c r="H308" i="19" s="1"/>
  <c r="H309" i="19" s="1"/>
  <c r="H310" i="19" s="1"/>
  <c r="H311" i="19" s="1"/>
  <c r="H312" i="19" s="1"/>
  <c r="H313" i="19" s="1"/>
  <c r="J312" i="19"/>
  <c r="J313" i="19" s="1"/>
  <c r="S11" i="20"/>
  <c r="S16" i="20" s="1"/>
  <c r="L7" i="20"/>
  <c r="U75" i="20"/>
  <c r="U13" i="20" s="1"/>
  <c r="R249" i="20"/>
  <c r="S95" i="20"/>
  <c r="S159" i="20" s="1"/>
  <c r="S91" i="20"/>
  <c r="S12" i="20" s="1"/>
  <c r="S92" i="20" s="1"/>
  <c r="C262" i="20"/>
  <c r="R248" i="20"/>
  <c r="R264" i="20" s="1"/>
  <c r="R106" i="20"/>
  <c r="R122" i="20" s="1"/>
  <c r="P249" i="20"/>
  <c r="P265" i="20" s="1"/>
  <c r="G309" i="19"/>
  <c r="G310" i="19" s="1"/>
  <c r="G311" i="19" s="1"/>
  <c r="G312" i="19" s="1"/>
  <c r="G313" i="19" s="1"/>
  <c r="K312" i="19"/>
  <c r="K313" i="19" s="1"/>
  <c r="T11" i="20"/>
  <c r="T16" i="20" s="1"/>
  <c r="M59" i="20"/>
  <c r="G75" i="20"/>
  <c r="G13" i="20" s="1"/>
  <c r="AC75" i="20"/>
  <c r="AC13" i="20" s="1"/>
  <c r="S249" i="20"/>
  <c r="S265" i="20" s="1"/>
  <c r="T95" i="20"/>
  <c r="S248" i="20"/>
  <c r="S264" i="20" s="1"/>
  <c r="S106" i="20"/>
  <c r="S122" i="20" s="1"/>
  <c r="N238" i="20"/>
  <c r="N254" i="20" s="1"/>
  <c r="N96" i="20"/>
  <c r="I97" i="20"/>
  <c r="I239" i="20"/>
  <c r="W240" i="20"/>
  <c r="W256" i="20" s="1"/>
  <c r="W98" i="20"/>
  <c r="W114" i="20" s="1"/>
  <c r="W257" i="20" s="1"/>
  <c r="AC82" i="20"/>
  <c r="R241" i="20"/>
  <c r="R257" i="20" s="1"/>
  <c r="R99" i="20"/>
  <c r="R115" i="20" s="1"/>
  <c r="F263" i="20"/>
  <c r="T248" i="20"/>
  <c r="T106" i="20"/>
  <c r="T122" i="20" s="1"/>
  <c r="U264" i="20"/>
  <c r="S175" i="20"/>
  <c r="R175" i="20"/>
  <c r="R159" i="20" s="1"/>
  <c r="S176" i="20"/>
  <c r="R176" i="20"/>
  <c r="E257" i="20"/>
  <c r="K247" i="20"/>
  <c r="N59" i="20"/>
  <c r="E56" i="20" s="1"/>
  <c r="J75" i="20"/>
  <c r="J13" i="20" s="1"/>
  <c r="W249" i="20"/>
  <c r="X91" i="20"/>
  <c r="X12" i="20" s="1"/>
  <c r="X92" i="20" s="1"/>
  <c r="K239" i="20"/>
  <c r="K255" i="20" s="1"/>
  <c r="K97" i="20"/>
  <c r="K113" i="20" s="1"/>
  <c r="C240" i="20"/>
  <c r="C98" i="20"/>
  <c r="C114" i="20" s="1"/>
  <c r="Y240" i="20"/>
  <c r="Y98" i="20"/>
  <c r="Y114" i="20" s="1"/>
  <c r="Y257" i="20" s="1"/>
  <c r="D260" i="20"/>
  <c r="R245" i="20"/>
  <c r="R261" i="20" s="1"/>
  <c r="R103" i="20"/>
  <c r="R119" i="20" s="1"/>
  <c r="K246" i="20"/>
  <c r="K262" i="20" s="1"/>
  <c r="K104" i="20"/>
  <c r="K120" i="20" s="1"/>
  <c r="H263" i="20"/>
  <c r="V248" i="20"/>
  <c r="V264" i="20" s="1"/>
  <c r="V106" i="20"/>
  <c r="V122" i="20" s="1"/>
  <c r="T96" i="20"/>
  <c r="S155" i="20"/>
  <c r="S27" i="20" s="1"/>
  <c r="AO145" i="20"/>
  <c r="AL145" i="20"/>
  <c r="K75" i="20"/>
  <c r="B72" i="20" s="1"/>
  <c r="X249" i="20"/>
  <c r="X265" i="20" s="1"/>
  <c r="Y95" i="20"/>
  <c r="Y91" i="20"/>
  <c r="Y12" i="20" s="1"/>
  <c r="Y92" i="20" s="1"/>
  <c r="Q238" i="20"/>
  <c r="Q254" i="20" s="1"/>
  <c r="Q96" i="20"/>
  <c r="Q112" i="20" s="1"/>
  <c r="D240" i="20"/>
  <c r="D256" i="20" s="1"/>
  <c r="D98" i="20"/>
  <c r="D114" i="20" s="1"/>
  <c r="D257" i="20" s="1"/>
  <c r="E102" i="20"/>
  <c r="E118" i="20" s="1"/>
  <c r="E244" i="20"/>
  <c r="E260" i="20" s="1"/>
  <c r="S245" i="20"/>
  <c r="S261" i="20" s="1"/>
  <c r="S103" i="20"/>
  <c r="S119" i="20" s="1"/>
  <c r="S262" i="20" s="1"/>
  <c r="L246" i="20"/>
  <c r="L262" i="20" s="1"/>
  <c r="L104" i="20"/>
  <c r="L120" i="20" s="1"/>
  <c r="L263" i="20" s="1"/>
  <c r="W248" i="20"/>
  <c r="W106" i="20"/>
  <c r="W122" i="20" s="1"/>
  <c r="AE134" i="20"/>
  <c r="C249" i="20"/>
  <c r="C265" i="20" s="1"/>
  <c r="D95" i="20"/>
  <c r="D159" i="20" s="1"/>
  <c r="Y249" i="20"/>
  <c r="Y265" i="20" s="1"/>
  <c r="Z95" i="20"/>
  <c r="R238" i="20"/>
  <c r="R96" i="20"/>
  <c r="R112" i="20" s="1"/>
  <c r="R255" i="20" s="1"/>
  <c r="E256" i="20"/>
  <c r="V257" i="20"/>
  <c r="P242" i="20"/>
  <c r="P258" i="20" s="1"/>
  <c r="P100" i="20"/>
  <c r="P116" i="20" s="1"/>
  <c r="H243" i="20"/>
  <c r="H259" i="20" s="1"/>
  <c r="H101" i="20"/>
  <c r="H117" i="20" s="1"/>
  <c r="F102" i="20"/>
  <c r="F118" i="20" s="1"/>
  <c r="F244" i="20"/>
  <c r="F260" i="20" s="1"/>
  <c r="T245" i="20"/>
  <c r="T261" i="20" s="1"/>
  <c r="T103" i="20"/>
  <c r="T119" i="20" s="1"/>
  <c r="M104" i="20"/>
  <c r="M120" i="20" s="1"/>
  <c r="M246" i="20"/>
  <c r="M262" i="20" s="1"/>
  <c r="J263" i="20"/>
  <c r="X248" i="20"/>
  <c r="X106" i="20"/>
  <c r="X122" i="20" s="1"/>
  <c r="F105" i="20"/>
  <c r="F121" i="20" s="1"/>
  <c r="F264" i="20" s="1"/>
  <c r="B153" i="20"/>
  <c r="D249" i="20"/>
  <c r="D265" i="20" s="1"/>
  <c r="E91" i="20"/>
  <c r="E12" i="20" s="1"/>
  <c r="E92" i="20" s="1"/>
  <c r="S238" i="20"/>
  <c r="S96" i="20"/>
  <c r="S112" i="20" s="1"/>
  <c r="S255" i="20" s="1"/>
  <c r="G102" i="20"/>
  <c r="G118" i="20" s="1"/>
  <c r="G244" i="20"/>
  <c r="G260" i="20" s="1"/>
  <c r="U245" i="20"/>
  <c r="U261" i="20" s="1"/>
  <c r="U103" i="20"/>
  <c r="U119" i="20" s="1"/>
  <c r="N262" i="20"/>
  <c r="C264" i="20"/>
  <c r="V176" i="20"/>
  <c r="V178" i="20"/>
  <c r="V179" i="20" s="1"/>
  <c r="Q159" i="20"/>
  <c r="C49" i="20"/>
  <c r="E249" i="20"/>
  <c r="E265" i="20" s="1"/>
  <c r="F91" i="20"/>
  <c r="F12" i="20" s="1"/>
  <c r="F92" i="20" s="1"/>
  <c r="X257" i="20"/>
  <c r="H244" i="20"/>
  <c r="H102" i="20"/>
  <c r="H118" i="20" s="1"/>
  <c r="H261" i="20" s="1"/>
  <c r="V245" i="20"/>
  <c r="V261" i="20" s="1"/>
  <c r="V103" i="20"/>
  <c r="V119" i="20" s="1"/>
  <c r="O262" i="20"/>
  <c r="AE91" i="20"/>
  <c r="E98" i="20"/>
  <c r="E114" i="20" s="1"/>
  <c r="H105" i="20"/>
  <c r="H121" i="20" s="1"/>
  <c r="H264" i="20" s="1"/>
  <c r="P155" i="20"/>
  <c r="F144" i="20" s="1"/>
  <c r="F249" i="20"/>
  <c r="F265" i="20" s="1"/>
  <c r="G91" i="20"/>
  <c r="G12" i="20" s="1"/>
  <c r="G92" i="20" s="1"/>
  <c r="U238" i="20"/>
  <c r="AA80" i="20"/>
  <c r="AA96" i="20" s="1"/>
  <c r="AA112" i="20" s="1"/>
  <c r="P255" i="20"/>
  <c r="H256" i="20"/>
  <c r="C257" i="20"/>
  <c r="I244" i="20"/>
  <c r="I102" i="20"/>
  <c r="I118" i="20" s="1"/>
  <c r="W261" i="20"/>
  <c r="P262" i="20"/>
  <c r="M247" i="20"/>
  <c r="M105" i="20"/>
  <c r="M121" i="20" s="1"/>
  <c r="W103" i="20"/>
  <c r="W119" i="20" s="1"/>
  <c r="I105" i="20"/>
  <c r="I121" i="20" s="1"/>
  <c r="I264" i="20" s="1"/>
  <c r="Q155" i="20"/>
  <c r="Q27" i="20" s="1"/>
  <c r="D56" i="20"/>
  <c r="E52" i="20"/>
  <c r="E49" i="20"/>
  <c r="E57" i="20"/>
  <c r="AB83" i="20"/>
  <c r="T242" i="20"/>
  <c r="T258" i="20" s="1"/>
  <c r="T100" i="20"/>
  <c r="T116" i="20" s="1"/>
  <c r="J244" i="20"/>
  <c r="J102" i="20"/>
  <c r="J118" i="20" s="1"/>
  <c r="J261" i="20" s="1"/>
  <c r="Q246" i="20"/>
  <c r="Q104" i="20"/>
  <c r="Q120" i="20" s="1"/>
  <c r="N247" i="20"/>
  <c r="N263" i="20" s="1"/>
  <c r="N105" i="20"/>
  <c r="N121" i="20" s="1"/>
  <c r="X103" i="20"/>
  <c r="X119" i="20" s="1"/>
  <c r="J105" i="20"/>
  <c r="J121" i="20" s="1"/>
  <c r="U106" i="20"/>
  <c r="U122" i="20" s="1"/>
  <c r="N111" i="20"/>
  <c r="B149" i="20"/>
  <c r="C176" i="20"/>
  <c r="C177" i="20"/>
  <c r="C178" i="20" s="1"/>
  <c r="Y176" i="20"/>
  <c r="H265" i="20"/>
  <c r="F49" i="20"/>
  <c r="W238" i="20"/>
  <c r="M101" i="20"/>
  <c r="M117" i="20" s="1"/>
  <c r="M243" i="20"/>
  <c r="M259" i="20" s="1"/>
  <c r="R246" i="20"/>
  <c r="R104" i="20"/>
  <c r="R120" i="20" s="1"/>
  <c r="R263" i="20" s="1"/>
  <c r="O263" i="20"/>
  <c r="G264" i="20"/>
  <c r="D91" i="20"/>
  <c r="D12" i="20" s="1"/>
  <c r="D92" i="20" s="1"/>
  <c r="X95" i="20"/>
  <c r="X159" i="20" s="1"/>
  <c r="H98" i="20"/>
  <c r="H114" i="20" s="1"/>
  <c r="D175" i="20"/>
  <c r="D176" i="20" s="1"/>
  <c r="AA175" i="20"/>
  <c r="Q160" i="20"/>
  <c r="V177" i="20"/>
  <c r="G259" i="20"/>
  <c r="Z307" i="20"/>
  <c r="B272" i="20"/>
  <c r="B279" i="20"/>
  <c r="B274" i="20"/>
  <c r="B281" i="20"/>
  <c r="B280" i="20"/>
  <c r="B271" i="20"/>
  <c r="B275" i="20"/>
  <c r="B270" i="20"/>
  <c r="B273" i="20"/>
  <c r="B276" i="20"/>
  <c r="AI298" i="20"/>
  <c r="P111" i="20"/>
  <c r="P254" i="20" s="1"/>
  <c r="D147" i="20"/>
  <c r="N177" i="20"/>
  <c r="N161" i="20"/>
  <c r="W176" i="20"/>
  <c r="AG210" i="20"/>
  <c r="J106" i="20"/>
  <c r="J122" i="20" s="1"/>
  <c r="O177" i="20"/>
  <c r="O161" i="20"/>
  <c r="B175" i="20"/>
  <c r="B176" i="20" s="1"/>
  <c r="X176" i="20"/>
  <c r="B232" i="20"/>
  <c r="B233" i="20"/>
  <c r="B222" i="20"/>
  <c r="B224" i="20"/>
  <c r="B229" i="20"/>
  <c r="B226" i="20"/>
  <c r="B228" i="20"/>
  <c r="B227" i="20"/>
  <c r="B223" i="20"/>
  <c r="B230" i="20"/>
  <c r="B278" i="20"/>
  <c r="F256" i="20"/>
  <c r="T257" i="20"/>
  <c r="L258" i="20"/>
  <c r="D259" i="20"/>
  <c r="Z85" i="20"/>
  <c r="Z101" i="20" s="1"/>
  <c r="Z117" i="20" s="1"/>
  <c r="R260" i="20"/>
  <c r="X262" i="20"/>
  <c r="P263" i="20"/>
  <c r="Q105" i="20"/>
  <c r="Q121" i="20" s="1"/>
  <c r="W155" i="20"/>
  <c r="W27" i="20" s="1"/>
  <c r="E176" i="20"/>
  <c r="E177" i="20" s="1"/>
  <c r="E175" i="20"/>
  <c r="AG206" i="20"/>
  <c r="AA218" i="20"/>
  <c r="AC310" i="20"/>
  <c r="U257" i="20"/>
  <c r="M258" i="20"/>
  <c r="S260" i="20"/>
  <c r="K261" i="20"/>
  <c r="Q263" i="20"/>
  <c r="D101" i="20"/>
  <c r="D117" i="20" s="1"/>
  <c r="R105" i="20"/>
  <c r="R121" i="20" s="1"/>
  <c r="X155" i="20"/>
  <c r="X27" i="20" s="1"/>
  <c r="B150" i="20"/>
  <c r="F176" i="20"/>
  <c r="F177" i="20" s="1"/>
  <c r="F175" i="20"/>
  <c r="AB176" i="20"/>
  <c r="AB218" i="20"/>
  <c r="AJ339" i="20"/>
  <c r="AD355" i="20"/>
  <c r="AM355" i="20" s="1"/>
  <c r="AN355" i="20" s="1"/>
  <c r="F259" i="20"/>
  <c r="T260" i="20"/>
  <c r="L261" i="20"/>
  <c r="D262" i="20"/>
  <c r="J264" i="20"/>
  <c r="E101" i="20"/>
  <c r="E117" i="20" s="1"/>
  <c r="Y155" i="20"/>
  <c r="AE146" i="20" s="1"/>
  <c r="H175" i="20"/>
  <c r="H176" i="20"/>
  <c r="G175" i="20"/>
  <c r="G176" i="20" s="1"/>
  <c r="AD175" i="20"/>
  <c r="AC185" i="20"/>
  <c r="AC175" i="20"/>
  <c r="AC176" i="20" s="1"/>
  <c r="AC177" i="20" s="1"/>
  <c r="AC162" i="20" s="1"/>
  <c r="AD177" i="20"/>
  <c r="AD178" i="20" s="1"/>
  <c r="I318" i="20"/>
  <c r="I319" i="20" s="1"/>
  <c r="I320" i="20" s="1"/>
  <c r="I321" i="20" s="1"/>
  <c r="I322" i="20" s="1"/>
  <c r="I323" i="20" s="1"/>
  <c r="I324" i="20" s="1"/>
  <c r="I325" i="20" s="1"/>
  <c r="I326" i="20" s="1"/>
  <c r="I327" i="20" s="1"/>
  <c r="I328" i="20" s="1"/>
  <c r="AE319" i="20"/>
  <c r="AE320" i="20" s="1"/>
  <c r="AE321" i="20" s="1"/>
  <c r="AE322" i="20" s="1"/>
  <c r="AE323" i="20" s="1"/>
  <c r="AE324" i="20" s="1"/>
  <c r="AE325" i="20" s="1"/>
  <c r="AE326" i="20" s="1"/>
  <c r="AE327" i="20" s="1"/>
  <c r="AE328" i="20" s="1"/>
  <c r="AJ352" i="20"/>
  <c r="AG352" i="20"/>
  <c r="Q255" i="20"/>
  <c r="O258" i="20"/>
  <c r="U260" i="20"/>
  <c r="M261" i="20"/>
  <c r="S263" i="20"/>
  <c r="K264" i="20"/>
  <c r="L100" i="20"/>
  <c r="L116" i="20" s="1"/>
  <c r="L259" i="20" s="1"/>
  <c r="F101" i="20"/>
  <c r="F117" i="20" s="1"/>
  <c r="X104" i="20"/>
  <c r="X120" i="20" s="1"/>
  <c r="Z155" i="20"/>
  <c r="Z27" i="20" s="1"/>
  <c r="P160" i="20"/>
  <c r="Q298" i="20"/>
  <c r="Q40" i="20" s="1"/>
  <c r="Q36" i="20" s="1"/>
  <c r="K318" i="20"/>
  <c r="J318" i="20"/>
  <c r="J319" i="20" s="1"/>
  <c r="J320" i="20" s="1"/>
  <c r="J321" i="20" s="1"/>
  <c r="J322" i="20" s="1"/>
  <c r="J323" i="20" s="1"/>
  <c r="J324" i="20" s="1"/>
  <c r="J325" i="20" s="1"/>
  <c r="J326" i="20" s="1"/>
  <c r="J327" i="20" s="1"/>
  <c r="J328" i="20" s="1"/>
  <c r="AD356" i="20"/>
  <c r="AM356" i="20" s="1"/>
  <c r="AN356" i="20" s="1"/>
  <c r="AJ340" i="20"/>
  <c r="M265" i="20"/>
  <c r="K256" i="20"/>
  <c r="U263" i="20"/>
  <c r="M264" i="20"/>
  <c r="U99" i="20"/>
  <c r="U115" i="20" s="1"/>
  <c r="U258" i="20" s="1"/>
  <c r="N100" i="20"/>
  <c r="N116" i="20" s="1"/>
  <c r="V105" i="20"/>
  <c r="V121" i="20" s="1"/>
  <c r="AB155" i="20"/>
  <c r="AB27" i="20" s="1"/>
  <c r="F152" i="20"/>
  <c r="AD176" i="20"/>
  <c r="Z240" i="20"/>
  <c r="Z256" i="20" s="1"/>
  <c r="AE318" i="20"/>
  <c r="N265" i="20"/>
  <c r="F254" i="20"/>
  <c r="L256" i="20"/>
  <c r="R258" i="20"/>
  <c r="P261" i="20"/>
  <c r="H262" i="20"/>
  <c r="N264" i="20"/>
  <c r="V99" i="20"/>
  <c r="V115" i="20" s="1"/>
  <c r="O100" i="20"/>
  <c r="O116" i="20" s="1"/>
  <c r="I101" i="20"/>
  <c r="I117" i="20" s="1"/>
  <c r="AC155" i="20"/>
  <c r="AC27" i="20" s="1"/>
  <c r="AC26" i="20" s="1"/>
  <c r="K243" i="20"/>
  <c r="K259" i="20" s="1"/>
  <c r="AJ293" i="20"/>
  <c r="AN296" i="20"/>
  <c r="U255" i="20"/>
  <c r="M256" i="20"/>
  <c r="Y244" i="20"/>
  <c r="Y260" i="20" s="1"/>
  <c r="Y102" i="20"/>
  <c r="Y118" i="20" s="1"/>
  <c r="Y261" i="20" s="1"/>
  <c r="Q245" i="20"/>
  <c r="Q261" i="20" s="1"/>
  <c r="Q103" i="20"/>
  <c r="Q119" i="20" s="1"/>
  <c r="I104" i="20"/>
  <c r="I120" i="20" s="1"/>
  <c r="I263" i="20" s="1"/>
  <c r="I246" i="20"/>
  <c r="I262" i="20" s="1"/>
  <c r="W247" i="20"/>
  <c r="W263" i="20" s="1"/>
  <c r="W105" i="20"/>
  <c r="W121" i="20" s="1"/>
  <c r="O248" i="20"/>
  <c r="O264" i="20" s="1"/>
  <c r="O106" i="20"/>
  <c r="O122" i="20" s="1"/>
  <c r="O265" i="20" s="1"/>
  <c r="W99" i="20"/>
  <c r="W115" i="20" s="1"/>
  <c r="J101" i="20"/>
  <c r="J117" i="20" s="1"/>
  <c r="B138" i="20"/>
  <c r="B128" i="20"/>
  <c r="B131" i="20"/>
  <c r="B134" i="20"/>
  <c r="B137" i="20"/>
  <c r="AD155" i="20"/>
  <c r="AD27" i="20" s="1"/>
  <c r="M175" i="20"/>
  <c r="M176" i="20"/>
  <c r="L175" i="20"/>
  <c r="H298" i="20"/>
  <c r="H40" i="20" s="1"/>
  <c r="H36" i="20" s="1"/>
  <c r="AI295" i="20"/>
  <c r="AS286" i="20"/>
  <c r="L298" i="20"/>
  <c r="L40" i="20" s="1"/>
  <c r="C298" i="20"/>
  <c r="Y298" i="20"/>
  <c r="Y40" i="20" s="1"/>
  <c r="Y43" i="20" s="1"/>
  <c r="Y246" i="20"/>
  <c r="Y262" i="20" s="1"/>
  <c r="F274" i="20"/>
  <c r="F281" i="20"/>
  <c r="F276" i="20"/>
  <c r="F271" i="20"/>
  <c r="F275" i="20"/>
  <c r="F279" i="20"/>
  <c r="F278" i="20"/>
  <c r="F270" i="20"/>
  <c r="M298" i="20"/>
  <c r="M40" i="20" s="1"/>
  <c r="M36" i="20" s="1"/>
  <c r="L319" i="20"/>
  <c r="L320" i="20" s="1"/>
  <c r="L321" i="20" s="1"/>
  <c r="L322" i="20" s="1"/>
  <c r="L323" i="20" s="1"/>
  <c r="L324" i="20" s="1"/>
  <c r="L325" i="20" s="1"/>
  <c r="L326" i="20" s="1"/>
  <c r="L327" i="20" s="1"/>
  <c r="L328" i="20" s="1"/>
  <c r="M318" i="20"/>
  <c r="M319" i="20" s="1"/>
  <c r="M320" i="20" s="1"/>
  <c r="M321" i="20" s="1"/>
  <c r="M322" i="20" s="1"/>
  <c r="M323" i="20" s="1"/>
  <c r="M324" i="20" s="1"/>
  <c r="M325" i="20" s="1"/>
  <c r="M326" i="20" s="1"/>
  <c r="M327" i="20" s="1"/>
  <c r="M328" i="20" s="1"/>
  <c r="AT221" i="20"/>
  <c r="F277" i="20"/>
  <c r="P177" i="20"/>
  <c r="P178" i="20" s="1"/>
  <c r="J282" i="20"/>
  <c r="J34" i="20" s="1"/>
  <c r="J35" i="20" s="1"/>
  <c r="J41" i="20" s="1"/>
  <c r="J36" i="20" s="1"/>
  <c r="R155" i="20"/>
  <c r="R27" i="20" s="1"/>
  <c r="Q177" i="20"/>
  <c r="Q161" i="20" s="1"/>
  <c r="AC309" i="20"/>
  <c r="AJ360" i="20"/>
  <c r="AG360" i="20"/>
  <c r="AA298" i="20"/>
  <c r="AA40" i="20" s="1"/>
  <c r="AA36" i="20" s="1"/>
  <c r="AD360" i="20"/>
  <c r="AM360" i="20" s="1"/>
  <c r="AN360" i="20" s="1"/>
  <c r="AJ344" i="20"/>
  <c r="AB123" i="20"/>
  <c r="AE137" i="20"/>
  <c r="Q178" i="20"/>
  <c r="T177" i="20"/>
  <c r="V298" i="20"/>
  <c r="V40" i="20" s="1"/>
  <c r="U177" i="20"/>
  <c r="Y248" i="20"/>
  <c r="F272" i="20"/>
  <c r="W298" i="20"/>
  <c r="W40" i="20" s="1"/>
  <c r="W36" i="20" s="1"/>
  <c r="V320" i="20"/>
  <c r="V321" i="20" s="1"/>
  <c r="V322" i="20" s="1"/>
  <c r="V323" i="20" s="1"/>
  <c r="V324" i="20" s="1"/>
  <c r="V325" i="20" s="1"/>
  <c r="V326" i="20" s="1"/>
  <c r="V327" i="20" s="1"/>
  <c r="V328" i="20" s="1"/>
  <c r="AK354" i="20"/>
  <c r="AL359" i="20"/>
  <c r="D279" i="20"/>
  <c r="D274" i="20"/>
  <c r="D281" i="20"/>
  <c r="D276" i="20"/>
  <c r="D278" i="20"/>
  <c r="S326" i="20"/>
  <c r="S327" i="20" s="1"/>
  <c r="S328" i="20" s="1"/>
  <c r="AJ357" i="20"/>
  <c r="AG357" i="20"/>
  <c r="D273" i="20"/>
  <c r="E279" i="20"/>
  <c r="E274" i="20"/>
  <c r="E281" i="20"/>
  <c r="E276" i="20"/>
  <c r="E273" i="20"/>
  <c r="E277" i="20"/>
  <c r="E270" i="20"/>
  <c r="AM351" i="20"/>
  <c r="AN351" i="20" s="1"/>
  <c r="AM354" i="20"/>
  <c r="AN354" i="20" s="1"/>
  <c r="AK357" i="20"/>
  <c r="E278" i="20"/>
  <c r="H281" i="20"/>
  <c r="H276" i="20"/>
  <c r="H271" i="20"/>
  <c r="H278" i="20"/>
  <c r="H273" i="20"/>
  <c r="H280" i="20"/>
  <c r="W320" i="20"/>
  <c r="W321" i="20" s="1"/>
  <c r="W322" i="20" s="1"/>
  <c r="W323" i="20" s="1"/>
  <c r="W324" i="20" s="1"/>
  <c r="W325" i="20" s="1"/>
  <c r="W326" i="20" s="1"/>
  <c r="W327" i="20" s="1"/>
  <c r="W328" i="20" s="1"/>
  <c r="AL352" i="20"/>
  <c r="AK355" i="20"/>
  <c r="H274" i="20"/>
  <c r="I281" i="20"/>
  <c r="I276" i="20"/>
  <c r="I271" i="20"/>
  <c r="I278" i="20"/>
  <c r="I273" i="20"/>
  <c r="I275" i="20"/>
  <c r="I279" i="20"/>
  <c r="AE276" i="20"/>
  <c r="AE271" i="20"/>
  <c r="AE278" i="20"/>
  <c r="AE273" i="20"/>
  <c r="AE274" i="20"/>
  <c r="O298" i="20"/>
  <c r="O40" i="20" s="1"/>
  <c r="B320" i="20"/>
  <c r="B321" i="20" s="1"/>
  <c r="B322" i="20" s="1"/>
  <c r="B323" i="20" s="1"/>
  <c r="B324" i="20" s="1"/>
  <c r="B325" i="20" s="1"/>
  <c r="B326" i="20" s="1"/>
  <c r="B327" i="20" s="1"/>
  <c r="B328" i="20" s="1"/>
  <c r="C318" i="20"/>
  <c r="C319" i="20" s="1"/>
  <c r="C320" i="20" s="1"/>
  <c r="C321" i="20" s="1"/>
  <c r="C322" i="20" s="1"/>
  <c r="C323" i="20" s="1"/>
  <c r="C324" i="20" s="1"/>
  <c r="C325" i="20" s="1"/>
  <c r="C326" i="20" s="1"/>
  <c r="C327" i="20" s="1"/>
  <c r="C328" i="20" s="1"/>
  <c r="X320" i="20"/>
  <c r="X321" i="20" s="1"/>
  <c r="X322" i="20" s="1"/>
  <c r="X323" i="20" s="1"/>
  <c r="X324" i="20" s="1"/>
  <c r="X325" i="20" s="1"/>
  <c r="X326" i="20" s="1"/>
  <c r="X327" i="20" s="1"/>
  <c r="X328" i="20" s="1"/>
  <c r="Y322" i="20"/>
  <c r="Y323" i="20" s="1"/>
  <c r="Y324" i="20" s="1"/>
  <c r="Y325" i="20" s="1"/>
  <c r="Y326" i="20" s="1"/>
  <c r="Y327" i="20" s="1"/>
  <c r="Y328" i="20" s="1"/>
  <c r="Y319" i="20"/>
  <c r="Y318" i="20"/>
  <c r="AL355" i="20"/>
  <c r="AL360" i="20"/>
  <c r="H270" i="20"/>
  <c r="I274" i="20"/>
  <c r="E318" i="20"/>
  <c r="AL349" i="20"/>
  <c r="K175" i="20"/>
  <c r="I178" i="20"/>
  <c r="AE178" i="20"/>
  <c r="AC312" i="20"/>
  <c r="I270" i="20"/>
  <c r="D320" i="20"/>
  <c r="D321" i="20" s="1"/>
  <c r="D322" i="20" s="1"/>
  <c r="D323" i="20" s="1"/>
  <c r="D324" i="20" s="1"/>
  <c r="D325" i="20" s="1"/>
  <c r="D326" i="20" s="1"/>
  <c r="D327" i="20" s="1"/>
  <c r="D328" i="20" s="1"/>
  <c r="Z325" i="20"/>
  <c r="AM349" i="20"/>
  <c r="AN349" i="20" s="1"/>
  <c r="C281" i="20"/>
  <c r="C276" i="20"/>
  <c r="C271" i="20"/>
  <c r="R298" i="20"/>
  <c r="R40" i="20" s="1"/>
  <c r="R36" i="20" s="1"/>
  <c r="AS287" i="20"/>
  <c r="AQ287" i="20"/>
  <c r="E319" i="20"/>
  <c r="E320" i="20" s="1"/>
  <c r="E321" i="20" s="1"/>
  <c r="E322" i="20" s="1"/>
  <c r="E323" i="20" s="1"/>
  <c r="E324" i="20" s="1"/>
  <c r="E325" i="20" s="1"/>
  <c r="E326" i="20" s="1"/>
  <c r="E327" i="20" s="1"/>
  <c r="E328" i="20" s="1"/>
  <c r="AA320" i="20"/>
  <c r="AA319" i="20"/>
  <c r="AE270" i="20"/>
  <c r="AE281" i="20" s="1"/>
  <c r="D275" i="20"/>
  <c r="AE279" i="20"/>
  <c r="S298" i="20"/>
  <c r="S40" i="20" s="1"/>
  <c r="F319" i="20"/>
  <c r="F320" i="20" s="1"/>
  <c r="F321" i="20" s="1"/>
  <c r="F322" i="20" s="1"/>
  <c r="F323" i="20" s="1"/>
  <c r="F324" i="20" s="1"/>
  <c r="F325" i="20" s="1"/>
  <c r="F326" i="20" s="1"/>
  <c r="F327" i="20" s="1"/>
  <c r="F328" i="20" s="1"/>
  <c r="AB319" i="20"/>
  <c r="AD345" i="20"/>
  <c r="AJ350" i="20"/>
  <c r="AA361" i="20"/>
  <c r="AJ359" i="20" s="1"/>
  <c r="AG350" i="20"/>
  <c r="E275" i="20"/>
  <c r="T298" i="20"/>
  <c r="T40" i="20" s="1"/>
  <c r="AN294" i="20"/>
  <c r="G322" i="20"/>
  <c r="G319" i="20"/>
  <c r="G320" i="20" s="1"/>
  <c r="G321" i="20" s="1"/>
  <c r="G323" i="20"/>
  <c r="G324" i="20" s="1"/>
  <c r="G325" i="20" s="1"/>
  <c r="G326" i="20" s="1"/>
  <c r="G327" i="20" s="1"/>
  <c r="G328" i="20" s="1"/>
  <c r="AC319" i="20"/>
  <c r="AC320" i="20" s="1"/>
  <c r="AK350" i="20"/>
  <c r="AL353" i="20"/>
  <c r="AB250" i="20"/>
  <c r="D271" i="20"/>
  <c r="C280" i="20"/>
  <c r="U298" i="20"/>
  <c r="U40" i="20" s="1"/>
  <c r="U36" i="20" s="1"/>
  <c r="H319" i="20"/>
  <c r="H320" i="20" s="1"/>
  <c r="H321" i="20" s="1"/>
  <c r="H322" i="20" s="1"/>
  <c r="H323" i="20" s="1"/>
  <c r="H324" i="20" s="1"/>
  <c r="H325" i="20" s="1"/>
  <c r="H326" i="20" s="1"/>
  <c r="H327" i="20" s="1"/>
  <c r="H328" i="20" s="1"/>
  <c r="AD319" i="20"/>
  <c r="AD320" i="20" s="1"/>
  <c r="AD321" i="20" s="1"/>
  <c r="AD322" i="20" s="1"/>
  <c r="AD323" i="20" s="1"/>
  <c r="AD324" i="20" s="1"/>
  <c r="AD325" i="20" s="1"/>
  <c r="AD326" i="20" s="1"/>
  <c r="AD327" i="20" s="1"/>
  <c r="AD328" i="20" s="1"/>
  <c r="AJ338" i="20"/>
  <c r="AL350" i="20"/>
  <c r="O322" i="20"/>
  <c r="O323" i="20" s="1"/>
  <c r="U324" i="20"/>
  <c r="U325" i="20" s="1"/>
  <c r="U326" i="20" s="1"/>
  <c r="U327" i="20" s="1"/>
  <c r="U328" i="20" s="1"/>
  <c r="N318" i="20"/>
  <c r="N319" i="20" s="1"/>
  <c r="N320" i="20" s="1"/>
  <c r="N321" i="20" s="1"/>
  <c r="N322" i="20" s="1"/>
  <c r="N323" i="20" s="1"/>
  <c r="N324" i="20" s="1"/>
  <c r="N325" i="20" s="1"/>
  <c r="N326" i="20" s="1"/>
  <c r="N327" i="20" s="1"/>
  <c r="N328" i="20" s="1"/>
  <c r="T320" i="20"/>
  <c r="T321" i="20" s="1"/>
  <c r="T322" i="20" s="1"/>
  <c r="T323" i="20" s="1"/>
  <c r="T324" i="20" s="1"/>
  <c r="T325" i="20" s="1"/>
  <c r="T326" i="20" s="1"/>
  <c r="T327" i="20" s="1"/>
  <c r="T328" i="20" s="1"/>
  <c r="P318" i="20"/>
  <c r="P319" i="20" s="1"/>
  <c r="P320" i="20" s="1"/>
  <c r="P321" i="20" s="1"/>
  <c r="P322" i="20" s="1"/>
  <c r="P323" i="20" s="1"/>
  <c r="P324" i="20" s="1"/>
  <c r="P325" i="20" s="1"/>
  <c r="P326" i="20" s="1"/>
  <c r="P327" i="20" s="1"/>
  <c r="P328" i="20" s="1"/>
  <c r="Q318" i="20"/>
  <c r="Q319" i="20" s="1"/>
  <c r="Q320" i="20" s="1"/>
  <c r="O321" i="20"/>
  <c r="U323" i="20"/>
  <c r="AG359" i="20"/>
  <c r="C274" i="20"/>
  <c r="AG354" i="20"/>
  <c r="C279" i="20"/>
  <c r="AQ289" i="20"/>
  <c r="K319" i="20"/>
  <c r="K320" i="20" s="1"/>
  <c r="K321" i="20" s="1"/>
  <c r="K322" i="20" s="1"/>
  <c r="K323" i="20" s="1"/>
  <c r="K324" i="20" s="1"/>
  <c r="K325" i="20" s="1"/>
  <c r="K326" i="20" s="1"/>
  <c r="K327" i="20" s="1"/>
  <c r="K328" i="20" s="1"/>
  <c r="Y320" i="20"/>
  <c r="Y321" i="20" s="1"/>
  <c r="Q321" i="20"/>
  <c r="Q322" i="20" s="1"/>
  <c r="Q323" i="20" s="1"/>
  <c r="Q324" i="20" s="1"/>
  <c r="Q325" i="20" s="1"/>
  <c r="Q326" i="20" s="1"/>
  <c r="Q327" i="20" s="1"/>
  <c r="Q328" i="20" s="1"/>
  <c r="O324" i="20"/>
  <c r="O325" i="20" s="1"/>
  <c r="O326" i="20" s="1"/>
  <c r="O327" i="20" s="1"/>
  <c r="O328" i="20" s="1"/>
  <c r="R179" i="16" l="1"/>
  <c r="F178" i="20"/>
  <c r="AD178" i="17"/>
  <c r="S208" i="17"/>
  <c r="S305" i="17"/>
  <c r="M80" i="13"/>
  <c r="P179" i="20"/>
  <c r="H179" i="19"/>
  <c r="AC305" i="14"/>
  <c r="E299" i="19"/>
  <c r="E39" i="19"/>
  <c r="L299" i="19"/>
  <c r="L39" i="19"/>
  <c r="J208" i="17"/>
  <c r="J305" i="17"/>
  <c r="T287" i="14"/>
  <c r="V164" i="20"/>
  <c r="V180" i="20"/>
  <c r="Q299" i="19"/>
  <c r="Q39" i="19"/>
  <c r="AH306" i="14"/>
  <c r="D209" i="12"/>
  <c r="AC305" i="20"/>
  <c r="R314" i="20"/>
  <c r="R39" i="20"/>
  <c r="AD179" i="20"/>
  <c r="AC309" i="19"/>
  <c r="K180" i="16"/>
  <c r="D177" i="20"/>
  <c r="I179" i="19"/>
  <c r="AB178" i="19"/>
  <c r="N179" i="17"/>
  <c r="M314" i="20"/>
  <c r="M39" i="20"/>
  <c r="F179" i="15"/>
  <c r="AC172" i="20"/>
  <c r="AC171" i="20"/>
  <c r="X179" i="17"/>
  <c r="B306" i="17"/>
  <c r="R179" i="15"/>
  <c r="G177" i="20"/>
  <c r="Z213" i="19"/>
  <c r="Z310" i="19"/>
  <c r="C178" i="13"/>
  <c r="U314" i="20"/>
  <c r="U39" i="20"/>
  <c r="W314" i="20"/>
  <c r="W39" i="20"/>
  <c r="AB209" i="19"/>
  <c r="AB225" i="19" s="1"/>
  <c r="AB306" i="19"/>
  <c r="AD155" i="15"/>
  <c r="P179" i="19"/>
  <c r="P163" i="19" s="1"/>
  <c r="L18" i="17"/>
  <c r="I81" i="16"/>
  <c r="I97" i="16" s="1"/>
  <c r="I113" i="16" s="1"/>
  <c r="AB139" i="19"/>
  <c r="R178" i="17"/>
  <c r="J314" i="20"/>
  <c r="J39" i="20"/>
  <c r="AA104" i="19"/>
  <c r="AA120" i="19" s="1"/>
  <c r="AC88" i="19"/>
  <c r="P18" i="17"/>
  <c r="I178" i="16"/>
  <c r="N179" i="15"/>
  <c r="T179" i="14"/>
  <c r="U178" i="17"/>
  <c r="H81" i="17"/>
  <c r="H97" i="17" s="1"/>
  <c r="B177" i="20"/>
  <c r="Q80" i="17"/>
  <c r="Y211" i="15"/>
  <c r="Y308" i="15"/>
  <c r="C179" i="20"/>
  <c r="Q179" i="19"/>
  <c r="V178" i="17"/>
  <c r="O181" i="16"/>
  <c r="E178" i="20"/>
  <c r="Y299" i="19"/>
  <c r="Y39" i="19"/>
  <c r="K163" i="19"/>
  <c r="K179" i="19"/>
  <c r="AF153" i="14"/>
  <c r="U180" i="16"/>
  <c r="O299" i="19"/>
  <c r="O39" i="19"/>
  <c r="P299" i="19"/>
  <c r="P39" i="19"/>
  <c r="W178" i="17"/>
  <c r="P178" i="17"/>
  <c r="G40" i="12"/>
  <c r="C275" i="12"/>
  <c r="C281" i="12"/>
  <c r="C278" i="12"/>
  <c r="C273" i="12"/>
  <c r="C279" i="12"/>
  <c r="C272" i="12"/>
  <c r="C274" i="12"/>
  <c r="C271" i="12"/>
  <c r="J160" i="20"/>
  <c r="J112" i="20"/>
  <c r="E177" i="17"/>
  <c r="B276" i="16"/>
  <c r="H260" i="20"/>
  <c r="Q108" i="19"/>
  <c r="Q23" i="19" s="1"/>
  <c r="Q25" i="19" s="1"/>
  <c r="Q28" i="19" s="1"/>
  <c r="Q26" i="19" s="1"/>
  <c r="Q112" i="19"/>
  <c r="Q239" i="19" s="1"/>
  <c r="AA178" i="16"/>
  <c r="E129" i="17"/>
  <c r="AE181" i="15"/>
  <c r="G46" i="14"/>
  <c r="AD250" i="20"/>
  <c r="AC250" i="20"/>
  <c r="AB266" i="20"/>
  <c r="E66" i="17"/>
  <c r="L81" i="16"/>
  <c r="L97" i="16" s="1"/>
  <c r="L113" i="16" s="1"/>
  <c r="Q18" i="17"/>
  <c r="F56" i="17"/>
  <c r="H178" i="16"/>
  <c r="Y10" i="16"/>
  <c r="Y11" i="16" s="1"/>
  <c r="Y16" i="16" s="1"/>
  <c r="AE57" i="16"/>
  <c r="AE49" i="16"/>
  <c r="AE54" i="16"/>
  <c r="AE58" i="16"/>
  <c r="AA67" i="19"/>
  <c r="AC67" i="19" s="1"/>
  <c r="Z177" i="17"/>
  <c r="AD56" i="15"/>
  <c r="B278" i="14"/>
  <c r="B86" i="19"/>
  <c r="B102" i="19" s="1"/>
  <c r="B118" i="19" s="1"/>
  <c r="F279" i="17"/>
  <c r="AA276" i="19"/>
  <c r="E131" i="17"/>
  <c r="AE54" i="17"/>
  <c r="Z178" i="15"/>
  <c r="W15" i="20"/>
  <c r="W45" i="20" s="1"/>
  <c r="N82" i="16"/>
  <c r="N98" i="16" s="1"/>
  <c r="AE138" i="17"/>
  <c r="AE139" i="17" s="1"/>
  <c r="R81" i="15"/>
  <c r="R97" i="15" s="1"/>
  <c r="E128" i="17"/>
  <c r="D133" i="17"/>
  <c r="AE55" i="17"/>
  <c r="B261" i="16"/>
  <c r="D66" i="17"/>
  <c r="Q103" i="14"/>
  <c r="Q119" i="14" s="1"/>
  <c r="Q246" i="14" s="1"/>
  <c r="Q214" i="14"/>
  <c r="G208" i="13"/>
  <c r="G305" i="13"/>
  <c r="AA13" i="14"/>
  <c r="AA26" i="1" s="1"/>
  <c r="AF66" i="14"/>
  <c r="AE67" i="14"/>
  <c r="AE74" i="14"/>
  <c r="AE68" i="14"/>
  <c r="AF64" i="14"/>
  <c r="AE70" i="14"/>
  <c r="AB178" i="12"/>
  <c r="G147" i="20"/>
  <c r="D255" i="20"/>
  <c r="AB85" i="20"/>
  <c r="E177" i="19"/>
  <c r="E161" i="19"/>
  <c r="C113" i="19"/>
  <c r="C240" i="19" s="1"/>
  <c r="Y108" i="19"/>
  <c r="Y23" i="19" s="1"/>
  <c r="Y25" i="19" s="1"/>
  <c r="Y28" i="19" s="1"/>
  <c r="Y26" i="19" s="1"/>
  <c r="Y112" i="19"/>
  <c r="C151" i="20"/>
  <c r="Z72" i="19"/>
  <c r="B279" i="17"/>
  <c r="K40" i="17"/>
  <c r="B278" i="17"/>
  <c r="B276" i="17"/>
  <c r="B282" i="17"/>
  <c r="B271" i="17"/>
  <c r="AB89" i="19"/>
  <c r="AB68" i="19"/>
  <c r="Y34" i="16"/>
  <c r="AE255" i="16"/>
  <c r="AE265" i="16"/>
  <c r="AE261" i="16"/>
  <c r="E135" i="17"/>
  <c r="AD177" i="16"/>
  <c r="B69" i="16"/>
  <c r="L223" i="16"/>
  <c r="L80" i="16"/>
  <c r="AG74" i="14"/>
  <c r="B75" i="14"/>
  <c r="K176" i="20"/>
  <c r="K160" i="20" s="1"/>
  <c r="AE57" i="20"/>
  <c r="Y256" i="20"/>
  <c r="X256" i="20"/>
  <c r="E153" i="19"/>
  <c r="B241" i="20"/>
  <c r="B257" i="20" s="1"/>
  <c r="AE67" i="20"/>
  <c r="S15" i="19"/>
  <c r="B280" i="17"/>
  <c r="AA177" i="17"/>
  <c r="D118" i="19"/>
  <c r="D245" i="19" s="1"/>
  <c r="D108" i="19"/>
  <c r="D23" i="19" s="1"/>
  <c r="D25" i="19" s="1"/>
  <c r="D28" i="19" s="1"/>
  <c r="D26" i="19" s="1"/>
  <c r="AB88" i="19"/>
  <c r="AE262" i="17"/>
  <c r="Z70" i="19"/>
  <c r="D155" i="17"/>
  <c r="D145" i="17"/>
  <c r="D147" i="17"/>
  <c r="J27" i="17"/>
  <c r="J19" i="2" s="1"/>
  <c r="D153" i="17"/>
  <c r="AB145" i="19"/>
  <c r="B73" i="19"/>
  <c r="Y207" i="17"/>
  <c r="O308" i="16"/>
  <c r="O211" i="16"/>
  <c r="F51" i="17"/>
  <c r="AE259" i="16"/>
  <c r="D48" i="17"/>
  <c r="N208" i="16"/>
  <c r="C48" i="17"/>
  <c r="B54" i="17"/>
  <c r="M24" i="17"/>
  <c r="D134" i="17"/>
  <c r="D132" i="17"/>
  <c r="AA150" i="19"/>
  <c r="D275" i="17"/>
  <c r="F66" i="17"/>
  <c r="B255" i="16"/>
  <c r="AE68" i="16"/>
  <c r="O305" i="15"/>
  <c r="O208" i="15"/>
  <c r="E138" i="17"/>
  <c r="AE181" i="16"/>
  <c r="D129" i="17"/>
  <c r="F178" i="16"/>
  <c r="D178" i="15"/>
  <c r="AD57" i="16"/>
  <c r="B281" i="15"/>
  <c r="E52" i="17"/>
  <c r="H81" i="15"/>
  <c r="H97" i="15" s="1"/>
  <c r="B75" i="15"/>
  <c r="B59" i="14"/>
  <c r="F281" i="13"/>
  <c r="AG233" i="14"/>
  <c r="AG231" i="14"/>
  <c r="AG229" i="14"/>
  <c r="AG227" i="14"/>
  <c r="AG225" i="14"/>
  <c r="AG223" i="14"/>
  <c r="AG251" i="14"/>
  <c r="AG228" i="14"/>
  <c r="AG230" i="14"/>
  <c r="AG232" i="14"/>
  <c r="AG224" i="14"/>
  <c r="AG226" i="14"/>
  <c r="AG234" i="14"/>
  <c r="AG33" i="14"/>
  <c r="AG35" i="14" s="1"/>
  <c r="AG41" i="14" s="1"/>
  <c r="AG40" i="14" s="1"/>
  <c r="AG283" i="14" s="1"/>
  <c r="F305" i="14"/>
  <c r="W210" i="12"/>
  <c r="W307" i="12"/>
  <c r="AB40" i="12"/>
  <c r="AE279" i="12"/>
  <c r="AE273" i="12"/>
  <c r="AE280" i="12"/>
  <c r="AD277" i="12"/>
  <c r="G81" i="12"/>
  <c r="Q42" i="1"/>
  <c r="E73" i="17"/>
  <c r="C129" i="17"/>
  <c r="L24" i="17"/>
  <c r="L16" i="2" s="1"/>
  <c r="C135" i="17"/>
  <c r="S162" i="15"/>
  <c r="S178" i="15"/>
  <c r="L179" i="15"/>
  <c r="AD214" i="14"/>
  <c r="AD103" i="14"/>
  <c r="AD119" i="14" s="1"/>
  <c r="AD246" i="14" s="1"/>
  <c r="AF87" i="14"/>
  <c r="AF103" i="14" s="1"/>
  <c r="AF119" i="14" s="1"/>
  <c r="AG87" i="14"/>
  <c r="AG103" i="14" s="1"/>
  <c r="AG119" i="14" s="1"/>
  <c r="AA211" i="13"/>
  <c r="AA308" i="13"/>
  <c r="N209" i="12"/>
  <c r="N306" i="12"/>
  <c r="Y177" i="20"/>
  <c r="Z81" i="16"/>
  <c r="Z97" i="16" s="1"/>
  <c r="Z224" i="16"/>
  <c r="T178" i="17"/>
  <c r="R304" i="16"/>
  <c r="S178" i="16"/>
  <c r="U177" i="19"/>
  <c r="AJ73" i="20"/>
  <c r="P80" i="17"/>
  <c r="C304" i="17"/>
  <c r="M179" i="16"/>
  <c r="AB83" i="17"/>
  <c r="AB99" i="17" s="1"/>
  <c r="AB115" i="17" s="1"/>
  <c r="O30" i="2"/>
  <c r="T263" i="20"/>
  <c r="U160" i="19"/>
  <c r="B73" i="15"/>
  <c r="J255" i="20"/>
  <c r="S27" i="2"/>
  <c r="I305" i="15"/>
  <c r="I208" i="15"/>
  <c r="H160" i="20"/>
  <c r="Y113" i="19"/>
  <c r="Y161" i="19"/>
  <c r="AA9" i="15"/>
  <c r="AA11" i="15" s="1"/>
  <c r="AA16" i="15" s="1"/>
  <c r="C271" i="17"/>
  <c r="C207" i="17" s="1"/>
  <c r="E64" i="17"/>
  <c r="C56" i="17"/>
  <c r="J36" i="19"/>
  <c r="AE150" i="16"/>
  <c r="X80" i="16"/>
  <c r="X223" i="16"/>
  <c r="AE256" i="16"/>
  <c r="Y24" i="16"/>
  <c r="AE128" i="16"/>
  <c r="AE131" i="16"/>
  <c r="AE134" i="16"/>
  <c r="AE129" i="16"/>
  <c r="AE133" i="16"/>
  <c r="AE138" i="16"/>
  <c r="V178" i="15"/>
  <c r="M209" i="16"/>
  <c r="H178" i="13"/>
  <c r="B71" i="14"/>
  <c r="AE23" i="12"/>
  <c r="AE25" i="12" s="1"/>
  <c r="AE28" i="12" s="1"/>
  <c r="AE26" i="12" s="1"/>
  <c r="C144" i="12"/>
  <c r="B66" i="12"/>
  <c r="AC162" i="10"/>
  <c r="AC178" i="10"/>
  <c r="AI264" i="10"/>
  <c r="AF217" i="10"/>
  <c r="AG207" i="10"/>
  <c r="AF106" i="10"/>
  <c r="AK80" i="10"/>
  <c r="AJ80" i="10"/>
  <c r="AN80" i="10" s="1"/>
  <c r="AI80" i="10"/>
  <c r="AL80" i="10" s="1"/>
  <c r="I179" i="20"/>
  <c r="R265" i="20"/>
  <c r="J258" i="20"/>
  <c r="AC85" i="19"/>
  <c r="L177" i="19"/>
  <c r="T108" i="19"/>
  <c r="T23" i="19" s="1"/>
  <c r="T25" i="19" s="1"/>
  <c r="T28" i="19" s="1"/>
  <c r="B155" i="19"/>
  <c r="AB276" i="19"/>
  <c r="M81" i="17"/>
  <c r="M97" i="17" s="1"/>
  <c r="B255" i="17"/>
  <c r="B260" i="17"/>
  <c r="K34" i="17"/>
  <c r="L306" i="16"/>
  <c r="B51" i="17"/>
  <c r="Z178" i="16"/>
  <c r="Z162" i="16" s="1"/>
  <c r="B136" i="17"/>
  <c r="F71" i="17"/>
  <c r="AA207" i="16"/>
  <c r="AA304" i="16"/>
  <c r="B66" i="16"/>
  <c r="AE50" i="17"/>
  <c r="T81" i="15"/>
  <c r="T97" i="15" s="1"/>
  <c r="T113" i="15" s="1"/>
  <c r="E57" i="17"/>
  <c r="E213" i="15"/>
  <c r="E310" i="15"/>
  <c r="N305" i="14"/>
  <c r="B55" i="14"/>
  <c r="AA180" i="15"/>
  <c r="DN22" i="8"/>
  <c r="BH41" i="8"/>
  <c r="B88" i="20"/>
  <c r="B104" i="20" s="1"/>
  <c r="B120" i="20" s="1"/>
  <c r="B263" i="20" s="1"/>
  <c r="C52" i="20"/>
  <c r="Q107" i="20"/>
  <c r="Q23" i="20" s="1"/>
  <c r="Q25" i="20" s="1"/>
  <c r="Q28" i="20" s="1"/>
  <c r="Q26" i="20" s="1"/>
  <c r="B48" i="20"/>
  <c r="V259" i="20"/>
  <c r="D47" i="20"/>
  <c r="D48" i="20"/>
  <c r="J244" i="19"/>
  <c r="D246" i="19"/>
  <c r="AE69" i="20"/>
  <c r="Y13" i="20"/>
  <c r="AE72" i="20"/>
  <c r="AC57" i="19"/>
  <c r="N207" i="17"/>
  <c r="N304" i="17"/>
  <c r="B257" i="17"/>
  <c r="B81" i="20"/>
  <c r="B97" i="20" s="1"/>
  <c r="B113" i="20" s="1"/>
  <c r="G154" i="20"/>
  <c r="D52" i="20"/>
  <c r="AB320" i="20"/>
  <c r="R254" i="20"/>
  <c r="F55" i="20"/>
  <c r="Q265" i="20"/>
  <c r="AE147" i="20"/>
  <c r="B57" i="20"/>
  <c r="E146" i="19"/>
  <c r="G107" i="20"/>
  <c r="G23" i="20" s="1"/>
  <c r="G25" i="20" s="1"/>
  <c r="G28" i="20" s="1"/>
  <c r="G26" i="20" s="1"/>
  <c r="D178" i="19"/>
  <c r="T7" i="20"/>
  <c r="E47" i="20"/>
  <c r="X250" i="19"/>
  <c r="E48" i="20"/>
  <c r="C143" i="20"/>
  <c r="AA304" i="17"/>
  <c r="AA207" i="17"/>
  <c r="P308" i="17"/>
  <c r="P211" i="17"/>
  <c r="Z73" i="19"/>
  <c r="D149" i="19"/>
  <c r="D177" i="17"/>
  <c r="AC87" i="19"/>
  <c r="AC103" i="19" s="1"/>
  <c r="AC119" i="19" s="1"/>
  <c r="O304" i="17"/>
  <c r="O207" i="17"/>
  <c r="Q161" i="19"/>
  <c r="AE256" i="17"/>
  <c r="D277" i="17"/>
  <c r="AB271" i="19"/>
  <c r="C146" i="17"/>
  <c r="X299" i="19"/>
  <c r="X39" i="19"/>
  <c r="K13" i="17"/>
  <c r="B68" i="17"/>
  <c r="B67" i="17"/>
  <c r="B71" i="17"/>
  <c r="B69" i="17"/>
  <c r="X93" i="19"/>
  <c r="X15" i="19"/>
  <c r="F147" i="17"/>
  <c r="F145" i="17"/>
  <c r="F150" i="17"/>
  <c r="F153" i="17"/>
  <c r="L27" i="17"/>
  <c r="L19" i="2" s="1"/>
  <c r="F155" i="17"/>
  <c r="F146" i="17"/>
  <c r="B74" i="17"/>
  <c r="AE262" i="16"/>
  <c r="T80" i="17"/>
  <c r="M306" i="16"/>
  <c r="N207" i="16"/>
  <c r="C54" i="17"/>
  <c r="Z10" i="17"/>
  <c r="Z11" i="17" s="1"/>
  <c r="Z16" i="17" s="1"/>
  <c r="AE56" i="17"/>
  <c r="AE58" i="17"/>
  <c r="K304" i="16"/>
  <c r="AA145" i="19"/>
  <c r="AC145" i="19" s="1"/>
  <c r="E275" i="17"/>
  <c r="B258" i="17"/>
  <c r="K244" i="19"/>
  <c r="AC180" i="17"/>
  <c r="E55" i="17"/>
  <c r="F75" i="17"/>
  <c r="G129" i="17"/>
  <c r="W11" i="17"/>
  <c r="W16" i="17" s="1"/>
  <c r="B256" i="16"/>
  <c r="B208" i="16" s="1"/>
  <c r="B259" i="16"/>
  <c r="K34" i="16"/>
  <c r="B262" i="16"/>
  <c r="AE74" i="16"/>
  <c r="Q304" i="15"/>
  <c r="Q207" i="15"/>
  <c r="E130" i="17"/>
  <c r="D137" i="17"/>
  <c r="B131" i="16"/>
  <c r="B263" i="15"/>
  <c r="AE50" i="16"/>
  <c r="C64" i="17"/>
  <c r="AC219" i="16"/>
  <c r="AC35" i="16"/>
  <c r="AC41" i="16" s="1"/>
  <c r="AC40" i="16" s="1"/>
  <c r="N178" i="14"/>
  <c r="P305" i="14"/>
  <c r="C177" i="14"/>
  <c r="AG305" i="14"/>
  <c r="K13" i="15"/>
  <c r="B71" i="15"/>
  <c r="B74" i="15"/>
  <c r="B68" i="15"/>
  <c r="B70" i="15"/>
  <c r="B72" i="15"/>
  <c r="B66" i="15"/>
  <c r="B132" i="14"/>
  <c r="AD282" i="13"/>
  <c r="AG136" i="14"/>
  <c r="L181" i="13"/>
  <c r="AF256" i="14"/>
  <c r="F128" i="13"/>
  <c r="E139" i="13"/>
  <c r="AD276" i="12"/>
  <c r="B277" i="12"/>
  <c r="B279" i="12"/>
  <c r="F40" i="12"/>
  <c r="F11" i="3" s="1"/>
  <c r="F39" i="3" s="1"/>
  <c r="B276" i="12"/>
  <c r="B281" i="12"/>
  <c r="B282" i="12"/>
  <c r="B278" i="12"/>
  <c r="B273" i="12"/>
  <c r="B275" i="12"/>
  <c r="B271" i="12"/>
  <c r="B280" i="12"/>
  <c r="B274" i="12"/>
  <c r="B272" i="12"/>
  <c r="AE272" i="12"/>
  <c r="AD72" i="14"/>
  <c r="X177" i="20"/>
  <c r="T314" i="20"/>
  <c r="T39" i="20"/>
  <c r="F299" i="19"/>
  <c r="F39" i="19"/>
  <c r="AC14" i="17"/>
  <c r="AC15" i="17" s="1"/>
  <c r="AC46" i="17" s="1"/>
  <c r="AD6" i="17"/>
  <c r="AD281" i="16"/>
  <c r="AD278" i="16"/>
  <c r="AD275" i="16"/>
  <c r="AD274" i="16"/>
  <c r="AD282" i="16" s="1"/>
  <c r="AD277" i="16"/>
  <c r="AD280" i="16"/>
  <c r="AD273" i="16"/>
  <c r="AD276" i="16"/>
  <c r="AD279" i="16"/>
  <c r="S82" i="15"/>
  <c r="S98" i="15" s="1"/>
  <c r="S114" i="15" s="1"/>
  <c r="B91" i="19"/>
  <c r="B107" i="19" s="1"/>
  <c r="B123" i="19" s="1"/>
  <c r="T15" i="19"/>
  <c r="C241" i="19"/>
  <c r="C260" i="17"/>
  <c r="C263" i="17"/>
  <c r="C255" i="17"/>
  <c r="L34" i="17"/>
  <c r="C265" i="17"/>
  <c r="C259" i="17"/>
  <c r="C258" i="17"/>
  <c r="AB80" i="17"/>
  <c r="T93" i="14"/>
  <c r="T96" i="14"/>
  <c r="R80" i="14"/>
  <c r="B128" i="17"/>
  <c r="C58" i="17"/>
  <c r="U80" i="16"/>
  <c r="M305" i="15"/>
  <c r="S81" i="15"/>
  <c r="S97" i="15" s="1"/>
  <c r="H161" i="20"/>
  <c r="E108" i="19"/>
  <c r="E23" i="19" s="1"/>
  <c r="E25" i="19" s="1"/>
  <c r="E28" i="19" s="1"/>
  <c r="E26" i="19" s="1"/>
  <c r="B209" i="16"/>
  <c r="Y81" i="17"/>
  <c r="D257" i="17"/>
  <c r="D263" i="17"/>
  <c r="D259" i="17"/>
  <c r="D265" i="17"/>
  <c r="M34" i="17"/>
  <c r="AE53" i="17"/>
  <c r="J178" i="14"/>
  <c r="D310" i="12"/>
  <c r="AB289" i="14"/>
  <c r="AB305" i="14"/>
  <c r="M254" i="20"/>
  <c r="AE181" i="17"/>
  <c r="F48" i="17"/>
  <c r="U207" i="15"/>
  <c r="U304" i="15"/>
  <c r="B132" i="16"/>
  <c r="O304" i="13"/>
  <c r="O207" i="13"/>
  <c r="C207" i="12"/>
  <c r="C304" i="12"/>
  <c r="F258" i="13"/>
  <c r="F256" i="13"/>
  <c r="F261" i="13"/>
  <c r="F255" i="13"/>
  <c r="F259" i="13"/>
  <c r="O34" i="13"/>
  <c r="O19" i="3" s="1"/>
  <c r="F264" i="13"/>
  <c r="F263" i="13"/>
  <c r="E261" i="13"/>
  <c r="E256" i="13"/>
  <c r="F262" i="13"/>
  <c r="F260" i="13"/>
  <c r="F266" i="13"/>
  <c r="B266" i="13"/>
  <c r="C265" i="13"/>
  <c r="C255" i="13"/>
  <c r="B263" i="13"/>
  <c r="B265" i="13"/>
  <c r="E262" i="13"/>
  <c r="B258" i="13"/>
  <c r="AE179" i="20"/>
  <c r="W161" i="17"/>
  <c r="AE23" i="17"/>
  <c r="AE25" i="17" s="1"/>
  <c r="AE28" i="17" s="1"/>
  <c r="AE26" i="17" s="1"/>
  <c r="S207" i="17"/>
  <c r="AB179" i="17"/>
  <c r="B130" i="16"/>
  <c r="O223" i="16"/>
  <c r="O80" i="16"/>
  <c r="T306" i="15"/>
  <c r="B262" i="14"/>
  <c r="AH233" i="14"/>
  <c r="AH231" i="14"/>
  <c r="AH229" i="14"/>
  <c r="AH227" i="14"/>
  <c r="AH225" i="14"/>
  <c r="AH223" i="14"/>
  <c r="AH228" i="14"/>
  <c r="AH230" i="14"/>
  <c r="AH251" i="14"/>
  <c r="AH224" i="14"/>
  <c r="AH226" i="14"/>
  <c r="AH232" i="14"/>
  <c r="AH234" i="14"/>
  <c r="AH33" i="14"/>
  <c r="AH35" i="14" s="1"/>
  <c r="AH41" i="14" s="1"/>
  <c r="AH40" i="14" s="1"/>
  <c r="AH283" i="14" s="1"/>
  <c r="AE272" i="14"/>
  <c r="AE276" i="14"/>
  <c r="AE271" i="14"/>
  <c r="AE281" i="14"/>
  <c r="AE278" i="14"/>
  <c r="AE273" i="14"/>
  <c r="AE275" i="14"/>
  <c r="AE280" i="14"/>
  <c r="AE277" i="14"/>
  <c r="AE279" i="14"/>
  <c r="AE274" i="14"/>
  <c r="M161" i="20"/>
  <c r="M177" i="20"/>
  <c r="AE54" i="20"/>
  <c r="D148" i="20"/>
  <c r="D151" i="20"/>
  <c r="D145" i="20"/>
  <c r="D161" i="20" s="1"/>
  <c r="M27" i="20"/>
  <c r="D154" i="20"/>
  <c r="D144" i="20"/>
  <c r="D160" i="20" s="1"/>
  <c r="E280" i="17"/>
  <c r="R306" i="17"/>
  <c r="S178" i="17"/>
  <c r="E277" i="17"/>
  <c r="C277" i="17"/>
  <c r="D51" i="17"/>
  <c r="X82" i="16"/>
  <c r="C59" i="17"/>
  <c r="AA144" i="19"/>
  <c r="AE260" i="16"/>
  <c r="D135" i="17"/>
  <c r="B72" i="16"/>
  <c r="J26" i="1"/>
  <c r="J15" i="14"/>
  <c r="M209" i="13"/>
  <c r="M306" i="13"/>
  <c r="P87" i="14"/>
  <c r="AB288" i="14"/>
  <c r="Y264" i="20"/>
  <c r="F160" i="20"/>
  <c r="O178" i="20"/>
  <c r="R107" i="20"/>
  <c r="R23" i="20" s="1"/>
  <c r="R25" i="20" s="1"/>
  <c r="R28" i="20" s="1"/>
  <c r="R26" i="20" s="1"/>
  <c r="R111" i="20"/>
  <c r="L314" i="20"/>
  <c r="L39" i="20"/>
  <c r="L10" i="20"/>
  <c r="L11" i="20" s="1"/>
  <c r="L16" i="20" s="1"/>
  <c r="L15" i="20" s="1"/>
  <c r="L45" i="20" s="1"/>
  <c r="C54" i="20"/>
  <c r="C58" i="20"/>
  <c r="C51" i="20"/>
  <c r="B85" i="20"/>
  <c r="B101" i="20" s="1"/>
  <c r="B117" i="20" s="1"/>
  <c r="G144" i="20"/>
  <c r="G160" i="20" s="1"/>
  <c r="AC80" i="20"/>
  <c r="I162" i="20"/>
  <c r="C56" i="20"/>
  <c r="Z111" i="20"/>
  <c r="Z254" i="20" s="1"/>
  <c r="Z159" i="20"/>
  <c r="C256" i="20"/>
  <c r="D153" i="20"/>
  <c r="AE150" i="20"/>
  <c r="V181" i="19"/>
  <c r="B52" i="20"/>
  <c r="D57" i="20"/>
  <c r="P257" i="20"/>
  <c r="I15" i="20"/>
  <c r="G258" i="20"/>
  <c r="B147" i="19"/>
  <c r="B308" i="20"/>
  <c r="B305" i="20"/>
  <c r="B313" i="20"/>
  <c r="B302" i="20"/>
  <c r="B310" i="20"/>
  <c r="B306" i="20"/>
  <c r="B303" i="20"/>
  <c r="B307" i="20"/>
  <c r="B304" i="20"/>
  <c r="B312" i="20"/>
  <c r="B309" i="20"/>
  <c r="B311" i="20"/>
  <c r="H161" i="19"/>
  <c r="G161" i="19"/>
  <c r="F107" i="20"/>
  <c r="F23" i="20" s="1"/>
  <c r="F25" i="20" s="1"/>
  <c r="F28" i="20" s="1"/>
  <c r="F26" i="20" s="1"/>
  <c r="I112" i="19"/>
  <c r="I239" i="19" s="1"/>
  <c r="I108" i="19"/>
  <c r="I23" i="19" s="1"/>
  <c r="I25" i="19" s="1"/>
  <c r="I28" i="19" s="1"/>
  <c r="I26" i="19" s="1"/>
  <c r="I160" i="19"/>
  <c r="F47" i="20"/>
  <c r="P309" i="20"/>
  <c r="P306" i="20"/>
  <c r="P303" i="20"/>
  <c r="P311" i="20"/>
  <c r="P307" i="20"/>
  <c r="P304" i="20"/>
  <c r="P308" i="20"/>
  <c r="P305" i="20"/>
  <c r="P312" i="20"/>
  <c r="P310" i="20"/>
  <c r="P302" i="20"/>
  <c r="P313" i="20"/>
  <c r="S239" i="19"/>
  <c r="AC149" i="19"/>
  <c r="AC274" i="19"/>
  <c r="AC146" i="19"/>
  <c r="AC271" i="19"/>
  <c r="AC207" i="19" s="1"/>
  <c r="AC276" i="19"/>
  <c r="AC212" i="19" s="1"/>
  <c r="AC148" i="19"/>
  <c r="AC273" i="19"/>
  <c r="AC209" i="19" s="1"/>
  <c r="AC154" i="19"/>
  <c r="AC152" i="19"/>
  <c r="AC144" i="19"/>
  <c r="AC150" i="19"/>
  <c r="AC151" i="19"/>
  <c r="C146" i="20"/>
  <c r="E304" i="17"/>
  <c r="AB57" i="19"/>
  <c r="W246" i="19"/>
  <c r="V164" i="19"/>
  <c r="D153" i="19"/>
  <c r="B259" i="17"/>
  <c r="C248" i="19"/>
  <c r="AA83" i="19"/>
  <c r="R208" i="17"/>
  <c r="AB100" i="19"/>
  <c r="AB116" i="19" s="1"/>
  <c r="AB105" i="19"/>
  <c r="AB121" i="19" s="1"/>
  <c r="AB104" i="19"/>
  <c r="AB120" i="19" s="1"/>
  <c r="AB97" i="19"/>
  <c r="AB98" i="19"/>
  <c r="AB114" i="19" s="1"/>
  <c r="AB99" i="19"/>
  <c r="AB115" i="19" s="1"/>
  <c r="AB101" i="19"/>
  <c r="AB117" i="19" s="1"/>
  <c r="AB96" i="19"/>
  <c r="AB102" i="19"/>
  <c r="AB118" i="19" s="1"/>
  <c r="AB23" i="19"/>
  <c r="AB25" i="19" s="1"/>
  <c r="AB28" i="19" s="1"/>
  <c r="AB26" i="19" s="1"/>
  <c r="P161" i="19"/>
  <c r="AE264" i="17"/>
  <c r="B293" i="19"/>
  <c r="B289" i="19"/>
  <c r="B296" i="19"/>
  <c r="B288" i="19"/>
  <c r="B287" i="19"/>
  <c r="B292" i="19"/>
  <c r="B291" i="19"/>
  <c r="B290" i="19"/>
  <c r="B295" i="19"/>
  <c r="B294" i="19"/>
  <c r="B297" i="19"/>
  <c r="B298" i="19"/>
  <c r="AB146" i="19"/>
  <c r="C149" i="17"/>
  <c r="F15" i="19"/>
  <c r="U161" i="20"/>
  <c r="N13" i="17"/>
  <c r="E71" i="17"/>
  <c r="E74" i="17"/>
  <c r="D68" i="17"/>
  <c r="X161" i="19"/>
  <c r="X113" i="19"/>
  <c r="X240" i="19" s="1"/>
  <c r="C132" i="17"/>
  <c r="L177" i="16"/>
  <c r="L161" i="16"/>
  <c r="U207" i="17"/>
  <c r="P81" i="17"/>
  <c r="P97" i="17" s="1"/>
  <c r="P113" i="17" s="1"/>
  <c r="P224" i="17"/>
  <c r="P240" i="17" s="1"/>
  <c r="C57" i="17"/>
  <c r="K80" i="16"/>
  <c r="B65" i="17"/>
  <c r="V178" i="16"/>
  <c r="D178" i="16"/>
  <c r="F64" i="17"/>
  <c r="AD53" i="16"/>
  <c r="V304" i="15"/>
  <c r="V207" i="15"/>
  <c r="AE65" i="16"/>
  <c r="B280" i="15"/>
  <c r="E133" i="17"/>
  <c r="E304" i="16"/>
  <c r="D131" i="17"/>
  <c r="AE306" i="16"/>
  <c r="AD264" i="16"/>
  <c r="X34" i="16"/>
  <c r="AD258" i="16"/>
  <c r="AD261" i="16"/>
  <c r="Z80" i="15"/>
  <c r="D71" i="17"/>
  <c r="X10" i="16"/>
  <c r="X11" i="16" s="1"/>
  <c r="X16" i="16" s="1"/>
  <c r="X15" i="16" s="1"/>
  <c r="X46" i="16" s="1"/>
  <c r="AD55" i="16"/>
  <c r="AD58" i="16"/>
  <c r="AD52" i="16"/>
  <c r="AD150" i="16"/>
  <c r="P13" i="17"/>
  <c r="P26" i="1" s="1"/>
  <c r="F72" i="17"/>
  <c r="F65" i="17"/>
  <c r="H82" i="15"/>
  <c r="H98" i="15" s="1"/>
  <c r="AE262" i="13"/>
  <c r="AD304" i="14"/>
  <c r="K178" i="15"/>
  <c r="B276" i="14"/>
  <c r="F177" i="13"/>
  <c r="AH131" i="14"/>
  <c r="AE154" i="13"/>
  <c r="AE244" i="14"/>
  <c r="AE212" i="14"/>
  <c r="O23" i="1"/>
  <c r="O11" i="14"/>
  <c r="O16" i="14" s="1"/>
  <c r="O15" i="14" s="1"/>
  <c r="AB4" i="15"/>
  <c r="AB9" i="15"/>
  <c r="AB11" i="15" s="1"/>
  <c r="AB16" i="15" s="1"/>
  <c r="AC5" i="15"/>
  <c r="Y177" i="12"/>
  <c r="AD40" i="11"/>
  <c r="BG44" i="8" s="1"/>
  <c r="AG295" i="11"/>
  <c r="AG288" i="11"/>
  <c r="G209" i="12"/>
  <c r="G306" i="12"/>
  <c r="AD152" i="13"/>
  <c r="E51" i="11"/>
  <c r="AM273" i="10"/>
  <c r="AJ273" i="10"/>
  <c r="AL273" i="10" s="1"/>
  <c r="AK273" i="10"/>
  <c r="R80" i="16"/>
  <c r="B273" i="16"/>
  <c r="AE307" i="13"/>
  <c r="AB97" i="20"/>
  <c r="AB113" i="20" s="1"/>
  <c r="AD123" i="20"/>
  <c r="AB100" i="20"/>
  <c r="AB116" i="20" s="1"/>
  <c r="AB101" i="20"/>
  <c r="AB117" i="20" s="1"/>
  <c r="AB99" i="20"/>
  <c r="AB115" i="20" s="1"/>
  <c r="AE123" i="20"/>
  <c r="AB95" i="20"/>
  <c r="AB23" i="20"/>
  <c r="AB25" i="20" s="1"/>
  <c r="AB28" i="20" s="1"/>
  <c r="AB26" i="20" s="1"/>
  <c r="AB172" i="20" s="1"/>
  <c r="D15" i="20"/>
  <c r="S80" i="16"/>
  <c r="X83" i="16"/>
  <c r="AF18" i="14"/>
  <c r="AE56" i="14"/>
  <c r="AE53" i="14"/>
  <c r="AE50" i="14"/>
  <c r="Y10" i="14"/>
  <c r="AE55" i="14"/>
  <c r="AE51" i="14"/>
  <c r="AE49" i="14"/>
  <c r="AE58" i="14"/>
  <c r="AD54" i="14"/>
  <c r="AE48" i="14"/>
  <c r="AD58" i="14"/>
  <c r="AE57" i="14"/>
  <c r="AE54" i="14"/>
  <c r="K240" i="19"/>
  <c r="I80" i="17"/>
  <c r="B279" i="16"/>
  <c r="R305" i="14"/>
  <c r="V27" i="12"/>
  <c r="B150" i="12"/>
  <c r="B154" i="12"/>
  <c r="B151" i="12"/>
  <c r="B155" i="12"/>
  <c r="B153" i="12"/>
  <c r="B152" i="12"/>
  <c r="B145" i="12"/>
  <c r="B148" i="12"/>
  <c r="B147" i="12"/>
  <c r="W178" i="16"/>
  <c r="G143" i="20"/>
  <c r="G159" i="20" s="1"/>
  <c r="V114" i="19"/>
  <c r="V241" i="19" s="1"/>
  <c r="V162" i="19"/>
  <c r="AA71" i="19"/>
  <c r="AD262" i="17"/>
  <c r="X34" i="17"/>
  <c r="AE134" i="17"/>
  <c r="T82" i="15"/>
  <c r="T98" i="15" s="1"/>
  <c r="T114" i="15" s="1"/>
  <c r="AE147" i="16"/>
  <c r="Q305" i="14"/>
  <c r="X177" i="14"/>
  <c r="X161" i="14" s="1"/>
  <c r="X27" i="14"/>
  <c r="X19" i="2" s="1"/>
  <c r="X30" i="2" s="1"/>
  <c r="AD154" i="14"/>
  <c r="AD151" i="14"/>
  <c r="AD152" i="14"/>
  <c r="AC54" i="19"/>
  <c r="AB54" i="19"/>
  <c r="AB59" i="19" s="1"/>
  <c r="B68" i="19"/>
  <c r="AE135" i="17"/>
  <c r="U304" i="16"/>
  <c r="M80" i="15"/>
  <c r="P177" i="15"/>
  <c r="Y27" i="14"/>
  <c r="AE148" i="14"/>
  <c r="AE153" i="14"/>
  <c r="AG153" i="14" s="1"/>
  <c r="AE154" i="14"/>
  <c r="AE146" i="14"/>
  <c r="AE147" i="14"/>
  <c r="AE144" i="14"/>
  <c r="B69" i="14"/>
  <c r="D211" i="12"/>
  <c r="Y239" i="19"/>
  <c r="D289" i="19"/>
  <c r="D296" i="19"/>
  <c r="D292" i="19"/>
  <c r="D287" i="19"/>
  <c r="D291" i="19"/>
  <c r="D290" i="19"/>
  <c r="D295" i="19"/>
  <c r="D297" i="19"/>
  <c r="D293" i="19"/>
  <c r="D288" i="19"/>
  <c r="D294" i="19"/>
  <c r="D298" i="19"/>
  <c r="W111" i="20"/>
  <c r="W107" i="20"/>
  <c r="W23" i="20" s="1"/>
  <c r="W25" i="20" s="1"/>
  <c r="W28" i="20" s="1"/>
  <c r="W26" i="20" s="1"/>
  <c r="C163" i="19"/>
  <c r="B59" i="17"/>
  <c r="Q314" i="20"/>
  <c r="Q39" i="20"/>
  <c r="W254" i="20"/>
  <c r="Y111" i="20"/>
  <c r="Y254" i="20" s="1"/>
  <c r="Y107" i="20"/>
  <c r="Y23" i="20" s="1"/>
  <c r="Y25" i="20" s="1"/>
  <c r="Y28" i="20" s="1"/>
  <c r="Y26" i="20" s="1"/>
  <c r="Y172" i="20" s="1"/>
  <c r="Y159" i="20"/>
  <c r="H107" i="20"/>
  <c r="H23" i="20" s="1"/>
  <c r="H25" i="20" s="1"/>
  <c r="H28" i="20" s="1"/>
  <c r="H26" i="20" s="1"/>
  <c r="X308" i="20"/>
  <c r="X305" i="20"/>
  <c r="X313" i="20"/>
  <c r="X302" i="20"/>
  <c r="X310" i="20"/>
  <c r="X311" i="20"/>
  <c r="X309" i="20"/>
  <c r="X306" i="20"/>
  <c r="X303" i="20"/>
  <c r="X304" i="20"/>
  <c r="X307" i="20"/>
  <c r="X312" i="20"/>
  <c r="AB56" i="19"/>
  <c r="AC56" i="19"/>
  <c r="AD264" i="17"/>
  <c r="H112" i="19"/>
  <c r="H239" i="19" s="1"/>
  <c r="H108" i="19"/>
  <c r="H23" i="19" s="1"/>
  <c r="H25" i="19" s="1"/>
  <c r="H28" i="19" s="1"/>
  <c r="H26" i="19" s="1"/>
  <c r="P24" i="17"/>
  <c r="P16" i="2" s="1"/>
  <c r="P27" i="2" s="1"/>
  <c r="G128" i="17"/>
  <c r="AD75" i="17"/>
  <c r="X24" i="17"/>
  <c r="AD135" i="17"/>
  <c r="AD137" i="17"/>
  <c r="AD136" i="17"/>
  <c r="U178" i="15"/>
  <c r="J179" i="15"/>
  <c r="AE149" i="14"/>
  <c r="B257" i="13"/>
  <c r="O259" i="20"/>
  <c r="AE290" i="20"/>
  <c r="G162" i="19"/>
  <c r="C149" i="20"/>
  <c r="B248" i="19"/>
  <c r="O239" i="19"/>
  <c r="AA147" i="19"/>
  <c r="AC147" i="19" s="1"/>
  <c r="AD72" i="16"/>
  <c r="B258" i="16"/>
  <c r="B307" i="16"/>
  <c r="E178" i="15"/>
  <c r="X24" i="13"/>
  <c r="AD137" i="13"/>
  <c r="AD134" i="13"/>
  <c r="AD136" i="13"/>
  <c r="AD135" i="13"/>
  <c r="F279" i="13"/>
  <c r="B70" i="12"/>
  <c r="Y108" i="14"/>
  <c r="Y23" i="14" s="1"/>
  <c r="Z177" i="20"/>
  <c r="Z161" i="20" s="1"/>
  <c r="M260" i="20"/>
  <c r="J15" i="20"/>
  <c r="J45" i="20" s="1"/>
  <c r="B53" i="16"/>
  <c r="B49" i="16"/>
  <c r="B58" i="16"/>
  <c r="B59" i="16"/>
  <c r="K10" i="16"/>
  <c r="K11" i="16" s="1"/>
  <c r="K16" i="16" s="1"/>
  <c r="B56" i="16"/>
  <c r="B48" i="16"/>
  <c r="B54" i="16"/>
  <c r="B51" i="16"/>
  <c r="B55" i="16"/>
  <c r="AD136" i="15"/>
  <c r="X209" i="12"/>
  <c r="X306" i="12"/>
  <c r="AE132" i="16"/>
  <c r="Z10" i="13"/>
  <c r="Z11" i="13" s="1"/>
  <c r="Z16" i="13" s="1"/>
  <c r="AE51" i="13"/>
  <c r="AE58" i="13"/>
  <c r="AE53" i="13"/>
  <c r="L80" i="13"/>
  <c r="F280" i="13"/>
  <c r="C178" i="12"/>
  <c r="D271" i="13"/>
  <c r="D207" i="13" s="1"/>
  <c r="AD133" i="16"/>
  <c r="AE51" i="12"/>
  <c r="AD23" i="12"/>
  <c r="AD25" i="12" s="1"/>
  <c r="AD28" i="12" s="1"/>
  <c r="AD26" i="12" s="1"/>
  <c r="O39" i="11"/>
  <c r="O314" i="11"/>
  <c r="Z99" i="11"/>
  <c r="Z241" i="11"/>
  <c r="Z257" i="11" s="1"/>
  <c r="DR28" i="6"/>
  <c r="BL41" i="6"/>
  <c r="Z87" i="20"/>
  <c r="T12" i="20"/>
  <c r="T92" i="20" s="1"/>
  <c r="O314" i="20"/>
  <c r="O39" i="20"/>
  <c r="S108" i="19"/>
  <c r="S23" i="19" s="1"/>
  <c r="S25" i="19" s="1"/>
  <c r="S28" i="19" s="1"/>
  <c r="S26" i="19" s="1"/>
  <c r="L15" i="19"/>
  <c r="B133" i="17"/>
  <c r="F133" i="17"/>
  <c r="B82" i="19"/>
  <c r="B98" i="19" s="1"/>
  <c r="B65" i="15"/>
  <c r="L112" i="20"/>
  <c r="L255" i="20" s="1"/>
  <c r="L107" i="20"/>
  <c r="L23" i="20" s="1"/>
  <c r="L25" i="20" s="1"/>
  <c r="L28" i="20" s="1"/>
  <c r="L26" i="20" s="1"/>
  <c r="Z34" i="14"/>
  <c r="AF260" i="14"/>
  <c r="AE260" i="14"/>
  <c r="AF264" i="14"/>
  <c r="AE255" i="14"/>
  <c r="AF262" i="14"/>
  <c r="AE265" i="14"/>
  <c r="AF258" i="14"/>
  <c r="AF263" i="14"/>
  <c r="AE259" i="14"/>
  <c r="AF255" i="14"/>
  <c r="AE261" i="14"/>
  <c r="AF259" i="14"/>
  <c r="AF261" i="14"/>
  <c r="H177" i="20"/>
  <c r="W81" i="17"/>
  <c r="W97" i="17" s="1"/>
  <c r="W113" i="17" s="1"/>
  <c r="D262" i="17"/>
  <c r="V207" i="16"/>
  <c r="Z27" i="14"/>
  <c r="Z19" i="2" s="1"/>
  <c r="Z30" i="2" s="1"/>
  <c r="AF144" i="14"/>
  <c r="AF146" i="14"/>
  <c r="AF149" i="14"/>
  <c r="E273" i="17"/>
  <c r="N40" i="17"/>
  <c r="E272" i="17"/>
  <c r="E282" i="17"/>
  <c r="D56" i="17"/>
  <c r="AD138" i="17"/>
  <c r="AD14" i="13"/>
  <c r="AD15" i="13" s="1"/>
  <c r="AE6" i="13"/>
  <c r="AB161" i="20"/>
  <c r="AB177" i="20"/>
  <c r="S107" i="20"/>
  <c r="S23" i="20" s="1"/>
  <c r="S25" i="20" s="1"/>
  <c r="S28" i="20" s="1"/>
  <c r="S26" i="20" s="1"/>
  <c r="S111" i="20"/>
  <c r="Y10" i="20"/>
  <c r="Y11" i="20" s="1"/>
  <c r="Y16" i="20" s="1"/>
  <c r="Y15" i="20" s="1"/>
  <c r="Y45" i="20" s="1"/>
  <c r="AE48" i="20"/>
  <c r="K241" i="19"/>
  <c r="E85" i="15"/>
  <c r="E101" i="15" s="1"/>
  <c r="E117" i="15" s="1"/>
  <c r="AH352" i="20"/>
  <c r="AI352" i="20" s="1"/>
  <c r="D150" i="20"/>
  <c r="F153" i="20"/>
  <c r="V13" i="19"/>
  <c r="AB69" i="19"/>
  <c r="V314" i="20"/>
  <c r="V39" i="20"/>
  <c r="T39" i="1"/>
  <c r="T24" i="1"/>
  <c r="AA152" i="19"/>
  <c r="D128" i="17"/>
  <c r="V16" i="2"/>
  <c r="V27" i="2" s="1"/>
  <c r="I26" i="1"/>
  <c r="I42" i="1" s="1"/>
  <c r="I15" i="14"/>
  <c r="B149" i="14"/>
  <c r="B84" i="20"/>
  <c r="T107" i="20"/>
  <c r="T23" i="20" s="1"/>
  <c r="T25" i="20" s="1"/>
  <c r="T28" i="20" s="1"/>
  <c r="T26" i="20" s="1"/>
  <c r="T111" i="20"/>
  <c r="T254" i="20" s="1"/>
  <c r="AE152" i="20"/>
  <c r="H159" i="20"/>
  <c r="H80" i="17"/>
  <c r="I306" i="16"/>
  <c r="I209" i="16"/>
  <c r="T159" i="20"/>
  <c r="D149" i="20"/>
  <c r="G178" i="19"/>
  <c r="AB273" i="19"/>
  <c r="S241" i="19"/>
  <c r="D69" i="17"/>
  <c r="F144" i="19"/>
  <c r="F160" i="19" s="1"/>
  <c r="AE67" i="16"/>
  <c r="D258" i="17"/>
  <c r="P81" i="15"/>
  <c r="I304" i="14"/>
  <c r="B277" i="14"/>
  <c r="G146" i="20"/>
  <c r="AB80" i="20"/>
  <c r="B240" i="20"/>
  <c r="B82" i="20"/>
  <c r="B98" i="20" s="1"/>
  <c r="B114" i="20" s="1"/>
  <c r="AE66" i="20"/>
  <c r="AJ74" i="20" s="1"/>
  <c r="W265" i="20"/>
  <c r="Z88" i="20"/>
  <c r="S15" i="20"/>
  <c r="S45" i="20" s="1"/>
  <c r="AA88" i="20"/>
  <c r="AA104" i="20" s="1"/>
  <c r="AA120" i="20" s="1"/>
  <c r="B151" i="20"/>
  <c r="Z160" i="20"/>
  <c r="AE153" i="20"/>
  <c r="V258" i="20"/>
  <c r="N259" i="20"/>
  <c r="I254" i="20"/>
  <c r="B55" i="20"/>
  <c r="AE294" i="20"/>
  <c r="C57" i="20"/>
  <c r="V40" i="19"/>
  <c r="V36" i="19" s="1"/>
  <c r="AA278" i="19"/>
  <c r="AC278" i="19" s="1"/>
  <c r="AA151" i="19"/>
  <c r="O162" i="19"/>
  <c r="I258" i="20"/>
  <c r="S161" i="19"/>
  <c r="AB313" i="20"/>
  <c r="AB302" i="20"/>
  <c r="AB222" i="20" s="1"/>
  <c r="AB310" i="20"/>
  <c r="AB307" i="20"/>
  <c r="AB304" i="20"/>
  <c r="AB311" i="20"/>
  <c r="AB308" i="20"/>
  <c r="AB305" i="20"/>
  <c r="AB312" i="20"/>
  <c r="AB309" i="20"/>
  <c r="AB303" i="20"/>
  <c r="AB223" i="20" s="1"/>
  <c r="AB239" i="20" s="1"/>
  <c r="AB306" i="20"/>
  <c r="U13" i="19"/>
  <c r="AA73" i="19"/>
  <c r="AA65" i="19"/>
  <c r="AC65" i="19" s="1"/>
  <c r="AA66" i="19"/>
  <c r="AC66" i="19" s="1"/>
  <c r="AA69" i="19"/>
  <c r="AC69" i="19" s="1"/>
  <c r="C147" i="20"/>
  <c r="C163" i="20" s="1"/>
  <c r="Y180" i="19"/>
  <c r="F149" i="19"/>
  <c r="C155" i="19"/>
  <c r="V111" i="20"/>
  <c r="V254" i="20" s="1"/>
  <c r="V107" i="20"/>
  <c r="V23" i="20" s="1"/>
  <c r="V25" i="20" s="1"/>
  <c r="V28" i="20" s="1"/>
  <c r="V26" i="20" s="1"/>
  <c r="Y240" i="19"/>
  <c r="D274" i="17"/>
  <c r="S240" i="19"/>
  <c r="F276" i="17"/>
  <c r="AE255" i="17"/>
  <c r="B263" i="17"/>
  <c r="F272" i="17"/>
  <c r="F208" i="17" s="1"/>
  <c r="F278" i="17"/>
  <c r="F282" i="17"/>
  <c r="F273" i="17"/>
  <c r="F209" i="17" s="1"/>
  <c r="O40" i="17"/>
  <c r="B153" i="17"/>
  <c r="D152" i="17"/>
  <c r="P83" i="17"/>
  <c r="P99" i="17" s="1"/>
  <c r="P115" i="17" s="1"/>
  <c r="C207" i="16"/>
  <c r="C304" i="16"/>
  <c r="Q15" i="19"/>
  <c r="D72" i="17"/>
  <c r="C131" i="17"/>
  <c r="G144" i="19"/>
  <c r="G160" i="19" s="1"/>
  <c r="AD265" i="16"/>
  <c r="B263" i="16"/>
  <c r="AA148" i="19"/>
  <c r="AD153" i="16"/>
  <c r="E70" i="17"/>
  <c r="E274" i="17"/>
  <c r="F70" i="17"/>
  <c r="AB208" i="16"/>
  <c r="AD70" i="16"/>
  <c r="F132" i="17"/>
  <c r="AE69" i="16"/>
  <c r="Y13" i="16"/>
  <c r="AE71" i="16"/>
  <c r="AE70" i="16"/>
  <c r="D130" i="17"/>
  <c r="O81" i="16"/>
  <c r="O97" i="16" s="1"/>
  <c r="O113" i="16" s="1"/>
  <c r="X24" i="16"/>
  <c r="AD137" i="16"/>
  <c r="AD130" i="16"/>
  <c r="AD132" i="16"/>
  <c r="AD135" i="16"/>
  <c r="AD131" i="16"/>
  <c r="AD134" i="16"/>
  <c r="AD138" i="16"/>
  <c r="AD153" i="15"/>
  <c r="B71" i="16"/>
  <c r="B75" i="16"/>
  <c r="AA6" i="16"/>
  <c r="Z14" i="16"/>
  <c r="AC4" i="16"/>
  <c r="V304" i="14"/>
  <c r="Y209" i="15"/>
  <c r="AC7" i="15"/>
  <c r="AD162" i="14"/>
  <c r="AD178" i="14"/>
  <c r="B54" i="15"/>
  <c r="B154" i="14"/>
  <c r="Q178" i="14"/>
  <c r="X80" i="15"/>
  <c r="J305" i="14"/>
  <c r="B145" i="14"/>
  <c r="B144" i="15"/>
  <c r="W108" i="14"/>
  <c r="W23" i="14" s="1"/>
  <c r="W39" i="3"/>
  <c r="B279" i="14"/>
  <c r="Q33" i="3"/>
  <c r="F131" i="13"/>
  <c r="S10" i="13"/>
  <c r="S11" i="13" s="1"/>
  <c r="S16" i="13" s="1"/>
  <c r="F49" i="13"/>
  <c r="F52" i="13"/>
  <c r="F53" i="13"/>
  <c r="F59" i="13"/>
  <c r="F48" i="13"/>
  <c r="F57" i="13"/>
  <c r="F55" i="13"/>
  <c r="F50" i="13"/>
  <c r="F51" i="13"/>
  <c r="F56" i="13"/>
  <c r="F54" i="13"/>
  <c r="AE137" i="16"/>
  <c r="I25" i="3"/>
  <c r="I39" i="3" s="1"/>
  <c r="AB27" i="12"/>
  <c r="AE151" i="12"/>
  <c r="AD136" i="16"/>
  <c r="X34" i="13"/>
  <c r="X19" i="3" s="1"/>
  <c r="X33" i="3" s="1"/>
  <c r="AD263" i="13"/>
  <c r="AD260" i="13"/>
  <c r="AD266" i="13" s="1"/>
  <c r="AD264" i="13"/>
  <c r="AD265" i="13"/>
  <c r="AD262" i="13"/>
  <c r="AA225" i="13"/>
  <c r="AA82" i="13"/>
  <c r="AA98" i="13" s="1"/>
  <c r="AA114" i="13" s="1"/>
  <c r="AD138" i="13"/>
  <c r="D180" i="11"/>
  <c r="N80" i="15"/>
  <c r="W299" i="19"/>
  <c r="W39" i="19"/>
  <c r="W24" i="1"/>
  <c r="W223" i="16"/>
  <c r="W80" i="16"/>
  <c r="S306" i="15"/>
  <c r="F147" i="20"/>
  <c r="J254" i="20"/>
  <c r="B87" i="19"/>
  <c r="B129" i="16"/>
  <c r="K24" i="16"/>
  <c r="B139" i="16"/>
  <c r="B138" i="16"/>
  <c r="B135" i="16"/>
  <c r="M107" i="20"/>
  <c r="M23" i="20" s="1"/>
  <c r="M25" i="20" s="1"/>
  <c r="M28" i="20" s="1"/>
  <c r="M111" i="20"/>
  <c r="D65" i="17"/>
  <c r="AE48" i="17"/>
  <c r="I180" i="15"/>
  <c r="B139" i="14"/>
  <c r="O178" i="12"/>
  <c r="AC80" i="16"/>
  <c r="AC223" i="16"/>
  <c r="E136" i="17"/>
  <c r="X97" i="14"/>
  <c r="X208" i="14"/>
  <c r="X288" i="14" s="1"/>
  <c r="X93" i="14"/>
  <c r="AG218" i="20"/>
  <c r="W258" i="20"/>
  <c r="H258" i="20"/>
  <c r="AB266" i="19"/>
  <c r="L108" i="19"/>
  <c r="L23" i="19" s="1"/>
  <c r="L25" i="19" s="1"/>
  <c r="L28" i="19" s="1"/>
  <c r="L26" i="19" s="1"/>
  <c r="I80" i="16"/>
  <c r="E132" i="17"/>
  <c r="AD54" i="16"/>
  <c r="B305" i="15"/>
  <c r="D178" i="14"/>
  <c r="AC306" i="15"/>
  <c r="AN74" i="14"/>
  <c r="AH74" i="14"/>
  <c r="Z13" i="15"/>
  <c r="Z15" i="15" s="1"/>
  <c r="Z46" i="15" s="1"/>
  <c r="AE68" i="15"/>
  <c r="AE64" i="15"/>
  <c r="AD73" i="15"/>
  <c r="AE69" i="15"/>
  <c r="O163" i="19"/>
  <c r="O179" i="19"/>
  <c r="B225" i="19"/>
  <c r="B86" i="20"/>
  <c r="B102" i="20" s="1"/>
  <c r="B118" i="20" s="1"/>
  <c r="AE145" i="20"/>
  <c r="L178" i="17"/>
  <c r="C137" i="17"/>
  <c r="AA18" i="17"/>
  <c r="K80" i="15"/>
  <c r="F84" i="15"/>
  <c r="F100" i="15" s="1"/>
  <c r="F116" i="15" s="1"/>
  <c r="AB208" i="13"/>
  <c r="AB305" i="13"/>
  <c r="AA83" i="20"/>
  <c r="AA99" i="20" s="1"/>
  <c r="AA115" i="20" s="1"/>
  <c r="E153" i="20"/>
  <c r="W161" i="19"/>
  <c r="W177" i="19"/>
  <c r="R178" i="19"/>
  <c r="O10" i="20"/>
  <c r="O11" i="20" s="1"/>
  <c r="O16" i="20" s="1"/>
  <c r="O15" i="20" s="1"/>
  <c r="O45" i="20" s="1"/>
  <c r="F53" i="20"/>
  <c r="F58" i="20"/>
  <c r="F57" i="20"/>
  <c r="F54" i="20"/>
  <c r="F50" i="20"/>
  <c r="AB79" i="20"/>
  <c r="C278" i="17"/>
  <c r="K15" i="19"/>
  <c r="K13" i="20"/>
  <c r="B68" i="20"/>
  <c r="B65" i="20"/>
  <c r="B70" i="20"/>
  <c r="AE148" i="20"/>
  <c r="B53" i="20"/>
  <c r="S314" i="20"/>
  <c r="S39" i="20"/>
  <c r="P225" i="17"/>
  <c r="P241" i="17" s="1"/>
  <c r="P82" i="17"/>
  <c r="P98" i="17" s="1"/>
  <c r="P114" i="17" s="1"/>
  <c r="AD262" i="16"/>
  <c r="AA154" i="19"/>
  <c r="AE56" i="16"/>
  <c r="Q177" i="15"/>
  <c r="B273" i="15"/>
  <c r="K40" i="15"/>
  <c r="B279" i="15"/>
  <c r="B276" i="15"/>
  <c r="B282" i="15"/>
  <c r="B277" i="15"/>
  <c r="B278" i="15"/>
  <c r="B271" i="15"/>
  <c r="B207" i="15" s="1"/>
  <c r="B274" i="15"/>
  <c r="AE72" i="16"/>
  <c r="B259" i="13"/>
  <c r="AA176" i="20"/>
  <c r="B80" i="20"/>
  <c r="Z243" i="20"/>
  <c r="Z259" i="20" s="1"/>
  <c r="AE73" i="20"/>
  <c r="P107" i="20"/>
  <c r="P23" i="20" s="1"/>
  <c r="P25" i="20" s="1"/>
  <c r="P28" i="20" s="1"/>
  <c r="V161" i="20"/>
  <c r="X264" i="20"/>
  <c r="E149" i="20"/>
  <c r="AE68" i="20"/>
  <c r="U262" i="20"/>
  <c r="G151" i="20"/>
  <c r="Y259" i="20"/>
  <c r="AE71" i="20"/>
  <c r="AE151" i="20"/>
  <c r="H254" i="20"/>
  <c r="F56" i="20"/>
  <c r="AE292" i="20"/>
  <c r="AA85" i="20"/>
  <c r="B85" i="19"/>
  <c r="B101" i="19" s="1"/>
  <c r="B117" i="19" s="1"/>
  <c r="Z314" i="20"/>
  <c r="Z315" i="20"/>
  <c r="Z39" i="20"/>
  <c r="AA59" i="19"/>
  <c r="AC48" i="19"/>
  <c r="N312" i="20"/>
  <c r="N309" i="20"/>
  <c r="N306" i="20"/>
  <c r="N303" i="20"/>
  <c r="N310" i="20"/>
  <c r="N307" i="20"/>
  <c r="N304" i="20"/>
  <c r="N311" i="20"/>
  <c r="N308" i="20"/>
  <c r="N302" i="20"/>
  <c r="N305" i="20"/>
  <c r="N313" i="20"/>
  <c r="C145" i="20"/>
  <c r="C161" i="20" s="1"/>
  <c r="Z304" i="17"/>
  <c r="Z207" i="17"/>
  <c r="I113" i="19"/>
  <c r="I240" i="19" s="1"/>
  <c r="I161" i="19"/>
  <c r="Y163" i="19"/>
  <c r="F152" i="19"/>
  <c r="B149" i="19"/>
  <c r="M306" i="17"/>
  <c r="M209" i="17"/>
  <c r="U265" i="20"/>
  <c r="AA304" i="19"/>
  <c r="D261" i="17"/>
  <c r="Z160" i="19"/>
  <c r="Z112" i="19"/>
  <c r="Z239" i="19" s="1"/>
  <c r="G15" i="19"/>
  <c r="B265" i="17"/>
  <c r="AE258" i="17"/>
  <c r="C264" i="17"/>
  <c r="AE261" i="17"/>
  <c r="Y34" i="17"/>
  <c r="F262" i="17"/>
  <c r="F265" i="17"/>
  <c r="O34" i="17"/>
  <c r="E265" i="17"/>
  <c r="D75" i="17"/>
  <c r="B151" i="19"/>
  <c r="T27" i="19"/>
  <c r="O177" i="17"/>
  <c r="C128" i="17"/>
  <c r="V305" i="17"/>
  <c r="B132" i="17"/>
  <c r="I15" i="19"/>
  <c r="D150" i="17"/>
  <c r="B145" i="19"/>
  <c r="B266" i="16"/>
  <c r="D255" i="17"/>
  <c r="AA275" i="19"/>
  <c r="AC275" i="19" s="1"/>
  <c r="AC211" i="19" s="1"/>
  <c r="AC227" i="19" s="1"/>
  <c r="AB81" i="17"/>
  <c r="AB97" i="17" s="1"/>
  <c r="B136" i="16"/>
  <c r="Y13" i="17"/>
  <c r="Y26" i="1" s="1"/>
  <c r="AE67" i="17"/>
  <c r="AE75" i="17" s="1"/>
  <c r="M81" i="16"/>
  <c r="M97" i="16" s="1"/>
  <c r="F130" i="17"/>
  <c r="AD51" i="16"/>
  <c r="AD59" i="16" s="1"/>
  <c r="D136" i="17"/>
  <c r="AC177" i="16"/>
  <c r="B52" i="16"/>
  <c r="N15" i="19"/>
  <c r="D67" i="17"/>
  <c r="G80" i="15"/>
  <c r="AE58" i="15"/>
  <c r="I80" i="15"/>
  <c r="L24" i="15"/>
  <c r="B137" i="15"/>
  <c r="B135" i="15"/>
  <c r="B132" i="15"/>
  <c r="B138" i="15"/>
  <c r="B131" i="15"/>
  <c r="B136" i="15"/>
  <c r="B139" i="15"/>
  <c r="B133" i="15"/>
  <c r="H178" i="14"/>
  <c r="G178" i="14"/>
  <c r="X160" i="14"/>
  <c r="AD104" i="14"/>
  <c r="AD120" i="14" s="1"/>
  <c r="AD247" i="14" s="1"/>
  <c r="AG88" i="14"/>
  <c r="AG104" i="14" s="1"/>
  <c r="AG120" i="14" s="1"/>
  <c r="AF88" i="14"/>
  <c r="AF104" i="14" s="1"/>
  <c r="AF120" i="14" s="1"/>
  <c r="AH88" i="14"/>
  <c r="AH104" i="14" s="1"/>
  <c r="AH120" i="14" s="1"/>
  <c r="AE64" i="14"/>
  <c r="L178" i="14"/>
  <c r="N40" i="13"/>
  <c r="N25" i="3" s="1"/>
  <c r="E271" i="13"/>
  <c r="E207" i="13" s="1"/>
  <c r="E278" i="13"/>
  <c r="E277" i="13"/>
  <c r="D279" i="13"/>
  <c r="E273" i="13"/>
  <c r="D273" i="13"/>
  <c r="E281" i="13"/>
  <c r="D281" i="13"/>
  <c r="E275" i="13"/>
  <c r="D274" i="13"/>
  <c r="E272" i="13"/>
  <c r="D282" i="13"/>
  <c r="E274" i="13"/>
  <c r="D272" i="13"/>
  <c r="E282" i="13"/>
  <c r="D280" i="13"/>
  <c r="E280" i="13"/>
  <c r="D278" i="13"/>
  <c r="AE263" i="14"/>
  <c r="B139" i="13"/>
  <c r="AE135" i="16"/>
  <c r="AD56" i="14"/>
  <c r="B278" i="13"/>
  <c r="B136" i="13"/>
  <c r="X107" i="20"/>
  <c r="X23" i="20" s="1"/>
  <c r="X25" i="20" s="1"/>
  <c r="X28" i="20" s="1"/>
  <c r="X26" i="20" s="1"/>
  <c r="X111" i="20"/>
  <c r="X254" i="20" s="1"/>
  <c r="B81" i="19"/>
  <c r="M10" i="14"/>
  <c r="B255" i="14"/>
  <c r="B274" i="14"/>
  <c r="B260" i="14"/>
  <c r="B282" i="14"/>
  <c r="B137" i="14"/>
  <c r="B49" i="14"/>
  <c r="B57" i="14"/>
  <c r="B265" i="14"/>
  <c r="B53" i="14"/>
  <c r="B257" i="14"/>
  <c r="B51" i="14"/>
  <c r="AD139" i="13"/>
  <c r="Y13" i="12"/>
  <c r="Y10" i="1" s="1"/>
  <c r="AE65" i="12"/>
  <c r="AE66" i="12"/>
  <c r="AE72" i="12"/>
  <c r="AE70" i="12"/>
  <c r="AE67" i="12"/>
  <c r="AE74" i="12"/>
  <c r="AE73" i="12"/>
  <c r="AE69" i="12"/>
  <c r="AE64" i="12"/>
  <c r="AD73" i="12"/>
  <c r="AD71" i="12"/>
  <c r="AE68" i="12"/>
  <c r="AE71" i="12"/>
  <c r="AD70" i="12"/>
  <c r="J260" i="20"/>
  <c r="R106" i="14"/>
  <c r="R122" i="14" s="1"/>
  <c r="R249" i="14" s="1"/>
  <c r="R217" i="14"/>
  <c r="Q90" i="14"/>
  <c r="F143" i="20"/>
  <c r="F159" i="20" s="1"/>
  <c r="AC114" i="20"/>
  <c r="AB309" i="17"/>
  <c r="AB212" i="17"/>
  <c r="V161" i="17"/>
  <c r="Y27" i="16"/>
  <c r="AE154" i="16"/>
  <c r="AE145" i="16"/>
  <c r="AE151" i="16"/>
  <c r="AD146" i="16"/>
  <c r="AE146" i="16"/>
  <c r="AD147" i="16"/>
  <c r="AE149" i="16"/>
  <c r="X208" i="17"/>
  <c r="AC251" i="16"/>
  <c r="AC97" i="16"/>
  <c r="AC113" i="16" s="1"/>
  <c r="AD124" i="16"/>
  <c r="AE124" i="16" s="1"/>
  <c r="AC23" i="16"/>
  <c r="AC25" i="16" s="1"/>
  <c r="AC28" i="16" s="1"/>
  <c r="AC26" i="16" s="1"/>
  <c r="O305" i="14"/>
  <c r="AE136" i="15"/>
  <c r="AE128" i="15"/>
  <c r="C162" i="20"/>
  <c r="C51" i="17"/>
  <c r="AN70" i="14"/>
  <c r="AF70" i="14"/>
  <c r="AG70" i="14"/>
  <c r="AH70" i="14"/>
  <c r="AB148" i="19"/>
  <c r="X305" i="17"/>
  <c r="F59" i="17"/>
  <c r="L208" i="15"/>
  <c r="Z208" i="15"/>
  <c r="Z305" i="15"/>
  <c r="AB114" i="14"/>
  <c r="AB241" i="14" s="1"/>
  <c r="AB108" i="14"/>
  <c r="J207" i="13"/>
  <c r="J304" i="13"/>
  <c r="AA179" i="19"/>
  <c r="AC136" i="19"/>
  <c r="AB136" i="19"/>
  <c r="AE257" i="17"/>
  <c r="AB64" i="19"/>
  <c r="E67" i="17"/>
  <c r="H80" i="16"/>
  <c r="H30" i="2"/>
  <c r="L176" i="20"/>
  <c r="B277" i="17"/>
  <c r="G152" i="20"/>
  <c r="AE288" i="20"/>
  <c r="AJ297" i="20" s="1"/>
  <c r="X108" i="19"/>
  <c r="X23" i="19" s="1"/>
  <c r="X25" i="19" s="1"/>
  <c r="X28" i="19" s="1"/>
  <c r="X26" i="19" s="1"/>
  <c r="X112" i="19"/>
  <c r="X239" i="19" s="1"/>
  <c r="AE52" i="20"/>
  <c r="B56" i="20"/>
  <c r="B257" i="16"/>
  <c r="AE64" i="16"/>
  <c r="B73" i="16"/>
  <c r="Y306" i="14"/>
  <c r="B260" i="13"/>
  <c r="AE242" i="14"/>
  <c r="AE210" i="14"/>
  <c r="G177" i="13"/>
  <c r="AC114" i="14"/>
  <c r="AC241" i="14" s="1"/>
  <c r="AC108" i="14"/>
  <c r="G80" i="13"/>
  <c r="J314" i="11"/>
  <c r="J39" i="11"/>
  <c r="AE296" i="20"/>
  <c r="Y114" i="19"/>
  <c r="Y162" i="19"/>
  <c r="B260" i="16"/>
  <c r="X10" i="17"/>
  <c r="X11" i="17" s="1"/>
  <c r="X16" i="17" s="1"/>
  <c r="AD56" i="17"/>
  <c r="AD59" i="17" s="1"/>
  <c r="D152" i="20"/>
  <c r="B249" i="20"/>
  <c r="B265" i="20" s="1"/>
  <c r="C79" i="20"/>
  <c r="M263" i="20"/>
  <c r="AE81" i="20"/>
  <c r="F149" i="20"/>
  <c r="M10" i="20"/>
  <c r="M11" i="20" s="1"/>
  <c r="M16" i="20" s="1"/>
  <c r="M15" i="20" s="1"/>
  <c r="M45" i="20" s="1"/>
  <c r="D54" i="20"/>
  <c r="D51" i="20"/>
  <c r="D50" i="20"/>
  <c r="D58" i="20"/>
  <c r="Q15" i="20"/>
  <c r="Q45" i="20" s="1"/>
  <c r="F151" i="20"/>
  <c r="K107" i="20"/>
  <c r="K23" i="20" s="1"/>
  <c r="K25" i="20" s="1"/>
  <c r="K28" i="20" s="1"/>
  <c r="K26" i="20" s="1"/>
  <c r="K111" i="20"/>
  <c r="K254" i="20" s="1"/>
  <c r="AA321" i="20"/>
  <c r="AE286" i="20"/>
  <c r="R10" i="20"/>
  <c r="R11" i="20" s="1"/>
  <c r="R16" i="20" s="1"/>
  <c r="R15" i="20" s="1"/>
  <c r="R45" i="20" s="1"/>
  <c r="H50" i="20"/>
  <c r="G50" i="20"/>
  <c r="AC133" i="19"/>
  <c r="AB133" i="19"/>
  <c r="Z139" i="19"/>
  <c r="Z326" i="20"/>
  <c r="X15" i="20"/>
  <c r="X45" i="20" s="1"/>
  <c r="I36" i="19"/>
  <c r="D207" i="17"/>
  <c r="D304" i="17"/>
  <c r="C145" i="19"/>
  <c r="C161" i="19" s="1"/>
  <c r="F306" i="17"/>
  <c r="Z91" i="19"/>
  <c r="Z107" i="19" s="1"/>
  <c r="Z123" i="19" s="1"/>
  <c r="J207" i="17"/>
  <c r="C145" i="17"/>
  <c r="D273" i="17"/>
  <c r="M40" i="17"/>
  <c r="D272" i="17"/>
  <c r="D282" i="17"/>
  <c r="D276" i="17"/>
  <c r="AB274" i="19"/>
  <c r="AE251" i="17"/>
  <c r="AB251" i="19"/>
  <c r="L80" i="17"/>
  <c r="B266" i="17"/>
  <c r="AA4" i="19"/>
  <c r="Z14" i="19" s="1"/>
  <c r="AA7" i="19"/>
  <c r="D256" i="17"/>
  <c r="S304" i="16"/>
  <c r="Q305" i="16"/>
  <c r="Q208" i="16"/>
  <c r="AA74" i="19"/>
  <c r="AC74" i="19" s="1"/>
  <c r="R294" i="19"/>
  <c r="R290" i="19"/>
  <c r="R297" i="19"/>
  <c r="R296" i="19"/>
  <c r="R295" i="19"/>
  <c r="R298" i="19"/>
  <c r="R289" i="19"/>
  <c r="R291" i="19"/>
  <c r="R287" i="19"/>
  <c r="R292" i="19"/>
  <c r="R288" i="19"/>
  <c r="R293" i="19"/>
  <c r="D64" i="17"/>
  <c r="B144" i="19"/>
  <c r="B160" i="19" s="1"/>
  <c r="C139" i="17"/>
  <c r="V207" i="17"/>
  <c r="B137" i="17"/>
  <c r="AD219" i="17"/>
  <c r="AD35" i="17"/>
  <c r="AD41" i="17" s="1"/>
  <c r="AD40" i="17" s="1"/>
  <c r="AD283" i="17" s="1"/>
  <c r="W15" i="19"/>
  <c r="P15" i="19"/>
  <c r="AE257" i="16"/>
  <c r="AE4" i="17"/>
  <c r="F255" i="17"/>
  <c r="F207" i="17" s="1"/>
  <c r="AA281" i="19"/>
  <c r="AC281" i="19" s="1"/>
  <c r="AB225" i="17"/>
  <c r="AB82" i="17"/>
  <c r="B128" i="16"/>
  <c r="AC305" i="16"/>
  <c r="R108" i="19"/>
  <c r="R23" i="19" s="1"/>
  <c r="R25" i="19" s="1"/>
  <c r="R28" i="19" s="1"/>
  <c r="R26" i="19" s="1"/>
  <c r="B64" i="19"/>
  <c r="AE48" i="16"/>
  <c r="H18" i="17"/>
  <c r="B271" i="16"/>
  <c r="AB80" i="16"/>
  <c r="C178" i="16"/>
  <c r="B73" i="17"/>
  <c r="AE262" i="15"/>
  <c r="Y34" i="15"/>
  <c r="AE260" i="15"/>
  <c r="AE257" i="15"/>
  <c r="AE258" i="15"/>
  <c r="AE264" i="15"/>
  <c r="C178" i="15"/>
  <c r="V15" i="16"/>
  <c r="V46" i="16" s="1"/>
  <c r="B265" i="16"/>
  <c r="B272" i="15"/>
  <c r="W81" i="16"/>
  <c r="W97" i="16" s="1"/>
  <c r="B57" i="16"/>
  <c r="S207" i="15"/>
  <c r="AE66" i="16"/>
  <c r="AF134" i="14"/>
  <c r="U287" i="14"/>
  <c r="U219" i="14"/>
  <c r="U33" i="14" s="1"/>
  <c r="U35" i="14" s="1"/>
  <c r="U41" i="14" s="1"/>
  <c r="AF112" i="14"/>
  <c r="B273" i="14"/>
  <c r="AE72" i="14"/>
  <c r="K178" i="13"/>
  <c r="AE245" i="14"/>
  <c r="AE213" i="14"/>
  <c r="AE262" i="14"/>
  <c r="B262" i="13"/>
  <c r="E136" i="13"/>
  <c r="AE130" i="16"/>
  <c r="Q46" i="14"/>
  <c r="D257" i="13"/>
  <c r="AD72" i="12"/>
  <c r="B208" i="13"/>
  <c r="B305" i="13"/>
  <c r="J89" i="12"/>
  <c r="Q180" i="10"/>
  <c r="Q164" i="10"/>
  <c r="Q163" i="10"/>
  <c r="AF309" i="11"/>
  <c r="AF311" i="11"/>
  <c r="AF313" i="11"/>
  <c r="AF302" i="11"/>
  <c r="AF304" i="11"/>
  <c r="AF308" i="11"/>
  <c r="AF312" i="11"/>
  <c r="AF307" i="11"/>
  <c r="AF303" i="11"/>
  <c r="AF306" i="11"/>
  <c r="AF305" i="11"/>
  <c r="AF310" i="11"/>
  <c r="C50" i="11"/>
  <c r="C52" i="11"/>
  <c r="L10" i="11"/>
  <c r="L11" i="11" s="1"/>
  <c r="L16" i="11" s="1"/>
  <c r="L15" i="11" s="1"/>
  <c r="L45" i="11" s="1"/>
  <c r="C54" i="11"/>
  <c r="C47" i="11"/>
  <c r="C53" i="11"/>
  <c r="C56" i="11"/>
  <c r="C58" i="11"/>
  <c r="C57" i="11"/>
  <c r="C49" i="11"/>
  <c r="B52" i="11"/>
  <c r="C55" i="11"/>
  <c r="C48" i="11"/>
  <c r="C51" i="11"/>
  <c r="E93" i="19"/>
  <c r="E15" i="19"/>
  <c r="Q305" i="17"/>
  <c r="Q208" i="17"/>
  <c r="R178" i="12"/>
  <c r="I177" i="11"/>
  <c r="I161" i="11" s="1"/>
  <c r="I160" i="11"/>
  <c r="N178" i="20"/>
  <c r="N162" i="20"/>
  <c r="F146" i="20"/>
  <c r="F162" i="20" s="1"/>
  <c r="V161" i="19"/>
  <c r="V113" i="19"/>
  <c r="V240" i="19" s="1"/>
  <c r="V108" i="19"/>
  <c r="V23" i="19" s="1"/>
  <c r="V25" i="19" s="1"/>
  <c r="V28" i="19" s="1"/>
  <c r="V26" i="19" s="1"/>
  <c r="O24" i="17"/>
  <c r="E134" i="17"/>
  <c r="E137" i="17"/>
  <c r="X208" i="15"/>
  <c r="X305" i="15"/>
  <c r="P108" i="19"/>
  <c r="P23" i="19" s="1"/>
  <c r="P25" i="19" s="1"/>
  <c r="P28" i="19" s="1"/>
  <c r="P112" i="19"/>
  <c r="P239" i="19" s="1"/>
  <c r="C257" i="17"/>
  <c r="E69" i="17"/>
  <c r="D53" i="17"/>
  <c r="L82" i="16"/>
  <c r="L98" i="16" s="1"/>
  <c r="L114" i="16" s="1"/>
  <c r="AD91" i="14"/>
  <c r="AD93" i="14" s="1"/>
  <c r="Z178" i="19"/>
  <c r="H178" i="17"/>
  <c r="AB67" i="19"/>
  <c r="P161" i="17"/>
  <c r="B139" i="17"/>
  <c r="M180" i="17"/>
  <c r="C50" i="17"/>
  <c r="S160" i="20"/>
  <c r="AD81" i="20"/>
  <c r="AD83" i="20"/>
  <c r="D58" i="17"/>
  <c r="Z80" i="16"/>
  <c r="AH137" i="14"/>
  <c r="AB27" i="13"/>
  <c r="AE146" i="13"/>
  <c r="AE147" i="13"/>
  <c r="AE151" i="13"/>
  <c r="P162" i="20"/>
  <c r="P161" i="20"/>
  <c r="U208" i="17"/>
  <c r="U305" i="17"/>
  <c r="Y314" i="20"/>
  <c r="Y39" i="20"/>
  <c r="C262" i="17"/>
  <c r="AA272" i="19"/>
  <c r="AC272" i="19" s="1"/>
  <c r="AC208" i="19" s="1"/>
  <c r="W15" i="16"/>
  <c r="W46" i="16" s="1"/>
  <c r="AE49" i="17"/>
  <c r="B74" i="16"/>
  <c r="K13" i="16"/>
  <c r="B70" i="16"/>
  <c r="B65" i="16"/>
  <c r="B64" i="16"/>
  <c r="AC19" i="3"/>
  <c r="AC35" i="14"/>
  <c r="AC41" i="14" s="1"/>
  <c r="AB178" i="15"/>
  <c r="N160" i="20"/>
  <c r="N112" i="20"/>
  <c r="N255" i="20" s="1"/>
  <c r="AC89" i="19"/>
  <c r="AA72" i="19"/>
  <c r="C180" i="19"/>
  <c r="C164" i="19" s="1"/>
  <c r="AB275" i="19"/>
  <c r="Y305" i="17"/>
  <c r="V304" i="16"/>
  <c r="S254" i="20"/>
  <c r="O160" i="20"/>
  <c r="O112" i="20"/>
  <c r="O255" i="20" s="1"/>
  <c r="AE55" i="20"/>
  <c r="F281" i="17"/>
  <c r="F52" i="17"/>
  <c r="F57" i="17"/>
  <c r="O10" i="17"/>
  <c r="O11" i="17" s="1"/>
  <c r="O16" i="17" s="1"/>
  <c r="E48" i="17"/>
  <c r="E54" i="17"/>
  <c r="F53" i="17"/>
  <c r="Y27" i="20"/>
  <c r="AE143" i="20"/>
  <c r="E152" i="20"/>
  <c r="AE260" i="17"/>
  <c r="AD259" i="16"/>
  <c r="B258" i="14"/>
  <c r="AE152" i="13"/>
  <c r="AC177" i="13"/>
  <c r="E46" i="14"/>
  <c r="U290" i="19"/>
  <c r="U297" i="19"/>
  <c r="U293" i="19"/>
  <c r="U298" i="19"/>
  <c r="U287" i="19"/>
  <c r="U295" i="19"/>
  <c r="U292" i="19"/>
  <c r="U296" i="19"/>
  <c r="U288" i="19"/>
  <c r="U294" i="19"/>
  <c r="U291" i="19"/>
  <c r="U289" i="19"/>
  <c r="AE263" i="16"/>
  <c r="N107" i="20"/>
  <c r="N23" i="20" s="1"/>
  <c r="N25" i="20" s="1"/>
  <c r="N28" i="20" s="1"/>
  <c r="X180" i="19"/>
  <c r="E148" i="19"/>
  <c r="G299" i="19"/>
  <c r="G39" i="19"/>
  <c r="T81" i="17"/>
  <c r="C274" i="17"/>
  <c r="F67" i="17"/>
  <c r="M80" i="16"/>
  <c r="D207" i="16"/>
  <c r="D304" i="16"/>
  <c r="L305" i="15"/>
  <c r="AE55" i="16"/>
  <c r="G149" i="20"/>
  <c r="B90" i="20"/>
  <c r="B106" i="20" s="1"/>
  <c r="B122" i="20" s="1"/>
  <c r="W177" i="20"/>
  <c r="N10" i="20"/>
  <c r="N11" i="20" s="1"/>
  <c r="N16" i="20" s="1"/>
  <c r="N15" i="20" s="1"/>
  <c r="N45" i="20" s="1"/>
  <c r="E54" i="20"/>
  <c r="E58" i="20"/>
  <c r="E50" i="20"/>
  <c r="E55" i="20"/>
  <c r="E53" i="20"/>
  <c r="T264" i="20"/>
  <c r="F261" i="20"/>
  <c r="C259" i="20"/>
  <c r="C53" i="20"/>
  <c r="F52" i="20"/>
  <c r="J265" i="20"/>
  <c r="AE287" i="20"/>
  <c r="AJ296" i="20" s="1"/>
  <c r="AB84" i="20"/>
  <c r="T259" i="20"/>
  <c r="C153" i="19"/>
  <c r="Q162" i="19"/>
  <c r="B143" i="20"/>
  <c r="B159" i="20" s="1"/>
  <c r="B147" i="20"/>
  <c r="T27" i="20"/>
  <c r="B154" i="20"/>
  <c r="Y160" i="19"/>
  <c r="M108" i="19"/>
  <c r="M23" i="19" s="1"/>
  <c r="M25" i="19" s="1"/>
  <c r="M28" i="19" s="1"/>
  <c r="M26" i="19" s="1"/>
  <c r="AC139" i="19"/>
  <c r="J178" i="19"/>
  <c r="G313" i="20"/>
  <c r="G302" i="20"/>
  <c r="G310" i="20"/>
  <c r="G307" i="20"/>
  <c r="G304" i="20"/>
  <c r="G312" i="20"/>
  <c r="G309" i="20"/>
  <c r="G308" i="20"/>
  <c r="G311" i="20"/>
  <c r="G306" i="20"/>
  <c r="G303" i="20"/>
  <c r="G305" i="20"/>
  <c r="AA80" i="19"/>
  <c r="D49" i="20"/>
  <c r="AE53" i="20"/>
  <c r="H249" i="19"/>
  <c r="B71" i="19"/>
  <c r="D145" i="19"/>
  <c r="D161" i="19" s="1"/>
  <c r="F148" i="19"/>
  <c r="F249" i="19"/>
  <c r="AA87" i="20"/>
  <c r="U12" i="20"/>
  <c r="E271" i="17"/>
  <c r="E207" i="17" s="1"/>
  <c r="J178" i="17"/>
  <c r="K207" i="17"/>
  <c r="K304" i="17"/>
  <c r="D278" i="17"/>
  <c r="E155" i="17"/>
  <c r="E147" i="17"/>
  <c r="E153" i="17"/>
  <c r="E145" i="17"/>
  <c r="K27" i="17"/>
  <c r="K19" i="2" s="1"/>
  <c r="E150" i="17"/>
  <c r="B262" i="17"/>
  <c r="C273" i="17"/>
  <c r="C276" i="17"/>
  <c r="C282" i="17"/>
  <c r="L40" i="17"/>
  <c r="G181" i="17"/>
  <c r="AC251" i="19"/>
  <c r="L81" i="17"/>
  <c r="L97" i="17" s="1"/>
  <c r="C266" i="17"/>
  <c r="AE304" i="17"/>
  <c r="B72" i="17"/>
  <c r="S36" i="19"/>
  <c r="I81" i="17"/>
  <c r="D70" i="17"/>
  <c r="C138" i="17"/>
  <c r="B134" i="17"/>
  <c r="C144" i="17"/>
  <c r="E50" i="17"/>
  <c r="H209" i="17"/>
  <c r="H306" i="17"/>
  <c r="J208" i="16"/>
  <c r="J305" i="16"/>
  <c r="AA271" i="19"/>
  <c r="AA207" i="19" s="1"/>
  <c r="AD305" i="17"/>
  <c r="Z280" i="19"/>
  <c r="I18" i="17"/>
  <c r="I27" i="17"/>
  <c r="I19" i="2" s="1"/>
  <c r="C154" i="17"/>
  <c r="C151" i="17"/>
  <c r="C147" i="17"/>
  <c r="B147" i="17"/>
  <c r="C150" i="17"/>
  <c r="C152" i="17"/>
  <c r="B148" i="17"/>
  <c r="B154" i="17"/>
  <c r="AE277" i="17"/>
  <c r="AE274" i="17"/>
  <c r="AE282" i="17" s="1"/>
  <c r="AE271" i="17"/>
  <c r="AE273" i="17"/>
  <c r="AE279" i="17"/>
  <c r="AE280" i="17"/>
  <c r="AE272" i="17"/>
  <c r="AE278" i="17"/>
  <c r="AE275" i="17"/>
  <c r="AE276" i="17"/>
  <c r="AE281" i="17"/>
  <c r="AE51" i="16"/>
  <c r="T11" i="17"/>
  <c r="T16" i="17" s="1"/>
  <c r="B275" i="16"/>
  <c r="F137" i="17"/>
  <c r="V11" i="17"/>
  <c r="V16" i="17" s="1"/>
  <c r="V23" i="1"/>
  <c r="N209" i="15"/>
  <c r="N306" i="15"/>
  <c r="E259" i="17"/>
  <c r="K209" i="15"/>
  <c r="K306" i="15"/>
  <c r="AE53" i="16"/>
  <c r="AE133" i="17"/>
  <c r="AE258" i="16"/>
  <c r="AB219" i="15"/>
  <c r="AB35" i="15"/>
  <c r="AB41" i="15" s="1"/>
  <c r="AB40" i="15" s="1"/>
  <c r="Z304" i="14"/>
  <c r="Z288" i="14"/>
  <c r="T207" i="15"/>
  <c r="AE65" i="15"/>
  <c r="X177" i="15"/>
  <c r="K305" i="14"/>
  <c r="AF98" i="14"/>
  <c r="AF114" i="14" s="1"/>
  <c r="AA305" i="14"/>
  <c r="B259" i="14"/>
  <c r="AE65" i="14"/>
  <c r="H211" i="15"/>
  <c r="AE257" i="14"/>
  <c r="AD149" i="13"/>
  <c r="T98" i="14"/>
  <c r="T114" i="14" s="1"/>
  <c r="T241" i="14" s="1"/>
  <c r="T209" i="14"/>
  <c r="R82" i="14"/>
  <c r="AE256" i="14"/>
  <c r="C262" i="13"/>
  <c r="AE136" i="16"/>
  <c r="AC14" i="13"/>
  <c r="AC15" i="13" s="1"/>
  <c r="AD6" i="13"/>
  <c r="Y10" i="12"/>
  <c r="Y11" i="12" s="1"/>
  <c r="Y16" i="12" s="1"/>
  <c r="AE52" i="12"/>
  <c r="AE58" i="12"/>
  <c r="AE57" i="12"/>
  <c r="AE50" i="12"/>
  <c r="AD56" i="12"/>
  <c r="AE49" i="12"/>
  <c r="AD58" i="12"/>
  <c r="AE55" i="12"/>
  <c r="AE53" i="12"/>
  <c r="AE54" i="12"/>
  <c r="AD55" i="12"/>
  <c r="AD57" i="12"/>
  <c r="AD54" i="12"/>
  <c r="AE48" i="12"/>
  <c r="AE74" i="15"/>
  <c r="D260" i="13"/>
  <c r="AE137" i="15"/>
  <c r="AD278" i="12"/>
  <c r="AF295" i="11"/>
  <c r="N81" i="12"/>
  <c r="N97" i="12" s="1"/>
  <c r="N113" i="12" s="1"/>
  <c r="C276" i="12"/>
  <c r="U180" i="10"/>
  <c r="U164" i="10" s="1"/>
  <c r="AB34" i="10"/>
  <c r="AB5" i="3" s="1"/>
  <c r="AH256" i="10"/>
  <c r="AH257" i="10"/>
  <c r="AH261" i="10"/>
  <c r="AH265" i="10"/>
  <c r="AH258" i="10"/>
  <c r="AH263" i="10"/>
  <c r="AH260" i="10"/>
  <c r="AH264" i="10"/>
  <c r="AH262" i="10"/>
  <c r="AH255" i="10"/>
  <c r="AH259" i="10"/>
  <c r="AG259" i="10"/>
  <c r="AG263" i="10"/>
  <c r="AG265" i="10"/>
  <c r="U10" i="9"/>
  <c r="U11" i="9" s="1"/>
  <c r="U16" i="9" s="1"/>
  <c r="U15" i="9" s="1"/>
  <c r="H49" i="9"/>
  <c r="AN55" i="9"/>
  <c r="H59" i="9"/>
  <c r="N299" i="19"/>
  <c r="N39" i="19"/>
  <c r="T162" i="14"/>
  <c r="E65" i="17"/>
  <c r="R211" i="14"/>
  <c r="R100" i="14"/>
  <c r="R116" i="14" s="1"/>
  <c r="R243" i="14" s="1"/>
  <c r="Q84" i="14"/>
  <c r="P209" i="12"/>
  <c r="P306" i="12"/>
  <c r="B306" i="14"/>
  <c r="R160" i="20"/>
  <c r="D254" i="20"/>
  <c r="T209" i="17"/>
  <c r="T306" i="17"/>
  <c r="D54" i="17"/>
  <c r="E80" i="16"/>
  <c r="B64" i="15"/>
  <c r="N207" i="13"/>
  <c r="N304" i="13"/>
  <c r="AA315" i="20"/>
  <c r="AA314" i="20"/>
  <c r="AA39" i="20"/>
  <c r="B234" i="19"/>
  <c r="B250" i="19" s="1"/>
  <c r="C80" i="19"/>
  <c r="R24" i="1"/>
  <c r="E72" i="17"/>
  <c r="X34" i="15"/>
  <c r="AD264" i="15"/>
  <c r="AD263" i="15"/>
  <c r="R262" i="20"/>
  <c r="I161" i="20"/>
  <c r="I113" i="20"/>
  <c r="I256" i="20" s="1"/>
  <c r="J107" i="20"/>
  <c r="J23" i="20" s="1"/>
  <c r="J25" i="20" s="1"/>
  <c r="J28" i="20" s="1"/>
  <c r="J26" i="20" s="1"/>
  <c r="J111" i="20"/>
  <c r="Q257" i="20"/>
  <c r="AE138" i="20"/>
  <c r="P305" i="16"/>
  <c r="P208" i="16"/>
  <c r="E75" i="17"/>
  <c r="C55" i="17"/>
  <c r="H309" i="15"/>
  <c r="H212" i="15"/>
  <c r="AD134" i="17"/>
  <c r="AD139" i="17" s="1"/>
  <c r="AG7" i="14"/>
  <c r="AG9" i="14" s="1"/>
  <c r="AG11" i="14" s="1"/>
  <c r="AG16" i="14" s="1"/>
  <c r="B68" i="14"/>
  <c r="F179" i="19"/>
  <c r="C53" i="17"/>
  <c r="B274" i="16"/>
  <c r="B210" i="16" s="1"/>
  <c r="AE51" i="20"/>
  <c r="G207" i="17"/>
  <c r="G304" i="17"/>
  <c r="B256" i="17"/>
  <c r="I162" i="19"/>
  <c r="Y210" i="15"/>
  <c r="AE153" i="13"/>
  <c r="F207" i="13"/>
  <c r="O24" i="13"/>
  <c r="F138" i="13"/>
  <c r="D133" i="13"/>
  <c r="B135" i="13"/>
  <c r="D130" i="13"/>
  <c r="C133" i="13"/>
  <c r="C138" i="13"/>
  <c r="E130" i="13"/>
  <c r="B138" i="13"/>
  <c r="C137" i="13"/>
  <c r="C130" i="13"/>
  <c r="D139" i="13"/>
  <c r="B132" i="13"/>
  <c r="C135" i="13"/>
  <c r="B129" i="13"/>
  <c r="E131" i="13"/>
  <c r="F133" i="13"/>
  <c r="D134" i="13"/>
  <c r="F129" i="13"/>
  <c r="D136" i="13"/>
  <c r="C129" i="13"/>
  <c r="B133" i="13"/>
  <c r="D131" i="13"/>
  <c r="F136" i="13"/>
  <c r="F137" i="13"/>
  <c r="F134" i="13"/>
  <c r="E129" i="13"/>
  <c r="F135" i="13"/>
  <c r="F139" i="13"/>
  <c r="B131" i="13"/>
  <c r="F130" i="13"/>
  <c r="B128" i="13"/>
  <c r="D128" i="13"/>
  <c r="E137" i="13"/>
  <c r="C132" i="13"/>
  <c r="B134" i="13"/>
  <c r="E128" i="13"/>
  <c r="E133" i="13"/>
  <c r="C131" i="13"/>
  <c r="D135" i="13"/>
  <c r="C134" i="13"/>
  <c r="D138" i="13"/>
  <c r="B137" i="13"/>
  <c r="D137" i="13"/>
  <c r="E134" i="13"/>
  <c r="E138" i="13"/>
  <c r="E135" i="13"/>
  <c r="B130" i="13"/>
  <c r="D129" i="13"/>
  <c r="AD59" i="12"/>
  <c r="U162" i="20"/>
  <c r="U178" i="20"/>
  <c r="B84" i="19"/>
  <c r="B100" i="19" s="1"/>
  <c r="B116" i="19" s="1"/>
  <c r="B226" i="19"/>
  <c r="B242" i="19" s="1"/>
  <c r="AC210" i="19"/>
  <c r="AC226" i="19" s="1"/>
  <c r="R80" i="17"/>
  <c r="W210" i="16"/>
  <c r="W307" i="16"/>
  <c r="L13" i="17"/>
  <c r="C74" i="17"/>
  <c r="C68" i="17"/>
  <c r="C72" i="17"/>
  <c r="K288" i="19"/>
  <c r="K295" i="19"/>
  <c r="K291" i="19"/>
  <c r="K294" i="19"/>
  <c r="K293" i="19"/>
  <c r="K292" i="19"/>
  <c r="K298" i="19"/>
  <c r="K297" i="19"/>
  <c r="K296" i="19"/>
  <c r="K287" i="19"/>
  <c r="K289" i="19"/>
  <c r="K290" i="19"/>
  <c r="T179" i="16"/>
  <c r="H162" i="19"/>
  <c r="U12" i="19"/>
  <c r="U93" i="19" s="1"/>
  <c r="AA86" i="19"/>
  <c r="AA82" i="19"/>
  <c r="AA90" i="19"/>
  <c r="AA106" i="19" s="1"/>
  <c r="AA122" i="19" s="1"/>
  <c r="C152" i="20"/>
  <c r="E276" i="17"/>
  <c r="AD261" i="17"/>
  <c r="Y304" i="16"/>
  <c r="Y207" i="16"/>
  <c r="C134" i="17"/>
  <c r="AB209" i="16"/>
  <c r="AB306" i="16"/>
  <c r="F129" i="17"/>
  <c r="D138" i="17"/>
  <c r="K178" i="14"/>
  <c r="AE207" i="14"/>
  <c r="T162" i="20"/>
  <c r="T178" i="20"/>
  <c r="T161" i="20"/>
  <c r="Q162" i="20"/>
  <c r="R177" i="20"/>
  <c r="E150" i="20"/>
  <c r="M159" i="20"/>
  <c r="T15" i="20"/>
  <c r="T45" i="20" s="1"/>
  <c r="AB82" i="20"/>
  <c r="AE82" i="20" s="1"/>
  <c r="F145" i="20"/>
  <c r="F161" i="20" s="1"/>
  <c r="AE144" i="20"/>
  <c r="K314" i="20"/>
  <c r="K39" i="20"/>
  <c r="E51" i="20"/>
  <c r="B63" i="20"/>
  <c r="AE289" i="20"/>
  <c r="AA84" i="20"/>
  <c r="C146" i="19"/>
  <c r="C162" i="19" s="1"/>
  <c r="B146" i="20"/>
  <c r="F150" i="19"/>
  <c r="Z161" i="19"/>
  <c r="E107" i="20"/>
  <c r="E23" i="20" s="1"/>
  <c r="E25" i="20" s="1"/>
  <c r="E28" i="20" s="1"/>
  <c r="E26" i="20" s="1"/>
  <c r="H299" i="19"/>
  <c r="H39" i="19"/>
  <c r="K108" i="19"/>
  <c r="K23" i="19" s="1"/>
  <c r="K25" i="19" s="1"/>
  <c r="K28" i="19" s="1"/>
  <c r="K26" i="19" s="1"/>
  <c r="U112" i="19"/>
  <c r="U239" i="19" s="1"/>
  <c r="U108" i="19"/>
  <c r="U23" i="19" s="1"/>
  <c r="U25" i="19" s="1"/>
  <c r="U28" i="19" s="1"/>
  <c r="U26" i="19" s="1"/>
  <c r="G148" i="19"/>
  <c r="AA79" i="20"/>
  <c r="E278" i="17"/>
  <c r="B273" i="17"/>
  <c r="B209" i="17" s="1"/>
  <c r="B261" i="17"/>
  <c r="D266" i="17"/>
  <c r="B177" i="17"/>
  <c r="N306" i="16"/>
  <c r="C281" i="17"/>
  <c r="I306" i="17"/>
  <c r="I209" i="17"/>
  <c r="D73" i="17"/>
  <c r="C133" i="17"/>
  <c r="B131" i="17"/>
  <c r="B70" i="19"/>
  <c r="E58" i="17"/>
  <c r="AC81" i="16"/>
  <c r="AA277" i="19"/>
  <c r="AC277" i="19" s="1"/>
  <c r="Z152" i="19"/>
  <c r="AB152" i="19" s="1"/>
  <c r="C153" i="17"/>
  <c r="H304" i="16"/>
  <c r="F134" i="17"/>
  <c r="E263" i="17"/>
  <c r="F83" i="15"/>
  <c r="F99" i="15" s="1"/>
  <c r="F115" i="15" s="1"/>
  <c r="AD152" i="16"/>
  <c r="N178" i="16"/>
  <c r="W209" i="15"/>
  <c r="M179" i="15"/>
  <c r="G82" i="15"/>
  <c r="G98" i="15" s="1"/>
  <c r="G114" i="15" s="1"/>
  <c r="N18" i="17"/>
  <c r="AE71" i="15"/>
  <c r="AD74" i="15"/>
  <c r="B180" i="15"/>
  <c r="B133" i="16"/>
  <c r="M305" i="14"/>
  <c r="W287" i="14"/>
  <c r="W219" i="14"/>
  <c r="W33" i="14" s="1"/>
  <c r="W35" i="14" s="1"/>
  <c r="W41" i="14" s="1"/>
  <c r="F80" i="15"/>
  <c r="AE306" i="15"/>
  <c r="F178" i="14"/>
  <c r="AB287" i="14"/>
  <c r="AG178" i="14"/>
  <c r="AD97" i="14"/>
  <c r="AG81" i="14"/>
  <c r="AF81" i="14"/>
  <c r="AF97" i="14" s="1"/>
  <c r="AD208" i="14"/>
  <c r="B261" i="14"/>
  <c r="P40" i="13"/>
  <c r="P25" i="3" s="1"/>
  <c r="P39" i="3" s="1"/>
  <c r="F273" i="13"/>
  <c r="F277" i="13"/>
  <c r="F272" i="13"/>
  <c r="F208" i="13" s="1"/>
  <c r="K13" i="14"/>
  <c r="K26" i="1" s="1"/>
  <c r="K42" i="1" s="1"/>
  <c r="B64" i="14"/>
  <c r="B66" i="14"/>
  <c r="B65" i="14"/>
  <c r="B70" i="14"/>
  <c r="B72" i="14"/>
  <c r="B74" i="14"/>
  <c r="B67" i="14"/>
  <c r="B73" i="14"/>
  <c r="H83" i="15"/>
  <c r="H99" i="15" s="1"/>
  <c r="H115" i="15" s="1"/>
  <c r="T106" i="14"/>
  <c r="T122" i="14" s="1"/>
  <c r="T249" i="14" s="1"/>
  <c r="T217" i="14"/>
  <c r="S161" i="14"/>
  <c r="S160" i="14"/>
  <c r="AE9" i="14"/>
  <c r="AE11" i="14" s="1"/>
  <c r="AE16" i="14" s="1"/>
  <c r="Q208" i="12"/>
  <c r="Q305" i="12"/>
  <c r="H11" i="14"/>
  <c r="H16" i="14" s="1"/>
  <c r="H15" i="14" s="1"/>
  <c r="H23" i="1"/>
  <c r="E276" i="13"/>
  <c r="D132" i="13"/>
  <c r="D263" i="13"/>
  <c r="AE131" i="15"/>
  <c r="C282" i="12"/>
  <c r="B53" i="12"/>
  <c r="B56" i="12"/>
  <c r="B59" i="12"/>
  <c r="B50" i="12"/>
  <c r="K10" i="12"/>
  <c r="K11" i="12" s="1"/>
  <c r="K16" i="12" s="1"/>
  <c r="B49" i="12"/>
  <c r="B57" i="12"/>
  <c r="B52" i="12"/>
  <c r="B58" i="12"/>
  <c r="B51" i="12"/>
  <c r="B55" i="12"/>
  <c r="B48" i="12"/>
  <c r="L10" i="10"/>
  <c r="D51" i="10"/>
  <c r="Z82" i="16"/>
  <c r="Z98" i="16" s="1"/>
  <c r="Z114" i="16" s="1"/>
  <c r="D112" i="11"/>
  <c r="D255" i="11" s="1"/>
  <c r="D107" i="11"/>
  <c r="D23" i="11" s="1"/>
  <c r="D25" i="11" s="1"/>
  <c r="D28" i="11" s="1"/>
  <c r="D26" i="11" s="1"/>
  <c r="D160" i="11"/>
  <c r="H47" i="11"/>
  <c r="Q10" i="11"/>
  <c r="H50" i="11"/>
  <c r="G55" i="11"/>
  <c r="H48" i="11"/>
  <c r="H49" i="11"/>
  <c r="G57" i="11"/>
  <c r="F51" i="11"/>
  <c r="F57" i="11"/>
  <c r="G48" i="11"/>
  <c r="F50" i="11"/>
  <c r="G49" i="11"/>
  <c r="G52" i="11"/>
  <c r="F49" i="11"/>
  <c r="D55" i="11"/>
  <c r="D51" i="11"/>
  <c r="F48" i="11"/>
  <c r="Y160" i="20"/>
  <c r="F181" i="17"/>
  <c r="G308" i="15"/>
  <c r="G211" i="15"/>
  <c r="Z82" i="12"/>
  <c r="Z98" i="12" s="1"/>
  <c r="Z114" i="12" s="1"/>
  <c r="M27" i="12"/>
  <c r="D153" i="12"/>
  <c r="D149" i="12"/>
  <c r="C155" i="12"/>
  <c r="D148" i="12"/>
  <c r="D146" i="12"/>
  <c r="D151" i="12"/>
  <c r="C145" i="12"/>
  <c r="D152" i="12"/>
  <c r="C147" i="12"/>
  <c r="C152" i="12"/>
  <c r="D155" i="12"/>
  <c r="C146" i="12"/>
  <c r="C154" i="12"/>
  <c r="D145" i="12"/>
  <c r="D150" i="12"/>
  <c r="D144" i="12"/>
  <c r="D154" i="12"/>
  <c r="D147" i="12"/>
  <c r="C150" i="12"/>
  <c r="AJ69" i="10"/>
  <c r="X160" i="20"/>
  <c r="B178" i="16"/>
  <c r="G178" i="16"/>
  <c r="R101" i="14"/>
  <c r="R117" i="14" s="1"/>
  <c r="R244" i="14" s="1"/>
  <c r="Q85" i="14"/>
  <c r="M177" i="19"/>
  <c r="AB84" i="17"/>
  <c r="AB100" i="17" s="1"/>
  <c r="AB116" i="17" s="1"/>
  <c r="V81" i="17"/>
  <c r="V97" i="17" s="1"/>
  <c r="V113" i="17" s="1"/>
  <c r="B264" i="17"/>
  <c r="Q179" i="16"/>
  <c r="E139" i="17"/>
  <c r="B134" i="16"/>
  <c r="X34" i="14"/>
  <c r="AD265" i="14"/>
  <c r="AF178" i="14"/>
  <c r="AF306" i="14"/>
  <c r="D47" i="11"/>
  <c r="AC134" i="19"/>
  <c r="AB134" i="19"/>
  <c r="AC71" i="19"/>
  <c r="AA279" i="19"/>
  <c r="AC279" i="19" s="1"/>
  <c r="O16" i="2"/>
  <c r="O27" i="2" s="1"/>
  <c r="N26" i="1"/>
  <c r="N42" i="1" s="1"/>
  <c r="F209" i="12"/>
  <c r="F306" i="12"/>
  <c r="U115" i="11"/>
  <c r="U258" i="11" s="1"/>
  <c r="U107" i="11"/>
  <c r="U23" i="11" s="1"/>
  <c r="W108" i="19"/>
  <c r="W23" i="19" s="1"/>
  <c r="W25" i="19" s="1"/>
  <c r="W28" i="19" s="1"/>
  <c r="W26" i="19" s="1"/>
  <c r="C261" i="17"/>
  <c r="I181" i="17"/>
  <c r="AC7" i="13"/>
  <c r="AD7" i="13" s="1"/>
  <c r="AE7" i="13" s="1"/>
  <c r="AE9" i="13" s="1"/>
  <c r="AE11" i="13" s="1"/>
  <c r="AE16" i="13" s="1"/>
  <c r="AE15" i="13" s="1"/>
  <c r="O13" i="12"/>
  <c r="O10" i="1" s="1"/>
  <c r="C71" i="12"/>
  <c r="C73" i="12"/>
  <c r="C69" i="12"/>
  <c r="B69" i="12"/>
  <c r="C75" i="12"/>
  <c r="B65" i="12"/>
  <c r="B72" i="12"/>
  <c r="B64" i="12"/>
  <c r="C74" i="12"/>
  <c r="B68" i="12"/>
  <c r="K205" i="4"/>
  <c r="L205" i="4"/>
  <c r="J205" i="4"/>
  <c r="L306" i="17"/>
  <c r="L209" i="17"/>
  <c r="B65" i="19"/>
  <c r="K40" i="16"/>
  <c r="B280" i="16"/>
  <c r="B281" i="16"/>
  <c r="B277" i="16"/>
  <c r="AE52" i="16"/>
  <c r="X306" i="14"/>
  <c r="X290" i="14"/>
  <c r="AE306" i="14"/>
  <c r="AA34" i="13"/>
  <c r="AA19" i="3" s="1"/>
  <c r="AE256" i="13"/>
  <c r="L178" i="12"/>
  <c r="F55" i="11"/>
  <c r="M314" i="11"/>
  <c r="M39" i="11"/>
  <c r="C35" i="10"/>
  <c r="C41" i="10" s="1"/>
  <c r="C36" i="10" s="1"/>
  <c r="B177" i="13"/>
  <c r="K10" i="9"/>
  <c r="K11" i="9" s="1"/>
  <c r="K16" i="9" s="1"/>
  <c r="K15" i="9" s="1"/>
  <c r="B57" i="9"/>
  <c r="B53" i="9"/>
  <c r="B49" i="9"/>
  <c r="B51" i="9"/>
  <c r="B59" i="9"/>
  <c r="B55" i="9"/>
  <c r="B48" i="9"/>
  <c r="B56" i="9"/>
  <c r="B54" i="9"/>
  <c r="B52" i="9"/>
  <c r="B58" i="9"/>
  <c r="B50" i="9"/>
  <c r="S177" i="20"/>
  <c r="S161" i="20" s="1"/>
  <c r="AE47" i="20"/>
  <c r="AA64" i="19"/>
  <c r="M80" i="17"/>
  <c r="B275" i="17"/>
  <c r="I107" i="20"/>
  <c r="I23" i="20" s="1"/>
  <c r="I25" i="20" s="1"/>
  <c r="I28" i="20" s="1"/>
  <c r="I26" i="20" s="1"/>
  <c r="M160" i="20"/>
  <c r="D111" i="20"/>
  <c r="D107" i="20"/>
  <c r="D23" i="20" s="1"/>
  <c r="D25" i="20" s="1"/>
  <c r="D28" i="20" s="1"/>
  <c r="D26" i="20" s="1"/>
  <c r="K10" i="20"/>
  <c r="K11" i="20" s="1"/>
  <c r="K16" i="20" s="1"/>
  <c r="K15" i="20" s="1"/>
  <c r="K45" i="20" s="1"/>
  <c r="B58" i="20"/>
  <c r="C308" i="20"/>
  <c r="C305" i="20"/>
  <c r="C313" i="20"/>
  <c r="C302" i="20"/>
  <c r="C310" i="20"/>
  <c r="C307" i="20"/>
  <c r="C304" i="20"/>
  <c r="C303" i="20"/>
  <c r="C306" i="20"/>
  <c r="C312" i="20"/>
  <c r="C309" i="20"/>
  <c r="C311" i="20"/>
  <c r="K10" i="17"/>
  <c r="K11" i="17" s="1"/>
  <c r="K16" i="17" s="1"/>
  <c r="B49" i="17"/>
  <c r="B58" i="17"/>
  <c r="B52" i="17"/>
  <c r="B48" i="17"/>
  <c r="B57" i="17"/>
  <c r="B56" i="17"/>
  <c r="B53" i="17"/>
  <c r="AB4" i="19"/>
  <c r="AA14" i="19" s="1"/>
  <c r="F69" i="17"/>
  <c r="B152" i="19"/>
  <c r="AE145" i="14"/>
  <c r="V162" i="20"/>
  <c r="AC123" i="20"/>
  <c r="W264" i="20"/>
  <c r="T160" i="20"/>
  <c r="T112" i="20"/>
  <c r="T255" i="20" s="1"/>
  <c r="J161" i="20"/>
  <c r="K258" i="20"/>
  <c r="AE149" i="20"/>
  <c r="F51" i="20"/>
  <c r="I314" i="20"/>
  <c r="I39" i="20"/>
  <c r="B71" i="20"/>
  <c r="AE291" i="20"/>
  <c r="AA86" i="20"/>
  <c r="AA102" i="20" s="1"/>
  <c r="AA118" i="20" s="1"/>
  <c r="F258" i="20"/>
  <c r="S178" i="19"/>
  <c r="K161" i="19"/>
  <c r="Z89" i="20"/>
  <c r="F145" i="19"/>
  <c r="F161" i="19" s="1"/>
  <c r="D305" i="20"/>
  <c r="D313" i="20"/>
  <c r="D302" i="20"/>
  <c r="D310" i="20"/>
  <c r="D307" i="20"/>
  <c r="D303" i="20"/>
  <c r="D304" i="20"/>
  <c r="D312" i="20"/>
  <c r="D309" i="20"/>
  <c r="D306" i="20"/>
  <c r="D311" i="20"/>
  <c r="D308" i="20"/>
  <c r="AE56" i="20"/>
  <c r="B88" i="19"/>
  <c r="B104" i="19" s="1"/>
  <c r="B120" i="19" s="1"/>
  <c r="C144" i="20"/>
  <c r="C160" i="20" s="1"/>
  <c r="O112" i="19"/>
  <c r="O108" i="19"/>
  <c r="O23" i="19" s="1"/>
  <c r="O25" i="19" s="1"/>
  <c r="O28" i="19" s="1"/>
  <c r="O26" i="19" s="1"/>
  <c r="X160" i="19"/>
  <c r="F313" i="20"/>
  <c r="F302" i="20"/>
  <c r="F310" i="20"/>
  <c r="F307" i="20"/>
  <c r="F304" i="20"/>
  <c r="F311" i="20"/>
  <c r="F312" i="20"/>
  <c r="F309" i="20"/>
  <c r="F306" i="20"/>
  <c r="F303" i="20"/>
  <c r="F308" i="20"/>
  <c r="F305" i="20"/>
  <c r="T179" i="19"/>
  <c r="G152" i="19"/>
  <c r="G150" i="19"/>
  <c r="G151" i="19"/>
  <c r="E152" i="19"/>
  <c r="D144" i="19"/>
  <c r="D160" i="19" s="1"/>
  <c r="E147" i="19"/>
  <c r="D147" i="19"/>
  <c r="P27" i="19"/>
  <c r="C149" i="19"/>
  <c r="D150" i="19"/>
  <c r="C293" i="19"/>
  <c r="C289" i="19"/>
  <c r="C296" i="19"/>
  <c r="C288" i="19"/>
  <c r="C287" i="19"/>
  <c r="C292" i="19"/>
  <c r="C291" i="19"/>
  <c r="C290" i="19"/>
  <c r="C295" i="19"/>
  <c r="C297" i="19"/>
  <c r="C294" i="19"/>
  <c r="C298" i="19"/>
  <c r="C147" i="19"/>
  <c r="C280" i="17"/>
  <c r="C152" i="19"/>
  <c r="U111" i="20"/>
  <c r="U107" i="20"/>
  <c r="U23" i="20" s="1"/>
  <c r="U25" i="20" s="1"/>
  <c r="U28" i="20" s="1"/>
  <c r="U26" i="20" s="1"/>
  <c r="AA87" i="19"/>
  <c r="AA103" i="19" s="1"/>
  <c r="AA119" i="19" s="1"/>
  <c r="H160" i="19"/>
  <c r="AC100" i="19"/>
  <c r="AC116" i="19" s="1"/>
  <c r="AC105" i="19"/>
  <c r="AC121" i="19" s="1"/>
  <c r="AC104" i="19"/>
  <c r="AC120" i="19" s="1"/>
  <c r="AC101" i="19"/>
  <c r="AC117" i="19" s="1"/>
  <c r="AC23" i="19"/>
  <c r="AC25" i="19" s="1"/>
  <c r="AC28" i="19" s="1"/>
  <c r="AC26" i="19" s="1"/>
  <c r="B154" i="19"/>
  <c r="AB65" i="19"/>
  <c r="K179" i="17"/>
  <c r="AB272" i="19"/>
  <c r="Y178" i="17"/>
  <c r="Y241" i="19"/>
  <c r="C177" i="17"/>
  <c r="W305" i="17"/>
  <c r="C256" i="17"/>
  <c r="D280" i="17"/>
  <c r="B281" i="17"/>
  <c r="B75" i="17"/>
  <c r="C136" i="17"/>
  <c r="B138" i="17"/>
  <c r="B75" i="19"/>
  <c r="E59" i="17"/>
  <c r="Q160" i="19"/>
  <c r="AA273" i="19"/>
  <c r="Z150" i="19"/>
  <c r="AB150" i="19" s="1"/>
  <c r="O83" i="16"/>
  <c r="O99" i="16" s="1"/>
  <c r="O115" i="16" s="1"/>
  <c r="F304" i="16"/>
  <c r="F207" i="16"/>
  <c r="P178" i="16"/>
  <c r="B278" i="16"/>
  <c r="F131" i="17"/>
  <c r="Z306" i="16"/>
  <c r="AD74" i="16"/>
  <c r="X13" i="16"/>
  <c r="AD71" i="16"/>
  <c r="AD68" i="16"/>
  <c r="AD67" i="16"/>
  <c r="AD75" i="16" s="1"/>
  <c r="AB177" i="16"/>
  <c r="E262" i="17"/>
  <c r="D207" i="15"/>
  <c r="D304" i="15"/>
  <c r="AD148" i="16"/>
  <c r="AD263" i="16"/>
  <c r="AD33" i="15"/>
  <c r="AE66" i="15"/>
  <c r="AD72" i="15"/>
  <c r="W306" i="14"/>
  <c r="I178" i="14"/>
  <c r="W208" i="15"/>
  <c r="AF147" i="14"/>
  <c r="B150" i="14"/>
  <c r="AD210" i="14"/>
  <c r="AD99" i="14"/>
  <c r="AG83" i="14"/>
  <c r="AG99" i="14" s="1"/>
  <c r="AG115" i="14" s="1"/>
  <c r="AF83" i="14"/>
  <c r="B263" i="14"/>
  <c r="M26" i="1"/>
  <c r="M42" i="1" s="1"/>
  <c r="AA113" i="14"/>
  <c r="AA240" i="14" s="1"/>
  <c r="AA161" i="14"/>
  <c r="AE265" i="13"/>
  <c r="S178" i="14"/>
  <c r="S162" i="14" s="1"/>
  <c r="AA83" i="13"/>
  <c r="AA99" i="13" s="1"/>
  <c r="AA115" i="13" s="1"/>
  <c r="E279" i="13"/>
  <c r="F132" i="13"/>
  <c r="AE134" i="15"/>
  <c r="C277" i="12"/>
  <c r="M112" i="11"/>
  <c r="M255" i="11" s="1"/>
  <c r="M160" i="11"/>
  <c r="E178" i="11"/>
  <c r="AE66" i="14"/>
  <c r="AE303" i="12"/>
  <c r="AE304" i="12" s="1"/>
  <c r="AE308" i="12"/>
  <c r="AE309" i="12" s="1"/>
  <c r="AE310" i="12" s="1"/>
  <c r="AE311" i="12" s="1"/>
  <c r="AE312" i="12" s="1"/>
  <c r="AE313" i="12" s="1"/>
  <c r="AE305" i="12"/>
  <c r="AE306" i="12" s="1"/>
  <c r="AE307" i="12" s="1"/>
  <c r="D55" i="17"/>
  <c r="D49" i="17"/>
  <c r="M10" i="17"/>
  <c r="M11" i="17" s="1"/>
  <c r="M16" i="17" s="1"/>
  <c r="D52" i="17"/>
  <c r="D57" i="17"/>
  <c r="C49" i="17"/>
  <c r="C52" i="17"/>
  <c r="M81" i="15"/>
  <c r="M97" i="15" s="1"/>
  <c r="X308" i="16"/>
  <c r="X211" i="16"/>
  <c r="P162" i="19"/>
  <c r="M295" i="19"/>
  <c r="M291" i="19"/>
  <c r="M298" i="19"/>
  <c r="M287" i="19"/>
  <c r="M297" i="19"/>
  <c r="M296" i="19"/>
  <c r="M289" i="19"/>
  <c r="M293" i="19"/>
  <c r="M292" i="19"/>
  <c r="M288" i="19"/>
  <c r="M294" i="19"/>
  <c r="M290" i="19"/>
  <c r="AD105" i="14"/>
  <c r="AD121" i="14" s="1"/>
  <c r="AD248" i="14" s="1"/>
  <c r="AG89" i="14"/>
  <c r="AG105" i="14" s="1"/>
  <c r="AG121" i="14" s="1"/>
  <c r="AF89" i="14"/>
  <c r="AF105" i="14" s="1"/>
  <c r="AF121" i="14" s="1"/>
  <c r="AI5" i="14"/>
  <c r="G83" i="15"/>
  <c r="U254" i="20"/>
  <c r="Y24" i="17"/>
  <c r="AE132" i="17"/>
  <c r="P209" i="15"/>
  <c r="P306" i="15"/>
  <c r="X40" i="14"/>
  <c r="AD277" i="14"/>
  <c r="AD279" i="14"/>
  <c r="AD280" i="14"/>
  <c r="AC177" i="12"/>
  <c r="B146" i="12"/>
  <c r="P292" i="4"/>
  <c r="AC177" i="19"/>
  <c r="Z103" i="19"/>
  <c r="AB87" i="19"/>
  <c r="Z86" i="20"/>
  <c r="AC304" i="17"/>
  <c r="AC207" i="17"/>
  <c r="T299" i="19"/>
  <c r="T39" i="19"/>
  <c r="F55" i="17"/>
  <c r="B50" i="17"/>
  <c r="E178" i="16"/>
  <c r="R11" i="17"/>
  <c r="R16" i="17" s="1"/>
  <c r="B129" i="14"/>
  <c r="AC288" i="14"/>
  <c r="AD112" i="14"/>
  <c r="AD239" i="14" s="1"/>
  <c r="AD160" i="14"/>
  <c r="K162" i="19"/>
  <c r="N177" i="19"/>
  <c r="B72" i="19"/>
  <c r="R82" i="17"/>
  <c r="R98" i="17" s="1"/>
  <c r="R114" i="17" s="1"/>
  <c r="B67" i="19"/>
  <c r="X80" i="17"/>
  <c r="D59" i="17"/>
  <c r="V163" i="20"/>
  <c r="F73" i="17"/>
  <c r="F128" i="17"/>
  <c r="O96" i="15"/>
  <c r="E147" i="20"/>
  <c r="G145" i="20"/>
  <c r="P27" i="20"/>
  <c r="G148" i="20"/>
  <c r="F154" i="20"/>
  <c r="G150" i="20"/>
  <c r="F150" i="20"/>
  <c r="C246" i="19"/>
  <c r="W250" i="19"/>
  <c r="AE263" i="17"/>
  <c r="F112" i="19"/>
  <c r="F239" i="19" s="1"/>
  <c r="F108" i="19"/>
  <c r="F23" i="19" s="1"/>
  <c r="F25" i="19" s="1"/>
  <c r="F28" i="19" s="1"/>
  <c r="F26" i="19" s="1"/>
  <c r="C130" i="17"/>
  <c r="B129" i="17"/>
  <c r="F136" i="17"/>
  <c r="D139" i="17"/>
  <c r="G177" i="15"/>
  <c r="H223" i="15"/>
  <c r="H80" i="15"/>
  <c r="F82" i="15"/>
  <c r="F98" i="15" s="1"/>
  <c r="F114" i="15" s="1"/>
  <c r="AE151" i="14"/>
  <c r="B275" i="14"/>
  <c r="AH87" i="14"/>
  <c r="AH103" i="14" s="1"/>
  <c r="AH119" i="14" s="1"/>
  <c r="AE259" i="12"/>
  <c r="AE256" i="12"/>
  <c r="AE266" i="12" s="1"/>
  <c r="Y34" i="12"/>
  <c r="Y5" i="3" s="1"/>
  <c r="AE265" i="12"/>
  <c r="AD262" i="12"/>
  <c r="AE262" i="12"/>
  <c r="AE264" i="12"/>
  <c r="AD265" i="12"/>
  <c r="AD259" i="12"/>
  <c r="AE261" i="12"/>
  <c r="AD261" i="12"/>
  <c r="AD260" i="12"/>
  <c r="AD263" i="12"/>
  <c r="AE258" i="12"/>
  <c r="AE257" i="12"/>
  <c r="X81" i="12"/>
  <c r="X223" i="12"/>
  <c r="B87" i="20"/>
  <c r="B103" i="20" s="1"/>
  <c r="B119" i="20" s="1"/>
  <c r="B245" i="20"/>
  <c r="B261" i="20" s="1"/>
  <c r="I160" i="20"/>
  <c r="I112" i="20"/>
  <c r="I255" i="20" s="1"/>
  <c r="D55" i="20"/>
  <c r="AG361" i="20"/>
  <c r="AH350" i="20" s="1"/>
  <c r="AI350" i="20" s="1"/>
  <c r="AJ356" i="20"/>
  <c r="AJ349" i="20"/>
  <c r="AJ353" i="20"/>
  <c r="AJ358" i="20"/>
  <c r="AJ354" i="20"/>
  <c r="AJ351" i="20"/>
  <c r="Q179" i="20"/>
  <c r="H314" i="20"/>
  <c r="H39" i="20"/>
  <c r="G153" i="20"/>
  <c r="Q262" i="20"/>
  <c r="I260" i="20"/>
  <c r="O107" i="20"/>
  <c r="O23" i="20" s="1"/>
  <c r="O25" i="20" s="1"/>
  <c r="O28" i="20" s="1"/>
  <c r="O26" i="20" s="1"/>
  <c r="K263" i="20"/>
  <c r="D146" i="20"/>
  <c r="J178" i="20"/>
  <c r="J162" i="20"/>
  <c r="V256" i="20"/>
  <c r="J159" i="20"/>
  <c r="B66" i="20"/>
  <c r="AE293" i="20"/>
  <c r="B146" i="19"/>
  <c r="B150" i="19"/>
  <c r="AA89" i="20"/>
  <c r="AA105" i="20" s="1"/>
  <c r="AA121" i="20" s="1"/>
  <c r="F146" i="19"/>
  <c r="F162" i="19" s="1"/>
  <c r="L159" i="20"/>
  <c r="AA81" i="19"/>
  <c r="B89" i="19"/>
  <c r="B105" i="19" s="1"/>
  <c r="B121" i="19" s="1"/>
  <c r="T12" i="19"/>
  <c r="T93" i="19" s="1"/>
  <c r="Z90" i="19"/>
  <c r="N112" i="19"/>
  <c r="N239" i="19" s="1"/>
  <c r="N108" i="19"/>
  <c r="N23" i="19" s="1"/>
  <c r="N25" i="19" s="1"/>
  <c r="N28" i="19" s="1"/>
  <c r="N26" i="19" s="1"/>
  <c r="AB208" i="19"/>
  <c r="AB224" i="19" s="1"/>
  <c r="R161" i="19"/>
  <c r="N160" i="19"/>
  <c r="G147" i="19"/>
  <c r="F274" i="17"/>
  <c r="AA100" i="19"/>
  <c r="AA116" i="19" s="1"/>
  <c r="B179" i="19"/>
  <c r="B163" i="19" s="1"/>
  <c r="H15" i="19"/>
  <c r="AB144" i="19"/>
  <c r="K160" i="19"/>
  <c r="B146" i="17"/>
  <c r="W207" i="17"/>
  <c r="C272" i="17"/>
  <c r="G112" i="19"/>
  <c r="G239" i="19" s="1"/>
  <c r="G108" i="19"/>
  <c r="G23" i="19" s="1"/>
  <c r="G25" i="19" s="1"/>
  <c r="G28" i="19" s="1"/>
  <c r="G26" i="19" s="1"/>
  <c r="AD265" i="17"/>
  <c r="F245" i="19"/>
  <c r="E68" i="17"/>
  <c r="B135" i="17"/>
  <c r="B69" i="19"/>
  <c r="AC25" i="17"/>
  <c r="AC28" i="17" s="1"/>
  <c r="AC26" i="17" s="1"/>
  <c r="AC15" i="2"/>
  <c r="E53" i="17"/>
  <c r="D260" i="17"/>
  <c r="W82" i="16"/>
  <c r="B264" i="16"/>
  <c r="B207" i="16"/>
  <c r="Q178" i="17"/>
  <c r="Z153" i="19"/>
  <c r="AB153" i="19" s="1"/>
  <c r="G207" i="16"/>
  <c r="G304" i="16"/>
  <c r="X178" i="16"/>
  <c r="AD207" i="16"/>
  <c r="AD304" i="16"/>
  <c r="B208" i="17"/>
  <c r="T207" i="16"/>
  <c r="T304" i="16"/>
  <c r="B282" i="16"/>
  <c r="F135" i="17"/>
  <c r="R305" i="15"/>
  <c r="AE152" i="16"/>
  <c r="E148" i="17"/>
  <c r="W177" i="15"/>
  <c r="AA14" i="16"/>
  <c r="AA15" i="16" s="1"/>
  <c r="AA46" i="16" s="1"/>
  <c r="AB6" i="16"/>
  <c r="W210" i="15"/>
  <c r="W307" i="15"/>
  <c r="AE33" i="15"/>
  <c r="AE72" i="15"/>
  <c r="AE273" i="16"/>
  <c r="AE209" i="16" s="1"/>
  <c r="AE281" i="16"/>
  <c r="AE278" i="16"/>
  <c r="AE275" i="16"/>
  <c r="AE272" i="16"/>
  <c r="AE271" i="16"/>
  <c r="AE274" i="16"/>
  <c r="AE277" i="16"/>
  <c r="AE280" i="16"/>
  <c r="AE276" i="16"/>
  <c r="AE279" i="16"/>
  <c r="AE282" i="16"/>
  <c r="E148" i="20"/>
  <c r="N27" i="20"/>
  <c r="E151" i="20"/>
  <c r="E145" i="20"/>
  <c r="E161" i="20" s="1"/>
  <c r="E154" i="20"/>
  <c r="E144" i="20"/>
  <c r="E160" i="20" s="1"/>
  <c r="E143" i="20"/>
  <c r="E159" i="20" s="1"/>
  <c r="B148" i="15"/>
  <c r="B150" i="15"/>
  <c r="B153" i="15"/>
  <c r="U27" i="15"/>
  <c r="B155" i="15"/>
  <c r="B149" i="15"/>
  <c r="AE150" i="14"/>
  <c r="AD150" i="14"/>
  <c r="Z178" i="14"/>
  <c r="Z162" i="14"/>
  <c r="Z161" i="14"/>
  <c r="W80" i="15"/>
  <c r="AD57" i="15"/>
  <c r="AD101" i="14"/>
  <c r="AD117" i="14" s="1"/>
  <c r="AD244" i="14" s="1"/>
  <c r="AD212" i="14"/>
  <c r="AF85" i="14"/>
  <c r="AG85" i="14"/>
  <c r="AG101" i="14" s="1"/>
  <c r="AG117" i="14" s="1"/>
  <c r="B271" i="14"/>
  <c r="AH52" i="14"/>
  <c r="C306" i="14"/>
  <c r="B275" i="13"/>
  <c r="AE132" i="15"/>
  <c r="J86" i="12"/>
  <c r="J102" i="12" s="1"/>
  <c r="J118" i="12" s="1"/>
  <c r="J228" i="12"/>
  <c r="J244" i="12" s="1"/>
  <c r="AE258" i="13"/>
  <c r="C280" i="12"/>
  <c r="Y111" i="11"/>
  <c r="Y254" i="11" s="1"/>
  <c r="Y107" i="11"/>
  <c r="Y23" i="11" s="1"/>
  <c r="Y25" i="11" s="1"/>
  <c r="Y28" i="11" s="1"/>
  <c r="Y26" i="11" s="1"/>
  <c r="Y172" i="11" s="1"/>
  <c r="Y159" i="11"/>
  <c r="AD303" i="12"/>
  <c r="AD304" i="12" s="1"/>
  <c r="AD305" i="12" s="1"/>
  <c r="AD306" i="12" s="1"/>
  <c r="AD307" i="12" s="1"/>
  <c r="AD308" i="12"/>
  <c r="AD309" i="12" s="1"/>
  <c r="AD310" i="12" s="1"/>
  <c r="AD311" i="12" s="1"/>
  <c r="AD312" i="12" s="1"/>
  <c r="AD313" i="12" s="1"/>
  <c r="C139" i="13"/>
  <c r="O24" i="10"/>
  <c r="O5" i="2" s="1"/>
  <c r="C280" i="10"/>
  <c r="D281" i="10"/>
  <c r="C265" i="10"/>
  <c r="D279" i="10"/>
  <c r="D133" i="10"/>
  <c r="C129" i="10"/>
  <c r="D276" i="10"/>
  <c r="D130" i="10"/>
  <c r="D280" i="10"/>
  <c r="D128" i="10"/>
  <c r="C276" i="10"/>
  <c r="D258" i="10"/>
  <c r="C131" i="10"/>
  <c r="D282" i="10"/>
  <c r="C257" i="10"/>
  <c r="D275" i="10"/>
  <c r="C136" i="10"/>
  <c r="D137" i="10"/>
  <c r="C281" i="10"/>
  <c r="D262" i="10"/>
  <c r="C261" i="10"/>
  <c r="C263" i="10"/>
  <c r="D263" i="10"/>
  <c r="D256" i="10"/>
  <c r="D134" i="10"/>
  <c r="D138" i="10"/>
  <c r="D260" i="10"/>
  <c r="D273" i="10"/>
  <c r="D135" i="10"/>
  <c r="D277" i="10"/>
  <c r="D261" i="10"/>
  <c r="D255" i="10"/>
  <c r="C275" i="10"/>
  <c r="C130" i="10"/>
  <c r="C259" i="10"/>
  <c r="C279" i="10"/>
  <c r="C264" i="10"/>
  <c r="C135" i="10"/>
  <c r="C282" i="10"/>
  <c r="C262" i="10"/>
  <c r="D259" i="10"/>
  <c r="D131" i="10"/>
  <c r="C272" i="10"/>
  <c r="C273" i="10"/>
  <c r="C256" i="10"/>
  <c r="AF223" i="11"/>
  <c r="AF320" i="11"/>
  <c r="Z111" i="11"/>
  <c r="Z159" i="11"/>
  <c r="R15" i="14"/>
  <c r="R26" i="1"/>
  <c r="R42" i="1" s="1"/>
  <c r="N177" i="11"/>
  <c r="N161" i="11" s="1"/>
  <c r="T24" i="10"/>
  <c r="B258" i="10"/>
  <c r="B133" i="10"/>
  <c r="B279" i="10"/>
  <c r="B272" i="10"/>
  <c r="B128" i="10"/>
  <c r="B255" i="10"/>
  <c r="B271" i="10"/>
  <c r="B274" i="10"/>
  <c r="B136" i="10"/>
  <c r="B278" i="10"/>
  <c r="B265" i="10"/>
  <c r="B256" i="10"/>
  <c r="B131" i="10"/>
  <c r="B262" i="10"/>
  <c r="B132" i="10"/>
  <c r="B282" i="10"/>
  <c r="B281" i="10"/>
  <c r="B129" i="10"/>
  <c r="B134" i="10"/>
  <c r="B138" i="10"/>
  <c r="B280" i="10"/>
  <c r="B257" i="10"/>
  <c r="B277" i="10"/>
  <c r="B261" i="10"/>
  <c r="B139" i="10"/>
  <c r="B266" i="10"/>
  <c r="B137" i="10"/>
  <c r="B275" i="10"/>
  <c r="B130" i="10"/>
  <c r="B259" i="10"/>
  <c r="B264" i="10"/>
  <c r="AJ58" i="10"/>
  <c r="AI58" i="10"/>
  <c r="AE246" i="14"/>
  <c r="AE214" i="14"/>
  <c r="L46" i="14"/>
  <c r="X27" i="13"/>
  <c r="AD150" i="13"/>
  <c r="AD151" i="13"/>
  <c r="AD153" i="13"/>
  <c r="AD154" i="13"/>
  <c r="S18" i="14"/>
  <c r="S15" i="14"/>
  <c r="AF4" i="13"/>
  <c r="AE14" i="13" s="1"/>
  <c r="X40" i="12"/>
  <c r="AD281" i="12"/>
  <c r="Q107" i="14"/>
  <c r="Q123" i="14" s="1"/>
  <c r="Q250" i="14" s="1"/>
  <c r="Q218" i="14"/>
  <c r="P91" i="14"/>
  <c r="AA177" i="11"/>
  <c r="F314" i="11"/>
  <c r="F39" i="11"/>
  <c r="CI45" i="6"/>
  <c r="EO44" i="6"/>
  <c r="AM180" i="10"/>
  <c r="Z306" i="12"/>
  <c r="Z209" i="12"/>
  <c r="D73" i="13"/>
  <c r="P267" i="5"/>
  <c r="D325" i="5"/>
  <c r="AE138" i="13"/>
  <c r="O178" i="13"/>
  <c r="P81" i="12"/>
  <c r="P97" i="12" s="1"/>
  <c r="X26" i="1"/>
  <c r="B131" i="12"/>
  <c r="Y160" i="11"/>
  <c r="X177" i="11"/>
  <c r="R163" i="10"/>
  <c r="S283" i="5"/>
  <c r="K341" i="5"/>
  <c r="S341" i="5" s="1"/>
  <c r="AH129" i="14"/>
  <c r="AG129" i="14"/>
  <c r="AE241" i="14"/>
  <c r="AE209" i="14"/>
  <c r="R210" i="14"/>
  <c r="R99" i="14"/>
  <c r="R115" i="14" s="1"/>
  <c r="R242" i="14" s="1"/>
  <c r="G304" i="14"/>
  <c r="F305" i="13"/>
  <c r="Z179" i="13"/>
  <c r="K40" i="13"/>
  <c r="K25" i="3" s="1"/>
  <c r="K39" i="3" s="1"/>
  <c r="B277" i="13"/>
  <c r="B271" i="13"/>
  <c r="B207" i="13" s="1"/>
  <c r="B273" i="13"/>
  <c r="AH80" i="14"/>
  <c r="AE133" i="13"/>
  <c r="AE130" i="13"/>
  <c r="P208" i="12"/>
  <c r="X178" i="12"/>
  <c r="AA10" i="14"/>
  <c r="AF53" i="14"/>
  <c r="W223" i="12"/>
  <c r="W81" i="12"/>
  <c r="G82" i="12"/>
  <c r="G98" i="12" s="1"/>
  <c r="G114" i="12" s="1"/>
  <c r="S178" i="12"/>
  <c r="M16" i="2"/>
  <c r="M27" i="2" s="1"/>
  <c r="N107" i="11"/>
  <c r="N23" i="11" s="1"/>
  <c r="N111" i="11"/>
  <c r="N254" i="11" s="1"/>
  <c r="G179" i="10"/>
  <c r="G163" i="10" s="1"/>
  <c r="L26" i="11"/>
  <c r="F111" i="11"/>
  <c r="F254" i="11" s="1"/>
  <c r="F107" i="11"/>
  <c r="F23" i="11" s="1"/>
  <c r="F25" i="11" s="1"/>
  <c r="F28" i="11" s="1"/>
  <c r="F26" i="11" s="1"/>
  <c r="Y176" i="11"/>
  <c r="E345" i="5"/>
  <c r="Q258" i="5"/>
  <c r="Q253" i="5"/>
  <c r="E340" i="5"/>
  <c r="O161" i="16"/>
  <c r="K208" i="15"/>
  <c r="N208" i="15"/>
  <c r="Q80" i="16"/>
  <c r="AC177" i="15"/>
  <c r="O225" i="16"/>
  <c r="O82" i="16"/>
  <c r="J207" i="15"/>
  <c r="Y178" i="15"/>
  <c r="X27" i="16"/>
  <c r="AD149" i="16"/>
  <c r="AD154" i="16"/>
  <c r="P96" i="16"/>
  <c r="B48" i="15"/>
  <c r="B57" i="15"/>
  <c r="K10" i="15"/>
  <c r="K11" i="15" s="1"/>
  <c r="K16" i="15" s="1"/>
  <c r="B58" i="15"/>
  <c r="Y81" i="15"/>
  <c r="R16" i="2"/>
  <c r="R27" i="2" s="1"/>
  <c r="B177" i="14"/>
  <c r="Q207" i="13"/>
  <c r="Q304" i="13"/>
  <c r="V177" i="14"/>
  <c r="U161" i="14"/>
  <c r="U177" i="14"/>
  <c r="AA288" i="14"/>
  <c r="R30" i="2"/>
  <c r="Q19" i="2"/>
  <c r="Q30" i="2" s="1"/>
  <c r="R80" i="15"/>
  <c r="AE243" i="14"/>
  <c r="AE211" i="14"/>
  <c r="I178" i="13"/>
  <c r="M34" i="13"/>
  <c r="M19" i="3" s="1"/>
  <c r="D259" i="13"/>
  <c r="D255" i="13"/>
  <c r="D264" i="13"/>
  <c r="D262" i="13"/>
  <c r="C264" i="13"/>
  <c r="C256" i="13"/>
  <c r="L34" i="13"/>
  <c r="L19" i="3" s="1"/>
  <c r="L33" i="3" s="1"/>
  <c r="C258" i="13"/>
  <c r="C266" i="13"/>
  <c r="C261" i="13"/>
  <c r="S305" i="14"/>
  <c r="S289" i="14"/>
  <c r="AD180" i="15"/>
  <c r="Y177" i="13"/>
  <c r="AE136" i="13"/>
  <c r="F282" i="13"/>
  <c r="K207" i="12"/>
  <c r="K304" i="12"/>
  <c r="B272" i="13"/>
  <c r="U178" i="12"/>
  <c r="H208" i="12"/>
  <c r="H305" i="12"/>
  <c r="AG320" i="11"/>
  <c r="I178" i="12"/>
  <c r="B257" i="12"/>
  <c r="K34" i="12"/>
  <c r="K5" i="3" s="1"/>
  <c r="B261" i="12"/>
  <c r="B265" i="12"/>
  <c r="B255" i="12"/>
  <c r="B259" i="12"/>
  <c r="Y208" i="13"/>
  <c r="B255" i="13"/>
  <c r="D14" i="12"/>
  <c r="D11" i="1" s="1"/>
  <c r="D43" i="1" s="1"/>
  <c r="E6" i="12"/>
  <c r="V25" i="3"/>
  <c r="AA178" i="14"/>
  <c r="AA162" i="14" s="1"/>
  <c r="P92" i="11"/>
  <c r="T224" i="13"/>
  <c r="T81" i="13"/>
  <c r="T97" i="13" s="1"/>
  <c r="T113" i="11"/>
  <c r="T107" i="11"/>
  <c r="T23" i="11" s="1"/>
  <c r="T25" i="11" s="1"/>
  <c r="T28" i="11" s="1"/>
  <c r="T26" i="11" s="1"/>
  <c r="R179" i="10"/>
  <c r="AI73" i="10"/>
  <c r="AK73" i="10" s="1"/>
  <c r="AJ73" i="10"/>
  <c r="AL73" i="10" s="1"/>
  <c r="AM73" i="10"/>
  <c r="K337" i="5"/>
  <c r="S250" i="5"/>
  <c r="DZ41" i="6"/>
  <c r="AA160" i="14"/>
  <c r="AA108" i="14"/>
  <c r="AA112" i="14"/>
  <c r="AA239" i="14" s="1"/>
  <c r="C259" i="13"/>
  <c r="F150" i="13"/>
  <c r="B305" i="12"/>
  <c r="B208" i="12"/>
  <c r="E304" i="13"/>
  <c r="AE128" i="13"/>
  <c r="F70" i="13"/>
  <c r="F278" i="13"/>
  <c r="AC27" i="12"/>
  <c r="CI44" i="7"/>
  <c r="B280" i="13"/>
  <c r="AD275" i="12"/>
  <c r="J162" i="12"/>
  <c r="J178" i="12"/>
  <c r="E115" i="11"/>
  <c r="E258" i="11" s="1"/>
  <c r="E107" i="11"/>
  <c r="E23" i="11" s="1"/>
  <c r="E25" i="11" s="1"/>
  <c r="E28" i="11" s="1"/>
  <c r="E26" i="11" s="1"/>
  <c r="I84" i="12"/>
  <c r="I100" i="12" s="1"/>
  <c r="I116" i="12" s="1"/>
  <c r="I226" i="12"/>
  <c r="I242" i="12" s="1"/>
  <c r="D259" i="12"/>
  <c r="M13" i="13"/>
  <c r="D65" i="13"/>
  <c r="D74" i="13"/>
  <c r="D69" i="13"/>
  <c r="D75" i="13"/>
  <c r="C69" i="13"/>
  <c r="C68" i="13"/>
  <c r="D64" i="13"/>
  <c r="B65" i="13"/>
  <c r="G146" i="11"/>
  <c r="P27" i="11"/>
  <c r="P8" i="2" s="1"/>
  <c r="P30" i="2" s="1"/>
  <c r="G148" i="11"/>
  <c r="G154" i="11"/>
  <c r="G150" i="11"/>
  <c r="G153" i="11"/>
  <c r="G144" i="11"/>
  <c r="G160" i="11" s="1"/>
  <c r="G152" i="11"/>
  <c r="G143" i="11"/>
  <c r="G159" i="11" s="1"/>
  <c r="G145" i="11"/>
  <c r="G161" i="11" s="1"/>
  <c r="G147" i="11"/>
  <c r="E147" i="11"/>
  <c r="F151" i="11"/>
  <c r="Y259" i="11"/>
  <c r="Z13" i="11"/>
  <c r="Z10" i="1" s="1"/>
  <c r="AF71" i="11"/>
  <c r="AF72" i="11"/>
  <c r="AF70" i="11"/>
  <c r="U6" i="12"/>
  <c r="U4" i="12"/>
  <c r="T14" i="12" s="1"/>
  <c r="T11" i="1" s="1"/>
  <c r="T43" i="1" s="1"/>
  <c r="U3" i="1"/>
  <c r="AE5" i="12"/>
  <c r="U7" i="12"/>
  <c r="AF5" i="12"/>
  <c r="AK178" i="10"/>
  <c r="H35" i="10"/>
  <c r="H41" i="10" s="1"/>
  <c r="H36" i="10" s="1"/>
  <c r="AE144" i="17"/>
  <c r="AE155" i="17" s="1"/>
  <c r="Y27" i="17"/>
  <c r="AE149" i="17"/>
  <c r="AE153" i="17"/>
  <c r="J80" i="16"/>
  <c r="V12" i="19"/>
  <c r="AB82" i="19"/>
  <c r="J180" i="16"/>
  <c r="Y24" i="15"/>
  <c r="AE133" i="15"/>
  <c r="AE129" i="15"/>
  <c r="H179" i="15"/>
  <c r="H163" i="15"/>
  <c r="E227" i="15"/>
  <c r="E84" i="15"/>
  <c r="S42" i="1"/>
  <c r="AC219" i="14"/>
  <c r="AC287" i="14"/>
  <c r="C260" i="13"/>
  <c r="U16" i="2"/>
  <c r="M208" i="13"/>
  <c r="AE215" i="14"/>
  <c r="AE247" i="14"/>
  <c r="AE132" i="13"/>
  <c r="Y27" i="13"/>
  <c r="AE145" i="13"/>
  <c r="I207" i="13"/>
  <c r="D261" i="12"/>
  <c r="AE57" i="15"/>
  <c r="AE59" i="15" s="1"/>
  <c r="B281" i="13"/>
  <c r="AB26" i="1"/>
  <c r="AB42" i="1" s="1"/>
  <c r="AG177" i="11"/>
  <c r="P112" i="11"/>
  <c r="P255" i="11" s="1"/>
  <c r="P160" i="11"/>
  <c r="P107" i="11"/>
  <c r="P23" i="11" s="1"/>
  <c r="P25" i="11" s="1"/>
  <c r="P28" i="11" s="1"/>
  <c r="Z208" i="13"/>
  <c r="Z305" i="13"/>
  <c r="AD177" i="12"/>
  <c r="AD321" i="11"/>
  <c r="Y305" i="13"/>
  <c r="U207" i="12"/>
  <c r="U304" i="12"/>
  <c r="O13" i="13"/>
  <c r="F66" i="13"/>
  <c r="F69" i="13"/>
  <c r="F64" i="13"/>
  <c r="F68" i="13"/>
  <c r="F67" i="13"/>
  <c r="F75" i="13"/>
  <c r="F72" i="13"/>
  <c r="E66" i="13"/>
  <c r="F74" i="13"/>
  <c r="D67" i="13"/>
  <c r="AB178" i="14"/>
  <c r="AB162" i="14" s="1"/>
  <c r="AF50" i="14"/>
  <c r="T16" i="2"/>
  <c r="E209" i="12"/>
  <c r="E306" i="12"/>
  <c r="AD27" i="11"/>
  <c r="AD26" i="11" s="1"/>
  <c r="AD172" i="11" s="1"/>
  <c r="BG44" i="7"/>
  <c r="AG148" i="11"/>
  <c r="AG146" i="11"/>
  <c r="AF149" i="11"/>
  <c r="AG145" i="11"/>
  <c r="D72" i="13"/>
  <c r="R39" i="11"/>
  <c r="R314" i="11"/>
  <c r="D10" i="1"/>
  <c r="D42" i="1" s="1"/>
  <c r="D15" i="11"/>
  <c r="AI149" i="10"/>
  <c r="AK149" i="10" s="1"/>
  <c r="AJ149" i="10"/>
  <c r="AE217" i="14"/>
  <c r="AE249" i="14"/>
  <c r="T161" i="14"/>
  <c r="L40" i="13"/>
  <c r="L25" i="3" s="1"/>
  <c r="C280" i="13"/>
  <c r="C271" i="13"/>
  <c r="C279" i="13"/>
  <c r="Q83" i="14"/>
  <c r="AB80" i="13"/>
  <c r="B178" i="12"/>
  <c r="C272" i="13"/>
  <c r="C208" i="13" s="1"/>
  <c r="B274" i="13"/>
  <c r="AE150" i="12"/>
  <c r="Y27" i="12"/>
  <c r="Y8" i="2" s="1"/>
  <c r="AE148" i="12"/>
  <c r="AE155" i="12" s="1"/>
  <c r="AE152" i="12"/>
  <c r="AE154" i="12"/>
  <c r="AD153" i="12"/>
  <c r="AE146" i="12"/>
  <c r="AA208" i="13"/>
  <c r="B138" i="12"/>
  <c r="AH128" i="14"/>
  <c r="AG128" i="14"/>
  <c r="V314" i="11"/>
  <c r="V39" i="11"/>
  <c r="C259" i="11"/>
  <c r="Z326" i="11"/>
  <c r="AC40" i="11"/>
  <c r="AG291" i="11"/>
  <c r="AG296" i="11"/>
  <c r="AG294" i="11"/>
  <c r="AG287" i="11"/>
  <c r="AG223" i="11" s="1"/>
  <c r="AF293" i="11"/>
  <c r="B176" i="11"/>
  <c r="U314" i="11"/>
  <c r="U39" i="11"/>
  <c r="EP28" i="6"/>
  <c r="ET28" i="6" s="1"/>
  <c r="CJ41" i="6"/>
  <c r="CJ45" i="6" s="1"/>
  <c r="K179" i="12"/>
  <c r="AE145" i="12"/>
  <c r="J162" i="10"/>
  <c r="J178" i="10"/>
  <c r="J161" i="10"/>
  <c r="AB179" i="10"/>
  <c r="AB163" i="10"/>
  <c r="J92" i="11"/>
  <c r="AD150" i="12"/>
  <c r="AC241" i="11"/>
  <c r="AC115" i="11"/>
  <c r="AC258" i="11" s="1"/>
  <c r="S83" i="13"/>
  <c r="S99" i="13" s="1"/>
  <c r="S115" i="13" s="1"/>
  <c r="T92" i="11"/>
  <c r="BW41" i="7"/>
  <c r="C304" i="15"/>
  <c r="C207" i="15"/>
  <c r="G224" i="15"/>
  <c r="G81" i="15"/>
  <c r="G97" i="15" s="1"/>
  <c r="G113" i="15" s="1"/>
  <c r="D304" i="14"/>
  <c r="F212" i="15"/>
  <c r="F309" i="15"/>
  <c r="E81" i="15"/>
  <c r="E97" i="15" s="1"/>
  <c r="E113" i="15" s="1"/>
  <c r="E224" i="15"/>
  <c r="E240" i="15" s="1"/>
  <c r="AE145" i="15"/>
  <c r="B53" i="15"/>
  <c r="B148" i="14"/>
  <c r="U113" i="14"/>
  <c r="U240" i="14" s="1"/>
  <c r="U108" i="14"/>
  <c r="U23" i="14" s="1"/>
  <c r="P11" i="14"/>
  <c r="P16" i="14" s="1"/>
  <c r="P15" i="14" s="1"/>
  <c r="P23" i="1"/>
  <c r="M180" i="13"/>
  <c r="T102" i="14"/>
  <c r="T118" i="14" s="1"/>
  <c r="T245" i="14" s="1"/>
  <c r="T213" i="14"/>
  <c r="R86" i="14"/>
  <c r="P19" i="3"/>
  <c r="P33" i="3" s="1"/>
  <c r="AE73" i="13"/>
  <c r="Y13" i="13"/>
  <c r="AE68" i="13"/>
  <c r="AE65" i="13"/>
  <c r="AE74" i="13"/>
  <c r="AE64" i="13"/>
  <c r="AE69" i="13"/>
  <c r="X10" i="13"/>
  <c r="X11" i="13" s="1"/>
  <c r="X16" i="13" s="1"/>
  <c r="AD56" i="13"/>
  <c r="AD55" i="13"/>
  <c r="AD54" i="13"/>
  <c r="S117" i="14"/>
  <c r="S244" i="14" s="1"/>
  <c r="S108" i="14"/>
  <c r="S23" i="14" s="1"/>
  <c r="G177" i="12"/>
  <c r="AE147" i="12"/>
  <c r="AA209" i="15"/>
  <c r="AD106" i="14"/>
  <c r="AD122" i="14" s="1"/>
  <c r="AD249" i="14" s="1"/>
  <c r="AD217" i="14"/>
  <c r="AC80" i="13"/>
  <c r="C281" i="13"/>
  <c r="B276" i="13"/>
  <c r="Z13" i="14"/>
  <c r="Z26" i="1" s="1"/>
  <c r="Z42" i="1" s="1"/>
  <c r="AF69" i="14"/>
  <c r="AF65" i="14"/>
  <c r="AE71" i="14"/>
  <c r="AE73" i="14"/>
  <c r="AD73" i="14"/>
  <c r="AE69" i="14"/>
  <c r="R104" i="14"/>
  <c r="R120" i="14" s="1"/>
  <c r="R247" i="14" s="1"/>
  <c r="R215" i="14"/>
  <c r="Q88" i="14"/>
  <c r="Z80" i="13"/>
  <c r="D163" i="11"/>
  <c r="S39" i="11"/>
  <c r="S314" i="11"/>
  <c r="T177" i="12"/>
  <c r="D52" i="11"/>
  <c r="D58" i="11"/>
  <c r="D54" i="11"/>
  <c r="M10" i="11"/>
  <c r="D50" i="11"/>
  <c r="D53" i="11"/>
  <c r="D56" i="11"/>
  <c r="D49" i="11"/>
  <c r="D48" i="11"/>
  <c r="D57" i="11"/>
  <c r="T180" i="13"/>
  <c r="AG137" i="10"/>
  <c r="AA24" i="10"/>
  <c r="AA5" i="2" s="1"/>
  <c r="AG138" i="10"/>
  <c r="AG134" i="10"/>
  <c r="AG132" i="10"/>
  <c r="AG135" i="10"/>
  <c r="AG136" i="10"/>
  <c r="AG133" i="10"/>
  <c r="G92" i="11"/>
  <c r="G15" i="11"/>
  <c r="AF214" i="10"/>
  <c r="AF230" i="10" s="1"/>
  <c r="AF246" i="10" s="1"/>
  <c r="AF103" i="10"/>
  <c r="AJ56" i="10"/>
  <c r="AI56" i="10"/>
  <c r="AM56" i="10" s="1"/>
  <c r="AK56" i="10"/>
  <c r="AL56" i="10"/>
  <c r="AH151" i="10"/>
  <c r="AB27" i="10"/>
  <c r="AH144" i="10"/>
  <c r="AH146" i="10"/>
  <c r="AH154" i="10"/>
  <c r="AH147" i="10"/>
  <c r="AH149" i="10"/>
  <c r="AH150" i="10"/>
  <c r="AH145" i="10"/>
  <c r="AH152" i="10"/>
  <c r="AH153" i="10"/>
  <c r="W10" i="1"/>
  <c r="W42" i="1" s="1"/>
  <c r="O13" i="17"/>
  <c r="F74" i="17"/>
  <c r="F68" i="17"/>
  <c r="X224" i="16"/>
  <c r="X81" i="16"/>
  <c r="Y27" i="15"/>
  <c r="AE144" i="15"/>
  <c r="AE146" i="15"/>
  <c r="AE154" i="15"/>
  <c r="E82" i="15"/>
  <c r="E98" i="15" s="1"/>
  <c r="E114" i="15" s="1"/>
  <c r="AE149" i="15"/>
  <c r="B56" i="15"/>
  <c r="P210" i="13"/>
  <c r="P307" i="13"/>
  <c r="V27" i="14"/>
  <c r="V19" i="2" s="1"/>
  <c r="B147" i="14"/>
  <c r="B152" i="14"/>
  <c r="H304" i="14"/>
  <c r="V160" i="14"/>
  <c r="K80" i="13"/>
  <c r="F65" i="13"/>
  <c r="F275" i="13"/>
  <c r="O40" i="13"/>
  <c r="O25" i="3" s="1"/>
  <c r="O39" i="3" s="1"/>
  <c r="F276" i="13"/>
  <c r="T208" i="14"/>
  <c r="T288" i="14" s="1"/>
  <c r="T97" i="14"/>
  <c r="T113" i="14" s="1"/>
  <c r="T240" i="14" s="1"/>
  <c r="R81" i="14"/>
  <c r="AG90" i="14"/>
  <c r="AG106" i="14" s="1"/>
  <c r="AG122" i="14" s="1"/>
  <c r="T18" i="14"/>
  <c r="T15" i="14"/>
  <c r="AE153" i="12"/>
  <c r="AA306" i="15"/>
  <c r="O210" i="12"/>
  <c r="T24" i="12"/>
  <c r="B128" i="12"/>
  <c r="B136" i="12"/>
  <c r="B129" i="12"/>
  <c r="B139" i="12"/>
  <c r="B133" i="12"/>
  <c r="B135" i="12"/>
  <c r="B134" i="12"/>
  <c r="B137" i="12"/>
  <c r="B132" i="12"/>
  <c r="AD151" i="16"/>
  <c r="C274" i="13"/>
  <c r="B279" i="13"/>
  <c r="H207" i="12"/>
  <c r="AA80" i="13"/>
  <c r="D66" i="13"/>
  <c r="D68" i="13"/>
  <c r="P180" i="12"/>
  <c r="E144" i="11"/>
  <c r="E160" i="11" s="1"/>
  <c r="L92" i="11"/>
  <c r="AC161" i="10"/>
  <c r="F163" i="10"/>
  <c r="F179" i="10"/>
  <c r="Z314" i="11"/>
  <c r="Z315" i="11"/>
  <c r="Z39" i="11"/>
  <c r="AC14" i="11"/>
  <c r="BW4" i="11"/>
  <c r="AD6" i="11"/>
  <c r="S5" i="2"/>
  <c r="S25" i="10"/>
  <c r="S28" i="10" s="1"/>
  <c r="S26" i="10" s="1"/>
  <c r="O25" i="10"/>
  <c r="O28" i="10" s="1"/>
  <c r="O26" i="10" s="1"/>
  <c r="AF152" i="11"/>
  <c r="S340" i="5"/>
  <c r="B50" i="15"/>
  <c r="K304" i="13"/>
  <c r="L305" i="14"/>
  <c r="Q16" i="2"/>
  <c r="V208" i="12"/>
  <c r="V305" i="12"/>
  <c r="Q23" i="1"/>
  <c r="T211" i="14"/>
  <c r="T100" i="14"/>
  <c r="T116" i="14" s="1"/>
  <c r="T243" i="14" s="1"/>
  <c r="AB179" i="13"/>
  <c r="P177" i="14"/>
  <c r="Y10" i="13"/>
  <c r="Y11" i="13" s="1"/>
  <c r="Y16" i="13" s="1"/>
  <c r="AE52" i="13"/>
  <c r="AE49" i="13"/>
  <c r="AE50" i="13"/>
  <c r="AE55" i="13"/>
  <c r="AE54" i="13"/>
  <c r="AE57" i="13"/>
  <c r="AE56" i="13"/>
  <c r="U179" i="13"/>
  <c r="Y24" i="13"/>
  <c r="AE137" i="13"/>
  <c r="AE134" i="13"/>
  <c r="AE131" i="13"/>
  <c r="AE129" i="13"/>
  <c r="T305" i="14"/>
  <c r="T289" i="14" s="1"/>
  <c r="O178" i="14"/>
  <c r="B155" i="14"/>
  <c r="AD148" i="12"/>
  <c r="E74" i="13"/>
  <c r="O224" i="12"/>
  <c r="O82" i="12"/>
  <c r="O98" i="12" s="1"/>
  <c r="AD58" i="13"/>
  <c r="M305" i="12"/>
  <c r="C278" i="13"/>
  <c r="B282" i="13"/>
  <c r="AE148" i="13"/>
  <c r="S219" i="14"/>
  <c r="S33" i="14" s="1"/>
  <c r="S35" i="14" s="1"/>
  <c r="S41" i="14" s="1"/>
  <c r="AD133" i="12"/>
  <c r="AB6" i="11"/>
  <c r="AB3" i="1"/>
  <c r="AB35" i="1" s="1"/>
  <c r="O107" i="11"/>
  <c r="O23" i="11" s="1"/>
  <c r="O25" i="11" s="1"/>
  <c r="O28" i="11" s="1"/>
  <c r="O26" i="11" s="1"/>
  <c r="O111" i="11"/>
  <c r="O254" i="11" s="1"/>
  <c r="E35" i="10"/>
  <c r="E41" i="10" s="1"/>
  <c r="E36" i="10" s="1"/>
  <c r="F162" i="10"/>
  <c r="F161" i="10"/>
  <c r="W314" i="11"/>
  <c r="W39" i="11"/>
  <c r="Q35" i="10"/>
  <c r="Q41" i="10" s="1"/>
  <c r="Q36" i="10" s="1"/>
  <c r="K264" i="11"/>
  <c r="H92" i="11"/>
  <c r="H15" i="11"/>
  <c r="AD39" i="10"/>
  <c r="AD299" i="10"/>
  <c r="AF153" i="11"/>
  <c r="U18" i="17"/>
  <c r="J304" i="15"/>
  <c r="L207" i="15"/>
  <c r="S18" i="17"/>
  <c r="B260" i="15"/>
  <c r="L34" i="15"/>
  <c r="B257" i="15"/>
  <c r="B266" i="15"/>
  <c r="B256" i="15"/>
  <c r="B208" i="15" s="1"/>
  <c r="AD305" i="15"/>
  <c r="Z15" i="16"/>
  <c r="Z46" i="16" s="1"/>
  <c r="E223" i="15"/>
  <c r="E80" i="15"/>
  <c r="AE153" i="15"/>
  <c r="B59" i="15"/>
  <c r="V287" i="14"/>
  <c r="V219" i="14"/>
  <c r="V33" i="14" s="1"/>
  <c r="V35" i="14" s="1"/>
  <c r="V41" i="14" s="1"/>
  <c r="Y80" i="15"/>
  <c r="Y161" i="14"/>
  <c r="Y177" i="14"/>
  <c r="R207" i="13"/>
  <c r="R304" i="13"/>
  <c r="AH135" i="14"/>
  <c r="E304" i="14"/>
  <c r="X24" i="14"/>
  <c r="AD138" i="14"/>
  <c r="O26" i="1"/>
  <c r="AC18" i="2"/>
  <c r="U160" i="14"/>
  <c r="T103" i="14"/>
  <c r="T119" i="14" s="1"/>
  <c r="T246" i="14" s="1"/>
  <c r="T214" i="14"/>
  <c r="B280" i="14"/>
  <c r="Z177" i="12"/>
  <c r="V19" i="3"/>
  <c r="AH84" i="14"/>
  <c r="M81" i="12"/>
  <c r="M97" i="12" s="1"/>
  <c r="C273" i="13"/>
  <c r="AA40" i="12"/>
  <c r="AE271" i="12"/>
  <c r="AE278" i="12"/>
  <c r="D256" i="13"/>
  <c r="D282" i="12"/>
  <c r="H178" i="12"/>
  <c r="AD177" i="11"/>
  <c r="N13" i="12"/>
  <c r="B73" i="12"/>
  <c r="C70" i="12"/>
  <c r="C72" i="12"/>
  <c r="C67" i="12"/>
  <c r="B71" i="12"/>
  <c r="B74" i="12"/>
  <c r="B75" i="12"/>
  <c r="C64" i="12"/>
  <c r="C65" i="12"/>
  <c r="B67" i="12"/>
  <c r="L24" i="12"/>
  <c r="C133" i="12"/>
  <c r="C130" i="12"/>
  <c r="C129" i="12"/>
  <c r="C139" i="12"/>
  <c r="C132" i="12"/>
  <c r="C134" i="12"/>
  <c r="C128" i="12"/>
  <c r="AB7" i="11"/>
  <c r="AB6" i="1"/>
  <c r="AB11" i="11"/>
  <c r="AB16" i="11" s="1"/>
  <c r="D143" i="11"/>
  <c r="D159" i="11" s="1"/>
  <c r="C107" i="11"/>
  <c r="C23" i="11" s="1"/>
  <c r="C25" i="11" s="1"/>
  <c r="C28" i="11" s="1"/>
  <c r="C26" i="11" s="1"/>
  <c r="L162" i="10"/>
  <c r="L179" i="10"/>
  <c r="AG151" i="11"/>
  <c r="AF151" i="11"/>
  <c r="AA10" i="11"/>
  <c r="AG55" i="11"/>
  <c r="AG49" i="11"/>
  <c r="AG54" i="11"/>
  <c r="AG47" i="11"/>
  <c r="AG58" i="11" s="1"/>
  <c r="AG57" i="11"/>
  <c r="AG53" i="11"/>
  <c r="AG52" i="11"/>
  <c r="AG50" i="11"/>
  <c r="AG56" i="11"/>
  <c r="AG51" i="11"/>
  <c r="AE148" i="15"/>
  <c r="I208" i="13"/>
  <c r="I305" i="13"/>
  <c r="E150" i="13"/>
  <c r="O211" i="12"/>
  <c r="O308" i="12"/>
  <c r="AE151" i="15"/>
  <c r="M82" i="12"/>
  <c r="M98" i="12" s="1"/>
  <c r="C276" i="13"/>
  <c r="D261" i="13"/>
  <c r="M181" i="12"/>
  <c r="AE320" i="11"/>
  <c r="AA321" i="11"/>
  <c r="H161" i="11"/>
  <c r="H177" i="11"/>
  <c r="AE257" i="13"/>
  <c r="AE263" i="13"/>
  <c r="Y34" i="13"/>
  <c r="Y19" i="3" s="1"/>
  <c r="AE255" i="13"/>
  <c r="AE260" i="13"/>
  <c r="AE261" i="13"/>
  <c r="R209" i="12"/>
  <c r="R306" i="12"/>
  <c r="J229" i="12"/>
  <c r="J245" i="12" s="1"/>
  <c r="J87" i="12"/>
  <c r="J103" i="12" s="1"/>
  <c r="J119" i="12" s="1"/>
  <c r="B239" i="11"/>
  <c r="B255" i="11" s="1"/>
  <c r="B81" i="11"/>
  <c r="O92" i="11"/>
  <c r="B135" i="10"/>
  <c r="AG48" i="11"/>
  <c r="N159" i="11"/>
  <c r="AI153" i="10"/>
  <c r="AK153" i="10" s="1"/>
  <c r="AJ153" i="10"/>
  <c r="U46" i="14"/>
  <c r="AL53" i="10"/>
  <c r="AJ53" i="10"/>
  <c r="O5" i="3"/>
  <c r="O35" i="10"/>
  <c r="O41" i="10" s="1"/>
  <c r="O36" i="10" s="1"/>
  <c r="AD162" i="10"/>
  <c r="AD178" i="10"/>
  <c r="AE281" i="12"/>
  <c r="BZ41" i="8"/>
  <c r="AD209" i="13"/>
  <c r="AD306" i="13"/>
  <c r="Y207" i="12"/>
  <c r="Y304" i="12"/>
  <c r="Z160" i="14"/>
  <c r="Z108" i="14"/>
  <c r="Z23" i="14" s="1"/>
  <c r="Z112" i="14"/>
  <c r="Z239" i="14" s="1"/>
  <c r="E180" i="12"/>
  <c r="L207" i="12"/>
  <c r="L304" i="12"/>
  <c r="C282" i="13"/>
  <c r="D258" i="13"/>
  <c r="B130" i="12"/>
  <c r="AE177" i="12"/>
  <c r="R176" i="11"/>
  <c r="R160" i="11" s="1"/>
  <c r="B244" i="11"/>
  <c r="B260" i="11" s="1"/>
  <c r="B86" i="11"/>
  <c r="B102" i="11" s="1"/>
  <c r="B118" i="11" s="1"/>
  <c r="AD70" i="13"/>
  <c r="Z10" i="11"/>
  <c r="Z11" i="11" s="1"/>
  <c r="Z16" i="11" s="1"/>
  <c r="AF57" i="11"/>
  <c r="AF56" i="11"/>
  <c r="AF54" i="11"/>
  <c r="AF58" i="11" s="1"/>
  <c r="AF55" i="11"/>
  <c r="E70" i="13"/>
  <c r="B273" i="10"/>
  <c r="V92" i="11"/>
  <c r="V15" i="11"/>
  <c r="V45" i="11" s="1"/>
  <c r="R179" i="13"/>
  <c r="S7" i="1"/>
  <c r="S11" i="11"/>
  <c r="S16" i="11" s="1"/>
  <c r="S15" i="11" s="1"/>
  <c r="S45" i="11" s="1"/>
  <c r="T177" i="15"/>
  <c r="O178" i="15"/>
  <c r="E83" i="15"/>
  <c r="E99" i="15" s="1"/>
  <c r="E115" i="15" s="1"/>
  <c r="AE147" i="15"/>
  <c r="M178" i="14"/>
  <c r="X287" i="14"/>
  <c r="X219" i="14"/>
  <c r="X33" i="14" s="1"/>
  <c r="X35" i="14" s="1"/>
  <c r="X41" i="14" s="1"/>
  <c r="F224" i="15"/>
  <c r="F81" i="15"/>
  <c r="F97" i="15" s="1"/>
  <c r="U306" i="14"/>
  <c r="U290" i="14" s="1"/>
  <c r="Y178" i="16"/>
  <c r="W161" i="14"/>
  <c r="W177" i="14"/>
  <c r="AH106" i="14"/>
  <c r="AH122" i="14" s="1"/>
  <c r="AH100" i="14"/>
  <c r="AH116" i="14" s="1"/>
  <c r="AH98" i="14"/>
  <c r="AH114" i="14" s="1"/>
  <c r="AH23" i="14"/>
  <c r="AH25" i="14" s="1"/>
  <c r="AH28" i="14" s="1"/>
  <c r="AH26" i="14" s="1"/>
  <c r="AE288" i="14"/>
  <c r="T30" i="2"/>
  <c r="AD20" i="3"/>
  <c r="AD26" i="3" s="1"/>
  <c r="AD32" i="3"/>
  <c r="B266" i="14"/>
  <c r="AE150" i="13"/>
  <c r="L26" i="1"/>
  <c r="L42" i="1" s="1"/>
  <c r="Y34" i="14"/>
  <c r="AE264" i="14"/>
  <c r="AE248" i="14"/>
  <c r="AE216" i="14"/>
  <c r="AE149" i="13"/>
  <c r="AE258" i="14"/>
  <c r="Y13" i="15"/>
  <c r="AE73" i="15"/>
  <c r="AE67" i="15"/>
  <c r="AE70" i="15"/>
  <c r="AH178" i="14"/>
  <c r="Z287" i="14"/>
  <c r="Z219" i="14"/>
  <c r="AE67" i="13"/>
  <c r="W178" i="13"/>
  <c r="O83" i="12"/>
  <c r="O99" i="12" s="1"/>
  <c r="O115" i="12" s="1"/>
  <c r="O225" i="12"/>
  <c r="D266" i="13"/>
  <c r="B263" i="12"/>
  <c r="AA24" i="12"/>
  <c r="AA25" i="12" s="1"/>
  <c r="AA28" i="12" s="1"/>
  <c r="AA26" i="12" s="1"/>
  <c r="AE137" i="12"/>
  <c r="AD137" i="12"/>
  <c r="AE132" i="12"/>
  <c r="AD138" i="12"/>
  <c r="AM298" i="11"/>
  <c r="T83" i="13"/>
  <c r="T99" i="13" s="1"/>
  <c r="T115" i="13" s="1"/>
  <c r="E68" i="13"/>
  <c r="AC15" i="12"/>
  <c r="AC46" i="12" s="1"/>
  <c r="AE91" i="14"/>
  <c r="Q314" i="11"/>
  <c r="Q39" i="11"/>
  <c r="B260" i="10"/>
  <c r="I162" i="10"/>
  <c r="I161" i="10"/>
  <c r="I178" i="10"/>
  <c r="AC40" i="10"/>
  <c r="AI274" i="10"/>
  <c r="AI272" i="10"/>
  <c r="AI273" i="10"/>
  <c r="C177" i="10"/>
  <c r="G25" i="10"/>
  <c r="G28" i="10" s="1"/>
  <c r="G26" i="10" s="1"/>
  <c r="P259" i="11"/>
  <c r="AD137" i="15"/>
  <c r="R177" i="14"/>
  <c r="B146" i="14"/>
  <c r="R103" i="14"/>
  <c r="R119" i="14" s="1"/>
  <c r="R246" i="14" s="1"/>
  <c r="R214" i="14"/>
  <c r="AG112" i="14"/>
  <c r="AD102" i="14"/>
  <c r="AD118" i="14" s="1"/>
  <c r="AD245" i="14" s="1"/>
  <c r="AH86" i="14"/>
  <c r="AH102" i="14" s="1"/>
  <c r="AH118" i="14" s="1"/>
  <c r="AG86" i="14"/>
  <c r="AG102" i="14" s="1"/>
  <c r="AG118" i="14" s="1"/>
  <c r="N23" i="1"/>
  <c r="N11" i="14"/>
  <c r="N16" i="14" s="1"/>
  <c r="N15" i="14" s="1"/>
  <c r="AF233" i="14"/>
  <c r="AF231" i="14"/>
  <c r="AF229" i="14"/>
  <c r="AF227" i="14"/>
  <c r="AF225" i="14"/>
  <c r="AF223" i="14"/>
  <c r="AF251" i="14"/>
  <c r="AF228" i="14"/>
  <c r="AF230" i="14"/>
  <c r="AF224" i="14"/>
  <c r="AF232" i="14"/>
  <c r="AF226" i="14"/>
  <c r="AF234" i="14"/>
  <c r="AF33" i="14"/>
  <c r="AF35" i="14" s="1"/>
  <c r="AF41" i="14" s="1"/>
  <c r="AF40" i="14" s="1"/>
  <c r="AF283" i="14" s="1"/>
  <c r="AA287" i="14"/>
  <c r="AA219" i="14"/>
  <c r="N178" i="13"/>
  <c r="L23" i="1"/>
  <c r="AD177" i="13"/>
  <c r="AD208" i="13"/>
  <c r="AF49" i="14"/>
  <c r="AD71" i="14"/>
  <c r="AD75" i="14" s="1"/>
  <c r="AN75" i="14" s="1"/>
  <c r="AB14" i="13"/>
  <c r="AC6" i="13"/>
  <c r="Q207" i="12"/>
  <c r="N208" i="12"/>
  <c r="D265" i="13"/>
  <c r="AE130" i="15"/>
  <c r="X13" i="13"/>
  <c r="AD74" i="13"/>
  <c r="AD71" i="13"/>
  <c r="B260" i="12"/>
  <c r="P178" i="13"/>
  <c r="P162" i="13"/>
  <c r="B151" i="14"/>
  <c r="AC26" i="12"/>
  <c r="D304" i="13"/>
  <c r="AB19" i="3"/>
  <c r="N160" i="11"/>
  <c r="E58" i="11"/>
  <c r="E52" i="11"/>
  <c r="N10" i="11"/>
  <c r="N11" i="11" s="1"/>
  <c r="N16" i="11" s="1"/>
  <c r="N15" i="11" s="1"/>
  <c r="N45" i="11" s="1"/>
  <c r="E49" i="11"/>
  <c r="E54" i="11"/>
  <c r="E47" i="11"/>
  <c r="E56" i="11"/>
  <c r="E53" i="11"/>
  <c r="E55" i="11"/>
  <c r="E57" i="11"/>
  <c r="E50" i="11"/>
  <c r="E48" i="11"/>
  <c r="B276" i="10"/>
  <c r="D279" i="12"/>
  <c r="H40" i="12"/>
  <c r="D281" i="12"/>
  <c r="D277" i="12"/>
  <c r="D213" i="12" s="1"/>
  <c r="D278" i="12"/>
  <c r="D280" i="12"/>
  <c r="AH277" i="10"/>
  <c r="AB40" i="10"/>
  <c r="AH272" i="10"/>
  <c r="AH281" i="10"/>
  <c r="AH276" i="10"/>
  <c r="AH271" i="10"/>
  <c r="AG276" i="10"/>
  <c r="AH275" i="10"/>
  <c r="AH279" i="10"/>
  <c r="AH274" i="10"/>
  <c r="AH280" i="10"/>
  <c r="AG277" i="10"/>
  <c r="AG281" i="10"/>
  <c r="AG279" i="10"/>
  <c r="AG278" i="10"/>
  <c r="AH278" i="10"/>
  <c r="AG280" i="10"/>
  <c r="D149" i="13"/>
  <c r="M27" i="13"/>
  <c r="D151" i="13"/>
  <c r="D146" i="13"/>
  <c r="D145" i="13"/>
  <c r="D144" i="13"/>
  <c r="B153" i="13"/>
  <c r="C155" i="13"/>
  <c r="C147" i="13"/>
  <c r="C153" i="13"/>
  <c r="B146" i="13"/>
  <c r="D152" i="13"/>
  <c r="C148" i="13"/>
  <c r="C146" i="13"/>
  <c r="B150" i="13"/>
  <c r="D154" i="13"/>
  <c r="S177" i="13"/>
  <c r="AC35" i="10"/>
  <c r="AC41" i="10" s="1"/>
  <c r="AC4" i="3"/>
  <c r="Z160" i="11"/>
  <c r="Z176" i="11"/>
  <c r="AJ128" i="10"/>
  <c r="D162" i="11"/>
  <c r="J179" i="13"/>
  <c r="X92" i="11"/>
  <c r="X15" i="11"/>
  <c r="X45" i="11" s="1"/>
  <c r="V112" i="11"/>
  <c r="V255" i="11" s="1"/>
  <c r="V107" i="11"/>
  <c r="V23" i="11" s="1"/>
  <c r="X27" i="12"/>
  <c r="X8" i="2" s="1"/>
  <c r="AD152" i="12"/>
  <c r="AD154" i="12"/>
  <c r="AD151" i="12"/>
  <c r="AD149" i="12"/>
  <c r="J13" i="10"/>
  <c r="J10" i="1" s="1"/>
  <c r="D67" i="10"/>
  <c r="D74" i="10"/>
  <c r="D71" i="10"/>
  <c r="D75" i="10"/>
  <c r="C68" i="10"/>
  <c r="C69" i="10"/>
  <c r="D68" i="10"/>
  <c r="E314" i="11"/>
  <c r="E39" i="11"/>
  <c r="AE315" i="11"/>
  <c r="AE314" i="11"/>
  <c r="AE39" i="11"/>
  <c r="AD111" i="11"/>
  <c r="AD159" i="11"/>
  <c r="W34" i="9"/>
  <c r="W35" i="9" s="1"/>
  <c r="W41" i="9" s="1"/>
  <c r="W36" i="9" s="1"/>
  <c r="AF294" i="9"/>
  <c r="O8" i="2"/>
  <c r="V10" i="1"/>
  <c r="V42" i="1" s="1"/>
  <c r="AH179" i="10"/>
  <c r="AI147" i="10"/>
  <c r="AC27" i="10"/>
  <c r="AC8" i="2" s="1"/>
  <c r="AC30" i="2" s="1"/>
  <c r="AI144" i="10"/>
  <c r="AC44" i="7"/>
  <c r="AC45" i="7" s="1"/>
  <c r="AI146" i="10"/>
  <c r="AI145" i="10"/>
  <c r="AJ130" i="10"/>
  <c r="AM130" i="10" s="1"/>
  <c r="AL130" i="10"/>
  <c r="I161" i="12"/>
  <c r="Y80" i="13"/>
  <c r="B84" i="11"/>
  <c r="B100" i="11" s="1"/>
  <c r="B116" i="11" s="1"/>
  <c r="Q24" i="12"/>
  <c r="Q5" i="2" s="1"/>
  <c r="D129" i="12"/>
  <c r="D134" i="12"/>
  <c r="D131" i="12"/>
  <c r="D139" i="12"/>
  <c r="D138" i="12"/>
  <c r="D136" i="12"/>
  <c r="D133" i="12"/>
  <c r="D137" i="12"/>
  <c r="D153" i="11"/>
  <c r="K10" i="11"/>
  <c r="K11" i="11" s="1"/>
  <c r="K16" i="11" s="1"/>
  <c r="B48" i="11"/>
  <c r="B49" i="11"/>
  <c r="B51" i="11"/>
  <c r="B58" i="11"/>
  <c r="B47" i="11"/>
  <c r="B53" i="11"/>
  <c r="B57" i="11"/>
  <c r="B54" i="11"/>
  <c r="B50" i="11"/>
  <c r="B56" i="11"/>
  <c r="AG138" i="11"/>
  <c r="F155" i="13"/>
  <c r="F149" i="13"/>
  <c r="O27" i="13"/>
  <c r="F146" i="13"/>
  <c r="F151" i="13"/>
  <c r="F145" i="13"/>
  <c r="F154" i="13"/>
  <c r="F148" i="13"/>
  <c r="G265" i="11"/>
  <c r="C258" i="11"/>
  <c r="Q177" i="13"/>
  <c r="B64" i="10"/>
  <c r="AF211" i="10"/>
  <c r="AF100" i="10"/>
  <c r="N27" i="10"/>
  <c r="N8" i="2" s="1"/>
  <c r="N30" i="2" s="1"/>
  <c r="D153" i="10"/>
  <c r="D150" i="10"/>
  <c r="D147" i="10"/>
  <c r="D144" i="10"/>
  <c r="D146" i="10"/>
  <c r="D155" i="10"/>
  <c r="B55" i="11"/>
  <c r="H5" i="2"/>
  <c r="H27" i="2" s="1"/>
  <c r="D154" i="10"/>
  <c r="C66" i="10"/>
  <c r="N25" i="10"/>
  <c r="N28" i="10" s="1"/>
  <c r="CY41" i="8"/>
  <c r="AG286" i="9"/>
  <c r="AG291" i="9"/>
  <c r="X34" i="9"/>
  <c r="X35" i="9" s="1"/>
  <c r="X41" i="9" s="1"/>
  <c r="X36" i="9" s="1"/>
  <c r="AG295" i="9"/>
  <c r="AG296" i="9"/>
  <c r="AG294" i="9"/>
  <c r="AG289" i="9"/>
  <c r="AG287" i="9"/>
  <c r="AG290" i="9"/>
  <c r="EE22" i="6"/>
  <c r="EE41" i="6" s="1"/>
  <c r="S41" i="6"/>
  <c r="DS22" i="6"/>
  <c r="DS41" i="6" s="1"/>
  <c r="BM41" i="6"/>
  <c r="C49" i="10"/>
  <c r="DY41" i="6"/>
  <c r="B341" i="5"/>
  <c r="N254" i="5"/>
  <c r="DO28" i="6"/>
  <c r="AA178" i="10"/>
  <c r="F11" i="12"/>
  <c r="F16" i="12" s="1"/>
  <c r="F6" i="1"/>
  <c r="P178" i="11"/>
  <c r="P162" i="11" s="1"/>
  <c r="V160" i="11"/>
  <c r="V159" i="11"/>
  <c r="V176" i="11"/>
  <c r="S82" i="13"/>
  <c r="S98" i="13" s="1"/>
  <c r="S114" i="13" s="1"/>
  <c r="L11" i="3"/>
  <c r="L36" i="11"/>
  <c r="F5" i="3"/>
  <c r="F33" i="3" s="1"/>
  <c r="AE27" i="10"/>
  <c r="BD44" i="7"/>
  <c r="EQ44" i="7" s="1"/>
  <c r="EQ45" i="7" s="1"/>
  <c r="AE44" i="7"/>
  <c r="AJ9" i="10"/>
  <c r="AJ11" i="10" s="1"/>
  <c r="AJ16" i="10" s="1"/>
  <c r="AK5" i="10"/>
  <c r="C25" i="10"/>
  <c r="C28" i="10" s="1"/>
  <c r="C26" i="10" s="1"/>
  <c r="AA14" i="10"/>
  <c r="AB6" i="10"/>
  <c r="V39" i="9"/>
  <c r="V330" i="9"/>
  <c r="D65" i="10"/>
  <c r="L263" i="4"/>
  <c r="U305" i="13"/>
  <c r="U208" i="13"/>
  <c r="AA16" i="2"/>
  <c r="AA27" i="2" s="1"/>
  <c r="E162" i="10"/>
  <c r="E178" i="10"/>
  <c r="E161" i="10"/>
  <c r="E14" i="12"/>
  <c r="E11" i="1" s="1"/>
  <c r="F6" i="12"/>
  <c r="P161" i="11"/>
  <c r="Y92" i="11"/>
  <c r="T35" i="10"/>
  <c r="T41" i="10" s="1"/>
  <c r="T36" i="10" s="1"/>
  <c r="I11" i="10"/>
  <c r="I16" i="10" s="1"/>
  <c r="I7" i="1"/>
  <c r="AD44" i="8"/>
  <c r="AD45" i="8" s="1"/>
  <c r="AD11" i="3"/>
  <c r="AD39" i="3" s="1"/>
  <c r="J35" i="10"/>
  <c r="J41" i="10" s="1"/>
  <c r="J36" i="10" s="1"/>
  <c r="AI177" i="10"/>
  <c r="D54" i="10"/>
  <c r="X25" i="3"/>
  <c r="X39" i="3" s="1"/>
  <c r="AD26" i="10"/>
  <c r="AD7" i="2" s="1"/>
  <c r="AD29" i="2" s="1"/>
  <c r="AD31" i="2" s="1"/>
  <c r="H282" i="9"/>
  <c r="C74" i="10"/>
  <c r="AN49" i="9"/>
  <c r="EC22" i="7"/>
  <c r="Q41" i="7"/>
  <c r="S246" i="5"/>
  <c r="K333" i="5"/>
  <c r="D64" i="10"/>
  <c r="M34" i="12"/>
  <c r="M5" i="3" s="1"/>
  <c r="D262" i="12"/>
  <c r="D257" i="12"/>
  <c r="D265" i="12"/>
  <c r="D260" i="12"/>
  <c r="D212" i="12" s="1"/>
  <c r="D266" i="12"/>
  <c r="D263" i="12"/>
  <c r="D264" i="12"/>
  <c r="D258" i="12"/>
  <c r="D210" i="12" s="1"/>
  <c r="L34" i="12"/>
  <c r="L5" i="3" s="1"/>
  <c r="C262" i="12"/>
  <c r="C257" i="12"/>
  <c r="C265" i="12"/>
  <c r="C258" i="12"/>
  <c r="C259" i="12"/>
  <c r="C260" i="12"/>
  <c r="X208" i="13"/>
  <c r="X305" i="13"/>
  <c r="L13" i="13"/>
  <c r="C75" i="13"/>
  <c r="F146" i="11"/>
  <c r="O27" i="11"/>
  <c r="F148" i="11"/>
  <c r="F154" i="11"/>
  <c r="F150" i="11"/>
  <c r="F152" i="11"/>
  <c r="F144" i="11"/>
  <c r="F160" i="11" s="1"/>
  <c r="F145" i="11"/>
  <c r="F153" i="11"/>
  <c r="E146" i="11"/>
  <c r="E162" i="11" s="1"/>
  <c r="F149" i="11"/>
  <c r="E152" i="11"/>
  <c r="D154" i="11"/>
  <c r="E154" i="11"/>
  <c r="D152" i="11"/>
  <c r="E153" i="11"/>
  <c r="K92" i="11"/>
  <c r="S80" i="13"/>
  <c r="W5" i="3"/>
  <c r="W33" i="3" s="1"/>
  <c r="AB40" i="11"/>
  <c r="AB36" i="11" s="1"/>
  <c r="AF294" i="11"/>
  <c r="AG286" i="11"/>
  <c r="AG293" i="11"/>
  <c r="AG292" i="11"/>
  <c r="AF292" i="11"/>
  <c r="AF296" i="11"/>
  <c r="J114" i="11"/>
  <c r="J107" i="11"/>
  <c r="J23" i="11" s="1"/>
  <c r="J25" i="11" s="1"/>
  <c r="J28" i="11" s="1"/>
  <c r="J26" i="11" s="1"/>
  <c r="AG243" i="9"/>
  <c r="N178" i="12"/>
  <c r="AG72" i="10"/>
  <c r="D59" i="10"/>
  <c r="DN28" i="8"/>
  <c r="B41" i="8"/>
  <c r="H25" i="10"/>
  <c r="H28" i="10" s="1"/>
  <c r="H26" i="10" s="1"/>
  <c r="G5" i="2"/>
  <c r="G27" i="2" s="1"/>
  <c r="AE177" i="10"/>
  <c r="T10" i="9"/>
  <c r="T11" i="9" s="1"/>
  <c r="T16" i="9" s="1"/>
  <c r="T15" i="9" s="1"/>
  <c r="J54" i="9"/>
  <c r="J53" i="9"/>
  <c r="J56" i="9"/>
  <c r="J52" i="9"/>
  <c r="J48" i="9"/>
  <c r="J59" i="9"/>
  <c r="J55" i="9"/>
  <c r="J50" i="9"/>
  <c r="J58" i="9"/>
  <c r="I53" i="9"/>
  <c r="J57" i="9"/>
  <c r="I51" i="9"/>
  <c r="H56" i="9"/>
  <c r="I49" i="9"/>
  <c r="I56" i="9"/>
  <c r="I52" i="9"/>
  <c r="I48" i="9"/>
  <c r="G52" i="9"/>
  <c r="H51" i="9"/>
  <c r="I50" i="9"/>
  <c r="H52" i="9"/>
  <c r="I58" i="9"/>
  <c r="G51" i="9"/>
  <c r="H53" i="9"/>
  <c r="G50" i="9"/>
  <c r="G54" i="9"/>
  <c r="H48" i="9"/>
  <c r="H50" i="9"/>
  <c r="H55" i="9"/>
  <c r="H54" i="9"/>
  <c r="H57" i="9"/>
  <c r="I55" i="9"/>
  <c r="H58" i="9"/>
  <c r="AN51" i="9"/>
  <c r="J51" i="9"/>
  <c r="L27" i="10"/>
  <c r="C148" i="10"/>
  <c r="C153" i="10"/>
  <c r="C152" i="10"/>
  <c r="C147" i="10"/>
  <c r="C151" i="10"/>
  <c r="C145" i="10"/>
  <c r="C161" i="10" s="1"/>
  <c r="C149" i="10"/>
  <c r="C146" i="10"/>
  <c r="C150" i="10"/>
  <c r="C155" i="10"/>
  <c r="AH207" i="10"/>
  <c r="D70" i="10"/>
  <c r="S455" i="4"/>
  <c r="N455" i="4"/>
  <c r="K10" i="14"/>
  <c r="B50" i="14"/>
  <c r="B136" i="14"/>
  <c r="B133" i="14"/>
  <c r="B54" i="14"/>
  <c r="B128" i="14"/>
  <c r="B48" i="14"/>
  <c r="B138" i="14"/>
  <c r="B56" i="14"/>
  <c r="B52" i="14"/>
  <c r="B130" i="14"/>
  <c r="B264" i="14"/>
  <c r="B58" i="14"/>
  <c r="B272" i="14"/>
  <c r="B256" i="14"/>
  <c r="B135" i="14"/>
  <c r="B134" i="14"/>
  <c r="Y24" i="14"/>
  <c r="AE132" i="14"/>
  <c r="AE138" i="14"/>
  <c r="AD57" i="14"/>
  <c r="AD55" i="14"/>
  <c r="X10" i="14"/>
  <c r="N34" i="13"/>
  <c r="N19" i="3" s="1"/>
  <c r="N33" i="3" s="1"/>
  <c r="E259" i="13"/>
  <c r="E255" i="13"/>
  <c r="E264" i="13"/>
  <c r="E257" i="13"/>
  <c r="B256" i="13"/>
  <c r="K34" i="13"/>
  <c r="K19" i="3" s="1"/>
  <c r="B261" i="13"/>
  <c r="B264" i="13"/>
  <c r="AA177" i="13"/>
  <c r="W208" i="12"/>
  <c r="E181" i="14"/>
  <c r="Z40" i="12"/>
  <c r="AE277" i="12"/>
  <c r="C256" i="12"/>
  <c r="D256" i="12"/>
  <c r="D208" i="12" s="1"/>
  <c r="I224" i="12"/>
  <c r="I240" i="12" s="1"/>
  <c r="I82" i="12"/>
  <c r="I98" i="12" s="1"/>
  <c r="I114" i="12" s="1"/>
  <c r="D255" i="12"/>
  <c r="D207" i="12" s="1"/>
  <c r="X207" i="13"/>
  <c r="F143" i="11"/>
  <c r="F159" i="11" s="1"/>
  <c r="F179" i="12"/>
  <c r="B63" i="11"/>
  <c r="K13" i="11"/>
  <c r="K10" i="1" s="1"/>
  <c r="B68" i="11"/>
  <c r="B70" i="11"/>
  <c r="B72" i="11"/>
  <c r="B74" i="11"/>
  <c r="B64" i="11"/>
  <c r="B66" i="11"/>
  <c r="B73" i="11"/>
  <c r="V7" i="1"/>
  <c r="V8" i="1" s="1"/>
  <c r="V13" i="1" s="1"/>
  <c r="V11" i="12"/>
  <c r="V16" i="12" s="1"/>
  <c r="E145" i="11"/>
  <c r="E161" i="11" s="1"/>
  <c r="S160" i="11"/>
  <c r="S176" i="11"/>
  <c r="S159" i="11"/>
  <c r="V5" i="3"/>
  <c r="AA161" i="10"/>
  <c r="AB176" i="11"/>
  <c r="C179" i="11"/>
  <c r="D130" i="12"/>
  <c r="AG180" i="10"/>
  <c r="Q11" i="1"/>
  <c r="Q43" i="1" s="1"/>
  <c r="V5" i="2"/>
  <c r="V25" i="10"/>
  <c r="V28" i="10" s="1"/>
  <c r="V26" i="10" s="1"/>
  <c r="B153" i="10"/>
  <c r="M259" i="11"/>
  <c r="BM41" i="7"/>
  <c r="DS22" i="7"/>
  <c r="BL41" i="7"/>
  <c r="DR41" i="7" s="1"/>
  <c r="G56" i="9"/>
  <c r="F147" i="11"/>
  <c r="L335" i="5"/>
  <c r="S335" i="5" s="1"/>
  <c r="S248" i="5"/>
  <c r="AC305" i="11"/>
  <c r="I223" i="12"/>
  <c r="I81" i="12"/>
  <c r="I97" i="12" s="1"/>
  <c r="I113" i="12" s="1"/>
  <c r="S223" i="12"/>
  <c r="S81" i="12"/>
  <c r="S97" i="12" s="1"/>
  <c r="AB320" i="11"/>
  <c r="J82" i="12"/>
  <c r="J98" i="12" s="1"/>
  <c r="J114" i="12" s="1"/>
  <c r="J241" i="12" s="1"/>
  <c r="J224" i="12"/>
  <c r="N11" i="3"/>
  <c r="E149" i="11"/>
  <c r="AB6" i="14"/>
  <c r="AA14" i="14"/>
  <c r="AA27" i="1" s="1"/>
  <c r="AD4" i="14"/>
  <c r="AE4" i="14"/>
  <c r="F35" i="10"/>
  <c r="F41" i="10" s="1"/>
  <c r="F36" i="10" s="1"/>
  <c r="EP4" i="8"/>
  <c r="W107" i="11"/>
  <c r="W23" i="11" s="1"/>
  <c r="W25" i="11" s="1"/>
  <c r="W28" i="11" s="1"/>
  <c r="W26" i="11" s="1"/>
  <c r="W112" i="11"/>
  <c r="W255" i="11" s="1"/>
  <c r="J5" i="3"/>
  <c r="J33" i="3" s="1"/>
  <c r="R162" i="10"/>
  <c r="R161" i="10"/>
  <c r="P10" i="1"/>
  <c r="P15" i="10"/>
  <c r="D135" i="12"/>
  <c r="Z14" i="10"/>
  <c r="AA6" i="10"/>
  <c r="AC4" i="10"/>
  <c r="C260" i="10"/>
  <c r="AD39" i="9"/>
  <c r="AD330" i="9"/>
  <c r="F39" i="9"/>
  <c r="F330" i="9"/>
  <c r="EE22" i="7"/>
  <c r="S41" i="7"/>
  <c r="EE41" i="7" s="1"/>
  <c r="EB22" i="7"/>
  <c r="P41" i="7"/>
  <c r="EB41" i="7" s="1"/>
  <c r="EH22" i="6"/>
  <c r="V41" i="6"/>
  <c r="R208" i="12"/>
  <c r="J88" i="12"/>
  <c r="J104" i="12" s="1"/>
  <c r="J120" i="12" s="1"/>
  <c r="J230" i="12"/>
  <c r="J246" i="12" s="1"/>
  <c r="B72" i="13"/>
  <c r="U7" i="1"/>
  <c r="U11" i="12"/>
  <c r="U16" i="12" s="1"/>
  <c r="B14" i="12"/>
  <c r="B11" i="1" s="1"/>
  <c r="B43" i="1" s="1"/>
  <c r="C6" i="12"/>
  <c r="E43" i="1"/>
  <c r="C92" i="11"/>
  <c r="C15" i="11"/>
  <c r="H5" i="3"/>
  <c r="H33" i="3" s="1"/>
  <c r="W92" i="11"/>
  <c r="E144" i="13"/>
  <c r="O161" i="11"/>
  <c r="O177" i="11"/>
  <c r="K25" i="10"/>
  <c r="K28" i="10" s="1"/>
  <c r="AC4" i="14"/>
  <c r="D128" i="12"/>
  <c r="W25" i="10"/>
  <c r="W28" i="10" s="1"/>
  <c r="W26" i="10" s="1"/>
  <c r="DW22" i="6"/>
  <c r="K41" i="6"/>
  <c r="AE13" i="10"/>
  <c r="BD44" i="6"/>
  <c r="EQ44" i="6" s="1"/>
  <c r="EQ45" i="6" s="1"/>
  <c r="DK41" i="7"/>
  <c r="G328" i="5"/>
  <c r="Q241" i="5"/>
  <c r="N241" i="5"/>
  <c r="AK41" i="8"/>
  <c r="AL177" i="10"/>
  <c r="D132" i="12"/>
  <c r="EG40" i="7"/>
  <c r="AE275" i="12"/>
  <c r="AB26" i="12"/>
  <c r="J161" i="11"/>
  <c r="J177" i="11"/>
  <c r="AB23" i="15"/>
  <c r="AB25" i="15" s="1"/>
  <c r="AB28" i="15" s="1"/>
  <c r="AB26" i="15" s="1"/>
  <c r="AC124" i="15"/>
  <c r="C305" i="13"/>
  <c r="T209" i="12"/>
  <c r="T306" i="12"/>
  <c r="X111" i="11"/>
  <c r="X254" i="11" s="1"/>
  <c r="X107" i="11"/>
  <c r="X23" i="11" s="1"/>
  <c r="X25" i="11" s="1"/>
  <c r="X28" i="11" s="1"/>
  <c r="X26" i="11" s="1"/>
  <c r="X159" i="11"/>
  <c r="C67" i="13"/>
  <c r="Z178" i="10"/>
  <c r="Z162" i="10" s="1"/>
  <c r="V207" i="13"/>
  <c r="V304" i="13"/>
  <c r="R35" i="10"/>
  <c r="R41" i="10" s="1"/>
  <c r="R36" i="10" s="1"/>
  <c r="AF178" i="10"/>
  <c r="J160" i="11"/>
  <c r="G11" i="3"/>
  <c r="G39" i="3" s="1"/>
  <c r="X11" i="3"/>
  <c r="V11" i="3"/>
  <c r="B147" i="10"/>
  <c r="AF207" i="10"/>
  <c r="AF96" i="10"/>
  <c r="AA27" i="10"/>
  <c r="AA8" i="2" s="1"/>
  <c r="AG154" i="10"/>
  <c r="AG148" i="10"/>
  <c r="AG152" i="10"/>
  <c r="AG151" i="10"/>
  <c r="AG150" i="10"/>
  <c r="M162" i="11"/>
  <c r="W7" i="1"/>
  <c r="W8" i="1" s="1"/>
  <c r="W13" i="1" s="1"/>
  <c r="W11" i="11"/>
  <c r="W16" i="11" s="1"/>
  <c r="W15" i="11" s="1"/>
  <c r="W45" i="11" s="1"/>
  <c r="N179" i="10"/>
  <c r="N163" i="10" s="1"/>
  <c r="B48" i="10"/>
  <c r="AF295" i="9"/>
  <c r="C144" i="10"/>
  <c r="H11" i="3"/>
  <c r="H39" i="3" s="1"/>
  <c r="AF296" i="9"/>
  <c r="AH41" i="7"/>
  <c r="DQ28" i="7"/>
  <c r="Y107" i="10"/>
  <c r="Y218" i="10"/>
  <c r="Y234" i="10" s="1"/>
  <c r="Y250" i="10" s="1"/>
  <c r="AF81" i="10"/>
  <c r="Q5" i="3"/>
  <c r="Z18" i="10"/>
  <c r="B72" i="10"/>
  <c r="DU22" i="7"/>
  <c r="I41" i="7"/>
  <c r="DU41" i="7" s="1"/>
  <c r="V27" i="11"/>
  <c r="V8" i="2" s="1"/>
  <c r="B153" i="11"/>
  <c r="C73" i="13"/>
  <c r="K164" i="10"/>
  <c r="K180" i="10"/>
  <c r="X41" i="8"/>
  <c r="AH18" i="10"/>
  <c r="B57" i="10"/>
  <c r="C154" i="10"/>
  <c r="DO40" i="7"/>
  <c r="C41" i="7"/>
  <c r="DO41" i="7" s="1"/>
  <c r="B56" i="10"/>
  <c r="EO22" i="6"/>
  <c r="ES22" i="6" s="1"/>
  <c r="BF41" i="6"/>
  <c r="Z98" i="10"/>
  <c r="Z209" i="10"/>
  <c r="Z225" i="10" s="1"/>
  <c r="Z241" i="10" s="1"/>
  <c r="AF84" i="10"/>
  <c r="AE84" i="10"/>
  <c r="ES40" i="6"/>
  <c r="AG260" i="10"/>
  <c r="AA34" i="10"/>
  <c r="AG261" i="10"/>
  <c r="AG262" i="10"/>
  <c r="AF56" i="9"/>
  <c r="Z10" i="9"/>
  <c r="Z11" i="9" s="1"/>
  <c r="Z16" i="9" s="1"/>
  <c r="Z15" i="9" s="1"/>
  <c r="AF58" i="9"/>
  <c r="AF57" i="9"/>
  <c r="EL22" i="8"/>
  <c r="BC41" i="8"/>
  <c r="DX22" i="6"/>
  <c r="L41" i="6"/>
  <c r="C71" i="10"/>
  <c r="Q217" i="4"/>
  <c r="N217" i="4"/>
  <c r="L208" i="13"/>
  <c r="L305" i="13"/>
  <c r="M40" i="13"/>
  <c r="M25" i="3" s="1"/>
  <c r="M39" i="3" s="1"/>
  <c r="D275" i="13"/>
  <c r="D276" i="13"/>
  <c r="D277" i="13"/>
  <c r="W209" i="12"/>
  <c r="Y287" i="14"/>
  <c r="Y219" i="14"/>
  <c r="Y33" i="14" s="1"/>
  <c r="Y35" i="14" s="1"/>
  <c r="Y41" i="14" s="1"/>
  <c r="AE208" i="13"/>
  <c r="D177" i="13"/>
  <c r="AB208" i="15"/>
  <c r="AB305" i="15"/>
  <c r="D11" i="14"/>
  <c r="D16" i="14" s="1"/>
  <c r="D15" i="14" s="1"/>
  <c r="D23" i="1"/>
  <c r="E265" i="13"/>
  <c r="AA179" i="12"/>
  <c r="AC178" i="14"/>
  <c r="AC162" i="14" s="1"/>
  <c r="AJ218" i="11"/>
  <c r="AF222" i="11"/>
  <c r="I27" i="1"/>
  <c r="I43" i="1" s="1"/>
  <c r="T308" i="13"/>
  <c r="T211" i="13"/>
  <c r="T208" i="12"/>
  <c r="J223" i="12"/>
  <c r="J219" i="12"/>
  <c r="J33" i="12" s="1"/>
  <c r="J35" i="12" s="1"/>
  <c r="J41" i="12" s="1"/>
  <c r="J81" i="12"/>
  <c r="J97" i="12" s="1"/>
  <c r="J113" i="12" s="1"/>
  <c r="N13" i="13"/>
  <c r="E64" i="13"/>
  <c r="E69" i="13"/>
  <c r="E67" i="13"/>
  <c r="E75" i="13"/>
  <c r="E72" i="13"/>
  <c r="B131" i="14"/>
  <c r="AD69" i="12"/>
  <c r="AE177" i="11"/>
  <c r="V46" i="14"/>
  <c r="D50" i="12"/>
  <c r="D55" i="12"/>
  <c r="M10" i="12"/>
  <c r="M11" i="12" s="1"/>
  <c r="M16" i="12" s="1"/>
  <c r="D49" i="12"/>
  <c r="D59" i="12"/>
  <c r="D53" i="12"/>
  <c r="D48" i="12"/>
  <c r="C48" i="12"/>
  <c r="D57" i="12"/>
  <c r="C57" i="12"/>
  <c r="C58" i="12"/>
  <c r="T225" i="13"/>
  <c r="T82" i="13"/>
  <c r="T98" i="13" s="1"/>
  <c r="G111" i="11"/>
  <c r="G254" i="11" s="1"/>
  <c r="G107" i="11"/>
  <c r="G23" i="11" s="1"/>
  <c r="G25" i="11" s="1"/>
  <c r="G28" i="11" s="1"/>
  <c r="G26" i="11" s="1"/>
  <c r="P5" i="2"/>
  <c r="P25" i="10"/>
  <c r="P28" i="10" s="1"/>
  <c r="P26" i="10" s="1"/>
  <c r="T159" i="11"/>
  <c r="T176" i="11"/>
  <c r="T160" i="11" s="1"/>
  <c r="O177" i="10"/>
  <c r="O160" i="10"/>
  <c r="Q34" i="9"/>
  <c r="Q35" i="9" s="1"/>
  <c r="Q41" i="9" s="1"/>
  <c r="Q36" i="9" s="1"/>
  <c r="D288" i="9"/>
  <c r="D320" i="9" s="1"/>
  <c r="E293" i="9"/>
  <c r="E325" i="9" s="1"/>
  <c r="AN57" i="9"/>
  <c r="Z212" i="10"/>
  <c r="Z228" i="10" s="1"/>
  <c r="Z244" i="10" s="1"/>
  <c r="Z101" i="10"/>
  <c r="AF87" i="10"/>
  <c r="J49" i="9"/>
  <c r="AG247" i="9"/>
  <c r="X10" i="1"/>
  <c r="K11" i="1"/>
  <c r="K43" i="1" s="1"/>
  <c r="F46" i="14"/>
  <c r="M163" i="11"/>
  <c r="M179" i="11"/>
  <c r="S304" i="12"/>
  <c r="W207" i="13"/>
  <c r="W304" i="13"/>
  <c r="F81" i="12"/>
  <c r="F97" i="12" s="1"/>
  <c r="F223" i="12"/>
  <c r="J84" i="12"/>
  <c r="J100" i="12" s="1"/>
  <c r="J116" i="12" s="1"/>
  <c r="J243" i="12" s="1"/>
  <c r="AE96" i="14"/>
  <c r="AE93" i="14"/>
  <c r="AE131" i="12"/>
  <c r="Y24" i="12"/>
  <c r="Y5" i="2" s="1"/>
  <c r="AE138" i="12"/>
  <c r="E224" i="12"/>
  <c r="E82" i="12"/>
  <c r="E98" i="12" s="1"/>
  <c r="X259" i="11"/>
  <c r="U160" i="11"/>
  <c r="U159" i="11"/>
  <c r="U176" i="11"/>
  <c r="Q178" i="12"/>
  <c r="K314" i="11"/>
  <c r="K39" i="11"/>
  <c r="B75" i="10"/>
  <c r="X160" i="11"/>
  <c r="R8" i="2"/>
  <c r="AG155" i="9"/>
  <c r="AD18" i="10"/>
  <c r="AA39" i="9"/>
  <c r="AA330" i="9"/>
  <c r="B58" i="10"/>
  <c r="EN41" i="6"/>
  <c r="C147" i="11"/>
  <c r="C163" i="11" s="1"/>
  <c r="C345" i="4"/>
  <c r="P258" i="4"/>
  <c r="N258" i="4"/>
  <c r="N229" i="4"/>
  <c r="P229" i="4"/>
  <c r="P458" i="5"/>
  <c r="N458" i="5"/>
  <c r="M10" i="9"/>
  <c r="M11" i="9" s="1"/>
  <c r="M16" i="9" s="1"/>
  <c r="M15" i="9" s="1"/>
  <c r="D59" i="9"/>
  <c r="D55" i="9"/>
  <c r="D51" i="9"/>
  <c r="D53" i="9"/>
  <c r="D49" i="9"/>
  <c r="D57" i="9"/>
  <c r="D58" i="9"/>
  <c r="B347" i="5"/>
  <c r="N260" i="5"/>
  <c r="P260" i="5"/>
  <c r="P36" i="9"/>
  <c r="N228" i="5"/>
  <c r="P114" i="5"/>
  <c r="G162" i="10"/>
  <c r="G161" i="10"/>
  <c r="S81" i="13"/>
  <c r="S97" i="13" s="1"/>
  <c r="S113" i="13" s="1"/>
  <c r="H111" i="11"/>
  <c r="H254" i="11" s="1"/>
  <c r="H107" i="11"/>
  <c r="H23" i="11" s="1"/>
  <c r="H25" i="11" s="1"/>
  <c r="H28" i="11" s="1"/>
  <c r="H26" i="11" s="1"/>
  <c r="L180" i="11"/>
  <c r="AB161" i="10"/>
  <c r="W176" i="11"/>
  <c r="AD13" i="11"/>
  <c r="BG44" i="6"/>
  <c r="AG71" i="11"/>
  <c r="T162" i="10"/>
  <c r="AG69" i="11"/>
  <c r="K27" i="10"/>
  <c r="K8" i="2" s="1"/>
  <c r="B145" i="10"/>
  <c r="B152" i="10"/>
  <c r="B150" i="10"/>
  <c r="B154" i="10"/>
  <c r="B144" i="10"/>
  <c r="B155" i="10"/>
  <c r="B149" i="10"/>
  <c r="B151" i="10"/>
  <c r="H39" i="9"/>
  <c r="H330" i="9"/>
  <c r="EG22" i="7"/>
  <c r="U41" i="7"/>
  <c r="EG41" i="7" s="1"/>
  <c r="EC28" i="6"/>
  <c r="Q41" i="6"/>
  <c r="AH41" i="8"/>
  <c r="R250" i="5"/>
  <c r="H337" i="5"/>
  <c r="EI28" i="6"/>
  <c r="EI41" i="6" s="1"/>
  <c r="L35" i="10"/>
  <c r="L41" i="10" s="1"/>
  <c r="L36" i="10" s="1"/>
  <c r="R272" i="5"/>
  <c r="J330" i="5"/>
  <c r="R330" i="5" s="1"/>
  <c r="S95" i="4"/>
  <c r="N95" i="4"/>
  <c r="I234" i="4"/>
  <c r="AZ41" i="8"/>
  <c r="EI22" i="8"/>
  <c r="N457" i="5"/>
  <c r="EJ28" i="7"/>
  <c r="X41" i="7"/>
  <c r="EJ41" i="7" s="1"/>
  <c r="DR22" i="6"/>
  <c r="H349" i="5"/>
  <c r="R262" i="5"/>
  <c r="DH41" i="6"/>
  <c r="F330" i="4"/>
  <c r="Q243" i="4"/>
  <c r="K341" i="4"/>
  <c r="S341" i="4" s="1"/>
  <c r="S254" i="4"/>
  <c r="S11" i="1"/>
  <c r="S43" i="1" s="1"/>
  <c r="S15" i="10"/>
  <c r="AD26" i="9"/>
  <c r="D56" i="10"/>
  <c r="H10" i="10"/>
  <c r="D53" i="10"/>
  <c r="D50" i="10"/>
  <c r="D58" i="10"/>
  <c r="D55" i="10"/>
  <c r="D48" i="10"/>
  <c r="D57" i="10"/>
  <c r="D49" i="10"/>
  <c r="P41" i="8"/>
  <c r="Y39" i="9"/>
  <c r="Y330" i="9"/>
  <c r="EB22" i="6"/>
  <c r="P41" i="6"/>
  <c r="DW41" i="6"/>
  <c r="G10" i="10"/>
  <c r="C48" i="10"/>
  <c r="C53" i="10"/>
  <c r="C50" i="10"/>
  <c r="C54" i="10"/>
  <c r="C51" i="10"/>
  <c r="C55" i="10"/>
  <c r="C56" i="10"/>
  <c r="C57" i="10"/>
  <c r="EO22" i="8"/>
  <c r="ES22" i="8" s="1"/>
  <c r="AC41" i="8"/>
  <c r="Q279" i="5"/>
  <c r="G337" i="5"/>
  <c r="K332" i="5"/>
  <c r="S245" i="5"/>
  <c r="K330" i="5"/>
  <c r="S330" i="5" s="1"/>
  <c r="S243" i="5"/>
  <c r="M347" i="4"/>
  <c r="P337" i="4"/>
  <c r="N100" i="5"/>
  <c r="I265" i="11"/>
  <c r="I111" i="11"/>
  <c r="I254" i="11" s="1"/>
  <c r="I107" i="11"/>
  <c r="I23" i="11" s="1"/>
  <c r="R11" i="3"/>
  <c r="R39" i="3" s="1"/>
  <c r="AC4" i="2"/>
  <c r="B15" i="10"/>
  <c r="R92" i="11"/>
  <c r="R15" i="11"/>
  <c r="R45" i="11" s="1"/>
  <c r="AE178" i="14"/>
  <c r="AG93" i="9"/>
  <c r="W5" i="2"/>
  <c r="W27" i="2" s="1"/>
  <c r="Y208" i="10"/>
  <c r="Y94" i="10"/>
  <c r="Y91" i="10"/>
  <c r="Y97" i="10"/>
  <c r="AE83" i="10"/>
  <c r="Y21" i="10"/>
  <c r="D92" i="11"/>
  <c r="AN41" i="7"/>
  <c r="P81" i="13"/>
  <c r="P97" i="13" s="1"/>
  <c r="AG182" i="9"/>
  <c r="N34" i="9"/>
  <c r="N35" i="9" s="1"/>
  <c r="N41" i="9" s="1"/>
  <c r="N36" i="9" s="1"/>
  <c r="E297" i="9"/>
  <c r="E329" i="9" s="1"/>
  <c r="E296" i="9"/>
  <c r="E328" i="9" s="1"/>
  <c r="E292" i="9"/>
  <c r="E324" i="9" s="1"/>
  <c r="D293" i="9"/>
  <c r="D325" i="9" s="1"/>
  <c r="C290" i="9"/>
  <c r="C322" i="9" s="1"/>
  <c r="E291" i="9"/>
  <c r="E323" i="9" s="1"/>
  <c r="C286" i="9"/>
  <c r="C318" i="9" s="1"/>
  <c r="E294" i="9"/>
  <c r="E326" i="9" s="1"/>
  <c r="E287" i="9"/>
  <c r="E319" i="9" s="1"/>
  <c r="D287" i="9"/>
  <c r="D319" i="9" s="1"/>
  <c r="E289" i="9"/>
  <c r="E321" i="9" s="1"/>
  <c r="D290" i="9"/>
  <c r="D322" i="9" s="1"/>
  <c r="EF22" i="8"/>
  <c r="E339" i="5"/>
  <c r="Q252" i="5"/>
  <c r="N92" i="5"/>
  <c r="P92" i="5"/>
  <c r="EE22" i="8"/>
  <c r="EE41" i="8" s="1"/>
  <c r="Y11" i="3"/>
  <c r="Y39" i="3" s="1"/>
  <c r="N162" i="10"/>
  <c r="N161" i="10"/>
  <c r="R107" i="11"/>
  <c r="R23" i="11" s="1"/>
  <c r="R25" i="11" s="1"/>
  <c r="R28" i="11" s="1"/>
  <c r="R26" i="11" s="1"/>
  <c r="R111" i="11"/>
  <c r="R254" i="11" s="1"/>
  <c r="R159" i="11"/>
  <c r="H180" i="10"/>
  <c r="H164" i="10" s="1"/>
  <c r="AD44" i="6"/>
  <c r="AD45" i="6" s="1"/>
  <c r="AD13" i="10"/>
  <c r="AI64" i="10"/>
  <c r="F13" i="10"/>
  <c r="F10" i="1" s="1"/>
  <c r="F42" i="1" s="1"/>
  <c r="B66" i="10"/>
  <c r="B65" i="10"/>
  <c r="B70" i="10"/>
  <c r="B69" i="10"/>
  <c r="B73" i="10"/>
  <c r="B67" i="10"/>
  <c r="W18" i="10"/>
  <c r="W15" i="10"/>
  <c r="W19" i="10" s="1"/>
  <c r="EN40" i="6"/>
  <c r="AB41" i="6"/>
  <c r="ED22" i="7"/>
  <c r="R41" i="7"/>
  <c r="ED41" i="7" s="1"/>
  <c r="DA41" i="7"/>
  <c r="EB28" i="6"/>
  <c r="D272" i="10"/>
  <c r="AD27" i="9"/>
  <c r="AG181" i="9"/>
  <c r="AF185" i="9"/>
  <c r="AG184" i="9"/>
  <c r="AG185" i="9"/>
  <c r="Y18" i="10"/>
  <c r="Y15" i="10"/>
  <c r="Y19" i="10" s="1"/>
  <c r="DS22" i="8"/>
  <c r="DS41" i="8" s="1"/>
  <c r="G41" i="8"/>
  <c r="L10" i="9"/>
  <c r="L11" i="9" s="1"/>
  <c r="L16" i="9" s="1"/>
  <c r="L15" i="9" s="1"/>
  <c r="C57" i="9"/>
  <c r="C53" i="9"/>
  <c r="C49" i="9"/>
  <c r="C59" i="9"/>
  <c r="C55" i="9"/>
  <c r="C51" i="9"/>
  <c r="C52" i="9"/>
  <c r="C50" i="9"/>
  <c r="C58" i="9"/>
  <c r="C54" i="9"/>
  <c r="P321" i="4"/>
  <c r="N321" i="4"/>
  <c r="BC41" i="6"/>
  <c r="Q10" i="13"/>
  <c r="Q11" i="13" s="1"/>
  <c r="Q16" i="13" s="1"/>
  <c r="D55" i="13"/>
  <c r="F58" i="13"/>
  <c r="D178" i="10"/>
  <c r="D162" i="10"/>
  <c r="J217" i="12"/>
  <c r="AD27" i="10"/>
  <c r="AD8" i="2" s="1"/>
  <c r="AD30" i="2" s="1"/>
  <c r="AD44" i="7"/>
  <c r="N92" i="11"/>
  <c r="AC34" i="10"/>
  <c r="AC5" i="3" s="1"/>
  <c r="AI256" i="10"/>
  <c r="AI258" i="10"/>
  <c r="X4" i="12"/>
  <c r="W14" i="12" s="1"/>
  <c r="W11" i="1" s="1"/>
  <c r="W43" i="1" s="1"/>
  <c r="X6" i="12"/>
  <c r="X3" i="1"/>
  <c r="I258" i="11"/>
  <c r="Z27" i="1"/>
  <c r="F176" i="11"/>
  <c r="N35" i="10"/>
  <c r="N41" i="10" s="1"/>
  <c r="N36" i="10" s="1"/>
  <c r="AG74" i="10"/>
  <c r="AA13" i="10"/>
  <c r="AG70" i="10"/>
  <c r="Q113" i="11"/>
  <c r="Q256" i="11" s="1"/>
  <c r="Q107" i="11"/>
  <c r="Q23" i="11" s="1"/>
  <c r="D25" i="10"/>
  <c r="D28" i="10" s="1"/>
  <c r="D26" i="10" s="1"/>
  <c r="C59" i="10"/>
  <c r="X7" i="12"/>
  <c r="BI41" i="8"/>
  <c r="AB13" i="10"/>
  <c r="AB10" i="1" s="1"/>
  <c r="AH68" i="10"/>
  <c r="AH65" i="10"/>
  <c r="AH67" i="10"/>
  <c r="AH70" i="10"/>
  <c r="AH64" i="10"/>
  <c r="AH74" i="10"/>
  <c r="AH73" i="10"/>
  <c r="EC40" i="8"/>
  <c r="B74" i="10"/>
  <c r="DY41" i="7"/>
  <c r="K330" i="9"/>
  <c r="K39" i="9"/>
  <c r="CE41" i="7"/>
  <c r="DT41" i="7"/>
  <c r="E290" i="9"/>
  <c r="E322" i="9" s="1"/>
  <c r="S462" i="5"/>
  <c r="AB10" i="10"/>
  <c r="AH55" i="10"/>
  <c r="AH51" i="10"/>
  <c r="AG57" i="10"/>
  <c r="AH58" i="10"/>
  <c r="AH50" i="10"/>
  <c r="AH54" i="10"/>
  <c r="AH52" i="10"/>
  <c r="AG55" i="10"/>
  <c r="AH49" i="10"/>
  <c r="I31" i="4"/>
  <c r="AB27" i="11"/>
  <c r="AG147" i="11"/>
  <c r="AG144" i="11"/>
  <c r="AG149" i="11"/>
  <c r="AG143" i="11"/>
  <c r="AG154" i="11" s="1"/>
  <c r="AG153" i="11"/>
  <c r="F56" i="11"/>
  <c r="O10" i="11"/>
  <c r="F58" i="11"/>
  <c r="F54" i="11"/>
  <c r="F47" i="11"/>
  <c r="F52" i="11"/>
  <c r="F53" i="11"/>
  <c r="F27" i="2"/>
  <c r="J90" i="12"/>
  <c r="J106" i="12" s="1"/>
  <c r="J122" i="12" s="1"/>
  <c r="J232" i="12"/>
  <c r="H8" i="2"/>
  <c r="M265" i="11"/>
  <c r="T223" i="13"/>
  <c r="T80" i="13"/>
  <c r="B243" i="11"/>
  <c r="H314" i="11"/>
  <c r="H39" i="11"/>
  <c r="I8" i="2"/>
  <c r="T4" i="1"/>
  <c r="T38" i="1"/>
  <c r="AG150" i="11"/>
  <c r="C58" i="10"/>
  <c r="AG65" i="11"/>
  <c r="B52" i="10"/>
  <c r="B59" i="10"/>
  <c r="F10" i="10"/>
  <c r="B53" i="10"/>
  <c r="B55" i="10"/>
  <c r="B50" i="10"/>
  <c r="B54" i="10"/>
  <c r="B51" i="10"/>
  <c r="B49" i="10"/>
  <c r="CA41" i="8"/>
  <c r="EG22" i="8"/>
  <c r="AF24" i="10"/>
  <c r="AI128" i="10"/>
  <c r="AI255" i="10"/>
  <c r="AF250" i="9"/>
  <c r="AF33" i="9" s="1"/>
  <c r="EK41" i="6"/>
  <c r="J282" i="9"/>
  <c r="N267" i="5"/>
  <c r="N456" i="5"/>
  <c r="E336" i="4"/>
  <c r="Q336" i="4" s="1"/>
  <c r="Q249" i="4"/>
  <c r="J31" i="4"/>
  <c r="R89" i="4"/>
  <c r="ET40" i="7"/>
  <c r="Z11" i="14"/>
  <c r="Z16" i="14" s="1"/>
  <c r="Z23" i="1"/>
  <c r="U35" i="10"/>
  <c r="U41" i="10" s="1"/>
  <c r="U36" i="10" s="1"/>
  <c r="B112" i="11"/>
  <c r="Z254" i="11"/>
  <c r="AB162" i="10"/>
  <c r="E155" i="13"/>
  <c r="N27" i="13"/>
  <c r="E151" i="13"/>
  <c r="E146" i="13"/>
  <c r="E145" i="13"/>
  <c r="T256" i="11"/>
  <c r="AH137" i="10"/>
  <c r="AH131" i="10"/>
  <c r="AB24" i="10"/>
  <c r="AH134" i="10"/>
  <c r="AH133" i="10"/>
  <c r="X162" i="10"/>
  <c r="X178" i="10"/>
  <c r="X161" i="10"/>
  <c r="S308" i="13"/>
  <c r="S211" i="13"/>
  <c r="T27" i="12"/>
  <c r="T8" i="2" s="1"/>
  <c r="B149" i="12"/>
  <c r="B144" i="12"/>
  <c r="N161" i="12"/>
  <c r="T36" i="9"/>
  <c r="D52" i="10"/>
  <c r="AG152" i="11"/>
  <c r="X35" i="10"/>
  <c r="X41" i="10" s="1"/>
  <c r="X36" i="10" s="1"/>
  <c r="AG67" i="11"/>
  <c r="V35" i="10"/>
  <c r="V41" i="10" s="1"/>
  <c r="V36" i="10" s="1"/>
  <c r="AB10" i="9"/>
  <c r="AB11" i="9" s="1"/>
  <c r="AB16" i="9" s="1"/>
  <c r="AB15" i="9" s="1"/>
  <c r="AG50" i="9"/>
  <c r="AG56" i="9"/>
  <c r="AG58" i="9"/>
  <c r="AG54" i="9"/>
  <c r="AG48" i="9"/>
  <c r="AG57" i="9"/>
  <c r="AG51" i="9"/>
  <c r="AG49" i="9"/>
  <c r="J5" i="2"/>
  <c r="J27" i="2" s="1"/>
  <c r="K11" i="10"/>
  <c r="K16" i="10" s="1"/>
  <c r="K7" i="1"/>
  <c r="K8" i="1" s="1"/>
  <c r="K13" i="1" s="1"/>
  <c r="AG91" i="9"/>
  <c r="AH138" i="10"/>
  <c r="I39" i="9"/>
  <c r="I330" i="9"/>
  <c r="AB331" i="9"/>
  <c r="DO41" i="6"/>
  <c r="DP22" i="8"/>
  <c r="DP41" i="8" s="1"/>
  <c r="D41" i="8"/>
  <c r="S460" i="5"/>
  <c r="H340" i="5"/>
  <c r="R253" i="5"/>
  <c r="Q216" i="5"/>
  <c r="N216" i="5"/>
  <c r="P297" i="5"/>
  <c r="P255" i="5"/>
  <c r="D342" i="5"/>
  <c r="N259" i="5"/>
  <c r="B346" i="5"/>
  <c r="P259" i="5"/>
  <c r="N225" i="5"/>
  <c r="H347" i="4"/>
  <c r="R289" i="4"/>
  <c r="S35" i="10"/>
  <c r="S41" i="10" s="1"/>
  <c r="S36" i="10" s="1"/>
  <c r="EF22" i="7"/>
  <c r="T41" i="7"/>
  <c r="EF41" i="7" s="1"/>
  <c r="Y99" i="10"/>
  <c r="Y210" i="10"/>
  <c r="Y226" i="10" s="1"/>
  <c r="Y242" i="10" s="1"/>
  <c r="AE85" i="10"/>
  <c r="E262" i="11"/>
  <c r="AF183" i="9"/>
  <c r="AF186" i="9" s="1"/>
  <c r="DX22" i="7"/>
  <c r="L41" i="7"/>
  <c r="DX41" i="7" s="1"/>
  <c r="C287" i="9"/>
  <c r="C319" i="9" s="1"/>
  <c r="DQ22" i="7"/>
  <c r="E41" i="7"/>
  <c r="DQ41" i="7" s="1"/>
  <c r="P455" i="5"/>
  <c r="J331" i="5"/>
  <c r="H328" i="5"/>
  <c r="R328" i="5" s="1"/>
  <c r="R241" i="5"/>
  <c r="N245" i="5"/>
  <c r="P450" i="4"/>
  <c r="N450" i="4"/>
  <c r="N267" i="4"/>
  <c r="P267" i="4"/>
  <c r="DU22" i="8"/>
  <c r="I41" i="8"/>
  <c r="E338" i="5"/>
  <c r="Q251" i="5"/>
  <c r="N465" i="5"/>
  <c r="N320" i="4"/>
  <c r="P320" i="4"/>
  <c r="EL41" i="6"/>
  <c r="L340" i="5"/>
  <c r="DV40" i="7"/>
  <c r="DR22" i="8"/>
  <c r="DR41" i="8" s="1"/>
  <c r="F41" i="8"/>
  <c r="N316" i="5"/>
  <c r="P316" i="5"/>
  <c r="S108" i="5"/>
  <c r="N108" i="5"/>
  <c r="N449" i="4"/>
  <c r="P449" i="4"/>
  <c r="N459" i="4"/>
  <c r="P459" i="4"/>
  <c r="S296" i="5"/>
  <c r="K325" i="5"/>
  <c r="S325" i="5" s="1"/>
  <c r="D333" i="4"/>
  <c r="P333" i="4" s="1"/>
  <c r="P275" i="4"/>
  <c r="N275" i="4"/>
  <c r="CN41" i="6"/>
  <c r="S262" i="5"/>
  <c r="K349" i="5"/>
  <c r="S349" i="5" s="1"/>
  <c r="R302" i="5"/>
  <c r="E327" i="5"/>
  <c r="Q240" i="5"/>
  <c r="Q302" i="5"/>
  <c r="N302" i="5"/>
  <c r="CD41" i="6"/>
  <c r="EM41" i="8"/>
  <c r="N347" i="4"/>
  <c r="P347" i="4"/>
  <c r="G177" i="11"/>
  <c r="R207" i="12"/>
  <c r="C159" i="11"/>
  <c r="AG251" i="10"/>
  <c r="D48" i="13"/>
  <c r="P314" i="11"/>
  <c r="P39" i="11"/>
  <c r="W35" i="10"/>
  <c r="W41" i="10" s="1"/>
  <c r="W36" i="10" s="1"/>
  <c r="E81" i="12"/>
  <c r="E97" i="12" s="1"/>
  <c r="E223" i="12"/>
  <c r="M27" i="11"/>
  <c r="D148" i="11"/>
  <c r="D164" i="11" s="1"/>
  <c r="D151" i="11"/>
  <c r="D145" i="11"/>
  <c r="D149" i="11"/>
  <c r="D150" i="11"/>
  <c r="U80" i="13"/>
  <c r="E56" i="13"/>
  <c r="X177" i="13"/>
  <c r="M264" i="11"/>
  <c r="AE104" i="10"/>
  <c r="AG90" i="10"/>
  <c r="AE215" i="10"/>
  <c r="S8" i="2"/>
  <c r="S30" i="2" s="1"/>
  <c r="S161" i="10"/>
  <c r="S177" i="10"/>
  <c r="S160" i="10"/>
  <c r="M11" i="10"/>
  <c r="M16" i="10" s="1"/>
  <c r="D286" i="9"/>
  <c r="D318" i="9" s="1"/>
  <c r="AF213" i="10"/>
  <c r="AF229" i="10" s="1"/>
  <c r="AF245" i="10" s="1"/>
  <c r="AF102" i="10"/>
  <c r="EI22" i="6"/>
  <c r="W41" i="6"/>
  <c r="BH41" i="6"/>
  <c r="R263" i="5"/>
  <c r="H350" i="5"/>
  <c r="R350" i="5" s="1"/>
  <c r="N297" i="5"/>
  <c r="AB282" i="9"/>
  <c r="N303" i="5"/>
  <c r="L27" i="11"/>
  <c r="C151" i="11"/>
  <c r="C143" i="11"/>
  <c r="C153" i="11"/>
  <c r="C150" i="11"/>
  <c r="C144" i="11"/>
  <c r="C160" i="11" s="1"/>
  <c r="C149" i="11"/>
  <c r="C145" i="11"/>
  <c r="C161" i="11" s="1"/>
  <c r="C148" i="11"/>
  <c r="C146" i="11"/>
  <c r="C162" i="11" s="1"/>
  <c r="C152" i="11"/>
  <c r="C38" i="1"/>
  <c r="C4" i="1"/>
  <c r="C8" i="1"/>
  <c r="C13" i="1" s="1"/>
  <c r="V179" i="12"/>
  <c r="T81" i="12"/>
  <c r="D161" i="11"/>
  <c r="V178" i="10"/>
  <c r="V162" i="10" s="1"/>
  <c r="V161" i="10"/>
  <c r="E59" i="13"/>
  <c r="E112" i="11"/>
  <c r="E255" i="11" s="1"/>
  <c r="AJ48" i="10"/>
  <c r="Y177" i="10"/>
  <c r="AH129" i="10"/>
  <c r="E10" i="1"/>
  <c r="E42" i="1" s="1"/>
  <c r="E15" i="11"/>
  <c r="AG71" i="10"/>
  <c r="S36" i="9"/>
  <c r="AH132" i="10"/>
  <c r="D35" i="10"/>
  <c r="D41" i="10" s="1"/>
  <c r="D36" i="10" s="1"/>
  <c r="O330" i="9"/>
  <c r="O39" i="9"/>
  <c r="DY22" i="6"/>
  <c r="M41" i="6"/>
  <c r="N291" i="5"/>
  <c r="N306" i="5"/>
  <c r="ES22" i="7"/>
  <c r="BF41" i="7"/>
  <c r="Q270" i="4"/>
  <c r="P290" i="5"/>
  <c r="P452" i="4"/>
  <c r="N452" i="4"/>
  <c r="N278" i="5"/>
  <c r="N212" i="5"/>
  <c r="Q307" i="4"/>
  <c r="N307" i="4"/>
  <c r="N255" i="5"/>
  <c r="N443" i="4"/>
  <c r="W11" i="3"/>
  <c r="X314" i="11"/>
  <c r="X39" i="11"/>
  <c r="P177" i="10"/>
  <c r="P161" i="10" s="1"/>
  <c r="N11" i="10"/>
  <c r="N16" i="10" s="1"/>
  <c r="N7" i="1"/>
  <c r="N8" i="1" s="1"/>
  <c r="N13" i="1" s="1"/>
  <c r="G35" i="10"/>
  <c r="G41" i="10" s="1"/>
  <c r="G36" i="10" s="1"/>
  <c r="C52" i="10"/>
  <c r="C294" i="9"/>
  <c r="C326" i="9" s="1"/>
  <c r="I307" i="11"/>
  <c r="I309" i="11"/>
  <c r="I311" i="11"/>
  <c r="I313" i="11"/>
  <c r="I302" i="11"/>
  <c r="I306" i="11"/>
  <c r="I304" i="11"/>
  <c r="I310" i="11"/>
  <c r="I305" i="11"/>
  <c r="I312" i="11"/>
  <c r="I308" i="11"/>
  <c r="I303" i="11"/>
  <c r="EN22" i="6"/>
  <c r="BE41" i="6"/>
  <c r="AF210" i="10"/>
  <c r="AF226" i="10" s="1"/>
  <c r="AF242" i="10" s="1"/>
  <c r="AF99" i="10"/>
  <c r="DQ41" i="6"/>
  <c r="EC22" i="8"/>
  <c r="EC41" i="8" s="1"/>
  <c r="Q41" i="8"/>
  <c r="DA41" i="6"/>
  <c r="AF150" i="11"/>
  <c r="AH72" i="10"/>
  <c r="Q15" i="10"/>
  <c r="EF41" i="8"/>
  <c r="DX41" i="6"/>
  <c r="N270" i="5"/>
  <c r="B328" i="5"/>
  <c r="N283" i="5"/>
  <c r="P283" i="5"/>
  <c r="N234" i="4"/>
  <c r="E325" i="5"/>
  <c r="Q238" i="5"/>
  <c r="H341" i="5"/>
  <c r="R254" i="5"/>
  <c r="R25" i="10"/>
  <c r="R28" i="10" s="1"/>
  <c r="R26" i="10" s="1"/>
  <c r="DS40" i="7"/>
  <c r="P453" i="4"/>
  <c r="N453" i="4"/>
  <c r="F327" i="5"/>
  <c r="P118" i="4"/>
  <c r="J329" i="4"/>
  <c r="B343" i="5"/>
  <c r="N256" i="5"/>
  <c r="Q223" i="5"/>
  <c r="G336" i="4"/>
  <c r="Q273" i="5"/>
  <c r="S255" i="4"/>
  <c r="K342" i="4"/>
  <c r="N290" i="4"/>
  <c r="P290" i="4"/>
  <c r="DO22" i="6"/>
  <c r="N226" i="5"/>
  <c r="R245" i="4"/>
  <c r="H332" i="4"/>
  <c r="R332" i="4" s="1"/>
  <c r="R249" i="5"/>
  <c r="H336" i="5"/>
  <c r="R336" i="5" s="1"/>
  <c r="N219" i="4"/>
  <c r="P219" i="4"/>
  <c r="N464" i="4"/>
  <c r="E328" i="4"/>
  <c r="Q328" i="4" s="1"/>
  <c r="Q241" i="4"/>
  <c r="R234" i="4"/>
  <c r="E334" i="4"/>
  <c r="Q334" i="4" s="1"/>
  <c r="Q247" i="4"/>
  <c r="S318" i="4"/>
  <c r="F339" i="4"/>
  <c r="R319" i="4"/>
  <c r="R466" i="4"/>
  <c r="E330" i="5"/>
  <c r="Q243" i="5"/>
  <c r="F340" i="5"/>
  <c r="B350" i="4"/>
  <c r="P263" i="4"/>
  <c r="DN22" i="6"/>
  <c r="D335" i="5"/>
  <c r="P248" i="5"/>
  <c r="E350" i="4"/>
  <c r="Q350" i="4" s="1"/>
  <c r="Q263" i="4"/>
  <c r="Q248" i="4"/>
  <c r="E335" i="4"/>
  <c r="Q335" i="4" s="1"/>
  <c r="N332" i="5"/>
  <c r="Q325" i="4"/>
  <c r="J147" i="4"/>
  <c r="N112" i="5"/>
  <c r="P344" i="4"/>
  <c r="N260" i="4"/>
  <c r="R268" i="4"/>
  <c r="N287" i="4"/>
  <c r="F333" i="5"/>
  <c r="Q246" i="5"/>
  <c r="N118" i="5"/>
  <c r="P306" i="4"/>
  <c r="N306" i="4"/>
  <c r="Q306" i="5"/>
  <c r="DQ22" i="6"/>
  <c r="E345" i="4"/>
  <c r="Q345" i="4" s="1"/>
  <c r="Q258" i="4"/>
  <c r="S92" i="5"/>
  <c r="K338" i="4"/>
  <c r="S338" i="4" s="1"/>
  <c r="S251" i="4"/>
  <c r="AH351" i="20"/>
  <c r="AI351" i="20" s="1"/>
  <c r="L327" i="5"/>
  <c r="R312" i="5"/>
  <c r="H330" i="4"/>
  <c r="R330" i="4" s="1"/>
  <c r="R243" i="4"/>
  <c r="J36" i="1"/>
  <c r="P238" i="4"/>
  <c r="B325" i="4"/>
  <c r="N238" i="4"/>
  <c r="DT28" i="6"/>
  <c r="R239" i="5"/>
  <c r="N291" i="4"/>
  <c r="P291" i="4"/>
  <c r="S316" i="4"/>
  <c r="S444" i="4"/>
  <c r="B346" i="4"/>
  <c r="P259" i="4"/>
  <c r="N259" i="4"/>
  <c r="EA22" i="6"/>
  <c r="C346" i="4"/>
  <c r="P286" i="4"/>
  <c r="H346" i="4"/>
  <c r="R346" i="4" s="1"/>
  <c r="EK41" i="8"/>
  <c r="R291" i="5"/>
  <c r="D327" i="5"/>
  <c r="P327" i="5" s="1"/>
  <c r="P240" i="5"/>
  <c r="EP28" i="7"/>
  <c r="ET28" i="7" s="1"/>
  <c r="E326" i="5"/>
  <c r="Q326" i="5" s="1"/>
  <c r="Q239" i="5"/>
  <c r="P306" i="5"/>
  <c r="P262" i="4"/>
  <c r="N262" i="4"/>
  <c r="B349" i="4"/>
  <c r="Q277" i="4"/>
  <c r="P111" i="4"/>
  <c r="N111" i="4"/>
  <c r="H349" i="4"/>
  <c r="R262" i="4"/>
  <c r="S331" i="5"/>
  <c r="Q286" i="5"/>
  <c r="P115" i="5"/>
  <c r="R465" i="4"/>
  <c r="J336" i="4"/>
  <c r="L332" i="4"/>
  <c r="F328" i="4"/>
  <c r="K336" i="5"/>
  <c r="S249" i="5"/>
  <c r="F338" i="5"/>
  <c r="S224" i="5"/>
  <c r="S448" i="4"/>
  <c r="N230" i="4"/>
  <c r="P230" i="4"/>
  <c r="T8" i="1"/>
  <c r="T13" i="1" s="1"/>
  <c r="B342" i="4"/>
  <c r="P255" i="4"/>
  <c r="N255" i="4"/>
  <c r="E343" i="5"/>
  <c r="Q343" i="5" s="1"/>
  <c r="Q256" i="5"/>
  <c r="N286" i="4"/>
  <c r="P260" i="4"/>
  <c r="ED22" i="8"/>
  <c r="ED41" i="8" s="1"/>
  <c r="DZ22" i="8"/>
  <c r="DZ41" i="8" s="1"/>
  <c r="N313" i="5"/>
  <c r="DW22" i="7"/>
  <c r="P461" i="5"/>
  <c r="N461" i="5"/>
  <c r="DQ40" i="8"/>
  <c r="EI41" i="7"/>
  <c r="S259" i="5"/>
  <c r="K346" i="5"/>
  <c r="R221" i="5"/>
  <c r="Q262" i="5"/>
  <c r="E349" i="5"/>
  <c r="M35" i="10"/>
  <c r="M41" i="10" s="1"/>
  <c r="M36" i="10" s="1"/>
  <c r="AC10" i="10"/>
  <c r="AI51" i="10"/>
  <c r="Q297" i="5"/>
  <c r="Q271" i="5"/>
  <c r="DN28" i="7"/>
  <c r="H331" i="5"/>
  <c r="R331" i="5" s="1"/>
  <c r="R244" i="5"/>
  <c r="H335" i="5"/>
  <c r="R335" i="5" s="1"/>
  <c r="R248" i="5"/>
  <c r="J334" i="5"/>
  <c r="K325" i="4"/>
  <c r="S325" i="4" s="1"/>
  <c r="S238" i="4"/>
  <c r="P462" i="4"/>
  <c r="N462" i="4"/>
  <c r="EK40" i="8"/>
  <c r="H347" i="5"/>
  <c r="R347" i="5" s="1"/>
  <c r="R260" i="5"/>
  <c r="N234" i="5"/>
  <c r="B339" i="5"/>
  <c r="N252" i="5"/>
  <c r="S245" i="4"/>
  <c r="K332" i="4"/>
  <c r="P276" i="4"/>
  <c r="N276" i="4"/>
  <c r="AC13" i="10"/>
  <c r="AC10" i="1" s="1"/>
  <c r="AC42" i="1" s="1"/>
  <c r="AC44" i="6"/>
  <c r="AC45" i="6" s="1"/>
  <c r="P465" i="4"/>
  <c r="N465" i="4"/>
  <c r="N281" i="4"/>
  <c r="P300" i="4"/>
  <c r="N300" i="4"/>
  <c r="I339" i="4"/>
  <c r="DZ22" i="7"/>
  <c r="E335" i="5"/>
  <c r="Q248" i="5"/>
  <c r="P251" i="4"/>
  <c r="N251" i="4"/>
  <c r="B338" i="4"/>
  <c r="EL40" i="7"/>
  <c r="N117" i="5"/>
  <c r="S238" i="5"/>
  <c r="Q234" i="4"/>
  <c r="P233" i="4"/>
  <c r="Q302" i="4"/>
  <c r="N214" i="4"/>
  <c r="DY41" i="8"/>
  <c r="Q465" i="5"/>
  <c r="P262" i="5"/>
  <c r="D349" i="5"/>
  <c r="AI49" i="10"/>
  <c r="BF45" i="6"/>
  <c r="H325" i="5"/>
  <c r="R325" i="5" s="1"/>
  <c r="R238" i="5"/>
  <c r="S232" i="5"/>
  <c r="P10" i="9"/>
  <c r="P11" i="9" s="1"/>
  <c r="P16" i="9" s="1"/>
  <c r="P15" i="9" s="1"/>
  <c r="G49" i="9"/>
  <c r="G57" i="9"/>
  <c r="G53" i="9"/>
  <c r="N319" i="5"/>
  <c r="Q92" i="5"/>
  <c r="H11" i="1"/>
  <c r="Q453" i="5"/>
  <c r="P460" i="4"/>
  <c r="N460" i="4"/>
  <c r="D343" i="4"/>
  <c r="H344" i="5"/>
  <c r="R344" i="5" s="1"/>
  <c r="R257" i="5"/>
  <c r="H10" i="1"/>
  <c r="H42" i="1" s="1"/>
  <c r="G324" i="4"/>
  <c r="Q324" i="4" s="1"/>
  <c r="K331" i="4"/>
  <c r="S331" i="4" s="1"/>
  <c r="S244" i="4"/>
  <c r="N223" i="5"/>
  <c r="B331" i="4"/>
  <c r="N244" i="4"/>
  <c r="P244" i="4"/>
  <c r="C64" i="10"/>
  <c r="S108" i="4"/>
  <c r="DR22" i="7"/>
  <c r="Q451" i="5"/>
  <c r="Y312" i="11"/>
  <c r="Y303" i="11"/>
  <c r="Y305" i="11"/>
  <c r="Y307" i="11"/>
  <c r="Y311" i="11"/>
  <c r="Y310" i="11"/>
  <c r="Y306" i="11"/>
  <c r="Y302" i="11"/>
  <c r="Y313" i="11"/>
  <c r="Y309" i="11"/>
  <c r="Y304" i="11"/>
  <c r="Y308" i="11"/>
  <c r="N232" i="5"/>
  <c r="P247" i="4"/>
  <c r="N247" i="4"/>
  <c r="B334" i="4"/>
  <c r="E332" i="5"/>
  <c r="Q332" i="5" s="1"/>
  <c r="Q245" i="5"/>
  <c r="N111" i="5"/>
  <c r="N305" i="4"/>
  <c r="K335" i="4"/>
  <c r="S335" i="4" s="1"/>
  <c r="S248" i="4"/>
  <c r="N209" i="4"/>
  <c r="N280" i="4"/>
  <c r="F348" i="4"/>
  <c r="E348" i="4"/>
  <c r="N284" i="5"/>
  <c r="S242" i="4"/>
  <c r="K329" i="4"/>
  <c r="S329" i="4" s="1"/>
  <c r="R287" i="4"/>
  <c r="L331" i="4"/>
  <c r="EE40" i="7"/>
  <c r="C75" i="10"/>
  <c r="P270" i="5"/>
  <c r="K326" i="5"/>
  <c r="S326" i="5" s="1"/>
  <c r="S239" i="5"/>
  <c r="N318" i="5"/>
  <c r="H343" i="4"/>
  <c r="R343" i="4" s="1"/>
  <c r="N225" i="4"/>
  <c r="P225" i="4"/>
  <c r="R232" i="4"/>
  <c r="P318" i="4"/>
  <c r="N318" i="4"/>
  <c r="R242" i="4"/>
  <c r="H329" i="4"/>
  <c r="M331" i="5"/>
  <c r="F349" i="5"/>
  <c r="Q94" i="5"/>
  <c r="L336" i="5"/>
  <c r="R346" i="5"/>
  <c r="L338" i="5"/>
  <c r="C67" i="10"/>
  <c r="S317" i="5"/>
  <c r="M325" i="5"/>
  <c r="Q240" i="4"/>
  <c r="P284" i="5"/>
  <c r="K31" i="4"/>
  <c r="K345" i="5"/>
  <c r="S345" i="5" s="1"/>
  <c r="S258" i="5"/>
  <c r="AF18" i="10"/>
  <c r="P245" i="5"/>
  <c r="D332" i="5"/>
  <c r="P332" i="5" s="1"/>
  <c r="N307" i="5"/>
  <c r="P442" i="4"/>
  <c r="N442" i="4"/>
  <c r="K350" i="5"/>
  <c r="S263" i="5"/>
  <c r="B333" i="5"/>
  <c r="N246" i="5"/>
  <c r="M329" i="5"/>
  <c r="S311" i="5"/>
  <c r="S254" i="5"/>
  <c r="H325" i="4"/>
  <c r="R325" i="4" s="1"/>
  <c r="R238" i="4"/>
  <c r="Q285" i="4"/>
  <c r="N263" i="5"/>
  <c r="B325" i="5"/>
  <c r="N238" i="5"/>
  <c r="Q460" i="4"/>
  <c r="P318" i="5"/>
  <c r="I326" i="5"/>
  <c r="R326" i="5" s="1"/>
  <c r="AA41" i="6"/>
  <c r="K344" i="5"/>
  <c r="S344" i="5" s="1"/>
  <c r="S257" i="5"/>
  <c r="R245" i="5"/>
  <c r="H332" i="5"/>
  <c r="J348" i="4"/>
  <c r="R259" i="5"/>
  <c r="EK28" i="6"/>
  <c r="EJ40" i="8"/>
  <c r="EJ41" i="8" s="1"/>
  <c r="J41" i="6"/>
  <c r="N232" i="4"/>
  <c r="EL28" i="6"/>
  <c r="K326" i="4"/>
  <c r="S326" i="4" s="1"/>
  <c r="L89" i="4"/>
  <c r="L118" i="4" s="1"/>
  <c r="N107" i="4"/>
  <c r="Z11" i="3"/>
  <c r="Z39" i="3" s="1"/>
  <c r="Z36" i="9"/>
  <c r="AF247" i="9"/>
  <c r="N261" i="5"/>
  <c r="B348" i="5"/>
  <c r="P249" i="5"/>
  <c r="D336" i="5"/>
  <c r="P211" i="5"/>
  <c r="DN22" i="7"/>
  <c r="EI41" i="8"/>
  <c r="O11" i="10"/>
  <c r="O16" i="10" s="1"/>
  <c r="DT22" i="8"/>
  <c r="DT41" i="8" s="1"/>
  <c r="H342" i="5"/>
  <c r="R342" i="5" s="1"/>
  <c r="R255" i="5"/>
  <c r="R466" i="5"/>
  <c r="S461" i="5"/>
  <c r="J15" i="10"/>
  <c r="J18" i="10"/>
  <c r="N309" i="5"/>
  <c r="D329" i="5"/>
  <c r="P329" i="5" s="1"/>
  <c r="P242" i="5"/>
  <c r="DZ41" i="7"/>
  <c r="S466" i="5"/>
  <c r="S278" i="4"/>
  <c r="S94" i="4"/>
  <c r="N116" i="5"/>
  <c r="E346" i="4"/>
  <c r="Q346" i="4" s="1"/>
  <c r="Q259" i="4"/>
  <c r="E344" i="4"/>
  <c r="Q344" i="4" s="1"/>
  <c r="Q257" i="4"/>
  <c r="N447" i="4"/>
  <c r="P447" i="4"/>
  <c r="G333" i="5"/>
  <c r="P279" i="4"/>
  <c r="N279" i="4"/>
  <c r="S226" i="4"/>
  <c r="P448" i="4"/>
  <c r="N448" i="4"/>
  <c r="Q448" i="5"/>
  <c r="H341" i="4"/>
  <c r="R341" i="4" s="1"/>
  <c r="R254" i="4"/>
  <c r="Q341" i="4"/>
  <c r="N292" i="5"/>
  <c r="EA22" i="8"/>
  <c r="D339" i="5"/>
  <c r="P339" i="5" s="1"/>
  <c r="P252" i="5"/>
  <c r="EN28" i="7"/>
  <c r="Z331" i="9"/>
  <c r="R273" i="5"/>
  <c r="N317" i="5"/>
  <c r="DT40" i="6"/>
  <c r="G331" i="5"/>
  <c r="P253" i="5"/>
  <c r="D340" i="5"/>
  <c r="EL41" i="8"/>
  <c r="B288" i="9"/>
  <c r="B320" i="9" s="1"/>
  <c r="EG22" i="6"/>
  <c r="EG41" i="6" s="1"/>
  <c r="B344" i="5"/>
  <c r="N257" i="5"/>
  <c r="EL22" i="7"/>
  <c r="EL41" i="7" s="1"/>
  <c r="AG309" i="11"/>
  <c r="AG311" i="11"/>
  <c r="AG313" i="11"/>
  <c r="AG302" i="11"/>
  <c r="AG304" i="11"/>
  <c r="AG308" i="11"/>
  <c r="AG312" i="11"/>
  <c r="AG307" i="11"/>
  <c r="AG303" i="11"/>
  <c r="AG306" i="11"/>
  <c r="AG310" i="11"/>
  <c r="AG305" i="11"/>
  <c r="N244" i="5"/>
  <c r="B331" i="5"/>
  <c r="S246" i="4"/>
  <c r="K333" i="4"/>
  <c r="S333" i="4" s="1"/>
  <c r="EO28" i="8"/>
  <c r="ES28" i="8" s="1"/>
  <c r="N262" i="5"/>
  <c r="B349" i="5"/>
  <c r="N349" i="5" s="1"/>
  <c r="D331" i="5"/>
  <c r="P331" i="5" s="1"/>
  <c r="P244" i="5"/>
  <c r="J327" i="4"/>
  <c r="P277" i="4"/>
  <c r="N277" i="4"/>
  <c r="N449" i="5"/>
  <c r="M347" i="5"/>
  <c r="P315" i="5"/>
  <c r="I329" i="4"/>
  <c r="J41" i="8"/>
  <c r="Q462" i="5"/>
  <c r="N462" i="5"/>
  <c r="N312" i="5"/>
  <c r="Q442" i="4"/>
  <c r="K339" i="4"/>
  <c r="S339" i="4" s="1"/>
  <c r="S252" i="4"/>
  <c r="K339" i="5"/>
  <c r="S339" i="5" s="1"/>
  <c r="S252" i="5"/>
  <c r="C329" i="4"/>
  <c r="F342" i="4"/>
  <c r="N102" i="4"/>
  <c r="P102" i="4"/>
  <c r="P283" i="4"/>
  <c r="N283" i="4"/>
  <c r="EE40" i="6"/>
  <c r="P445" i="4"/>
  <c r="N445" i="4"/>
  <c r="R299" i="4"/>
  <c r="S256" i="4"/>
  <c r="R10" i="10"/>
  <c r="AQ71" i="10"/>
  <c r="S251" i="5"/>
  <c r="K338" i="5"/>
  <c r="R225" i="4"/>
  <c r="S447" i="4"/>
  <c r="H331" i="4"/>
  <c r="R331" i="4" s="1"/>
  <c r="N285" i="5"/>
  <c r="H329" i="5"/>
  <c r="R329" i="5" s="1"/>
  <c r="R242" i="5"/>
  <c r="N304" i="5"/>
  <c r="R338" i="5"/>
  <c r="P304" i="5"/>
  <c r="P454" i="4"/>
  <c r="N454" i="4"/>
  <c r="Q313" i="4"/>
  <c r="N213" i="5"/>
  <c r="S240" i="4"/>
  <c r="K327" i="4"/>
  <c r="S327" i="4" s="1"/>
  <c r="B329" i="5"/>
  <c r="N242" i="5"/>
  <c r="R97" i="5"/>
  <c r="S343" i="4"/>
  <c r="EH22" i="7"/>
  <c r="P317" i="5"/>
  <c r="S222" i="5"/>
  <c r="N274" i="5"/>
  <c r="P271" i="4"/>
  <c r="V4" i="12"/>
  <c r="U14" i="12" s="1"/>
  <c r="U11" i="1" s="1"/>
  <c r="U43" i="1" s="1"/>
  <c r="V6" i="12"/>
  <c r="V7" i="12"/>
  <c r="V3" i="1"/>
  <c r="O161" i="12"/>
  <c r="AJ177" i="10"/>
  <c r="M162" i="10"/>
  <c r="B25" i="10"/>
  <c r="B28" i="10" s="1"/>
  <c r="B26" i="10" s="1"/>
  <c r="D129" i="10"/>
  <c r="D161" i="10" s="1"/>
  <c r="AC41" i="7"/>
  <c r="H163" i="10"/>
  <c r="C277" i="10"/>
  <c r="R41" i="8"/>
  <c r="E54" i="9"/>
  <c r="AQ65" i="10"/>
  <c r="EO40" i="6"/>
  <c r="M26" i="9"/>
  <c r="Z5" i="3"/>
  <c r="EK40" i="6"/>
  <c r="ED40" i="8"/>
  <c r="N260" i="11"/>
  <c r="DX22" i="8"/>
  <c r="DX41" i="8" s="1"/>
  <c r="AF184" i="9"/>
  <c r="AI66" i="10"/>
  <c r="AI54" i="10"/>
  <c r="F336" i="5"/>
  <c r="D73" i="10"/>
  <c r="Q461" i="5"/>
  <c r="G59" i="9"/>
  <c r="EK22" i="7"/>
  <c r="D330" i="5"/>
  <c r="P243" i="5"/>
  <c r="B41" i="7"/>
  <c r="DN41" i="7" s="1"/>
  <c r="S453" i="5"/>
  <c r="EH40" i="8"/>
  <c r="EH41" i="8" s="1"/>
  <c r="Q318" i="5"/>
  <c r="U39" i="9"/>
  <c r="U330" i="9"/>
  <c r="EJ22" i="6"/>
  <c r="EJ41" i="6" s="1"/>
  <c r="S443" i="4"/>
  <c r="D296" i="9"/>
  <c r="D328" i="9" s="1"/>
  <c r="EB40" i="7"/>
  <c r="C344" i="5"/>
  <c r="B337" i="5"/>
  <c r="N250" i="5"/>
  <c r="N460" i="5"/>
  <c r="AL7" i="10"/>
  <c r="AM7" i="10" s="1"/>
  <c r="Z41" i="7"/>
  <c r="DP22" i="7"/>
  <c r="D41" i="7"/>
  <c r="DP41" i="7" s="1"/>
  <c r="N109" i="5"/>
  <c r="Q109" i="5"/>
  <c r="DO41" i="8"/>
  <c r="S307" i="5"/>
  <c r="N447" i="5"/>
  <c r="C333" i="5"/>
  <c r="R452" i="4"/>
  <c r="E349" i="4"/>
  <c r="Q349" i="4" s="1"/>
  <c r="Q262" i="4"/>
  <c r="N289" i="4"/>
  <c r="P289" i="4"/>
  <c r="EN22" i="7"/>
  <c r="EN41" i="7" s="1"/>
  <c r="ED40" i="7"/>
  <c r="Q220" i="4"/>
  <c r="N287" i="5"/>
  <c r="P110" i="5"/>
  <c r="EN28" i="8"/>
  <c r="M350" i="5"/>
  <c r="R227" i="4"/>
  <c r="B342" i="5"/>
  <c r="N342" i="5" s="1"/>
  <c r="N230" i="5"/>
  <c r="G342" i="4"/>
  <c r="N442" i="5"/>
  <c r="R337" i="4"/>
  <c r="I57" i="9"/>
  <c r="EK22" i="6"/>
  <c r="Q224" i="5"/>
  <c r="Q253" i="4"/>
  <c r="E340" i="4"/>
  <c r="Q447" i="4"/>
  <c r="P210" i="4"/>
  <c r="N210" i="4"/>
  <c r="N289" i="5"/>
  <c r="L333" i="4"/>
  <c r="R270" i="5"/>
  <c r="R209" i="5"/>
  <c r="P298" i="4"/>
  <c r="N298" i="4"/>
  <c r="AG179" i="9"/>
  <c r="AG178" i="9"/>
  <c r="AA27" i="9"/>
  <c r="AA26" i="9" s="1"/>
  <c r="S457" i="5"/>
  <c r="K343" i="5"/>
  <c r="S343" i="5" s="1"/>
  <c r="F334" i="4"/>
  <c r="M329" i="4"/>
  <c r="S295" i="4"/>
  <c r="P113" i="5"/>
  <c r="Q454" i="4"/>
  <c r="P315" i="4"/>
  <c r="N315" i="4"/>
  <c r="P309" i="4"/>
  <c r="N309" i="4"/>
  <c r="M342" i="4"/>
  <c r="N440" i="5"/>
  <c r="P240" i="4"/>
  <c r="D347" i="5"/>
  <c r="N240" i="4"/>
  <c r="N270" i="4"/>
  <c r="V18" i="10"/>
  <c r="V15" i="10"/>
  <c r="N98" i="4"/>
  <c r="N256" i="4"/>
  <c r="S244" i="5"/>
  <c r="K177" i="11"/>
  <c r="K161" i="11" s="1"/>
  <c r="AF177" i="11"/>
  <c r="I308" i="12"/>
  <c r="I211" i="12"/>
  <c r="H43" i="1"/>
  <c r="F224" i="12"/>
  <c r="F82" i="12"/>
  <c r="F98" i="12" s="1"/>
  <c r="T314" i="11"/>
  <c r="T39" i="11"/>
  <c r="P262" i="11"/>
  <c r="N10" i="13"/>
  <c r="N11" i="13" s="1"/>
  <c r="N16" i="13" s="1"/>
  <c r="D56" i="13"/>
  <c r="D54" i="13"/>
  <c r="E55" i="13"/>
  <c r="C54" i="13"/>
  <c r="N36" i="11"/>
  <c r="S92" i="11"/>
  <c r="K265" i="11"/>
  <c r="B161" i="10"/>
  <c r="B177" i="10"/>
  <c r="F92" i="11"/>
  <c r="G56" i="11"/>
  <c r="P10" i="11"/>
  <c r="G47" i="11"/>
  <c r="G51" i="11"/>
  <c r="G58" i="11"/>
  <c r="G50" i="11"/>
  <c r="G54" i="11"/>
  <c r="EP4" i="6"/>
  <c r="AD7" i="1"/>
  <c r="DQ28" i="8"/>
  <c r="DQ41" i="8" s="1"/>
  <c r="J8" i="2"/>
  <c r="M180" i="10"/>
  <c r="M164" i="10" s="1"/>
  <c r="DS41" i="7"/>
  <c r="DY22" i="8"/>
  <c r="DW22" i="8"/>
  <c r="E50" i="9"/>
  <c r="DS40" i="6"/>
  <c r="I92" i="11"/>
  <c r="AN56" i="9"/>
  <c r="U10" i="1"/>
  <c r="U42" i="1" s="1"/>
  <c r="M41" i="8"/>
  <c r="X25" i="10"/>
  <c r="X28" i="10" s="1"/>
  <c r="X26" i="10" s="1"/>
  <c r="AI69" i="10"/>
  <c r="AL69" i="10" s="1"/>
  <c r="AG244" i="9"/>
  <c r="Q290" i="5"/>
  <c r="DT40" i="8"/>
  <c r="EC22" i="6"/>
  <c r="EC41" i="6" s="1"/>
  <c r="B330" i="5"/>
  <c r="N243" i="5"/>
  <c r="B148" i="11"/>
  <c r="R315" i="5"/>
  <c r="C343" i="5"/>
  <c r="U331" i="9"/>
  <c r="AF249" i="9"/>
  <c r="AN52" i="9"/>
  <c r="ES4" i="6"/>
  <c r="N221" i="5"/>
  <c r="DQ22" i="8"/>
  <c r="U41" i="6"/>
  <c r="L342" i="5"/>
  <c r="S242" i="5"/>
  <c r="K329" i="5"/>
  <c r="P446" i="4"/>
  <c r="N446" i="4"/>
  <c r="N271" i="5"/>
  <c r="EF40" i="6"/>
  <c r="EF41" i="6" s="1"/>
  <c r="D326" i="5"/>
  <c r="P326" i="5" s="1"/>
  <c r="P239" i="5"/>
  <c r="E347" i="4"/>
  <c r="Q347" i="4" s="1"/>
  <c r="Q260" i="4"/>
  <c r="P285" i="4"/>
  <c r="N285" i="4"/>
  <c r="Q320" i="5"/>
  <c r="G331" i="4"/>
  <c r="K345" i="4"/>
  <c r="S258" i="4"/>
  <c r="I344" i="5"/>
  <c r="R221" i="4"/>
  <c r="R253" i="4"/>
  <c r="H340" i="4"/>
  <c r="R340" i="4" s="1"/>
  <c r="B326" i="5"/>
  <c r="N239" i="5"/>
  <c r="N273" i="5"/>
  <c r="I59" i="9"/>
  <c r="J341" i="5"/>
  <c r="S443" i="5"/>
  <c r="P223" i="5"/>
  <c r="DP22" i="6"/>
  <c r="P241" i="5"/>
  <c r="D328" i="5"/>
  <c r="P328" i="5" s="1"/>
  <c r="K346" i="4"/>
  <c r="S346" i="4" s="1"/>
  <c r="S259" i="4"/>
  <c r="E329" i="4"/>
  <c r="Q329" i="4" s="1"/>
  <c r="E346" i="5"/>
  <c r="Q346" i="5" s="1"/>
  <c r="B335" i="5"/>
  <c r="N248" i="5"/>
  <c r="H339" i="4"/>
  <c r="R252" i="4"/>
  <c r="C338" i="5"/>
  <c r="I349" i="4"/>
  <c r="P278" i="4"/>
  <c r="N278" i="4"/>
  <c r="DN40" i="8"/>
  <c r="R448" i="4"/>
  <c r="E331" i="4"/>
  <c r="Q331" i="4" s="1"/>
  <c r="Q244" i="4"/>
  <c r="EA41" i="6"/>
  <c r="R101" i="5"/>
  <c r="Q305" i="5"/>
  <c r="S314" i="4"/>
  <c r="R316" i="4"/>
  <c r="R241" i="4"/>
  <c r="H328" i="4"/>
  <c r="P313" i="5"/>
  <c r="N284" i="4"/>
  <c r="P256" i="4"/>
  <c r="K41" i="8"/>
  <c r="N295" i="5"/>
  <c r="B348" i="4"/>
  <c r="P261" i="4"/>
  <c r="N261" i="4"/>
  <c r="N299" i="5"/>
  <c r="Q306" i="4"/>
  <c r="P316" i="4"/>
  <c r="N316" i="4"/>
  <c r="S228" i="4"/>
  <c r="N226" i="4"/>
  <c r="N113" i="4"/>
  <c r="P95" i="5"/>
  <c r="N209" i="5"/>
  <c r="R250" i="4"/>
  <c r="N343" i="4"/>
  <c r="P343" i="4"/>
  <c r="P82" i="13"/>
  <c r="P98" i="13" s="1"/>
  <c r="P114" i="13" s="1"/>
  <c r="AQ72" i="10"/>
  <c r="AN53" i="9"/>
  <c r="C41" i="6"/>
  <c r="B41" i="6"/>
  <c r="M282" i="9"/>
  <c r="EK22" i="8"/>
  <c r="DX28" i="6"/>
  <c r="G327" i="5"/>
  <c r="Q296" i="5"/>
  <c r="Q443" i="5"/>
  <c r="I340" i="5"/>
  <c r="N446" i="5"/>
  <c r="B146" i="11"/>
  <c r="N288" i="5"/>
  <c r="Q309" i="5"/>
  <c r="R444" i="5"/>
  <c r="DP28" i="6"/>
  <c r="AG240" i="9"/>
  <c r="DV41" i="6"/>
  <c r="P319" i="5"/>
  <c r="P35" i="10"/>
  <c r="P41" i="10" s="1"/>
  <c r="P36" i="10" s="1"/>
  <c r="Q282" i="5"/>
  <c r="R307" i="5"/>
  <c r="R315" i="4"/>
  <c r="Q115" i="5"/>
  <c r="S267" i="5"/>
  <c r="N456" i="4"/>
  <c r="Q266" i="5"/>
  <c r="Q252" i="4"/>
  <c r="E339" i="4"/>
  <c r="Q339" i="4" s="1"/>
  <c r="P314" i="4"/>
  <c r="N314" i="4"/>
  <c r="I327" i="4"/>
  <c r="D291" i="9"/>
  <c r="D323" i="9" s="1"/>
  <c r="N242" i="4"/>
  <c r="P230" i="5"/>
  <c r="F339" i="5"/>
  <c r="M337" i="4"/>
  <c r="EL22" i="6"/>
  <c r="S237" i="5"/>
  <c r="K324" i="5"/>
  <c r="S324" i="5" s="1"/>
  <c r="R445" i="4"/>
  <c r="ET40" i="6"/>
  <c r="F343" i="5"/>
  <c r="K327" i="5"/>
  <c r="S240" i="5"/>
  <c r="K147" i="4"/>
  <c r="Q96" i="5"/>
  <c r="G340" i="4"/>
  <c r="M331" i="4"/>
  <c r="S250" i="4"/>
  <c r="R457" i="5"/>
  <c r="G345" i="5"/>
  <c r="N288" i="4"/>
  <c r="P288" i="4"/>
  <c r="N451" i="5"/>
  <c r="Z41" i="6"/>
  <c r="N224" i="5"/>
  <c r="B328" i="4"/>
  <c r="N241" i="4"/>
  <c r="P241" i="4"/>
  <c r="B340" i="4"/>
  <c r="P253" i="4"/>
  <c r="N253" i="4"/>
  <c r="V41" i="7"/>
  <c r="EH41" i="7" s="1"/>
  <c r="G349" i="5"/>
  <c r="H348" i="5"/>
  <c r="R348" i="5" s="1"/>
  <c r="B345" i="4"/>
  <c r="K348" i="4"/>
  <c r="S348" i="4" s="1"/>
  <c r="P111" i="5"/>
  <c r="P103" i="5"/>
  <c r="Q8" i="2"/>
  <c r="L27" i="12"/>
  <c r="C149" i="12"/>
  <c r="M163" i="10"/>
  <c r="E41" i="8"/>
  <c r="D271" i="10"/>
  <c r="U5" i="2"/>
  <c r="C139" i="10"/>
  <c r="EL40" i="6"/>
  <c r="EA41" i="8"/>
  <c r="ED28" i="7"/>
  <c r="M107" i="11"/>
  <c r="M23" i="11" s="1"/>
  <c r="M25" i="11" s="1"/>
  <c r="M28" i="11" s="1"/>
  <c r="M26" i="11" s="1"/>
  <c r="M111" i="11"/>
  <c r="M254" i="11" s="1"/>
  <c r="AG75" i="9"/>
  <c r="T15" i="11"/>
  <c r="T45" i="11" s="1"/>
  <c r="EB28" i="7"/>
  <c r="AN50" i="9"/>
  <c r="AN58" i="9"/>
  <c r="R10" i="9"/>
  <c r="R11" i="9" s="1"/>
  <c r="R16" i="9" s="1"/>
  <c r="R15" i="9" s="1"/>
  <c r="AN54" i="9"/>
  <c r="I54" i="9"/>
  <c r="M24" i="10"/>
  <c r="M5" i="2" s="1"/>
  <c r="D274" i="10"/>
  <c r="D278" i="10"/>
  <c r="D136" i="10"/>
  <c r="D257" i="10"/>
  <c r="D266" i="10"/>
  <c r="T10" i="1"/>
  <c r="T42" i="1" s="1"/>
  <c r="AI65" i="10"/>
  <c r="R278" i="5"/>
  <c r="C73" i="10"/>
  <c r="C337" i="5"/>
  <c r="EK28" i="7"/>
  <c r="L328" i="5"/>
  <c r="B149" i="11"/>
  <c r="K334" i="5"/>
  <c r="S334" i="5" s="1"/>
  <c r="S247" i="5"/>
  <c r="N311" i="5"/>
  <c r="K328" i="5"/>
  <c r="S241" i="5"/>
  <c r="Q455" i="5"/>
  <c r="R268" i="5"/>
  <c r="P278" i="5"/>
  <c r="Q118" i="5"/>
  <c r="AI18" i="10"/>
  <c r="C296" i="9"/>
  <c r="C328" i="9" s="1"/>
  <c r="EO28" i="7"/>
  <c r="ES28" i="7" s="1"/>
  <c r="P308" i="4"/>
  <c r="N308" i="4"/>
  <c r="O10" i="9"/>
  <c r="O11" i="9" s="1"/>
  <c r="O16" i="9" s="1"/>
  <c r="O15" i="9" s="1"/>
  <c r="F59" i="9"/>
  <c r="F55" i="9"/>
  <c r="F51" i="9"/>
  <c r="F57" i="9"/>
  <c r="F53" i="9"/>
  <c r="E53" i="9"/>
  <c r="E55" i="9"/>
  <c r="F49" i="9"/>
  <c r="S298" i="5"/>
  <c r="S454" i="4"/>
  <c r="S464" i="4"/>
  <c r="P301" i="5"/>
  <c r="C348" i="5"/>
  <c r="I339" i="5"/>
  <c r="C282" i="9"/>
  <c r="E342" i="5"/>
  <c r="Q342" i="5" s="1"/>
  <c r="Q255" i="5"/>
  <c r="B329" i="4"/>
  <c r="DP28" i="7"/>
  <c r="R211" i="4"/>
  <c r="AG180" i="9"/>
  <c r="S440" i="5"/>
  <c r="P274" i="4"/>
  <c r="N274" i="4"/>
  <c r="B339" i="4"/>
  <c r="P252" i="4"/>
  <c r="N252" i="4"/>
  <c r="R285" i="4"/>
  <c r="B341" i="4"/>
  <c r="N254" i="4"/>
  <c r="P254" i="4"/>
  <c r="N249" i="5"/>
  <c r="B336" i="5"/>
  <c r="B345" i="5"/>
  <c r="N258" i="5"/>
  <c r="P311" i="4"/>
  <c r="N311" i="4"/>
  <c r="K176" i="4"/>
  <c r="ES4" i="8"/>
  <c r="R216" i="4"/>
  <c r="EM28" i="6"/>
  <c r="EM41" i="6" s="1"/>
  <c r="N104" i="4"/>
  <c r="J335" i="4"/>
  <c r="F326" i="4"/>
  <c r="P93" i="4"/>
  <c r="N93" i="4"/>
  <c r="S279" i="4"/>
  <c r="N295" i="4"/>
  <c r="G341" i="4"/>
  <c r="P215" i="4"/>
  <c r="N215" i="4"/>
  <c r="C293" i="9"/>
  <c r="C325" i="9" s="1"/>
  <c r="P272" i="5"/>
  <c r="DN41" i="8"/>
  <c r="N461" i="4"/>
  <c r="P461" i="4"/>
  <c r="N210" i="5"/>
  <c r="N97" i="5"/>
  <c r="H326" i="4"/>
  <c r="R326" i="4" s="1"/>
  <c r="DP40" i="6"/>
  <c r="AE35" i="9"/>
  <c r="AE41" i="9" s="1"/>
  <c r="AE36" i="9" s="1"/>
  <c r="M92" i="11"/>
  <c r="Z97" i="10"/>
  <c r="Z161" i="10" s="1"/>
  <c r="Z208" i="10"/>
  <c r="Z224" i="10" s="1"/>
  <c r="Z240" i="10" s="1"/>
  <c r="AF83" i="10"/>
  <c r="AN48" i="9"/>
  <c r="AQ59" i="10"/>
  <c r="G13" i="10"/>
  <c r="G10" i="1" s="1"/>
  <c r="G42" i="1" s="1"/>
  <c r="C72" i="10"/>
  <c r="C65" i="10"/>
  <c r="AI68" i="10"/>
  <c r="E336" i="5"/>
  <c r="Q249" i="5"/>
  <c r="B147" i="11"/>
  <c r="R306" i="5"/>
  <c r="S280" i="5"/>
  <c r="O282" i="9"/>
  <c r="N466" i="5"/>
  <c r="N282" i="9"/>
  <c r="Q105" i="5"/>
  <c r="CP41" i="8"/>
  <c r="R455" i="5"/>
  <c r="N208" i="5"/>
  <c r="F325" i="5"/>
  <c r="AG242" i="9"/>
  <c r="DS28" i="7"/>
  <c r="F52" i="9"/>
  <c r="J338" i="5"/>
  <c r="R232" i="5"/>
  <c r="S446" i="4"/>
  <c r="R269" i="5"/>
  <c r="C70" i="10"/>
  <c r="R237" i="5"/>
  <c r="H324" i="5"/>
  <c r="R324" i="5" s="1"/>
  <c r="I344" i="4"/>
  <c r="R344" i="4" s="1"/>
  <c r="N221" i="4"/>
  <c r="P221" i="4"/>
  <c r="P307" i="5"/>
  <c r="L337" i="4"/>
  <c r="S337" i="4" s="1"/>
  <c r="F335" i="5"/>
  <c r="S223" i="5"/>
  <c r="R342" i="4"/>
  <c r="D350" i="5"/>
  <c r="N220" i="5"/>
  <c r="J328" i="4"/>
  <c r="N229" i="5"/>
  <c r="R249" i="4"/>
  <c r="H336" i="4"/>
  <c r="N269" i="5"/>
  <c r="E337" i="4"/>
  <c r="Q337" i="4" s="1"/>
  <c r="Q250" i="4"/>
  <c r="K334" i="4"/>
  <c r="S334" i="4" s="1"/>
  <c r="S247" i="4"/>
  <c r="N104" i="5"/>
  <c r="P440" i="4"/>
  <c r="N440" i="4"/>
  <c r="X61" i="1"/>
  <c r="X62" i="1" s="1"/>
  <c r="X63" i="1" s="1"/>
  <c r="L343" i="5"/>
  <c r="Q296" i="4"/>
  <c r="K344" i="4"/>
  <c r="S257" i="4"/>
  <c r="N218" i="4"/>
  <c r="F344" i="5"/>
  <c r="Q304" i="5"/>
  <c r="R92" i="5"/>
  <c r="P237" i="4"/>
  <c r="B324" i="4"/>
  <c r="N237" i="4"/>
  <c r="N224" i="4"/>
  <c r="P224" i="4"/>
  <c r="B335" i="4"/>
  <c r="N248" i="4"/>
  <c r="P248" i="4"/>
  <c r="Q317" i="5"/>
  <c r="Q281" i="5"/>
  <c r="R214" i="5"/>
  <c r="P313" i="4"/>
  <c r="N313" i="4"/>
  <c r="N272" i="4"/>
  <c r="P272" i="4"/>
  <c r="C295" i="9"/>
  <c r="C327" i="9" s="1"/>
  <c r="EB41" i="6"/>
  <c r="K347" i="5"/>
  <c r="S347" i="5" s="1"/>
  <c r="R308" i="4"/>
  <c r="N296" i="4"/>
  <c r="P296" i="4"/>
  <c r="P115" i="4"/>
  <c r="N115" i="4"/>
  <c r="M333" i="5"/>
  <c r="N107" i="5"/>
  <c r="E343" i="4"/>
  <c r="Q343" i="4" s="1"/>
  <c r="N213" i="4"/>
  <c r="T61" i="1"/>
  <c r="T62" i="1" s="1"/>
  <c r="T63" i="1" s="1"/>
  <c r="P317" i="4"/>
  <c r="AE177" i="13"/>
  <c r="H207" i="13"/>
  <c r="D177" i="12"/>
  <c r="AD251" i="12"/>
  <c r="AE235" i="12"/>
  <c r="W177" i="12"/>
  <c r="CI45" i="8"/>
  <c r="J218" i="12"/>
  <c r="T163" i="13"/>
  <c r="W177" i="10"/>
  <c r="W161" i="10"/>
  <c r="W46" i="14"/>
  <c r="Q92" i="11"/>
  <c r="E58" i="13"/>
  <c r="I225" i="12"/>
  <c r="I241" i="12" s="1"/>
  <c r="I83" i="12"/>
  <c r="I99" i="12" s="1"/>
  <c r="I115" i="12" s="1"/>
  <c r="B35" i="10"/>
  <c r="B41" i="10" s="1"/>
  <c r="B36" i="10" s="1"/>
  <c r="U11" i="3"/>
  <c r="U39" i="3" s="1"/>
  <c r="DX40" i="8"/>
  <c r="BD44" i="8"/>
  <c r="EQ44" i="8" s="1"/>
  <c r="EQ45" i="8" s="1"/>
  <c r="AE44" i="8"/>
  <c r="K35" i="10"/>
  <c r="K41" i="10" s="1"/>
  <c r="K36" i="10" s="1"/>
  <c r="K163" i="10"/>
  <c r="D265" i="10"/>
  <c r="AD161" i="10"/>
  <c r="C128" i="10"/>
  <c r="C160" i="10" s="1"/>
  <c r="DV22" i="8"/>
  <c r="DV41" i="8" s="1"/>
  <c r="X18" i="10"/>
  <c r="X15" i="10"/>
  <c r="X19" i="10" s="1"/>
  <c r="DW40" i="7"/>
  <c r="AC35" i="9"/>
  <c r="AC41" i="9" s="1"/>
  <c r="AC36" i="9" s="1"/>
  <c r="Z215" i="10"/>
  <c r="Z231" i="10" s="1"/>
  <c r="Z247" i="10" s="1"/>
  <c r="AA94" i="10"/>
  <c r="Z104" i="10"/>
  <c r="AF90" i="10"/>
  <c r="AB35" i="9"/>
  <c r="AB41" i="9" s="1"/>
  <c r="AB36" i="9" s="1"/>
  <c r="P223" i="13"/>
  <c r="P80" i="13"/>
  <c r="DY28" i="7"/>
  <c r="Y213" i="10"/>
  <c r="Y229" i="10" s="1"/>
  <c r="Y245" i="10" s="1"/>
  <c r="Y102" i="10"/>
  <c r="AE88" i="10"/>
  <c r="L41" i="8"/>
  <c r="Q10" i="1"/>
  <c r="B150" i="11"/>
  <c r="Y7" i="1"/>
  <c r="Y8" i="1" s="1"/>
  <c r="Y13" i="1" s="1"/>
  <c r="EM22" i="7"/>
  <c r="EM41" i="7" s="1"/>
  <c r="S282" i="5"/>
  <c r="L337" i="5"/>
  <c r="B143" i="11"/>
  <c r="B159" i="11" s="1"/>
  <c r="P459" i="5"/>
  <c r="S444" i="5"/>
  <c r="Q263" i="5"/>
  <c r="E350" i="5"/>
  <c r="Q350" i="5" s="1"/>
  <c r="S115" i="5"/>
  <c r="I350" i="5"/>
  <c r="H339" i="5"/>
  <c r="R252" i="5"/>
  <c r="AE100" i="10"/>
  <c r="AE211" i="10"/>
  <c r="AH86" i="10"/>
  <c r="AH213" i="10" s="1"/>
  <c r="AH229" i="10" s="1"/>
  <c r="AG86" i="10"/>
  <c r="Q269" i="5"/>
  <c r="I342" i="5"/>
  <c r="N219" i="5"/>
  <c r="Q291" i="5"/>
  <c r="N320" i="5"/>
  <c r="B332" i="4"/>
  <c r="P245" i="4"/>
  <c r="N245" i="4"/>
  <c r="Q230" i="5"/>
  <c r="N94" i="4"/>
  <c r="Q110" i="5"/>
  <c r="U25" i="10"/>
  <c r="U28" i="10" s="1"/>
  <c r="U26" i="10" s="1"/>
  <c r="S283" i="4"/>
  <c r="P101" i="5"/>
  <c r="P288" i="5"/>
  <c r="S243" i="4"/>
  <c r="K330" i="4"/>
  <c r="S330" i="4" s="1"/>
  <c r="P457" i="4"/>
  <c r="N457" i="4"/>
  <c r="DZ28" i="8"/>
  <c r="P263" i="5"/>
  <c r="J326" i="4"/>
  <c r="F340" i="4"/>
  <c r="N450" i="5"/>
  <c r="Q268" i="4"/>
  <c r="B61" i="1"/>
  <c r="B62" i="1" s="1"/>
  <c r="B63" i="1" s="1"/>
  <c r="P231" i="5"/>
  <c r="DU28" i="6"/>
  <c r="I332" i="5"/>
  <c r="R463" i="4"/>
  <c r="P458" i="4"/>
  <c r="N458" i="4"/>
  <c r="P231" i="4"/>
  <c r="N231" i="4"/>
  <c r="I336" i="5"/>
  <c r="N308" i="5"/>
  <c r="P310" i="5"/>
  <c r="R275" i="4"/>
  <c r="C288" i="9"/>
  <c r="C320" i="9" s="1"/>
  <c r="S260" i="5"/>
  <c r="P304" i="4"/>
  <c r="N304" i="4"/>
  <c r="K89" i="4"/>
  <c r="M89" i="4" s="1"/>
  <c r="N441" i="5"/>
  <c r="R257" i="4"/>
  <c r="E342" i="4"/>
  <c r="O61" i="1"/>
  <c r="O62" i="1" s="1"/>
  <c r="O63" i="1" s="1"/>
  <c r="AE18" i="10"/>
  <c r="J257" i="11"/>
  <c r="T163" i="10"/>
  <c r="T179" i="10"/>
  <c r="B286" i="9"/>
  <c r="B318" i="9" s="1"/>
  <c r="V108" i="14"/>
  <c r="V23" i="14" s="1"/>
  <c r="V112" i="14"/>
  <c r="V239" i="14" s="1"/>
  <c r="EC28" i="7"/>
  <c r="M27" i="10"/>
  <c r="M8" i="2" s="1"/>
  <c r="M30" i="2" s="1"/>
  <c r="D152" i="10"/>
  <c r="Z210" i="10"/>
  <c r="Z226" i="10" s="1"/>
  <c r="Z242" i="10" s="1"/>
  <c r="Z99" i="10"/>
  <c r="DW41" i="8"/>
  <c r="ED28" i="6"/>
  <c r="ED41" i="6" s="1"/>
  <c r="Y103" i="10"/>
  <c r="Y214" i="10"/>
  <c r="Y230" i="10" s="1"/>
  <c r="Y246" i="10" s="1"/>
  <c r="AE89" i="10"/>
  <c r="AD41" i="7"/>
  <c r="AG135" i="11"/>
  <c r="AE24" i="11"/>
  <c r="AE25" i="11" s="1"/>
  <c r="AE28" i="11" s="1"/>
  <c r="AE26" i="11" s="1"/>
  <c r="AE172" i="11" s="1"/>
  <c r="AG137" i="11"/>
  <c r="AG132" i="11"/>
  <c r="AG130" i="11"/>
  <c r="AG133" i="11"/>
  <c r="AA18" i="10"/>
  <c r="N281" i="5"/>
  <c r="EN40" i="8"/>
  <c r="EL28" i="7"/>
  <c r="B151" i="11"/>
  <c r="P309" i="5"/>
  <c r="E331" i="5"/>
  <c r="Q244" i="5"/>
  <c r="N240" i="5"/>
  <c r="B327" i="5"/>
  <c r="Q234" i="5"/>
  <c r="R318" i="4"/>
  <c r="R34" i="9"/>
  <c r="R35" i="9" s="1"/>
  <c r="R41" i="9" s="1"/>
  <c r="R36" i="9" s="1"/>
  <c r="B296" i="9"/>
  <c r="B328" i="9" s="1"/>
  <c r="B287" i="9"/>
  <c r="B319" i="9" s="1"/>
  <c r="B291" i="9"/>
  <c r="B323" i="9" s="1"/>
  <c r="B292" i="9"/>
  <c r="B324" i="9" s="1"/>
  <c r="P118" i="5"/>
  <c r="EO28" i="6"/>
  <c r="P463" i="5"/>
  <c r="P228" i="5"/>
  <c r="D132" i="10"/>
  <c r="EM28" i="7"/>
  <c r="ES40" i="7"/>
  <c r="D348" i="5"/>
  <c r="P348" i="5" s="1"/>
  <c r="P261" i="5"/>
  <c r="Q242" i="5"/>
  <c r="E329" i="5"/>
  <c r="Q329" i="5" s="1"/>
  <c r="P100" i="5"/>
  <c r="DU22" i="6"/>
  <c r="DU41" i="6" s="1"/>
  <c r="N41" i="8"/>
  <c r="L36" i="9"/>
  <c r="P268" i="4"/>
  <c r="N268" i="4"/>
  <c r="DU28" i="8"/>
  <c r="DU40" i="8"/>
  <c r="E344" i="5"/>
  <c r="K348" i="5"/>
  <c r="S233" i="4"/>
  <c r="B338" i="5"/>
  <c r="N251" i="5"/>
  <c r="N310" i="4"/>
  <c r="P310" i="4"/>
  <c r="S297" i="5"/>
  <c r="R237" i="4"/>
  <c r="H324" i="4"/>
  <c r="R324" i="4" s="1"/>
  <c r="N106" i="5"/>
  <c r="N286" i="5"/>
  <c r="N279" i="5"/>
  <c r="P228" i="4"/>
  <c r="N228" i="4"/>
  <c r="P271" i="5"/>
  <c r="R298" i="5"/>
  <c r="D338" i="5"/>
  <c r="Q273" i="4"/>
  <c r="S299" i="5"/>
  <c r="S253" i="4"/>
  <c r="K340" i="4"/>
  <c r="S340" i="4" s="1"/>
  <c r="R290" i="5"/>
  <c r="S451" i="4"/>
  <c r="P227" i="4"/>
  <c r="N227" i="4"/>
  <c r="Q239" i="4"/>
  <c r="E326" i="4"/>
  <c r="R248" i="4"/>
  <c r="H335" i="4"/>
  <c r="EI22" i="7"/>
  <c r="N282" i="5"/>
  <c r="C335" i="5"/>
  <c r="P277" i="5"/>
  <c r="N93" i="5"/>
  <c r="D343" i="5"/>
  <c r="P256" i="5"/>
  <c r="S289" i="4"/>
  <c r="K336" i="4"/>
  <c r="S336" i="4" s="1"/>
  <c r="N448" i="5"/>
  <c r="Q255" i="4"/>
  <c r="AG249" i="9"/>
  <c r="DO22" i="7"/>
  <c r="S270" i="5"/>
  <c r="S230" i="5"/>
  <c r="AN59" i="9"/>
  <c r="P285" i="5"/>
  <c r="B145" i="11"/>
  <c r="N443" i="5"/>
  <c r="N101" i="5"/>
  <c r="EC40" i="7"/>
  <c r="M345" i="5"/>
  <c r="EJ28" i="6"/>
  <c r="P215" i="5"/>
  <c r="O41" i="8"/>
  <c r="P105" i="5"/>
  <c r="N105" i="5"/>
  <c r="P254" i="5"/>
  <c r="D341" i="5"/>
  <c r="P341" i="5" s="1"/>
  <c r="DZ22" i="6"/>
  <c r="P464" i="5"/>
  <c r="AC331" i="9"/>
  <c r="N445" i="5"/>
  <c r="Q283" i="5"/>
  <c r="E341" i="5"/>
  <c r="Q341" i="5" s="1"/>
  <c r="S302" i="4"/>
  <c r="M336" i="5"/>
  <c r="P441" i="4"/>
  <c r="N441" i="4"/>
  <c r="R446" i="5"/>
  <c r="P303" i="5"/>
  <c r="H327" i="4"/>
  <c r="R240" i="4"/>
  <c r="S302" i="5"/>
  <c r="E334" i="5"/>
  <c r="Q334" i="5" s="1"/>
  <c r="Q247" i="5"/>
  <c r="P297" i="4"/>
  <c r="N297" i="4"/>
  <c r="N296" i="5"/>
  <c r="D334" i="5"/>
  <c r="P211" i="4"/>
  <c r="N211" i="4"/>
  <c r="S221" i="4"/>
  <c r="Q211" i="4"/>
  <c r="D327" i="4"/>
  <c r="EG41" i="8"/>
  <c r="N247" i="5"/>
  <c r="B334" i="5"/>
  <c r="N334" i="5" s="1"/>
  <c r="S465" i="4"/>
  <c r="J342" i="4"/>
  <c r="P217" i="5"/>
  <c r="R286" i="4"/>
  <c r="G338" i="4"/>
  <c r="P223" i="4"/>
  <c r="N223" i="4"/>
  <c r="P451" i="4"/>
  <c r="N451" i="4"/>
  <c r="AI67" i="10"/>
  <c r="R269" i="4"/>
  <c r="M328" i="5"/>
  <c r="J347" i="4"/>
  <c r="N222" i="5"/>
  <c r="S269" i="5"/>
  <c r="R100" i="5"/>
  <c r="L176" i="4"/>
  <c r="L234" i="4" s="1"/>
  <c r="P208" i="5"/>
  <c r="N249" i="4"/>
  <c r="J60" i="4"/>
  <c r="J39" i="1"/>
  <c r="J40" i="1" s="1"/>
  <c r="AA40" i="10"/>
  <c r="AG275" i="10"/>
  <c r="D258" i="11"/>
  <c r="C148" i="12"/>
  <c r="V178" i="13"/>
  <c r="AG245" i="9"/>
  <c r="J11" i="3"/>
  <c r="F25" i="10"/>
  <c r="F28" i="10" s="1"/>
  <c r="F26" i="10" s="1"/>
  <c r="E52" i="9"/>
  <c r="C56" i="12"/>
  <c r="C59" i="12"/>
  <c r="C50" i="12"/>
  <c r="L10" i="12"/>
  <c r="L11" i="12" s="1"/>
  <c r="L16" i="12" s="1"/>
  <c r="C55" i="12"/>
  <c r="C49" i="12"/>
  <c r="C53" i="12"/>
  <c r="AD34" i="11"/>
  <c r="AG270" i="11"/>
  <c r="AG281" i="11" s="1"/>
  <c r="I35" i="10"/>
  <c r="I41" i="10" s="1"/>
  <c r="I36" i="10" s="1"/>
  <c r="EP4" i="7"/>
  <c r="AD5" i="2"/>
  <c r="AD27" i="2" s="1"/>
  <c r="K162" i="10"/>
  <c r="D139" i="10"/>
  <c r="AG70" i="11"/>
  <c r="Z8" i="2"/>
  <c r="P96" i="15"/>
  <c r="G314" i="11"/>
  <c r="G39" i="11"/>
  <c r="AG238" i="9"/>
  <c r="G53" i="11"/>
  <c r="Z214" i="10"/>
  <c r="Z230" i="10" s="1"/>
  <c r="Z246" i="10" s="1"/>
  <c r="Z103" i="10"/>
  <c r="EB22" i="8"/>
  <c r="EB41" i="8" s="1"/>
  <c r="Y209" i="10"/>
  <c r="Y225" i="10" s="1"/>
  <c r="Y241" i="10" s="1"/>
  <c r="Y98" i="10"/>
  <c r="F56" i="9"/>
  <c r="AA40" i="11"/>
  <c r="AA36" i="11" s="1"/>
  <c r="AG290" i="11"/>
  <c r="R41" i="6"/>
  <c r="AD331" i="9"/>
  <c r="EO22" i="7"/>
  <c r="R311" i="5"/>
  <c r="P258" i="5"/>
  <c r="D345" i="5"/>
  <c r="DR40" i="8"/>
  <c r="J349" i="5"/>
  <c r="N452" i="5"/>
  <c r="N233" i="5"/>
  <c r="B154" i="11"/>
  <c r="B11" i="12"/>
  <c r="B16" i="12" s="1"/>
  <c r="B6" i="1"/>
  <c r="E347" i="5"/>
  <c r="Q260" i="5"/>
  <c r="P460" i="5"/>
  <c r="EN22" i="8"/>
  <c r="EN41" i="8" s="1"/>
  <c r="Q333" i="5"/>
  <c r="B289" i="9"/>
  <c r="B321" i="9" s="1"/>
  <c r="DN28" i="6"/>
  <c r="DN41" i="6" s="1"/>
  <c r="AQ66" i="10"/>
  <c r="K282" i="9"/>
  <c r="DS28" i="6"/>
  <c r="S255" i="5"/>
  <c r="K342" i="5"/>
  <c r="S342" i="5" s="1"/>
  <c r="S213" i="5"/>
  <c r="P268" i="5"/>
  <c r="P99" i="5"/>
  <c r="R258" i="5"/>
  <c r="H345" i="5"/>
  <c r="R345" i="5" s="1"/>
  <c r="P225" i="5"/>
  <c r="L332" i="5"/>
  <c r="S281" i="5"/>
  <c r="Q257" i="5"/>
  <c r="P301" i="4"/>
  <c r="N301" i="4"/>
  <c r="N250" i="4"/>
  <c r="R320" i="5"/>
  <c r="Q254" i="5"/>
  <c r="N463" i="4"/>
  <c r="P463" i="4"/>
  <c r="B326" i="4"/>
  <c r="P239" i="4"/>
  <c r="N239" i="4"/>
  <c r="C332" i="5"/>
  <c r="G327" i="4"/>
  <c r="Q327" i="4" s="1"/>
  <c r="H343" i="5"/>
  <c r="R343" i="5" s="1"/>
  <c r="R256" i="5"/>
  <c r="S280" i="4"/>
  <c r="EN28" i="6"/>
  <c r="E328" i="5"/>
  <c r="Q319" i="4"/>
  <c r="H338" i="4"/>
  <c r="R251" i="4"/>
  <c r="P222" i="5"/>
  <c r="I341" i="5"/>
  <c r="D333" i="5"/>
  <c r="P333" i="5" s="1"/>
  <c r="P246" i="5"/>
  <c r="H327" i="5"/>
  <c r="R327" i="5" s="1"/>
  <c r="R240" i="5"/>
  <c r="N298" i="5"/>
  <c r="N98" i="5"/>
  <c r="J333" i="4"/>
  <c r="R333" i="4" s="1"/>
  <c r="G347" i="5"/>
  <c r="Q274" i="5"/>
  <c r="S210" i="4"/>
  <c r="L327" i="4"/>
  <c r="R306" i="4"/>
  <c r="E348" i="5"/>
  <c r="Q348" i="5" s="1"/>
  <c r="Q261" i="5"/>
  <c r="AC36" i="1"/>
  <c r="R285" i="5"/>
  <c r="N227" i="5"/>
  <c r="B245" i="11"/>
  <c r="B261" i="11" s="1"/>
  <c r="S305" i="4"/>
  <c r="P249" i="4"/>
  <c r="S262" i="4"/>
  <c r="N312" i="4"/>
  <c r="Y212" i="10"/>
  <c r="Y228" i="10" s="1"/>
  <c r="Y244" i="10" s="1"/>
  <c r="AE87" i="10"/>
  <c r="Y101" i="10"/>
  <c r="F48" i="9"/>
  <c r="K41" i="7"/>
  <c r="DW41" i="7" s="1"/>
  <c r="EA22" i="7"/>
  <c r="M34" i="9"/>
  <c r="M35" i="9" s="1"/>
  <c r="M41" i="9" s="1"/>
  <c r="M36" i="9" s="1"/>
  <c r="D295" i="9"/>
  <c r="D327" i="9" s="1"/>
  <c r="D292" i="9"/>
  <c r="D324" i="9" s="1"/>
  <c r="C292" i="9"/>
  <c r="C324" i="9" s="1"/>
  <c r="EJ22" i="7"/>
  <c r="C330" i="5"/>
  <c r="B152" i="11"/>
  <c r="EG40" i="8"/>
  <c r="DT22" i="7"/>
  <c r="EI40" i="7"/>
  <c r="DW28" i="7"/>
  <c r="Q316" i="5"/>
  <c r="P300" i="5"/>
  <c r="S231" i="5"/>
  <c r="R292" i="5"/>
  <c r="AQ56" i="10"/>
  <c r="S458" i="5"/>
  <c r="Q212" i="5"/>
  <c r="P444" i="4"/>
  <c r="N444" i="4"/>
  <c r="R247" i="5"/>
  <c r="H334" i="5"/>
  <c r="R220" i="5"/>
  <c r="P250" i="4"/>
  <c r="N113" i="5"/>
  <c r="S458" i="4"/>
  <c r="R301" i="5"/>
  <c r="N301" i="5"/>
  <c r="H345" i="4"/>
  <c r="R345" i="4" s="1"/>
  <c r="R258" i="4"/>
  <c r="K324" i="4"/>
  <c r="S324" i="4" s="1"/>
  <c r="S237" i="4"/>
  <c r="AQ64" i="10"/>
  <c r="Q115" i="4"/>
  <c r="L348" i="5"/>
  <c r="Q450" i="4"/>
  <c r="E337" i="5"/>
  <c r="Q337" i="5" s="1"/>
  <c r="Q447" i="5"/>
  <c r="I338" i="4"/>
  <c r="L336" i="4"/>
  <c r="K347" i="4"/>
  <c r="S347" i="4" s="1"/>
  <c r="S260" i="4"/>
  <c r="M345" i="4"/>
  <c r="Q245" i="4"/>
  <c r="E332" i="4"/>
  <c r="Q332" i="4" s="1"/>
  <c r="N216" i="4"/>
  <c r="P216" i="4"/>
  <c r="B324" i="5"/>
  <c r="N243" i="4"/>
  <c r="P243" i="4"/>
  <c r="B330" i="4"/>
  <c r="Q282" i="4"/>
  <c r="R246" i="5"/>
  <c r="H333" i="5"/>
  <c r="R333" i="5" s="1"/>
  <c r="D346" i="5"/>
  <c r="P346" i="5" s="1"/>
  <c r="Q464" i="5"/>
  <c r="Q219" i="5"/>
  <c r="H348" i="4"/>
  <c r="R348" i="4" s="1"/>
  <c r="R261" i="4"/>
  <c r="G36" i="1"/>
  <c r="R274" i="5"/>
  <c r="N268" i="5"/>
  <c r="S273" i="4"/>
  <c r="Q218" i="5"/>
  <c r="B336" i="4"/>
  <c r="L340" i="4"/>
  <c r="N110" i="4"/>
  <c r="N257" i="4"/>
  <c r="AC305" i="13"/>
  <c r="AC208" i="13"/>
  <c r="AA19" i="2"/>
  <c r="AA30" i="2" s="1"/>
  <c r="J25" i="3"/>
  <c r="J39" i="3" s="1"/>
  <c r="H304" i="13"/>
  <c r="E177" i="13"/>
  <c r="X208" i="12"/>
  <c r="AD132" i="12"/>
  <c r="AD139" i="12" s="1"/>
  <c r="X24" i="12"/>
  <c r="X5" i="2" s="1"/>
  <c r="AD100" i="14"/>
  <c r="AD116" i="14" s="1"/>
  <c r="AD243" i="14" s="1"/>
  <c r="AD211" i="14"/>
  <c r="B56" i="13"/>
  <c r="AE273" i="13"/>
  <c r="AE209" i="13" s="1"/>
  <c r="AE281" i="13"/>
  <c r="AE278" i="13"/>
  <c r="AE275" i="13"/>
  <c r="AE272" i="13"/>
  <c r="AE280" i="13"/>
  <c r="AE277" i="13"/>
  <c r="AE271" i="13"/>
  <c r="AE207" i="13" s="1"/>
  <c r="AE279" i="13"/>
  <c r="AE274" i="13"/>
  <c r="AE210" i="13" s="1"/>
  <c r="AE276" i="13"/>
  <c r="AE282" i="13" s="1"/>
  <c r="Q176" i="11"/>
  <c r="R216" i="14"/>
  <c r="R105" i="14"/>
  <c r="R121" i="14" s="1"/>
  <c r="R248" i="14" s="1"/>
  <c r="Q89" i="14"/>
  <c r="K13" i="13"/>
  <c r="B64" i="13"/>
  <c r="B70" i="13"/>
  <c r="B69" i="13"/>
  <c r="AC27" i="11"/>
  <c r="AC26" i="11" s="1"/>
  <c r="BF44" i="7"/>
  <c r="BF45" i="7" s="1"/>
  <c r="N27" i="11"/>
  <c r="E148" i="11"/>
  <c r="E151" i="11"/>
  <c r="E143" i="11"/>
  <c r="E159" i="11" s="1"/>
  <c r="B59" i="13"/>
  <c r="K10" i="13"/>
  <c r="K11" i="13" s="1"/>
  <c r="K16" i="13" s="1"/>
  <c r="B57" i="13"/>
  <c r="B50" i="13"/>
  <c r="S107" i="11"/>
  <c r="S23" i="11" s="1"/>
  <c r="S111" i="11"/>
  <c r="S254" i="11" s="1"/>
  <c r="O223" i="12"/>
  <c r="O81" i="12"/>
  <c r="O97" i="12" s="1"/>
  <c r="O113" i="12" s="1"/>
  <c r="AC262" i="11"/>
  <c r="V81" i="12"/>
  <c r="V223" i="12"/>
  <c r="N265" i="11"/>
  <c r="Q159" i="11"/>
  <c r="E48" i="13"/>
  <c r="N10" i="1"/>
  <c r="W4" i="12"/>
  <c r="V14" i="12" s="1"/>
  <c r="V11" i="1" s="1"/>
  <c r="V43" i="1" s="1"/>
  <c r="W3" i="1"/>
  <c r="AC24" i="10"/>
  <c r="AC5" i="2" s="1"/>
  <c r="AC27" i="2" s="1"/>
  <c r="AI131" i="10"/>
  <c r="K107" i="11"/>
  <c r="K23" i="11" s="1"/>
  <c r="K25" i="11" s="1"/>
  <c r="K28" i="11" s="1"/>
  <c r="K26" i="11" s="1"/>
  <c r="X26" i="9"/>
  <c r="D264" i="10"/>
  <c r="AI48" i="10"/>
  <c r="AG66" i="11"/>
  <c r="C255" i="10"/>
  <c r="C138" i="10"/>
  <c r="L24" i="10"/>
  <c r="C132" i="10"/>
  <c r="C271" i="10"/>
  <c r="C274" i="10"/>
  <c r="C134" i="10"/>
  <c r="C266" i="10"/>
  <c r="AA282" i="9"/>
  <c r="AF155" i="9"/>
  <c r="Z96" i="10"/>
  <c r="AE82" i="10"/>
  <c r="Z207" i="10"/>
  <c r="Z21" i="10"/>
  <c r="DT22" i="6"/>
  <c r="DT41" i="6" s="1"/>
  <c r="AI53" i="10"/>
  <c r="AK53" i="10" s="1"/>
  <c r="AM53" i="10" s="1"/>
  <c r="E92" i="11"/>
  <c r="Y215" i="10"/>
  <c r="Y231" i="10" s="1"/>
  <c r="Y247" i="10" s="1"/>
  <c r="Y104" i="10"/>
  <c r="C297" i="9"/>
  <c r="C329" i="9" s="1"/>
  <c r="C278" i="10"/>
  <c r="Z7" i="1"/>
  <c r="Z8" i="1" s="1"/>
  <c r="Z13" i="1" s="1"/>
  <c r="P454" i="5"/>
  <c r="D69" i="10"/>
  <c r="EO40" i="8"/>
  <c r="ES40" i="8" s="1"/>
  <c r="Y41" i="7"/>
  <c r="M346" i="5"/>
  <c r="R225" i="5"/>
  <c r="P305" i="5"/>
  <c r="B144" i="11"/>
  <c r="S306" i="5"/>
  <c r="P257" i="5"/>
  <c r="D344" i="5"/>
  <c r="T282" i="9"/>
  <c r="Q209" i="5"/>
  <c r="M340" i="5"/>
  <c r="Q225" i="5"/>
  <c r="H41" i="6"/>
  <c r="J337" i="5"/>
  <c r="EH41" i="6"/>
  <c r="N280" i="5"/>
  <c r="N276" i="5"/>
  <c r="N314" i="5"/>
  <c r="F330" i="5"/>
  <c r="B340" i="5"/>
  <c r="N340" i="5" s="1"/>
  <c r="N253" i="5"/>
  <c r="AG209" i="9"/>
  <c r="Q116" i="4"/>
  <c r="P269" i="4"/>
  <c r="N269" i="4"/>
  <c r="P286" i="5"/>
  <c r="S208" i="4"/>
  <c r="S10" i="1"/>
  <c r="O41" i="7"/>
  <c r="EA41" i="7" s="1"/>
  <c r="E324" i="5"/>
  <c r="Q324" i="5" s="1"/>
  <c r="Q237" i="5"/>
  <c r="N220" i="4"/>
  <c r="P220" i="4"/>
  <c r="E338" i="4"/>
  <c r="Q338" i="4" s="1"/>
  <c r="Q251" i="4"/>
  <c r="N282" i="4"/>
  <c r="P282" i="4"/>
  <c r="N108" i="4"/>
  <c r="DV22" i="7"/>
  <c r="I327" i="5"/>
  <c r="R247" i="4"/>
  <c r="H334" i="4"/>
  <c r="R334" i="4" s="1"/>
  <c r="M341" i="4"/>
  <c r="N112" i="4"/>
  <c r="P112" i="4"/>
  <c r="N94" i="5"/>
  <c r="R443" i="5"/>
  <c r="G330" i="4"/>
  <c r="H350" i="4"/>
  <c r="R350" i="4" s="1"/>
  <c r="S315" i="5"/>
  <c r="N237" i="5"/>
  <c r="D337" i="5"/>
  <c r="P250" i="5"/>
  <c r="Q307" i="5"/>
  <c r="F282" i="9"/>
  <c r="R217" i="5"/>
  <c r="K328" i="4"/>
  <c r="S328" i="4" s="1"/>
  <c r="S241" i="4"/>
  <c r="D346" i="4"/>
  <c r="M327" i="5"/>
  <c r="N303" i="4"/>
  <c r="C341" i="4"/>
  <c r="Q269" i="4"/>
  <c r="Q284" i="5"/>
  <c r="Q238" i="4"/>
  <c r="E330" i="4"/>
  <c r="P116" i="5"/>
  <c r="P257" i="4"/>
  <c r="N299" i="4"/>
  <c r="AF93" i="14" l="1"/>
  <c r="N326" i="4"/>
  <c r="P326" i="4"/>
  <c r="T97" i="12"/>
  <c r="T223" i="12"/>
  <c r="P83" i="12"/>
  <c r="P99" i="12" s="1"/>
  <c r="P225" i="12"/>
  <c r="B81" i="15"/>
  <c r="B97" i="15" s="1"/>
  <c r="K306" i="14"/>
  <c r="AH263" i="14"/>
  <c r="AG263" i="14"/>
  <c r="AB14" i="10"/>
  <c r="AC6" i="10"/>
  <c r="AE5" i="17"/>
  <c r="AD14" i="17"/>
  <c r="AD15" i="17" s="1"/>
  <c r="AD46" i="17" s="1"/>
  <c r="AE39" i="9"/>
  <c r="AE330" i="9"/>
  <c r="N337" i="5"/>
  <c r="B80" i="15"/>
  <c r="T39" i="9"/>
  <c r="T330" i="9"/>
  <c r="Q81" i="16"/>
  <c r="AG57" i="14"/>
  <c r="AF57" i="14"/>
  <c r="AH57" i="14" s="1"/>
  <c r="U25" i="14"/>
  <c r="U28" i="14" s="1"/>
  <c r="U26" i="14" s="1"/>
  <c r="AD115" i="14"/>
  <c r="AD242" i="14" s="1"/>
  <c r="H179" i="17"/>
  <c r="AG54" i="14"/>
  <c r="AF54" i="14"/>
  <c r="AD59" i="14"/>
  <c r="AH54" i="14"/>
  <c r="AE282" i="14"/>
  <c r="B178" i="20"/>
  <c r="B161" i="20"/>
  <c r="V97" i="12"/>
  <c r="Q105" i="14"/>
  <c r="Q121" i="14" s="1"/>
  <c r="Q248" i="14" s="1"/>
  <c r="Q216" i="14"/>
  <c r="P89" i="14"/>
  <c r="P332" i="4"/>
  <c r="N332" i="4"/>
  <c r="N334" i="4"/>
  <c r="P334" i="4"/>
  <c r="N331" i="4"/>
  <c r="P331" i="4"/>
  <c r="AI262" i="10"/>
  <c r="AJ262" i="10"/>
  <c r="AL262" i="10" s="1"/>
  <c r="AD4" i="10"/>
  <c r="X16" i="2"/>
  <c r="X27" i="2" s="1"/>
  <c r="Z119" i="19"/>
  <c r="Z108" i="19"/>
  <c r="Z23" i="19" s="1"/>
  <c r="Z25" i="19" s="1"/>
  <c r="Z28" i="19" s="1"/>
  <c r="Z26" i="19" s="1"/>
  <c r="M162" i="19"/>
  <c r="M178" i="19"/>
  <c r="S179" i="16"/>
  <c r="E289" i="19"/>
  <c r="E296" i="19"/>
  <c r="E292" i="19"/>
  <c r="E291" i="19"/>
  <c r="E290" i="19"/>
  <c r="E295" i="19"/>
  <c r="E294" i="19"/>
  <c r="E293" i="19"/>
  <c r="E297" i="19"/>
  <c r="E287" i="19"/>
  <c r="E288" i="19"/>
  <c r="E298" i="19"/>
  <c r="J105" i="12"/>
  <c r="J121" i="12" s="1"/>
  <c r="J248" i="12" s="1"/>
  <c r="J231" i="12"/>
  <c r="J247" i="12" s="1"/>
  <c r="K208" i="13"/>
  <c r="K305" i="13"/>
  <c r="K307" i="20"/>
  <c r="K304" i="20"/>
  <c r="K312" i="20"/>
  <c r="K309" i="20"/>
  <c r="K306" i="20"/>
  <c r="K303" i="20"/>
  <c r="K313" i="20"/>
  <c r="K302" i="20"/>
  <c r="K310" i="20"/>
  <c r="K311" i="20"/>
  <c r="K305" i="20"/>
  <c r="K308" i="20"/>
  <c r="AB85" i="17"/>
  <c r="AK66" i="10"/>
  <c r="AM66" i="10" s="1"/>
  <c r="P39" i="9"/>
  <c r="P330" i="9"/>
  <c r="AL66" i="10"/>
  <c r="X307" i="14"/>
  <c r="X291" i="14" s="1"/>
  <c r="C179" i="15"/>
  <c r="V299" i="19"/>
  <c r="V39" i="19"/>
  <c r="D179" i="19"/>
  <c r="D162" i="19"/>
  <c r="T5" i="2"/>
  <c r="T25" i="10"/>
  <c r="T28" i="10" s="1"/>
  <c r="T26" i="10" s="1"/>
  <c r="AF59" i="9"/>
  <c r="D81" i="12"/>
  <c r="AG138" i="14"/>
  <c r="AF138" i="14"/>
  <c r="AH138" i="14"/>
  <c r="N178" i="11"/>
  <c r="N162" i="11" s="1"/>
  <c r="AB91" i="19"/>
  <c r="AB107" i="19" s="1"/>
  <c r="AB123" i="19" s="1"/>
  <c r="AE266" i="15"/>
  <c r="AB179" i="19"/>
  <c r="AB162" i="19"/>
  <c r="ES28" i="6"/>
  <c r="EO41" i="6"/>
  <c r="S344" i="4"/>
  <c r="N344" i="4"/>
  <c r="DU41" i="8"/>
  <c r="L39" i="10"/>
  <c r="L10" i="3" s="1"/>
  <c r="L38" i="3" s="1"/>
  <c r="L299" i="10"/>
  <c r="L7" i="3"/>
  <c r="L35" i="3" s="1"/>
  <c r="AL261" i="10"/>
  <c r="AJ261" i="10"/>
  <c r="AI261" i="10"/>
  <c r="AK261" i="10"/>
  <c r="AM261" i="10" s="1"/>
  <c r="AG132" i="14"/>
  <c r="AH132" i="14"/>
  <c r="L314" i="11"/>
  <c r="L39" i="11"/>
  <c r="AD178" i="11"/>
  <c r="S25" i="14"/>
  <c r="S28" i="14" s="1"/>
  <c r="S26" i="14" s="1"/>
  <c r="AM149" i="10"/>
  <c r="B223" i="13"/>
  <c r="B80" i="13"/>
  <c r="W98" i="16"/>
  <c r="W224" i="16"/>
  <c r="X96" i="17"/>
  <c r="AC178" i="19"/>
  <c r="M161" i="19"/>
  <c r="AH49" i="14"/>
  <c r="AG49" i="14"/>
  <c r="G97" i="12"/>
  <c r="G223" i="12"/>
  <c r="AE266" i="16"/>
  <c r="P179" i="17"/>
  <c r="P162" i="17"/>
  <c r="U179" i="17"/>
  <c r="X178" i="14"/>
  <c r="J234" i="4"/>
  <c r="J263" i="4"/>
  <c r="J350" i="4" s="1"/>
  <c r="R147" i="4"/>
  <c r="M147" i="4"/>
  <c r="AF251" i="9"/>
  <c r="AF266" i="9"/>
  <c r="AF282" i="9" s="1"/>
  <c r="AF35" i="9"/>
  <c r="AF41" i="9" s="1"/>
  <c r="AF40" i="9" s="1"/>
  <c r="AF314" i="9" s="1"/>
  <c r="H39" i="1"/>
  <c r="H40" i="1" s="1"/>
  <c r="H24" i="1"/>
  <c r="V180" i="12"/>
  <c r="AE97" i="20"/>
  <c r="AE98" i="20"/>
  <c r="AE23" i="20"/>
  <c r="AE25" i="20" s="1"/>
  <c r="AE28" i="20" s="1"/>
  <c r="AE26" i="20" s="1"/>
  <c r="AE172" i="20" s="1"/>
  <c r="AM5" i="10"/>
  <c r="AN5" i="10" s="1"/>
  <c r="L208" i="12"/>
  <c r="L305" i="12"/>
  <c r="F223" i="17"/>
  <c r="F80" i="17"/>
  <c r="V178" i="14"/>
  <c r="AH146" i="14"/>
  <c r="AH162" i="14" s="1"/>
  <c r="AG146" i="14"/>
  <c r="AG162" i="14" s="1"/>
  <c r="AE162" i="14"/>
  <c r="EO41" i="8"/>
  <c r="V208" i="13"/>
  <c r="V305" i="13"/>
  <c r="B82" i="17"/>
  <c r="B98" i="17" s="1"/>
  <c r="B114" i="17" s="1"/>
  <c r="Z208" i="17"/>
  <c r="Z305" i="17"/>
  <c r="U165" i="10"/>
  <c r="U181" i="10"/>
  <c r="Q338" i="5"/>
  <c r="AA5" i="3"/>
  <c r="AA33" i="3" s="1"/>
  <c r="AA35" i="10"/>
  <c r="AA41" i="10" s="1"/>
  <c r="AA36" i="10" s="1"/>
  <c r="T97" i="17"/>
  <c r="T223" i="17"/>
  <c r="AC96" i="16"/>
  <c r="D80" i="13"/>
  <c r="W179" i="16"/>
  <c r="T96" i="17"/>
  <c r="C80" i="17"/>
  <c r="T179" i="17"/>
  <c r="Q342" i="4"/>
  <c r="R328" i="4"/>
  <c r="N330" i="5"/>
  <c r="AD8" i="1"/>
  <c r="AD13" i="1" s="1"/>
  <c r="AD39" i="1"/>
  <c r="AD40" i="1" s="1"/>
  <c r="N333" i="4"/>
  <c r="AJ70" i="10"/>
  <c r="AI70" i="10"/>
  <c r="AG75" i="10"/>
  <c r="AH180" i="10"/>
  <c r="N46" i="14"/>
  <c r="AE59" i="13"/>
  <c r="H305" i="14"/>
  <c r="F223" i="15"/>
  <c r="H85" i="15"/>
  <c r="H101" i="15" s="1"/>
  <c r="H117" i="15" s="1"/>
  <c r="V305" i="14"/>
  <c r="V289" i="14" s="1"/>
  <c r="V288" i="14"/>
  <c r="Y97" i="17"/>
  <c r="T180" i="14"/>
  <c r="T164" i="14" s="1"/>
  <c r="T163" i="14"/>
  <c r="H164" i="19"/>
  <c r="H180" i="19"/>
  <c r="AA322" i="11"/>
  <c r="G99" i="15"/>
  <c r="G115" i="15" s="1"/>
  <c r="G225" i="15"/>
  <c r="G241" i="15" s="1"/>
  <c r="L179" i="14"/>
  <c r="Y181" i="19"/>
  <c r="Y165" i="19"/>
  <c r="Y164" i="19"/>
  <c r="B308" i="16"/>
  <c r="B211" i="16"/>
  <c r="AC80" i="17"/>
  <c r="C208" i="16"/>
  <c r="C305" i="16"/>
  <c r="W96" i="16"/>
  <c r="AF297" i="11"/>
  <c r="AA10" i="1"/>
  <c r="AA15" i="10"/>
  <c r="AA19" i="10" s="1"/>
  <c r="I25" i="11"/>
  <c r="I28" i="11" s="1"/>
  <c r="I26" i="11" s="1"/>
  <c r="W83" i="12"/>
  <c r="AB35" i="10"/>
  <c r="AB41" i="10" s="1"/>
  <c r="AB36" i="10" s="1"/>
  <c r="X39" i="9"/>
  <c r="X330" i="9"/>
  <c r="AE155" i="13"/>
  <c r="H310" i="15"/>
  <c r="H213" i="15"/>
  <c r="Z209" i="15"/>
  <c r="Z306" i="15"/>
  <c r="O179" i="20"/>
  <c r="O162" i="20"/>
  <c r="O80" i="17"/>
  <c r="Z240" i="16"/>
  <c r="H163" i="19"/>
  <c r="K96" i="16"/>
  <c r="K178" i="11"/>
  <c r="AE182" i="16"/>
  <c r="B81" i="13"/>
  <c r="B97" i="13" s="1"/>
  <c r="R299" i="10"/>
  <c r="R39" i="10"/>
  <c r="R10" i="3" s="1"/>
  <c r="R38" i="3" s="1"/>
  <c r="R7" i="3"/>
  <c r="R35" i="3" s="1"/>
  <c r="AA14" i="15"/>
  <c r="AB6" i="15"/>
  <c r="P180" i="19"/>
  <c r="P164" i="19" s="1"/>
  <c r="N329" i="4"/>
  <c r="P329" i="4"/>
  <c r="S210" i="15"/>
  <c r="S307" i="15"/>
  <c r="AE212" i="10"/>
  <c r="AE228" i="10" s="1"/>
  <c r="AE244" i="10" s="1"/>
  <c r="AE101" i="10"/>
  <c r="AG87" i="10"/>
  <c r="AI87" i="10" s="1"/>
  <c r="AI214" i="10" s="1"/>
  <c r="AI230" i="10" s="1"/>
  <c r="AH87" i="10"/>
  <c r="AH214" i="10" s="1"/>
  <c r="AH230" i="10" s="1"/>
  <c r="B83" i="16"/>
  <c r="B99" i="16" s="1"/>
  <c r="B115" i="16" s="1"/>
  <c r="M96" i="16"/>
  <c r="Y42" i="1"/>
  <c r="Q177" i="11"/>
  <c r="E178" i="13"/>
  <c r="S348" i="5"/>
  <c r="L5" i="2"/>
  <c r="L27" i="2" s="1"/>
  <c r="L25" i="10"/>
  <c r="L28" i="10" s="1"/>
  <c r="L26" i="10" s="1"/>
  <c r="Q160" i="11"/>
  <c r="Q344" i="5"/>
  <c r="AE214" i="10"/>
  <c r="AE230" i="10" s="1"/>
  <c r="AE246" i="10" s="1"/>
  <c r="AH89" i="10"/>
  <c r="AH216" i="10" s="1"/>
  <c r="AH232" i="10" s="1"/>
  <c r="AE103" i="10"/>
  <c r="AI89" i="10"/>
  <c r="AI216" i="10" s="1"/>
  <c r="AI232" i="10" s="1"/>
  <c r="AG89" i="10"/>
  <c r="AH251" i="10"/>
  <c r="O11" i="11"/>
  <c r="O16" i="11" s="1"/>
  <c r="O15" i="11" s="1"/>
  <c r="O45" i="11" s="1"/>
  <c r="O7" i="1"/>
  <c r="O8" i="1" s="1"/>
  <c r="O13" i="1" s="1"/>
  <c r="AJ74" i="10"/>
  <c r="AL74" i="10"/>
  <c r="AI74" i="10"/>
  <c r="AK74" i="10"/>
  <c r="R306" i="11"/>
  <c r="R308" i="11"/>
  <c r="R310" i="11"/>
  <c r="R312" i="11"/>
  <c r="R305" i="11"/>
  <c r="R311" i="11"/>
  <c r="R302" i="11"/>
  <c r="R307" i="11"/>
  <c r="R304" i="11"/>
  <c r="R313" i="11"/>
  <c r="R309" i="11"/>
  <c r="R303" i="11"/>
  <c r="W178" i="15"/>
  <c r="Z105" i="20"/>
  <c r="Z121" i="20" s="1"/>
  <c r="AB89" i="20"/>
  <c r="AB105" i="20" s="1"/>
  <c r="AB121" i="20" s="1"/>
  <c r="K208" i="17"/>
  <c r="K305" i="17"/>
  <c r="AC243" i="19"/>
  <c r="AB14" i="16"/>
  <c r="AB15" i="16" s="1"/>
  <c r="AB46" i="16" s="1"/>
  <c r="AC6" i="16"/>
  <c r="AD4" i="16"/>
  <c r="AF160" i="14"/>
  <c r="L96" i="13"/>
  <c r="B225" i="16"/>
  <c r="B82" i="16"/>
  <c r="B98" i="16" s="1"/>
  <c r="O208" i="17"/>
  <c r="O305" i="17"/>
  <c r="B91" i="20"/>
  <c r="B12" i="20" s="1"/>
  <c r="B96" i="20"/>
  <c r="B238" i="20"/>
  <c r="B254" i="20" s="1"/>
  <c r="P306" i="14"/>
  <c r="D229" i="12"/>
  <c r="D245" i="12" s="1"/>
  <c r="D87" i="12"/>
  <c r="D103" i="12" s="1"/>
  <c r="D119" i="12" s="1"/>
  <c r="P181" i="12"/>
  <c r="L161" i="20"/>
  <c r="L177" i="20"/>
  <c r="L160" i="20"/>
  <c r="AG208" i="14"/>
  <c r="AE155" i="14"/>
  <c r="AG144" i="14"/>
  <c r="AH144" i="14"/>
  <c r="D86" i="12"/>
  <c r="D102" i="12" s="1"/>
  <c r="D118" i="12" s="1"/>
  <c r="D228" i="12"/>
  <c r="Z96" i="15"/>
  <c r="AG74" i="11"/>
  <c r="G11" i="10"/>
  <c r="G16" i="10" s="1"/>
  <c r="G7" i="1"/>
  <c r="Y179" i="16"/>
  <c r="J179" i="12"/>
  <c r="AF101" i="14"/>
  <c r="AF117" i="14" s="1"/>
  <c r="AH85" i="14"/>
  <c r="N178" i="19"/>
  <c r="N161" i="19"/>
  <c r="I97" i="17"/>
  <c r="I223" i="17"/>
  <c r="AA179" i="16"/>
  <c r="AB98" i="17"/>
  <c r="AB224" i="17"/>
  <c r="AD209" i="15"/>
  <c r="AD306" i="15"/>
  <c r="E100" i="15"/>
  <c r="E116" i="15" s="1"/>
  <c r="E243" i="15" s="1"/>
  <c r="E226" i="15"/>
  <c r="E242" i="15" s="1"/>
  <c r="W80" i="17"/>
  <c r="W223" i="17"/>
  <c r="B103" i="19"/>
  <c r="B119" i="19" s="1"/>
  <c r="B229" i="19"/>
  <c r="B245" i="19" s="1"/>
  <c r="Q309" i="20"/>
  <c r="Q306" i="20"/>
  <c r="Q303" i="20"/>
  <c r="Q311" i="20"/>
  <c r="Q308" i="20"/>
  <c r="Q305" i="20"/>
  <c r="Q304" i="20"/>
  <c r="Q307" i="20"/>
  <c r="Q302" i="20"/>
  <c r="Q312" i="20"/>
  <c r="Q310" i="20"/>
  <c r="Q313" i="20"/>
  <c r="M11" i="11"/>
  <c r="M16" i="11" s="1"/>
  <c r="M15" i="11" s="1"/>
  <c r="M45" i="11" s="1"/>
  <c r="M7" i="1"/>
  <c r="M8" i="1" s="1"/>
  <c r="M13" i="1" s="1"/>
  <c r="F226" i="15"/>
  <c r="F242" i="15" s="1"/>
  <c r="X82" i="12"/>
  <c r="X224" i="12" s="1"/>
  <c r="Z39" i="9"/>
  <c r="Z330" i="9"/>
  <c r="M60" i="4"/>
  <c r="S60" i="4" s="1"/>
  <c r="R60" i="4"/>
  <c r="J292" i="4"/>
  <c r="DP41" i="6"/>
  <c r="O114" i="12"/>
  <c r="O162" i="12"/>
  <c r="AE155" i="16"/>
  <c r="S163" i="19"/>
  <c r="S179" i="19"/>
  <c r="S162" i="19"/>
  <c r="AF152" i="14"/>
  <c r="AG152" i="14"/>
  <c r="AH152" i="14"/>
  <c r="AB113" i="19"/>
  <c r="AB161" i="19"/>
  <c r="O80" i="13"/>
  <c r="B224" i="16"/>
  <c r="B81" i="16"/>
  <c r="B97" i="16" s="1"/>
  <c r="L30" i="2"/>
  <c r="G178" i="20"/>
  <c r="O98" i="16"/>
  <c r="O224" i="16"/>
  <c r="O240" i="16" s="1"/>
  <c r="Y293" i="19"/>
  <c r="Y289" i="19"/>
  <c r="Y296" i="19"/>
  <c r="Y288" i="19"/>
  <c r="Y287" i="19"/>
  <c r="Y297" i="19"/>
  <c r="Y292" i="19"/>
  <c r="Y294" i="19"/>
  <c r="Y290" i="19"/>
  <c r="Y298" i="19"/>
  <c r="Y295" i="19"/>
  <c r="Y291" i="19"/>
  <c r="AA314" i="11"/>
  <c r="AA315" i="11"/>
  <c r="AA39" i="11"/>
  <c r="AL128" i="10"/>
  <c r="AG81" i="11"/>
  <c r="AG97" i="11" s="1"/>
  <c r="S178" i="20"/>
  <c r="AM153" i="10"/>
  <c r="X162" i="11"/>
  <c r="X178" i="11"/>
  <c r="AH64" i="14"/>
  <c r="AG64" i="14"/>
  <c r="AE75" i="14"/>
  <c r="O313" i="11"/>
  <c r="O302" i="11"/>
  <c r="O304" i="11"/>
  <c r="O306" i="11"/>
  <c r="O308" i="11"/>
  <c r="O312" i="11"/>
  <c r="O309" i="11"/>
  <c r="O310" i="11"/>
  <c r="O305" i="11"/>
  <c r="O311" i="11"/>
  <c r="O307" i="11"/>
  <c r="O303" i="11"/>
  <c r="AE23" i="16"/>
  <c r="AE25" i="16" s="1"/>
  <c r="AE28" i="16" s="1"/>
  <c r="AE26" i="16" s="1"/>
  <c r="AE251" i="16"/>
  <c r="W299" i="10"/>
  <c r="W39" i="10"/>
  <c r="W10" i="3" s="1"/>
  <c r="W38" i="3" s="1"/>
  <c r="W7" i="3"/>
  <c r="W35" i="3" s="1"/>
  <c r="P349" i="5"/>
  <c r="AB4" i="1"/>
  <c r="AB38" i="1"/>
  <c r="Z15" i="1"/>
  <c r="B299" i="10"/>
  <c r="B39" i="10"/>
  <c r="B10" i="3" s="1"/>
  <c r="B38" i="3" s="1"/>
  <c r="B7" i="3"/>
  <c r="B35" i="3" s="1"/>
  <c r="N179" i="13"/>
  <c r="F113" i="15"/>
  <c r="F161" i="15"/>
  <c r="O240" i="12"/>
  <c r="AD282" i="12"/>
  <c r="N25" i="11"/>
  <c r="N28" i="11" s="1"/>
  <c r="N26" i="11" s="1"/>
  <c r="AM181" i="10"/>
  <c r="Z93" i="19"/>
  <c r="E80" i="17"/>
  <c r="X209" i="17"/>
  <c r="X306" i="17"/>
  <c r="AB103" i="19"/>
  <c r="AB119" i="19" s="1"/>
  <c r="O305" i="13"/>
  <c r="O208" i="13"/>
  <c r="Z178" i="17"/>
  <c r="G161" i="20"/>
  <c r="C81" i="13"/>
  <c r="C97" i="13" s="1"/>
  <c r="AB82" i="16"/>
  <c r="AB98" i="16" s="1"/>
  <c r="AB114" i="16" s="1"/>
  <c r="J80" i="17"/>
  <c r="Y216" i="10"/>
  <c r="Y105" i="10"/>
  <c r="AE307" i="14"/>
  <c r="Q39" i="9"/>
  <c r="Q330" i="9"/>
  <c r="AA223" i="19"/>
  <c r="Z115" i="11"/>
  <c r="Z258" i="11" s="1"/>
  <c r="Z179" i="16"/>
  <c r="AG209" i="14"/>
  <c r="AG241" i="14"/>
  <c r="M165" i="10"/>
  <c r="M181" i="10"/>
  <c r="AL48" i="10"/>
  <c r="AK48" i="10"/>
  <c r="EO41" i="7"/>
  <c r="I299" i="10"/>
  <c r="I39" i="10"/>
  <c r="I10" i="3" s="1"/>
  <c r="I38" i="3" s="1"/>
  <c r="I7" i="3"/>
  <c r="I35" i="3" s="1"/>
  <c r="T36" i="1"/>
  <c r="T40" i="1"/>
  <c r="N337" i="4"/>
  <c r="T82" i="12"/>
  <c r="T98" i="12" s="1"/>
  <c r="T114" i="12" s="1"/>
  <c r="T224" i="12"/>
  <c r="AB33" i="3"/>
  <c r="F240" i="15"/>
  <c r="Y33" i="3"/>
  <c r="AL149" i="10"/>
  <c r="H299" i="10"/>
  <c r="H39" i="10"/>
  <c r="H10" i="3" s="1"/>
  <c r="H38" i="3" s="1"/>
  <c r="H7" i="3"/>
  <c r="H35" i="3" s="1"/>
  <c r="AE289" i="14"/>
  <c r="EO45" i="6"/>
  <c r="AE208" i="17"/>
  <c r="AE305" i="17"/>
  <c r="U92" i="20"/>
  <c r="U15" i="20"/>
  <c r="U45" i="20" s="1"/>
  <c r="J179" i="19"/>
  <c r="J162" i="19"/>
  <c r="P103" i="14"/>
  <c r="P119" i="14" s="1"/>
  <c r="P246" i="14" s="1"/>
  <c r="P214" i="14"/>
  <c r="O87" i="14"/>
  <c r="R180" i="15"/>
  <c r="D84" i="12"/>
  <c r="D100" i="12" s="1"/>
  <c r="D116" i="12" s="1"/>
  <c r="D226" i="12"/>
  <c r="D242" i="12" s="1"/>
  <c r="V18" i="17"/>
  <c r="B179" i="12"/>
  <c r="E163" i="20"/>
  <c r="E179" i="20"/>
  <c r="E162" i="20"/>
  <c r="P179" i="13"/>
  <c r="N179" i="14"/>
  <c r="AC39" i="9"/>
  <c r="AC330" i="9"/>
  <c r="AE139" i="12"/>
  <c r="AG186" i="9"/>
  <c r="AI280" i="10"/>
  <c r="AJ280" i="10"/>
  <c r="AL280" i="10"/>
  <c r="AB310" i="17"/>
  <c r="AB213" i="17"/>
  <c r="AH147" i="14"/>
  <c r="AG147" i="14"/>
  <c r="AG163" i="14" s="1"/>
  <c r="AG93" i="14"/>
  <c r="P350" i="5"/>
  <c r="N350" i="5"/>
  <c r="V161" i="14"/>
  <c r="G80" i="16"/>
  <c r="Z80" i="17"/>
  <c r="AG207" i="14"/>
  <c r="AG239" i="14"/>
  <c r="P97" i="15"/>
  <c r="P223" i="15"/>
  <c r="P239" i="15" s="1"/>
  <c r="X96" i="16"/>
  <c r="N39" i="11"/>
  <c r="N314" i="11"/>
  <c r="O42" i="1"/>
  <c r="Y16" i="2"/>
  <c r="Y27" i="2" s="1"/>
  <c r="AA305" i="20"/>
  <c r="AA313" i="20"/>
  <c r="AA302" i="20"/>
  <c r="AA222" i="20" s="1"/>
  <c r="AA238" i="20" s="1"/>
  <c r="AA310" i="20"/>
  <c r="AA307" i="20"/>
  <c r="AA304" i="20"/>
  <c r="AA224" i="20" s="1"/>
  <c r="AA240" i="20" s="1"/>
  <c r="AA256" i="20" s="1"/>
  <c r="AA312" i="20"/>
  <c r="AA311" i="20"/>
  <c r="AA308" i="20"/>
  <c r="AA309" i="20"/>
  <c r="AA303" i="20"/>
  <c r="AA223" i="20" s="1"/>
  <c r="AA239" i="20" s="1"/>
  <c r="AA255" i="20" s="1"/>
  <c r="AA306" i="20"/>
  <c r="F82" i="17"/>
  <c r="Z35" i="14"/>
  <c r="Z41" i="14" s="1"/>
  <c r="Z19" i="3"/>
  <c r="Z33" i="3" s="1"/>
  <c r="AF4" i="17"/>
  <c r="AE14" i="17" s="1"/>
  <c r="R210" i="17"/>
  <c r="R307" i="17"/>
  <c r="P327" i="4"/>
  <c r="N327" i="4"/>
  <c r="L292" i="4"/>
  <c r="L350" i="4" s="1"/>
  <c r="M176" i="4"/>
  <c r="N328" i="4"/>
  <c r="P328" i="4"/>
  <c r="X178" i="13"/>
  <c r="T84" i="13"/>
  <c r="F299" i="10"/>
  <c r="F39" i="10"/>
  <c r="F10" i="3" s="1"/>
  <c r="F38" i="3" s="1"/>
  <c r="F7" i="3"/>
  <c r="F35" i="3" s="1"/>
  <c r="U308" i="11"/>
  <c r="U310" i="11"/>
  <c r="U312" i="11"/>
  <c r="U303" i="11"/>
  <c r="U307" i="11"/>
  <c r="U311" i="11"/>
  <c r="U306" i="11"/>
  <c r="U302" i="11"/>
  <c r="U309" i="11"/>
  <c r="U304" i="11"/>
  <c r="U313" i="11"/>
  <c r="U305" i="11"/>
  <c r="F81" i="13"/>
  <c r="F97" i="13" s="1"/>
  <c r="AA100" i="20"/>
  <c r="AA116" i="20" s="1"/>
  <c r="AD84" i="20"/>
  <c r="AA103" i="20"/>
  <c r="AA119" i="20" s="1"/>
  <c r="AH134" i="14"/>
  <c r="AF139" i="14"/>
  <c r="AI251" i="10"/>
  <c r="AE139" i="14"/>
  <c r="D83" i="12"/>
  <c r="D99" i="12" s="1"/>
  <c r="D115" i="12" s="1"/>
  <c r="X84" i="16"/>
  <c r="E80" i="13"/>
  <c r="AL207" i="10"/>
  <c r="AF21" i="10"/>
  <c r="X212" i="16"/>
  <c r="X309" i="16"/>
  <c r="B209" i="13"/>
  <c r="B306" i="13"/>
  <c r="AE80" i="20"/>
  <c r="AE96" i="20" s="1"/>
  <c r="AB96" i="20"/>
  <c r="AJ207" i="10"/>
  <c r="AJ178" i="10"/>
  <c r="AK207" i="10"/>
  <c r="N179" i="16"/>
  <c r="B100" i="20"/>
  <c r="B116" i="20" s="1"/>
  <c r="B242" i="20"/>
  <c r="B258" i="20" s="1"/>
  <c r="F210" i="17"/>
  <c r="F307" i="17"/>
  <c r="Y224" i="10"/>
  <c r="Y240" i="10" s="1"/>
  <c r="X161" i="11"/>
  <c r="B227" i="19"/>
  <c r="B243" i="19" s="1"/>
  <c r="N180" i="10"/>
  <c r="AA101" i="20"/>
  <c r="AA117" i="20" s="1"/>
  <c r="AD85" i="20"/>
  <c r="AD101" i="20" s="1"/>
  <c r="AD117" i="20" s="1"/>
  <c r="O178" i="10"/>
  <c r="AE4" i="10"/>
  <c r="AF99" i="14"/>
  <c r="AH83" i="14"/>
  <c r="AH99" i="14" s="1"/>
  <c r="AH115" i="14" s="1"/>
  <c r="AH242" i="14" s="1"/>
  <c r="AF91" i="14"/>
  <c r="AF107" i="14" s="1"/>
  <c r="AF123" i="14" s="1"/>
  <c r="O161" i="10"/>
  <c r="B180" i="19"/>
  <c r="B164" i="19"/>
  <c r="AE290" i="14"/>
  <c r="N114" i="16"/>
  <c r="N162" i="16"/>
  <c r="N338" i="5"/>
  <c r="AD10" i="1"/>
  <c r="AD42" i="1" s="1"/>
  <c r="D224" i="12"/>
  <c r="D82" i="12"/>
  <c r="D98" i="12" s="1"/>
  <c r="D114" i="12" s="1"/>
  <c r="Z94" i="10"/>
  <c r="AD35" i="11"/>
  <c r="AD41" i="11" s="1"/>
  <c r="AD36" i="11" s="1"/>
  <c r="AD5" i="3"/>
  <c r="N344" i="5"/>
  <c r="E114" i="12"/>
  <c r="E162" i="12"/>
  <c r="T212" i="13"/>
  <c r="T309" i="13"/>
  <c r="AI178" i="10"/>
  <c r="D208" i="15"/>
  <c r="D305" i="15"/>
  <c r="I210" i="17"/>
  <c r="I307" i="17"/>
  <c r="AB210" i="16"/>
  <c r="AB307" i="16"/>
  <c r="AH65" i="14"/>
  <c r="AG65" i="14"/>
  <c r="AD80" i="20"/>
  <c r="AB81" i="13"/>
  <c r="AD139" i="14"/>
  <c r="I180" i="20"/>
  <c r="I164" i="20"/>
  <c r="I163" i="20"/>
  <c r="O84" i="16"/>
  <c r="AH307" i="14"/>
  <c r="N325" i="5"/>
  <c r="K118" i="4"/>
  <c r="S31" i="4"/>
  <c r="S39" i="9"/>
  <c r="S330" i="9"/>
  <c r="X299" i="10"/>
  <c r="X39" i="10"/>
  <c r="X10" i="3" s="1"/>
  <c r="X38" i="3" s="1"/>
  <c r="X7" i="3"/>
  <c r="X35" i="3" s="1"/>
  <c r="Q25" i="11"/>
  <c r="Q28" i="11" s="1"/>
  <c r="Q26" i="11" s="1"/>
  <c r="D179" i="10"/>
  <c r="Q339" i="5"/>
  <c r="AE97" i="10"/>
  <c r="AE161" i="10" s="1"/>
  <c r="AE208" i="10"/>
  <c r="AE224" i="10" s="1"/>
  <c r="AE240" i="10" s="1"/>
  <c r="AH83" i="10"/>
  <c r="AG83" i="10"/>
  <c r="AI83" i="10"/>
  <c r="AI210" i="10" s="1"/>
  <c r="AI226" i="10" s="1"/>
  <c r="D178" i="13"/>
  <c r="AD14" i="14"/>
  <c r="AE6" i="14"/>
  <c r="X23" i="1"/>
  <c r="X11" i="14"/>
  <c r="X16" i="14" s="1"/>
  <c r="K23" i="1"/>
  <c r="K11" i="14"/>
  <c r="K16" i="14" s="1"/>
  <c r="K15" i="14" s="1"/>
  <c r="D208" i="13"/>
  <c r="D305" i="13"/>
  <c r="AD178" i="13"/>
  <c r="N24" i="1"/>
  <c r="N39" i="1"/>
  <c r="N40" i="1" s="1"/>
  <c r="O241" i="12"/>
  <c r="L81" i="12"/>
  <c r="L97" i="12" s="1"/>
  <c r="E96" i="15"/>
  <c r="AD289" i="10"/>
  <c r="AD297" i="10"/>
  <c r="AD290" i="10"/>
  <c r="AD298" i="10"/>
  <c r="AD287" i="10"/>
  <c r="AD294" i="10"/>
  <c r="AD292" i="10"/>
  <c r="AD295" i="10"/>
  <c r="AD296" i="10"/>
  <c r="AD288" i="10"/>
  <c r="AD291" i="10"/>
  <c r="AD293" i="10"/>
  <c r="K96" i="13"/>
  <c r="X97" i="16"/>
  <c r="B177" i="11"/>
  <c r="AG178" i="11"/>
  <c r="S306" i="14"/>
  <c r="S290" i="14"/>
  <c r="Y179" i="15"/>
  <c r="W211" i="15"/>
  <c r="W308" i="15"/>
  <c r="AC305" i="17"/>
  <c r="AC208" i="17"/>
  <c r="D80" i="15"/>
  <c r="F180" i="19"/>
  <c r="Q211" i="14"/>
  <c r="Q100" i="14"/>
  <c r="Q116" i="14" s="1"/>
  <c r="Q243" i="14" s="1"/>
  <c r="P84" i="14"/>
  <c r="N210" i="15"/>
  <c r="N307" i="15"/>
  <c r="K80" i="17"/>
  <c r="M223" i="16"/>
  <c r="C95" i="20"/>
  <c r="C91" i="20"/>
  <c r="C12" i="20" s="1"/>
  <c r="Z81" i="15"/>
  <c r="C80" i="16"/>
  <c r="AG255" i="14"/>
  <c r="AE266" i="14"/>
  <c r="AH255" i="14"/>
  <c r="D85" i="12"/>
  <c r="D101" i="12" s="1"/>
  <c r="D117" i="12" s="1"/>
  <c r="AG151" i="14"/>
  <c r="AF151" i="14"/>
  <c r="AF155" i="14" s="1"/>
  <c r="O46" i="14"/>
  <c r="D179" i="16"/>
  <c r="T210" i="15"/>
  <c r="T307" i="15"/>
  <c r="AA208" i="16"/>
  <c r="AA305" i="16"/>
  <c r="AG248" i="14"/>
  <c r="AG216" i="14"/>
  <c r="N224" i="16"/>
  <c r="N81" i="16"/>
  <c r="N97" i="16" s="1"/>
  <c r="AD178" i="16"/>
  <c r="Z214" i="19"/>
  <c r="Z230" i="19" s="1"/>
  <c r="Z311" i="19"/>
  <c r="AC306" i="14"/>
  <c r="S336" i="5"/>
  <c r="N343" i="5"/>
  <c r="AJ71" i="10"/>
  <c r="AI71" i="10"/>
  <c r="AK71" i="10"/>
  <c r="AM71" i="10"/>
  <c r="AL71" i="10"/>
  <c r="AG217" i="10"/>
  <c r="AG233" i="10" s="1"/>
  <c r="P304" i="11"/>
  <c r="P306" i="11"/>
  <c r="P308" i="11"/>
  <c r="P310" i="11"/>
  <c r="P303" i="11"/>
  <c r="P305" i="11"/>
  <c r="P312" i="11"/>
  <c r="P307" i="11"/>
  <c r="P309" i="11"/>
  <c r="P311" i="11"/>
  <c r="P302" i="11"/>
  <c r="P313" i="11"/>
  <c r="AE210" i="10"/>
  <c r="AE226" i="10" s="1"/>
  <c r="AE242" i="10" s="1"/>
  <c r="AE99" i="10"/>
  <c r="AK85" i="10"/>
  <c r="AK212" i="10" s="1"/>
  <c r="AK228" i="10" s="1"/>
  <c r="AJ85" i="10"/>
  <c r="AJ212" i="10" s="1"/>
  <c r="AJ228" i="10" s="1"/>
  <c r="AH85" i="10"/>
  <c r="AH212" i="10" s="1"/>
  <c r="AH228" i="10" s="1"/>
  <c r="AG85" i="10"/>
  <c r="AI85" i="10"/>
  <c r="AI212" i="10" s="1"/>
  <c r="AI228" i="10" s="1"/>
  <c r="Y108" i="10"/>
  <c r="Y23" i="10" s="1"/>
  <c r="K181" i="10"/>
  <c r="AF179" i="10"/>
  <c r="AF163" i="10"/>
  <c r="AD6" i="14"/>
  <c r="AC14" i="14"/>
  <c r="S177" i="11"/>
  <c r="AG55" i="14"/>
  <c r="AF55" i="14"/>
  <c r="AF59" i="14" s="1"/>
  <c r="AH55" i="14"/>
  <c r="U81" i="13"/>
  <c r="Z161" i="11"/>
  <c r="Z177" i="11"/>
  <c r="AC44" i="8"/>
  <c r="AC45" i="8" s="1"/>
  <c r="AC11" i="3"/>
  <c r="AC39" i="3" s="1"/>
  <c r="H179" i="12"/>
  <c r="AH69" i="14"/>
  <c r="AG69" i="14"/>
  <c r="AD59" i="13"/>
  <c r="B160" i="11"/>
  <c r="S337" i="5"/>
  <c r="Z225" i="12"/>
  <c r="Z241" i="12" s="1"/>
  <c r="Z83" i="12"/>
  <c r="Z99" i="12" s="1"/>
  <c r="Z115" i="12" s="1"/>
  <c r="W83" i="15"/>
  <c r="Q179" i="17"/>
  <c r="Z102" i="20"/>
  <c r="AB86" i="20"/>
  <c r="AB102" i="20" s="1"/>
  <c r="AB118" i="20" s="1"/>
  <c r="Z244" i="20"/>
  <c r="Z260" i="20" s="1"/>
  <c r="N210" i="16"/>
  <c r="N307" i="16"/>
  <c r="U179" i="20"/>
  <c r="C92" i="19"/>
  <c r="C12" i="19" s="1"/>
  <c r="C96" i="19"/>
  <c r="AL257" i="10"/>
  <c r="AK257" i="10"/>
  <c r="AJ257" i="10"/>
  <c r="AM257" i="10" s="1"/>
  <c r="AA306" i="14"/>
  <c r="N82" i="15"/>
  <c r="N98" i="15" s="1"/>
  <c r="S299" i="19"/>
  <c r="S39" i="19"/>
  <c r="J179" i="17"/>
  <c r="F163" i="19"/>
  <c r="Q181" i="10"/>
  <c r="L81" i="15"/>
  <c r="AA177" i="20"/>
  <c r="S306" i="20"/>
  <c r="S303" i="20"/>
  <c r="S311" i="20"/>
  <c r="S308" i="20"/>
  <c r="S305" i="20"/>
  <c r="S313" i="20"/>
  <c r="S302" i="20"/>
  <c r="S312" i="20"/>
  <c r="S304" i="20"/>
  <c r="S309" i="20"/>
  <c r="S310" i="20"/>
  <c r="S307" i="20"/>
  <c r="AA241" i="13"/>
  <c r="Y225" i="15"/>
  <c r="Y82" i="15"/>
  <c r="C179" i="12"/>
  <c r="AF154" i="14"/>
  <c r="AG154" i="14"/>
  <c r="AH154" i="14"/>
  <c r="AG58" i="14"/>
  <c r="AF58" i="14"/>
  <c r="AH58" i="14" s="1"/>
  <c r="O24" i="1"/>
  <c r="AC155" i="19"/>
  <c r="O96" i="16"/>
  <c r="AE180" i="20"/>
  <c r="C305" i="12"/>
  <c r="C208" i="12"/>
  <c r="C178" i="14"/>
  <c r="AA80" i="16"/>
  <c r="AE139" i="16"/>
  <c r="R208" i="16"/>
  <c r="R305" i="16"/>
  <c r="AG246" i="14"/>
  <c r="AG214" i="14"/>
  <c r="F179" i="16"/>
  <c r="AA178" i="17"/>
  <c r="E178" i="19"/>
  <c r="AE182" i="15"/>
  <c r="K164" i="19"/>
  <c r="K180" i="19"/>
  <c r="H113" i="17"/>
  <c r="H161" i="17"/>
  <c r="Z229" i="19"/>
  <c r="Z245" i="19" s="1"/>
  <c r="M304" i="20"/>
  <c r="M312" i="20"/>
  <c r="M309" i="20"/>
  <c r="M306" i="20"/>
  <c r="M303" i="20"/>
  <c r="M311" i="20"/>
  <c r="M310" i="20"/>
  <c r="M313" i="20"/>
  <c r="M307" i="20"/>
  <c r="M308" i="20"/>
  <c r="M302" i="20"/>
  <c r="M305" i="20"/>
  <c r="R306" i="20"/>
  <c r="R303" i="20"/>
  <c r="R311" i="20"/>
  <c r="R308" i="20"/>
  <c r="R304" i="20"/>
  <c r="R305" i="20"/>
  <c r="R302" i="20"/>
  <c r="R312" i="20"/>
  <c r="R309" i="20"/>
  <c r="R310" i="20"/>
  <c r="R313" i="20"/>
  <c r="R307" i="20"/>
  <c r="AC289" i="14"/>
  <c r="U209" i="13"/>
  <c r="U306" i="13"/>
  <c r="L24" i="1"/>
  <c r="I179" i="10"/>
  <c r="I163" i="10" s="1"/>
  <c r="W179" i="13"/>
  <c r="U307" i="14"/>
  <c r="U291" i="14"/>
  <c r="E181" i="12"/>
  <c r="H162" i="11"/>
  <c r="H178" i="11"/>
  <c r="M209" i="12"/>
  <c r="M306" i="12"/>
  <c r="AN73" i="14"/>
  <c r="AF73" i="14"/>
  <c r="AH73" i="14" s="1"/>
  <c r="AG73" i="14"/>
  <c r="U178" i="14"/>
  <c r="U162" i="14" s="1"/>
  <c r="J80" i="15"/>
  <c r="G164" i="10"/>
  <c r="G180" i="10"/>
  <c r="Z307" i="12"/>
  <c r="Z210" i="12"/>
  <c r="B223" i="16"/>
  <c r="B80" i="16"/>
  <c r="AB155" i="19"/>
  <c r="AH353" i="20"/>
  <c r="AI353" i="20" s="1"/>
  <c r="AH358" i="20"/>
  <c r="AI358" i="20" s="1"/>
  <c r="AH349" i="20"/>
  <c r="AI349" i="20" s="1"/>
  <c r="AH356" i="20"/>
  <c r="AI356" i="20" s="1"/>
  <c r="AB178" i="16"/>
  <c r="AH145" i="14"/>
  <c r="AG145" i="14"/>
  <c r="F182" i="17"/>
  <c r="F96" i="15"/>
  <c r="B162" i="17"/>
  <c r="B178" i="17"/>
  <c r="AG18" i="14"/>
  <c r="AJ256" i="10"/>
  <c r="AK256" i="10"/>
  <c r="V24" i="1"/>
  <c r="V39" i="1"/>
  <c r="V40" i="1" s="1"/>
  <c r="G178" i="13"/>
  <c r="AH56" i="14"/>
  <c r="AF56" i="14"/>
  <c r="AG56" i="14"/>
  <c r="N39" i="3"/>
  <c r="M113" i="16"/>
  <c r="M161" i="16"/>
  <c r="Z313" i="20"/>
  <c r="Z302" i="20"/>
  <c r="Z310" i="20"/>
  <c r="Z230" i="20" s="1"/>
  <c r="Z246" i="20" s="1"/>
  <c r="Z311" i="20"/>
  <c r="Z308" i="20"/>
  <c r="Z312" i="20"/>
  <c r="Z303" i="20"/>
  <c r="Z309" i="20"/>
  <c r="Z229" i="20" s="1"/>
  <c r="Z245" i="20" s="1"/>
  <c r="Z304" i="20"/>
  <c r="AB209" i="13"/>
  <c r="AB306" i="13"/>
  <c r="X113" i="14"/>
  <c r="X240" i="14" s="1"/>
  <c r="X108" i="14"/>
  <c r="X23" i="14" s="1"/>
  <c r="I305" i="14"/>
  <c r="AG260" i="14"/>
  <c r="AH260" i="14"/>
  <c r="AE59" i="14"/>
  <c r="AG48" i="14"/>
  <c r="AH48" i="14"/>
  <c r="AH59" i="14" s="1"/>
  <c r="AB111" i="20"/>
  <c r="AB159" i="20"/>
  <c r="V179" i="16"/>
  <c r="S179" i="17"/>
  <c r="C81" i="12"/>
  <c r="C97" i="12" s="1"/>
  <c r="W18" i="17"/>
  <c r="AI207" i="10"/>
  <c r="AG244" i="14"/>
  <c r="AG212" i="14"/>
  <c r="R113" i="15"/>
  <c r="R161" i="15"/>
  <c r="N180" i="17"/>
  <c r="EP41" i="6"/>
  <c r="ET4" i="6"/>
  <c r="V80" i="13"/>
  <c r="J240" i="12"/>
  <c r="AE75" i="13"/>
  <c r="F296" i="19"/>
  <c r="F292" i="19"/>
  <c r="F291" i="19"/>
  <c r="F290" i="19"/>
  <c r="F289" i="19"/>
  <c r="F295" i="19"/>
  <c r="F294" i="19"/>
  <c r="F293" i="19"/>
  <c r="F297" i="19"/>
  <c r="F298" i="19"/>
  <c r="F287" i="19"/>
  <c r="F288" i="19"/>
  <c r="P178" i="14"/>
  <c r="V208" i="16"/>
  <c r="V305" i="16"/>
  <c r="D305" i="17"/>
  <c r="D208" i="17"/>
  <c r="Q106" i="14"/>
  <c r="Q122" i="14" s="1"/>
  <c r="Q249" i="14" s="1"/>
  <c r="Q217" i="14"/>
  <c r="P90" i="14"/>
  <c r="W179" i="17"/>
  <c r="AB315" i="11"/>
  <c r="AB39" i="11"/>
  <c r="AB314" i="11"/>
  <c r="AF210" i="14"/>
  <c r="M306" i="14"/>
  <c r="Y209" i="17"/>
  <c r="Y306" i="17"/>
  <c r="Y291" i="14"/>
  <c r="Y307" i="14"/>
  <c r="B307" i="17"/>
  <c r="B210" i="17"/>
  <c r="P330" i="4"/>
  <c r="N330" i="4"/>
  <c r="N333" i="5"/>
  <c r="N15" i="1"/>
  <c r="C36" i="1"/>
  <c r="C40" i="1"/>
  <c r="G162" i="11"/>
  <c r="G178" i="11"/>
  <c r="R347" i="4"/>
  <c r="K15" i="10"/>
  <c r="K18" i="10"/>
  <c r="I118" i="4"/>
  <c r="R31" i="4"/>
  <c r="M31" i="4"/>
  <c r="R349" i="5"/>
  <c r="W177" i="11"/>
  <c r="AE112" i="14"/>
  <c r="AE239" i="14" s="1"/>
  <c r="AE108" i="14"/>
  <c r="AE160" i="14"/>
  <c r="AF80" i="11"/>
  <c r="AF98" i="10"/>
  <c r="AF162" i="10" s="1"/>
  <c r="AF209" i="10"/>
  <c r="AF225" i="10" s="1"/>
  <c r="AF241" i="10" s="1"/>
  <c r="AI151" i="10"/>
  <c r="AK151" i="10"/>
  <c r="AJ151" i="10"/>
  <c r="AA25" i="10"/>
  <c r="AA28" i="10" s="1"/>
  <c r="AA26" i="10" s="1"/>
  <c r="E182" i="14"/>
  <c r="V161" i="11"/>
  <c r="V177" i="11"/>
  <c r="Y96" i="13"/>
  <c r="W39" i="9"/>
  <c r="W330" i="9"/>
  <c r="S162" i="13"/>
  <c r="S178" i="13"/>
  <c r="AJ281" i="10"/>
  <c r="AI281" i="10"/>
  <c r="AF248" i="14"/>
  <c r="AF216" i="14"/>
  <c r="AD75" i="13"/>
  <c r="Y81" i="12"/>
  <c r="AA7" i="1"/>
  <c r="AA8" i="1" s="1"/>
  <c r="AA13" i="1" s="1"/>
  <c r="AA11" i="11"/>
  <c r="AA16" i="11" s="1"/>
  <c r="O179" i="14"/>
  <c r="P308" i="13"/>
  <c r="P211" i="13"/>
  <c r="AL153" i="10"/>
  <c r="T178" i="12"/>
  <c r="AF154" i="11"/>
  <c r="AE7" i="12"/>
  <c r="H209" i="12"/>
  <c r="H306" i="12"/>
  <c r="G224" i="12"/>
  <c r="Z180" i="13"/>
  <c r="X42" i="1"/>
  <c r="AA178" i="11"/>
  <c r="R209" i="15"/>
  <c r="R306" i="15"/>
  <c r="H96" i="15"/>
  <c r="W81" i="15"/>
  <c r="AF307" i="14"/>
  <c r="G179" i="16"/>
  <c r="L7" i="1"/>
  <c r="L8" i="1" s="1"/>
  <c r="L13" i="1" s="1"/>
  <c r="L11" i="10"/>
  <c r="L16" i="10" s="1"/>
  <c r="AH7" i="14"/>
  <c r="AH9" i="14" s="1"/>
  <c r="AH11" i="14" s="1"/>
  <c r="AH16" i="14" s="1"/>
  <c r="Y305" i="16"/>
  <c r="Y208" i="16"/>
  <c r="F80" i="13"/>
  <c r="F223" i="13"/>
  <c r="P209" i="16"/>
  <c r="P306" i="16"/>
  <c r="N223" i="12"/>
  <c r="Z282" i="19"/>
  <c r="AB280" i="19"/>
  <c r="AB282" i="19" s="1"/>
  <c r="W178" i="20"/>
  <c r="X181" i="19"/>
  <c r="X165" i="19"/>
  <c r="Y308" i="20"/>
  <c r="Y305" i="20"/>
  <c r="Y313" i="20"/>
  <c r="Y302" i="20"/>
  <c r="AC302" i="20" s="1"/>
  <c r="Y310" i="20"/>
  <c r="Y307" i="20"/>
  <c r="Y304" i="20"/>
  <c r="AC304" i="20" s="1"/>
  <c r="AC224" i="20" s="1"/>
  <c r="AC240" i="20" s="1"/>
  <c r="AC256" i="20" s="1"/>
  <c r="Y303" i="20"/>
  <c r="AC303" i="20" s="1"/>
  <c r="AC223" i="20" s="1"/>
  <c r="AC239" i="20" s="1"/>
  <c r="AC255" i="20" s="1"/>
  <c r="Y311" i="20"/>
  <c r="Y312" i="20"/>
  <c r="Y306" i="20"/>
  <c r="Y309" i="20"/>
  <c r="AD82" i="20"/>
  <c r="AD98" i="20" s="1"/>
  <c r="C179" i="16"/>
  <c r="I299" i="19"/>
  <c r="I39" i="19"/>
  <c r="Y290" i="14"/>
  <c r="F81" i="17"/>
  <c r="F97" i="17" s="1"/>
  <c r="B114" i="19"/>
  <c r="B162" i="19"/>
  <c r="Y25" i="14"/>
  <c r="Y28" i="14" s="1"/>
  <c r="Y26" i="14" s="1"/>
  <c r="Y19" i="2"/>
  <c r="Y30" i="2" s="1"/>
  <c r="AG50" i="14"/>
  <c r="AH50" i="14"/>
  <c r="G225" i="12"/>
  <c r="G241" i="12" s="1"/>
  <c r="G83" i="12"/>
  <c r="G99" i="12" s="1"/>
  <c r="G115" i="12" s="1"/>
  <c r="AA99" i="19"/>
  <c r="AC83" i="19"/>
  <c r="AC99" i="19" s="1"/>
  <c r="AC115" i="19" s="1"/>
  <c r="AH360" i="20"/>
  <c r="AI360" i="20" s="1"/>
  <c r="J42" i="1"/>
  <c r="S224" i="15"/>
  <c r="X178" i="20"/>
  <c r="AF233" i="10"/>
  <c r="AF249" i="10" s="1"/>
  <c r="AB226" i="17"/>
  <c r="AB242" i="17" s="1"/>
  <c r="AG217" i="14"/>
  <c r="AG249" i="14"/>
  <c r="AH68" i="14"/>
  <c r="AG68" i="14"/>
  <c r="V179" i="17"/>
  <c r="I179" i="16"/>
  <c r="D178" i="20"/>
  <c r="D162" i="20" s="1"/>
  <c r="AE209" i="10"/>
  <c r="AE225" i="10" s="1"/>
  <c r="AE241" i="10" s="1"/>
  <c r="AE98" i="10"/>
  <c r="AI84" i="10"/>
  <c r="AI211" i="10" s="1"/>
  <c r="AI227" i="10" s="1"/>
  <c r="AH84" i="10"/>
  <c r="AH211" i="10" s="1"/>
  <c r="AH227" i="10" s="1"/>
  <c r="AG84" i="10"/>
  <c r="AE107" i="14"/>
  <c r="AE123" i="14" s="1"/>
  <c r="AE250" i="14" s="1"/>
  <c r="AE218" i="14"/>
  <c r="AB180" i="13"/>
  <c r="AA95" i="20"/>
  <c r="AA90" i="20"/>
  <c r="AA106" i="20" s="1"/>
  <c r="AA122" i="20" s="1"/>
  <c r="AA92" i="20"/>
  <c r="AC79" i="20"/>
  <c r="G182" i="17"/>
  <c r="V80" i="16"/>
  <c r="Q298" i="19"/>
  <c r="Q287" i="19"/>
  <c r="Q294" i="19"/>
  <c r="Q290" i="19"/>
  <c r="Q297" i="19"/>
  <c r="Q296" i="19"/>
  <c r="Q295" i="19"/>
  <c r="Q293" i="19"/>
  <c r="Q291" i="19"/>
  <c r="Q289" i="19"/>
  <c r="Q292" i="19"/>
  <c r="Q288" i="19"/>
  <c r="P337" i="5"/>
  <c r="N327" i="5"/>
  <c r="D178" i="12"/>
  <c r="D162" i="12"/>
  <c r="AC306" i="13"/>
  <c r="AC209" i="13"/>
  <c r="AG213" i="10"/>
  <c r="AG229" i="10" s="1"/>
  <c r="AE213" i="10"/>
  <c r="AE229" i="10" s="1"/>
  <c r="AE245" i="10" s="1"/>
  <c r="AH88" i="10"/>
  <c r="AH215" i="10" s="1"/>
  <c r="AH231" i="10" s="1"/>
  <c r="AG88" i="10"/>
  <c r="AE102" i="10"/>
  <c r="K80" i="12"/>
  <c r="J234" i="12"/>
  <c r="O15" i="10"/>
  <c r="O18" i="10"/>
  <c r="S332" i="4"/>
  <c r="R349" i="4"/>
  <c r="P335" i="5"/>
  <c r="N15" i="10"/>
  <c r="N18" i="10"/>
  <c r="X35" i="1"/>
  <c r="X36" i="1" s="1"/>
  <c r="X4" i="1"/>
  <c r="DR41" i="6"/>
  <c r="W160" i="11"/>
  <c r="J226" i="12"/>
  <c r="J242" i="12" s="1"/>
  <c r="AE178" i="11"/>
  <c r="L209" i="13"/>
  <c r="L306" i="13"/>
  <c r="Z15" i="10"/>
  <c r="Z19" i="10" s="1"/>
  <c r="AI152" i="10"/>
  <c r="AK152" i="10" s="1"/>
  <c r="AJ152" i="10"/>
  <c r="J178" i="11"/>
  <c r="J162" i="11" s="1"/>
  <c r="S113" i="12"/>
  <c r="S161" i="12"/>
  <c r="W82" i="12"/>
  <c r="W224" i="12"/>
  <c r="AE178" i="10"/>
  <c r="I8" i="1"/>
  <c r="I13" i="1" s="1"/>
  <c r="I39" i="1"/>
  <c r="I40" i="1" s="1"/>
  <c r="AF227" i="10"/>
  <c r="AF243" i="10" s="1"/>
  <c r="V25" i="11"/>
  <c r="V28" i="11" s="1"/>
  <c r="V26" i="11" s="1"/>
  <c r="S161" i="13"/>
  <c r="AK277" i="10"/>
  <c r="AJ277" i="10"/>
  <c r="AI277" i="10"/>
  <c r="AL277" i="10" s="1"/>
  <c r="AF240" i="14"/>
  <c r="AF208" i="14"/>
  <c r="R305" i="13"/>
  <c r="R208" i="13"/>
  <c r="W310" i="11"/>
  <c r="W312" i="11"/>
  <c r="W303" i="11"/>
  <c r="W305" i="11"/>
  <c r="W309" i="11"/>
  <c r="W311" i="11"/>
  <c r="W306" i="11"/>
  <c r="W307" i="11"/>
  <c r="W302" i="11"/>
  <c r="W304" i="11"/>
  <c r="W313" i="11"/>
  <c r="W308" i="11"/>
  <c r="T46" i="14"/>
  <c r="P83" i="13"/>
  <c r="AI133" i="10"/>
  <c r="AJ133" i="10"/>
  <c r="F213" i="15"/>
  <c r="F310" i="15"/>
  <c r="AB180" i="10"/>
  <c r="AE6" i="12"/>
  <c r="AE9" i="12"/>
  <c r="AE11" i="12" s="1"/>
  <c r="AE16" i="12" s="1"/>
  <c r="T161" i="13"/>
  <c r="T113" i="13"/>
  <c r="H82" i="12"/>
  <c r="N81" i="15"/>
  <c r="W97" i="12"/>
  <c r="I162" i="12"/>
  <c r="X97" i="12"/>
  <c r="AH89" i="14"/>
  <c r="AH105" i="14" s="1"/>
  <c r="AH121" i="14" s="1"/>
  <c r="Y179" i="17"/>
  <c r="B230" i="19"/>
  <c r="AE18" i="14"/>
  <c r="B181" i="15"/>
  <c r="AD266" i="17"/>
  <c r="AD209" i="17"/>
  <c r="AD306" i="17"/>
  <c r="W161" i="20"/>
  <c r="X164" i="19"/>
  <c r="U209" i="17"/>
  <c r="U306" i="17"/>
  <c r="AD86" i="20"/>
  <c r="R179" i="12"/>
  <c r="V80" i="17"/>
  <c r="V223" i="17"/>
  <c r="AA6" i="19"/>
  <c r="B209" i="15"/>
  <c r="B306" i="15"/>
  <c r="I181" i="15"/>
  <c r="W39" i="1"/>
  <c r="W40" i="1" s="1"/>
  <c r="B224" i="19"/>
  <c r="AH53" i="14"/>
  <c r="AG53" i="14"/>
  <c r="AB98" i="20"/>
  <c r="K179" i="15"/>
  <c r="U80" i="17"/>
  <c r="U223" i="17"/>
  <c r="AH359" i="20"/>
  <c r="AI359" i="20" s="1"/>
  <c r="AE182" i="17"/>
  <c r="M209" i="15"/>
  <c r="M306" i="15"/>
  <c r="B233" i="19"/>
  <c r="B249" i="19" s="1"/>
  <c r="X161" i="20"/>
  <c r="AA181" i="15"/>
  <c r="AL264" i="10"/>
  <c r="M180" i="16"/>
  <c r="N307" i="12"/>
  <c r="N210" i="12"/>
  <c r="B207" i="17"/>
  <c r="Z179" i="15"/>
  <c r="P298" i="19"/>
  <c r="P287" i="19"/>
  <c r="P294" i="19"/>
  <c r="P290" i="19"/>
  <c r="P297" i="19"/>
  <c r="P296" i="19"/>
  <c r="P295" i="19"/>
  <c r="P289" i="19"/>
  <c r="P293" i="19"/>
  <c r="P291" i="19"/>
  <c r="P292" i="19"/>
  <c r="P288" i="19"/>
  <c r="AB210" i="19"/>
  <c r="AB226" i="19" s="1"/>
  <c r="AB242" i="19" s="1"/>
  <c r="AB307" i="19"/>
  <c r="X180" i="17"/>
  <c r="V181" i="20"/>
  <c r="R337" i="5"/>
  <c r="AG326" i="9"/>
  <c r="AG324" i="9"/>
  <c r="AH223" i="10"/>
  <c r="I163" i="12"/>
  <c r="I179" i="12"/>
  <c r="Q305" i="13"/>
  <c r="Q208" i="13"/>
  <c r="AC178" i="15"/>
  <c r="AG66" i="14"/>
  <c r="AH66" i="14"/>
  <c r="N291" i="19"/>
  <c r="N298" i="19"/>
  <c r="N287" i="19"/>
  <c r="N294" i="19"/>
  <c r="N297" i="19"/>
  <c r="N296" i="19"/>
  <c r="N295" i="19"/>
  <c r="N289" i="19"/>
  <c r="N293" i="19"/>
  <c r="N292" i="19"/>
  <c r="N288" i="19"/>
  <c r="N290" i="19"/>
  <c r="L113" i="17"/>
  <c r="L161" i="17"/>
  <c r="Z163" i="19"/>
  <c r="Z179" i="19"/>
  <c r="Z178" i="20"/>
  <c r="AB180" i="17"/>
  <c r="AC181" i="17"/>
  <c r="Z113" i="16"/>
  <c r="Z161" i="16"/>
  <c r="S299" i="10"/>
  <c r="S39" i="10"/>
  <c r="S10" i="3" s="1"/>
  <c r="S38" i="3" s="1"/>
  <c r="S7" i="3"/>
  <c r="S35" i="3" s="1"/>
  <c r="B259" i="11"/>
  <c r="N347" i="5"/>
  <c r="U8" i="1"/>
  <c r="U13" i="1" s="1"/>
  <c r="U39" i="1"/>
  <c r="U40" i="1" s="1"/>
  <c r="J39" i="10"/>
  <c r="J10" i="3" s="1"/>
  <c r="J38" i="3" s="1"/>
  <c r="J299" i="10"/>
  <c r="J7" i="3"/>
  <c r="J35" i="3" s="1"/>
  <c r="S225" i="13"/>
  <c r="S241" i="13" s="1"/>
  <c r="Q299" i="10"/>
  <c r="Q39" i="10"/>
  <c r="Q10" i="3" s="1"/>
  <c r="Q38" i="3" s="1"/>
  <c r="Q7" i="3"/>
  <c r="Q35" i="3" s="1"/>
  <c r="F225" i="15"/>
  <c r="F241" i="15" s="1"/>
  <c r="E179" i="11"/>
  <c r="E163" i="11" s="1"/>
  <c r="C178" i="17"/>
  <c r="AB6" i="19"/>
  <c r="Z162" i="19"/>
  <c r="S208" i="16"/>
  <c r="S305" i="16"/>
  <c r="AH248" i="14"/>
  <c r="AH216" i="14"/>
  <c r="L210" i="16"/>
  <c r="L307" i="16"/>
  <c r="Y15" i="16"/>
  <c r="Y46" i="16" s="1"/>
  <c r="N180" i="15"/>
  <c r="AG250" i="9"/>
  <c r="AG33" i="9" s="1"/>
  <c r="W178" i="10"/>
  <c r="I178" i="11"/>
  <c r="AB161" i="17"/>
  <c r="AB113" i="17"/>
  <c r="K96" i="15"/>
  <c r="W25" i="14"/>
  <c r="W28" i="14" s="1"/>
  <c r="W26" i="14" s="1"/>
  <c r="I46" i="14"/>
  <c r="AD97" i="20"/>
  <c r="AD102" i="20"/>
  <c r="AD118" i="20" s="1"/>
  <c r="AD100" i="20"/>
  <c r="AD116" i="20" s="1"/>
  <c r="AD99" i="20"/>
  <c r="AD95" i="20"/>
  <c r="AD23" i="20"/>
  <c r="AD25" i="20" s="1"/>
  <c r="AD28" i="20" s="1"/>
  <c r="AD26" i="20" s="1"/>
  <c r="AD172" i="20" s="1"/>
  <c r="R81" i="17"/>
  <c r="R224" i="17"/>
  <c r="B243" i="20"/>
  <c r="B259" i="20" s="1"/>
  <c r="S223" i="17"/>
  <c r="S80" i="17"/>
  <c r="L182" i="13"/>
  <c r="D178" i="17"/>
  <c r="O209" i="15"/>
  <c r="O306" i="15"/>
  <c r="AE59" i="17"/>
  <c r="J306" i="14"/>
  <c r="AE266" i="17"/>
  <c r="X210" i="12"/>
  <c r="X307" i="12"/>
  <c r="P178" i="15"/>
  <c r="R306" i="14"/>
  <c r="AD305" i="14"/>
  <c r="AE210" i="16"/>
  <c r="AE307" i="16"/>
  <c r="AB207" i="19"/>
  <c r="AH246" i="14"/>
  <c r="AH214" i="14"/>
  <c r="AN72" i="14"/>
  <c r="AF72" i="14"/>
  <c r="AH72" i="14" s="1"/>
  <c r="AG72" i="14"/>
  <c r="AB73" i="19"/>
  <c r="AC73" i="19"/>
  <c r="M113" i="17"/>
  <c r="M161" i="17"/>
  <c r="H179" i="13"/>
  <c r="N83" i="12"/>
  <c r="N99" i="12" s="1"/>
  <c r="N115" i="12" s="1"/>
  <c r="N225" i="12"/>
  <c r="AH67" i="14"/>
  <c r="AG67" i="14"/>
  <c r="AB241" i="19"/>
  <c r="S209" i="17"/>
  <c r="S306" i="17"/>
  <c r="AI266" i="10"/>
  <c r="H180" i="15"/>
  <c r="D160" i="10"/>
  <c r="AG51" i="14"/>
  <c r="AH51" i="14"/>
  <c r="M210" i="13"/>
  <c r="M307" i="13"/>
  <c r="U208" i="15"/>
  <c r="U305" i="15"/>
  <c r="Q347" i="5"/>
  <c r="K292" i="4"/>
  <c r="AF250" i="14"/>
  <c r="AF218" i="14"/>
  <c r="Q304" i="11"/>
  <c r="Q306" i="11"/>
  <c r="Q308" i="11"/>
  <c r="Q310" i="11"/>
  <c r="Q303" i="11"/>
  <c r="Q305" i="11"/>
  <c r="Q311" i="11"/>
  <c r="Q312" i="11"/>
  <c r="Q307" i="11"/>
  <c r="Q302" i="11"/>
  <c r="Q309" i="11"/>
  <c r="Q313" i="11"/>
  <c r="AH179" i="14"/>
  <c r="Q209" i="12"/>
  <c r="Q306" i="12"/>
  <c r="U80" i="15"/>
  <c r="B246" i="20"/>
  <c r="B262" i="20" s="1"/>
  <c r="O81" i="15"/>
  <c r="I180" i="19"/>
  <c r="P347" i="5"/>
  <c r="S350" i="5"/>
  <c r="P346" i="4"/>
  <c r="N346" i="4"/>
  <c r="AA178" i="13"/>
  <c r="S96" i="13"/>
  <c r="I15" i="10"/>
  <c r="I18" i="10"/>
  <c r="M113" i="12"/>
  <c r="M161" i="12"/>
  <c r="Q99" i="14"/>
  <c r="Q115" i="14" s="1"/>
  <c r="Q242" i="14" s="1"/>
  <c r="P83" i="14"/>
  <c r="Q210" i="14"/>
  <c r="U179" i="12"/>
  <c r="F209" i="13"/>
  <c r="F306" i="13"/>
  <c r="P107" i="14"/>
  <c r="P123" i="14" s="1"/>
  <c r="P250" i="14" s="1"/>
  <c r="O91" i="14"/>
  <c r="P218" i="14"/>
  <c r="O112" i="15"/>
  <c r="O160" i="15"/>
  <c r="P179" i="16"/>
  <c r="AF179" i="14"/>
  <c r="B179" i="16"/>
  <c r="B163" i="16" s="1"/>
  <c r="R178" i="20"/>
  <c r="AK265" i="10"/>
  <c r="AJ265" i="10"/>
  <c r="AL265" i="10" s="1"/>
  <c r="AI265" i="10"/>
  <c r="T80" i="15"/>
  <c r="T223" i="15"/>
  <c r="AA282" i="19"/>
  <c r="N26" i="20"/>
  <c r="C181" i="19"/>
  <c r="C165" i="19"/>
  <c r="U81" i="17"/>
  <c r="U97" i="17" s="1"/>
  <c r="AD79" i="20"/>
  <c r="S80" i="15"/>
  <c r="S223" i="15"/>
  <c r="Z327" i="20"/>
  <c r="P344" i="5"/>
  <c r="Z223" i="10"/>
  <c r="Z239" i="10" s="1"/>
  <c r="Z219" i="10"/>
  <c r="Z33" i="10" s="1"/>
  <c r="N324" i="5"/>
  <c r="P112" i="15"/>
  <c r="P160" i="15"/>
  <c r="P343" i="5"/>
  <c r="Q331" i="5"/>
  <c r="AI86" i="10"/>
  <c r="AE178" i="13"/>
  <c r="Q336" i="5"/>
  <c r="N336" i="5"/>
  <c r="P345" i="4"/>
  <c r="N345" i="4"/>
  <c r="P7" i="1"/>
  <c r="P11" i="11"/>
  <c r="P16" i="11" s="1"/>
  <c r="P15" i="11" s="1"/>
  <c r="P45" i="11" s="1"/>
  <c r="R332" i="5"/>
  <c r="Q348" i="4"/>
  <c r="M39" i="10"/>
  <c r="M10" i="3" s="1"/>
  <c r="M38" i="3" s="1"/>
  <c r="M299" i="10"/>
  <c r="M7" i="3"/>
  <c r="M35" i="3" s="1"/>
  <c r="N346" i="5"/>
  <c r="S309" i="13"/>
  <c r="S212" i="13"/>
  <c r="U299" i="10"/>
  <c r="U39" i="10"/>
  <c r="U10" i="3" s="1"/>
  <c r="U38" i="3" s="1"/>
  <c r="U7" i="3"/>
  <c r="U35" i="3" s="1"/>
  <c r="AJ55" i="10"/>
  <c r="AL55" i="10"/>
  <c r="AI55" i="10"/>
  <c r="AG59" i="10"/>
  <c r="AJ154" i="10"/>
  <c r="AI154" i="10"/>
  <c r="K26" i="10"/>
  <c r="P324" i="5"/>
  <c r="T299" i="10"/>
  <c r="T39" i="10"/>
  <c r="T10" i="3" s="1"/>
  <c r="T38" i="3" s="1"/>
  <c r="T7" i="3"/>
  <c r="T35" i="3" s="1"/>
  <c r="AJ274" i="10"/>
  <c r="AK274" i="10"/>
  <c r="AL274" i="10"/>
  <c r="AF244" i="14"/>
  <c r="AF212" i="14"/>
  <c r="B97" i="11"/>
  <c r="B91" i="11"/>
  <c r="B12" i="11" s="1"/>
  <c r="M224" i="12"/>
  <c r="M240" i="12" s="1"/>
  <c r="L180" i="10"/>
  <c r="M223" i="12"/>
  <c r="Y162" i="14"/>
  <c r="Y178" i="14"/>
  <c r="L80" i="15"/>
  <c r="BY4" i="11"/>
  <c r="AI135" i="10"/>
  <c r="AJ135" i="10"/>
  <c r="D305" i="14"/>
  <c r="J179" i="10"/>
  <c r="J163" i="10"/>
  <c r="V310" i="11"/>
  <c r="V312" i="11"/>
  <c r="V303" i="11"/>
  <c r="V305" i="11"/>
  <c r="V309" i="11"/>
  <c r="V311" i="11"/>
  <c r="V306" i="11"/>
  <c r="V307" i="11"/>
  <c r="V302" i="11"/>
  <c r="V304" i="11"/>
  <c r="V313" i="11"/>
  <c r="V308" i="11"/>
  <c r="BG45" i="7"/>
  <c r="EP44" i="7"/>
  <c r="U81" i="12"/>
  <c r="U223" i="12"/>
  <c r="E208" i="13"/>
  <c r="E305" i="13"/>
  <c r="AK58" i="10"/>
  <c r="AM58" i="10" s="1"/>
  <c r="AF224" i="11"/>
  <c r="AF321" i="11"/>
  <c r="Z163" i="14"/>
  <c r="Z179" i="14"/>
  <c r="AE207" i="16"/>
  <c r="T208" i="16"/>
  <c r="T305" i="16"/>
  <c r="AC178" i="12"/>
  <c r="M18" i="17"/>
  <c r="I179" i="14"/>
  <c r="K180" i="17"/>
  <c r="I310" i="20"/>
  <c r="I307" i="20"/>
  <c r="I304" i="20"/>
  <c r="I312" i="20"/>
  <c r="I309" i="20"/>
  <c r="I306" i="20"/>
  <c r="I305" i="20"/>
  <c r="I313" i="20"/>
  <c r="I308" i="20"/>
  <c r="I303" i="20"/>
  <c r="I311" i="20"/>
  <c r="I302" i="20"/>
  <c r="I182" i="17"/>
  <c r="AF162" i="14"/>
  <c r="AF113" i="14"/>
  <c r="AF161" i="14"/>
  <c r="E96" i="16"/>
  <c r="AJ263" i="10"/>
  <c r="AI263" i="10"/>
  <c r="AL263" i="10" s="1"/>
  <c r="AK263" i="10"/>
  <c r="AM263" i="10"/>
  <c r="J306" i="16"/>
  <c r="J209" i="16"/>
  <c r="B248" i="20"/>
  <c r="B264" i="20" s="1"/>
  <c r="AB96" i="16"/>
  <c r="I161" i="16"/>
  <c r="X81" i="17"/>
  <c r="G96" i="15"/>
  <c r="W297" i="19"/>
  <c r="W293" i="19"/>
  <c r="W289" i="19"/>
  <c r="W298" i="19"/>
  <c r="W288" i="19"/>
  <c r="W292" i="19"/>
  <c r="W291" i="19"/>
  <c r="W290" i="19"/>
  <c r="W296" i="19"/>
  <c r="W294" i="19"/>
  <c r="W295" i="19"/>
  <c r="W287" i="19"/>
  <c r="H178" i="20"/>
  <c r="X83" i="12"/>
  <c r="X225" i="12"/>
  <c r="AA289" i="14"/>
  <c r="AD288" i="14"/>
  <c r="L178" i="16"/>
  <c r="L162" i="16" s="1"/>
  <c r="U96" i="16"/>
  <c r="P84" i="17"/>
  <c r="B239" i="20"/>
  <c r="AJ264" i="10"/>
  <c r="AM264" i="10" s="1"/>
  <c r="AD7" i="15"/>
  <c r="AE7" i="15" s="1"/>
  <c r="C208" i="17"/>
  <c r="C305" i="17"/>
  <c r="AA212" i="13"/>
  <c r="AA309" i="13"/>
  <c r="Q180" i="19"/>
  <c r="S81" i="17"/>
  <c r="S97" i="17" s="1"/>
  <c r="H208" i="13"/>
  <c r="H305" i="13"/>
  <c r="AL129" i="10"/>
  <c r="AJ129" i="10"/>
  <c r="AM129" i="10"/>
  <c r="AK129" i="10"/>
  <c r="AK179" i="10"/>
  <c r="M113" i="15"/>
  <c r="M161" i="15"/>
  <c r="W209" i="17"/>
  <c r="W306" i="17"/>
  <c r="I30" i="2"/>
  <c r="AJ278" i="10"/>
  <c r="AI278" i="10"/>
  <c r="AL278" i="10" s="1"/>
  <c r="Q101" i="14"/>
  <c r="Q117" i="14" s="1"/>
  <c r="Q244" i="14" s="1"/>
  <c r="P85" i="14"/>
  <c r="Q212" i="14"/>
  <c r="Q290" i="14"/>
  <c r="Q306" i="14"/>
  <c r="AG213" i="14"/>
  <c r="AG245" i="14"/>
  <c r="S329" i="5"/>
  <c r="K15" i="1"/>
  <c r="AI150" i="10"/>
  <c r="AM150" i="10" s="1"/>
  <c r="AJ150" i="10"/>
  <c r="AK150" i="10"/>
  <c r="AF297" i="9"/>
  <c r="Z230" i="11"/>
  <c r="Z327" i="11"/>
  <c r="R46" i="14"/>
  <c r="P81" i="16"/>
  <c r="H179" i="16"/>
  <c r="N345" i="5"/>
  <c r="S84" i="13"/>
  <c r="AJ64" i="10"/>
  <c r="AL64" i="10" s="1"/>
  <c r="AK64" i="10"/>
  <c r="AF246" i="14"/>
  <c r="AF214" i="14"/>
  <c r="AD210" i="13"/>
  <c r="AD307" i="13"/>
  <c r="R80" i="13"/>
  <c r="T306" i="14"/>
  <c r="AA96" i="13"/>
  <c r="AK145" i="10"/>
  <c r="AJ145" i="10"/>
  <c r="AM145" i="10" s="1"/>
  <c r="S306" i="11"/>
  <c r="S308" i="11"/>
  <c r="S310" i="11"/>
  <c r="S312" i="11"/>
  <c r="S305" i="11"/>
  <c r="S311" i="11"/>
  <c r="S307" i="11"/>
  <c r="S302" i="11"/>
  <c r="S309" i="11"/>
  <c r="S304" i="11"/>
  <c r="S313" i="11"/>
  <c r="S303" i="11"/>
  <c r="F85" i="15"/>
  <c r="I80" i="13"/>
  <c r="I223" i="13"/>
  <c r="T240" i="13"/>
  <c r="Y97" i="15"/>
  <c r="AB240" i="19"/>
  <c r="AE96" i="10"/>
  <c r="AE207" i="10"/>
  <c r="AI82" i="10"/>
  <c r="AH82" i="10"/>
  <c r="AE91" i="10"/>
  <c r="AG82" i="10"/>
  <c r="AD75" i="12"/>
  <c r="AE107" i="10"/>
  <c r="AE218" i="10"/>
  <c r="AE234" i="10" s="1"/>
  <c r="AE250" i="10" s="1"/>
  <c r="AI81" i="10"/>
  <c r="AF91" i="10"/>
  <c r="AH81" i="10"/>
  <c r="AK81" i="10"/>
  <c r="AK208" i="10" s="1"/>
  <c r="AK224" i="10" s="1"/>
  <c r="AJ81" i="10"/>
  <c r="AJ208" i="10" s="1"/>
  <c r="AJ224" i="10" s="1"/>
  <c r="S223" i="13"/>
  <c r="P179" i="11"/>
  <c r="AG297" i="9"/>
  <c r="Q178" i="13"/>
  <c r="N82" i="12"/>
  <c r="N98" i="12" s="1"/>
  <c r="R178" i="14"/>
  <c r="AH96" i="14"/>
  <c r="R177" i="11"/>
  <c r="R161" i="11" s="1"/>
  <c r="M114" i="12"/>
  <c r="M162" i="12"/>
  <c r="J208" i="15"/>
  <c r="J305" i="15"/>
  <c r="E299" i="10"/>
  <c r="E39" i="10"/>
  <c r="E10" i="3" s="1"/>
  <c r="E38" i="3" s="1"/>
  <c r="E7" i="3"/>
  <c r="E35" i="3" s="1"/>
  <c r="Q24" i="1"/>
  <c r="R97" i="14"/>
  <c r="R208" i="14"/>
  <c r="R288" i="14" s="1"/>
  <c r="Q81" i="14"/>
  <c r="AG139" i="10"/>
  <c r="AK132" i="10"/>
  <c r="AJ132" i="10"/>
  <c r="AL132" i="10" s="1"/>
  <c r="AI132" i="10"/>
  <c r="R102" i="14"/>
  <c r="R118" i="14" s="1"/>
  <c r="R245" i="14" s="1"/>
  <c r="Q86" i="14"/>
  <c r="R213" i="14"/>
  <c r="AG139" i="14"/>
  <c r="C207" i="13"/>
  <c r="Y209" i="13"/>
  <c r="Y306" i="13"/>
  <c r="I179" i="13"/>
  <c r="G305" i="14"/>
  <c r="P113" i="12"/>
  <c r="P161" i="12"/>
  <c r="AL58" i="10"/>
  <c r="AF81" i="11"/>
  <c r="AG150" i="14"/>
  <c r="AD155" i="14"/>
  <c r="AF150" i="14"/>
  <c r="AH150" i="14" s="1"/>
  <c r="AE208" i="16"/>
  <c r="T80" i="16"/>
  <c r="G178" i="15"/>
  <c r="G162" i="15"/>
  <c r="R18" i="17"/>
  <c r="W307" i="14"/>
  <c r="F80" i="16"/>
  <c r="T164" i="19"/>
  <c r="T180" i="19"/>
  <c r="B178" i="13"/>
  <c r="L82" i="17"/>
  <c r="AG265" i="14"/>
  <c r="AH265" i="14"/>
  <c r="AD266" i="14"/>
  <c r="AF265" i="14"/>
  <c r="AG97" i="14"/>
  <c r="AG91" i="14"/>
  <c r="AK259" i="10"/>
  <c r="AG266" i="10"/>
  <c r="AJ259" i="10"/>
  <c r="AM259" i="10" s="1"/>
  <c r="AI259" i="10"/>
  <c r="AL259" i="10"/>
  <c r="Z305" i="14"/>
  <c r="J81" i="16"/>
  <c r="AA91" i="19"/>
  <c r="AA96" i="19"/>
  <c r="AC80" i="19"/>
  <c r="Q81" i="17"/>
  <c r="AG262" i="14"/>
  <c r="AH262" i="14"/>
  <c r="AE75" i="16"/>
  <c r="G223" i="15"/>
  <c r="N96" i="15"/>
  <c r="X96" i="15"/>
  <c r="U15" i="19"/>
  <c r="AB178" i="20"/>
  <c r="AB162" i="20" s="1"/>
  <c r="AG149" i="14"/>
  <c r="AH149" i="14"/>
  <c r="BG45" i="8"/>
  <c r="EP44" i="8"/>
  <c r="E208" i="16"/>
  <c r="E305" i="16"/>
  <c r="M178" i="20"/>
  <c r="AH207" i="14"/>
  <c r="AB290" i="14"/>
  <c r="AB306" i="14"/>
  <c r="K208" i="16"/>
  <c r="K305" i="16"/>
  <c r="P212" i="17"/>
  <c r="P309" i="17"/>
  <c r="N306" i="14"/>
  <c r="AK264" i="10"/>
  <c r="AA15" i="15"/>
  <c r="AA46" i="15" s="1"/>
  <c r="AA84" i="13"/>
  <c r="H161" i="15"/>
  <c r="H113" i="15"/>
  <c r="AA42" i="1"/>
  <c r="AA160" i="20"/>
  <c r="O291" i="19"/>
  <c r="O298" i="19"/>
  <c r="O287" i="19"/>
  <c r="O294" i="19"/>
  <c r="O297" i="19"/>
  <c r="O296" i="19"/>
  <c r="O295" i="19"/>
  <c r="O289" i="19"/>
  <c r="O293" i="19"/>
  <c r="O290" i="19"/>
  <c r="O292" i="19"/>
  <c r="O288" i="19"/>
  <c r="Q163" i="19"/>
  <c r="W311" i="20"/>
  <c r="W308" i="20"/>
  <c r="W305" i="20"/>
  <c r="W313" i="20"/>
  <c r="W302" i="20"/>
  <c r="W310" i="20"/>
  <c r="W307" i="20"/>
  <c r="W306" i="20"/>
  <c r="W309" i="20"/>
  <c r="W303" i="20"/>
  <c r="W304" i="20"/>
  <c r="W312" i="20"/>
  <c r="AD4" i="19"/>
  <c r="AC14" i="19" s="1"/>
  <c r="Z25" i="14"/>
  <c r="Z28" i="14" s="1"/>
  <c r="Z26" i="14" s="1"/>
  <c r="N208" i="13"/>
  <c r="N305" i="13"/>
  <c r="T18" i="17"/>
  <c r="N163" i="20"/>
  <c r="N179" i="20"/>
  <c r="Q306" i="16"/>
  <c r="Q209" i="16"/>
  <c r="C15" i="1"/>
  <c r="H181" i="10"/>
  <c r="AG224" i="11"/>
  <c r="AG321" i="11"/>
  <c r="Q96" i="16"/>
  <c r="AD277" i="17"/>
  <c r="AD281" i="17"/>
  <c r="AD279" i="17"/>
  <c r="AD280" i="17"/>
  <c r="AD278" i="17"/>
  <c r="I96" i="15"/>
  <c r="AC210" i="15"/>
  <c r="AC307" i="15"/>
  <c r="M82" i="13"/>
  <c r="Y178" i="20"/>
  <c r="Y161" i="10"/>
  <c r="R81" i="12"/>
  <c r="R97" i="12" s="1"/>
  <c r="R223" i="12"/>
  <c r="AB321" i="11"/>
  <c r="Q82" i="12"/>
  <c r="Q98" i="12" s="1"/>
  <c r="AB224" i="20"/>
  <c r="AB240" i="20" s="1"/>
  <c r="AB256" i="20" s="1"/>
  <c r="AB321" i="20"/>
  <c r="AJ49" i="10"/>
  <c r="AL49" i="10"/>
  <c r="AK49" i="10"/>
  <c r="AH59" i="10"/>
  <c r="AG118" i="9"/>
  <c r="AG117" i="9"/>
  <c r="AG116" i="9"/>
  <c r="AG115" i="9"/>
  <c r="AG114" i="9"/>
  <c r="AG113" i="9"/>
  <c r="AG112" i="9"/>
  <c r="AG111" i="9"/>
  <c r="AG23" i="9"/>
  <c r="AG122" i="9"/>
  <c r="AG120" i="9"/>
  <c r="AG121" i="9"/>
  <c r="AG119" i="9"/>
  <c r="AC6" i="14"/>
  <c r="AB14" i="14"/>
  <c r="AF4" i="14"/>
  <c r="AG181" i="10"/>
  <c r="AE139" i="13"/>
  <c r="Y226" i="15"/>
  <c r="Y83" i="15"/>
  <c r="W35" i="1"/>
  <c r="W36" i="1" s="1"/>
  <c r="W4" i="1"/>
  <c r="Q328" i="5"/>
  <c r="AJ86" i="10"/>
  <c r="AJ213" i="10" s="1"/>
  <c r="AJ229" i="10" s="1"/>
  <c r="K39" i="10"/>
  <c r="K10" i="3" s="1"/>
  <c r="K38" i="3" s="1"/>
  <c r="K299" i="10"/>
  <c r="K7" i="3"/>
  <c r="K35" i="3" s="1"/>
  <c r="S328" i="5"/>
  <c r="S327" i="5"/>
  <c r="R341" i="5"/>
  <c r="M15" i="10"/>
  <c r="M18" i="10"/>
  <c r="AJ52" i="10"/>
  <c r="AL52" i="10" s="1"/>
  <c r="AK52" i="10"/>
  <c r="AM52" i="10"/>
  <c r="AK67" i="10"/>
  <c r="AJ67" i="10"/>
  <c r="AM67" i="10"/>
  <c r="AL67" i="10"/>
  <c r="L181" i="11"/>
  <c r="AC179" i="14"/>
  <c r="AC163" i="14"/>
  <c r="Z160" i="10"/>
  <c r="Z108" i="10"/>
  <c r="Z23" i="10" s="1"/>
  <c r="W6" i="12"/>
  <c r="AE227" i="10"/>
  <c r="AE243" i="10" s="1"/>
  <c r="W178" i="12"/>
  <c r="F114" i="12"/>
  <c r="F162" i="12"/>
  <c r="Q340" i="4"/>
  <c r="S338" i="5"/>
  <c r="P336" i="5"/>
  <c r="N339" i="5"/>
  <c r="Q349" i="5"/>
  <c r="P342" i="4"/>
  <c r="N342" i="4"/>
  <c r="P349" i="4"/>
  <c r="N349" i="4"/>
  <c r="P350" i="4"/>
  <c r="N350" i="4"/>
  <c r="X312" i="11"/>
  <c r="X303" i="11"/>
  <c r="X305" i="11"/>
  <c r="X307" i="11"/>
  <c r="X311" i="11"/>
  <c r="X310" i="11"/>
  <c r="X306" i="11"/>
  <c r="X302" i="11"/>
  <c r="X313" i="11"/>
  <c r="X309" i="11"/>
  <c r="X304" i="11"/>
  <c r="X308" i="11"/>
  <c r="P342" i="5"/>
  <c r="AG59" i="9"/>
  <c r="X163" i="10"/>
  <c r="X179" i="10"/>
  <c r="Z24" i="1"/>
  <c r="Z39" i="1"/>
  <c r="Z40" i="1" s="1"/>
  <c r="AL54" i="10"/>
  <c r="AJ54" i="10"/>
  <c r="AK54" i="10"/>
  <c r="AM54" i="10"/>
  <c r="AH75" i="10"/>
  <c r="AJ65" i="10"/>
  <c r="AJ75" i="10" s="1"/>
  <c r="AK65" i="10"/>
  <c r="N39" i="9"/>
  <c r="N330" i="9"/>
  <c r="L164" i="11"/>
  <c r="F113" i="12"/>
  <c r="F161" i="12"/>
  <c r="T210" i="12"/>
  <c r="T307" i="12"/>
  <c r="O178" i="11"/>
  <c r="O162" i="11"/>
  <c r="AK128" i="10"/>
  <c r="X209" i="13"/>
  <c r="X306" i="13"/>
  <c r="S333" i="5"/>
  <c r="F4" i="1"/>
  <c r="F38" i="1"/>
  <c r="AF207" i="14"/>
  <c r="AF239" i="14"/>
  <c r="AG258" i="14"/>
  <c r="AG290" i="14" s="1"/>
  <c r="AH258" i="14"/>
  <c r="AE178" i="12"/>
  <c r="L163" i="10"/>
  <c r="H81" i="12"/>
  <c r="H97" i="12" s="1"/>
  <c r="H223" i="12"/>
  <c r="E225" i="15"/>
  <c r="E241" i="15" s="1"/>
  <c r="AJ147" i="10"/>
  <c r="AL147" i="10" s="1"/>
  <c r="AM147" i="10"/>
  <c r="AK147" i="10"/>
  <c r="AI134" i="10"/>
  <c r="AJ134" i="10"/>
  <c r="AL134" i="10"/>
  <c r="E210" i="12"/>
  <c r="E307" i="12"/>
  <c r="AD322" i="11"/>
  <c r="J181" i="16"/>
  <c r="AF74" i="11"/>
  <c r="B224" i="12"/>
  <c r="B82" i="12"/>
  <c r="B98" i="12" s="1"/>
  <c r="K208" i="12"/>
  <c r="K305" i="12"/>
  <c r="P223" i="12"/>
  <c r="B224" i="17"/>
  <c r="B81" i="17"/>
  <c r="B97" i="17" s="1"/>
  <c r="Z106" i="19"/>
  <c r="Z122" i="19" s="1"/>
  <c r="AB90" i="19"/>
  <c r="AC90" i="19"/>
  <c r="AC106" i="19" s="1"/>
  <c r="AC122" i="19" s="1"/>
  <c r="G161" i="15"/>
  <c r="W290" i="14"/>
  <c r="F208" i="16"/>
  <c r="F305" i="16"/>
  <c r="T163" i="19"/>
  <c r="L210" i="17"/>
  <c r="L307" i="17"/>
  <c r="AK69" i="10"/>
  <c r="AM69" i="10" s="1"/>
  <c r="AD113" i="14"/>
  <c r="AD240" i="14" s="1"/>
  <c r="AD161" i="14"/>
  <c r="H292" i="19"/>
  <c r="H288" i="19"/>
  <c r="H295" i="19"/>
  <c r="H294" i="19"/>
  <c r="H293" i="19"/>
  <c r="H298" i="19"/>
  <c r="H297" i="19"/>
  <c r="H296" i="19"/>
  <c r="H291" i="19"/>
  <c r="H287" i="19"/>
  <c r="H289" i="19"/>
  <c r="H290" i="19"/>
  <c r="T179" i="20"/>
  <c r="T163" i="20" s="1"/>
  <c r="AA98" i="19"/>
  <c r="AC82" i="19"/>
  <c r="AC98" i="19" s="1"/>
  <c r="AC114" i="19" s="1"/>
  <c r="T210" i="17"/>
  <c r="T307" i="17"/>
  <c r="AH256" i="14"/>
  <c r="AG256" i="14"/>
  <c r="H210" i="17"/>
  <c r="H307" i="17"/>
  <c r="F162" i="15"/>
  <c r="AE154" i="20"/>
  <c r="Q306" i="17"/>
  <c r="Q209" i="17"/>
  <c r="L96" i="17"/>
  <c r="G179" i="14"/>
  <c r="Q178" i="15"/>
  <c r="L179" i="17"/>
  <c r="I96" i="16"/>
  <c r="M26" i="20"/>
  <c r="G179" i="19"/>
  <c r="AD139" i="15"/>
  <c r="M96" i="15"/>
  <c r="Y178" i="12"/>
  <c r="AH209" i="14"/>
  <c r="AH241" i="14"/>
  <c r="AA80" i="17"/>
  <c r="N208" i="17"/>
  <c r="N305" i="17"/>
  <c r="M82" i="16"/>
  <c r="P96" i="17"/>
  <c r="W211" i="12"/>
  <c r="W308" i="12"/>
  <c r="H224" i="15"/>
  <c r="J30" i="2"/>
  <c r="K177" i="20"/>
  <c r="K161" i="20"/>
  <c r="G209" i="13"/>
  <c r="G306" i="13"/>
  <c r="L224" i="16"/>
  <c r="L240" i="16" s="1"/>
  <c r="E178" i="17"/>
  <c r="C180" i="20"/>
  <c r="K181" i="16"/>
  <c r="T219" i="14"/>
  <c r="T33" i="14" s="1"/>
  <c r="T35" i="14" s="1"/>
  <c r="T41" i="14" s="1"/>
  <c r="AD179" i="17"/>
  <c r="V35" i="1"/>
  <c r="V36" i="1" s="1"/>
  <c r="V4" i="1"/>
  <c r="P340" i="5"/>
  <c r="AJ260" i="10"/>
  <c r="AM260" i="10"/>
  <c r="AL260" i="10"/>
  <c r="AI260" i="10"/>
  <c r="AK260" i="10" s="1"/>
  <c r="J4" i="3"/>
  <c r="J6" i="3" s="1"/>
  <c r="J12" i="3" s="1"/>
  <c r="E305" i="14"/>
  <c r="H46" i="14"/>
  <c r="AC178" i="13"/>
  <c r="O163" i="12"/>
  <c r="O179" i="12"/>
  <c r="AB179" i="12"/>
  <c r="P180" i="20"/>
  <c r="P164" i="20"/>
  <c r="S25" i="11"/>
  <c r="S28" i="11" s="1"/>
  <c r="S26" i="11" s="1"/>
  <c r="F177" i="11"/>
  <c r="AE179" i="14"/>
  <c r="AE163" i="14"/>
  <c r="V15" i="1"/>
  <c r="R164" i="10"/>
  <c r="R180" i="10"/>
  <c r="Q80" i="13"/>
  <c r="O182" i="16"/>
  <c r="B8" i="1"/>
  <c r="B13" i="1" s="1"/>
  <c r="B4" i="1"/>
  <c r="B38" i="1"/>
  <c r="P338" i="5"/>
  <c r="B160" i="12"/>
  <c r="Z90" i="20"/>
  <c r="Z106" i="20" s="1"/>
  <c r="Z122" i="20" s="1"/>
  <c r="AC81" i="13"/>
  <c r="N326" i="5"/>
  <c r="P162" i="10"/>
  <c r="P178" i="10"/>
  <c r="S332" i="5"/>
  <c r="L81" i="13"/>
  <c r="AI148" i="10"/>
  <c r="AK148" i="10" s="1"/>
  <c r="AG155" i="10"/>
  <c r="AJ148" i="10"/>
  <c r="R82" i="12"/>
  <c r="R98" i="12" s="1"/>
  <c r="R224" i="12"/>
  <c r="AJ136" i="10"/>
  <c r="AK136" i="10"/>
  <c r="AI136" i="10"/>
  <c r="AC96" i="13"/>
  <c r="U208" i="12"/>
  <c r="U305" i="12"/>
  <c r="M33" i="3"/>
  <c r="P348" i="4"/>
  <c r="N348" i="4"/>
  <c r="T308" i="11"/>
  <c r="T310" i="11"/>
  <c r="T312" i="11"/>
  <c r="T303" i="11"/>
  <c r="T307" i="11"/>
  <c r="T311" i="11"/>
  <c r="T306" i="11"/>
  <c r="T305" i="11"/>
  <c r="T302" i="11"/>
  <c r="T309" i="11"/>
  <c r="T313" i="11"/>
  <c r="T304" i="11"/>
  <c r="M25" i="10"/>
  <c r="M28" i="10" s="1"/>
  <c r="M26" i="10" s="1"/>
  <c r="AF119" i="9"/>
  <c r="AF23" i="9"/>
  <c r="AF121" i="9"/>
  <c r="AF120" i="9"/>
  <c r="AF122" i="9"/>
  <c r="P345" i="5"/>
  <c r="V179" i="13"/>
  <c r="P96" i="13"/>
  <c r="P335" i="4"/>
  <c r="N335" i="4"/>
  <c r="F240" i="12"/>
  <c r="R329" i="4"/>
  <c r="T15" i="1"/>
  <c r="Q325" i="5"/>
  <c r="S178" i="10"/>
  <c r="Z18" i="14"/>
  <c r="Z15" i="14"/>
  <c r="AJ50" i="10"/>
  <c r="AM50" i="10" s="1"/>
  <c r="AL50" i="10"/>
  <c r="AK50" i="10"/>
  <c r="AJ68" i="10"/>
  <c r="AK68" i="10"/>
  <c r="AM68" i="10"/>
  <c r="AL68" i="10"/>
  <c r="W208" i="13"/>
  <c r="W305" i="13"/>
  <c r="T114" i="13"/>
  <c r="T162" i="13"/>
  <c r="AA180" i="12"/>
  <c r="AF160" i="10"/>
  <c r="T83" i="12"/>
  <c r="T99" i="12" s="1"/>
  <c r="T115" i="12" s="1"/>
  <c r="C180" i="11"/>
  <c r="K33" i="3"/>
  <c r="X81" i="13"/>
  <c r="AK9" i="10"/>
  <c r="AK11" i="10" s="1"/>
  <c r="AK16" i="10" s="1"/>
  <c r="K15" i="11"/>
  <c r="K45" i="11" s="1"/>
  <c r="AE307" i="11"/>
  <c r="AE309" i="11"/>
  <c r="AE311" i="11"/>
  <c r="AE313" i="11"/>
  <c r="AE302" i="11"/>
  <c r="AE222" i="11" s="1"/>
  <c r="AE306" i="11"/>
  <c r="AE312" i="11"/>
  <c r="AE308" i="11"/>
  <c r="AE303" i="11"/>
  <c r="AE223" i="11" s="1"/>
  <c r="AE304" i="11"/>
  <c r="AE305" i="11"/>
  <c r="AE310" i="11"/>
  <c r="AI276" i="10"/>
  <c r="AJ276" i="10"/>
  <c r="Q81" i="12"/>
  <c r="AF209" i="14"/>
  <c r="AF241" i="14"/>
  <c r="O179" i="15"/>
  <c r="AD163" i="10"/>
  <c r="AD179" i="10"/>
  <c r="O212" i="12"/>
  <c r="O309" i="12"/>
  <c r="V33" i="3"/>
  <c r="Y96" i="15"/>
  <c r="V306" i="12"/>
  <c r="V209" i="12"/>
  <c r="AJ138" i="10"/>
  <c r="AI138" i="10"/>
  <c r="AL138" i="10" s="1"/>
  <c r="K180" i="12"/>
  <c r="L39" i="3"/>
  <c r="E83" i="12"/>
  <c r="E99" i="12" s="1"/>
  <c r="E225" i="12"/>
  <c r="E241" i="12" s="1"/>
  <c r="AD178" i="12"/>
  <c r="B209" i="12"/>
  <c r="B306" i="12"/>
  <c r="AA179" i="14"/>
  <c r="AA163" i="14" s="1"/>
  <c r="K223" i="12"/>
  <c r="K81" i="12"/>
  <c r="K97" i="12" s="1"/>
  <c r="Q340" i="5"/>
  <c r="AD208" i="16"/>
  <c r="AD305" i="16"/>
  <c r="H310" i="20"/>
  <c r="H307" i="20"/>
  <c r="H304" i="20"/>
  <c r="H312" i="20"/>
  <c r="H313" i="20"/>
  <c r="H311" i="20"/>
  <c r="H308" i="20"/>
  <c r="H309" i="20"/>
  <c r="H306" i="20"/>
  <c r="H303" i="20"/>
  <c r="H305" i="20"/>
  <c r="H302" i="20"/>
  <c r="AD282" i="14"/>
  <c r="AD75" i="15"/>
  <c r="K18" i="17"/>
  <c r="M205" i="4"/>
  <c r="M321" i="4" s="1"/>
  <c r="R205" i="4"/>
  <c r="J321" i="4"/>
  <c r="AG179" i="14"/>
  <c r="AA102" i="19"/>
  <c r="AA118" i="19" s="1"/>
  <c r="AC86" i="19"/>
  <c r="AC102" i="19" s="1"/>
  <c r="AC118" i="19" s="1"/>
  <c r="W211" i="16"/>
  <c r="W308" i="16"/>
  <c r="T82" i="17"/>
  <c r="AJ255" i="10"/>
  <c r="AL255" i="10"/>
  <c r="AH266" i="10"/>
  <c r="AK255" i="10"/>
  <c r="AE59" i="12"/>
  <c r="R98" i="14"/>
  <c r="R114" i="14" s="1"/>
  <c r="R241" i="14" s="1"/>
  <c r="R209" i="14"/>
  <c r="R289" i="14" s="1"/>
  <c r="Q82" i="14"/>
  <c r="H82" i="17"/>
  <c r="K30" i="2"/>
  <c r="P26" i="19"/>
  <c r="L223" i="17"/>
  <c r="AA180" i="19"/>
  <c r="AE139" i="15"/>
  <c r="Z155" i="19"/>
  <c r="I223" i="16"/>
  <c r="Z104" i="20"/>
  <c r="Z120" i="20" s="1"/>
  <c r="AB88" i="20"/>
  <c r="AH354" i="20"/>
  <c r="AI354" i="20" s="1"/>
  <c r="AG261" i="14"/>
  <c r="AH261" i="14"/>
  <c r="J180" i="15"/>
  <c r="M223" i="15"/>
  <c r="I96" i="17"/>
  <c r="X99" i="16"/>
  <c r="X115" i="16" s="1"/>
  <c r="AE211" i="13"/>
  <c r="AE308" i="13"/>
  <c r="H114" i="15"/>
  <c r="H162" i="15"/>
  <c r="AA155" i="19"/>
  <c r="AH211" i="14"/>
  <c r="AH243" i="14"/>
  <c r="D214" i="12"/>
  <c r="D311" i="12"/>
  <c r="AA305" i="17"/>
  <c r="AA208" i="17"/>
  <c r="N80" i="17"/>
  <c r="E311" i="15"/>
  <c r="E214" i="15"/>
  <c r="T26" i="19"/>
  <c r="AC179" i="10"/>
  <c r="AC163" i="10"/>
  <c r="W226" i="12"/>
  <c r="W84" i="12"/>
  <c r="G81" i="13"/>
  <c r="U181" i="16"/>
  <c r="M179" i="14"/>
  <c r="Y305" i="12"/>
  <c r="Y208" i="12"/>
  <c r="W96" i="15"/>
  <c r="I163" i="19"/>
  <c r="P334" i="5"/>
  <c r="K234" i="4"/>
  <c r="K263" i="4"/>
  <c r="AC11" i="10"/>
  <c r="AC16" i="10" s="1"/>
  <c r="AC7" i="1"/>
  <c r="K224" i="15"/>
  <c r="K81" i="15"/>
  <c r="P341" i="4"/>
  <c r="N341" i="4"/>
  <c r="R339" i="4"/>
  <c r="N348" i="5"/>
  <c r="P338" i="4"/>
  <c r="N338" i="4"/>
  <c r="S342" i="4"/>
  <c r="P113" i="13"/>
  <c r="P161" i="13"/>
  <c r="AC6" i="2"/>
  <c r="AC9" i="2" s="1"/>
  <c r="K309" i="11"/>
  <c r="K311" i="11"/>
  <c r="K313" i="11"/>
  <c r="K302" i="11"/>
  <c r="K304" i="11"/>
  <c r="K308" i="11"/>
  <c r="K310" i="11"/>
  <c r="K305" i="11"/>
  <c r="K306" i="11"/>
  <c r="K312" i="11"/>
  <c r="K307" i="11"/>
  <c r="K303" i="11"/>
  <c r="W80" i="13"/>
  <c r="T241" i="13"/>
  <c r="AF223" i="10"/>
  <c r="AF239" i="10" s="1"/>
  <c r="C209" i="13"/>
  <c r="C306" i="13"/>
  <c r="EC41" i="7"/>
  <c r="AA179" i="10"/>
  <c r="AH282" i="10"/>
  <c r="AJ271" i="10"/>
  <c r="AK271" i="10"/>
  <c r="AF211" i="14"/>
  <c r="AF243" i="14"/>
  <c r="T162" i="15"/>
  <c r="T178" i="15"/>
  <c r="R210" i="12"/>
  <c r="R307" i="12"/>
  <c r="O85" i="12"/>
  <c r="Z178" i="12"/>
  <c r="Y223" i="15"/>
  <c r="V82" i="12"/>
  <c r="Z303" i="11"/>
  <c r="Z309" i="11"/>
  <c r="Z229" i="11" s="1"/>
  <c r="Z313" i="11"/>
  <c r="Z302" i="11"/>
  <c r="Z311" i="11"/>
  <c r="Z308" i="11"/>
  <c r="Z310" i="11"/>
  <c r="Z312" i="11"/>
  <c r="Z304" i="11"/>
  <c r="AK146" i="10"/>
  <c r="AM146" i="10" s="1"/>
  <c r="AL146" i="10"/>
  <c r="AJ146" i="10"/>
  <c r="Z96" i="13"/>
  <c r="V93" i="19"/>
  <c r="V15" i="19"/>
  <c r="V39" i="3"/>
  <c r="AA11" i="14"/>
  <c r="AA16" i="14" s="1"/>
  <c r="AA23" i="1"/>
  <c r="Q180" i="20"/>
  <c r="Q164" i="20" s="1"/>
  <c r="E179" i="16"/>
  <c r="AE75" i="15"/>
  <c r="M96" i="17"/>
  <c r="C299" i="10"/>
  <c r="C39" i="10"/>
  <c r="C10" i="3" s="1"/>
  <c r="C38" i="3" s="1"/>
  <c r="C7" i="3"/>
  <c r="C35" i="3" s="1"/>
  <c r="L321" i="4"/>
  <c r="W83" i="16"/>
  <c r="G305" i="17"/>
  <c r="G208" i="17"/>
  <c r="W113" i="16"/>
  <c r="W161" i="16"/>
  <c r="AE59" i="16"/>
  <c r="AE79" i="20"/>
  <c r="AE75" i="12"/>
  <c r="M23" i="1"/>
  <c r="M11" i="14"/>
  <c r="M16" i="14" s="1"/>
  <c r="M15" i="14" s="1"/>
  <c r="AA208" i="19"/>
  <c r="AA305" i="19"/>
  <c r="Q163" i="14"/>
  <c r="Q179" i="14"/>
  <c r="AD139" i="16"/>
  <c r="AF266" i="14"/>
  <c r="U179" i="15"/>
  <c r="U208" i="16"/>
  <c r="U305" i="16"/>
  <c r="AC9" i="15"/>
  <c r="AC11" i="15" s="1"/>
  <c r="AC16" i="15" s="1"/>
  <c r="AC4" i="15"/>
  <c r="AD5" i="15"/>
  <c r="H225" i="15"/>
  <c r="H241" i="15" s="1"/>
  <c r="V182" i="19"/>
  <c r="AH245" i="14"/>
  <c r="AH213" i="14"/>
  <c r="R93" i="14"/>
  <c r="R96" i="14"/>
  <c r="Q80" i="14"/>
  <c r="R207" i="14"/>
  <c r="B207" i="12"/>
  <c r="Q80" i="15"/>
  <c r="Z18" i="17"/>
  <c r="E86" i="15"/>
  <c r="L162" i="19"/>
  <c r="L178" i="19"/>
  <c r="V179" i="15"/>
  <c r="P223" i="17"/>
  <c r="F306" i="14"/>
  <c r="AC72" i="19"/>
  <c r="AB72" i="19"/>
  <c r="Y212" i="15"/>
  <c r="Y309" i="15"/>
  <c r="F180" i="15"/>
  <c r="AC213" i="19"/>
  <c r="AC229" i="19" s="1"/>
  <c r="AC245" i="19" s="1"/>
  <c r="AC310" i="19"/>
  <c r="J209" i="17"/>
  <c r="J306" i="17"/>
  <c r="F179" i="20"/>
  <c r="T161" i="11"/>
  <c r="T177" i="11"/>
  <c r="AK279" i="10"/>
  <c r="AJ279" i="10"/>
  <c r="AI279" i="10"/>
  <c r="AM279" i="10" s="1"/>
  <c r="AL279" i="10"/>
  <c r="F305" i="11"/>
  <c r="F307" i="11"/>
  <c r="F309" i="11"/>
  <c r="F311" i="11"/>
  <c r="F304" i="11"/>
  <c r="F303" i="11"/>
  <c r="F306" i="11"/>
  <c r="F308" i="11"/>
  <c r="F310" i="11"/>
  <c r="F302" i="11"/>
  <c r="F313" i="11"/>
  <c r="F312" i="11"/>
  <c r="AC26" i="2"/>
  <c r="AC28" i="2" s="1"/>
  <c r="AC32" i="2" s="1"/>
  <c r="AC17" i="2"/>
  <c r="AC20" i="2" s="1"/>
  <c r="AB224" i="16"/>
  <c r="AB81" i="16"/>
  <c r="U35" i="1"/>
  <c r="U36" i="1" s="1"/>
  <c r="U4" i="1"/>
  <c r="R11" i="10"/>
  <c r="R16" i="10" s="1"/>
  <c r="R7" i="1"/>
  <c r="S346" i="5"/>
  <c r="Q330" i="5"/>
  <c r="F7" i="1"/>
  <c r="F11" i="10"/>
  <c r="F16" i="10" s="1"/>
  <c r="AI57" i="10"/>
  <c r="AL57" i="10" s="1"/>
  <c r="AK57" i="10"/>
  <c r="AJ57" i="10"/>
  <c r="P224" i="13"/>
  <c r="AC25" i="10"/>
  <c r="AC28" i="10" s="1"/>
  <c r="AC26" i="10" s="1"/>
  <c r="AC7" i="2" s="1"/>
  <c r="AC29" i="2" s="1"/>
  <c r="AC31" i="2" s="1"/>
  <c r="H7" i="1"/>
  <c r="H8" i="1" s="1"/>
  <c r="H13" i="1" s="1"/>
  <c r="H11" i="10"/>
  <c r="H16" i="10" s="1"/>
  <c r="Q179" i="12"/>
  <c r="S208" i="12"/>
  <c r="S305" i="12"/>
  <c r="D39" i="1"/>
  <c r="D40" i="1" s="1"/>
  <c r="D24" i="1"/>
  <c r="AL178" i="10"/>
  <c r="AB177" i="11"/>
  <c r="L8" i="2"/>
  <c r="AJ72" i="10"/>
  <c r="AI72" i="10"/>
  <c r="AL72" i="10" s="1"/>
  <c r="J161" i="12"/>
  <c r="AA162" i="10"/>
  <c r="N26" i="10"/>
  <c r="J180" i="13"/>
  <c r="AF213" i="14"/>
  <c r="AF245" i="14"/>
  <c r="O299" i="10"/>
  <c r="O39" i="10"/>
  <c r="O10" i="3" s="1"/>
  <c r="O38" i="3" s="1"/>
  <c r="O7" i="3"/>
  <c r="O35" i="3" s="1"/>
  <c r="R83" i="12"/>
  <c r="R99" i="12" s="1"/>
  <c r="R115" i="12" s="1"/>
  <c r="R225" i="12"/>
  <c r="Z161" i="12"/>
  <c r="Q27" i="2"/>
  <c r="F180" i="10"/>
  <c r="AH155" i="10"/>
  <c r="AM144" i="10"/>
  <c r="AK144" i="10"/>
  <c r="AJ144" i="10"/>
  <c r="AL144" i="10"/>
  <c r="AI137" i="10"/>
  <c r="AK137" i="10" s="1"/>
  <c r="AJ137" i="10"/>
  <c r="G240" i="15"/>
  <c r="AA224" i="13"/>
  <c r="AA81" i="13"/>
  <c r="T27" i="2"/>
  <c r="Z209" i="13"/>
  <c r="Z306" i="13"/>
  <c r="R96" i="15"/>
  <c r="P112" i="16"/>
  <c r="P160" i="16"/>
  <c r="O179" i="13"/>
  <c r="X179" i="16"/>
  <c r="X163" i="16" s="1"/>
  <c r="B231" i="19"/>
  <c r="B247" i="19" s="1"/>
  <c r="Q163" i="20"/>
  <c r="AD266" i="12"/>
  <c r="AH355" i="20"/>
  <c r="AI355" i="20" s="1"/>
  <c r="S163" i="14"/>
  <c r="S179" i="14"/>
  <c r="AD219" i="15"/>
  <c r="AD35" i="15"/>
  <c r="AD41" i="15" s="1"/>
  <c r="AD40" i="15" s="1"/>
  <c r="AD283" i="15" s="1"/>
  <c r="S205" i="4"/>
  <c r="K321" i="4"/>
  <c r="S321" i="4" s="1"/>
  <c r="U25" i="11"/>
  <c r="U28" i="11" s="1"/>
  <c r="U26" i="11" s="1"/>
  <c r="Q180" i="16"/>
  <c r="Z224" i="12"/>
  <c r="Z240" i="12" s="1"/>
  <c r="M180" i="15"/>
  <c r="R96" i="17"/>
  <c r="G80" i="17"/>
  <c r="AD266" i="15"/>
  <c r="L209" i="15"/>
  <c r="L306" i="15"/>
  <c r="AB179" i="15"/>
  <c r="M181" i="17"/>
  <c r="K179" i="13"/>
  <c r="J309" i="11"/>
  <c r="J311" i="11"/>
  <c r="J313" i="11"/>
  <c r="J302" i="11"/>
  <c r="J304" i="11"/>
  <c r="J308" i="11"/>
  <c r="J310" i="11"/>
  <c r="J305" i="11"/>
  <c r="J312" i="11"/>
  <c r="J307" i="11"/>
  <c r="J303" i="11"/>
  <c r="J306" i="11"/>
  <c r="J208" i="13"/>
  <c r="J305" i="13"/>
  <c r="O306" i="14"/>
  <c r="B97" i="19"/>
  <c r="B92" i="19"/>
  <c r="B12" i="19" s="1"/>
  <c r="H179" i="14"/>
  <c r="V209" i="17"/>
  <c r="V306" i="17"/>
  <c r="R163" i="19"/>
  <c r="R179" i="19"/>
  <c r="I82" i="16"/>
  <c r="AC4" i="19"/>
  <c r="AG259" i="14"/>
  <c r="AH259" i="14"/>
  <c r="E179" i="15"/>
  <c r="S96" i="16"/>
  <c r="AE5" i="15"/>
  <c r="O163" i="16"/>
  <c r="E305" i="17"/>
  <c r="E208" i="17"/>
  <c r="AC153" i="19"/>
  <c r="V165" i="19"/>
  <c r="L304" i="20"/>
  <c r="L312" i="20"/>
  <c r="L309" i="20"/>
  <c r="L306" i="20"/>
  <c r="L313" i="20"/>
  <c r="L310" i="20"/>
  <c r="L307" i="20"/>
  <c r="L311" i="20"/>
  <c r="L305" i="20"/>
  <c r="L302" i="20"/>
  <c r="L303" i="20"/>
  <c r="L308" i="20"/>
  <c r="X98" i="16"/>
  <c r="AH215" i="14"/>
  <c r="AH247" i="14"/>
  <c r="O33" i="3"/>
  <c r="T112" i="14"/>
  <c r="T239" i="14" s="1"/>
  <c r="T108" i="14"/>
  <c r="T23" i="14" s="1"/>
  <c r="T160" i="14"/>
  <c r="Q208" i="15"/>
  <c r="Q305" i="15"/>
  <c r="L161" i="19"/>
  <c r="AE74" i="20"/>
  <c r="L96" i="16"/>
  <c r="B228" i="19"/>
  <c r="B244" i="19" s="1"/>
  <c r="R161" i="20"/>
  <c r="AH81" i="14"/>
  <c r="AH97" i="14" s="1"/>
  <c r="Y84" i="15"/>
  <c r="U303" i="20"/>
  <c r="U311" i="20"/>
  <c r="U308" i="20"/>
  <c r="U305" i="20"/>
  <c r="U313" i="20"/>
  <c r="U302" i="20"/>
  <c r="U310" i="20"/>
  <c r="U309" i="20"/>
  <c r="U312" i="20"/>
  <c r="U306" i="20"/>
  <c r="U304" i="20"/>
  <c r="U307" i="20"/>
  <c r="F163" i="15"/>
  <c r="J81" i="17"/>
  <c r="J97" i="17" s="1"/>
  <c r="R39" i="9"/>
  <c r="R330" i="9"/>
  <c r="Y15" i="1"/>
  <c r="U96" i="13"/>
  <c r="H307" i="11"/>
  <c r="H309" i="11"/>
  <c r="H311" i="11"/>
  <c r="H313" i="11"/>
  <c r="H302" i="11"/>
  <c r="H306" i="11"/>
  <c r="H304" i="11"/>
  <c r="H310" i="11"/>
  <c r="H303" i="11"/>
  <c r="H305" i="11"/>
  <c r="H312" i="11"/>
  <c r="H308" i="11"/>
  <c r="N299" i="10"/>
  <c r="N39" i="10"/>
  <c r="N7" i="3"/>
  <c r="N35" i="3" s="1"/>
  <c r="W15" i="1"/>
  <c r="AG222" i="11"/>
  <c r="AG297" i="11"/>
  <c r="AF272" i="14"/>
  <c r="AH272" i="14" s="1"/>
  <c r="AF282" i="14"/>
  <c r="AF280" i="14"/>
  <c r="AH280" i="14" s="1"/>
  <c r="AF278" i="14"/>
  <c r="AH278" i="14" s="1"/>
  <c r="AF276" i="14"/>
  <c r="AH276" i="14" s="1"/>
  <c r="AF274" i="14"/>
  <c r="AH274" i="14" s="1"/>
  <c r="AF271" i="14"/>
  <c r="AH271" i="14" s="1"/>
  <c r="AF281" i="14"/>
  <c r="AH281" i="14" s="1"/>
  <c r="AF273" i="14"/>
  <c r="AH273" i="14" s="1"/>
  <c r="AF275" i="14"/>
  <c r="AH275" i="14" s="1"/>
  <c r="AF277" i="14"/>
  <c r="AH277" i="14" s="1"/>
  <c r="AF279" i="14"/>
  <c r="AH279" i="14" s="1"/>
  <c r="AE224" i="11"/>
  <c r="AE321" i="11"/>
  <c r="O84" i="12"/>
  <c r="O100" i="12" s="1"/>
  <c r="O116" i="12" s="1"/>
  <c r="O226" i="12"/>
  <c r="O242" i="12" s="1"/>
  <c r="S179" i="12"/>
  <c r="AG211" i="14"/>
  <c r="AG243" i="14"/>
  <c r="O212" i="16"/>
  <c r="O309" i="16"/>
  <c r="S89" i="4"/>
  <c r="G299" i="10"/>
  <c r="G39" i="10"/>
  <c r="G10" i="3" s="1"/>
  <c r="G38" i="3" s="1"/>
  <c r="G7" i="3"/>
  <c r="G35" i="3" s="1"/>
  <c r="Y162" i="10"/>
  <c r="Y178" i="10"/>
  <c r="B242" i="11"/>
  <c r="B258" i="11" s="1"/>
  <c r="BF44" i="8"/>
  <c r="AC36" i="11"/>
  <c r="EO44" i="7"/>
  <c r="EO45" i="7" s="1"/>
  <c r="CI45" i="7"/>
  <c r="J163" i="20"/>
  <c r="J179" i="20"/>
  <c r="N80" i="13"/>
  <c r="X178" i="15"/>
  <c r="G296" i="19"/>
  <c r="G292" i="19"/>
  <c r="G288" i="19"/>
  <c r="G289" i="19"/>
  <c r="G295" i="19"/>
  <c r="G294" i="19"/>
  <c r="G293" i="19"/>
  <c r="G298" i="19"/>
  <c r="G297" i="19"/>
  <c r="G291" i="19"/>
  <c r="G287" i="19"/>
  <c r="G290" i="19"/>
  <c r="F178" i="13"/>
  <c r="AB163" i="17"/>
  <c r="AG223" i="10"/>
  <c r="N331" i="5"/>
  <c r="M182" i="12"/>
  <c r="V30" i="2"/>
  <c r="AG4" i="14"/>
  <c r="Z210" i="16"/>
  <c r="Z307" i="16"/>
  <c r="H96" i="16"/>
  <c r="D179" i="14"/>
  <c r="AH148" i="14"/>
  <c r="AG148" i="14"/>
  <c r="Y23" i="1"/>
  <c r="Y11" i="14"/>
  <c r="Y16" i="14" s="1"/>
  <c r="G210" i="12"/>
  <c r="G307" i="12"/>
  <c r="AD266" i="16"/>
  <c r="AC223" i="19"/>
  <c r="J46" i="14"/>
  <c r="S113" i="15"/>
  <c r="S161" i="15"/>
  <c r="T303" i="20"/>
  <c r="T311" i="20"/>
  <c r="T308" i="20"/>
  <c r="T305" i="20"/>
  <c r="T302" i="20"/>
  <c r="T312" i="20"/>
  <c r="T309" i="20"/>
  <c r="T306" i="20"/>
  <c r="T304" i="20"/>
  <c r="T310" i="20"/>
  <c r="T307" i="20"/>
  <c r="T313" i="20"/>
  <c r="AM80" i="10"/>
  <c r="J299" i="19"/>
  <c r="J39" i="19"/>
  <c r="Y161" i="20"/>
  <c r="AG215" i="14"/>
  <c r="AG247" i="14"/>
  <c r="Y80" i="17"/>
  <c r="Y223" i="17"/>
  <c r="H80" i="13"/>
  <c r="Q330" i="4"/>
  <c r="AB39" i="9"/>
  <c r="AB330" i="9"/>
  <c r="S345" i="4"/>
  <c r="R327" i="4"/>
  <c r="R335" i="4"/>
  <c r="B330" i="9"/>
  <c r="AF104" i="10"/>
  <c r="AF215" i="10"/>
  <c r="AF231" i="10" s="1"/>
  <c r="AF247" i="10" s="1"/>
  <c r="R336" i="4"/>
  <c r="P340" i="4"/>
  <c r="N340" i="4"/>
  <c r="N335" i="5"/>
  <c r="I212" i="12"/>
  <c r="I309" i="12"/>
  <c r="AI90" i="10"/>
  <c r="AI217" i="10" s="1"/>
  <c r="AI233" i="10" s="1"/>
  <c r="AB5" i="2"/>
  <c r="AB27" i="2" s="1"/>
  <c r="AB25" i="10"/>
  <c r="AB28" i="10" s="1"/>
  <c r="AB26" i="10" s="1"/>
  <c r="AJ51" i="10"/>
  <c r="AM51" i="10" s="1"/>
  <c r="AK51" i="10"/>
  <c r="AL51" i="10"/>
  <c r="AD45" i="7"/>
  <c r="I263" i="4"/>
  <c r="S224" i="13"/>
  <c r="S240" i="13" s="1"/>
  <c r="AF101" i="10"/>
  <c r="AF212" i="10"/>
  <c r="AF228" i="10" s="1"/>
  <c r="AF244" i="10" s="1"/>
  <c r="D46" i="14"/>
  <c r="AC23" i="15"/>
  <c r="AC25" i="15" s="1"/>
  <c r="AC28" i="15" s="1"/>
  <c r="AC26" i="15" s="1"/>
  <c r="AC251" i="15"/>
  <c r="AD124" i="15"/>
  <c r="F180" i="12"/>
  <c r="N179" i="12"/>
  <c r="AJ18" i="10"/>
  <c r="E303" i="11"/>
  <c r="E305" i="11"/>
  <c r="E307" i="11"/>
  <c r="E309" i="11"/>
  <c r="E313" i="11"/>
  <c r="E302" i="11"/>
  <c r="E308" i="11"/>
  <c r="E304" i="11"/>
  <c r="E310" i="11"/>
  <c r="E312" i="11"/>
  <c r="E311" i="11"/>
  <c r="E306" i="11"/>
  <c r="AN71" i="14"/>
  <c r="AG71" i="14"/>
  <c r="AF71" i="14"/>
  <c r="AH71" i="14"/>
  <c r="AF215" i="14"/>
  <c r="AF247" i="14"/>
  <c r="C178" i="10"/>
  <c r="I209" i="13"/>
  <c r="I306" i="13"/>
  <c r="AA4" i="12"/>
  <c r="U180" i="13"/>
  <c r="AB8" i="2"/>
  <c r="AB30" i="2" s="1"/>
  <c r="M181" i="13"/>
  <c r="T161" i="15"/>
  <c r="Z81" i="13"/>
  <c r="M81" i="13"/>
  <c r="Y178" i="13"/>
  <c r="R223" i="15"/>
  <c r="Q345" i="5"/>
  <c r="X179" i="12"/>
  <c r="AA97" i="19"/>
  <c r="AC81" i="19"/>
  <c r="AC97" i="19" s="1"/>
  <c r="AH357" i="20"/>
  <c r="AI357" i="20" s="1"/>
  <c r="P210" i="15"/>
  <c r="P307" i="15"/>
  <c r="M223" i="17"/>
  <c r="M311" i="11"/>
  <c r="M313" i="11"/>
  <c r="M302" i="11"/>
  <c r="M304" i="11"/>
  <c r="M306" i="11"/>
  <c r="M310" i="11"/>
  <c r="M309" i="11"/>
  <c r="M305" i="11"/>
  <c r="M312" i="11"/>
  <c r="M307" i="11"/>
  <c r="M303" i="11"/>
  <c r="M308" i="11"/>
  <c r="AE219" i="14"/>
  <c r="AE287" i="14"/>
  <c r="AD155" i="13"/>
  <c r="D208" i="16"/>
  <c r="D305" i="16"/>
  <c r="X209" i="15"/>
  <c r="X306" i="15"/>
  <c r="J80" i="13"/>
  <c r="AD155" i="16"/>
  <c r="B223" i="19"/>
  <c r="B239" i="19" s="1"/>
  <c r="M82" i="17"/>
  <c r="P26" i="20"/>
  <c r="R162" i="19"/>
  <c r="B244" i="20"/>
  <c r="B260" i="20" s="1"/>
  <c r="AB238" i="20"/>
  <c r="I210" i="16"/>
  <c r="I307" i="16"/>
  <c r="O312" i="20"/>
  <c r="O309" i="20"/>
  <c r="O306" i="20"/>
  <c r="O303" i="20"/>
  <c r="O311" i="20"/>
  <c r="O308" i="20"/>
  <c r="O307" i="20"/>
  <c r="O310" i="20"/>
  <c r="O304" i="20"/>
  <c r="O305" i="20"/>
  <c r="O302" i="20"/>
  <c r="O313" i="20"/>
  <c r="E162" i="15"/>
  <c r="V80" i="15"/>
  <c r="X225" i="16"/>
  <c r="AH217" i="14"/>
  <c r="AH249" i="14"/>
  <c r="J179" i="14"/>
  <c r="N223" i="16"/>
  <c r="N80" i="16"/>
  <c r="AJ75" i="20"/>
  <c r="AG272" i="14"/>
  <c r="AG280" i="14"/>
  <c r="AG278" i="14"/>
  <c r="AG276" i="14"/>
  <c r="AG282" i="14" s="1"/>
  <c r="AG274" i="14"/>
  <c r="AG281" i="14"/>
  <c r="AG273" i="14"/>
  <c r="AG275" i="14"/>
  <c r="AG271" i="14"/>
  <c r="AG279" i="14"/>
  <c r="AG277" i="14"/>
  <c r="AB70" i="19"/>
  <c r="AB75" i="19" s="1"/>
  <c r="Z75" i="19"/>
  <c r="AC70" i="19"/>
  <c r="AC266" i="20"/>
  <c r="AC88" i="20"/>
  <c r="AC86" i="20"/>
  <c r="AC87" i="20"/>
  <c r="AC89" i="20"/>
  <c r="AC247" i="20" s="1"/>
  <c r="AC84" i="20"/>
  <c r="AC83" i="20"/>
  <c r="AC85" i="20"/>
  <c r="Q96" i="17"/>
  <c r="J307" i="20"/>
  <c r="J304" i="20"/>
  <c r="J312" i="20"/>
  <c r="J309" i="20"/>
  <c r="J313" i="20"/>
  <c r="J310" i="20"/>
  <c r="J308" i="20"/>
  <c r="J305" i="20"/>
  <c r="J306" i="20"/>
  <c r="J303" i="20"/>
  <c r="J302" i="20"/>
  <c r="J311" i="20"/>
  <c r="C179" i="13"/>
  <c r="AD180" i="20"/>
  <c r="R180" i="16"/>
  <c r="BG45" i="6"/>
  <c r="EP44" i="6"/>
  <c r="EP45" i="6" s="1"/>
  <c r="AC32" i="3"/>
  <c r="AC34" i="3" s="1"/>
  <c r="AC40" i="3" s="1"/>
  <c r="AC6" i="3"/>
  <c r="AC12" i="3" s="1"/>
  <c r="AD155" i="12"/>
  <c r="AA210" i="15"/>
  <c r="AA307" i="15"/>
  <c r="P163" i="20"/>
  <c r="T96" i="13"/>
  <c r="Y80" i="16"/>
  <c r="AD107" i="14"/>
  <c r="AD123" i="14" s="1"/>
  <c r="AD250" i="14" s="1"/>
  <c r="AD218" i="14"/>
  <c r="AD219" i="14" s="1"/>
  <c r="D80" i="17"/>
  <c r="M96" i="13"/>
  <c r="L330" i="9"/>
  <c r="L39" i="9"/>
  <c r="R338" i="4"/>
  <c r="G305" i="11"/>
  <c r="G307" i="11"/>
  <c r="G309" i="11"/>
  <c r="G311" i="11"/>
  <c r="G304" i="11"/>
  <c r="G303" i="11"/>
  <c r="G310" i="11"/>
  <c r="G306" i="11"/>
  <c r="G302" i="11"/>
  <c r="G312" i="11"/>
  <c r="G308" i="11"/>
  <c r="G313" i="11"/>
  <c r="P336" i="4"/>
  <c r="N336" i="4"/>
  <c r="AC171" i="11"/>
  <c r="AC172" i="11"/>
  <c r="V25" i="14"/>
  <c r="V28" i="14" s="1"/>
  <c r="V26" i="14" s="1"/>
  <c r="R339" i="5"/>
  <c r="P39" i="10"/>
  <c r="P10" i="3" s="1"/>
  <c r="P38" i="3" s="1"/>
  <c r="P299" i="10"/>
  <c r="P7" i="3"/>
  <c r="P35" i="3" s="1"/>
  <c r="I85" i="12"/>
  <c r="M330" i="9"/>
  <c r="M39" i="9"/>
  <c r="AG210" i="9"/>
  <c r="EK41" i="7"/>
  <c r="R334" i="5"/>
  <c r="EP41" i="7"/>
  <c r="ET4" i="7"/>
  <c r="AL275" i="10"/>
  <c r="AG282" i="10"/>
  <c r="AJ275" i="10"/>
  <c r="AK275" i="10"/>
  <c r="AM275" i="10" s="1"/>
  <c r="AI275" i="10"/>
  <c r="T180" i="10"/>
  <c r="P324" i="4"/>
  <c r="N324" i="4"/>
  <c r="AF178" i="11"/>
  <c r="N329" i="5"/>
  <c r="N325" i="4"/>
  <c r="P325" i="4"/>
  <c r="AE231" i="10"/>
  <c r="AE247" i="10" s="1"/>
  <c r="E161" i="12"/>
  <c r="E113" i="12"/>
  <c r="E240" i="12" s="1"/>
  <c r="Q327" i="5"/>
  <c r="AK131" i="10"/>
  <c r="AJ131" i="10"/>
  <c r="AL131" i="10" s="1"/>
  <c r="J118" i="4"/>
  <c r="AD4" i="2"/>
  <c r="M164" i="11"/>
  <c r="M180" i="11"/>
  <c r="ET4" i="8"/>
  <c r="EP41" i="8"/>
  <c r="AL5" i="10"/>
  <c r="AK272" i="10"/>
  <c r="AJ272" i="10"/>
  <c r="AM272" i="10" s="1"/>
  <c r="AF217" i="14"/>
  <c r="AF249" i="14"/>
  <c r="AG264" i="14"/>
  <c r="AH264" i="14"/>
  <c r="W162" i="14"/>
  <c r="W178" i="14"/>
  <c r="S39" i="1"/>
  <c r="S40" i="1" s="1"/>
  <c r="S8" i="1"/>
  <c r="S13" i="1" s="1"/>
  <c r="I81" i="13"/>
  <c r="I97" i="13" s="1"/>
  <c r="AE155" i="15"/>
  <c r="T181" i="13"/>
  <c r="P24" i="1"/>
  <c r="C80" i="15"/>
  <c r="P26" i="11"/>
  <c r="U27" i="2"/>
  <c r="Y177" i="11"/>
  <c r="E161" i="15"/>
  <c r="AE219" i="15"/>
  <c r="AE35" i="15"/>
  <c r="AE41" i="15" s="1"/>
  <c r="AE40" i="15" s="1"/>
  <c r="AE283" i="15" s="1"/>
  <c r="P82" i="15"/>
  <c r="AC64" i="19"/>
  <c r="AA75" i="19"/>
  <c r="F210" i="12"/>
  <c r="F307" i="12"/>
  <c r="G84" i="15"/>
  <c r="F179" i="14"/>
  <c r="W225" i="15"/>
  <c r="W82" i="15"/>
  <c r="T180" i="16"/>
  <c r="B307" i="14"/>
  <c r="AG257" i="14"/>
  <c r="AH257" i="14"/>
  <c r="K210" i="15"/>
  <c r="K307" i="15"/>
  <c r="D80" i="16"/>
  <c r="O18" i="17"/>
  <c r="AC20" i="3"/>
  <c r="AC26" i="3" s="1"/>
  <c r="AC33" i="3"/>
  <c r="Z223" i="16"/>
  <c r="X81" i="15"/>
  <c r="AC209" i="16"/>
  <c r="AC306" i="16"/>
  <c r="AJ295" i="20"/>
  <c r="AJ298" i="20" s="1"/>
  <c r="AE297" i="20"/>
  <c r="G96" i="13"/>
  <c r="AC178" i="16"/>
  <c r="O178" i="17"/>
  <c r="M210" i="17"/>
  <c r="M307" i="17"/>
  <c r="W178" i="19"/>
  <c r="W162" i="19"/>
  <c r="B241" i="19"/>
  <c r="D165" i="11"/>
  <c r="D181" i="11"/>
  <c r="B256" i="20"/>
  <c r="H96" i="17"/>
  <c r="R96" i="16"/>
  <c r="P42" i="1"/>
  <c r="V305" i="15"/>
  <c r="V208" i="15"/>
  <c r="AB112" i="19"/>
  <c r="AB160" i="19"/>
  <c r="AB223" i="17"/>
  <c r="M210" i="16"/>
  <c r="M307" i="16"/>
  <c r="T224" i="15"/>
  <c r="T240" i="15" s="1"/>
  <c r="I81" i="15"/>
  <c r="U162" i="19"/>
  <c r="U178" i="19"/>
  <c r="L180" i="15"/>
  <c r="AD59" i="15"/>
  <c r="AD229" i="20"/>
  <c r="AD226" i="20"/>
  <c r="AD242" i="20" s="1"/>
  <c r="AD225" i="20"/>
  <c r="AD241" i="20" s="1"/>
  <c r="AD222" i="20"/>
  <c r="AD224" i="20"/>
  <c r="AD240" i="20" s="1"/>
  <c r="AD228" i="20"/>
  <c r="AD244" i="20" s="1"/>
  <c r="AD260" i="20" s="1"/>
  <c r="AD227" i="20"/>
  <c r="AD243" i="20" s="1"/>
  <c r="AD259" i="20" s="1"/>
  <c r="AD266" i="20"/>
  <c r="AH153" i="14"/>
  <c r="R179" i="17"/>
  <c r="L295" i="19"/>
  <c r="L291" i="19"/>
  <c r="L298" i="19"/>
  <c r="L294" i="19"/>
  <c r="L293" i="19"/>
  <c r="L292" i="19"/>
  <c r="L297" i="19"/>
  <c r="L296" i="19"/>
  <c r="L287" i="19"/>
  <c r="L289" i="19"/>
  <c r="L288" i="19"/>
  <c r="L290" i="19"/>
  <c r="Z179" i="10"/>
  <c r="Z163" i="10" s="1"/>
  <c r="AC36" i="10"/>
  <c r="AE282" i="12"/>
  <c r="AB96" i="13"/>
  <c r="B178" i="14"/>
  <c r="H208" i="16"/>
  <c r="H305" i="16"/>
  <c r="X18" i="17"/>
  <c r="AA11" i="3"/>
  <c r="AA39" i="3" s="1"/>
  <c r="Q326" i="4"/>
  <c r="AE251" i="12"/>
  <c r="AF208" i="10"/>
  <c r="AF224" i="10" s="1"/>
  <c r="AF240" i="10" s="1"/>
  <c r="AF97" i="10"/>
  <c r="P339" i="4"/>
  <c r="N339" i="4"/>
  <c r="B178" i="10"/>
  <c r="P330" i="5"/>
  <c r="Q335" i="5"/>
  <c r="N328" i="5"/>
  <c r="D299" i="10"/>
  <c r="D39" i="10"/>
  <c r="D10" i="3" s="1"/>
  <c r="D38" i="3" s="1"/>
  <c r="D7" i="3"/>
  <c r="D35" i="3" s="1"/>
  <c r="V163" i="10"/>
  <c r="V179" i="10"/>
  <c r="AH90" i="10"/>
  <c r="R340" i="5"/>
  <c r="V39" i="10"/>
  <c r="V10" i="3" s="1"/>
  <c r="V38" i="3" s="1"/>
  <c r="V299" i="10"/>
  <c r="V7" i="3"/>
  <c r="V35" i="3" s="1"/>
  <c r="AB7" i="1"/>
  <c r="AB11" i="10"/>
  <c r="AB16" i="10" s="1"/>
  <c r="J91" i="12"/>
  <c r="J107" i="12" s="1"/>
  <c r="J123" i="12" s="1"/>
  <c r="J233" i="12"/>
  <c r="J249" i="12" s="1"/>
  <c r="AE161" i="14"/>
  <c r="U161" i="11"/>
  <c r="U177" i="11"/>
  <c r="AB209" i="15"/>
  <c r="AB306" i="15"/>
  <c r="X80" i="13"/>
  <c r="E179" i="10"/>
  <c r="N341" i="5"/>
  <c r="AH139" i="10"/>
  <c r="AB11" i="3"/>
  <c r="AB39" i="3" s="1"/>
  <c r="R180" i="13"/>
  <c r="AE266" i="13"/>
  <c r="L306" i="14"/>
  <c r="Q104" i="14"/>
  <c r="Q120" i="14" s="1"/>
  <c r="Q247" i="14" s="1"/>
  <c r="P88" i="14"/>
  <c r="Q215" i="14"/>
  <c r="G178" i="12"/>
  <c r="P46" i="14"/>
  <c r="C208" i="15"/>
  <c r="C305" i="15"/>
  <c r="AB179" i="14"/>
  <c r="AB163" i="14"/>
  <c r="J96" i="16"/>
  <c r="Y81" i="13"/>
  <c r="AD181" i="15"/>
  <c r="P82" i="12"/>
  <c r="P98" i="12" s="1"/>
  <c r="P224" i="12"/>
  <c r="P240" i="12" s="1"/>
  <c r="P325" i="5"/>
  <c r="S46" i="14"/>
  <c r="B160" i="10"/>
  <c r="C307" i="14"/>
  <c r="G208" i="16"/>
  <c r="G305" i="16"/>
  <c r="T290" i="19"/>
  <c r="T297" i="19"/>
  <c r="T293" i="19"/>
  <c r="T298" i="19"/>
  <c r="T288" i="19"/>
  <c r="T287" i="19"/>
  <c r="T295" i="19"/>
  <c r="T291" i="19"/>
  <c r="T294" i="19"/>
  <c r="T292" i="19"/>
  <c r="T296" i="19"/>
  <c r="T289" i="19"/>
  <c r="AC97" i="20"/>
  <c r="AC113" i="20" s="1"/>
  <c r="AC95" i="20"/>
  <c r="AC96" i="20"/>
  <c r="AC112" i="20" s="1"/>
  <c r="AE58" i="20"/>
  <c r="L179" i="12"/>
  <c r="F83" i="12"/>
  <c r="F99" i="12" s="1"/>
  <c r="F225" i="12"/>
  <c r="F241" i="12" s="1"/>
  <c r="G309" i="15"/>
  <c r="G212" i="15"/>
  <c r="Q7" i="1"/>
  <c r="Q8" i="1" s="1"/>
  <c r="Q13" i="1" s="1"/>
  <c r="Q11" i="11"/>
  <c r="Q16" i="11" s="1"/>
  <c r="Q15" i="11" s="1"/>
  <c r="Q45" i="11" s="1"/>
  <c r="AE307" i="15"/>
  <c r="I82" i="17"/>
  <c r="K179" i="14"/>
  <c r="AC242" i="19"/>
  <c r="P210" i="12"/>
  <c r="P307" i="12"/>
  <c r="AM258" i="10"/>
  <c r="AJ258" i="10"/>
  <c r="AL258" i="10"/>
  <c r="AK258" i="10"/>
  <c r="H84" i="15"/>
  <c r="H227" i="15"/>
  <c r="K82" i="15"/>
  <c r="K98" i="15" s="1"/>
  <c r="Z96" i="16"/>
  <c r="AE207" i="17"/>
  <c r="AA225" i="20"/>
  <c r="AA241" i="20" s="1"/>
  <c r="AA257" i="20" s="1"/>
  <c r="AA322" i="20"/>
  <c r="AD251" i="16"/>
  <c r="AD23" i="16"/>
  <c r="AD25" i="16" s="1"/>
  <c r="AD28" i="16" s="1"/>
  <c r="AD26" i="16" s="1"/>
  <c r="AC161" i="16"/>
  <c r="AC59" i="19"/>
  <c r="O180" i="19"/>
  <c r="AD179" i="14"/>
  <c r="H223" i="17"/>
  <c r="V311" i="20"/>
  <c r="V308" i="20"/>
  <c r="V305" i="20"/>
  <c r="V313" i="20"/>
  <c r="V302" i="20"/>
  <c r="V312" i="20"/>
  <c r="V309" i="20"/>
  <c r="V306" i="20"/>
  <c r="V303" i="20"/>
  <c r="V304" i="20"/>
  <c r="V307" i="20"/>
  <c r="V310" i="20"/>
  <c r="Z103" i="20"/>
  <c r="Z119" i="20" s="1"/>
  <c r="AB87" i="20"/>
  <c r="AC280" i="19"/>
  <c r="AC282" i="19" s="1"/>
  <c r="AB96" i="17"/>
  <c r="AG306" i="14"/>
  <c r="X293" i="19"/>
  <c r="X289" i="19"/>
  <c r="X296" i="19"/>
  <c r="X298" i="19"/>
  <c r="X297" i="19"/>
  <c r="X288" i="19"/>
  <c r="X287" i="19"/>
  <c r="X292" i="19"/>
  <c r="X291" i="19"/>
  <c r="X290" i="19"/>
  <c r="X295" i="19"/>
  <c r="X294" i="19"/>
  <c r="I306" i="15"/>
  <c r="I209" i="15"/>
  <c r="U161" i="19"/>
  <c r="S179" i="15"/>
  <c r="AG242" i="14"/>
  <c r="AG210" i="14"/>
  <c r="D179" i="15"/>
  <c r="AE250" i="20"/>
  <c r="R162" i="17"/>
  <c r="X240" i="12" l="1"/>
  <c r="Y18" i="14"/>
  <c r="Y15" i="14"/>
  <c r="R8" i="1"/>
  <c r="R13" i="1" s="1"/>
  <c r="R39" i="1"/>
  <c r="R40" i="1" s="1"/>
  <c r="F96" i="16"/>
  <c r="I182" i="15"/>
  <c r="R18" i="10"/>
  <c r="R15" i="10"/>
  <c r="E180" i="16"/>
  <c r="E115" i="12"/>
  <c r="E163" i="12"/>
  <c r="Q82" i="17"/>
  <c r="W308" i="14"/>
  <c r="W292" i="14"/>
  <c r="B113" i="11"/>
  <c r="B256" i="11" s="1"/>
  <c r="B107" i="11"/>
  <c r="B23" i="11" s="1"/>
  <c r="AD179" i="13"/>
  <c r="AK266" i="10"/>
  <c r="W291" i="14"/>
  <c r="W240" i="12"/>
  <c r="Q182" i="10"/>
  <c r="Q165" i="10"/>
  <c r="G310" i="15"/>
  <c r="G213" i="15"/>
  <c r="AM255" i="10"/>
  <c r="AG59" i="14"/>
  <c r="B96" i="15"/>
  <c r="AC243" i="20"/>
  <c r="AC117" i="20"/>
  <c r="AG80" i="11"/>
  <c r="AG96" i="11" s="1"/>
  <c r="K181" i="12"/>
  <c r="AM148" i="10"/>
  <c r="P97" i="16"/>
  <c r="P223" i="16"/>
  <c r="P239" i="16" s="1"/>
  <c r="P212" i="13"/>
  <c r="P309" i="13"/>
  <c r="K160" i="13"/>
  <c r="K112" i="13"/>
  <c r="AE211" i="16"/>
  <c r="AE308" i="16"/>
  <c r="V96" i="13"/>
  <c r="J209" i="13"/>
  <c r="J306" i="13"/>
  <c r="AA181" i="12"/>
  <c r="H182" i="10"/>
  <c r="H165" i="10"/>
  <c r="G179" i="15"/>
  <c r="AF225" i="11"/>
  <c r="AF322" i="11"/>
  <c r="G112" i="15"/>
  <c r="G239" i="15" s="1"/>
  <c r="G160" i="15"/>
  <c r="B240" i="16"/>
  <c r="P98" i="15"/>
  <c r="P224" i="15"/>
  <c r="P240" i="15" s="1"/>
  <c r="AC214" i="19"/>
  <c r="AC230" i="19" s="1"/>
  <c r="AC246" i="19" s="1"/>
  <c r="AC311" i="19"/>
  <c r="Y25" i="10"/>
  <c r="Y28" i="10" s="1"/>
  <c r="Y26" i="10" s="1"/>
  <c r="T85" i="13"/>
  <c r="AB311" i="17"/>
  <c r="AB214" i="17"/>
  <c r="Y232" i="10"/>
  <c r="Y248" i="10" s="1"/>
  <c r="Y219" i="10"/>
  <c r="Y33" i="10" s="1"/>
  <c r="AB18" i="10"/>
  <c r="AB15" i="10"/>
  <c r="AB19" i="10" s="1"/>
  <c r="AE274" i="15"/>
  <c r="AE210" i="15" s="1"/>
  <c r="AE271" i="15"/>
  <c r="AE207" i="15" s="1"/>
  <c r="AE277" i="15"/>
  <c r="AE280" i="15"/>
  <c r="AE273" i="15"/>
  <c r="AE209" i="15" s="1"/>
  <c r="AE278" i="15"/>
  <c r="AE275" i="15"/>
  <c r="AE276" i="15"/>
  <c r="AE272" i="15"/>
  <c r="AE208" i="15" s="1"/>
  <c r="AE279" i="15"/>
  <c r="AE281" i="15"/>
  <c r="J180" i="14"/>
  <c r="AG318" i="9"/>
  <c r="AG322" i="9"/>
  <c r="AG321" i="9"/>
  <c r="AG323" i="9"/>
  <c r="T211" i="17"/>
  <c r="T308" i="17"/>
  <c r="X112" i="15"/>
  <c r="X160" i="15"/>
  <c r="AA112" i="13"/>
  <c r="AA160" i="13"/>
  <c r="D306" i="14"/>
  <c r="I181" i="19"/>
  <c r="I165" i="19" s="1"/>
  <c r="R180" i="12"/>
  <c r="I180" i="16"/>
  <c r="V209" i="16"/>
  <c r="V306" i="16"/>
  <c r="N181" i="17"/>
  <c r="AM256" i="10"/>
  <c r="AL256" i="10"/>
  <c r="F181" i="19"/>
  <c r="AH308" i="14"/>
  <c r="AH292" i="14" s="1"/>
  <c r="O163" i="10"/>
  <c r="O179" i="10"/>
  <c r="AE112" i="20"/>
  <c r="AE160" i="20"/>
  <c r="J96" i="17"/>
  <c r="O96" i="13"/>
  <c r="AD210" i="15"/>
  <c r="AD307" i="15"/>
  <c r="E179" i="13"/>
  <c r="P294" i="10"/>
  <c r="P291" i="10"/>
  <c r="P295" i="10"/>
  <c r="P292" i="10"/>
  <c r="P288" i="10"/>
  <c r="P289" i="10"/>
  <c r="P290" i="10"/>
  <c r="P296" i="10"/>
  <c r="P287" i="10"/>
  <c r="P298" i="10"/>
  <c r="P293" i="10"/>
  <c r="P297" i="10"/>
  <c r="I350" i="4"/>
  <c r="R263" i="4"/>
  <c r="H15" i="1"/>
  <c r="AA81" i="17"/>
  <c r="W84" i="16"/>
  <c r="E179" i="17"/>
  <c r="T83" i="17"/>
  <c r="AK134" i="10"/>
  <c r="AM134" i="10" s="1"/>
  <c r="Q210" i="16"/>
  <c r="Q307" i="16"/>
  <c r="N307" i="14"/>
  <c r="Q208" i="14"/>
  <c r="Q288" i="14" s="1"/>
  <c r="Q97" i="14"/>
  <c r="P81" i="14"/>
  <c r="E209" i="13"/>
  <c r="E306" i="13"/>
  <c r="S96" i="15"/>
  <c r="I164" i="19"/>
  <c r="R81" i="13"/>
  <c r="AG215" i="10"/>
  <c r="AG231" i="10" s="1"/>
  <c r="AJ88" i="10"/>
  <c r="AJ215" i="10" s="1"/>
  <c r="AJ231" i="10" s="1"/>
  <c r="AI88" i="10"/>
  <c r="AI215" i="10" s="1"/>
  <c r="AI231" i="10" s="1"/>
  <c r="AK88" i="10"/>
  <c r="AK215" i="10" s="1"/>
  <c r="AK231" i="10" s="1"/>
  <c r="V81" i="16"/>
  <c r="AB210" i="13"/>
  <c r="AB307" i="13"/>
  <c r="J96" i="15"/>
  <c r="L39" i="1"/>
  <c r="L40" i="1" s="1"/>
  <c r="AG212" i="10"/>
  <c r="AG228" i="10" s="1"/>
  <c r="AM85" i="10"/>
  <c r="AM212" i="10" s="1"/>
  <c r="AM228" i="10" s="1"/>
  <c r="AL85" i="10"/>
  <c r="AL212" i="10" s="1"/>
  <c r="AL228" i="10" s="1"/>
  <c r="AH151" i="14"/>
  <c r="F164" i="19"/>
  <c r="D179" i="13"/>
  <c r="O162" i="10"/>
  <c r="J223" i="17"/>
  <c r="M15" i="1"/>
  <c r="Q178" i="11"/>
  <c r="Q162" i="11"/>
  <c r="Y113" i="17"/>
  <c r="Y161" i="17"/>
  <c r="AA226" i="20"/>
  <c r="AA242" i="20" s="1"/>
  <c r="AA258" i="20" s="1"/>
  <c r="AA323" i="20"/>
  <c r="S179" i="10"/>
  <c r="S162" i="10"/>
  <c r="B92" i="11"/>
  <c r="B15" i="11"/>
  <c r="AE163" i="10"/>
  <c r="AE179" i="10"/>
  <c r="T179" i="12"/>
  <c r="P307" i="14"/>
  <c r="P291" i="14" s="1"/>
  <c r="AB178" i="11"/>
  <c r="Z87" i="11"/>
  <c r="Z245" i="11" s="1"/>
  <c r="Z261" i="11" s="1"/>
  <c r="C80" i="13"/>
  <c r="C223" i="13"/>
  <c r="Z180" i="16"/>
  <c r="V81" i="15"/>
  <c r="F181" i="10"/>
  <c r="N211" i="12"/>
  <c r="N308" i="12"/>
  <c r="AL70" i="10"/>
  <c r="AK70" i="10"/>
  <c r="AM70" i="10" s="1"/>
  <c r="F84" i="12"/>
  <c r="F100" i="12" s="1"/>
  <c r="F226" i="12"/>
  <c r="F242" i="12" s="1"/>
  <c r="AD238" i="20"/>
  <c r="E87" i="15"/>
  <c r="AC222" i="20"/>
  <c r="AC238" i="20" s="1"/>
  <c r="AC254" i="20" s="1"/>
  <c r="AC313" i="20"/>
  <c r="W180" i="13"/>
  <c r="Z180" i="10"/>
  <c r="E312" i="15"/>
  <c r="E215" i="15"/>
  <c r="AL145" i="10"/>
  <c r="W113" i="12"/>
  <c r="W161" i="12"/>
  <c r="AG307" i="14"/>
  <c r="AH289" i="14"/>
  <c r="Z231" i="11"/>
  <c r="Z328" i="11"/>
  <c r="D81" i="17"/>
  <c r="R209" i="16"/>
  <c r="R306" i="16"/>
  <c r="AE114" i="20"/>
  <c r="AE162" i="20"/>
  <c r="S82" i="17"/>
  <c r="R307" i="14"/>
  <c r="R290" i="14"/>
  <c r="S209" i="16"/>
  <c r="S306" i="16"/>
  <c r="S298" i="10"/>
  <c r="S287" i="10"/>
  <c r="S291" i="10"/>
  <c r="S295" i="10"/>
  <c r="S288" i="10"/>
  <c r="S292" i="10"/>
  <c r="S296" i="10"/>
  <c r="S289" i="10"/>
  <c r="S290" i="10"/>
  <c r="S293" i="10"/>
  <c r="S294" i="10"/>
  <c r="S297" i="10"/>
  <c r="H98" i="12"/>
  <c r="H224" i="12"/>
  <c r="H240" i="12" s="1"/>
  <c r="AM152" i="10"/>
  <c r="AL152" i="10"/>
  <c r="AM151" i="10"/>
  <c r="AL151" i="10"/>
  <c r="AD14" i="10"/>
  <c r="AE6" i="10"/>
  <c r="AI75" i="10"/>
  <c r="D180" i="15"/>
  <c r="R112" i="15"/>
  <c r="R160" i="15"/>
  <c r="H15" i="10"/>
  <c r="H18" i="10"/>
  <c r="S234" i="4"/>
  <c r="W212" i="16"/>
  <c r="W309" i="16"/>
  <c r="C165" i="20"/>
  <c r="C181" i="20"/>
  <c r="C164" i="20"/>
  <c r="L83" i="17"/>
  <c r="E226" i="12"/>
  <c r="E242" i="12" s="1"/>
  <c r="E84" i="12"/>
  <c r="E100" i="12" s="1"/>
  <c r="Q82" i="16"/>
  <c r="AG107" i="14"/>
  <c r="AG123" i="14" s="1"/>
  <c r="AG250" i="14" s="1"/>
  <c r="AG218" i="14"/>
  <c r="S81" i="16"/>
  <c r="AB8" i="1"/>
  <c r="AB13" i="1" s="1"/>
  <c r="AB39" i="1"/>
  <c r="AB40" i="1" s="1"/>
  <c r="AC246" i="20"/>
  <c r="AC120" i="20"/>
  <c r="AC263" i="20" s="1"/>
  <c r="AE6" i="15"/>
  <c r="AE9" i="15"/>
  <c r="AE11" i="15" s="1"/>
  <c r="AE16" i="15" s="1"/>
  <c r="AE4" i="15"/>
  <c r="AD14" i="15" s="1"/>
  <c r="M181" i="15"/>
  <c r="F181" i="15"/>
  <c r="M112" i="15"/>
  <c r="M160" i="15"/>
  <c r="X210" i="13"/>
  <c r="X307" i="13"/>
  <c r="T291" i="14"/>
  <c r="T307" i="14"/>
  <c r="T290" i="14"/>
  <c r="AC105" i="20"/>
  <c r="AC121" i="20" s="1"/>
  <c r="P114" i="12"/>
  <c r="P162" i="12"/>
  <c r="AL272" i="10"/>
  <c r="U181" i="13"/>
  <c r="M183" i="12"/>
  <c r="S112" i="16"/>
  <c r="S160" i="16"/>
  <c r="Z82" i="13"/>
  <c r="F164" i="15"/>
  <c r="AD209" i="16"/>
  <c r="AD306" i="16"/>
  <c r="W81" i="13"/>
  <c r="AF202" i="9"/>
  <c r="U209" i="12"/>
  <c r="U306" i="12"/>
  <c r="AC97" i="13"/>
  <c r="AC223" i="13"/>
  <c r="N180" i="20"/>
  <c r="N164" i="20" s="1"/>
  <c r="R96" i="13"/>
  <c r="O97" i="15"/>
  <c r="O223" i="15"/>
  <c r="O239" i="15" s="1"/>
  <c r="AD113" i="20"/>
  <c r="AD161" i="20"/>
  <c r="R209" i="13"/>
  <c r="R306" i="13"/>
  <c r="V180" i="17"/>
  <c r="W179" i="20"/>
  <c r="W162" i="20"/>
  <c r="AB82" i="13"/>
  <c r="B179" i="17"/>
  <c r="AA96" i="16"/>
  <c r="R211" i="17"/>
  <c r="R308" i="17"/>
  <c r="AA303" i="11"/>
  <c r="AA223" i="11" s="1"/>
  <c r="AA305" i="11"/>
  <c r="AA225" i="11" s="1"/>
  <c r="AA307" i="11"/>
  <c r="AA309" i="11"/>
  <c r="AA313" i="11"/>
  <c r="AA302" i="11"/>
  <c r="AA222" i="11" s="1"/>
  <c r="AA311" i="11"/>
  <c r="AA306" i="11"/>
  <c r="AA312" i="11"/>
  <c r="AA308" i="11"/>
  <c r="AA304" i="11"/>
  <c r="AA224" i="11" s="1"/>
  <c r="AA310" i="11"/>
  <c r="Q161" i="11"/>
  <c r="W112" i="16"/>
  <c r="W239" i="16" s="1"/>
  <c r="W160" i="16"/>
  <c r="Z209" i="17"/>
  <c r="Z306" i="17"/>
  <c r="AA211" i="15"/>
  <c r="AA308" i="15"/>
  <c r="D81" i="16"/>
  <c r="H180" i="14"/>
  <c r="C82" i="13"/>
  <c r="H180" i="16"/>
  <c r="AI209" i="10"/>
  <c r="AI225" i="10" s="1"/>
  <c r="AK223" i="10"/>
  <c r="AL148" i="10"/>
  <c r="X113" i="16"/>
  <c r="X240" i="16" s="1"/>
  <c r="X161" i="16"/>
  <c r="X97" i="15"/>
  <c r="X223" i="15"/>
  <c r="X239" i="15" s="1"/>
  <c r="AA209" i="19"/>
  <c r="AA225" i="19" s="1"/>
  <c r="AA241" i="19" s="1"/>
  <c r="AA306" i="19"/>
  <c r="AF180" i="14"/>
  <c r="P217" i="14"/>
  <c r="P106" i="14"/>
  <c r="P122" i="14" s="1"/>
  <c r="P249" i="14" s="1"/>
  <c r="O90" i="14"/>
  <c r="K46" i="14"/>
  <c r="AF161" i="10"/>
  <c r="Z179" i="12"/>
  <c r="Z163" i="12" s="1"/>
  <c r="Z162" i="12"/>
  <c r="AG82" i="11"/>
  <c r="AG98" i="11" s="1"/>
  <c r="R241" i="12"/>
  <c r="Y113" i="15"/>
  <c r="Y161" i="15"/>
  <c r="AD258" i="20"/>
  <c r="AD115" i="20"/>
  <c r="AD163" i="20"/>
  <c r="R112" i="17"/>
  <c r="R160" i="17"/>
  <c r="V180" i="13"/>
  <c r="E308" i="12"/>
  <c r="E211" i="12"/>
  <c r="Z246" i="11"/>
  <c r="Z88" i="11"/>
  <c r="Z104" i="11" s="1"/>
  <c r="Z120" i="11" s="1"/>
  <c r="M112" i="13"/>
  <c r="M160" i="13"/>
  <c r="AE82" i="11"/>
  <c r="AE98" i="11" s="1"/>
  <c r="V183" i="19"/>
  <c r="U224" i="12"/>
  <c r="U82" i="12"/>
  <c r="O218" i="14"/>
  <c r="O107" i="14"/>
  <c r="O123" i="14" s="1"/>
  <c r="O250" i="14" s="1"/>
  <c r="N91" i="14"/>
  <c r="R181" i="13"/>
  <c r="L181" i="15"/>
  <c r="Y85" i="15"/>
  <c r="AL154" i="10"/>
  <c r="J307" i="14"/>
  <c r="AC14" i="16"/>
  <c r="AC15" i="16" s="1"/>
  <c r="AC46" i="16" s="1"/>
  <c r="AD6" i="16"/>
  <c r="AA181" i="19"/>
  <c r="AA164" i="19"/>
  <c r="N180" i="16"/>
  <c r="L15" i="10"/>
  <c r="L18" i="10"/>
  <c r="AA209" i="16"/>
  <c r="AA306" i="16"/>
  <c r="G85" i="15"/>
  <c r="AM131" i="10"/>
  <c r="B210" i="15"/>
  <c r="B307" i="15"/>
  <c r="L15" i="1"/>
  <c r="K96" i="17"/>
  <c r="S15" i="1"/>
  <c r="AL179" i="10"/>
  <c r="Q181" i="20"/>
  <c r="V166" i="20"/>
  <c r="V182" i="20"/>
  <c r="V165" i="20"/>
  <c r="AH139" i="14"/>
  <c r="AG195" i="9"/>
  <c r="AG211" i="9"/>
  <c r="AM49" i="10"/>
  <c r="AF308" i="14"/>
  <c r="AF292" i="14" s="1"/>
  <c r="N211" i="15"/>
  <c r="N308" i="15"/>
  <c r="R287" i="14"/>
  <c r="R219" i="14"/>
  <c r="R33" i="14" s="1"/>
  <c r="R35" i="14" s="1"/>
  <c r="R41" i="14" s="1"/>
  <c r="AJ266" i="10"/>
  <c r="H83" i="17"/>
  <c r="W210" i="17"/>
  <c r="W307" i="17"/>
  <c r="P211" i="14"/>
  <c r="P100" i="14"/>
  <c r="P116" i="14" s="1"/>
  <c r="P243" i="14" s="1"/>
  <c r="O84" i="14"/>
  <c r="B161" i="16"/>
  <c r="B113" i="16"/>
  <c r="R181" i="16"/>
  <c r="AJ223" i="10"/>
  <c r="E209" i="17"/>
  <c r="E306" i="17"/>
  <c r="R112" i="14"/>
  <c r="R239" i="14" s="1"/>
  <c r="R108" i="14"/>
  <c r="R23" i="14" s="1"/>
  <c r="R160" i="14"/>
  <c r="D215" i="12"/>
  <c r="D312" i="12"/>
  <c r="F113" i="17"/>
  <c r="F161" i="17"/>
  <c r="P211" i="12"/>
  <c r="P308" i="12"/>
  <c r="Q81" i="13"/>
  <c r="AE179" i="11"/>
  <c r="I210" i="13"/>
  <c r="I307" i="13"/>
  <c r="Q39" i="1"/>
  <c r="Q40" i="1" s="1"/>
  <c r="AK154" i="10"/>
  <c r="AM154" i="10" s="1"/>
  <c r="AM155" i="10" s="1"/>
  <c r="AI282" i="10"/>
  <c r="AC307" i="14"/>
  <c r="AH266" i="14"/>
  <c r="AH210" i="10"/>
  <c r="AH226" i="10" s="1"/>
  <c r="AK83" i="10"/>
  <c r="AK210" i="10" s="1"/>
  <c r="AK226" i="10" s="1"/>
  <c r="AL83" i="10"/>
  <c r="AL210" i="10" s="1"/>
  <c r="AL226" i="10" s="1"/>
  <c r="AM48" i="10"/>
  <c r="AE4" i="16"/>
  <c r="B113" i="15"/>
  <c r="B161" i="15"/>
  <c r="I82" i="15"/>
  <c r="Y97" i="13"/>
  <c r="Y223" i="13"/>
  <c r="AH217" i="10"/>
  <c r="AH233" i="10" s="1"/>
  <c r="AJ90" i="10"/>
  <c r="AJ217" i="10" s="1"/>
  <c r="AJ233" i="10" s="1"/>
  <c r="AK90" i="10"/>
  <c r="AK217" i="10" s="1"/>
  <c r="AK233" i="10" s="1"/>
  <c r="AL90" i="10"/>
  <c r="AL217" i="10" s="1"/>
  <c r="AL233" i="10" s="1"/>
  <c r="M83" i="17"/>
  <c r="AL9" i="10"/>
  <c r="AL11" i="10" s="1"/>
  <c r="AL16" i="10" s="1"/>
  <c r="T181" i="10"/>
  <c r="T164" i="10"/>
  <c r="AF5" i="15"/>
  <c r="I82" i="13"/>
  <c r="N180" i="12"/>
  <c r="N163" i="12"/>
  <c r="AH210" i="14"/>
  <c r="AH290" i="14" s="1"/>
  <c r="AM57" i="10"/>
  <c r="AJ282" i="10"/>
  <c r="AL271" i="10"/>
  <c r="Y82" i="12"/>
  <c r="AH291" i="14"/>
  <c r="AF123" i="9"/>
  <c r="AF199" i="9"/>
  <c r="AF203" i="9" s="1"/>
  <c r="AC179" i="13"/>
  <c r="K178" i="20"/>
  <c r="K162" i="20"/>
  <c r="M98" i="13"/>
  <c r="M224" i="13"/>
  <c r="N209" i="13"/>
  <c r="N306" i="13"/>
  <c r="H163" i="20"/>
  <c r="H179" i="20"/>
  <c r="C182" i="19"/>
  <c r="F82" i="13"/>
  <c r="O307" i="15"/>
  <c r="O210" i="15"/>
  <c r="AD210" i="17"/>
  <c r="AD307" i="17"/>
  <c r="F86" i="15"/>
  <c r="AC82" i="13"/>
  <c r="G183" i="17"/>
  <c r="Z181" i="13"/>
  <c r="AL281" i="10"/>
  <c r="U180" i="20"/>
  <c r="U164" i="20" s="1"/>
  <c r="AC290" i="14"/>
  <c r="AJ83" i="10"/>
  <c r="AJ210" i="10" s="1"/>
  <c r="AJ226" i="10" s="1"/>
  <c r="AL223" i="10"/>
  <c r="AL59" i="10"/>
  <c r="AM74" i="10"/>
  <c r="O96" i="17"/>
  <c r="AC96" i="17"/>
  <c r="P241" i="12"/>
  <c r="J293" i="10"/>
  <c r="J290" i="10"/>
  <c r="J294" i="10"/>
  <c r="J291" i="10"/>
  <c r="J287" i="10"/>
  <c r="J288" i="10"/>
  <c r="J292" i="10"/>
  <c r="J297" i="10"/>
  <c r="J289" i="10"/>
  <c r="J296" i="10"/>
  <c r="J295" i="10"/>
  <c r="J298" i="10"/>
  <c r="C81" i="15"/>
  <c r="X97" i="13"/>
  <c r="X223" i="13"/>
  <c r="AI124" i="10"/>
  <c r="AJ251" i="10"/>
  <c r="AJ124" i="10" s="1"/>
  <c r="N179" i="11"/>
  <c r="N163" i="11" s="1"/>
  <c r="AL65" i="10"/>
  <c r="AL75" i="10" s="1"/>
  <c r="U291" i="10"/>
  <c r="U295" i="10"/>
  <c r="U288" i="10"/>
  <c r="U292" i="10"/>
  <c r="U296" i="10"/>
  <c r="U289" i="10"/>
  <c r="U287" i="10"/>
  <c r="U293" i="10"/>
  <c r="U297" i="10"/>
  <c r="U298" i="10"/>
  <c r="U294" i="10"/>
  <c r="U290" i="10"/>
  <c r="D209" i="13"/>
  <c r="D306" i="13"/>
  <c r="R239" i="15"/>
  <c r="W98" i="12"/>
  <c r="Z112" i="16"/>
  <c r="Z160" i="16"/>
  <c r="Y239" i="15"/>
  <c r="N83" i="15"/>
  <c r="AB211" i="19"/>
  <c r="AB227" i="19" s="1"/>
  <c r="AB243" i="19" s="1"/>
  <c r="AB308" i="19"/>
  <c r="W97" i="15"/>
  <c r="W223" i="15"/>
  <c r="AF115" i="14"/>
  <c r="AF242" i="14" s="1"/>
  <c r="AF108" i="14"/>
  <c r="AA299" i="10"/>
  <c r="AA39" i="10"/>
  <c r="AA10" i="3" s="1"/>
  <c r="AA38" i="3" s="1"/>
  <c r="AA7" i="3"/>
  <c r="AA35" i="3" s="1"/>
  <c r="H160" i="17"/>
  <c r="H112" i="17"/>
  <c r="H239" i="17" s="1"/>
  <c r="I211" i="16"/>
  <c r="I308" i="16"/>
  <c r="Q93" i="14"/>
  <c r="Q96" i="14"/>
  <c r="Q207" i="14"/>
  <c r="P80" i="14"/>
  <c r="AK138" i="10"/>
  <c r="AM138" i="10" s="1"/>
  <c r="AD306" i="14"/>
  <c r="AD289" i="14"/>
  <c r="AE225" i="20"/>
  <c r="AE223" i="20"/>
  <c r="AE239" i="20" s="1"/>
  <c r="AE222" i="20"/>
  <c r="AE224" i="20"/>
  <c r="AE240" i="20" s="1"/>
  <c r="AE227" i="20"/>
  <c r="AE266" i="20"/>
  <c r="AB112" i="16"/>
  <c r="AB160" i="16"/>
  <c r="AF96" i="11"/>
  <c r="AF238" i="11"/>
  <c r="AF201" i="9"/>
  <c r="Y163" i="20"/>
  <c r="Y179" i="20"/>
  <c r="B211" i="17"/>
  <c r="B308" i="17"/>
  <c r="F112" i="15"/>
  <c r="F160" i="15"/>
  <c r="H180" i="12"/>
  <c r="D227" i="12"/>
  <c r="D243" i="12" s="1"/>
  <c r="E180" i="11"/>
  <c r="E164" i="11" s="1"/>
  <c r="Z179" i="20"/>
  <c r="Z162" i="20"/>
  <c r="F214" i="15"/>
  <c r="F311" i="15"/>
  <c r="I181" i="20"/>
  <c r="AF312" i="9"/>
  <c r="AF311" i="9"/>
  <c r="AF310" i="9"/>
  <c r="AF313" i="9" s="1"/>
  <c r="I307" i="15"/>
  <c r="I210" i="15"/>
  <c r="I97" i="15"/>
  <c r="I223" i="15"/>
  <c r="I239" i="15" s="1"/>
  <c r="O179" i="17"/>
  <c r="M239" i="17"/>
  <c r="C163" i="10"/>
  <c r="C179" i="10"/>
  <c r="C162" i="10"/>
  <c r="F179" i="13"/>
  <c r="AC315" i="11"/>
  <c r="AC314" i="11"/>
  <c r="AC39" i="11"/>
  <c r="AB14" i="19"/>
  <c r="AC6" i="19"/>
  <c r="F307" i="14"/>
  <c r="AB14" i="15"/>
  <c r="AB15" i="15" s="1"/>
  <c r="AB46" i="15" s="1"/>
  <c r="AC6" i="15"/>
  <c r="AM271" i="10"/>
  <c r="Y209" i="12"/>
  <c r="Y306" i="12"/>
  <c r="AB106" i="19"/>
  <c r="AB93" i="19"/>
  <c r="AG192" i="9"/>
  <c r="N81" i="13"/>
  <c r="L98" i="17"/>
  <c r="L224" i="17"/>
  <c r="L240" i="17" s="1"/>
  <c r="AI208" i="10"/>
  <c r="AI224" i="10" s="1"/>
  <c r="H81" i="13"/>
  <c r="H162" i="20"/>
  <c r="U180" i="12"/>
  <c r="O82" i="15"/>
  <c r="K112" i="15"/>
  <c r="K160" i="15"/>
  <c r="AB114" i="20"/>
  <c r="AC210" i="13"/>
  <c r="AC307" i="13"/>
  <c r="P82" i="16"/>
  <c r="AK281" i="10"/>
  <c r="AM281" i="10" s="1"/>
  <c r="F183" i="17"/>
  <c r="U163" i="20"/>
  <c r="Z215" i="19"/>
  <c r="Z312" i="19"/>
  <c r="Y180" i="15"/>
  <c r="E96" i="13"/>
  <c r="F98" i="17"/>
  <c r="F224" i="17"/>
  <c r="AI59" i="10"/>
  <c r="L178" i="20"/>
  <c r="T112" i="17"/>
  <c r="T239" i="17" s="1"/>
  <c r="T160" i="17"/>
  <c r="K81" i="13"/>
  <c r="L97" i="15"/>
  <c r="L223" i="15"/>
  <c r="Q15" i="1"/>
  <c r="F164" i="10"/>
  <c r="F180" i="16"/>
  <c r="AD256" i="20"/>
  <c r="I183" i="17"/>
  <c r="X181" i="17"/>
  <c r="D209" i="15"/>
  <c r="D306" i="15"/>
  <c r="AF328" i="9"/>
  <c r="AF326" i="9"/>
  <c r="AF327" i="9"/>
  <c r="M97" i="13"/>
  <c r="M223" i="13"/>
  <c r="M239" i="13" s="1"/>
  <c r="AA224" i="19"/>
  <c r="AF163" i="14"/>
  <c r="AD180" i="14"/>
  <c r="AD164" i="14" s="1"/>
  <c r="P215" i="14"/>
  <c r="P104" i="14"/>
  <c r="P120" i="14" s="1"/>
  <c r="P247" i="14" s="1"/>
  <c r="O88" i="14"/>
  <c r="O101" i="12"/>
  <c r="O117" i="12" s="1"/>
  <c r="O227" i="12"/>
  <c r="O243" i="12" s="1"/>
  <c r="AF219" i="14"/>
  <c r="AF287" i="14"/>
  <c r="J179" i="11"/>
  <c r="J163" i="11" s="1"/>
  <c r="R181" i="15"/>
  <c r="W96" i="17"/>
  <c r="AD163" i="14"/>
  <c r="M39" i="1"/>
  <c r="M40" i="1" s="1"/>
  <c r="M24" i="1"/>
  <c r="G164" i="19"/>
  <c r="G180" i="19"/>
  <c r="F101" i="15"/>
  <c r="F117" i="15" s="1"/>
  <c r="F227" i="15"/>
  <c r="F243" i="15" s="1"/>
  <c r="L82" i="13"/>
  <c r="U82" i="13"/>
  <c r="AE85" i="20"/>
  <c r="AE101" i="20" s="1"/>
  <c r="AE117" i="20" s="1"/>
  <c r="AB103" i="20"/>
  <c r="AB119" i="20" s="1"/>
  <c r="AD87" i="20"/>
  <c r="AB90" i="20"/>
  <c r="AE87" i="20"/>
  <c r="AE103" i="20" s="1"/>
  <c r="AE119" i="20" s="1"/>
  <c r="K83" i="15"/>
  <c r="D230" i="12"/>
  <c r="D246" i="12" s="1"/>
  <c r="D88" i="12"/>
  <c r="D104" i="12" s="1"/>
  <c r="D120" i="12" s="1"/>
  <c r="G163" i="19"/>
  <c r="AB181" i="10"/>
  <c r="AB164" i="10"/>
  <c r="G209" i="17"/>
  <c r="G306" i="17"/>
  <c r="W112" i="15"/>
  <c r="W160" i="15"/>
  <c r="Y162" i="20"/>
  <c r="K209" i="16"/>
  <c r="K306" i="16"/>
  <c r="AH208" i="10"/>
  <c r="AN81" i="10"/>
  <c r="AM81" i="10"/>
  <c r="AM208" i="10" s="1"/>
  <c r="AM224" i="10" s="1"/>
  <c r="AH91" i="10"/>
  <c r="AH218" i="10" s="1"/>
  <c r="AH234" i="10" s="1"/>
  <c r="X99" i="12"/>
  <c r="U97" i="12"/>
  <c r="K180" i="14"/>
  <c r="B308" i="14"/>
  <c r="C96" i="15"/>
  <c r="J96" i="13"/>
  <c r="P211" i="15"/>
  <c r="P308" i="15"/>
  <c r="F181" i="12"/>
  <c r="BF45" i="8"/>
  <c r="EO44" i="8"/>
  <c r="EO45" i="8" s="1"/>
  <c r="I98" i="16"/>
  <c r="I224" i="16"/>
  <c r="I240" i="16" s="1"/>
  <c r="AD280" i="15"/>
  <c r="AD279" i="15"/>
  <c r="AD282" i="15" s="1"/>
  <c r="AD281" i="15"/>
  <c r="AK72" i="10"/>
  <c r="AA180" i="14"/>
  <c r="AA164" i="14" s="1"/>
  <c r="AM136" i="10"/>
  <c r="AL136" i="10"/>
  <c r="H240" i="15"/>
  <c r="I112" i="16"/>
  <c r="I239" i="16" s="1"/>
  <c r="I160" i="16"/>
  <c r="K293" i="10"/>
  <c r="K297" i="10"/>
  <c r="K290" i="10"/>
  <c r="K294" i="10"/>
  <c r="K298" i="10"/>
  <c r="K287" i="10"/>
  <c r="K291" i="10"/>
  <c r="K288" i="10"/>
  <c r="K292" i="10"/>
  <c r="K295" i="10"/>
  <c r="K289" i="10"/>
  <c r="K296" i="10"/>
  <c r="AG193" i="9"/>
  <c r="AC211" i="15"/>
  <c r="AC308" i="15"/>
  <c r="G306" i="14"/>
  <c r="E292" i="10"/>
  <c r="E296" i="10"/>
  <c r="E289" i="10"/>
  <c r="E293" i="10"/>
  <c r="E297" i="10"/>
  <c r="E290" i="10"/>
  <c r="E287" i="10"/>
  <c r="E288" i="10"/>
  <c r="E291" i="10"/>
  <c r="E295" i="10"/>
  <c r="E294" i="10"/>
  <c r="E298" i="10"/>
  <c r="S113" i="17"/>
  <c r="S161" i="17"/>
  <c r="J210" i="16"/>
  <c r="J307" i="16"/>
  <c r="Y179" i="14"/>
  <c r="AE179" i="13"/>
  <c r="D179" i="17"/>
  <c r="AI139" i="10"/>
  <c r="AL133" i="10"/>
  <c r="AK133" i="10"/>
  <c r="AK139" i="10" s="1"/>
  <c r="C180" i="16"/>
  <c r="G240" i="12"/>
  <c r="N308" i="16"/>
  <c r="N211" i="16"/>
  <c r="AB97" i="13"/>
  <c r="AB223" i="13"/>
  <c r="M182" i="10"/>
  <c r="C113" i="13"/>
  <c r="C161" i="13"/>
  <c r="B84" i="16"/>
  <c r="M263" i="4"/>
  <c r="M234" i="4"/>
  <c r="S147" i="4"/>
  <c r="X308" i="14"/>
  <c r="X292" i="14"/>
  <c r="AC14" i="10"/>
  <c r="AC11" i="1" s="1"/>
  <c r="AD6" i="10"/>
  <c r="AF4" i="10"/>
  <c r="K82" i="12"/>
  <c r="K98" i="12" s="1"/>
  <c r="C209" i="17"/>
  <c r="C306" i="17"/>
  <c r="N181" i="15"/>
  <c r="T162" i="12"/>
  <c r="G100" i="15"/>
  <c r="G116" i="15" s="1"/>
  <c r="G226" i="15"/>
  <c r="G242" i="15" s="1"/>
  <c r="B181" i="19"/>
  <c r="B165" i="19"/>
  <c r="P181" i="19"/>
  <c r="P165" i="19" s="1"/>
  <c r="L311" i="11"/>
  <c r="L313" i="11"/>
  <c r="L302" i="11"/>
  <c r="L304" i="11"/>
  <c r="L306" i="11"/>
  <c r="L310" i="11"/>
  <c r="L309" i="11"/>
  <c r="L305" i="11"/>
  <c r="L307" i="11"/>
  <c r="L308" i="11"/>
  <c r="L303" i="11"/>
  <c r="L312" i="11"/>
  <c r="S112" i="13"/>
  <c r="S160" i="13"/>
  <c r="J182" i="16"/>
  <c r="S310" i="13"/>
  <c r="S213" i="13"/>
  <c r="J180" i="17"/>
  <c r="C308" i="14"/>
  <c r="F180" i="20"/>
  <c r="F164" i="20" s="1"/>
  <c r="F163" i="20"/>
  <c r="T113" i="17"/>
  <c r="T161" i="17"/>
  <c r="AA18" i="14"/>
  <c r="AA15" i="14"/>
  <c r="N96" i="17"/>
  <c r="P180" i="11"/>
  <c r="P164" i="11"/>
  <c r="P163" i="11"/>
  <c r="AF82" i="11"/>
  <c r="AF98" i="11" s="1"/>
  <c r="V113" i="12"/>
  <c r="V161" i="12"/>
  <c r="O181" i="19"/>
  <c r="O164" i="19"/>
  <c r="Z83" i="16"/>
  <c r="Y97" i="12"/>
  <c r="Y223" i="12"/>
  <c r="AD182" i="15"/>
  <c r="Y213" i="15"/>
  <c r="Y310" i="15"/>
  <c r="AM128" i="10"/>
  <c r="B83" i="17"/>
  <c r="Z81" i="17"/>
  <c r="J181" i="13"/>
  <c r="V166" i="19"/>
  <c r="G82" i="13"/>
  <c r="V96" i="16"/>
  <c r="U179" i="14"/>
  <c r="C209" i="16"/>
  <c r="C306" i="16"/>
  <c r="I98" i="17"/>
  <c r="I224" i="17"/>
  <c r="Y96" i="16"/>
  <c r="AH282" i="14"/>
  <c r="AA180" i="10"/>
  <c r="AA164" i="10" s="1"/>
  <c r="L161" i="12"/>
  <c r="L113" i="12"/>
  <c r="Q97" i="12"/>
  <c r="Q223" i="12"/>
  <c r="J97" i="16"/>
  <c r="J223" i="16"/>
  <c r="J239" i="16" s="1"/>
  <c r="AH18" i="14"/>
  <c r="B178" i="11"/>
  <c r="AE162" i="10"/>
  <c r="AC180" i="14"/>
  <c r="AC164" i="14"/>
  <c r="L209" i="12"/>
  <c r="L306" i="12"/>
  <c r="C180" i="12"/>
  <c r="L224" i="12"/>
  <c r="L240" i="12" s="1"/>
  <c r="L82" i="12"/>
  <c r="L98" i="12" s="1"/>
  <c r="D180" i="14"/>
  <c r="R97" i="17"/>
  <c r="R223" i="17"/>
  <c r="R239" i="17" s="1"/>
  <c r="AC299" i="10"/>
  <c r="AC39" i="10"/>
  <c r="AC7" i="3"/>
  <c r="AC35" i="3" s="1"/>
  <c r="AC115" i="20"/>
  <c r="AC241" i="20"/>
  <c r="AC257" i="20" s="1"/>
  <c r="AE83" i="20"/>
  <c r="AE99" i="20" s="1"/>
  <c r="AA39" i="1"/>
  <c r="AA40" i="1" s="1"/>
  <c r="AA24" i="1"/>
  <c r="AL266" i="10"/>
  <c r="H308" i="17"/>
  <c r="H211" i="17"/>
  <c r="G15" i="10"/>
  <c r="G18" i="10"/>
  <c r="L180" i="12"/>
  <c r="AL139" i="10"/>
  <c r="D97" i="12"/>
  <c r="D223" i="12"/>
  <c r="J81" i="13"/>
  <c r="D163" i="20"/>
  <c r="D179" i="20"/>
  <c r="AJ139" i="10"/>
  <c r="AD181" i="20"/>
  <c r="AD165" i="20" s="1"/>
  <c r="AD164" i="20"/>
  <c r="K350" i="4"/>
  <c r="S263" i="4"/>
  <c r="L211" i="17"/>
  <c r="L308" i="17"/>
  <c r="Y178" i="11"/>
  <c r="F81" i="16"/>
  <c r="AL135" i="10"/>
  <c r="AM135" i="10"/>
  <c r="U82" i="17"/>
  <c r="R83" i="17"/>
  <c r="V306" i="14"/>
  <c r="V290" i="14" s="1"/>
  <c r="Y161" i="11"/>
  <c r="E164" i="15"/>
  <c r="E180" i="15"/>
  <c r="E163" i="15"/>
  <c r="AG319" i="9"/>
  <c r="AK135" i="10"/>
  <c r="AD6" i="3"/>
  <c r="AD12" i="3" s="1"/>
  <c r="AD33" i="3"/>
  <c r="AD34" i="3" s="1"/>
  <c r="AD40" i="3" s="1"/>
  <c r="P84" i="12"/>
  <c r="P100" i="12" s="1"/>
  <c r="P226" i="12"/>
  <c r="M211" i="16"/>
  <c r="M308" i="16"/>
  <c r="AD23" i="15"/>
  <c r="AD25" i="15" s="1"/>
  <c r="AD28" i="15" s="1"/>
  <c r="AD26" i="15" s="1"/>
  <c r="AD251" i="15"/>
  <c r="AE124" i="15"/>
  <c r="H98" i="17"/>
  <c r="H224" i="17"/>
  <c r="H240" i="17" s="1"/>
  <c r="J209" i="15"/>
  <c r="J306" i="15"/>
  <c r="AG327" i="9"/>
  <c r="S180" i="17"/>
  <c r="N83" i="16"/>
  <c r="X100" i="16"/>
  <c r="X116" i="16" s="1"/>
  <c r="X226" i="16"/>
  <c r="X242" i="16" s="1"/>
  <c r="P182" i="12"/>
  <c r="K209" i="17"/>
  <c r="K306" i="17"/>
  <c r="T112" i="13"/>
  <c r="T239" i="13" s="1"/>
  <c r="T160" i="13"/>
  <c r="X210" i="15"/>
  <c r="X307" i="15"/>
  <c r="F8" i="1"/>
  <c r="F13" i="1" s="1"/>
  <c r="F39" i="1"/>
  <c r="F40" i="1" s="1"/>
  <c r="AA163" i="10"/>
  <c r="Q179" i="15"/>
  <c r="I112" i="15"/>
  <c r="I160" i="15"/>
  <c r="M179" i="20"/>
  <c r="M163" i="20" s="1"/>
  <c r="I180" i="13"/>
  <c r="J81" i="15"/>
  <c r="AM64" i="10"/>
  <c r="Q165" i="19"/>
  <c r="Q181" i="19"/>
  <c r="AI213" i="10"/>
  <c r="AI229" i="10" s="1"/>
  <c r="AK86" i="10"/>
  <c r="AL86" i="10"/>
  <c r="AL213" i="10" s="1"/>
  <c r="AL229" i="10" s="1"/>
  <c r="T96" i="15"/>
  <c r="P99" i="14"/>
  <c r="P115" i="14" s="1"/>
  <c r="P242" i="14" s="1"/>
  <c r="O83" i="14"/>
  <c r="P210" i="14"/>
  <c r="P290" i="14" s="1"/>
  <c r="AH163" i="14"/>
  <c r="AG325" i="9"/>
  <c r="D179" i="12"/>
  <c r="H83" i="12"/>
  <c r="H99" i="12" s="1"/>
  <c r="H225" i="12"/>
  <c r="AF290" i="14"/>
  <c r="AB179" i="16"/>
  <c r="AB162" i="16"/>
  <c r="AI155" i="10"/>
  <c r="L223" i="12"/>
  <c r="D180" i="10"/>
  <c r="D163" i="10"/>
  <c r="AD96" i="20"/>
  <c r="AD223" i="20"/>
  <c r="AD239" i="20" s="1"/>
  <c r="K81" i="17"/>
  <c r="S211" i="15"/>
  <c r="S308" i="15"/>
  <c r="O164" i="20"/>
  <c r="O180" i="20"/>
  <c r="O163" i="20"/>
  <c r="H81" i="16"/>
  <c r="AM207" i="10"/>
  <c r="AE179" i="12"/>
  <c r="AH209" i="10"/>
  <c r="AH225" i="10" s="1"/>
  <c r="AH21" i="10"/>
  <c r="AH23" i="10" s="1"/>
  <c r="N84" i="12"/>
  <c r="N100" i="12" s="1"/>
  <c r="N116" i="12" s="1"/>
  <c r="N226" i="12"/>
  <c r="N242" i="12" s="1"/>
  <c r="B179" i="10"/>
  <c r="B162" i="10"/>
  <c r="AC210" i="16"/>
  <c r="AC307" i="16"/>
  <c r="C81" i="17"/>
  <c r="E182" i="12"/>
  <c r="AA81" i="16"/>
  <c r="X180" i="16"/>
  <c r="C165" i="11"/>
  <c r="C181" i="11"/>
  <c r="C164" i="11"/>
  <c r="AM65" i="10"/>
  <c r="AM75" i="10" s="1"/>
  <c r="R163" i="14"/>
  <c r="R179" i="14"/>
  <c r="R162" i="14"/>
  <c r="AK278" i="10"/>
  <c r="AM278" i="10" s="1"/>
  <c r="S85" i="13"/>
  <c r="M181" i="16"/>
  <c r="G180" i="16"/>
  <c r="G163" i="12"/>
  <c r="G179" i="12"/>
  <c r="G162" i="12"/>
  <c r="J113" i="17"/>
  <c r="J161" i="17"/>
  <c r="H181" i="15"/>
  <c r="H165" i="15"/>
  <c r="G8" i="1"/>
  <c r="G13" i="1" s="1"/>
  <c r="G39" i="1"/>
  <c r="G40" i="1" s="1"/>
  <c r="AG194" i="9"/>
  <c r="B81" i="12"/>
  <c r="B223" i="12"/>
  <c r="B239" i="12" s="1"/>
  <c r="L97" i="13"/>
  <c r="L223" i="13"/>
  <c r="AB179" i="20"/>
  <c r="AB163" i="20"/>
  <c r="AA182" i="15"/>
  <c r="Y98" i="15"/>
  <c r="Y224" i="15"/>
  <c r="R112" i="16"/>
  <c r="R160" i="16"/>
  <c r="G96" i="17"/>
  <c r="M46" i="14"/>
  <c r="F178" i="11"/>
  <c r="AA100" i="13"/>
  <c r="AA116" i="13" s="1"/>
  <c r="AA226" i="13"/>
  <c r="AA242" i="13" s="1"/>
  <c r="D180" i="16"/>
  <c r="S180" i="12"/>
  <c r="S210" i="17"/>
  <c r="S307" i="17"/>
  <c r="I180" i="10"/>
  <c r="M292" i="4"/>
  <c r="S176" i="4"/>
  <c r="I101" i="12"/>
  <c r="I117" i="12" s="1"/>
  <c r="I227" i="12"/>
  <c r="I243" i="12" s="1"/>
  <c r="T25" i="14"/>
  <c r="T28" i="14" s="1"/>
  <c r="T26" i="14" s="1"/>
  <c r="J180" i="10"/>
  <c r="J164" i="10" s="1"/>
  <c r="P213" i="17"/>
  <c r="P310" i="17"/>
  <c r="P8" i="1"/>
  <c r="P13" i="1" s="1"/>
  <c r="P39" i="1"/>
  <c r="P40" i="1" s="1"/>
  <c r="T180" i="20"/>
  <c r="T164" i="20"/>
  <c r="AF97" i="11"/>
  <c r="AF239" i="11"/>
  <c r="AD211" i="13"/>
  <c r="AD308" i="13"/>
  <c r="AD114" i="20"/>
  <c r="AD257" i="20" s="1"/>
  <c r="AD162" i="20"/>
  <c r="Z262" i="20"/>
  <c r="F211" i="17"/>
  <c r="F308" i="17"/>
  <c r="E180" i="10"/>
  <c r="E164" i="10" s="1"/>
  <c r="T181" i="16"/>
  <c r="G160" i="13"/>
  <c r="G112" i="13"/>
  <c r="W98" i="15"/>
  <c r="W224" i="15"/>
  <c r="G211" i="12"/>
  <c r="G308" i="12"/>
  <c r="AJ155" i="10"/>
  <c r="AM72" i="10"/>
  <c r="Z46" i="14"/>
  <c r="R240" i="12"/>
  <c r="P112" i="17"/>
  <c r="P160" i="17"/>
  <c r="AD282" i="17"/>
  <c r="M162" i="20"/>
  <c r="Q164" i="19"/>
  <c r="AK55" i="10"/>
  <c r="AM55" i="10" s="1"/>
  <c r="L183" i="13"/>
  <c r="I163" i="11"/>
  <c r="I179" i="11"/>
  <c r="I162" i="11"/>
  <c r="AG320" i="9"/>
  <c r="Z180" i="15"/>
  <c r="AJ59" i="10"/>
  <c r="AA111" i="20"/>
  <c r="AA107" i="20"/>
  <c r="AA159" i="20"/>
  <c r="Y209" i="16"/>
  <c r="Y306" i="16"/>
  <c r="V180" i="16"/>
  <c r="AA162" i="20"/>
  <c r="AA178" i="20"/>
  <c r="Z92" i="20"/>
  <c r="U97" i="13"/>
  <c r="U223" i="13"/>
  <c r="U239" i="13" s="1"/>
  <c r="C92" i="20"/>
  <c r="C15" i="20"/>
  <c r="D225" i="12"/>
  <c r="D241" i="12" s="1"/>
  <c r="E180" i="20"/>
  <c r="H289" i="10"/>
  <c r="H297" i="10"/>
  <c r="H290" i="10"/>
  <c r="H298" i="10"/>
  <c r="H287" i="10"/>
  <c r="H288" i="10"/>
  <c r="H293" i="10"/>
  <c r="H291" i="10"/>
  <c r="H292" i="10"/>
  <c r="H296" i="10"/>
  <c r="H295" i="10"/>
  <c r="H294" i="10"/>
  <c r="J180" i="12"/>
  <c r="AE89" i="20"/>
  <c r="AE105" i="20" s="1"/>
  <c r="AE121" i="20" s="1"/>
  <c r="S83" i="15"/>
  <c r="Z210" i="15"/>
  <c r="Z307" i="15"/>
  <c r="X180" i="12"/>
  <c r="R178" i="11"/>
  <c r="R162" i="11"/>
  <c r="B223" i="17"/>
  <c r="B80" i="17"/>
  <c r="Z118" i="20"/>
  <c r="Z261" i="20" s="1"/>
  <c r="Z107" i="20"/>
  <c r="Z23" i="20" s="1"/>
  <c r="Z25" i="20" s="1"/>
  <c r="Z28" i="20" s="1"/>
  <c r="Z26" i="20" s="1"/>
  <c r="Z172" i="20" s="1"/>
  <c r="B180" i="12"/>
  <c r="T306" i="16"/>
  <c r="T209" i="16"/>
  <c r="Y180" i="17"/>
  <c r="B161" i="11"/>
  <c r="Z306" i="14"/>
  <c r="W180" i="17"/>
  <c r="AA179" i="17"/>
  <c r="Q180" i="17"/>
  <c r="G306" i="16"/>
  <c r="G209" i="16"/>
  <c r="AB112" i="13"/>
  <c r="AB160" i="13"/>
  <c r="AC82" i="16"/>
  <c r="L82" i="15"/>
  <c r="V98" i="12"/>
  <c r="V224" i="12"/>
  <c r="V240" i="12" s="1"/>
  <c r="AM276" i="10"/>
  <c r="AK276" i="10"/>
  <c r="L166" i="11"/>
  <c r="L182" i="11"/>
  <c r="L165" i="11"/>
  <c r="Z289" i="14"/>
  <c r="D81" i="13"/>
  <c r="J181" i="15"/>
  <c r="AL276" i="10"/>
  <c r="AE108" i="10"/>
  <c r="AE23" i="10" s="1"/>
  <c r="AE25" i="10" s="1"/>
  <c r="AE28" i="10" s="1"/>
  <c r="AE26" i="10" s="1"/>
  <c r="AE160" i="10"/>
  <c r="AM9" i="10"/>
  <c r="AM11" i="10" s="1"/>
  <c r="AM16" i="10" s="1"/>
  <c r="AF291" i="14"/>
  <c r="D81" i="15"/>
  <c r="AC8" i="1"/>
  <c r="AC13" i="1" s="1"/>
  <c r="AC39" i="1"/>
  <c r="AC40" i="1" s="1"/>
  <c r="AD180" i="17"/>
  <c r="AD323" i="11"/>
  <c r="F161" i="11"/>
  <c r="AM274" i="10"/>
  <c r="AM182" i="10"/>
  <c r="X98" i="12"/>
  <c r="T181" i="14"/>
  <c r="T165" i="14" s="1"/>
  <c r="V295" i="10"/>
  <c r="V292" i="10"/>
  <c r="V296" i="10"/>
  <c r="V293" i="10"/>
  <c r="V288" i="10"/>
  <c r="V290" i="10"/>
  <c r="V291" i="10"/>
  <c r="V294" i="10"/>
  <c r="V287" i="10"/>
  <c r="V298" i="10"/>
  <c r="V289" i="10"/>
  <c r="V297" i="10"/>
  <c r="AF200" i="9"/>
  <c r="AA114" i="19"/>
  <c r="AA162" i="19"/>
  <c r="AC182" i="17"/>
  <c r="S180" i="15"/>
  <c r="Z14" i="12"/>
  <c r="AA6" i="12"/>
  <c r="AB4" i="12"/>
  <c r="AB181" i="17"/>
  <c r="AB164" i="17"/>
  <c r="AC179" i="16"/>
  <c r="P83" i="15"/>
  <c r="AL137" i="10"/>
  <c r="AM137" i="10"/>
  <c r="F18" i="10"/>
  <c r="F15" i="10"/>
  <c r="O180" i="15"/>
  <c r="O183" i="16"/>
  <c r="W212" i="12"/>
  <c r="W309" i="12"/>
  <c r="L180" i="17"/>
  <c r="W163" i="12"/>
  <c r="W179" i="12"/>
  <c r="Q97" i="17"/>
  <c r="Q223" i="17"/>
  <c r="AL81" i="10"/>
  <c r="AH180" i="14"/>
  <c r="AH164" i="14" s="1"/>
  <c r="H210" i="12"/>
  <c r="H307" i="12"/>
  <c r="AH101" i="14"/>
  <c r="AH117" i="14" s="1"/>
  <c r="AH244" i="14" s="1"/>
  <c r="AH212" i="14"/>
  <c r="M83" i="16"/>
  <c r="E163" i="10"/>
  <c r="R180" i="17"/>
  <c r="AB239" i="17"/>
  <c r="AF75" i="14"/>
  <c r="AB180" i="14"/>
  <c r="AB164" i="14" s="1"/>
  <c r="X96" i="13"/>
  <c r="H209" i="16"/>
  <c r="H306" i="16"/>
  <c r="D209" i="16"/>
  <c r="D306" i="16"/>
  <c r="AA113" i="19"/>
  <c r="AA161" i="19"/>
  <c r="J288" i="19"/>
  <c r="J295" i="19"/>
  <c r="J291" i="19"/>
  <c r="J294" i="19"/>
  <c r="J293" i="19"/>
  <c r="J292" i="19"/>
  <c r="J297" i="19"/>
  <c r="J287" i="19"/>
  <c r="J289" i="19"/>
  <c r="J296" i="19"/>
  <c r="J298" i="19"/>
  <c r="J290" i="19"/>
  <c r="G84" i="12"/>
  <c r="G100" i="12" s="1"/>
  <c r="G116" i="12" s="1"/>
  <c r="M182" i="17"/>
  <c r="C210" i="13"/>
  <c r="C307" i="13"/>
  <c r="AF289" i="14"/>
  <c r="R114" i="12"/>
  <c r="R162" i="12"/>
  <c r="R181" i="10"/>
  <c r="K209" i="12"/>
  <c r="K306" i="12"/>
  <c r="Z25" i="10"/>
  <c r="Z28" i="10" s="1"/>
  <c r="Z26" i="10" s="1"/>
  <c r="AA107" i="19"/>
  <c r="AA123" i="19" s="1"/>
  <c r="AA93" i="19"/>
  <c r="Y210" i="13"/>
  <c r="Y307" i="13"/>
  <c r="P101" i="14"/>
  <c r="P117" i="14" s="1"/>
  <c r="P244" i="14" s="1"/>
  <c r="O85" i="14"/>
  <c r="P212" i="14"/>
  <c r="AA213" i="13"/>
  <c r="AA310" i="13"/>
  <c r="AM265" i="10"/>
  <c r="AG328" i="9"/>
  <c r="I15" i="1"/>
  <c r="AB181" i="13"/>
  <c r="R118" i="4"/>
  <c r="N118" i="4"/>
  <c r="AE183" i="15"/>
  <c r="AA161" i="20"/>
  <c r="AB36" i="1"/>
  <c r="J163" i="12"/>
  <c r="Z82" i="15"/>
  <c r="Q97" i="16"/>
  <c r="Q223" i="16"/>
  <c r="K306" i="13"/>
  <c r="K209" i="13"/>
  <c r="M179" i="19"/>
  <c r="K307" i="14"/>
  <c r="B179" i="20"/>
  <c r="P115" i="12"/>
  <c r="P163" i="12"/>
  <c r="AC179" i="19"/>
  <c r="AE211" i="15"/>
  <c r="AE308" i="15"/>
  <c r="J112" i="16"/>
  <c r="J160" i="16"/>
  <c r="V180" i="10"/>
  <c r="V306" i="15"/>
  <c r="V209" i="15"/>
  <c r="AF179" i="11"/>
  <c r="Q112" i="17"/>
  <c r="Q160" i="17"/>
  <c r="X82" i="15"/>
  <c r="AC113" i="19"/>
  <c r="AC161" i="19"/>
  <c r="AL87" i="10"/>
  <c r="AL214" i="10" s="1"/>
  <c r="AL230" i="10" s="1"/>
  <c r="Y39" i="1"/>
  <c r="Y40" i="1" s="1"/>
  <c r="Y24" i="1"/>
  <c r="Y179" i="10"/>
  <c r="Y163" i="10" s="1"/>
  <c r="X114" i="16"/>
  <c r="X241" i="16" s="1"/>
  <c r="X162" i="16"/>
  <c r="O180" i="13"/>
  <c r="AF79" i="20"/>
  <c r="AA209" i="17"/>
  <c r="AA306" i="17"/>
  <c r="AE88" i="20"/>
  <c r="AE104" i="20" s="1"/>
  <c r="AE120" i="20" s="1"/>
  <c r="AD88" i="20"/>
  <c r="AB104" i="20"/>
  <c r="AB120" i="20" s="1"/>
  <c r="T98" i="17"/>
  <c r="T224" i="17"/>
  <c r="AK18" i="10"/>
  <c r="AF139" i="9"/>
  <c r="AF25" i="9"/>
  <c r="AF28" i="9" s="1"/>
  <c r="AF26" i="9" s="1"/>
  <c r="AC112" i="13"/>
  <c r="AC160" i="13"/>
  <c r="P163" i="10"/>
  <c r="P179" i="10"/>
  <c r="AE180" i="14"/>
  <c r="AE164" i="14" s="1"/>
  <c r="W85" i="12"/>
  <c r="W227" i="12"/>
  <c r="F209" i="16"/>
  <c r="F306" i="16"/>
  <c r="F36" i="1"/>
  <c r="Y99" i="15"/>
  <c r="Y82" i="13"/>
  <c r="AF216" i="10"/>
  <c r="AF232" i="10" s="1"/>
  <c r="AF248" i="10" s="1"/>
  <c r="AF105" i="10"/>
  <c r="AF108" i="10" s="1"/>
  <c r="AF23" i="10" s="1"/>
  <c r="AF25" i="10" s="1"/>
  <c r="AF28" i="10" s="1"/>
  <c r="AF26" i="10" s="1"/>
  <c r="AF234" i="10"/>
  <c r="AF250" i="10" s="1"/>
  <c r="I96" i="13"/>
  <c r="AA85" i="13"/>
  <c r="J82" i="16"/>
  <c r="E81" i="13"/>
  <c r="F210" i="13"/>
  <c r="F307" i="13"/>
  <c r="AB223" i="19"/>
  <c r="AB239" i="19" s="1"/>
  <c r="S96" i="17"/>
  <c r="C179" i="17"/>
  <c r="B182" i="15"/>
  <c r="AC90" i="20"/>
  <c r="AC92" i="20"/>
  <c r="S179" i="13"/>
  <c r="D209" i="17"/>
  <c r="D306" i="17"/>
  <c r="U210" i="13"/>
  <c r="U307" i="13"/>
  <c r="R81" i="16"/>
  <c r="Z162" i="11"/>
  <c r="Z178" i="11"/>
  <c r="AD315" i="11"/>
  <c r="AD314" i="11"/>
  <c r="AD39" i="11"/>
  <c r="AD10" i="3" s="1"/>
  <c r="AD38" i="3" s="1"/>
  <c r="AD7" i="3"/>
  <c r="AD35" i="3" s="1"/>
  <c r="AJ179" i="10"/>
  <c r="N313" i="11"/>
  <c r="N302" i="11"/>
  <c r="N304" i="11"/>
  <c r="N306" i="11"/>
  <c r="N308" i="11"/>
  <c r="N312" i="11"/>
  <c r="N309" i="11"/>
  <c r="N310" i="11"/>
  <c r="N305" i="11"/>
  <c r="N311" i="11"/>
  <c r="N303" i="11"/>
  <c r="N307" i="11"/>
  <c r="AB86" i="17"/>
  <c r="AG289" i="14"/>
  <c r="W295" i="10"/>
  <c r="W288" i="10"/>
  <c r="W292" i="10"/>
  <c r="W296" i="10"/>
  <c r="W289" i="10"/>
  <c r="W293" i="10"/>
  <c r="W290" i="10"/>
  <c r="W291" i="10"/>
  <c r="W294" i="10"/>
  <c r="W298" i="10"/>
  <c r="W287" i="10"/>
  <c r="W297" i="10"/>
  <c r="Y180" i="16"/>
  <c r="C81" i="16"/>
  <c r="U182" i="10"/>
  <c r="AE95" i="20"/>
  <c r="AC162" i="19"/>
  <c r="B162" i="20"/>
  <c r="T113" i="12"/>
  <c r="T161" i="12"/>
  <c r="B223" i="15"/>
  <c r="AB101" i="17"/>
  <c r="AB117" i="17" s="1"/>
  <c r="AB227" i="17"/>
  <c r="AB243" i="17" s="1"/>
  <c r="C209" i="15"/>
  <c r="C306" i="15"/>
  <c r="D292" i="10"/>
  <c r="D289" i="10"/>
  <c r="D293" i="10"/>
  <c r="D290" i="10"/>
  <c r="D287" i="10"/>
  <c r="D288" i="10"/>
  <c r="D297" i="10"/>
  <c r="D291" i="10"/>
  <c r="D295" i="10"/>
  <c r="D294" i="10"/>
  <c r="D296" i="10"/>
  <c r="D298" i="10"/>
  <c r="F180" i="14"/>
  <c r="AC242" i="20"/>
  <c r="AC258" i="20" s="1"/>
  <c r="AC116" i="20"/>
  <c r="G296" i="10"/>
  <c r="G289" i="10"/>
  <c r="G293" i="10"/>
  <c r="G297" i="10"/>
  <c r="G290" i="10"/>
  <c r="G294" i="10"/>
  <c r="G287" i="10"/>
  <c r="G291" i="10"/>
  <c r="G295" i="10"/>
  <c r="G298" i="10"/>
  <c r="G292" i="10"/>
  <c r="G288" i="10"/>
  <c r="Y100" i="15"/>
  <c r="Y116" i="15" s="1"/>
  <c r="P239" i="17"/>
  <c r="AD9" i="15"/>
  <c r="AD11" i="15" s="1"/>
  <c r="AD16" i="15" s="1"/>
  <c r="AD4" i="15"/>
  <c r="AC14" i="15" s="1"/>
  <c r="G81" i="17"/>
  <c r="M180" i="14"/>
  <c r="M98" i="16"/>
  <c r="M224" i="16"/>
  <c r="M240" i="16" s="1"/>
  <c r="X82" i="13"/>
  <c r="X180" i="10"/>
  <c r="X164" i="10" s="1"/>
  <c r="AG182" i="10"/>
  <c r="P85" i="17"/>
  <c r="N112" i="15"/>
  <c r="N160" i="15"/>
  <c r="T96" i="16"/>
  <c r="Q102" i="14"/>
  <c r="Q118" i="14" s="1"/>
  <c r="Q245" i="14" s="1"/>
  <c r="Q213" i="14"/>
  <c r="P86" i="14"/>
  <c r="AH112" i="14"/>
  <c r="AH239" i="14" s="1"/>
  <c r="AH160" i="14"/>
  <c r="K181" i="17"/>
  <c r="EP45" i="7"/>
  <c r="Z35" i="10"/>
  <c r="Z41" i="10" s="1"/>
  <c r="Z36" i="10" s="1"/>
  <c r="U96" i="15"/>
  <c r="AC179" i="15"/>
  <c r="B82" i="15"/>
  <c r="B246" i="19"/>
  <c r="AF288" i="14"/>
  <c r="X182" i="19"/>
  <c r="X166" i="19" s="1"/>
  <c r="P84" i="13"/>
  <c r="Y308" i="14"/>
  <c r="Y292" i="14"/>
  <c r="P179" i="14"/>
  <c r="C179" i="14"/>
  <c r="Z246" i="19"/>
  <c r="D96" i="15"/>
  <c r="K39" i="1"/>
  <c r="K40" i="1" s="1"/>
  <c r="K24" i="1"/>
  <c r="AB112" i="20"/>
  <c r="AB255" i="20" s="1"/>
  <c r="AB160" i="20"/>
  <c r="X112" i="16"/>
  <c r="X239" i="16" s="1"/>
  <c r="X160" i="16"/>
  <c r="AD89" i="20"/>
  <c r="M112" i="16"/>
  <c r="M160" i="16"/>
  <c r="B212" i="16"/>
  <c r="B309" i="16"/>
  <c r="X112" i="17"/>
  <c r="X160" i="17"/>
  <c r="AK262" i="10"/>
  <c r="AM262" i="10" s="1"/>
  <c r="Y112" i="13"/>
  <c r="Y160" i="13"/>
  <c r="W178" i="11"/>
  <c r="W162" i="11" s="1"/>
  <c r="M210" i="12"/>
  <c r="M307" i="12"/>
  <c r="S294" i="19"/>
  <c r="S290" i="19"/>
  <c r="S297" i="19"/>
  <c r="S298" i="19"/>
  <c r="S289" i="19"/>
  <c r="S288" i="19"/>
  <c r="S291" i="19"/>
  <c r="S287" i="19"/>
  <c r="S295" i="19"/>
  <c r="S292" i="19"/>
  <c r="S293" i="19"/>
  <c r="S296" i="19"/>
  <c r="W99" i="15"/>
  <c r="W115" i="15" s="1"/>
  <c r="AD179" i="16"/>
  <c r="AG266" i="14"/>
  <c r="X18" i="14"/>
  <c r="X15" i="14"/>
  <c r="X288" i="10"/>
  <c r="X296" i="10"/>
  <c r="X289" i="10"/>
  <c r="X297" i="10"/>
  <c r="X293" i="10"/>
  <c r="X291" i="10"/>
  <c r="X292" i="10"/>
  <c r="X294" i="10"/>
  <c r="X298" i="10"/>
  <c r="X295" i="10"/>
  <c r="X287" i="10"/>
  <c r="X290" i="10"/>
  <c r="N181" i="10"/>
  <c r="O103" i="14"/>
  <c r="O119" i="14" s="1"/>
  <c r="O246" i="14" s="1"/>
  <c r="O214" i="14"/>
  <c r="N87" i="14"/>
  <c r="Z179" i="17"/>
  <c r="N180" i="13"/>
  <c r="AC224" i="19"/>
  <c r="AC240" i="19" s="1"/>
  <c r="B112" i="20"/>
  <c r="B255" i="20" s="1"/>
  <c r="B107" i="20"/>
  <c r="B23" i="20" s="1"/>
  <c r="B25" i="20" s="1"/>
  <c r="B28" i="20" s="1"/>
  <c r="B26" i="20" s="1"/>
  <c r="B160" i="20"/>
  <c r="H86" i="15"/>
  <c r="W240" i="16"/>
  <c r="L297" i="10"/>
  <c r="L294" i="10"/>
  <c r="L298" i="10"/>
  <c r="L287" i="10"/>
  <c r="L295" i="10"/>
  <c r="L288" i="10"/>
  <c r="L291" i="10"/>
  <c r="L289" i="10"/>
  <c r="L292" i="10"/>
  <c r="L290" i="10"/>
  <c r="L296" i="10"/>
  <c r="L293" i="10"/>
  <c r="D96" i="17"/>
  <c r="AC245" i="20"/>
  <c r="AC261" i="20" s="1"/>
  <c r="AC119" i="20"/>
  <c r="N96" i="16"/>
  <c r="Y179" i="13"/>
  <c r="H112" i="16"/>
  <c r="H160" i="16"/>
  <c r="O213" i="16"/>
  <c r="O310" i="16"/>
  <c r="U112" i="13"/>
  <c r="U160" i="13"/>
  <c r="AH113" i="14"/>
  <c r="AH240" i="14" s="1"/>
  <c r="AH161" i="14"/>
  <c r="Q181" i="16"/>
  <c r="V180" i="15"/>
  <c r="AC15" i="15"/>
  <c r="AC46" i="15" s="1"/>
  <c r="W96" i="13"/>
  <c r="U182" i="16"/>
  <c r="V225" i="12"/>
  <c r="V83" i="12"/>
  <c r="P181" i="20"/>
  <c r="N209" i="17"/>
  <c r="N306" i="17"/>
  <c r="AB225" i="20"/>
  <c r="AB241" i="20" s="1"/>
  <c r="AB322" i="20"/>
  <c r="K81" i="16"/>
  <c r="AG113" i="14"/>
  <c r="AG240" i="14" s="1"/>
  <c r="AG161" i="14"/>
  <c r="AG108" i="14"/>
  <c r="AM132" i="10"/>
  <c r="AL150" i="10"/>
  <c r="AL155" i="10" s="1"/>
  <c r="W82" i="17"/>
  <c r="P100" i="17"/>
  <c r="P116" i="17" s="1"/>
  <c r="P226" i="17"/>
  <c r="P242" i="17" s="1"/>
  <c r="BY5" i="11"/>
  <c r="AF4" i="11"/>
  <c r="AE14" i="11" s="1"/>
  <c r="M297" i="10"/>
  <c r="M290" i="10"/>
  <c r="M294" i="10"/>
  <c r="M298" i="10"/>
  <c r="M287" i="10"/>
  <c r="M291" i="10"/>
  <c r="M295" i="10"/>
  <c r="M289" i="10"/>
  <c r="M293" i="10"/>
  <c r="M296" i="10"/>
  <c r="M292" i="10"/>
  <c r="M288" i="10"/>
  <c r="R163" i="20"/>
  <c r="R179" i="20"/>
  <c r="Q209" i="13"/>
  <c r="Q306" i="13"/>
  <c r="X163" i="20"/>
  <c r="X179" i="20"/>
  <c r="H112" i="15"/>
  <c r="H239" i="15" s="1"/>
  <c r="H160" i="15"/>
  <c r="W161" i="11"/>
  <c r="Y210" i="17"/>
  <c r="Y307" i="17"/>
  <c r="I306" i="14"/>
  <c r="G179" i="13"/>
  <c r="M83" i="12"/>
  <c r="M99" i="12" s="1"/>
  <c r="C82" i="12"/>
  <c r="C98" i="12" s="1"/>
  <c r="N114" i="15"/>
  <c r="N162" i="15"/>
  <c r="X39" i="1"/>
  <c r="X40" i="1" s="1"/>
  <c r="X24" i="1"/>
  <c r="N164" i="10"/>
  <c r="B210" i="13"/>
  <c r="B307" i="13"/>
  <c r="AK280" i="10"/>
  <c r="AK282" i="10" s="1"/>
  <c r="T240" i="12"/>
  <c r="B92" i="20"/>
  <c r="B15" i="20"/>
  <c r="O15" i="1"/>
  <c r="H214" i="15"/>
  <c r="H311" i="15"/>
  <c r="F239" i="15"/>
  <c r="V209" i="13"/>
  <c r="V306" i="13"/>
  <c r="X179" i="14"/>
  <c r="X163" i="14"/>
  <c r="W114" i="16"/>
  <c r="W162" i="16"/>
  <c r="Z239" i="16"/>
  <c r="AB112" i="17"/>
  <c r="AB160" i="17"/>
  <c r="K114" i="15"/>
  <c r="K162" i="15"/>
  <c r="F115" i="12"/>
  <c r="F163" i="12"/>
  <c r="G81" i="16"/>
  <c r="AB210" i="15"/>
  <c r="AB307" i="15"/>
  <c r="F308" i="12"/>
  <c r="F211" i="12"/>
  <c r="T182" i="13"/>
  <c r="M181" i="11"/>
  <c r="M165" i="11" s="1"/>
  <c r="C180" i="13"/>
  <c r="AC118" i="20"/>
  <c r="AC244" i="20"/>
  <c r="AC260" i="20" s="1"/>
  <c r="Z211" i="16"/>
  <c r="Z308" i="16"/>
  <c r="O85" i="16"/>
  <c r="R164" i="19"/>
  <c r="R180" i="19"/>
  <c r="Z210" i="13"/>
  <c r="Z307" i="13"/>
  <c r="S209" i="12"/>
  <c r="S306" i="12"/>
  <c r="L163" i="19"/>
  <c r="L179" i="19"/>
  <c r="W99" i="16"/>
  <c r="W225" i="16"/>
  <c r="R211" i="12"/>
  <c r="R308" i="12"/>
  <c r="AE86" i="20"/>
  <c r="AE102" i="20" s="1"/>
  <c r="AE118" i="20" s="1"/>
  <c r="AG180" i="14"/>
  <c r="AG164" i="14"/>
  <c r="V210" i="12"/>
  <c r="V307" i="12"/>
  <c r="T225" i="12"/>
  <c r="T241" i="12" s="1"/>
  <c r="AB180" i="12"/>
  <c r="N81" i="17"/>
  <c r="B113" i="17"/>
  <c r="B161" i="17"/>
  <c r="O179" i="11"/>
  <c r="AE14" i="14"/>
  <c r="AE15" i="14" s="1"/>
  <c r="AF6" i="14"/>
  <c r="AH4" i="14"/>
  <c r="AB307" i="14"/>
  <c r="N224" i="12"/>
  <c r="N240" i="12" s="1"/>
  <c r="I180" i="14"/>
  <c r="BZ4" i="11"/>
  <c r="T291" i="10"/>
  <c r="T288" i="10"/>
  <c r="T292" i="10"/>
  <c r="T289" i="10"/>
  <c r="T287" i="10"/>
  <c r="T290" i="10"/>
  <c r="T293" i="10"/>
  <c r="T295" i="10"/>
  <c r="T297" i="10"/>
  <c r="T296" i="10"/>
  <c r="T298" i="10"/>
  <c r="T294" i="10"/>
  <c r="R162" i="20"/>
  <c r="S292" i="4"/>
  <c r="P179" i="15"/>
  <c r="Q294" i="10"/>
  <c r="Q298" i="10"/>
  <c r="Q287" i="10"/>
  <c r="Q291" i="10"/>
  <c r="Q295" i="10"/>
  <c r="Q288" i="10"/>
  <c r="Q292" i="10"/>
  <c r="Q290" i="10"/>
  <c r="Q296" i="10"/>
  <c r="Q289" i="10"/>
  <c r="Q297" i="10"/>
  <c r="Q293" i="10"/>
  <c r="Z164" i="19"/>
  <c r="Z180" i="19"/>
  <c r="I164" i="12"/>
  <c r="I180" i="12"/>
  <c r="M210" i="15"/>
  <c r="M307" i="15"/>
  <c r="X162" i="20"/>
  <c r="O180" i="14"/>
  <c r="V178" i="11"/>
  <c r="Y82" i="17"/>
  <c r="C209" i="12"/>
  <c r="C306" i="12"/>
  <c r="N113" i="16"/>
  <c r="N161" i="16"/>
  <c r="C96" i="16"/>
  <c r="AC81" i="17"/>
  <c r="AB211" i="16"/>
  <c r="AB308" i="16"/>
  <c r="B82" i="13"/>
  <c r="F296" i="10"/>
  <c r="F293" i="10"/>
  <c r="F297" i="10"/>
  <c r="F294" i="10"/>
  <c r="F287" i="10"/>
  <c r="F289" i="10"/>
  <c r="F291" i="10"/>
  <c r="F295" i="10"/>
  <c r="F298" i="10"/>
  <c r="F292" i="10"/>
  <c r="F288" i="10"/>
  <c r="F290" i="10"/>
  <c r="P113" i="15"/>
  <c r="P161" i="15"/>
  <c r="O81" i="13"/>
  <c r="AG75" i="14"/>
  <c r="S180" i="19"/>
  <c r="S164" i="19" s="1"/>
  <c r="AB240" i="17"/>
  <c r="O306" i="17"/>
  <c r="O209" i="17"/>
  <c r="W179" i="15"/>
  <c r="R298" i="10"/>
  <c r="R287" i="10"/>
  <c r="R295" i="10"/>
  <c r="R288" i="10"/>
  <c r="R296" i="10"/>
  <c r="R289" i="10"/>
  <c r="R292" i="10"/>
  <c r="R290" i="10"/>
  <c r="R291" i="10"/>
  <c r="R293" i="10"/>
  <c r="R294" i="10"/>
  <c r="R297" i="10"/>
  <c r="Y182" i="19"/>
  <c r="V81" i="13"/>
  <c r="X162" i="14"/>
  <c r="B96" i="13"/>
  <c r="H180" i="17"/>
  <c r="AB97" i="16"/>
  <c r="AB223" i="16"/>
  <c r="AE212" i="13"/>
  <c r="AE309" i="13"/>
  <c r="L239" i="17"/>
  <c r="K182" i="16"/>
  <c r="G180" i="14"/>
  <c r="T211" i="12"/>
  <c r="T308" i="12"/>
  <c r="AB27" i="1"/>
  <c r="AB15" i="14"/>
  <c r="Q114" i="12"/>
  <c r="Q162" i="12"/>
  <c r="Q112" i="16"/>
  <c r="Q160" i="16"/>
  <c r="AG209" i="10"/>
  <c r="AG91" i="10"/>
  <c r="AG218" i="10" s="1"/>
  <c r="AG234" i="10" s="1"/>
  <c r="U112" i="16"/>
  <c r="U160" i="16"/>
  <c r="E112" i="16"/>
  <c r="E160" i="16"/>
  <c r="Z231" i="20"/>
  <c r="Z247" i="20" s="1"/>
  <c r="Z263" i="20" s="1"/>
  <c r="Z328" i="20"/>
  <c r="Q210" i="12"/>
  <c r="Q307" i="12"/>
  <c r="AD111" i="20"/>
  <c r="AD159" i="20"/>
  <c r="W179" i="10"/>
  <c r="W163" i="10" s="1"/>
  <c r="M82" i="15"/>
  <c r="P99" i="13"/>
  <c r="P225" i="13"/>
  <c r="P241" i="13" s="1"/>
  <c r="J250" i="12"/>
  <c r="S240" i="15"/>
  <c r="M307" i="14"/>
  <c r="AE181" i="20"/>
  <c r="AA307" i="14"/>
  <c r="S178" i="11"/>
  <c r="N240" i="16"/>
  <c r="AC209" i="17"/>
  <c r="AC306" i="17"/>
  <c r="AB83" i="16"/>
  <c r="X310" i="16"/>
  <c r="X213" i="16"/>
  <c r="O209" i="13"/>
  <c r="O306" i="13"/>
  <c r="AH75" i="14"/>
  <c r="AB114" i="17"/>
  <c r="AB241" i="17" s="1"/>
  <c r="AB162" i="17"/>
  <c r="Z112" i="15"/>
  <c r="Z160" i="15"/>
  <c r="O81" i="17"/>
  <c r="AH124" i="10"/>
  <c r="L180" i="14"/>
  <c r="H306" i="14"/>
  <c r="AD15" i="1"/>
  <c r="U180" i="17"/>
  <c r="AE9" i="17"/>
  <c r="AE11" i="17" s="1"/>
  <c r="AE16" i="17" s="1"/>
  <c r="AE6" i="17"/>
  <c r="S82" i="12"/>
  <c r="S98" i="12" s="1"/>
  <c r="U209" i="16"/>
  <c r="U306" i="16"/>
  <c r="Z112" i="13"/>
  <c r="Z160" i="13"/>
  <c r="R84" i="12"/>
  <c r="R100" i="12" s="1"/>
  <c r="R116" i="12" s="1"/>
  <c r="R226" i="12"/>
  <c r="R242" i="12" s="1"/>
  <c r="G97" i="13"/>
  <c r="G223" i="13"/>
  <c r="B36" i="1"/>
  <c r="B40" i="1"/>
  <c r="B240" i="17"/>
  <c r="N114" i="12"/>
  <c r="N241" i="12" s="1"/>
  <c r="N162" i="12"/>
  <c r="U162" i="11"/>
  <c r="U178" i="11"/>
  <c r="D182" i="11"/>
  <c r="AD26" i="2"/>
  <c r="AD28" i="2" s="1"/>
  <c r="AD32" i="2" s="1"/>
  <c r="AD6" i="2"/>
  <c r="AD9" i="2" s="1"/>
  <c r="I83" i="16"/>
  <c r="H96" i="13"/>
  <c r="AF14" i="14"/>
  <c r="AF15" i="14" s="1"/>
  <c r="AG6" i="14"/>
  <c r="V210" i="17"/>
  <c r="V307" i="17"/>
  <c r="O290" i="10"/>
  <c r="O294" i="10"/>
  <c r="O298" i="10"/>
  <c r="O287" i="10"/>
  <c r="O291" i="10"/>
  <c r="O295" i="10"/>
  <c r="O288" i="10"/>
  <c r="O289" i="10"/>
  <c r="O292" i="10"/>
  <c r="O293" i="10"/>
  <c r="O296" i="10"/>
  <c r="O297" i="10"/>
  <c r="Q180" i="12"/>
  <c r="U81" i="16"/>
  <c r="T179" i="15"/>
  <c r="K161" i="12"/>
  <c r="K113" i="12"/>
  <c r="O180" i="12"/>
  <c r="O164" i="12" s="1"/>
  <c r="AA96" i="17"/>
  <c r="T84" i="12"/>
  <c r="T100" i="12" s="1"/>
  <c r="T116" i="12" s="1"/>
  <c r="T226" i="12"/>
  <c r="T242" i="12" s="1"/>
  <c r="Q224" i="12"/>
  <c r="AH287" i="14"/>
  <c r="Q179" i="13"/>
  <c r="AK82" i="10"/>
  <c r="AK180" i="10"/>
  <c r="L96" i="15"/>
  <c r="Q83" i="12"/>
  <c r="Q99" i="12" s="1"/>
  <c r="Q225" i="12"/>
  <c r="Q241" i="12" s="1"/>
  <c r="U209" i="15"/>
  <c r="U306" i="15"/>
  <c r="X211" i="12"/>
  <c r="X308" i="12"/>
  <c r="W162" i="10"/>
  <c r="X113" i="12"/>
  <c r="X161" i="12"/>
  <c r="AM277" i="10"/>
  <c r="K96" i="12"/>
  <c r="AG211" i="10"/>
  <c r="AG227" i="10" s="1"/>
  <c r="AH208" i="14"/>
  <c r="AH288" i="14" s="1"/>
  <c r="I292" i="19"/>
  <c r="I288" i="19"/>
  <c r="I295" i="19"/>
  <c r="I294" i="19"/>
  <c r="I293" i="19"/>
  <c r="I297" i="19"/>
  <c r="I291" i="19"/>
  <c r="I287" i="19"/>
  <c r="I289" i="19"/>
  <c r="I296" i="19"/>
  <c r="I298" i="19"/>
  <c r="I290" i="19"/>
  <c r="R210" i="15"/>
  <c r="R307" i="15"/>
  <c r="E183" i="14"/>
  <c r="M118" i="4"/>
  <c r="AI223" i="10"/>
  <c r="X25" i="14"/>
  <c r="X28" i="14" s="1"/>
  <c r="X26" i="14" s="1"/>
  <c r="H179" i="11"/>
  <c r="H163" i="11"/>
  <c r="K181" i="19"/>
  <c r="K165" i="19" s="1"/>
  <c r="AA290" i="14"/>
  <c r="AH91" i="14"/>
  <c r="S161" i="11"/>
  <c r="W212" i="15"/>
  <c r="W309" i="15"/>
  <c r="AD27" i="1"/>
  <c r="AD15" i="14"/>
  <c r="S118" i="4"/>
  <c r="I308" i="17"/>
  <c r="I211" i="17"/>
  <c r="X85" i="16"/>
  <c r="T100" i="13"/>
  <c r="T226" i="13"/>
  <c r="T242" i="13" s="1"/>
  <c r="AG219" i="14"/>
  <c r="AG287" i="14"/>
  <c r="AC228" i="19"/>
  <c r="AC244" i="19" s="1"/>
  <c r="X179" i="11"/>
  <c r="X163" i="11" s="1"/>
  <c r="AA180" i="16"/>
  <c r="B114" i="16"/>
  <c r="B241" i="16" s="1"/>
  <c r="B162" i="16"/>
  <c r="AG216" i="10"/>
  <c r="AG232" i="10" s="1"/>
  <c r="AM89" i="10"/>
  <c r="AM216" i="10" s="1"/>
  <c r="AM232" i="10" s="1"/>
  <c r="AL89" i="10"/>
  <c r="AL216" i="10" s="1"/>
  <c r="AL232" i="10" s="1"/>
  <c r="B113" i="13"/>
  <c r="B161" i="13"/>
  <c r="AD108" i="14"/>
  <c r="H100" i="15"/>
  <c r="H226" i="15"/>
  <c r="H242" i="15" s="1"/>
  <c r="U163" i="19"/>
  <c r="U179" i="19"/>
  <c r="AC75" i="19"/>
  <c r="I113" i="13"/>
  <c r="I161" i="13"/>
  <c r="AB254" i="20"/>
  <c r="Z97" i="13"/>
  <c r="Z223" i="13"/>
  <c r="Z239" i="13" s="1"/>
  <c r="X179" i="15"/>
  <c r="L112" i="16"/>
  <c r="L239" i="16" s="1"/>
  <c r="L160" i="16"/>
  <c r="V82" i="17"/>
  <c r="K180" i="13"/>
  <c r="AA97" i="13"/>
  <c r="AA223" i="13"/>
  <c r="T178" i="11"/>
  <c r="T162" i="11" s="1"/>
  <c r="E102" i="15"/>
  <c r="E118" i="15" s="1"/>
  <c r="E228" i="15"/>
  <c r="E244" i="15" s="1"/>
  <c r="U180" i="15"/>
  <c r="K97" i="15"/>
  <c r="K223" i="15"/>
  <c r="W100" i="12"/>
  <c r="W116" i="12" s="1"/>
  <c r="Y112" i="15"/>
  <c r="Y160" i="15"/>
  <c r="AE81" i="11"/>
  <c r="AE97" i="11" s="1"/>
  <c r="B15" i="1"/>
  <c r="L160" i="17"/>
  <c r="L112" i="17"/>
  <c r="AB322" i="11"/>
  <c r="AG225" i="11"/>
  <c r="AG322" i="11"/>
  <c r="AE216" i="10"/>
  <c r="AE232" i="10" s="1"/>
  <c r="AE248" i="10" s="1"/>
  <c r="AE105" i="10"/>
  <c r="AC179" i="12"/>
  <c r="B180" i="16"/>
  <c r="U81" i="15"/>
  <c r="H180" i="13"/>
  <c r="X84" i="12"/>
  <c r="X226" i="12" s="1"/>
  <c r="AG251" i="9"/>
  <c r="AG266" i="9"/>
  <c r="AG282" i="9" s="1"/>
  <c r="AG35" i="9"/>
  <c r="AG41" i="9" s="1"/>
  <c r="AG40" i="9" s="1"/>
  <c r="AG314" i="9" s="1"/>
  <c r="AE183" i="17"/>
  <c r="V96" i="17"/>
  <c r="L210" i="13"/>
  <c r="L307" i="13"/>
  <c r="AK84" i="10"/>
  <c r="AK211" i="10" s="1"/>
  <c r="AK227" i="10" s="1"/>
  <c r="P210" i="16"/>
  <c r="P307" i="16"/>
  <c r="R82" i="15"/>
  <c r="AA15" i="1"/>
  <c r="B96" i="16"/>
  <c r="O112" i="16"/>
  <c r="O239" i="16" s="1"/>
  <c r="O160" i="16"/>
  <c r="AC27" i="1"/>
  <c r="AC15" i="14"/>
  <c r="Z97" i="15"/>
  <c r="Z223" i="15"/>
  <c r="Z239" i="15" s="1"/>
  <c r="W84" i="15"/>
  <c r="I83" i="17"/>
  <c r="AE84" i="20"/>
  <c r="AE100" i="20" s="1"/>
  <c r="J180" i="19"/>
  <c r="D244" i="12"/>
  <c r="AE183" i="16"/>
  <c r="W180" i="16"/>
  <c r="AE161" i="20"/>
  <c r="AE113" i="20"/>
  <c r="D180" i="19"/>
  <c r="X179" i="13"/>
  <c r="Z96" i="17"/>
  <c r="J163" i="19"/>
  <c r="X210" i="17"/>
  <c r="X307" i="17"/>
  <c r="AC225" i="19"/>
  <c r="AC241" i="19" s="1"/>
  <c r="AK89" i="10"/>
  <c r="AK216" i="10" s="1"/>
  <c r="AK232" i="10" s="1"/>
  <c r="AB299" i="10"/>
  <c r="AB39" i="10"/>
  <c r="AB10" i="3" s="1"/>
  <c r="AB38" i="3" s="1"/>
  <c r="AB7" i="3"/>
  <c r="AB35" i="3" s="1"/>
  <c r="P164" i="17"/>
  <c r="P180" i="17"/>
  <c r="D163" i="19"/>
  <c r="W99" i="12"/>
  <c r="W115" i="12" s="1"/>
  <c r="W242" i="12" s="1"/>
  <c r="AA226" i="11"/>
  <c r="AA323" i="11"/>
  <c r="T180" i="17"/>
  <c r="P163" i="17"/>
  <c r="S180" i="16"/>
  <c r="N180" i="14"/>
  <c r="X82" i="17"/>
  <c r="B288" i="10"/>
  <c r="B296" i="10"/>
  <c r="B289" i="10"/>
  <c r="B297" i="10"/>
  <c r="B298" i="10"/>
  <c r="B290" i="10"/>
  <c r="B293" i="10"/>
  <c r="B291" i="10"/>
  <c r="B287" i="10"/>
  <c r="B295" i="10"/>
  <c r="B292" i="10"/>
  <c r="B294" i="10"/>
  <c r="S179" i="20"/>
  <c r="I113" i="17"/>
  <c r="I161" i="17"/>
  <c r="AH155" i="14"/>
  <c r="AG214" i="10"/>
  <c r="AG230" i="10" s="1"/>
  <c r="K179" i="11"/>
  <c r="K163" i="11"/>
  <c r="AC111" i="20"/>
  <c r="L307" i="14"/>
  <c r="B179" i="14"/>
  <c r="W179" i="19"/>
  <c r="W163" i="19" s="1"/>
  <c r="D96" i="16"/>
  <c r="M182" i="13"/>
  <c r="Y96" i="17"/>
  <c r="N96" i="13"/>
  <c r="N10" i="3"/>
  <c r="N38" i="3" s="1"/>
  <c r="Q209" i="15"/>
  <c r="Q306" i="15"/>
  <c r="B93" i="19"/>
  <c r="B15" i="19"/>
  <c r="AB180" i="15"/>
  <c r="Q96" i="15"/>
  <c r="C288" i="10"/>
  <c r="C292" i="10"/>
  <c r="C296" i="10"/>
  <c r="C289" i="10"/>
  <c r="C293" i="10"/>
  <c r="C297" i="10"/>
  <c r="C298" i="10"/>
  <c r="C290" i="10"/>
  <c r="C291" i="10"/>
  <c r="C287" i="10"/>
  <c r="C295" i="10"/>
  <c r="C294" i="10"/>
  <c r="AC18" i="10"/>
  <c r="I160" i="17"/>
  <c r="I112" i="17"/>
  <c r="I239" i="17" s="1"/>
  <c r="Q98" i="14"/>
  <c r="P82" i="14"/>
  <c r="Q209" i="14"/>
  <c r="Q289" i="14" s="1"/>
  <c r="B210" i="12"/>
  <c r="B307" i="12"/>
  <c r="O213" i="12"/>
  <c r="O310" i="12"/>
  <c r="Q96" i="13"/>
  <c r="Q210" i="17"/>
  <c r="Q307" i="17"/>
  <c r="B114" i="12"/>
  <c r="B162" i="12"/>
  <c r="H113" i="12"/>
  <c r="H161" i="12"/>
  <c r="R113" i="12"/>
  <c r="R161" i="12"/>
  <c r="E209" i="16"/>
  <c r="E306" i="16"/>
  <c r="AC91" i="19"/>
  <c r="AC107" i="19" s="1"/>
  <c r="AC123" i="19" s="1"/>
  <c r="AC93" i="19"/>
  <c r="AC96" i="19"/>
  <c r="B179" i="13"/>
  <c r="AJ82" i="10"/>
  <c r="S100" i="13"/>
  <c r="S116" i="13" s="1"/>
  <c r="S226" i="13"/>
  <c r="S242" i="13" s="1"/>
  <c r="T81" i="16"/>
  <c r="AC249" i="20"/>
  <c r="P180" i="16"/>
  <c r="M211" i="13"/>
  <c r="M308" i="13"/>
  <c r="U96" i="17"/>
  <c r="R163" i="12"/>
  <c r="N97" i="15"/>
  <c r="N223" i="15"/>
  <c r="AJ84" i="10"/>
  <c r="AJ211" i="10" s="1"/>
  <c r="AJ227" i="10" s="1"/>
  <c r="F96" i="13"/>
  <c r="AA179" i="11"/>
  <c r="AB305" i="11"/>
  <c r="AB225" i="11" s="1"/>
  <c r="AB307" i="11"/>
  <c r="AB309" i="11"/>
  <c r="AB311" i="11"/>
  <c r="AB304" i="11"/>
  <c r="AB224" i="11" s="1"/>
  <c r="AB302" i="11"/>
  <c r="AB222" i="11" s="1"/>
  <c r="AB312" i="11"/>
  <c r="AB303" i="11"/>
  <c r="AB223" i="11" s="1"/>
  <c r="AB313" i="11"/>
  <c r="AB306" i="11"/>
  <c r="AB310" i="11"/>
  <c r="AB308" i="11"/>
  <c r="C113" i="12"/>
  <c r="C161" i="12"/>
  <c r="Z84" i="12"/>
  <c r="Z100" i="12" s="1"/>
  <c r="Z116" i="12" s="1"/>
  <c r="Z226" i="12"/>
  <c r="Z242" i="12" s="1"/>
  <c r="E179" i="19"/>
  <c r="O39" i="1"/>
  <c r="O40" i="1" s="1"/>
  <c r="AF180" i="10"/>
  <c r="AF164" i="10" s="1"/>
  <c r="C111" i="20"/>
  <c r="C254" i="20" s="1"/>
  <c r="C107" i="20"/>
  <c r="C23" i="20" s="1"/>
  <c r="C25" i="20" s="1"/>
  <c r="C28" i="20" s="1"/>
  <c r="C26" i="20" s="1"/>
  <c r="C159" i="20"/>
  <c r="AI179" i="10"/>
  <c r="F83" i="17"/>
  <c r="F113" i="13"/>
  <c r="F161" i="13"/>
  <c r="I289" i="10"/>
  <c r="I293" i="10"/>
  <c r="I297" i="10"/>
  <c r="I290" i="10"/>
  <c r="I294" i="10"/>
  <c r="I298" i="10"/>
  <c r="I287" i="10"/>
  <c r="I288" i="10"/>
  <c r="I292" i="10"/>
  <c r="I296" i="10"/>
  <c r="I291" i="10"/>
  <c r="I295" i="10"/>
  <c r="AE292" i="14"/>
  <c r="AE308" i="14"/>
  <c r="E96" i="17"/>
  <c r="S162" i="20"/>
  <c r="O114" i="16"/>
  <c r="O241" i="16" s="1"/>
  <c r="O162" i="16"/>
  <c r="AG155" i="14"/>
  <c r="AG160" i="14"/>
  <c r="AJ87" i="10"/>
  <c r="AJ214" i="10" s="1"/>
  <c r="AJ230" i="10" s="1"/>
  <c r="K162" i="11"/>
  <c r="W225" i="12"/>
  <c r="V179" i="14"/>
  <c r="AB180" i="19"/>
  <c r="V297" i="19"/>
  <c r="V293" i="19"/>
  <c r="V298" i="19"/>
  <c r="V289" i="19"/>
  <c r="V287" i="19"/>
  <c r="V292" i="19"/>
  <c r="V288" i="19"/>
  <c r="V295" i="19"/>
  <c r="V291" i="19"/>
  <c r="V294" i="19"/>
  <c r="V290" i="19"/>
  <c r="V296" i="19"/>
  <c r="M211" i="17"/>
  <c r="M308" i="17"/>
  <c r="K211" i="15"/>
  <c r="K308" i="15"/>
  <c r="W179" i="14"/>
  <c r="W163" i="14"/>
  <c r="V96" i="15"/>
  <c r="I310" i="12"/>
  <c r="I213" i="12"/>
  <c r="N290" i="10"/>
  <c r="N298" i="10"/>
  <c r="N287" i="10"/>
  <c r="N291" i="10"/>
  <c r="N288" i="10"/>
  <c r="N289" i="10"/>
  <c r="N292" i="10"/>
  <c r="N295" i="10"/>
  <c r="N293" i="10"/>
  <c r="N294" i="10"/>
  <c r="N296" i="10"/>
  <c r="N297" i="10"/>
  <c r="Q81" i="15"/>
  <c r="B161" i="19"/>
  <c r="B113" i="19"/>
  <c r="B240" i="19" s="1"/>
  <c r="B108" i="19"/>
  <c r="B23" i="19" s="1"/>
  <c r="B25" i="19" s="1"/>
  <c r="B28" i="19" s="1"/>
  <c r="B26" i="19" s="1"/>
  <c r="S180" i="14"/>
  <c r="S164" i="14" s="1"/>
  <c r="P240" i="13"/>
  <c r="J210" i="17"/>
  <c r="J307" i="17"/>
  <c r="AC164" i="10"/>
  <c r="AC180" i="10"/>
  <c r="B83" i="12"/>
  <c r="B99" i="12" s="1"/>
  <c r="B225" i="12"/>
  <c r="B241" i="12" s="1"/>
  <c r="O86" i="12"/>
  <c r="O102" i="12" s="1"/>
  <c r="O118" i="12" s="1"/>
  <c r="AE80" i="11"/>
  <c r="AE96" i="11" s="1"/>
  <c r="Y179" i="12"/>
  <c r="AG139" i="9"/>
  <c r="AG25" i="9"/>
  <c r="AG28" i="9" s="1"/>
  <c r="AG26" i="9" s="1"/>
  <c r="E81" i="16"/>
  <c r="AA108" i="19"/>
  <c r="AA112" i="19"/>
  <c r="AA239" i="19" s="1"/>
  <c r="AA160" i="19"/>
  <c r="R113" i="14"/>
  <c r="R240" i="14" s="1"/>
  <c r="R161" i="14"/>
  <c r="AE223" i="10"/>
  <c r="AE239" i="10" s="1"/>
  <c r="AE219" i="10"/>
  <c r="AE33" i="10" s="1"/>
  <c r="AE35" i="10" s="1"/>
  <c r="AE41" i="10" s="1"/>
  <c r="AE36" i="10" s="1"/>
  <c r="L179" i="16"/>
  <c r="L181" i="10"/>
  <c r="AA179" i="13"/>
  <c r="AA163" i="13" s="1"/>
  <c r="M83" i="13"/>
  <c r="L211" i="16"/>
  <c r="L308" i="16"/>
  <c r="U15" i="1"/>
  <c r="N224" i="15"/>
  <c r="AA115" i="19"/>
  <c r="AA163" i="19"/>
  <c r="Z308" i="12"/>
  <c r="Z309" i="12" s="1"/>
  <c r="Z310" i="12" s="1"/>
  <c r="Z311" i="12" s="1"/>
  <c r="Z312" i="12" s="1"/>
  <c r="Z313" i="12" s="1"/>
  <c r="Z211" i="12"/>
  <c r="U308" i="14"/>
  <c r="U292" i="14"/>
  <c r="E162" i="19"/>
  <c r="C108" i="19"/>
  <c r="C23" i="19" s="1"/>
  <c r="C25" i="19" s="1"/>
  <c r="C28" i="19" s="1"/>
  <c r="C26" i="19" s="1"/>
  <c r="C112" i="19"/>
  <c r="C239" i="19" s="1"/>
  <c r="C160" i="19"/>
  <c r="K182" i="10"/>
  <c r="K166" i="10" s="1"/>
  <c r="T211" i="15"/>
  <c r="T308" i="15"/>
  <c r="S307" i="14"/>
  <c r="E112" i="15"/>
  <c r="E239" i="15" s="1"/>
  <c r="E160" i="15"/>
  <c r="AA254" i="20"/>
  <c r="G96" i="16"/>
  <c r="P180" i="13"/>
  <c r="AE209" i="17"/>
  <c r="AE306" i="17"/>
  <c r="AE291" i="14"/>
  <c r="AG113" i="11"/>
  <c r="AG161" i="11"/>
  <c r="G179" i="20"/>
  <c r="R292" i="4"/>
  <c r="N292" i="4"/>
  <c r="N179" i="19"/>
  <c r="L112" i="13"/>
  <c r="L160" i="13"/>
  <c r="AJ89" i="10"/>
  <c r="AJ216" i="10" s="1"/>
  <c r="AJ232" i="10" s="1"/>
  <c r="AK87" i="10"/>
  <c r="AK214" i="10" s="1"/>
  <c r="AK230" i="10" s="1"/>
  <c r="C96" i="17"/>
  <c r="D96" i="13"/>
  <c r="V162" i="14"/>
  <c r="V181" i="12"/>
  <c r="AD179" i="11"/>
  <c r="AB163" i="19"/>
  <c r="C180" i="15"/>
  <c r="M98" i="17"/>
  <c r="M224" i="17"/>
  <c r="M240" i="17" s="1"/>
  <c r="I86" i="12"/>
  <c r="I102" i="12" s="1"/>
  <c r="I118" i="12" s="1"/>
  <c r="I228" i="12"/>
  <c r="I244" i="12" s="1"/>
  <c r="J180" i="20"/>
  <c r="J164" i="20"/>
  <c r="AE225" i="11"/>
  <c r="AE322" i="11"/>
  <c r="E81" i="17"/>
  <c r="O307" i="14"/>
  <c r="L210" i="15"/>
  <c r="L307" i="15"/>
  <c r="J82" i="17"/>
  <c r="Q180" i="14"/>
  <c r="M112" i="17"/>
  <c r="M160" i="17"/>
  <c r="M239" i="15"/>
  <c r="AD179" i="12"/>
  <c r="AD180" i="10"/>
  <c r="W209" i="13"/>
  <c r="W306" i="13"/>
  <c r="P112" i="13"/>
  <c r="P239" i="13" s="1"/>
  <c r="P160" i="13"/>
  <c r="E306" i="14"/>
  <c r="G210" i="13"/>
  <c r="G307" i="13"/>
  <c r="AK75" i="10"/>
  <c r="AG123" i="9"/>
  <c r="AG191" i="9"/>
  <c r="EP45" i="8"/>
  <c r="T181" i="19"/>
  <c r="T165" i="19" s="1"/>
  <c r="S239" i="13"/>
  <c r="AE21" i="10"/>
  <c r="Q307" i="14"/>
  <c r="Q291" i="14" s="1"/>
  <c r="H209" i="13"/>
  <c r="H306" i="13"/>
  <c r="X97" i="17"/>
  <c r="X223" i="17"/>
  <c r="X239" i="17" s="1"/>
  <c r="Z180" i="14"/>
  <c r="Z164" i="14" s="1"/>
  <c r="L164" i="10"/>
  <c r="U113" i="17"/>
  <c r="U161" i="17"/>
  <c r="AA162" i="13"/>
  <c r="L83" i="16"/>
  <c r="K180" i="15"/>
  <c r="U210" i="17"/>
  <c r="U307" i="17"/>
  <c r="Y81" i="16"/>
  <c r="G179" i="11"/>
  <c r="G163" i="11" s="1"/>
  <c r="C223" i="12"/>
  <c r="G165" i="10"/>
  <c r="G181" i="10"/>
  <c r="C93" i="19"/>
  <c r="C15" i="19"/>
  <c r="K165" i="10"/>
  <c r="T83" i="15"/>
  <c r="M239" i="16"/>
  <c r="AG179" i="11"/>
  <c r="AG210" i="10"/>
  <c r="AG226" i="10" s="1"/>
  <c r="O100" i="16"/>
  <c r="O226" i="16"/>
  <c r="O242" i="16" s="1"/>
  <c r="T310" i="13"/>
  <c r="T213" i="13"/>
  <c r="AG239" i="11"/>
  <c r="G162" i="20"/>
  <c r="N162" i="19"/>
  <c r="AG288" i="14"/>
  <c r="K112" i="16"/>
  <c r="K160" i="16"/>
  <c r="H181" i="19"/>
  <c r="AH181" i="10"/>
  <c r="AC112" i="16"/>
  <c r="AC239" i="16" s="1"/>
  <c r="AC160" i="16"/>
  <c r="F96" i="17"/>
  <c r="G113" i="12"/>
  <c r="G161" i="12"/>
  <c r="P216" i="14"/>
  <c r="P105" i="14"/>
  <c r="P121" i="14" s="1"/>
  <c r="P248" i="14" s="1"/>
  <c r="O89" i="14"/>
  <c r="AB83" i="11" l="1"/>
  <c r="AB99" i="11" s="1"/>
  <c r="AB115" i="11" s="1"/>
  <c r="AB241" i="11"/>
  <c r="W112" i="17"/>
  <c r="W239" i="17" s="1"/>
  <c r="W160" i="17"/>
  <c r="J112" i="17"/>
  <c r="J160" i="17"/>
  <c r="AC180" i="19"/>
  <c r="U161" i="13"/>
  <c r="U113" i="13"/>
  <c r="P15" i="1"/>
  <c r="F179" i="11"/>
  <c r="AK213" i="10"/>
  <c r="AK229" i="10" s="1"/>
  <c r="AM86" i="10"/>
  <c r="AM213" i="10" s="1"/>
  <c r="AM229" i="10" s="1"/>
  <c r="D113" i="12"/>
  <c r="D240" i="12" s="1"/>
  <c r="D161" i="12"/>
  <c r="R113" i="17"/>
  <c r="R240" i="17" s="1"/>
  <c r="R161" i="17"/>
  <c r="J161" i="16"/>
  <c r="J113" i="16"/>
  <c r="Y113" i="12"/>
  <c r="Y161" i="12"/>
  <c r="K224" i="12"/>
  <c r="K240" i="12" s="1"/>
  <c r="N212" i="16"/>
  <c r="N309" i="16"/>
  <c r="R182" i="15"/>
  <c r="AF329" i="9"/>
  <c r="C164" i="10"/>
  <c r="C180" i="10"/>
  <c r="AF112" i="11"/>
  <c r="AF160" i="11"/>
  <c r="Q219" i="14"/>
  <c r="Q33" i="14" s="1"/>
  <c r="Q35" i="14" s="1"/>
  <c r="Q41" i="14" s="1"/>
  <c r="Q287" i="14"/>
  <c r="N99" i="15"/>
  <c r="N225" i="15"/>
  <c r="N241" i="15" s="1"/>
  <c r="AC98" i="13"/>
  <c r="AC224" i="13"/>
  <c r="K179" i="20"/>
  <c r="K163" i="20" s="1"/>
  <c r="AL18" i="10"/>
  <c r="AK59" i="10"/>
  <c r="P85" i="12"/>
  <c r="P101" i="12" s="1"/>
  <c r="P227" i="12"/>
  <c r="AA210" i="19"/>
  <c r="AA226" i="19" s="1"/>
  <c r="AA242" i="19" s="1"/>
  <c r="AA307" i="19"/>
  <c r="H114" i="12"/>
  <c r="H241" i="12" s="1"/>
  <c r="H162" i="12"/>
  <c r="R210" i="16"/>
  <c r="R307" i="16"/>
  <c r="AA227" i="20"/>
  <c r="AA243" i="20" s="1"/>
  <c r="AA259" i="20" s="1"/>
  <c r="AA324" i="20"/>
  <c r="AB211" i="13"/>
  <c r="AB308" i="13"/>
  <c r="Q308" i="16"/>
  <c r="Q211" i="16"/>
  <c r="AE212" i="16"/>
  <c r="AE309" i="16"/>
  <c r="AM266" i="10"/>
  <c r="AB309" i="16"/>
  <c r="AB212" i="16"/>
  <c r="AA14" i="12"/>
  <c r="AB6" i="12"/>
  <c r="AD112" i="20"/>
  <c r="AD160" i="20"/>
  <c r="N84" i="16"/>
  <c r="T182" i="10"/>
  <c r="X113" i="17"/>
  <c r="X161" i="17"/>
  <c r="D82" i="17"/>
  <c r="L181" i="17"/>
  <c r="C112" i="17"/>
  <c r="C160" i="17"/>
  <c r="T97" i="16"/>
  <c r="T223" i="16"/>
  <c r="AC97" i="17"/>
  <c r="AC223" i="17"/>
  <c r="Z212" i="16"/>
  <c r="Z309" i="16"/>
  <c r="Q82" i="13"/>
  <c r="Y181" i="16"/>
  <c r="S164" i="13"/>
  <c r="S180" i="13"/>
  <c r="AA101" i="13"/>
  <c r="AA117" i="13" s="1"/>
  <c r="AA227" i="13"/>
  <c r="AA243" i="13" s="1"/>
  <c r="AC163" i="19"/>
  <c r="K210" i="12"/>
  <c r="K307" i="12"/>
  <c r="R181" i="17"/>
  <c r="Z15" i="12"/>
  <c r="Z46" i="12" s="1"/>
  <c r="Z11" i="1"/>
  <c r="Z43" i="1" s="1"/>
  <c r="D97" i="15"/>
  <c r="D223" i="15"/>
  <c r="Y181" i="17"/>
  <c r="J181" i="12"/>
  <c r="T182" i="16"/>
  <c r="P214" i="17"/>
  <c r="P311" i="17"/>
  <c r="F162" i="11"/>
  <c r="B97" i="12"/>
  <c r="D181" i="10"/>
  <c r="F15" i="1"/>
  <c r="J307" i="15"/>
  <c r="J210" i="15"/>
  <c r="U98" i="17"/>
  <c r="U224" i="17"/>
  <c r="U240" i="17" s="1"/>
  <c r="AE14" i="10"/>
  <c r="AE15" i="10" s="1"/>
  <c r="AE19" i="10" s="1"/>
  <c r="AF6" i="10"/>
  <c r="AH224" i="10"/>
  <c r="AH219" i="10"/>
  <c r="AH33" i="10" s="1"/>
  <c r="AH35" i="10" s="1"/>
  <c r="AH41" i="10" s="1"/>
  <c r="AH36" i="10" s="1"/>
  <c r="AB106" i="20"/>
  <c r="AB122" i="20" s="1"/>
  <c r="AB92" i="20"/>
  <c r="F215" i="15"/>
  <c r="F312" i="15"/>
  <c r="Q112" i="14"/>
  <c r="Q239" i="14" s="1"/>
  <c r="Q108" i="14"/>
  <c r="Q23" i="14" s="1"/>
  <c r="Q160" i="14"/>
  <c r="H99" i="17"/>
  <c r="H225" i="17"/>
  <c r="AA112" i="16"/>
  <c r="AA160" i="16"/>
  <c r="R112" i="13"/>
  <c r="R160" i="13"/>
  <c r="M184" i="12"/>
  <c r="R82" i="16"/>
  <c r="AB83" i="13"/>
  <c r="Q83" i="16"/>
  <c r="G86" i="15"/>
  <c r="I183" i="15"/>
  <c r="N97" i="17"/>
  <c r="N223" i="17"/>
  <c r="AC83" i="13"/>
  <c r="G184" i="17"/>
  <c r="AA212" i="15"/>
  <c r="AA309" i="15"/>
  <c r="I182" i="19"/>
  <c r="H210" i="13"/>
  <c r="H307" i="13"/>
  <c r="E97" i="16"/>
  <c r="E223" i="16"/>
  <c r="E239" i="16" s="1"/>
  <c r="I214" i="12"/>
  <c r="I311" i="12"/>
  <c r="O229" i="12"/>
  <c r="O245" i="12" s="1"/>
  <c r="O87" i="12"/>
  <c r="O103" i="12" s="1"/>
  <c r="O119" i="12" s="1"/>
  <c r="P181" i="17"/>
  <c r="B112" i="16"/>
  <c r="B239" i="16" s="1"/>
  <c r="B160" i="16"/>
  <c r="H181" i="13"/>
  <c r="AE239" i="11"/>
  <c r="U82" i="15"/>
  <c r="H307" i="14"/>
  <c r="AC307" i="17"/>
  <c r="AC210" i="17"/>
  <c r="Z84" i="16"/>
  <c r="R164" i="20"/>
  <c r="R180" i="20"/>
  <c r="W112" i="13"/>
  <c r="W160" i="13"/>
  <c r="M211" i="12"/>
  <c r="M308" i="12"/>
  <c r="AC180" i="15"/>
  <c r="P101" i="17"/>
  <c r="P227" i="17"/>
  <c r="P243" i="17" s="1"/>
  <c r="S163" i="13"/>
  <c r="AE184" i="15"/>
  <c r="K83" i="12"/>
  <c r="K99" i="12" s="1"/>
  <c r="W213" i="12"/>
  <c r="W310" i="12"/>
  <c r="S181" i="15"/>
  <c r="V114" i="12"/>
  <c r="V162" i="12"/>
  <c r="J164" i="12"/>
  <c r="AA179" i="20"/>
  <c r="P86" i="17"/>
  <c r="C166" i="11"/>
  <c r="C182" i="11"/>
  <c r="AH108" i="10"/>
  <c r="AH25" i="10"/>
  <c r="AH28" i="10" s="1"/>
  <c r="AH26" i="10" s="1"/>
  <c r="D164" i="10"/>
  <c r="Q182" i="19"/>
  <c r="J82" i="15"/>
  <c r="L181" i="12"/>
  <c r="D181" i="14"/>
  <c r="Q113" i="12"/>
  <c r="Q161" i="12"/>
  <c r="G98" i="13"/>
  <c r="G224" i="13"/>
  <c r="K210" i="16"/>
  <c r="K307" i="16"/>
  <c r="AD103" i="20"/>
  <c r="AD119" i="20" s="1"/>
  <c r="AD230" i="20"/>
  <c r="D210" i="15"/>
  <c r="D307" i="15"/>
  <c r="F87" i="15"/>
  <c r="AC180" i="13"/>
  <c r="U98" i="12"/>
  <c r="Z210" i="17"/>
  <c r="Z307" i="17"/>
  <c r="C166" i="20"/>
  <c r="C182" i="20"/>
  <c r="C96" i="13"/>
  <c r="O164" i="10"/>
  <c r="O180" i="10"/>
  <c r="D307" i="14"/>
  <c r="P114" i="15"/>
  <c r="P162" i="15"/>
  <c r="G214" i="15"/>
  <c r="G311" i="15"/>
  <c r="U183" i="16"/>
  <c r="J164" i="11"/>
  <c r="J180" i="11"/>
  <c r="I309" i="16"/>
  <c r="I212" i="16"/>
  <c r="F102" i="15"/>
  <c r="F228" i="15"/>
  <c r="F244" i="15" s="1"/>
  <c r="U97" i="15"/>
  <c r="U223" i="15"/>
  <c r="AB181" i="15"/>
  <c r="G112" i="16"/>
  <c r="G160" i="16"/>
  <c r="AA112" i="17"/>
  <c r="AA160" i="17"/>
  <c r="P207" i="14"/>
  <c r="P93" i="14"/>
  <c r="P96" i="14"/>
  <c r="O80" i="14"/>
  <c r="AL180" i="10"/>
  <c r="V97" i="13"/>
  <c r="V223" i="13"/>
  <c r="V239" i="13" s="1"/>
  <c r="Q210" i="13"/>
  <c r="Q307" i="13"/>
  <c r="I87" i="12"/>
  <c r="I103" i="12" s="1"/>
  <c r="I119" i="12" s="1"/>
  <c r="W181" i="16"/>
  <c r="AB99" i="16"/>
  <c r="AB225" i="16"/>
  <c r="AB241" i="16" s="1"/>
  <c r="AE83" i="11"/>
  <c r="AE99" i="11" s="1"/>
  <c r="B308" i="12"/>
  <c r="B211" i="12"/>
  <c r="Y183" i="19"/>
  <c r="Y167" i="19"/>
  <c r="C112" i="16"/>
  <c r="C160" i="16"/>
  <c r="V84" i="12"/>
  <c r="V226" i="12" s="1"/>
  <c r="V181" i="15"/>
  <c r="AF137" i="9"/>
  <c r="AF153" i="9" s="1"/>
  <c r="AF280" i="9" s="1"/>
  <c r="AF136" i="9"/>
  <c r="AF152" i="9" s="1"/>
  <c r="AF279" i="9" s="1"/>
  <c r="AF135" i="9"/>
  <c r="AF151" i="9" s="1"/>
  <c r="AF278" i="9" s="1"/>
  <c r="O184" i="16"/>
  <c r="L98" i="15"/>
  <c r="L224" i="15"/>
  <c r="V181" i="16"/>
  <c r="W310" i="16"/>
  <c r="W213" i="16"/>
  <c r="F112" i="16"/>
  <c r="F160" i="16"/>
  <c r="F112" i="17"/>
  <c r="F239" i="17" s="1"/>
  <c r="F160" i="17"/>
  <c r="L309" i="16"/>
  <c r="L212" i="16"/>
  <c r="B180" i="13"/>
  <c r="L181" i="14"/>
  <c r="C114" i="12"/>
  <c r="C162" i="12"/>
  <c r="X46" i="14"/>
  <c r="E97" i="17"/>
  <c r="E223" i="17"/>
  <c r="V98" i="17"/>
  <c r="V224" i="17"/>
  <c r="V240" i="17" s="1"/>
  <c r="X311" i="16"/>
  <c r="X214" i="16"/>
  <c r="K114" i="12"/>
  <c r="K162" i="12"/>
  <c r="AM59" i="10"/>
  <c r="J211" i="17"/>
  <c r="J308" i="17"/>
  <c r="D112" i="16"/>
  <c r="D160" i="16"/>
  <c r="AB84" i="16"/>
  <c r="N112" i="16"/>
  <c r="N239" i="16" s="1"/>
  <c r="N160" i="16"/>
  <c r="O214" i="12"/>
  <c r="O311" i="12"/>
  <c r="AE226" i="11"/>
  <c r="AE323" i="11"/>
  <c r="W82" i="13"/>
  <c r="AC82" i="17"/>
  <c r="O97" i="13"/>
  <c r="O223" i="13"/>
  <c r="O239" i="13" s="1"/>
  <c r="M84" i="12"/>
  <c r="M100" i="12" s="1"/>
  <c r="AA182" i="19"/>
  <c r="V97" i="16"/>
  <c r="V223" i="16"/>
  <c r="AD165" i="10"/>
  <c r="AD181" i="10"/>
  <c r="X181" i="16"/>
  <c r="P212" i="15"/>
  <c r="P309" i="15"/>
  <c r="Z180" i="20"/>
  <c r="AC112" i="17"/>
  <c r="AC160" i="17"/>
  <c r="Q211" i="12"/>
  <c r="Q308" i="12"/>
  <c r="X212" i="12"/>
  <c r="X309" i="12"/>
  <c r="R84" i="17"/>
  <c r="V112" i="13"/>
  <c r="V160" i="13"/>
  <c r="O216" i="14"/>
  <c r="O105" i="14"/>
  <c r="O121" i="14" s="1"/>
  <c r="O248" i="14" s="1"/>
  <c r="N89" i="14"/>
  <c r="W213" i="15"/>
  <c r="W310" i="15"/>
  <c r="S181" i="19"/>
  <c r="S165" i="19"/>
  <c r="AE113" i="11"/>
  <c r="AE161" i="11"/>
  <c r="U210" i="15"/>
  <c r="U307" i="15"/>
  <c r="AB165" i="19"/>
  <c r="AB181" i="19"/>
  <c r="F160" i="13"/>
  <c r="F112" i="13"/>
  <c r="F239" i="13" s="1"/>
  <c r="Q160" i="15"/>
  <c r="Q112" i="15"/>
  <c r="AH107" i="14"/>
  <c r="AH123" i="14" s="1"/>
  <c r="AH250" i="14" s="1"/>
  <c r="AH218" i="14"/>
  <c r="I112" i="13"/>
  <c r="I239" i="13" s="1"/>
  <c r="I160" i="13"/>
  <c r="R182" i="10"/>
  <c r="W228" i="12"/>
  <c r="W244" i="12" s="1"/>
  <c r="W86" i="12"/>
  <c r="N180" i="11"/>
  <c r="T210" i="16"/>
  <c r="T307" i="16"/>
  <c r="G160" i="17"/>
  <c r="G112" i="17"/>
  <c r="G15" i="1"/>
  <c r="L114" i="12"/>
  <c r="L162" i="12"/>
  <c r="X182" i="17"/>
  <c r="AD254" i="20"/>
  <c r="Q183" i="10"/>
  <c r="T86" i="13"/>
  <c r="AD164" i="10"/>
  <c r="V112" i="15"/>
  <c r="V160" i="15"/>
  <c r="L308" i="14"/>
  <c r="O101" i="16"/>
  <c r="O227" i="16"/>
  <c r="H102" i="15"/>
  <c r="H228" i="15"/>
  <c r="H244" i="15" s="1"/>
  <c r="C97" i="16"/>
  <c r="C223" i="16"/>
  <c r="Y180" i="10"/>
  <c r="Z307" i="14"/>
  <c r="AA46" i="14"/>
  <c r="P212" i="12"/>
  <c r="P309" i="12"/>
  <c r="O113" i="15"/>
  <c r="O161" i="15"/>
  <c r="AA180" i="11"/>
  <c r="X100" i="12"/>
  <c r="G164" i="11"/>
  <c r="G180" i="11"/>
  <c r="J83" i="17"/>
  <c r="W210" i="13"/>
  <c r="W307" i="13"/>
  <c r="B180" i="14"/>
  <c r="AE184" i="16"/>
  <c r="AB46" i="14"/>
  <c r="V211" i="12"/>
  <c r="V308" i="12"/>
  <c r="AM18" i="10"/>
  <c r="T82" i="16"/>
  <c r="E165" i="10"/>
  <c r="E181" i="10"/>
  <c r="J165" i="10"/>
  <c r="J181" i="10"/>
  <c r="K82" i="16"/>
  <c r="D82" i="15"/>
  <c r="N165" i="20"/>
  <c r="N181" i="20"/>
  <c r="E103" i="15"/>
  <c r="E229" i="15"/>
  <c r="E245" i="15" s="1"/>
  <c r="Y97" i="16"/>
  <c r="Y223" i="16"/>
  <c r="S181" i="14"/>
  <c r="E164" i="19"/>
  <c r="E180" i="19"/>
  <c r="AJ209" i="10"/>
  <c r="AJ91" i="10"/>
  <c r="AJ218" i="10" s="1"/>
  <c r="AJ234" i="10" s="1"/>
  <c r="AA181" i="16"/>
  <c r="Q115" i="12"/>
  <c r="Q163" i="12"/>
  <c r="Y166" i="19"/>
  <c r="AC248" i="20"/>
  <c r="AC264" i="20" s="1"/>
  <c r="AC106" i="20"/>
  <c r="B180" i="20"/>
  <c r="R165" i="10"/>
  <c r="M84" i="16"/>
  <c r="AB122" i="19"/>
  <c r="AB108" i="19"/>
  <c r="I84" i="16"/>
  <c r="AA165" i="19"/>
  <c r="B180" i="17"/>
  <c r="S308" i="14"/>
  <c r="S292" i="14" s="1"/>
  <c r="V83" i="17"/>
  <c r="T212" i="12"/>
  <c r="T309" i="12"/>
  <c r="D160" i="17"/>
  <c r="D112" i="17"/>
  <c r="P84" i="15"/>
  <c r="V164" i="14"/>
  <c r="V180" i="14"/>
  <c r="F166" i="19"/>
  <c r="F182" i="19"/>
  <c r="U83" i="17"/>
  <c r="T212" i="15"/>
  <c r="T309" i="15"/>
  <c r="V163" i="14"/>
  <c r="C210" i="12"/>
  <c r="C307" i="12"/>
  <c r="AL88" i="10"/>
  <c r="AL215" i="10" s="1"/>
  <c r="AL231" i="10" s="1"/>
  <c r="AD180" i="16"/>
  <c r="Y46" i="14"/>
  <c r="C82" i="15"/>
  <c r="C83" i="13"/>
  <c r="E180" i="17"/>
  <c r="AE165" i="20"/>
  <c r="W241" i="16"/>
  <c r="T183" i="13"/>
  <c r="G180" i="13"/>
  <c r="AB226" i="20"/>
  <c r="AB242" i="20" s="1"/>
  <c r="AB258" i="20" s="1"/>
  <c r="AB323" i="20"/>
  <c r="N103" i="14"/>
  <c r="N119" i="14" s="1"/>
  <c r="N246" i="14" s="1"/>
  <c r="N214" i="14"/>
  <c r="M87" i="14"/>
  <c r="S112" i="17"/>
  <c r="S239" i="17" s="1"/>
  <c r="S160" i="17"/>
  <c r="AD231" i="20"/>
  <c r="AD247" i="20" s="1"/>
  <c r="AD104" i="20"/>
  <c r="AD120" i="20" s="1"/>
  <c r="K82" i="13"/>
  <c r="AK155" i="10"/>
  <c r="J182" i="15"/>
  <c r="B96" i="17"/>
  <c r="G180" i="12"/>
  <c r="G164" i="12" s="1"/>
  <c r="H115" i="12"/>
  <c r="H163" i="12"/>
  <c r="K82" i="17"/>
  <c r="L84" i="17"/>
  <c r="L83" i="12"/>
  <c r="L99" i="12" s="1"/>
  <c r="Y112" i="16"/>
  <c r="Y160" i="16"/>
  <c r="B99" i="17"/>
  <c r="B225" i="17"/>
  <c r="B241" i="17" s="1"/>
  <c r="AF240" i="11"/>
  <c r="G82" i="17"/>
  <c r="Y181" i="15"/>
  <c r="AE231" i="20"/>
  <c r="AE247" i="20" s="1"/>
  <c r="AE263" i="20" s="1"/>
  <c r="AA292" i="10"/>
  <c r="AA296" i="10"/>
  <c r="AA289" i="10"/>
  <c r="AA293" i="10"/>
  <c r="AA297" i="10"/>
  <c r="AA290" i="10"/>
  <c r="AA291" i="10"/>
  <c r="AA295" i="10"/>
  <c r="AA298" i="10"/>
  <c r="AA294" i="10"/>
  <c r="AA288" i="10"/>
  <c r="AA287" i="10"/>
  <c r="D82" i="13"/>
  <c r="C97" i="15"/>
  <c r="C223" i="15"/>
  <c r="E82" i="17"/>
  <c r="W164" i="20"/>
  <c r="W180" i="20"/>
  <c r="S97" i="16"/>
  <c r="S223" i="16"/>
  <c r="S239" i="16" s="1"/>
  <c r="F116" i="12"/>
  <c r="F164" i="12"/>
  <c r="T164" i="12"/>
  <c r="T180" i="12"/>
  <c r="J239" i="17"/>
  <c r="R97" i="13"/>
  <c r="R223" i="13"/>
  <c r="R239" i="13" s="1"/>
  <c r="T212" i="17"/>
  <c r="T309" i="17"/>
  <c r="G180" i="15"/>
  <c r="G164" i="15" s="1"/>
  <c r="AD180" i="13"/>
  <c r="V184" i="19"/>
  <c r="AC239" i="13"/>
  <c r="U211" i="17"/>
  <c r="U308" i="17"/>
  <c r="AC183" i="17"/>
  <c r="B181" i="12"/>
  <c r="F84" i="17"/>
  <c r="AC108" i="19"/>
  <c r="AC112" i="19"/>
  <c r="AC239" i="19" s="1"/>
  <c r="AC160" i="19"/>
  <c r="AA308" i="14"/>
  <c r="X98" i="15"/>
  <c r="X224" i="15"/>
  <c r="X240" i="15" s="1"/>
  <c r="AM90" i="10"/>
  <c r="AM217" i="10" s="1"/>
  <c r="AM233" i="10" s="1"/>
  <c r="K239" i="15"/>
  <c r="R85" i="12"/>
  <c r="R101" i="12" s="1"/>
  <c r="R117" i="12" s="1"/>
  <c r="Z299" i="10"/>
  <c r="Z39" i="10"/>
  <c r="Z10" i="3" s="1"/>
  <c r="Z38" i="3" s="1"/>
  <c r="Z7" i="3"/>
  <c r="Z35" i="3" s="1"/>
  <c r="H309" i="17"/>
  <c r="H212" i="17"/>
  <c r="O215" i="14"/>
  <c r="O104" i="14"/>
  <c r="O120" i="14" s="1"/>
  <c r="O247" i="14" s="1"/>
  <c r="N88" i="14"/>
  <c r="E307" i="17"/>
  <c r="E210" i="17"/>
  <c r="M212" i="17"/>
  <c r="M309" i="17"/>
  <c r="Q82" i="15"/>
  <c r="K113" i="15"/>
  <c r="K240" i="15" s="1"/>
  <c r="K161" i="15"/>
  <c r="Q180" i="13"/>
  <c r="U210" i="16"/>
  <c r="U307" i="16"/>
  <c r="V179" i="11"/>
  <c r="AB308" i="14"/>
  <c r="W115" i="16"/>
  <c r="W163" i="16"/>
  <c r="H215" i="15"/>
  <c r="H312" i="15"/>
  <c r="AB257" i="20"/>
  <c r="P180" i="14"/>
  <c r="K182" i="17"/>
  <c r="Y115" i="15"/>
  <c r="Y242" i="15" s="1"/>
  <c r="Y163" i="15"/>
  <c r="AF180" i="11"/>
  <c r="K210" i="13"/>
  <c r="K307" i="13"/>
  <c r="AA214" i="13"/>
  <c r="AA311" i="13"/>
  <c r="M183" i="17"/>
  <c r="G82" i="16"/>
  <c r="AD212" i="13"/>
  <c r="AD309" i="13"/>
  <c r="I165" i="10"/>
  <c r="I181" i="10"/>
  <c r="Y240" i="15"/>
  <c r="C97" i="17"/>
  <c r="C223" i="17"/>
  <c r="C239" i="17" s="1"/>
  <c r="D180" i="12"/>
  <c r="D164" i="12"/>
  <c r="P183" i="12"/>
  <c r="M350" i="4"/>
  <c r="S350" i="4" s="1"/>
  <c r="AE180" i="13"/>
  <c r="AC212" i="15"/>
  <c r="AC309" i="15"/>
  <c r="B309" i="14"/>
  <c r="Y164" i="15"/>
  <c r="AE241" i="20"/>
  <c r="AE257" i="20" s="1"/>
  <c r="W163" i="20"/>
  <c r="T163" i="12"/>
  <c r="T84" i="17"/>
  <c r="Y35" i="10"/>
  <c r="Y41" i="10" s="1"/>
  <c r="Y36" i="10" s="1"/>
  <c r="G163" i="15"/>
  <c r="B25" i="11"/>
  <c r="B28" i="11" s="1"/>
  <c r="B26" i="11" s="1"/>
  <c r="AA181" i="10"/>
  <c r="Z163" i="20"/>
  <c r="AC308" i="14"/>
  <c r="P209" i="14"/>
  <c r="P289" i="14" s="1"/>
  <c r="P98" i="14"/>
  <c r="O82" i="14"/>
  <c r="AB296" i="10"/>
  <c r="AB293" i="10"/>
  <c r="AB297" i="10"/>
  <c r="AB294" i="10"/>
  <c r="AB292" i="10"/>
  <c r="AB295" i="10"/>
  <c r="AB298" i="10"/>
  <c r="AB290" i="10"/>
  <c r="AB288" i="10"/>
  <c r="AB287" i="10"/>
  <c r="AB291" i="10"/>
  <c r="AB289" i="10"/>
  <c r="R98" i="15"/>
  <c r="R224" i="15"/>
  <c r="R240" i="15" s="1"/>
  <c r="T180" i="15"/>
  <c r="Q84" i="12"/>
  <c r="Q100" i="12" s="1"/>
  <c r="AG181" i="14"/>
  <c r="AG165" i="14" s="1"/>
  <c r="C224" i="12"/>
  <c r="C240" i="12" s="1"/>
  <c r="C181" i="12"/>
  <c r="AM133" i="10"/>
  <c r="N164" i="19"/>
  <c r="N180" i="19"/>
  <c r="G181" i="14"/>
  <c r="T240" i="17"/>
  <c r="Y210" i="12"/>
  <c r="Y307" i="12"/>
  <c r="K97" i="16"/>
  <c r="K223" i="16"/>
  <c r="K239" i="16" s="1"/>
  <c r="AJ180" i="10"/>
  <c r="Y225" i="12"/>
  <c r="Y83" i="12"/>
  <c r="N84" i="15"/>
  <c r="AL84" i="10"/>
  <c r="AL211" i="10" s="1"/>
  <c r="AL227" i="10" s="1"/>
  <c r="M114" i="17"/>
  <c r="M162" i="17"/>
  <c r="K183" i="16"/>
  <c r="C180" i="14"/>
  <c r="P182" i="19"/>
  <c r="H181" i="12"/>
  <c r="O211" i="15"/>
  <c r="O308" i="15"/>
  <c r="L99" i="16"/>
  <c r="L225" i="16"/>
  <c r="L241" i="16" s="1"/>
  <c r="AE112" i="11"/>
  <c r="AE160" i="11"/>
  <c r="M84" i="17"/>
  <c r="N181" i="14"/>
  <c r="X83" i="17"/>
  <c r="I99" i="17"/>
  <c r="I225" i="17"/>
  <c r="L83" i="13"/>
  <c r="U180" i="19"/>
  <c r="Q181" i="12"/>
  <c r="I99" i="16"/>
  <c r="I225" i="16"/>
  <c r="U82" i="16"/>
  <c r="M308" i="14"/>
  <c r="AE213" i="13"/>
  <c r="AE310" i="13"/>
  <c r="V162" i="11"/>
  <c r="P180" i="15"/>
  <c r="AB291" i="14"/>
  <c r="L180" i="19"/>
  <c r="F85" i="12"/>
  <c r="F101" i="12" s="1"/>
  <c r="H87" i="15"/>
  <c r="I307" i="14"/>
  <c r="P163" i="14"/>
  <c r="M162" i="16"/>
  <c r="M114" i="16"/>
  <c r="B239" i="15"/>
  <c r="AD307" i="11"/>
  <c r="AD309" i="11"/>
  <c r="AD311" i="11"/>
  <c r="AD313" i="11"/>
  <c r="AD302" i="11"/>
  <c r="AD222" i="11" s="1"/>
  <c r="AD306" i="11"/>
  <c r="AD226" i="11" s="1"/>
  <c r="AD312" i="11"/>
  <c r="AD308" i="11"/>
  <c r="AD304" i="11"/>
  <c r="AD224" i="11" s="1"/>
  <c r="AD310" i="11"/>
  <c r="AD305" i="11"/>
  <c r="AD225" i="11" s="1"/>
  <c r="AD303" i="11"/>
  <c r="AD223" i="11" s="1"/>
  <c r="AA307" i="17"/>
  <c r="AA210" i="17"/>
  <c r="AA86" i="13"/>
  <c r="H210" i="16"/>
  <c r="H307" i="16"/>
  <c r="H211" i="12"/>
  <c r="H308" i="12"/>
  <c r="G210" i="16"/>
  <c r="G307" i="16"/>
  <c r="I164" i="10"/>
  <c r="G181" i="16"/>
  <c r="D163" i="12"/>
  <c r="AC181" i="14"/>
  <c r="AC165" i="14"/>
  <c r="AM139" i="10"/>
  <c r="S86" i="13"/>
  <c r="B182" i="19"/>
  <c r="B100" i="16"/>
  <c r="B226" i="16"/>
  <c r="B242" i="16" s="1"/>
  <c r="Z216" i="19"/>
  <c r="Z313" i="19"/>
  <c r="F308" i="14"/>
  <c r="I161" i="15"/>
  <c r="I113" i="15"/>
  <c r="AE226" i="20"/>
  <c r="AE242" i="20" s="1"/>
  <c r="F98" i="13"/>
  <c r="F224" i="13"/>
  <c r="F240" i="13" s="1"/>
  <c r="Y239" i="13"/>
  <c r="AG196" i="9"/>
  <c r="AG212" i="9"/>
  <c r="V181" i="17"/>
  <c r="T308" i="14"/>
  <c r="T292" i="14"/>
  <c r="AE164" i="10"/>
  <c r="AE180" i="10"/>
  <c r="D180" i="13"/>
  <c r="W100" i="16"/>
  <c r="W226" i="16"/>
  <c r="W242" i="16" s="1"/>
  <c r="N182" i="17"/>
  <c r="K182" i="12"/>
  <c r="Z232" i="11"/>
  <c r="Z233" i="11"/>
  <c r="P213" i="13"/>
  <c r="P310" i="13"/>
  <c r="K308" i="14"/>
  <c r="AC98" i="16"/>
  <c r="AC224" i="16"/>
  <c r="AC240" i="16" s="1"/>
  <c r="J112" i="13"/>
  <c r="J160" i="13"/>
  <c r="AG114" i="11"/>
  <c r="AG162" i="11"/>
  <c r="C181" i="15"/>
  <c r="E210" i="16"/>
  <c r="E307" i="16"/>
  <c r="G164" i="20"/>
  <c r="G180" i="20"/>
  <c r="U112" i="17"/>
  <c r="U239" i="17" s="1"/>
  <c r="U160" i="17"/>
  <c r="AM87" i="10"/>
  <c r="AM214" i="10" s="1"/>
  <c r="AM230" i="10" s="1"/>
  <c r="X211" i="17"/>
  <c r="X308" i="17"/>
  <c r="L211" i="13"/>
  <c r="L308" i="13"/>
  <c r="M212" i="13"/>
  <c r="M309" i="13"/>
  <c r="N112" i="13"/>
  <c r="N160" i="13"/>
  <c r="W100" i="15"/>
  <c r="W226" i="15"/>
  <c r="W242" i="15" s="1"/>
  <c r="AG226" i="11"/>
  <c r="AG323" i="11"/>
  <c r="AM84" i="10"/>
  <c r="AM211" i="10" s="1"/>
  <c r="AM227" i="10" s="1"/>
  <c r="O181" i="14"/>
  <c r="AG14" i="14"/>
  <c r="AG15" i="14" s="1"/>
  <c r="AH6" i="14"/>
  <c r="AI4" i="14"/>
  <c r="AH14" i="14" s="1"/>
  <c r="AH15" i="14" s="1"/>
  <c r="F212" i="12"/>
  <c r="F309" i="12"/>
  <c r="N210" i="17"/>
  <c r="N307" i="17"/>
  <c r="N166" i="10"/>
  <c r="N182" i="10"/>
  <c r="B310" i="16"/>
  <c r="B213" i="16"/>
  <c r="AA82" i="17"/>
  <c r="V82" i="15"/>
  <c r="Q239" i="16"/>
  <c r="H82" i="16"/>
  <c r="H84" i="12"/>
  <c r="H100" i="12" s="1"/>
  <c r="H226" i="12"/>
  <c r="H242" i="12" s="1"/>
  <c r="AD227" i="11"/>
  <c r="AD324" i="11"/>
  <c r="Q181" i="17"/>
  <c r="Z181" i="15"/>
  <c r="AF255" i="11"/>
  <c r="S211" i="17"/>
  <c r="S308" i="17"/>
  <c r="Y114" i="15"/>
  <c r="Y241" i="15" s="1"/>
  <c r="Y162" i="15"/>
  <c r="AC211" i="16"/>
  <c r="AC308" i="16"/>
  <c r="AE115" i="20"/>
  <c r="AE163" i="20"/>
  <c r="I240" i="17"/>
  <c r="S311" i="13"/>
  <c r="S214" i="13"/>
  <c r="Y180" i="14"/>
  <c r="AA181" i="14"/>
  <c r="AA165" i="14"/>
  <c r="K181" i="14"/>
  <c r="AB166" i="10"/>
  <c r="AB182" i="10"/>
  <c r="AD181" i="14"/>
  <c r="Z231" i="19"/>
  <c r="Z247" i="19" s="1"/>
  <c r="H97" i="13"/>
  <c r="H223" i="13"/>
  <c r="I83" i="15"/>
  <c r="AE232" i="20"/>
  <c r="C183" i="19"/>
  <c r="C167" i="19" s="1"/>
  <c r="I211" i="13"/>
  <c r="I308" i="13"/>
  <c r="R182" i="16"/>
  <c r="H181" i="16"/>
  <c r="W97" i="13"/>
  <c r="W223" i="13"/>
  <c r="W239" i="13" s="1"/>
  <c r="D181" i="15"/>
  <c r="S210" i="16"/>
  <c r="S307" i="16"/>
  <c r="N212" i="12"/>
  <c r="N309" i="12"/>
  <c r="S112" i="15"/>
  <c r="S239" i="15" s="1"/>
  <c r="S160" i="15"/>
  <c r="E180" i="13"/>
  <c r="AB87" i="17"/>
  <c r="H183" i="10"/>
  <c r="AG112" i="11"/>
  <c r="AG255" i="11" s="1"/>
  <c r="AG160" i="11"/>
  <c r="F97" i="16"/>
  <c r="F223" i="16"/>
  <c r="O166" i="19"/>
  <c r="O182" i="19"/>
  <c r="AE243" i="20"/>
  <c r="AE259" i="20" s="1"/>
  <c r="O112" i="17"/>
  <c r="O160" i="17"/>
  <c r="AB163" i="11"/>
  <c r="AB179" i="11"/>
  <c r="Q166" i="10"/>
  <c r="BZ5" i="11"/>
  <c r="AG5" i="11" s="1"/>
  <c r="AI4" i="11"/>
  <c r="AG4" i="11"/>
  <c r="AF14" i="11" s="1"/>
  <c r="CA4" i="11"/>
  <c r="N181" i="13"/>
  <c r="Y210" i="16"/>
  <c r="Y307" i="16"/>
  <c r="AM223" i="10"/>
  <c r="N113" i="15"/>
  <c r="N240" i="15" s="1"/>
  <c r="N161" i="15"/>
  <c r="Q182" i="16"/>
  <c r="I181" i="13"/>
  <c r="F114" i="17"/>
  <c r="F162" i="17"/>
  <c r="AE238" i="20"/>
  <c r="AG240" i="11"/>
  <c r="AG256" i="11" s="1"/>
  <c r="AB15" i="1"/>
  <c r="P308" i="14"/>
  <c r="R15" i="1"/>
  <c r="C225" i="12"/>
  <c r="C241" i="12" s="1"/>
  <c r="C83" i="12"/>
  <c r="C99" i="12" s="1"/>
  <c r="R212" i="12"/>
  <c r="R309" i="12"/>
  <c r="Z180" i="17"/>
  <c r="D210" i="16"/>
  <c r="D307" i="16"/>
  <c r="AG292" i="14"/>
  <c r="AG308" i="14"/>
  <c r="AF226" i="11"/>
  <c r="AF323" i="11"/>
  <c r="P83" i="16"/>
  <c r="M164" i="20"/>
  <c r="M180" i="20"/>
  <c r="L210" i="12"/>
  <c r="L307" i="12"/>
  <c r="J181" i="17"/>
  <c r="C112" i="15"/>
  <c r="C160" i="15"/>
  <c r="AM282" i="10"/>
  <c r="AA82" i="11"/>
  <c r="AA98" i="11" s="1"/>
  <c r="P113" i="16"/>
  <c r="P161" i="16"/>
  <c r="U97" i="16"/>
  <c r="U223" i="16"/>
  <c r="U239" i="16" s="1"/>
  <c r="L166" i="10"/>
  <c r="L182" i="10"/>
  <c r="E82" i="16"/>
  <c r="AC15" i="10"/>
  <c r="AC19" i="10" s="1"/>
  <c r="U181" i="15"/>
  <c r="Q181" i="14"/>
  <c r="G163" i="20"/>
  <c r="L165" i="10"/>
  <c r="AE238" i="11"/>
  <c r="H166" i="19"/>
  <c r="H182" i="19"/>
  <c r="Q164" i="14"/>
  <c r="AD180" i="11"/>
  <c r="H165" i="19"/>
  <c r="T99" i="15"/>
  <c r="T225" i="15"/>
  <c r="T241" i="15" s="1"/>
  <c r="J98" i="17"/>
  <c r="J224" i="17"/>
  <c r="J240" i="17" s="1"/>
  <c r="L180" i="16"/>
  <c r="O228" i="12"/>
  <c r="O244" i="12" s="1"/>
  <c r="AB81" i="11"/>
  <c r="AB97" i="11" s="1"/>
  <c r="AB239" i="11"/>
  <c r="M84" i="13"/>
  <c r="S181" i="16"/>
  <c r="AG83" i="11"/>
  <c r="AG99" i="11" s="1"/>
  <c r="T116" i="13"/>
  <c r="T164" i="13"/>
  <c r="AH219" i="14"/>
  <c r="S224" i="12"/>
  <c r="S240" i="12" s="1"/>
  <c r="AB239" i="16"/>
  <c r="S210" i="12"/>
  <c r="S307" i="12"/>
  <c r="AB211" i="15"/>
  <c r="AB308" i="15"/>
  <c r="Y211" i="17"/>
  <c r="Y308" i="17"/>
  <c r="N82" i="17"/>
  <c r="O214" i="16"/>
  <c r="O311" i="16"/>
  <c r="N165" i="10"/>
  <c r="B85" i="16"/>
  <c r="Y293" i="14"/>
  <c r="Y309" i="14"/>
  <c r="AH108" i="14"/>
  <c r="M181" i="14"/>
  <c r="Z163" i="11"/>
  <c r="Z179" i="11"/>
  <c r="F210" i="16"/>
  <c r="F307" i="16"/>
  <c r="AE90" i="20"/>
  <c r="V210" i="15"/>
  <c r="V307" i="15"/>
  <c r="Q113" i="16"/>
  <c r="Q161" i="16"/>
  <c r="O101" i="14"/>
  <c r="O117" i="14" s="1"/>
  <c r="O244" i="14" s="1"/>
  <c r="N85" i="14"/>
  <c r="O212" i="14"/>
  <c r="G226" i="12"/>
  <c r="G242" i="12" s="1"/>
  <c r="P99" i="15"/>
  <c r="P225" i="15"/>
  <c r="P241" i="15" s="1"/>
  <c r="D97" i="13"/>
  <c r="D223" i="13"/>
  <c r="D239" i="13" s="1"/>
  <c r="R163" i="11"/>
  <c r="R179" i="11"/>
  <c r="G212" i="12"/>
  <c r="G309" i="12"/>
  <c r="AF113" i="11"/>
  <c r="AF161" i="11"/>
  <c r="S83" i="17"/>
  <c r="AA183" i="15"/>
  <c r="M182" i="16"/>
  <c r="AC83" i="16"/>
  <c r="O181" i="20"/>
  <c r="E181" i="15"/>
  <c r="I114" i="17"/>
  <c r="I162" i="17"/>
  <c r="Y214" i="15"/>
  <c r="Y311" i="15"/>
  <c r="P181" i="11"/>
  <c r="J183" i="16"/>
  <c r="Y163" i="14"/>
  <c r="AB165" i="10"/>
  <c r="G181" i="19"/>
  <c r="G165" i="19"/>
  <c r="I211" i="15"/>
  <c r="I308" i="15"/>
  <c r="B212" i="17"/>
  <c r="B309" i="17"/>
  <c r="AE229" i="20"/>
  <c r="AE245" i="20" s="1"/>
  <c r="AE261" i="20" s="1"/>
  <c r="C166" i="19"/>
  <c r="N181" i="12"/>
  <c r="Y113" i="13"/>
  <c r="Y161" i="13"/>
  <c r="I83" i="13"/>
  <c r="G101" i="15"/>
  <c r="G227" i="15"/>
  <c r="G243" i="15" s="1"/>
  <c r="Y101" i="15"/>
  <c r="Y117" i="15" s="1"/>
  <c r="Y227" i="15"/>
  <c r="Y243" i="15" s="1"/>
  <c r="E85" i="12"/>
  <c r="AA238" i="11"/>
  <c r="AA80" i="11"/>
  <c r="AA96" i="11" s="1"/>
  <c r="R210" i="13"/>
  <c r="R307" i="13"/>
  <c r="AD210" i="16"/>
  <c r="AD307" i="16"/>
  <c r="X211" i="13"/>
  <c r="X308" i="13"/>
  <c r="S82" i="16"/>
  <c r="E88" i="15"/>
  <c r="N85" i="12"/>
  <c r="N101" i="12" s="1"/>
  <c r="N117" i="12" s="1"/>
  <c r="N227" i="12"/>
  <c r="N243" i="12" s="1"/>
  <c r="V210" i="16"/>
  <c r="V307" i="16"/>
  <c r="AB215" i="17"/>
  <c r="AB312" i="17"/>
  <c r="H166" i="10"/>
  <c r="AG238" i="11"/>
  <c r="W293" i="14"/>
  <c r="W309" i="14"/>
  <c r="U98" i="13"/>
  <c r="U224" i="13"/>
  <c r="U240" i="13" s="1"/>
  <c r="AD211" i="17"/>
  <c r="AD308" i="17"/>
  <c r="D89" i="12"/>
  <c r="D105" i="12" s="1"/>
  <c r="D121" i="12" s="1"/>
  <c r="AD180" i="12"/>
  <c r="S291" i="14"/>
  <c r="L160" i="15"/>
  <c r="L112" i="15"/>
  <c r="O165" i="19"/>
  <c r="H114" i="17"/>
  <c r="H162" i="17"/>
  <c r="W114" i="12"/>
  <c r="W241" i="12" s="1"/>
  <c r="W162" i="12"/>
  <c r="Y98" i="12"/>
  <c r="N212" i="15"/>
  <c r="N309" i="15"/>
  <c r="AD245" i="20"/>
  <c r="AD261" i="20" s="1"/>
  <c r="T182" i="19"/>
  <c r="P308" i="16"/>
  <c r="P211" i="16"/>
  <c r="AA291" i="14"/>
  <c r="M182" i="11"/>
  <c r="B211" i="15"/>
  <c r="B308" i="15"/>
  <c r="U83" i="12"/>
  <c r="U225" i="12"/>
  <c r="X98" i="17"/>
  <c r="X224" i="17"/>
  <c r="X240" i="17" s="1"/>
  <c r="P182" i="20"/>
  <c r="P166" i="20"/>
  <c r="O86" i="16"/>
  <c r="AF219" i="10"/>
  <c r="AF33" i="10" s="1"/>
  <c r="AF35" i="10" s="1"/>
  <c r="AF41" i="10" s="1"/>
  <c r="AF36" i="10" s="1"/>
  <c r="F211" i="13"/>
  <c r="F308" i="13"/>
  <c r="F82" i="16"/>
  <c r="AE92" i="20"/>
  <c r="V181" i="10"/>
  <c r="Z98" i="15"/>
  <c r="Z224" i="15"/>
  <c r="AH181" i="14"/>
  <c r="AD181" i="17"/>
  <c r="X181" i="12"/>
  <c r="E181" i="20"/>
  <c r="G85" i="12"/>
  <c r="G101" i="12" s="1"/>
  <c r="G117" i="12" s="1"/>
  <c r="AD182" i="20"/>
  <c r="Y86" i="15"/>
  <c r="N112" i="17"/>
  <c r="N160" i="17"/>
  <c r="J211" i="16"/>
  <c r="J308" i="16"/>
  <c r="L239" i="15"/>
  <c r="F184" i="17"/>
  <c r="AI91" i="10"/>
  <c r="AI218" i="10" s="1"/>
  <c r="AI234" i="10" s="1"/>
  <c r="B84" i="17"/>
  <c r="W239" i="15"/>
  <c r="H164" i="20"/>
  <c r="H180" i="20"/>
  <c r="N164" i="12"/>
  <c r="E212" i="12"/>
  <c r="E309" i="12"/>
  <c r="R82" i="13"/>
  <c r="X83" i="13"/>
  <c r="Q98" i="16"/>
  <c r="Q224" i="16"/>
  <c r="Q240" i="16" s="1"/>
  <c r="E313" i="15"/>
  <c r="E216" i="15"/>
  <c r="E210" i="13"/>
  <c r="E307" i="13"/>
  <c r="AA97" i="17"/>
  <c r="AA223" i="17"/>
  <c r="AA239" i="17" s="1"/>
  <c r="AD211" i="15"/>
  <c r="AD308" i="15"/>
  <c r="V82" i="16"/>
  <c r="Q98" i="17"/>
  <c r="Q224" i="17"/>
  <c r="Q240" i="17" s="1"/>
  <c r="X239" i="13"/>
  <c r="V167" i="19"/>
  <c r="Z89" i="11"/>
  <c r="Z105" i="11" s="1"/>
  <c r="Z121" i="11" s="1"/>
  <c r="Z247" i="11"/>
  <c r="Z263" i="11" s="1"/>
  <c r="P85" i="13"/>
  <c r="X164" i="14"/>
  <c r="X180" i="14"/>
  <c r="X114" i="12"/>
  <c r="X241" i="12" s="1"/>
  <c r="X162" i="12"/>
  <c r="Y82" i="16"/>
  <c r="Y179" i="11"/>
  <c r="AE114" i="11"/>
  <c r="AE162" i="11"/>
  <c r="U210" i="12"/>
  <c r="U307" i="12"/>
  <c r="Q179" i="11"/>
  <c r="Q163" i="11" s="1"/>
  <c r="O116" i="16"/>
  <c r="O164" i="16"/>
  <c r="C180" i="17"/>
  <c r="Y162" i="11"/>
  <c r="O180" i="17"/>
  <c r="AA180" i="13"/>
  <c r="AC180" i="12"/>
  <c r="V82" i="13"/>
  <c r="X98" i="13"/>
  <c r="X224" i="13"/>
  <c r="D82" i="16"/>
  <c r="AE23" i="15"/>
  <c r="AE25" i="15" s="1"/>
  <c r="AE28" i="15" s="1"/>
  <c r="AE26" i="15" s="1"/>
  <c r="AE251" i="15"/>
  <c r="G307" i="14"/>
  <c r="D210" i="13"/>
  <c r="D307" i="13"/>
  <c r="K164" i="11"/>
  <c r="K180" i="11"/>
  <c r="X101" i="16"/>
  <c r="X227" i="16"/>
  <c r="X243" i="16" s="1"/>
  <c r="S114" i="12"/>
  <c r="S162" i="12"/>
  <c r="E184" i="14"/>
  <c r="D183" i="11"/>
  <c r="O210" i="13"/>
  <c r="O307" i="13"/>
  <c r="AL82" i="10"/>
  <c r="H181" i="17"/>
  <c r="Z211" i="13"/>
  <c r="Z308" i="13"/>
  <c r="P165" i="20"/>
  <c r="P100" i="13"/>
  <c r="P226" i="13"/>
  <c r="P213" i="14"/>
  <c r="P102" i="14"/>
  <c r="P118" i="14" s="1"/>
  <c r="P245" i="14" s="1"/>
  <c r="O86" i="14"/>
  <c r="G97" i="17"/>
  <c r="G223" i="17"/>
  <c r="G239" i="17" s="1"/>
  <c r="F181" i="14"/>
  <c r="AB102" i="17"/>
  <c r="AB228" i="17"/>
  <c r="AB244" i="17" s="1"/>
  <c r="F83" i="13"/>
  <c r="W243" i="12"/>
  <c r="V164" i="10"/>
  <c r="Y211" i="13"/>
  <c r="Y308" i="13"/>
  <c r="X112" i="13"/>
  <c r="X160" i="13"/>
  <c r="AL208" i="10"/>
  <c r="AC180" i="16"/>
  <c r="AA180" i="17"/>
  <c r="E164" i="20"/>
  <c r="T165" i="20"/>
  <c r="T181" i="20"/>
  <c r="S181" i="12"/>
  <c r="S101" i="13"/>
  <c r="S117" i="13" s="1"/>
  <c r="S227" i="13"/>
  <c r="S243" i="13" s="1"/>
  <c r="B180" i="10"/>
  <c r="S212" i="15"/>
  <c r="S309" i="15"/>
  <c r="B179" i="11"/>
  <c r="AC4" i="12"/>
  <c r="N182" i="15"/>
  <c r="M183" i="10"/>
  <c r="J83" i="16"/>
  <c r="U113" i="12"/>
  <c r="U240" i="12" s="1"/>
  <c r="U161" i="12"/>
  <c r="L113" i="15"/>
  <c r="L161" i="15"/>
  <c r="AF342" i="9"/>
  <c r="AF343" i="9" s="1"/>
  <c r="AF344" i="9" s="1"/>
  <c r="AF345" i="9" s="1"/>
  <c r="AE228" i="20"/>
  <c r="AE244" i="20" s="1"/>
  <c r="AE260" i="20" s="1"/>
  <c r="U181" i="20"/>
  <c r="U165" i="20"/>
  <c r="I98" i="13"/>
  <c r="I224" i="13"/>
  <c r="I240" i="13" s="1"/>
  <c r="I98" i="15"/>
  <c r="I224" i="15"/>
  <c r="I240" i="15" s="1"/>
  <c r="AE180" i="11"/>
  <c r="AA210" i="16"/>
  <c r="AA307" i="16"/>
  <c r="L182" i="15"/>
  <c r="V181" i="13"/>
  <c r="O106" i="14"/>
  <c r="O122" i="14" s="1"/>
  <c r="O249" i="14" s="1"/>
  <c r="O217" i="14"/>
  <c r="N90" i="14"/>
  <c r="C98" i="13"/>
  <c r="C224" i="13"/>
  <c r="C240" i="13" s="1"/>
  <c r="AD11" i="1"/>
  <c r="AD43" i="1" s="1"/>
  <c r="AD15" i="10"/>
  <c r="AD19" i="10" s="1"/>
  <c r="R308" i="14"/>
  <c r="Z181" i="10"/>
  <c r="Z165" i="10" s="1"/>
  <c r="F182" i="10"/>
  <c r="F166" i="10"/>
  <c r="E82" i="13"/>
  <c r="AG329" i="9"/>
  <c r="T101" i="13"/>
  <c r="T227" i="13"/>
  <c r="T243" i="13" s="1"/>
  <c r="AA182" i="12"/>
  <c r="AC259" i="20"/>
  <c r="W164" i="10"/>
  <c r="W180" i="10"/>
  <c r="D307" i="17"/>
  <c r="D210" i="17"/>
  <c r="V112" i="16"/>
  <c r="V160" i="16"/>
  <c r="W83" i="17"/>
  <c r="AF181" i="14"/>
  <c r="L99" i="17"/>
  <c r="L225" i="17"/>
  <c r="L241" i="17" s="1"/>
  <c r="Q112" i="13"/>
  <c r="Q160" i="13"/>
  <c r="X85" i="12"/>
  <c r="AB181" i="12"/>
  <c r="B98" i="15"/>
  <c r="B224" i="15"/>
  <c r="B240" i="15" s="1"/>
  <c r="AF165" i="10"/>
  <c r="AF181" i="10"/>
  <c r="W180" i="19"/>
  <c r="W85" i="15"/>
  <c r="H82" i="13"/>
  <c r="Q292" i="14"/>
  <c r="Q308" i="14"/>
  <c r="M212" i="16"/>
  <c r="M309" i="16"/>
  <c r="Z99" i="16"/>
  <c r="Z225" i="16"/>
  <c r="Z241" i="16" s="1"/>
  <c r="C181" i="16"/>
  <c r="F182" i="12"/>
  <c r="L163" i="20"/>
  <c r="L179" i="20"/>
  <c r="Z82" i="17"/>
  <c r="AB164" i="19"/>
  <c r="B84" i="12"/>
  <c r="B100" i="12" s="1"/>
  <c r="X180" i="15"/>
  <c r="V211" i="17"/>
  <c r="V308" i="17"/>
  <c r="G239" i="13"/>
  <c r="X211" i="15"/>
  <c r="X308" i="15"/>
  <c r="M99" i="17"/>
  <c r="M225" i="17"/>
  <c r="M241" i="17" s="1"/>
  <c r="K112" i="17"/>
  <c r="K160" i="17"/>
  <c r="X113" i="15"/>
  <c r="X161" i="15"/>
  <c r="AH309" i="14"/>
  <c r="AH293" i="14" s="1"/>
  <c r="E163" i="19"/>
  <c r="S163" i="11"/>
  <c r="S179" i="11"/>
  <c r="X164" i="16"/>
  <c r="F181" i="20"/>
  <c r="AC262" i="20"/>
  <c r="T214" i="13"/>
  <c r="T311" i="13"/>
  <c r="AG138" i="9"/>
  <c r="AG154" i="9" s="1"/>
  <c r="AG281" i="9" s="1"/>
  <c r="AG137" i="9"/>
  <c r="AG153" i="9" s="1"/>
  <c r="AG280" i="9" s="1"/>
  <c r="AG136" i="9"/>
  <c r="AG152" i="9" s="1"/>
  <c r="AG279" i="9" s="1"/>
  <c r="AG135" i="9"/>
  <c r="AG151" i="9" s="1"/>
  <c r="AG278" i="9" s="1"/>
  <c r="AG133" i="9"/>
  <c r="AG149" i="9" s="1"/>
  <c r="AG276" i="9" s="1"/>
  <c r="AG132" i="9"/>
  <c r="AG148" i="9" s="1"/>
  <c r="AG275" i="9" s="1"/>
  <c r="AG131" i="9"/>
  <c r="AG147" i="9" s="1"/>
  <c r="AG274" i="9" s="1"/>
  <c r="AG130" i="9"/>
  <c r="AG146" i="9" s="1"/>
  <c r="AG273" i="9" s="1"/>
  <c r="AG128" i="9"/>
  <c r="AG144" i="9" s="1"/>
  <c r="AG271" i="9" s="1"/>
  <c r="AG127" i="9"/>
  <c r="AG143" i="9" s="1"/>
  <c r="AG270" i="9" s="1"/>
  <c r="AG134" i="9"/>
  <c r="AG150" i="9" s="1"/>
  <c r="AG277" i="9" s="1"/>
  <c r="AG129" i="9"/>
  <c r="AG145" i="9" s="1"/>
  <c r="AG272" i="9" s="1"/>
  <c r="N239" i="15"/>
  <c r="X180" i="11"/>
  <c r="AK251" i="10"/>
  <c r="T85" i="12"/>
  <c r="T101" i="12" s="1"/>
  <c r="T117" i="12" s="1"/>
  <c r="T227" i="12"/>
  <c r="T243" i="12" s="1"/>
  <c r="U112" i="15"/>
  <c r="U160" i="15"/>
  <c r="M99" i="16"/>
  <c r="M225" i="16"/>
  <c r="M241" i="16" s="1"/>
  <c r="H182" i="15"/>
  <c r="H166" i="15" s="1"/>
  <c r="AA97" i="16"/>
  <c r="AA223" i="16"/>
  <c r="AA239" i="16" s="1"/>
  <c r="AB180" i="16"/>
  <c r="P242" i="12"/>
  <c r="E181" i="11"/>
  <c r="AB98" i="13"/>
  <c r="AB224" i="13"/>
  <c r="I181" i="14"/>
  <c r="D112" i="15"/>
  <c r="D160" i="15"/>
  <c r="O98" i="15"/>
  <c r="O224" i="15"/>
  <c r="F165" i="19"/>
  <c r="T84" i="15"/>
  <c r="J181" i="19"/>
  <c r="AK181" i="10"/>
  <c r="M115" i="12"/>
  <c r="M163" i="12"/>
  <c r="E183" i="12"/>
  <c r="J308" i="14"/>
  <c r="AM83" i="10"/>
  <c r="AM210" i="10" s="1"/>
  <c r="AM226" i="10" s="1"/>
  <c r="K183" i="10"/>
  <c r="H97" i="16"/>
  <c r="H223" i="16"/>
  <c r="H239" i="16" s="1"/>
  <c r="K210" i="17"/>
  <c r="K307" i="17"/>
  <c r="AF114" i="11"/>
  <c r="AF162" i="11"/>
  <c r="E112" i="13"/>
  <c r="E160" i="13"/>
  <c r="AF309" i="14"/>
  <c r="AF293" i="14" s="1"/>
  <c r="AF241" i="11"/>
  <c r="AF257" i="11" s="1"/>
  <c r="AF83" i="11"/>
  <c r="AF99" i="11" s="1"/>
  <c r="AB226" i="11"/>
  <c r="AB323" i="11"/>
  <c r="K112" i="12"/>
  <c r="K239" i="12" s="1"/>
  <c r="K160" i="12"/>
  <c r="AB113" i="16"/>
  <c r="AB240" i="16" s="1"/>
  <c r="AB161" i="16"/>
  <c r="S83" i="12"/>
  <c r="Y83" i="17"/>
  <c r="V182" i="12"/>
  <c r="AB80" i="11"/>
  <c r="AB96" i="11" s="1"/>
  <c r="AB238" i="11"/>
  <c r="S164" i="20"/>
  <c r="S180" i="20"/>
  <c r="Z112" i="17"/>
  <c r="Z160" i="17"/>
  <c r="Z161" i="15"/>
  <c r="Z113" i="15"/>
  <c r="AE184" i="17"/>
  <c r="H116" i="15"/>
  <c r="H243" i="15" s="1"/>
  <c r="H164" i="15"/>
  <c r="M211" i="15"/>
  <c r="M308" i="15"/>
  <c r="O180" i="11"/>
  <c r="G97" i="16"/>
  <c r="G223" i="16"/>
  <c r="G239" i="16" s="1"/>
  <c r="G211" i="13"/>
  <c r="G308" i="13"/>
  <c r="L211" i="15"/>
  <c r="L308" i="15"/>
  <c r="U309" i="14"/>
  <c r="B115" i="12"/>
  <c r="B163" i="12"/>
  <c r="AB82" i="11"/>
  <c r="S163" i="20"/>
  <c r="T181" i="17"/>
  <c r="X180" i="13"/>
  <c r="AC46" i="14"/>
  <c r="AC28" i="1"/>
  <c r="AA239" i="13"/>
  <c r="I84" i="17"/>
  <c r="D166" i="11"/>
  <c r="O82" i="13"/>
  <c r="P115" i="13"/>
  <c r="P163" i="13"/>
  <c r="AG21" i="10"/>
  <c r="AG23" i="10" s="1"/>
  <c r="W164" i="15"/>
  <c r="W180" i="15"/>
  <c r="M83" i="15"/>
  <c r="O163" i="11"/>
  <c r="Z83" i="13"/>
  <c r="BY6" i="11"/>
  <c r="AF5" i="11"/>
  <c r="R97" i="16"/>
  <c r="R223" i="16"/>
  <c r="R239" i="16" s="1"/>
  <c r="E97" i="13"/>
  <c r="E223" i="13"/>
  <c r="W101" i="12"/>
  <c r="W117" i="12" s="1"/>
  <c r="O181" i="13"/>
  <c r="AG4" i="10"/>
  <c r="Y83" i="13"/>
  <c r="Q239" i="17"/>
  <c r="W181" i="17"/>
  <c r="Z211" i="15"/>
  <c r="Z308" i="15"/>
  <c r="I180" i="11"/>
  <c r="AB164" i="20"/>
  <c r="AB180" i="20"/>
  <c r="B163" i="10"/>
  <c r="S84" i="15"/>
  <c r="O210" i="14"/>
  <c r="O290" i="14" s="1"/>
  <c r="O99" i="14"/>
  <c r="N83" i="14"/>
  <c r="N99" i="16"/>
  <c r="N225" i="16"/>
  <c r="N241" i="16" s="1"/>
  <c r="D180" i="20"/>
  <c r="AC10" i="3"/>
  <c r="AC38" i="3" s="1"/>
  <c r="B162" i="11"/>
  <c r="C307" i="16"/>
  <c r="C210" i="16"/>
  <c r="M166" i="10"/>
  <c r="AA240" i="19"/>
  <c r="AC304" i="11"/>
  <c r="AC224" i="11" s="1"/>
  <c r="AC302" i="11"/>
  <c r="AC222" i="11" s="1"/>
  <c r="AC303" i="11"/>
  <c r="AC223" i="11" s="1"/>
  <c r="Y180" i="20"/>
  <c r="W113" i="15"/>
  <c r="W240" i="15" s="1"/>
  <c r="W161" i="15"/>
  <c r="N210" i="13"/>
  <c r="N307" i="13"/>
  <c r="O211" i="14"/>
  <c r="O291" i="14" s="1"/>
  <c r="O100" i="14"/>
  <c r="N84" i="14"/>
  <c r="V167" i="20"/>
  <c r="V183" i="20"/>
  <c r="AA82" i="16"/>
  <c r="H181" i="14"/>
  <c r="R291" i="14"/>
  <c r="Z164" i="10"/>
  <c r="F165" i="10"/>
  <c r="P97" i="14"/>
  <c r="O81" i="14"/>
  <c r="P208" i="14"/>
  <c r="P288" i="14" s="1"/>
  <c r="I181" i="16"/>
  <c r="J181" i="14"/>
  <c r="J210" i="13"/>
  <c r="J307" i="13"/>
  <c r="X83" i="15"/>
  <c r="J182" i="13"/>
  <c r="L84" i="16"/>
  <c r="B181" i="16"/>
  <c r="S162" i="11"/>
  <c r="C181" i="13"/>
  <c r="O181" i="15"/>
  <c r="X165" i="10"/>
  <c r="X181" i="10"/>
  <c r="X113" i="13"/>
  <c r="X161" i="13"/>
  <c r="T99" i="17"/>
  <c r="T225" i="17"/>
  <c r="T241" i="17" s="1"/>
  <c r="AE282" i="15"/>
  <c r="K181" i="15"/>
  <c r="N163" i="19"/>
  <c r="K212" i="15"/>
  <c r="K309" i="15"/>
  <c r="H180" i="11"/>
  <c r="V210" i="13"/>
  <c r="V307" i="13"/>
  <c r="C211" i="13"/>
  <c r="C308" i="13"/>
  <c r="O97" i="17"/>
  <c r="O223" i="17"/>
  <c r="O239" i="17" s="1"/>
  <c r="Y98" i="17"/>
  <c r="Y224" i="17"/>
  <c r="Y240" i="17" s="1"/>
  <c r="M225" i="12"/>
  <c r="M241" i="12" s="1"/>
  <c r="D180" i="17"/>
  <c r="G210" i="17"/>
  <c r="G307" i="17"/>
  <c r="U181" i="12"/>
  <c r="AL282" i="10"/>
  <c r="AM88" i="10"/>
  <c r="AM215" i="10" s="1"/>
  <c r="AM231" i="10" s="1"/>
  <c r="AE116" i="20"/>
  <c r="AE164" i="20"/>
  <c r="V112" i="17"/>
  <c r="V239" i="17" s="1"/>
  <c r="V160" i="17"/>
  <c r="T179" i="11"/>
  <c r="Q240" i="12"/>
  <c r="AE210" i="17"/>
  <c r="AE307" i="17"/>
  <c r="AE39" i="10"/>
  <c r="AE299" i="10"/>
  <c r="AI180" i="10"/>
  <c r="P181" i="16"/>
  <c r="G83" i="13"/>
  <c r="L83" i="15"/>
  <c r="P181" i="13"/>
  <c r="Z227" i="12"/>
  <c r="Z243" i="12" s="1"/>
  <c r="Z85" i="12"/>
  <c r="Z101" i="12" s="1"/>
  <c r="Z117" i="12" s="1"/>
  <c r="AC165" i="10"/>
  <c r="AC181" i="10"/>
  <c r="AD90" i="20"/>
  <c r="M183" i="13"/>
  <c r="AC43" i="1"/>
  <c r="AC29" i="1"/>
  <c r="AC30" i="1" s="1"/>
  <c r="AC31" i="1" s="1"/>
  <c r="AA113" i="13"/>
  <c r="AA240" i="13" s="1"/>
  <c r="AA161" i="13"/>
  <c r="I309" i="17"/>
  <c r="I212" i="17"/>
  <c r="R211" i="15"/>
  <c r="R308" i="15"/>
  <c r="U179" i="11"/>
  <c r="AE15" i="17"/>
  <c r="AE46" i="17" s="1"/>
  <c r="AE18" i="17"/>
  <c r="AM82" i="10"/>
  <c r="W163" i="15"/>
  <c r="I181" i="12"/>
  <c r="I165" i="12" s="1"/>
  <c r="R181" i="19"/>
  <c r="R165" i="19" s="1"/>
  <c r="V99" i="12"/>
  <c r="AD105" i="20"/>
  <c r="AD121" i="20" s="1"/>
  <c r="AD232" i="20"/>
  <c r="AE111" i="20"/>
  <c r="AE159" i="20"/>
  <c r="AB181" i="14"/>
  <c r="AB165" i="14"/>
  <c r="Q113" i="17"/>
  <c r="Q161" i="17"/>
  <c r="AC15" i="1"/>
  <c r="L183" i="11"/>
  <c r="L167" i="11"/>
  <c r="Z83" i="15"/>
  <c r="D181" i="16"/>
  <c r="K97" i="17"/>
  <c r="K223" i="17"/>
  <c r="K239" i="17" s="1"/>
  <c r="Q180" i="15"/>
  <c r="V307" i="14"/>
  <c r="AC296" i="10"/>
  <c r="AC289" i="10"/>
  <c r="AC293" i="10"/>
  <c r="AC297" i="10"/>
  <c r="AC290" i="10"/>
  <c r="AC294" i="10"/>
  <c r="AC295" i="10"/>
  <c r="AC298" i="10"/>
  <c r="AC292" i="10"/>
  <c r="AC288" i="10"/>
  <c r="AC287" i="10"/>
  <c r="AC291" i="10"/>
  <c r="C82" i="16"/>
  <c r="AD183" i="15"/>
  <c r="C210" i="17"/>
  <c r="C307" i="17"/>
  <c r="P98" i="16"/>
  <c r="P224" i="16"/>
  <c r="P240" i="16" s="1"/>
  <c r="AD307" i="14"/>
  <c r="AB212" i="19"/>
  <c r="AB309" i="19"/>
  <c r="Z182" i="13"/>
  <c r="N82" i="13"/>
  <c r="AF4" i="15"/>
  <c r="AE14" i="15" s="1"/>
  <c r="AE15" i="15" s="1"/>
  <c r="AE46" i="15" s="1"/>
  <c r="R182" i="13"/>
  <c r="AA241" i="11"/>
  <c r="AA83" i="11"/>
  <c r="AA99" i="11" s="1"/>
  <c r="Z98" i="13"/>
  <c r="Z224" i="13"/>
  <c r="Z240" i="13" s="1"/>
  <c r="E116" i="12"/>
  <c r="E164" i="12"/>
  <c r="V97" i="15"/>
  <c r="V223" i="15"/>
  <c r="Q113" i="14"/>
  <c r="Q240" i="14" s="1"/>
  <c r="Q161" i="14"/>
  <c r="O112" i="13"/>
  <c r="O160" i="13"/>
  <c r="J82" i="13"/>
  <c r="B112" i="15"/>
  <c r="B160" i="15"/>
  <c r="B83" i="13"/>
  <c r="N181" i="16"/>
  <c r="M182" i="15"/>
  <c r="O181" i="12"/>
  <c r="D97" i="17"/>
  <c r="D223" i="17"/>
  <c r="Z103" i="11"/>
  <c r="W179" i="11"/>
  <c r="T182" i="14"/>
  <c r="AE180" i="12"/>
  <c r="L162" i="20"/>
  <c r="D313" i="12"/>
  <c r="D216" i="12"/>
  <c r="U182" i="13"/>
  <c r="J181" i="20"/>
  <c r="J165" i="20"/>
  <c r="K182" i="19"/>
  <c r="G113" i="13"/>
  <c r="G161" i="13"/>
  <c r="AG183" i="10"/>
  <c r="B183" i="15"/>
  <c r="B163" i="20"/>
  <c r="AB182" i="13"/>
  <c r="F309" i="17"/>
  <c r="F212" i="17"/>
  <c r="J97" i="15"/>
  <c r="J223" i="15"/>
  <c r="C210" i="15"/>
  <c r="C307" i="15"/>
  <c r="T114" i="17"/>
  <c r="T162" i="17"/>
  <c r="M180" i="19"/>
  <c r="H84" i="17"/>
  <c r="Z97" i="17"/>
  <c r="Z223" i="17"/>
  <c r="C309" i="14"/>
  <c r="X309" i="14"/>
  <c r="Y224" i="12"/>
  <c r="Y240" i="12" s="1"/>
  <c r="K84" i="15"/>
  <c r="AE255" i="20"/>
  <c r="B83" i="15"/>
  <c r="Z164" i="12"/>
  <c r="Z180" i="12"/>
  <c r="AG291" i="14"/>
  <c r="AH182" i="10"/>
  <c r="F99" i="17"/>
  <c r="F225" i="17"/>
  <c r="Z165" i="14"/>
  <c r="Z181" i="14"/>
  <c r="O308" i="14"/>
  <c r="Q211" i="17"/>
  <c r="Q308" i="17"/>
  <c r="AA227" i="11"/>
  <c r="AA324" i="11"/>
  <c r="AH93" i="14"/>
  <c r="M98" i="15"/>
  <c r="M224" i="15"/>
  <c r="M240" i="15" s="1"/>
  <c r="AG225" i="10"/>
  <c r="AG219" i="10"/>
  <c r="AG33" i="10" s="1"/>
  <c r="AG35" i="10" s="1"/>
  <c r="AG41" i="10" s="1"/>
  <c r="AG36" i="10" s="1"/>
  <c r="O82" i="17"/>
  <c r="B98" i="13"/>
  <c r="B224" i="13"/>
  <c r="B240" i="13" s="1"/>
  <c r="V241" i="12"/>
  <c r="Y180" i="13"/>
  <c r="X183" i="19"/>
  <c r="X167" i="19"/>
  <c r="T112" i="16"/>
  <c r="T160" i="16"/>
  <c r="AD15" i="15"/>
  <c r="AD46" i="15" s="1"/>
  <c r="U183" i="10"/>
  <c r="U167" i="10" s="1"/>
  <c r="U308" i="13"/>
  <c r="U211" i="13"/>
  <c r="AE181" i="14"/>
  <c r="AB182" i="17"/>
  <c r="S99" i="15"/>
  <c r="S225" i="15"/>
  <c r="S241" i="15" s="1"/>
  <c r="L184" i="13"/>
  <c r="W114" i="15"/>
  <c r="W241" i="15" s="1"/>
  <c r="W162" i="15"/>
  <c r="AM280" i="10"/>
  <c r="L239" i="13"/>
  <c r="T112" i="15"/>
  <c r="T239" i="15" s="1"/>
  <c r="T160" i="15"/>
  <c r="S181" i="17"/>
  <c r="R99" i="17"/>
  <c r="R225" i="17"/>
  <c r="R241" i="17" s="1"/>
  <c r="J97" i="13"/>
  <c r="J223" i="13"/>
  <c r="J239" i="13" s="1"/>
  <c r="U180" i="14"/>
  <c r="U164" i="14" s="1"/>
  <c r="C82" i="17"/>
  <c r="AB239" i="13"/>
  <c r="X115" i="12"/>
  <c r="X242" i="12" s="1"/>
  <c r="X163" i="12"/>
  <c r="K97" i="13"/>
  <c r="K223" i="13"/>
  <c r="K239" i="13" s="1"/>
  <c r="L114" i="17"/>
  <c r="L162" i="17"/>
  <c r="F180" i="13"/>
  <c r="I166" i="20"/>
  <c r="I182" i="20"/>
  <c r="AD290" i="14"/>
  <c r="M240" i="13"/>
  <c r="Q97" i="13"/>
  <c r="Q223" i="13"/>
  <c r="Q166" i="20"/>
  <c r="Q182" i="20"/>
  <c r="D97" i="16"/>
  <c r="D223" i="16"/>
  <c r="D239" i="16" s="1"/>
  <c r="AA239" i="11"/>
  <c r="AA81" i="11"/>
  <c r="AA97" i="11" s="1"/>
  <c r="F182" i="15"/>
  <c r="F166" i="15" s="1"/>
  <c r="S98" i="17"/>
  <c r="S224" i="17"/>
  <c r="S240" i="17" s="1"/>
  <c r="W181" i="13"/>
  <c r="S164" i="10"/>
  <c r="S180" i="10"/>
  <c r="R181" i="12"/>
  <c r="E181" i="16"/>
  <c r="AF4" i="12"/>
  <c r="AE14" i="12" s="1"/>
  <c r="AE15" i="12" s="1"/>
  <c r="AE46" i="12" s="1"/>
  <c r="W85" i="16"/>
  <c r="F240" i="17"/>
  <c r="AE256" i="20"/>
  <c r="AC291" i="14"/>
  <c r="AC113" i="13"/>
  <c r="AC161" i="13"/>
  <c r="M99" i="13"/>
  <c r="M225" i="13"/>
  <c r="W180" i="14"/>
  <c r="Q114" i="14"/>
  <c r="Q241" i="14" s="1"/>
  <c r="Q162" i="14"/>
  <c r="Z113" i="13"/>
  <c r="Z161" i="13"/>
  <c r="Z232" i="20"/>
  <c r="Z248" i="20" s="1"/>
  <c r="Z264" i="20" s="1"/>
  <c r="Z233" i="20"/>
  <c r="Z249" i="20" s="1"/>
  <c r="Z265" i="20" s="1"/>
  <c r="Y98" i="13"/>
  <c r="Y224" i="13"/>
  <c r="Y240" i="13" s="1"/>
  <c r="P116" i="12"/>
  <c r="P164" i="12"/>
  <c r="I184" i="17"/>
  <c r="R25" i="14"/>
  <c r="R28" i="14" s="1"/>
  <c r="R26" i="14" s="1"/>
  <c r="Y180" i="12"/>
  <c r="H112" i="13"/>
  <c r="H160" i="13"/>
  <c r="AM183" i="10"/>
  <c r="L98" i="13"/>
  <c r="L224" i="13"/>
  <c r="AE230" i="20"/>
  <c r="O83" i="15"/>
  <c r="AE240" i="11"/>
  <c r="AE256" i="11" s="1"/>
  <c r="Q97" i="15"/>
  <c r="Q223" i="15"/>
  <c r="Q239" i="15" s="1"/>
  <c r="Q210" i="15"/>
  <c r="Q307" i="15"/>
  <c r="J164" i="19"/>
  <c r="AE182" i="20"/>
  <c r="AE166" i="20"/>
  <c r="M163" i="19"/>
  <c r="L212" i="17"/>
  <c r="L309" i="17"/>
  <c r="F181" i="16"/>
  <c r="AK209" i="10"/>
  <c r="AK91" i="10"/>
  <c r="AK218" i="10" s="1"/>
  <c r="AK234" i="10" s="1"/>
  <c r="AG180" i="11"/>
  <c r="Y112" i="17"/>
  <c r="Y239" i="17" s="1"/>
  <c r="Y160" i="17"/>
  <c r="E307" i="14"/>
  <c r="E112" i="17"/>
  <c r="E160" i="17"/>
  <c r="D165" i="19"/>
  <c r="D181" i="19"/>
  <c r="AG311" i="9"/>
  <c r="AG310" i="9"/>
  <c r="AG309" i="9"/>
  <c r="AG308" i="9"/>
  <c r="AG307" i="9"/>
  <c r="AG306" i="9"/>
  <c r="AG305" i="9"/>
  <c r="AG304" i="9"/>
  <c r="AG303" i="9"/>
  <c r="AG312" i="9"/>
  <c r="AG302" i="9"/>
  <c r="AG313" i="9" s="1"/>
  <c r="K181" i="13"/>
  <c r="R83" i="15"/>
  <c r="B160" i="13"/>
  <c r="B112" i="13"/>
  <c r="B239" i="13" s="1"/>
  <c r="G182" i="10"/>
  <c r="G166" i="10" s="1"/>
  <c r="D112" i="13"/>
  <c r="D160" i="13"/>
  <c r="AE309" i="14"/>
  <c r="Q83" i="17"/>
  <c r="AA84" i="11"/>
  <c r="D164" i="19"/>
  <c r="AD46" i="14"/>
  <c r="AD28" i="1"/>
  <c r="U181" i="17"/>
  <c r="X86" i="16"/>
  <c r="O210" i="17"/>
  <c r="O307" i="17"/>
  <c r="Z181" i="19"/>
  <c r="B211" i="13"/>
  <c r="B308" i="13"/>
  <c r="X180" i="20"/>
  <c r="W98" i="17"/>
  <c r="W224" i="17"/>
  <c r="W240" i="17" s="1"/>
  <c r="AD6" i="15"/>
  <c r="U166" i="10"/>
  <c r="U83" i="13"/>
  <c r="J98" i="16"/>
  <c r="J224" i="16"/>
  <c r="J240" i="16" s="1"/>
  <c r="P164" i="10"/>
  <c r="P180" i="10"/>
  <c r="AE212" i="15"/>
  <c r="AE309" i="15"/>
  <c r="W180" i="12"/>
  <c r="AB165" i="17"/>
  <c r="Z290" i="14"/>
  <c r="L113" i="13"/>
  <c r="L161" i="13"/>
  <c r="R180" i="14"/>
  <c r="R164" i="14" s="1"/>
  <c r="AD255" i="20"/>
  <c r="U163" i="14"/>
  <c r="AB113" i="13"/>
  <c r="AB161" i="13"/>
  <c r="I114" i="16"/>
  <c r="I162" i="16"/>
  <c r="K99" i="15"/>
  <c r="K225" i="15"/>
  <c r="K241" i="15" s="1"/>
  <c r="M113" i="13"/>
  <c r="M161" i="13"/>
  <c r="AC211" i="13"/>
  <c r="AC308" i="13"/>
  <c r="N97" i="13"/>
  <c r="N223" i="13"/>
  <c r="N239" i="13" s="1"/>
  <c r="I165" i="20"/>
  <c r="M114" i="13"/>
  <c r="M162" i="13"/>
  <c r="T165" i="10"/>
  <c r="AD14" i="16"/>
  <c r="AD15" i="16" s="1"/>
  <c r="AD46" i="16" s="1"/>
  <c r="AE6" i="16"/>
  <c r="AF4" i="16"/>
  <c r="AE14" i="16" s="1"/>
  <c r="AE15" i="16" s="1"/>
  <c r="AE46" i="16" s="1"/>
  <c r="W211" i="17"/>
  <c r="W308" i="17"/>
  <c r="Q165" i="20"/>
  <c r="N107" i="14"/>
  <c r="N123" i="14" s="1"/>
  <c r="N250" i="14" s="1"/>
  <c r="M91" i="14"/>
  <c r="N218" i="14"/>
  <c r="AF164" i="14"/>
  <c r="R212" i="17"/>
  <c r="R309" i="17"/>
  <c r="F165" i="15"/>
  <c r="Z181" i="16"/>
  <c r="S163" i="10"/>
  <c r="J112" i="15"/>
  <c r="J160" i="15"/>
  <c r="N308" i="14"/>
  <c r="N263" i="4"/>
  <c r="R164" i="12"/>
  <c r="AC215" i="19"/>
  <c r="AC312" i="19"/>
  <c r="AG299" i="10" l="1"/>
  <c r="AG39" i="10"/>
  <c r="I182" i="16"/>
  <c r="S99" i="17"/>
  <c r="S225" i="17"/>
  <c r="Q211" i="15"/>
  <c r="Q308" i="15"/>
  <c r="M85" i="16"/>
  <c r="Z232" i="19"/>
  <c r="Z248" i="19" s="1"/>
  <c r="Z219" i="19"/>
  <c r="Q83" i="15"/>
  <c r="U84" i="13"/>
  <c r="H100" i="17"/>
  <c r="H226" i="17"/>
  <c r="H242" i="17" s="1"/>
  <c r="C83" i="17"/>
  <c r="I182" i="14"/>
  <c r="W212" i="17"/>
  <c r="W309" i="17"/>
  <c r="U212" i="13"/>
  <c r="U309" i="13"/>
  <c r="M165" i="19"/>
  <c r="M181" i="19"/>
  <c r="M164" i="19"/>
  <c r="D217" i="12"/>
  <c r="D218" i="12"/>
  <c r="D182" i="16"/>
  <c r="D165" i="20"/>
  <c r="D181" i="20"/>
  <c r="D164" i="20"/>
  <c r="AB240" i="13"/>
  <c r="M115" i="17"/>
  <c r="M163" i="17"/>
  <c r="W181" i="10"/>
  <c r="W165" i="10" s="1"/>
  <c r="AB118" i="17"/>
  <c r="AB166" i="17"/>
  <c r="U98" i="16"/>
  <c r="U224" i="16"/>
  <c r="M212" i="15"/>
  <c r="M309" i="15"/>
  <c r="E182" i="16"/>
  <c r="Y99" i="13"/>
  <c r="Y225" i="13"/>
  <c r="Y241" i="13" s="1"/>
  <c r="F83" i="16"/>
  <c r="J99" i="16"/>
  <c r="J225" i="16"/>
  <c r="J241" i="16" s="1"/>
  <c r="X181" i="13"/>
  <c r="C181" i="17"/>
  <c r="AF299" i="10"/>
  <c r="AF39" i="10"/>
  <c r="W84" i="17"/>
  <c r="Q113" i="15"/>
  <c r="Q161" i="15"/>
  <c r="AA98" i="16"/>
  <c r="AA224" i="16"/>
  <c r="AA240" i="16" s="1"/>
  <c r="H98" i="13"/>
  <c r="H224" i="13"/>
  <c r="H240" i="13" s="1"/>
  <c r="AD106" i="20"/>
  <c r="AD122" i="20" s="1"/>
  <c r="AD233" i="20"/>
  <c r="AD249" i="20" s="1"/>
  <c r="AD265" i="20" s="1"/>
  <c r="AD92" i="20"/>
  <c r="Z84" i="15"/>
  <c r="P99" i="16"/>
  <c r="P225" i="16"/>
  <c r="F211" i="16"/>
  <c r="F308" i="16"/>
  <c r="AE185" i="17"/>
  <c r="S115" i="15"/>
  <c r="S163" i="15"/>
  <c r="C83" i="16"/>
  <c r="S85" i="15"/>
  <c r="AE246" i="20"/>
  <c r="AE262" i="20" s="1"/>
  <c r="N211" i="14"/>
  <c r="N291" i="14" s="1"/>
  <c r="N100" i="14"/>
  <c r="M84" i="14"/>
  <c r="H113" i="16"/>
  <c r="H161" i="16"/>
  <c r="X114" i="17"/>
  <c r="X162" i="17"/>
  <c r="AD181" i="12"/>
  <c r="V115" i="12"/>
  <c r="V242" i="12" s="1"/>
  <c r="V163" i="12"/>
  <c r="U99" i="13"/>
  <c r="U225" i="13"/>
  <c r="C114" i="13"/>
  <c r="C162" i="13"/>
  <c r="U183" i="13"/>
  <c r="B181" i="10"/>
  <c r="B164" i="10"/>
  <c r="G166" i="19"/>
  <c r="G182" i="19"/>
  <c r="R99" i="15"/>
  <c r="R225" i="15"/>
  <c r="AA255" i="11"/>
  <c r="F115" i="17"/>
  <c r="F163" i="17"/>
  <c r="C212" i="13"/>
  <c r="C309" i="13"/>
  <c r="B99" i="15"/>
  <c r="B225" i="15"/>
  <c r="AH182" i="14"/>
  <c r="AH166" i="14"/>
  <c r="AH165" i="14"/>
  <c r="M84" i="15"/>
  <c r="AE182" i="14"/>
  <c r="AE166" i="14"/>
  <c r="AE165" i="14"/>
  <c r="AE181" i="12"/>
  <c r="N115" i="16"/>
  <c r="N163" i="16"/>
  <c r="AA113" i="17"/>
  <c r="AA161" i="17"/>
  <c r="N309" i="14"/>
  <c r="J161" i="15"/>
  <c r="J113" i="15"/>
  <c r="Z114" i="13"/>
  <c r="Z162" i="13"/>
  <c r="H182" i="17"/>
  <c r="W101" i="16"/>
  <c r="W227" i="16"/>
  <c r="M114" i="15"/>
  <c r="M162" i="15"/>
  <c r="K113" i="13"/>
  <c r="K161" i="13"/>
  <c r="G183" i="10"/>
  <c r="Z99" i="15"/>
  <c r="Z225" i="15"/>
  <c r="Z241" i="15" s="1"/>
  <c r="C98" i="16"/>
  <c r="C224" i="16"/>
  <c r="C240" i="16" s="1"/>
  <c r="F85" i="17"/>
  <c r="D113" i="17"/>
  <c r="D161" i="17"/>
  <c r="V211" i="13"/>
  <c r="V308" i="13"/>
  <c r="N308" i="13"/>
  <c r="N211" i="13"/>
  <c r="S99" i="12"/>
  <c r="S225" i="12"/>
  <c r="S241" i="12" s="1"/>
  <c r="J309" i="14"/>
  <c r="T215" i="13"/>
  <c r="T312" i="13"/>
  <c r="Y98" i="16"/>
  <c r="Y224" i="16"/>
  <c r="Y240" i="16" s="1"/>
  <c r="V185" i="19"/>
  <c r="V169" i="19"/>
  <c r="V168" i="19"/>
  <c r="AC84" i="13"/>
  <c r="AB183" i="17"/>
  <c r="Y114" i="13"/>
  <c r="Y162" i="13"/>
  <c r="V161" i="15"/>
  <c r="V113" i="15"/>
  <c r="Q183" i="20"/>
  <c r="F213" i="17"/>
  <c r="F310" i="17"/>
  <c r="O182" i="12"/>
  <c r="O165" i="12"/>
  <c r="X99" i="15"/>
  <c r="X225" i="15"/>
  <c r="X241" i="15" s="1"/>
  <c r="E101" i="12"/>
  <c r="E227" i="12"/>
  <c r="E243" i="12" s="1"/>
  <c r="Y215" i="15"/>
  <c r="Y312" i="15"/>
  <c r="K183" i="19"/>
  <c r="K166" i="19"/>
  <c r="V308" i="14"/>
  <c r="V292" i="14"/>
  <c r="V291" i="14"/>
  <c r="P114" i="16"/>
  <c r="P162" i="16"/>
  <c r="X165" i="20"/>
  <c r="X181" i="20"/>
  <c r="X164" i="20"/>
  <c r="U181" i="14"/>
  <c r="U165" i="14"/>
  <c r="BZ6" i="11"/>
  <c r="CA6" i="11" s="1"/>
  <c r="T180" i="11"/>
  <c r="T164" i="11" s="1"/>
  <c r="T163" i="11"/>
  <c r="M115" i="16"/>
  <c r="M163" i="16"/>
  <c r="X101" i="12"/>
  <c r="M183" i="11"/>
  <c r="M167" i="11"/>
  <c r="M166" i="11"/>
  <c r="P165" i="14"/>
  <c r="P181" i="14"/>
  <c r="P164" i="14"/>
  <c r="Z182" i="16"/>
  <c r="J182" i="14"/>
  <c r="I185" i="17"/>
  <c r="F98" i="16"/>
  <c r="F224" i="16"/>
  <c r="I166" i="12"/>
  <c r="I182" i="12"/>
  <c r="D181" i="17"/>
  <c r="R165" i="14"/>
  <c r="R181" i="14"/>
  <c r="C211" i="15"/>
  <c r="C308" i="15"/>
  <c r="AE289" i="10"/>
  <c r="AE293" i="10"/>
  <c r="AE297" i="10"/>
  <c r="AE290" i="10"/>
  <c r="AE294" i="10"/>
  <c r="AE298" i="10"/>
  <c r="AE287" i="10"/>
  <c r="AE292" i="10"/>
  <c r="AE296" i="10"/>
  <c r="AE288" i="10"/>
  <c r="AE295" i="10"/>
  <c r="AE291" i="10"/>
  <c r="N113" i="13"/>
  <c r="N161" i="13"/>
  <c r="Q239" i="13"/>
  <c r="B114" i="13"/>
  <c r="B162" i="13"/>
  <c r="R183" i="13"/>
  <c r="X227" i="12"/>
  <c r="X243" i="12" s="1"/>
  <c r="G83" i="16"/>
  <c r="B99" i="13"/>
  <c r="B225" i="13"/>
  <c r="B241" i="13" s="1"/>
  <c r="X165" i="11"/>
  <c r="X181" i="11"/>
  <c r="X164" i="11"/>
  <c r="AC181" i="12"/>
  <c r="L185" i="13"/>
  <c r="C182" i="12"/>
  <c r="AA100" i="11"/>
  <c r="AA242" i="11"/>
  <c r="B100" i="17"/>
  <c r="B226" i="17"/>
  <c r="Q99" i="17"/>
  <c r="Q225" i="17"/>
  <c r="F183" i="15"/>
  <c r="Y114" i="17"/>
  <c r="Y162" i="17"/>
  <c r="AB98" i="11"/>
  <c r="AB240" i="11"/>
  <c r="AC231" i="19"/>
  <c r="AC247" i="19" s="1"/>
  <c r="O99" i="15"/>
  <c r="O225" i="15"/>
  <c r="Z212" i="15"/>
  <c r="Z309" i="15"/>
  <c r="Z310" i="15" s="1"/>
  <c r="Z311" i="15" s="1"/>
  <c r="Z312" i="15" s="1"/>
  <c r="Z313" i="15" s="1"/>
  <c r="S211" i="12"/>
  <c r="S308" i="12"/>
  <c r="X102" i="16"/>
  <c r="X118" i="16" s="1"/>
  <c r="X228" i="16"/>
  <c r="AE167" i="20"/>
  <c r="AE183" i="20"/>
  <c r="AH183" i="10"/>
  <c r="AD248" i="20"/>
  <c r="AD264" i="20" s="1"/>
  <c r="T115" i="17"/>
  <c r="T163" i="17"/>
  <c r="C308" i="16"/>
  <c r="C211" i="16"/>
  <c r="W182" i="17"/>
  <c r="T182" i="17"/>
  <c r="K184" i="10"/>
  <c r="T87" i="13"/>
  <c r="X212" i="15"/>
  <c r="X309" i="15"/>
  <c r="Z115" i="16"/>
  <c r="Z163" i="16"/>
  <c r="N217" i="14"/>
  <c r="N106" i="14"/>
  <c r="N122" i="14" s="1"/>
  <c r="N249" i="14" s="1"/>
  <c r="M90" i="14"/>
  <c r="F99" i="13"/>
  <c r="F225" i="13"/>
  <c r="F241" i="13" s="1"/>
  <c r="AL209" i="10"/>
  <c r="AL225" i="10" s="1"/>
  <c r="AN82" i="10"/>
  <c r="AA181" i="13"/>
  <c r="AA165" i="13" s="1"/>
  <c r="E211" i="13"/>
  <c r="E308" i="13"/>
  <c r="U241" i="12"/>
  <c r="Z180" i="11"/>
  <c r="AF227" i="11"/>
  <c r="AF324" i="11"/>
  <c r="AE254" i="20"/>
  <c r="N86" i="12"/>
  <c r="N102" i="12" s="1"/>
  <c r="N118" i="12" s="1"/>
  <c r="H113" i="13"/>
  <c r="H161" i="13"/>
  <c r="S212" i="17"/>
  <c r="S309" i="17"/>
  <c r="B311" i="16"/>
  <c r="B214" i="16"/>
  <c r="D181" i="13"/>
  <c r="H212" i="12"/>
  <c r="H309" i="12"/>
  <c r="I241" i="16"/>
  <c r="Y99" i="12"/>
  <c r="M85" i="17"/>
  <c r="X114" i="15"/>
  <c r="X162" i="15"/>
  <c r="C113" i="15"/>
  <c r="C161" i="15"/>
  <c r="T83" i="16"/>
  <c r="AB166" i="19"/>
  <c r="AB182" i="19"/>
  <c r="M116" i="12"/>
  <c r="M164" i="12"/>
  <c r="J84" i="17"/>
  <c r="Q211" i="13"/>
  <c r="Q308" i="13"/>
  <c r="H308" i="14"/>
  <c r="Q99" i="16"/>
  <c r="Q225" i="16"/>
  <c r="F216" i="15"/>
  <c r="F313" i="15"/>
  <c r="S165" i="13"/>
  <c r="S181" i="13"/>
  <c r="N115" i="15"/>
  <c r="N163" i="15"/>
  <c r="S84" i="12"/>
  <c r="S100" i="12" s="1"/>
  <c r="S226" i="12"/>
  <c r="J114" i="16"/>
  <c r="J162" i="16"/>
  <c r="U182" i="17"/>
  <c r="AA113" i="11"/>
  <c r="AA161" i="11"/>
  <c r="O98" i="17"/>
  <c r="O224" i="17"/>
  <c r="O240" i="17" s="1"/>
  <c r="J182" i="20"/>
  <c r="M183" i="15"/>
  <c r="C211" i="17"/>
  <c r="C308" i="17"/>
  <c r="Q181" i="15"/>
  <c r="M184" i="13"/>
  <c r="AE211" i="17"/>
  <c r="AE308" i="17"/>
  <c r="V184" i="20"/>
  <c r="Z99" i="13"/>
  <c r="Z225" i="13"/>
  <c r="Z241" i="13" s="1"/>
  <c r="K167" i="10"/>
  <c r="X84" i="15"/>
  <c r="M213" i="16"/>
  <c r="M310" i="16"/>
  <c r="AA183" i="12"/>
  <c r="O308" i="13"/>
  <c r="O211" i="13"/>
  <c r="AA164" i="13"/>
  <c r="E83" i="13"/>
  <c r="F185" i="17"/>
  <c r="Z240" i="15"/>
  <c r="U99" i="12"/>
  <c r="AB216" i="17"/>
  <c r="AB313" i="17"/>
  <c r="T115" i="15"/>
  <c r="T163" i="15"/>
  <c r="AF84" i="11"/>
  <c r="AF100" i="11" s="1"/>
  <c r="S211" i="16"/>
  <c r="S308" i="16"/>
  <c r="S84" i="17"/>
  <c r="N167" i="10"/>
  <c r="N183" i="10"/>
  <c r="H85" i="12"/>
  <c r="H101" i="12" s="1"/>
  <c r="H227" i="12"/>
  <c r="H243" i="12" s="1"/>
  <c r="I115" i="16"/>
  <c r="I163" i="16"/>
  <c r="I182" i="10"/>
  <c r="B115" i="17"/>
  <c r="B163" i="17"/>
  <c r="K98" i="13"/>
  <c r="K224" i="13"/>
  <c r="K240" i="13" s="1"/>
  <c r="C99" i="13"/>
  <c r="C225" i="13"/>
  <c r="C241" i="13" s="1"/>
  <c r="P100" i="15"/>
  <c r="P226" i="15"/>
  <c r="Y113" i="16"/>
  <c r="Y161" i="16"/>
  <c r="V212" i="12"/>
  <c r="V309" i="12"/>
  <c r="Q212" i="12"/>
  <c r="Q309" i="12"/>
  <c r="V100" i="12"/>
  <c r="Q83" i="13"/>
  <c r="U239" i="15"/>
  <c r="D308" i="14"/>
  <c r="D211" i="15"/>
  <c r="D308" i="15"/>
  <c r="F88" i="15"/>
  <c r="T183" i="10"/>
  <c r="R211" i="16"/>
  <c r="R308" i="16"/>
  <c r="F180" i="11"/>
  <c r="O83" i="13"/>
  <c r="X181" i="14"/>
  <c r="E89" i="15"/>
  <c r="Z114" i="15"/>
  <c r="Z162" i="15"/>
  <c r="B212" i="15"/>
  <c r="B309" i="15"/>
  <c r="AB88" i="17"/>
  <c r="J184" i="16"/>
  <c r="M182" i="14"/>
  <c r="U113" i="16"/>
  <c r="U161" i="16"/>
  <c r="AG293" i="14"/>
  <c r="AG309" i="14"/>
  <c r="S83" i="16"/>
  <c r="AE181" i="10"/>
  <c r="B116" i="16"/>
  <c r="B164" i="16"/>
  <c r="H211" i="16"/>
  <c r="H308" i="16"/>
  <c r="Q182" i="12"/>
  <c r="AJ181" i="10"/>
  <c r="E83" i="17"/>
  <c r="AA309" i="14"/>
  <c r="G181" i="15"/>
  <c r="G165" i="15"/>
  <c r="D98" i="13"/>
  <c r="D224" i="13"/>
  <c r="C98" i="15"/>
  <c r="C224" i="15"/>
  <c r="C240" i="15" s="1"/>
  <c r="B181" i="20"/>
  <c r="B165" i="20" s="1"/>
  <c r="V85" i="12"/>
  <c r="V227" i="12"/>
  <c r="N181" i="11"/>
  <c r="N165" i="11" s="1"/>
  <c r="Q85" i="12"/>
  <c r="Q101" i="12" s="1"/>
  <c r="Q227" i="12"/>
  <c r="Q243" i="12" s="1"/>
  <c r="O113" i="13"/>
  <c r="O161" i="13"/>
  <c r="D83" i="15"/>
  <c r="AH104" i="10"/>
  <c r="AH120" i="10" s="1"/>
  <c r="AH247" i="10" s="1"/>
  <c r="AH105" i="10"/>
  <c r="AH121" i="10" s="1"/>
  <c r="AH248" i="10" s="1"/>
  <c r="AH102" i="10"/>
  <c r="AH100" i="10"/>
  <c r="AH97" i="10"/>
  <c r="AH106" i="10"/>
  <c r="AH122" i="10" s="1"/>
  <c r="AH249" i="10" s="1"/>
  <c r="AH101" i="10"/>
  <c r="AH98" i="10"/>
  <c r="AH96" i="10"/>
  <c r="AH107" i="10" s="1"/>
  <c r="AH123" i="10" s="1"/>
  <c r="AH250" i="10" s="1"/>
  <c r="AH99" i="10"/>
  <c r="AH103" i="10"/>
  <c r="AH119" i="10" s="1"/>
  <c r="AH246" i="10" s="1"/>
  <c r="AB107" i="20"/>
  <c r="P312" i="17"/>
  <c r="P215" i="17"/>
  <c r="T166" i="10"/>
  <c r="R83" i="16"/>
  <c r="F163" i="11"/>
  <c r="H83" i="16"/>
  <c r="I308" i="14"/>
  <c r="O209" i="14"/>
  <c r="O289" i="14" s="1"/>
  <c r="O98" i="14"/>
  <c r="N82" i="14"/>
  <c r="AD213" i="13"/>
  <c r="AD310" i="13"/>
  <c r="H216" i="15"/>
  <c r="H313" i="15"/>
  <c r="E308" i="17"/>
  <c r="E211" i="17"/>
  <c r="AA292" i="14"/>
  <c r="T213" i="17"/>
  <c r="T310" i="17"/>
  <c r="AD263" i="20"/>
  <c r="B164" i="20"/>
  <c r="P213" i="12"/>
  <c r="P310" i="12"/>
  <c r="N164" i="11"/>
  <c r="U211" i="15"/>
  <c r="U308" i="15"/>
  <c r="AC98" i="17"/>
  <c r="AC224" i="17"/>
  <c r="V113" i="13"/>
  <c r="V161" i="13"/>
  <c r="U113" i="15"/>
  <c r="U161" i="15"/>
  <c r="O181" i="10"/>
  <c r="AD246" i="20"/>
  <c r="AD262" i="20" s="1"/>
  <c r="C183" i="11"/>
  <c r="H211" i="13"/>
  <c r="H308" i="13"/>
  <c r="AB99" i="13"/>
  <c r="AB225" i="13"/>
  <c r="P87" i="17"/>
  <c r="Y182" i="16"/>
  <c r="F182" i="20"/>
  <c r="V212" i="17"/>
  <c r="V309" i="17"/>
  <c r="S182" i="12"/>
  <c r="D184" i="11"/>
  <c r="D168" i="11" s="1"/>
  <c r="O181" i="17"/>
  <c r="E217" i="15"/>
  <c r="E218" i="15"/>
  <c r="V182" i="10"/>
  <c r="V166" i="10" s="1"/>
  <c r="B84" i="15"/>
  <c r="V211" i="16"/>
  <c r="V308" i="16"/>
  <c r="G310" i="12"/>
  <c r="G213" i="12"/>
  <c r="AD182" i="14"/>
  <c r="AD166" i="14" s="1"/>
  <c r="N308" i="17"/>
  <c r="N211" i="17"/>
  <c r="M213" i="13"/>
  <c r="M310" i="13"/>
  <c r="B183" i="19"/>
  <c r="B167" i="19"/>
  <c r="E308" i="14"/>
  <c r="D113" i="16"/>
  <c r="D161" i="16"/>
  <c r="C98" i="17"/>
  <c r="C224" i="17"/>
  <c r="C240" i="17" s="1"/>
  <c r="Z165" i="12"/>
  <c r="Z181" i="12"/>
  <c r="C83" i="15"/>
  <c r="N182" i="16"/>
  <c r="AA115" i="11"/>
  <c r="AA163" i="11"/>
  <c r="AD184" i="15"/>
  <c r="K113" i="17"/>
  <c r="K161" i="17"/>
  <c r="AC182" i="10"/>
  <c r="AC166" i="10"/>
  <c r="J211" i="13"/>
  <c r="J308" i="13"/>
  <c r="O116" i="14"/>
  <c r="O243" i="14" s="1"/>
  <c r="O164" i="14"/>
  <c r="M99" i="15"/>
  <c r="M225" i="15"/>
  <c r="M241" i="15" s="1"/>
  <c r="AB227" i="11"/>
  <c r="AB324" i="11"/>
  <c r="F165" i="20"/>
  <c r="V84" i="17"/>
  <c r="Q309" i="14"/>
  <c r="Q293" i="14" s="1"/>
  <c r="V182" i="13"/>
  <c r="D167" i="11"/>
  <c r="P101" i="13"/>
  <c r="P227" i="13"/>
  <c r="J309" i="16"/>
  <c r="J212" i="16"/>
  <c r="V165" i="10"/>
  <c r="V83" i="16"/>
  <c r="P182" i="11"/>
  <c r="P166" i="11"/>
  <c r="G228" i="12"/>
  <c r="G244" i="12" s="1"/>
  <c r="G86" i="12"/>
  <c r="G102" i="12" s="1"/>
  <c r="G118" i="12" s="1"/>
  <c r="AD181" i="11"/>
  <c r="D211" i="16"/>
  <c r="D308" i="16"/>
  <c r="I182" i="13"/>
  <c r="D182" i="15"/>
  <c r="AD165" i="14"/>
  <c r="Z182" i="15"/>
  <c r="N83" i="17"/>
  <c r="M85" i="13"/>
  <c r="B166" i="19"/>
  <c r="L115" i="16"/>
  <c r="L163" i="16"/>
  <c r="AG182" i="14"/>
  <c r="AG166" i="14"/>
  <c r="P114" i="14"/>
  <c r="P241" i="14" s="1"/>
  <c r="P162" i="14"/>
  <c r="H88" i="15"/>
  <c r="N215" i="14"/>
  <c r="N104" i="14"/>
  <c r="N120" i="14" s="1"/>
  <c r="N247" i="14" s="1"/>
  <c r="M88" i="14"/>
  <c r="T85" i="17"/>
  <c r="AC122" i="20"/>
  <c r="AC265" i="20" s="1"/>
  <c r="AC107" i="20"/>
  <c r="E119" i="15"/>
  <c r="P86" i="12"/>
  <c r="P102" i="12" s="1"/>
  <c r="P228" i="12"/>
  <c r="P244" i="12" s="1"/>
  <c r="U83" i="15"/>
  <c r="AL181" i="10"/>
  <c r="U98" i="15"/>
  <c r="U224" i="15"/>
  <c r="H83" i="13"/>
  <c r="T183" i="16"/>
  <c r="Q98" i="13"/>
  <c r="Q224" i="13"/>
  <c r="Q240" i="13" s="1"/>
  <c r="K182" i="13"/>
  <c r="J239" i="15"/>
  <c r="D90" i="12"/>
  <c r="D106" i="12" s="1"/>
  <c r="D122" i="12" s="1"/>
  <c r="D232" i="12"/>
  <c r="D248" i="12" s="1"/>
  <c r="AA257" i="11"/>
  <c r="R182" i="19"/>
  <c r="O113" i="17"/>
  <c r="O161" i="17"/>
  <c r="X166" i="10"/>
  <c r="X182" i="10"/>
  <c r="J83" i="13"/>
  <c r="W181" i="15"/>
  <c r="W165" i="15"/>
  <c r="AB84" i="11"/>
  <c r="AB100" i="11" s="1"/>
  <c r="AB116" i="11" s="1"/>
  <c r="E184" i="12"/>
  <c r="AK124" i="10"/>
  <c r="AL251" i="10"/>
  <c r="AL124" i="10" s="1"/>
  <c r="X181" i="15"/>
  <c r="T117" i="13"/>
  <c r="T165" i="13"/>
  <c r="L183" i="15"/>
  <c r="T166" i="20"/>
  <c r="T182" i="20"/>
  <c r="E185" i="14"/>
  <c r="Q114" i="16"/>
  <c r="Q162" i="16"/>
  <c r="J84" i="16"/>
  <c r="G117" i="15"/>
  <c r="P165" i="11"/>
  <c r="R180" i="11"/>
  <c r="R164" i="11" s="1"/>
  <c r="Y310" i="14"/>
  <c r="Y294" i="14"/>
  <c r="D83" i="16"/>
  <c r="O183" i="19"/>
  <c r="AB167" i="10"/>
  <c r="AB183" i="10"/>
  <c r="Q182" i="17"/>
  <c r="F310" i="12"/>
  <c r="F213" i="12"/>
  <c r="L212" i="13"/>
  <c r="L309" i="13"/>
  <c r="AC114" i="16"/>
  <c r="AC162" i="16"/>
  <c r="T293" i="14"/>
  <c r="T309" i="14"/>
  <c r="S102" i="13"/>
  <c r="S228" i="13"/>
  <c r="S244" i="13" s="1"/>
  <c r="AA102" i="13"/>
  <c r="AA228" i="13"/>
  <c r="AA244" i="13" s="1"/>
  <c r="H103" i="15"/>
  <c r="H119" i="15" s="1"/>
  <c r="H229" i="15"/>
  <c r="H245" i="15" s="1"/>
  <c r="AI219" i="10"/>
  <c r="AI33" i="10" s="1"/>
  <c r="AI35" i="10" s="1"/>
  <c r="AI41" i="10" s="1"/>
  <c r="AI36" i="10" s="1"/>
  <c r="O212" i="15"/>
  <c r="O309" i="15"/>
  <c r="L225" i="12"/>
  <c r="L241" i="12" s="1"/>
  <c r="N182" i="20"/>
  <c r="N166" i="20"/>
  <c r="T102" i="13"/>
  <c r="T228" i="13"/>
  <c r="W102" i="12"/>
  <c r="W118" i="12" s="1"/>
  <c r="W98" i="13"/>
  <c r="W224" i="13"/>
  <c r="C112" i="13"/>
  <c r="C239" i="13" s="1"/>
  <c r="C160" i="13"/>
  <c r="K211" i="16"/>
  <c r="K308" i="16"/>
  <c r="P117" i="17"/>
  <c r="R98" i="16"/>
  <c r="R224" i="16"/>
  <c r="R240" i="16" s="1"/>
  <c r="AH299" i="10"/>
  <c r="AH39" i="10"/>
  <c r="N100" i="16"/>
  <c r="N226" i="16"/>
  <c r="C165" i="10"/>
  <c r="C181" i="10"/>
  <c r="AG115" i="11"/>
  <c r="AG163" i="11"/>
  <c r="AA114" i="11"/>
  <c r="AA162" i="11"/>
  <c r="Z181" i="17"/>
  <c r="Q183" i="16"/>
  <c r="W113" i="13"/>
  <c r="W161" i="13"/>
  <c r="F86" i="12"/>
  <c r="F102" i="12" s="1"/>
  <c r="F228" i="12"/>
  <c r="F244" i="12" s="1"/>
  <c r="L84" i="13"/>
  <c r="K309" i="14"/>
  <c r="V182" i="17"/>
  <c r="AA83" i="17"/>
  <c r="U181" i="19"/>
  <c r="O84" i="15"/>
  <c r="K113" i="16"/>
  <c r="K161" i="16"/>
  <c r="Q116" i="12"/>
  <c r="Q164" i="12"/>
  <c r="AC309" i="14"/>
  <c r="B310" i="14"/>
  <c r="G98" i="16"/>
  <c r="G224" i="16"/>
  <c r="R113" i="13"/>
  <c r="R161" i="13"/>
  <c r="L115" i="12"/>
  <c r="L163" i="12"/>
  <c r="T213" i="12"/>
  <c r="T310" i="12"/>
  <c r="AE185" i="16"/>
  <c r="Z165" i="20"/>
  <c r="Z181" i="20"/>
  <c r="X87" i="16"/>
  <c r="W86" i="16"/>
  <c r="O207" i="14"/>
  <c r="O93" i="14"/>
  <c r="O96" i="14"/>
  <c r="N80" i="14"/>
  <c r="K83" i="16"/>
  <c r="P102" i="17"/>
  <c r="P118" i="17" s="1"/>
  <c r="P228" i="17"/>
  <c r="AC181" i="15"/>
  <c r="J166" i="12"/>
  <c r="J182" i="12"/>
  <c r="AA211" i="19"/>
  <c r="AA308" i="19"/>
  <c r="C84" i="13"/>
  <c r="N83" i="13"/>
  <c r="N99" i="14"/>
  <c r="M83" i="14"/>
  <c r="N210" i="14"/>
  <c r="N290" i="14" s="1"/>
  <c r="AF14" i="10"/>
  <c r="AF15" i="10" s="1"/>
  <c r="AF19" i="10" s="1"/>
  <c r="AG6" i="10"/>
  <c r="AG108" i="10"/>
  <c r="AG25" i="10"/>
  <c r="AG28" i="10" s="1"/>
  <c r="AG26" i="10" s="1"/>
  <c r="AF115" i="11"/>
  <c r="AF163" i="11"/>
  <c r="AB114" i="13"/>
  <c r="AB162" i="13"/>
  <c r="S164" i="11"/>
  <c r="S180" i="11"/>
  <c r="B226" i="12"/>
  <c r="B242" i="12" s="1"/>
  <c r="L115" i="17"/>
  <c r="L163" i="17"/>
  <c r="AA211" i="16"/>
  <c r="AA308" i="16"/>
  <c r="I99" i="13"/>
  <c r="I225" i="13"/>
  <c r="I241" i="13" s="1"/>
  <c r="Y87" i="15"/>
  <c r="AG241" i="11"/>
  <c r="AG257" i="11" s="1"/>
  <c r="H183" i="19"/>
  <c r="H167" i="19" s="1"/>
  <c r="AA240" i="11"/>
  <c r="F239" i="16"/>
  <c r="AD228" i="11"/>
  <c r="AD325" i="11"/>
  <c r="X212" i="17"/>
  <c r="X309" i="17"/>
  <c r="AA308" i="17"/>
  <c r="AA211" i="17"/>
  <c r="F227" i="12"/>
  <c r="F243" i="12" s="1"/>
  <c r="U164" i="19"/>
  <c r="H182" i="12"/>
  <c r="Y211" i="12"/>
  <c r="Y308" i="12"/>
  <c r="Q226" i="12"/>
  <c r="Q242" i="12" s="1"/>
  <c r="AC292" i="14"/>
  <c r="AB309" i="14"/>
  <c r="H85" i="17"/>
  <c r="AD181" i="16"/>
  <c r="T86" i="12"/>
  <c r="T228" i="12"/>
  <c r="T244" i="12" s="1"/>
  <c r="Q184" i="10"/>
  <c r="Q168" i="10" s="1"/>
  <c r="R183" i="10"/>
  <c r="Z164" i="20"/>
  <c r="AE227" i="11"/>
  <c r="AE324" i="11"/>
  <c r="X215" i="16"/>
  <c r="X312" i="16"/>
  <c r="W311" i="16"/>
  <c r="W214" i="16"/>
  <c r="Y184" i="19"/>
  <c r="Y168" i="19" s="1"/>
  <c r="P112" i="14"/>
  <c r="P239" i="14" s="1"/>
  <c r="P108" i="14"/>
  <c r="P23" i="14" s="1"/>
  <c r="P160" i="14"/>
  <c r="F118" i="15"/>
  <c r="AH4" i="10"/>
  <c r="AE255" i="11"/>
  <c r="I183" i="19"/>
  <c r="M185" i="12"/>
  <c r="J165" i="12"/>
  <c r="Z213" i="16"/>
  <c r="Z310" i="16"/>
  <c r="E104" i="15"/>
  <c r="E120" i="15" s="1"/>
  <c r="E230" i="15"/>
  <c r="D113" i="13"/>
  <c r="D161" i="13"/>
  <c r="B101" i="16"/>
  <c r="B227" i="16"/>
  <c r="B243" i="16" s="1"/>
  <c r="R213" i="12"/>
  <c r="R310" i="12"/>
  <c r="F113" i="16"/>
  <c r="F161" i="16"/>
  <c r="H182" i="16"/>
  <c r="K182" i="14"/>
  <c r="AD85" i="11"/>
  <c r="AD101" i="11" s="1"/>
  <c r="AD117" i="11" s="1"/>
  <c r="AD243" i="11"/>
  <c r="X84" i="17"/>
  <c r="P311" i="13"/>
  <c r="P214" i="13"/>
  <c r="AG197" i="9"/>
  <c r="AG213" i="9"/>
  <c r="AD81" i="11"/>
  <c r="AD97" i="11" s="1"/>
  <c r="F117" i="12"/>
  <c r="F165" i="12"/>
  <c r="L99" i="13"/>
  <c r="L225" i="13"/>
  <c r="L241" i="13" s="1"/>
  <c r="Y84" i="12"/>
  <c r="Y226" i="12"/>
  <c r="T181" i="15"/>
  <c r="AC213" i="15"/>
  <c r="AC310" i="15"/>
  <c r="M184" i="17"/>
  <c r="AB292" i="14"/>
  <c r="H310" i="17"/>
  <c r="H213" i="17"/>
  <c r="T181" i="12"/>
  <c r="L100" i="17"/>
  <c r="L226" i="17"/>
  <c r="M103" i="14"/>
  <c r="M119" i="14" s="1"/>
  <c r="M246" i="14" s="1"/>
  <c r="M214" i="14"/>
  <c r="L87" i="14"/>
  <c r="B181" i="14"/>
  <c r="Z308" i="14"/>
  <c r="Z292" i="14"/>
  <c r="Q167" i="10"/>
  <c r="R166" i="10"/>
  <c r="S166" i="19"/>
  <c r="S182" i="19"/>
  <c r="P213" i="15"/>
  <c r="P310" i="15"/>
  <c r="AE84" i="11"/>
  <c r="AE100" i="11" s="1"/>
  <c r="B227" i="12"/>
  <c r="B243" i="12" s="1"/>
  <c r="B85" i="12"/>
  <c r="B101" i="12" s="1"/>
  <c r="I85" i="16"/>
  <c r="C167" i="20"/>
  <c r="C183" i="20"/>
  <c r="M212" i="12"/>
  <c r="M309" i="12"/>
  <c r="H182" i="13"/>
  <c r="I166" i="19"/>
  <c r="Y182" i="17"/>
  <c r="Z85" i="16"/>
  <c r="R183" i="15"/>
  <c r="O115" i="14"/>
  <c r="O242" i="14" s="1"/>
  <c r="O163" i="14"/>
  <c r="U294" i="14"/>
  <c r="U310" i="14"/>
  <c r="B116" i="12"/>
  <c r="B164" i="12"/>
  <c r="AF182" i="14"/>
  <c r="AF166" i="14"/>
  <c r="AA83" i="16"/>
  <c r="M184" i="10"/>
  <c r="M168" i="10" s="1"/>
  <c r="F182" i="14"/>
  <c r="X99" i="13"/>
  <c r="X225" i="13"/>
  <c r="X241" i="13" s="1"/>
  <c r="F212" i="13"/>
  <c r="F309" i="13"/>
  <c r="AC212" i="13"/>
  <c r="AC309" i="13"/>
  <c r="W114" i="17"/>
  <c r="W162" i="17"/>
  <c r="AG181" i="11"/>
  <c r="Q113" i="13"/>
  <c r="Q161" i="13"/>
  <c r="J113" i="13"/>
  <c r="J161" i="13"/>
  <c r="K100" i="15"/>
  <c r="K226" i="15"/>
  <c r="AM209" i="10"/>
  <c r="P182" i="13"/>
  <c r="V83" i="13"/>
  <c r="O182" i="15"/>
  <c r="O182" i="13"/>
  <c r="U293" i="14"/>
  <c r="S181" i="20"/>
  <c r="W101" i="15"/>
  <c r="W117" i="15" s="1"/>
  <c r="W227" i="15"/>
  <c r="AF165" i="14"/>
  <c r="E98" i="13"/>
  <c r="E224" i="13"/>
  <c r="M167" i="10"/>
  <c r="AA181" i="17"/>
  <c r="Y102" i="15"/>
  <c r="Y118" i="15" s="1"/>
  <c r="Y228" i="15"/>
  <c r="Y244" i="15" s="1"/>
  <c r="F84" i="13"/>
  <c r="P84" i="16"/>
  <c r="D231" i="12"/>
  <c r="D247" i="12" s="1"/>
  <c r="R86" i="12"/>
  <c r="R102" i="12" s="1"/>
  <c r="R118" i="12" s="1"/>
  <c r="R228" i="12"/>
  <c r="R244" i="12" s="1"/>
  <c r="P86" i="13"/>
  <c r="AD83" i="11"/>
  <c r="AD99" i="11" s="1"/>
  <c r="AD241" i="11"/>
  <c r="L165" i="19"/>
  <c r="L181" i="19"/>
  <c r="P183" i="19"/>
  <c r="AA182" i="10"/>
  <c r="AA166" i="10" s="1"/>
  <c r="V180" i="11"/>
  <c r="D98" i="15"/>
  <c r="D224" i="15"/>
  <c r="D240" i="15" s="1"/>
  <c r="Z291" i="14"/>
  <c r="W214" i="15"/>
  <c r="W311" i="15"/>
  <c r="P85" i="15"/>
  <c r="V114" i="17"/>
  <c r="V162" i="17"/>
  <c r="B212" i="12"/>
  <c r="B309" i="12"/>
  <c r="P219" i="14"/>
  <c r="P33" i="14" s="1"/>
  <c r="P35" i="14" s="1"/>
  <c r="P41" i="14" s="1"/>
  <c r="P287" i="14"/>
  <c r="I213" i="16"/>
  <c r="I310" i="16"/>
  <c r="G240" i="13"/>
  <c r="AA180" i="20"/>
  <c r="AA164" i="20" s="1"/>
  <c r="M85" i="12"/>
  <c r="M101" i="12" s="1"/>
  <c r="AA213" i="15"/>
  <c r="AA310" i="15"/>
  <c r="AC239" i="17"/>
  <c r="AC181" i="19"/>
  <c r="S98" i="16"/>
  <c r="S224" i="16"/>
  <c r="N166" i="12"/>
  <c r="N182" i="12"/>
  <c r="E182" i="15"/>
  <c r="P115" i="15"/>
  <c r="P163" i="15"/>
  <c r="S182" i="16"/>
  <c r="C115" i="12"/>
  <c r="C163" i="12"/>
  <c r="AA182" i="14"/>
  <c r="AA166" i="14" s="1"/>
  <c r="O182" i="14"/>
  <c r="AA79" i="11"/>
  <c r="Z249" i="11"/>
  <c r="L164" i="19"/>
  <c r="P166" i="19"/>
  <c r="AA165" i="10"/>
  <c r="AE181" i="13"/>
  <c r="AA215" i="13"/>
  <c r="AA312" i="13"/>
  <c r="V163" i="11"/>
  <c r="F100" i="17"/>
  <c r="F226" i="17"/>
  <c r="AM91" i="10"/>
  <c r="AM218" i="10" s="1"/>
  <c r="AM234" i="10" s="1"/>
  <c r="V99" i="17"/>
  <c r="V225" i="17"/>
  <c r="V241" i="17" s="1"/>
  <c r="AA182" i="16"/>
  <c r="W211" i="13"/>
  <c r="W308" i="13"/>
  <c r="Y181" i="10"/>
  <c r="X183" i="17"/>
  <c r="W86" i="15"/>
  <c r="X182" i="16"/>
  <c r="O215" i="12"/>
  <c r="O312" i="12"/>
  <c r="E239" i="17"/>
  <c r="V182" i="16"/>
  <c r="J181" i="11"/>
  <c r="J165" i="11" s="1"/>
  <c r="G114" i="13"/>
  <c r="G162" i="13"/>
  <c r="AA163" i="20"/>
  <c r="D239" i="15"/>
  <c r="AC161" i="17"/>
  <c r="AC113" i="17"/>
  <c r="AA15" i="12"/>
  <c r="AA46" i="12" s="1"/>
  <c r="AA11" i="1"/>
  <c r="AA43" i="1" s="1"/>
  <c r="P243" i="12"/>
  <c r="N213" i="16"/>
  <c r="N310" i="16"/>
  <c r="AC164" i="19"/>
  <c r="AA228" i="11"/>
  <c r="AA325" i="11"/>
  <c r="AB183" i="13"/>
  <c r="J98" i="13"/>
  <c r="J224" i="13"/>
  <c r="J240" i="13" s="1"/>
  <c r="Y181" i="20"/>
  <c r="Y165" i="20" s="1"/>
  <c r="AK182" i="10"/>
  <c r="E182" i="11"/>
  <c r="AE181" i="11"/>
  <c r="P212" i="16"/>
  <c r="P309" i="16"/>
  <c r="L240" i="13"/>
  <c r="R115" i="17"/>
  <c r="R163" i="17"/>
  <c r="L184" i="11"/>
  <c r="H165" i="11"/>
  <c r="H181" i="11"/>
  <c r="Y164" i="20"/>
  <c r="S100" i="15"/>
  <c r="S226" i="15"/>
  <c r="S242" i="15" s="1"/>
  <c r="O98" i="13"/>
  <c r="O224" i="13"/>
  <c r="L212" i="15"/>
  <c r="L309" i="15"/>
  <c r="E165" i="11"/>
  <c r="Z98" i="17"/>
  <c r="Z224" i="17"/>
  <c r="Z240" i="17" s="1"/>
  <c r="W181" i="19"/>
  <c r="AC181" i="16"/>
  <c r="O213" i="14"/>
  <c r="O102" i="14"/>
  <c r="O118" i="14" s="1"/>
  <c r="O245" i="14" s="1"/>
  <c r="N86" i="14"/>
  <c r="X117" i="16"/>
  <c r="R98" i="13"/>
  <c r="R224" i="13"/>
  <c r="R240" i="13" s="1"/>
  <c r="AD183" i="20"/>
  <c r="AD167" i="20"/>
  <c r="O165" i="14"/>
  <c r="Z90" i="11"/>
  <c r="Z106" i="11" s="1"/>
  <c r="Z122" i="11" s="1"/>
  <c r="Z248" i="11"/>
  <c r="Z264" i="11" s="1"/>
  <c r="AC182" i="14"/>
  <c r="AD82" i="11"/>
  <c r="AD98" i="11" s="1"/>
  <c r="I241" i="17"/>
  <c r="C181" i="14"/>
  <c r="AA87" i="13"/>
  <c r="U211" i="16"/>
  <c r="U308" i="16"/>
  <c r="K98" i="17"/>
  <c r="K224" i="17"/>
  <c r="AB227" i="20"/>
  <c r="AB243" i="20" s="1"/>
  <c r="AB259" i="20" s="1"/>
  <c r="AB324" i="20"/>
  <c r="C211" i="12"/>
  <c r="C308" i="12"/>
  <c r="K98" i="16"/>
  <c r="K224" i="16"/>
  <c r="K240" i="16" s="1"/>
  <c r="W83" i="13"/>
  <c r="Y164" i="10"/>
  <c r="N216" i="14"/>
  <c r="N105" i="14"/>
  <c r="N121" i="14" s="1"/>
  <c r="N248" i="14" s="1"/>
  <c r="M89" i="14"/>
  <c r="X165" i="16"/>
  <c r="O88" i="12"/>
  <c r="O104" i="12" s="1"/>
  <c r="O120" i="12" s="1"/>
  <c r="E113" i="17"/>
  <c r="E161" i="17"/>
  <c r="AE241" i="11"/>
  <c r="AE257" i="11" s="1"/>
  <c r="Z211" i="17"/>
  <c r="Z308" i="17"/>
  <c r="G185" i="17"/>
  <c r="D113" i="15"/>
  <c r="D161" i="15"/>
  <c r="P117" i="12"/>
  <c r="P165" i="12"/>
  <c r="N85" i="16"/>
  <c r="Y181" i="14"/>
  <c r="Y165" i="14"/>
  <c r="AK225" i="10"/>
  <c r="AK219" i="10"/>
  <c r="AK33" i="10" s="1"/>
  <c r="AK35" i="10" s="1"/>
  <c r="AK41" i="10" s="1"/>
  <c r="AK36" i="10" s="1"/>
  <c r="S182" i="17"/>
  <c r="X310" i="14"/>
  <c r="X294" i="14" s="1"/>
  <c r="W180" i="11"/>
  <c r="N98" i="13"/>
  <c r="N224" i="13"/>
  <c r="O97" i="14"/>
  <c r="N81" i="14"/>
  <c r="O208" i="14"/>
  <c r="O288" i="14" s="1"/>
  <c r="AC81" i="11"/>
  <c r="AC97" i="11" s="1"/>
  <c r="AC113" i="11" s="1"/>
  <c r="AC239" i="11"/>
  <c r="AC255" i="11" s="1"/>
  <c r="L84" i="15"/>
  <c r="AB112" i="11"/>
  <c r="AB255" i="11" s="1"/>
  <c r="AB160" i="11"/>
  <c r="J182" i="19"/>
  <c r="W164" i="19"/>
  <c r="AD166" i="20"/>
  <c r="O182" i="20"/>
  <c r="O166" i="20" s="1"/>
  <c r="H184" i="10"/>
  <c r="H168" i="10" s="1"/>
  <c r="H116" i="12"/>
  <c r="H164" i="12"/>
  <c r="P181" i="15"/>
  <c r="I115" i="17"/>
  <c r="I163" i="17"/>
  <c r="R114" i="15"/>
  <c r="R162" i="15"/>
  <c r="U83" i="16"/>
  <c r="Z292" i="10"/>
  <c r="Z289" i="10"/>
  <c r="Z293" i="10"/>
  <c r="Z290" i="10"/>
  <c r="Z291" i="10"/>
  <c r="Z294" i="10"/>
  <c r="Z297" i="10"/>
  <c r="Z295" i="10"/>
  <c r="Z298" i="10"/>
  <c r="Z296" i="10"/>
  <c r="Z288" i="10"/>
  <c r="Z287" i="10"/>
  <c r="B182" i="12"/>
  <c r="C84" i="12"/>
  <c r="C100" i="12" s="1"/>
  <c r="C226" i="12"/>
  <c r="C242" i="12" s="1"/>
  <c r="S309" i="14"/>
  <c r="C239" i="16"/>
  <c r="L240" i="15"/>
  <c r="AE115" i="11"/>
  <c r="AE163" i="11"/>
  <c r="Z83" i="17"/>
  <c r="U114" i="17"/>
  <c r="U162" i="17"/>
  <c r="T239" i="16"/>
  <c r="AB85" i="16"/>
  <c r="AD212" i="17"/>
  <c r="AD309" i="17"/>
  <c r="N165" i="12"/>
  <c r="E165" i="15"/>
  <c r="O312" i="16"/>
  <c r="O215" i="16"/>
  <c r="R183" i="16"/>
  <c r="B212" i="13"/>
  <c r="B309" i="13"/>
  <c r="L114" i="13"/>
  <c r="L162" i="13"/>
  <c r="Q212" i="17"/>
  <c r="Q309" i="17"/>
  <c r="U180" i="11"/>
  <c r="U164" i="11" s="1"/>
  <c r="L99" i="15"/>
  <c r="L225" i="15"/>
  <c r="L241" i="15" s="1"/>
  <c r="H164" i="11"/>
  <c r="C182" i="13"/>
  <c r="F183" i="10"/>
  <c r="F167" i="10" s="1"/>
  <c r="D98" i="16"/>
  <c r="D224" i="16"/>
  <c r="D240" i="16" s="1"/>
  <c r="U211" i="12"/>
  <c r="U308" i="12"/>
  <c r="T183" i="19"/>
  <c r="T167" i="19" s="1"/>
  <c r="O87" i="16"/>
  <c r="Q182" i="14"/>
  <c r="Y211" i="16"/>
  <c r="Y308" i="16"/>
  <c r="Y164" i="14"/>
  <c r="K308" i="13"/>
  <c r="K211" i="13"/>
  <c r="R213" i="17"/>
  <c r="R310" i="17"/>
  <c r="AM251" i="10"/>
  <c r="AM124" i="10" s="1"/>
  <c r="B84" i="13"/>
  <c r="AK21" i="10"/>
  <c r="AM184" i="10"/>
  <c r="I183" i="20"/>
  <c r="I167" i="20"/>
  <c r="Q84" i="17"/>
  <c r="X293" i="14"/>
  <c r="B184" i="15"/>
  <c r="W163" i="11"/>
  <c r="U163" i="11"/>
  <c r="K310" i="15"/>
  <c r="K213" i="15"/>
  <c r="P113" i="14"/>
  <c r="P240" i="14" s="1"/>
  <c r="P161" i="14"/>
  <c r="AC313" i="11"/>
  <c r="E239" i="13"/>
  <c r="G212" i="13"/>
  <c r="G309" i="13"/>
  <c r="V183" i="12"/>
  <c r="J165" i="19"/>
  <c r="AB181" i="16"/>
  <c r="AF182" i="10"/>
  <c r="AF166" i="10"/>
  <c r="I114" i="15"/>
  <c r="I162" i="15"/>
  <c r="AL91" i="10"/>
  <c r="AL218" i="10" s="1"/>
  <c r="AL234" i="10" s="1"/>
  <c r="K181" i="11"/>
  <c r="U84" i="12"/>
  <c r="Q114" i="17"/>
  <c r="Q162" i="17"/>
  <c r="E213" i="12"/>
  <c r="E310" i="12"/>
  <c r="G227" i="12"/>
  <c r="G243" i="12" s="1"/>
  <c r="T166" i="19"/>
  <c r="X212" i="13"/>
  <c r="X309" i="13"/>
  <c r="O165" i="20"/>
  <c r="N101" i="14"/>
  <c r="M85" i="14"/>
  <c r="N212" i="14"/>
  <c r="N292" i="14" s="1"/>
  <c r="M100" i="13"/>
  <c r="M226" i="13"/>
  <c r="M242" i="13" s="1"/>
  <c r="Q165" i="14"/>
  <c r="J182" i="17"/>
  <c r="Y83" i="16"/>
  <c r="H167" i="10"/>
  <c r="I212" i="13"/>
  <c r="I309" i="13"/>
  <c r="S87" i="13"/>
  <c r="H98" i="16"/>
  <c r="H224" i="16"/>
  <c r="H240" i="16" s="1"/>
  <c r="G165" i="20"/>
  <c r="G181" i="20"/>
  <c r="F114" i="13"/>
  <c r="F162" i="13"/>
  <c r="X99" i="17"/>
  <c r="X225" i="17"/>
  <c r="K184" i="16"/>
  <c r="G182" i="14"/>
  <c r="K83" i="13"/>
  <c r="R227" i="12"/>
  <c r="R243" i="12" s="1"/>
  <c r="G181" i="13"/>
  <c r="AJ225" i="10"/>
  <c r="AJ219" i="10"/>
  <c r="AJ33" i="10" s="1"/>
  <c r="AJ35" i="10" s="1"/>
  <c r="AJ41" i="10" s="1"/>
  <c r="AJ36" i="10" s="1"/>
  <c r="J182" i="10"/>
  <c r="J99" i="17"/>
  <c r="J225" i="17"/>
  <c r="C113" i="16"/>
  <c r="C161" i="16"/>
  <c r="AD166" i="10"/>
  <c r="AD182" i="10"/>
  <c r="L114" i="15"/>
  <c r="L162" i="15"/>
  <c r="D182" i="14"/>
  <c r="P182" i="17"/>
  <c r="P166" i="17" s="1"/>
  <c r="J83" i="15"/>
  <c r="T113" i="16"/>
  <c r="T161" i="16"/>
  <c r="AB213" i="16"/>
  <c r="AB310" i="16"/>
  <c r="R166" i="12"/>
  <c r="R182" i="12"/>
  <c r="U184" i="10"/>
  <c r="U168" i="10"/>
  <c r="AF294" i="14"/>
  <c r="AF310" i="14"/>
  <c r="W99" i="17"/>
  <c r="W225" i="17"/>
  <c r="W241" i="17" s="1"/>
  <c r="S181" i="10"/>
  <c r="C310" i="14"/>
  <c r="Z183" i="13"/>
  <c r="R212" i="15"/>
  <c r="R309" i="15"/>
  <c r="G99" i="13"/>
  <c r="G225" i="13"/>
  <c r="K85" i="15"/>
  <c r="AC238" i="11"/>
  <c r="AC80" i="11"/>
  <c r="AC96" i="11" s="1"/>
  <c r="AC112" i="11" s="1"/>
  <c r="AB181" i="20"/>
  <c r="AB165" i="20" s="1"/>
  <c r="E113" i="13"/>
  <c r="E161" i="13"/>
  <c r="G84" i="13"/>
  <c r="L180" i="20"/>
  <c r="Z182" i="10"/>
  <c r="AB14" i="12"/>
  <c r="AC6" i="12"/>
  <c r="AL224" i="10"/>
  <c r="AL219" i="10"/>
  <c r="AL33" i="10" s="1"/>
  <c r="AL35" i="10" s="1"/>
  <c r="AL41" i="10" s="1"/>
  <c r="AL36" i="10" s="1"/>
  <c r="P242" i="13"/>
  <c r="X240" i="13"/>
  <c r="E86" i="12"/>
  <c r="E102" i="12" s="1"/>
  <c r="O102" i="16"/>
  <c r="O228" i="16"/>
  <c r="X84" i="13"/>
  <c r="U182" i="15"/>
  <c r="N182" i="13"/>
  <c r="AB103" i="17"/>
  <c r="AB119" i="17" s="1"/>
  <c r="AB229" i="17"/>
  <c r="I84" i="13"/>
  <c r="S215" i="13"/>
  <c r="S312" i="13"/>
  <c r="AE258" i="20"/>
  <c r="AD84" i="11"/>
  <c r="AD100" i="11" s="1"/>
  <c r="N181" i="19"/>
  <c r="Y299" i="10"/>
  <c r="Y39" i="10"/>
  <c r="Y10" i="3" s="1"/>
  <c r="Y38" i="3" s="1"/>
  <c r="Y7" i="3"/>
  <c r="Y35" i="3" s="1"/>
  <c r="AF181" i="11"/>
  <c r="Q181" i="13"/>
  <c r="AC184" i="17"/>
  <c r="S113" i="16"/>
  <c r="S161" i="16"/>
  <c r="B181" i="17"/>
  <c r="AJ21" i="10"/>
  <c r="AJ23" i="10" s="1"/>
  <c r="O185" i="16"/>
  <c r="U184" i="16"/>
  <c r="U114" i="12"/>
  <c r="U162" i="12"/>
  <c r="R181" i="20"/>
  <c r="P165" i="17"/>
  <c r="AC99" i="13"/>
  <c r="AC225" i="13"/>
  <c r="AC241" i="13" s="1"/>
  <c r="J211" i="15"/>
  <c r="J308" i="15"/>
  <c r="R182" i="17"/>
  <c r="L211" i="12"/>
  <c r="L308" i="12"/>
  <c r="E211" i="16"/>
  <c r="E308" i="16"/>
  <c r="K183" i="12"/>
  <c r="AD238" i="11"/>
  <c r="AD254" i="11" s="1"/>
  <c r="AD80" i="11"/>
  <c r="AE214" i="13"/>
  <c r="AE311" i="13"/>
  <c r="N182" i="14"/>
  <c r="P184" i="12"/>
  <c r="W181" i="20"/>
  <c r="W165" i="20" s="1"/>
  <c r="G165" i="12"/>
  <c r="G181" i="12"/>
  <c r="T213" i="15"/>
  <c r="T310" i="15"/>
  <c r="E181" i="19"/>
  <c r="E165" i="19" s="1"/>
  <c r="E182" i="10"/>
  <c r="E166" i="10"/>
  <c r="G181" i="11"/>
  <c r="AB115" i="16"/>
  <c r="AB163" i="16"/>
  <c r="L182" i="12"/>
  <c r="S182" i="15"/>
  <c r="N239" i="17"/>
  <c r="H241" i="17"/>
  <c r="AE213" i="16"/>
  <c r="AE310" i="16"/>
  <c r="T183" i="14"/>
  <c r="AH310" i="14"/>
  <c r="N183" i="15"/>
  <c r="G113" i="17"/>
  <c r="G161" i="17"/>
  <c r="Q180" i="11"/>
  <c r="Q164" i="11"/>
  <c r="R165" i="12"/>
  <c r="AA85" i="11"/>
  <c r="AA101" i="11" s="1"/>
  <c r="AA117" i="11" s="1"/>
  <c r="T166" i="14"/>
  <c r="R85" i="17"/>
  <c r="Z182" i="19"/>
  <c r="AE310" i="14"/>
  <c r="W181" i="12"/>
  <c r="W165" i="12" s="1"/>
  <c r="Z165" i="19"/>
  <c r="AE293" i="14"/>
  <c r="W181" i="14"/>
  <c r="W165" i="14" s="1"/>
  <c r="F181" i="13"/>
  <c r="O309" i="14"/>
  <c r="AG184" i="10"/>
  <c r="R84" i="15"/>
  <c r="AC82" i="11"/>
  <c r="AC114" i="11" s="1"/>
  <c r="AC257" i="11" s="1"/>
  <c r="T100" i="15"/>
  <c r="T226" i="15"/>
  <c r="R309" i="14"/>
  <c r="R293" i="14" s="1"/>
  <c r="I114" i="13"/>
  <c r="I162" i="13"/>
  <c r="B180" i="11"/>
  <c r="P116" i="13"/>
  <c r="P164" i="13"/>
  <c r="D211" i="13"/>
  <c r="D308" i="13"/>
  <c r="E166" i="20"/>
  <c r="E182" i="20"/>
  <c r="N213" i="15"/>
  <c r="N310" i="15"/>
  <c r="AD211" i="16"/>
  <c r="AD308" i="16"/>
  <c r="B213" i="17"/>
  <c r="B310" i="17"/>
  <c r="AC99" i="16"/>
  <c r="AC225" i="16"/>
  <c r="AC241" i="16" s="1"/>
  <c r="N98" i="17"/>
  <c r="N224" i="17"/>
  <c r="K115" i="15"/>
  <c r="K163" i="15"/>
  <c r="W164" i="12"/>
  <c r="O211" i="17"/>
  <c r="O308" i="17"/>
  <c r="F182" i="16"/>
  <c r="W164" i="14"/>
  <c r="W182" i="13"/>
  <c r="X168" i="19"/>
  <c r="X184" i="19"/>
  <c r="O292" i="14"/>
  <c r="AB213" i="19"/>
  <c r="AB229" i="19" s="1"/>
  <c r="AB245" i="19" s="1"/>
  <c r="AB310" i="19"/>
  <c r="I85" i="17"/>
  <c r="P182" i="16"/>
  <c r="U182" i="12"/>
  <c r="K182" i="15"/>
  <c r="B182" i="16"/>
  <c r="I100" i="17"/>
  <c r="I226" i="17"/>
  <c r="Y182" i="15"/>
  <c r="T184" i="13"/>
  <c r="T85" i="15"/>
  <c r="H118" i="15"/>
  <c r="V239" i="16"/>
  <c r="AB100" i="16"/>
  <c r="AB226" i="16"/>
  <c r="L182" i="14"/>
  <c r="AD29" i="1"/>
  <c r="AD30" i="1" s="1"/>
  <c r="AD31" i="1" s="1"/>
  <c r="AC181" i="13"/>
  <c r="W214" i="12"/>
  <c r="W311" i="12"/>
  <c r="N113" i="17"/>
  <c r="N161" i="17"/>
  <c r="H115" i="17"/>
  <c r="H163" i="17"/>
  <c r="K211" i="12"/>
  <c r="K308" i="12"/>
  <c r="K180" i="20"/>
  <c r="K164" i="20" s="1"/>
  <c r="AA113" i="16"/>
  <c r="AA161" i="16"/>
  <c r="F183" i="12"/>
  <c r="R292" i="14"/>
  <c r="D83" i="13"/>
  <c r="Y180" i="11"/>
  <c r="V98" i="16"/>
  <c r="V224" i="16"/>
  <c r="V240" i="16" s="1"/>
  <c r="E165" i="20"/>
  <c r="P167" i="20"/>
  <c r="P183" i="20"/>
  <c r="N85" i="15"/>
  <c r="U114" i="13"/>
  <c r="U162" i="13"/>
  <c r="B85" i="17"/>
  <c r="M183" i="16"/>
  <c r="Y212" i="17"/>
  <c r="Y309" i="17"/>
  <c r="AB113" i="11"/>
  <c r="AB161" i="11"/>
  <c r="L84" i="12"/>
  <c r="L100" i="12" s="1"/>
  <c r="L226" i="12"/>
  <c r="L242" i="12" s="1"/>
  <c r="P309" i="14"/>
  <c r="P293" i="14"/>
  <c r="AH4" i="11"/>
  <c r="AG14" i="11" s="1"/>
  <c r="CA5" i="11"/>
  <c r="E181" i="13"/>
  <c r="C184" i="19"/>
  <c r="C168" i="19"/>
  <c r="V98" i="15"/>
  <c r="V224" i="15"/>
  <c r="AG227" i="11"/>
  <c r="AG324" i="11"/>
  <c r="E83" i="16"/>
  <c r="G182" i="16"/>
  <c r="U212" i="17"/>
  <c r="U309" i="17"/>
  <c r="M107" i="14"/>
  <c r="M123" i="14" s="1"/>
  <c r="M250" i="14" s="1"/>
  <c r="L91" i="14"/>
  <c r="M218" i="14"/>
  <c r="AE213" i="15"/>
  <c r="AE310" i="15"/>
  <c r="O83" i="17"/>
  <c r="M241" i="13"/>
  <c r="Y181" i="13"/>
  <c r="Z166" i="14"/>
  <c r="Z182" i="14"/>
  <c r="Z239" i="17"/>
  <c r="AB228" i="19"/>
  <c r="AB244" i="19" s="1"/>
  <c r="AB182" i="14"/>
  <c r="I310" i="17"/>
  <c r="I213" i="17"/>
  <c r="L100" i="16"/>
  <c r="L226" i="16"/>
  <c r="L242" i="16" s="1"/>
  <c r="R113" i="16"/>
  <c r="R161" i="16"/>
  <c r="G113" i="16"/>
  <c r="G161" i="16"/>
  <c r="K211" i="17"/>
  <c r="K308" i="17"/>
  <c r="AB182" i="12"/>
  <c r="U166" i="20"/>
  <c r="U182" i="20"/>
  <c r="G308" i="14"/>
  <c r="Y163" i="11"/>
  <c r="H181" i="20"/>
  <c r="X182" i="12"/>
  <c r="R308" i="13"/>
  <c r="R211" i="13"/>
  <c r="I212" i="15"/>
  <c r="I309" i="15"/>
  <c r="V211" i="15"/>
  <c r="V308" i="15"/>
  <c r="Y84" i="17"/>
  <c r="E98" i="16"/>
  <c r="E224" i="16"/>
  <c r="E240" i="16" s="1"/>
  <c r="M165" i="20"/>
  <c r="M181" i="20"/>
  <c r="P292" i="14"/>
  <c r="AG84" i="11"/>
  <c r="AG100" i="11" s="1"/>
  <c r="N183" i="17"/>
  <c r="F309" i="14"/>
  <c r="T100" i="17"/>
  <c r="T226" i="17"/>
  <c r="T242" i="17" s="1"/>
  <c r="U84" i="17"/>
  <c r="Y165" i="15"/>
  <c r="U99" i="17"/>
  <c r="U225" i="17"/>
  <c r="I100" i="16"/>
  <c r="I226" i="16"/>
  <c r="S182" i="14"/>
  <c r="O243" i="16"/>
  <c r="V113" i="16"/>
  <c r="V161" i="16"/>
  <c r="W87" i="12"/>
  <c r="W229" i="12"/>
  <c r="W245" i="12" s="1"/>
  <c r="Z100" i="16"/>
  <c r="Z226" i="16"/>
  <c r="Z242" i="16" s="1"/>
  <c r="I215" i="12"/>
  <c r="I312" i="12"/>
  <c r="K84" i="12"/>
  <c r="K226" i="12"/>
  <c r="K242" i="12" s="1"/>
  <c r="Q84" i="16"/>
  <c r="B114" i="15"/>
  <c r="B162" i="15"/>
  <c r="B163" i="11"/>
  <c r="X114" i="13"/>
  <c r="X162" i="13"/>
  <c r="Z119" i="11"/>
  <c r="Z262" i="11" s="1"/>
  <c r="AD308" i="14"/>
  <c r="AI181" i="10"/>
  <c r="G308" i="17"/>
  <c r="G211" i="17"/>
  <c r="I181" i="11"/>
  <c r="O181" i="11"/>
  <c r="K83" i="17"/>
  <c r="O240" i="15"/>
  <c r="H183" i="15"/>
  <c r="D83" i="17"/>
  <c r="Y212" i="13"/>
  <c r="Y309" i="13"/>
  <c r="Z212" i="13"/>
  <c r="Z309" i="13"/>
  <c r="V98" i="13"/>
  <c r="V224" i="13"/>
  <c r="V240" i="13" s="1"/>
  <c r="AD212" i="15"/>
  <c r="AD309" i="15"/>
  <c r="Y114" i="12"/>
  <c r="Y241" i="12" s="1"/>
  <c r="Y162" i="12"/>
  <c r="R83" i="13"/>
  <c r="I84" i="15"/>
  <c r="AA184" i="15"/>
  <c r="V83" i="15"/>
  <c r="AB212" i="15"/>
  <c r="AB309" i="15"/>
  <c r="AE248" i="20"/>
  <c r="AE264" i="20" s="1"/>
  <c r="AC212" i="16"/>
  <c r="AC309" i="16"/>
  <c r="AA98" i="17"/>
  <c r="AA224" i="17"/>
  <c r="C182" i="15"/>
  <c r="M309" i="14"/>
  <c r="K183" i="17"/>
  <c r="Q98" i="15"/>
  <c r="Q224" i="15"/>
  <c r="Q240" i="15" s="1"/>
  <c r="E98" i="17"/>
  <c r="E224" i="17"/>
  <c r="B160" i="17"/>
  <c r="B112" i="17"/>
  <c r="B239" i="17" s="1"/>
  <c r="S165" i="14"/>
  <c r="T98" i="16"/>
  <c r="T224" i="16"/>
  <c r="T240" i="16" s="1"/>
  <c r="R100" i="17"/>
  <c r="R226" i="17"/>
  <c r="R242" i="17" s="1"/>
  <c r="AA183" i="19"/>
  <c r="AA167" i="19" s="1"/>
  <c r="B181" i="13"/>
  <c r="W182" i="16"/>
  <c r="G215" i="15"/>
  <c r="G312" i="15"/>
  <c r="J98" i="15"/>
  <c r="J224" i="15"/>
  <c r="K225" i="12"/>
  <c r="K241" i="12" s="1"/>
  <c r="I88" i="12"/>
  <c r="I104" i="12" s="1"/>
  <c r="I120" i="12" s="1"/>
  <c r="I230" i="12"/>
  <c r="I246" i="12" s="1"/>
  <c r="I184" i="15"/>
  <c r="D182" i="10"/>
  <c r="L182" i="17"/>
  <c r="Q212" i="16"/>
  <c r="Q309" i="16"/>
  <c r="AC240" i="13"/>
  <c r="Y99" i="17"/>
  <c r="Y225" i="17"/>
  <c r="Y241" i="17" s="1"/>
  <c r="L213" i="17"/>
  <c r="L310" i="17"/>
  <c r="M115" i="13"/>
  <c r="M163" i="13"/>
  <c r="Z113" i="17"/>
  <c r="Z161" i="17"/>
  <c r="AC216" i="19"/>
  <c r="AC232" i="19" s="1"/>
  <c r="AC248" i="19" s="1"/>
  <c r="AC313" i="19"/>
  <c r="P181" i="10"/>
  <c r="P165" i="10" s="1"/>
  <c r="D182" i="19"/>
  <c r="L85" i="17"/>
  <c r="Y181" i="12"/>
  <c r="S114" i="17"/>
  <c r="S162" i="17"/>
  <c r="F241" i="17"/>
  <c r="D239" i="17"/>
  <c r="V239" i="15"/>
  <c r="AD291" i="14"/>
  <c r="G83" i="17"/>
  <c r="J183" i="13"/>
  <c r="H182" i="14"/>
  <c r="I164" i="11"/>
  <c r="AF6" i="11"/>
  <c r="AF7" i="11"/>
  <c r="AG7" i="11" s="1"/>
  <c r="AG9" i="11" s="1"/>
  <c r="AG11" i="11" s="1"/>
  <c r="AG16" i="11" s="1"/>
  <c r="O164" i="11"/>
  <c r="O114" i="15"/>
  <c r="O162" i="15"/>
  <c r="C182" i="16"/>
  <c r="D308" i="17"/>
  <c r="D211" i="17"/>
  <c r="AG334" i="9"/>
  <c r="AG335" i="9" s="1"/>
  <c r="AG336" i="9" s="1"/>
  <c r="AG337" i="9" s="1"/>
  <c r="AG338" i="9" s="1"/>
  <c r="AG339" i="9" s="1"/>
  <c r="AG340" i="9" s="1"/>
  <c r="AG341" i="9" s="1"/>
  <c r="AG342" i="9" s="1"/>
  <c r="AG343" i="9" s="1"/>
  <c r="AG344" i="9" s="1"/>
  <c r="AG345" i="9" s="1"/>
  <c r="S213" i="15"/>
  <c r="S310" i="15"/>
  <c r="Y84" i="13"/>
  <c r="Z84" i="13"/>
  <c r="AD182" i="17"/>
  <c r="W310" i="14"/>
  <c r="W294" i="14"/>
  <c r="AA112" i="11"/>
  <c r="AA160" i="11"/>
  <c r="AE106" i="20"/>
  <c r="AE233" i="20"/>
  <c r="AE249" i="20" s="1"/>
  <c r="L181" i="16"/>
  <c r="L183" i="10"/>
  <c r="AG6" i="11"/>
  <c r="I99" i="15"/>
  <c r="I225" i="15"/>
  <c r="I241" i="15" s="1"/>
  <c r="AC84" i="16"/>
  <c r="Z217" i="19"/>
  <c r="Z233" i="19" s="1"/>
  <c r="Z249" i="19" s="1"/>
  <c r="Z218" i="19"/>
  <c r="Z234" i="19" s="1"/>
  <c r="Z250" i="19" s="1"/>
  <c r="G211" i="16"/>
  <c r="G308" i="16"/>
  <c r="N100" i="15"/>
  <c r="N226" i="15"/>
  <c r="N242" i="15" s="1"/>
  <c r="D181" i="12"/>
  <c r="D165" i="12"/>
  <c r="G98" i="17"/>
  <c r="G224" i="17"/>
  <c r="J183" i="15"/>
  <c r="F167" i="19"/>
  <c r="F183" i="19"/>
  <c r="X116" i="12"/>
  <c r="X164" i="12"/>
  <c r="O117" i="16"/>
  <c r="O165" i="16"/>
  <c r="AA166" i="19"/>
  <c r="AF138" i="9"/>
  <c r="AF154" i="9" s="1"/>
  <c r="AF281" i="9" s="1"/>
  <c r="G87" i="15"/>
  <c r="K115" i="12"/>
  <c r="K163" i="12"/>
  <c r="AD107" i="20"/>
  <c r="G102" i="15"/>
  <c r="G118" i="15" s="1"/>
  <c r="G228" i="15"/>
  <c r="D165" i="10"/>
  <c r="D98" i="17"/>
  <c r="D224" i="17"/>
  <c r="D240" i="17" s="1"/>
  <c r="AB212" i="13"/>
  <c r="AB309" i="13"/>
  <c r="AC114" i="13"/>
  <c r="AC162" i="13"/>
  <c r="E181" i="17"/>
  <c r="AA181" i="11"/>
  <c r="AA165" i="11" s="1"/>
  <c r="X213" i="12"/>
  <c r="X310" i="12"/>
  <c r="L85" i="16"/>
  <c r="AB182" i="15"/>
  <c r="Q183" i="19"/>
  <c r="AE185" i="15"/>
  <c r="AC83" i="17"/>
  <c r="Q25" i="14"/>
  <c r="Q28" i="14" s="1"/>
  <c r="Q26" i="14" s="1"/>
  <c r="AB84" i="13"/>
  <c r="J114" i="17"/>
  <c r="J162" i="17"/>
  <c r="AB180" i="11"/>
  <c r="N213" i="12"/>
  <c r="N310" i="12"/>
  <c r="H239" i="13"/>
  <c r="B86" i="16"/>
  <c r="W116" i="15"/>
  <c r="W116" i="16"/>
  <c r="W164" i="16"/>
  <c r="M100" i="17"/>
  <c r="M226" i="17"/>
  <c r="AI21" i="10"/>
  <c r="AI23" i="10" s="1"/>
  <c r="C113" i="17"/>
  <c r="C161" i="17"/>
  <c r="M213" i="17"/>
  <c r="M310" i="17"/>
  <c r="AD181" i="13"/>
  <c r="C239" i="15"/>
  <c r="AF256" i="11"/>
  <c r="V181" i="14"/>
  <c r="M100" i="16"/>
  <c r="M226" i="16"/>
  <c r="Y239" i="16"/>
  <c r="L309" i="14"/>
  <c r="T211" i="16"/>
  <c r="T308" i="16"/>
  <c r="X86" i="12"/>
  <c r="M226" i="12"/>
  <c r="M242" i="12" s="1"/>
  <c r="J212" i="17"/>
  <c r="J309" i="17"/>
  <c r="L213" i="16"/>
  <c r="L310" i="16"/>
  <c r="V182" i="15"/>
  <c r="I229" i="12"/>
  <c r="I245" i="12" s="1"/>
  <c r="F103" i="15"/>
  <c r="F119" i="15" s="1"/>
  <c r="F229" i="15"/>
  <c r="Q166" i="19"/>
  <c r="AC308" i="17"/>
  <c r="AC211" i="17"/>
  <c r="E113" i="16"/>
  <c r="E161" i="16"/>
  <c r="B113" i="12"/>
  <c r="B240" i="12" s="1"/>
  <c r="B161" i="12"/>
  <c r="AA228" i="20"/>
  <c r="AA244" i="20" s="1"/>
  <c r="AA260" i="20" s="1"/>
  <c r="AA325" i="20"/>
  <c r="O167" i="12" l="1"/>
  <c r="O183" i="12"/>
  <c r="U114" i="16"/>
  <c r="U162" i="16"/>
  <c r="O310" i="14"/>
  <c r="O294" i="14" s="1"/>
  <c r="H212" i="13"/>
  <c r="H309" i="13"/>
  <c r="X100" i="15"/>
  <c r="X226" i="15"/>
  <c r="B183" i="16"/>
  <c r="N101" i="16"/>
  <c r="N227" i="16"/>
  <c r="X87" i="12"/>
  <c r="X229" i="12" s="1"/>
  <c r="I216" i="12"/>
  <c r="I313" i="12"/>
  <c r="T116" i="17"/>
  <c r="T164" i="17"/>
  <c r="U213" i="17"/>
  <c r="U310" i="17"/>
  <c r="W88" i="12"/>
  <c r="W230" i="12"/>
  <c r="F182" i="13"/>
  <c r="Y183" i="17"/>
  <c r="D183" i="10"/>
  <c r="D167" i="10"/>
  <c r="AB183" i="14"/>
  <c r="AB167" i="14" s="1"/>
  <c r="E84" i="16"/>
  <c r="Z167" i="10"/>
  <c r="Z183" i="10"/>
  <c r="X115" i="13"/>
  <c r="X163" i="13"/>
  <c r="F118" i="12"/>
  <c r="F166" i="12"/>
  <c r="D99" i="16"/>
  <c r="D225" i="16"/>
  <c r="M101" i="13"/>
  <c r="M227" i="13"/>
  <c r="E234" i="15"/>
  <c r="E91" i="15"/>
  <c r="E107" i="15" s="1"/>
  <c r="E123" i="15" s="1"/>
  <c r="D84" i="15"/>
  <c r="K114" i="13"/>
  <c r="K162" i="13"/>
  <c r="E212" i="13"/>
  <c r="E309" i="13"/>
  <c r="G212" i="17"/>
  <c r="G309" i="17"/>
  <c r="L116" i="12"/>
  <c r="L164" i="12"/>
  <c r="B165" i="11"/>
  <c r="B181" i="11"/>
  <c r="R86" i="17"/>
  <c r="AD213" i="17"/>
  <c r="AD310" i="17"/>
  <c r="L100" i="15"/>
  <c r="L226" i="15"/>
  <c r="M117" i="12"/>
  <c r="M165" i="12"/>
  <c r="E90" i="15"/>
  <c r="E233" i="15"/>
  <c r="AB217" i="17"/>
  <c r="AB218" i="17"/>
  <c r="Q184" i="20"/>
  <c r="K114" i="16"/>
  <c r="K162" i="16"/>
  <c r="M227" i="12"/>
  <c r="M243" i="12" s="1"/>
  <c r="W87" i="16"/>
  <c r="N99" i="17"/>
  <c r="N225" i="17"/>
  <c r="I183" i="10"/>
  <c r="W183" i="17"/>
  <c r="J85" i="17"/>
  <c r="N240" i="17"/>
  <c r="Y212" i="12"/>
  <c r="Y309" i="12"/>
  <c r="AD309" i="14"/>
  <c r="E99" i="16"/>
  <c r="E225" i="16"/>
  <c r="T168" i="14"/>
  <c r="T184" i="14"/>
  <c r="N183" i="13"/>
  <c r="W115" i="17"/>
  <c r="W163" i="17"/>
  <c r="M116" i="13"/>
  <c r="M164" i="13"/>
  <c r="AD168" i="20"/>
  <c r="AD184" i="20"/>
  <c r="AB184" i="13"/>
  <c r="P184" i="19"/>
  <c r="AA182" i="17"/>
  <c r="M86" i="12"/>
  <c r="M102" i="12" s="1"/>
  <c r="M228" i="12"/>
  <c r="M244" i="12" s="1"/>
  <c r="AD239" i="11"/>
  <c r="X88" i="16"/>
  <c r="AA212" i="16"/>
  <c r="AA309" i="16"/>
  <c r="Z182" i="17"/>
  <c r="S118" i="13"/>
  <c r="T101" i="17"/>
  <c r="T227" i="17"/>
  <c r="T243" i="17" s="1"/>
  <c r="AH114" i="10"/>
  <c r="AH241" i="10" s="1"/>
  <c r="AH162" i="10"/>
  <c r="AE212" i="17"/>
  <c r="AE309" i="17"/>
  <c r="Z85" i="15"/>
  <c r="B116" i="17"/>
  <c r="B164" i="17"/>
  <c r="C99" i="17"/>
  <c r="C225" i="17"/>
  <c r="C241" i="17" s="1"/>
  <c r="X102" i="12"/>
  <c r="T114" i="16"/>
  <c r="T162" i="16"/>
  <c r="AC213" i="16"/>
  <c r="AC310" i="16"/>
  <c r="Z85" i="13"/>
  <c r="AD292" i="14"/>
  <c r="U183" i="20"/>
  <c r="Z183" i="14"/>
  <c r="M184" i="16"/>
  <c r="F184" i="12"/>
  <c r="AB242" i="16"/>
  <c r="I101" i="17"/>
  <c r="I227" i="17"/>
  <c r="T167" i="14"/>
  <c r="T86" i="15"/>
  <c r="AC185" i="17"/>
  <c r="AF311" i="14"/>
  <c r="AD183" i="10"/>
  <c r="X241" i="17"/>
  <c r="Y309" i="16"/>
  <c r="Y212" i="16"/>
  <c r="AB101" i="16"/>
  <c r="AB227" i="16"/>
  <c r="O113" i="14"/>
  <c r="O240" i="14" s="1"/>
  <c r="O161" i="14"/>
  <c r="F116" i="17"/>
  <c r="F164" i="17"/>
  <c r="S183" i="16"/>
  <c r="I214" i="16"/>
  <c r="I311" i="16"/>
  <c r="P167" i="19"/>
  <c r="K242" i="15"/>
  <c r="C184" i="20"/>
  <c r="AG214" i="9"/>
  <c r="E246" i="15"/>
  <c r="AE228" i="11"/>
  <c r="AE325" i="11"/>
  <c r="H183" i="12"/>
  <c r="AA84" i="16"/>
  <c r="Z182" i="20"/>
  <c r="T310" i="14"/>
  <c r="T294" i="14" s="1"/>
  <c r="Q114" i="13"/>
  <c r="Q162" i="13"/>
  <c r="P243" i="13"/>
  <c r="B184" i="19"/>
  <c r="B168" i="19" s="1"/>
  <c r="S183" i="12"/>
  <c r="AD214" i="13"/>
  <c r="AD311" i="13"/>
  <c r="AH117" i="10"/>
  <c r="AH244" i="10" s="1"/>
  <c r="AH165" i="10"/>
  <c r="AE182" i="10"/>
  <c r="E219" i="15"/>
  <c r="E33" i="15" s="1"/>
  <c r="E35" i="15" s="1"/>
  <c r="E41" i="15" s="1"/>
  <c r="F186" i="17"/>
  <c r="S116" i="12"/>
  <c r="S164" i="12"/>
  <c r="AB183" i="19"/>
  <c r="AB167" i="19"/>
  <c r="B87" i="16"/>
  <c r="AL21" i="10"/>
  <c r="AL23" i="10" s="1"/>
  <c r="C309" i="16"/>
  <c r="C212" i="16"/>
  <c r="AA258" i="11"/>
  <c r="G183" i="19"/>
  <c r="G167" i="19" s="1"/>
  <c r="I116" i="17"/>
  <c r="I164" i="17"/>
  <c r="AL299" i="10"/>
  <c r="AL39" i="10"/>
  <c r="X182" i="13"/>
  <c r="S310" i="14"/>
  <c r="AD114" i="11"/>
  <c r="AD257" i="11" s="1"/>
  <c r="AD162" i="11"/>
  <c r="F85" i="13"/>
  <c r="AF242" i="11"/>
  <c r="AF258" i="11" s="1"/>
  <c r="H309" i="14"/>
  <c r="W85" i="17"/>
  <c r="X214" i="12"/>
  <c r="X311" i="12"/>
  <c r="Q181" i="11"/>
  <c r="AK183" i="10"/>
  <c r="L184" i="15"/>
  <c r="D167" i="19"/>
  <c r="D183" i="19"/>
  <c r="K185" i="10"/>
  <c r="Y181" i="11"/>
  <c r="R311" i="17"/>
  <c r="R214" i="17"/>
  <c r="K168" i="10"/>
  <c r="L85" i="15"/>
  <c r="E84" i="13"/>
  <c r="O166" i="10"/>
  <c r="O182" i="10"/>
  <c r="V101" i="12"/>
  <c r="V169" i="20"/>
  <c r="V185" i="20"/>
  <c r="V170" i="20" s="1"/>
  <c r="G184" i="10"/>
  <c r="R115" i="15"/>
  <c r="R163" i="15"/>
  <c r="H183" i="14"/>
  <c r="V114" i="13"/>
  <c r="V162" i="13"/>
  <c r="Y213" i="17"/>
  <c r="Y310" i="17"/>
  <c r="C227" i="12"/>
  <c r="C85" i="12"/>
  <c r="C101" i="12" s="1"/>
  <c r="F99" i="16"/>
  <c r="F225" i="16"/>
  <c r="AG242" i="11"/>
  <c r="AG258" i="11" s="1"/>
  <c r="Y85" i="17"/>
  <c r="N114" i="17"/>
  <c r="N162" i="17"/>
  <c r="R183" i="17"/>
  <c r="G100" i="13"/>
  <c r="G226" i="13"/>
  <c r="G242" i="13" s="1"/>
  <c r="U165" i="11"/>
  <c r="U181" i="11"/>
  <c r="N97" i="14"/>
  <c r="M81" i="14"/>
  <c r="N208" i="14"/>
  <c r="N288" i="14" s="1"/>
  <c r="G186" i="17"/>
  <c r="AB228" i="20"/>
  <c r="AB244" i="20" s="1"/>
  <c r="AB260" i="20" s="1"/>
  <c r="AB325" i="20"/>
  <c r="S116" i="15"/>
  <c r="S164" i="15"/>
  <c r="AM21" i="10"/>
  <c r="AM23" i="10" s="1"/>
  <c r="Y227" i="12"/>
  <c r="Y85" i="12"/>
  <c r="H89" i="15"/>
  <c r="C84" i="16"/>
  <c r="I186" i="17"/>
  <c r="T181" i="11"/>
  <c r="J310" i="14"/>
  <c r="AE186" i="17"/>
  <c r="AA114" i="16"/>
  <c r="AA162" i="16"/>
  <c r="AA229" i="20"/>
  <c r="AA245" i="20" s="1"/>
  <c r="AA261" i="20" s="1"/>
  <c r="AA326" i="20"/>
  <c r="X228" i="12"/>
  <c r="M242" i="17"/>
  <c r="AC100" i="16"/>
  <c r="AC226" i="16"/>
  <c r="AC242" i="16" s="1"/>
  <c r="AC85" i="16"/>
  <c r="Y213" i="13"/>
  <c r="Y310" i="13"/>
  <c r="Z107" i="11"/>
  <c r="Z23" i="11" s="1"/>
  <c r="M182" i="20"/>
  <c r="AG228" i="11"/>
  <c r="AG325" i="11"/>
  <c r="AB116" i="16"/>
  <c r="AB164" i="16"/>
  <c r="AC115" i="16"/>
  <c r="AC163" i="16"/>
  <c r="G182" i="12"/>
  <c r="J212" i="15"/>
  <c r="J309" i="15"/>
  <c r="U183" i="15"/>
  <c r="B185" i="15"/>
  <c r="Y84" i="16"/>
  <c r="N240" i="13"/>
  <c r="H166" i="11"/>
  <c r="H182" i="11"/>
  <c r="AA229" i="11"/>
  <c r="AA326" i="11"/>
  <c r="O216" i="12"/>
  <c r="O313" i="12"/>
  <c r="I86" i="16"/>
  <c r="L182" i="19"/>
  <c r="K116" i="15"/>
  <c r="K164" i="15"/>
  <c r="AA99" i="16"/>
  <c r="AA225" i="16"/>
  <c r="L242" i="17"/>
  <c r="AE85" i="11"/>
  <c r="AE101" i="11" s="1"/>
  <c r="C100" i="13"/>
  <c r="C226" i="13"/>
  <c r="C242" i="13" s="1"/>
  <c r="O100" i="15"/>
  <c r="O226" i="15"/>
  <c r="O242" i="15" s="1"/>
  <c r="W240" i="13"/>
  <c r="E185" i="12"/>
  <c r="T184" i="16"/>
  <c r="M215" i="14"/>
  <c r="M104" i="14"/>
  <c r="M120" i="14" s="1"/>
  <c r="M247" i="14" s="1"/>
  <c r="L88" i="14"/>
  <c r="D183" i="15"/>
  <c r="P117" i="13"/>
  <c r="P165" i="13"/>
  <c r="AD185" i="15"/>
  <c r="M214" i="13"/>
  <c r="M311" i="13"/>
  <c r="AE165" i="10"/>
  <c r="E105" i="15"/>
  <c r="E92" i="15"/>
  <c r="E12" i="15" s="1"/>
  <c r="E15" i="15" s="1"/>
  <c r="E46" i="15" s="1"/>
  <c r="E231" i="15"/>
  <c r="E247" i="15" s="1"/>
  <c r="V116" i="12"/>
  <c r="V243" i="12" s="1"/>
  <c r="V164" i="12"/>
  <c r="B215" i="16"/>
  <c r="B312" i="16"/>
  <c r="AA116" i="11"/>
  <c r="AA164" i="11"/>
  <c r="Y216" i="15"/>
  <c r="Y313" i="15"/>
  <c r="M100" i="15"/>
  <c r="M226" i="15"/>
  <c r="D182" i="20"/>
  <c r="S241" i="17"/>
  <c r="I100" i="15"/>
  <c r="I226" i="15"/>
  <c r="E183" i="11"/>
  <c r="O213" i="15"/>
  <c r="O310" i="15"/>
  <c r="M183" i="14"/>
  <c r="Z181" i="11"/>
  <c r="F101" i="17"/>
  <c r="F227" i="17"/>
  <c r="F243" i="17" s="1"/>
  <c r="X183" i="12"/>
  <c r="Z184" i="13"/>
  <c r="E166" i="11"/>
  <c r="Z101" i="16"/>
  <c r="Z227" i="16"/>
  <c r="O166" i="12"/>
  <c r="I182" i="11"/>
  <c r="I166" i="11" s="1"/>
  <c r="W215" i="12"/>
  <c r="W312" i="12"/>
  <c r="P100" i="16"/>
  <c r="P226" i="16"/>
  <c r="Y242" i="12"/>
  <c r="AI299" i="10"/>
  <c r="AI39" i="10"/>
  <c r="H182" i="20"/>
  <c r="V293" i="14"/>
  <c r="V309" i="14"/>
  <c r="C311" i="14"/>
  <c r="V181" i="11"/>
  <c r="Q241" i="17"/>
  <c r="R116" i="17"/>
  <c r="R164" i="17"/>
  <c r="U183" i="12"/>
  <c r="S182" i="10"/>
  <c r="S166" i="10" s="1"/>
  <c r="K84" i="13"/>
  <c r="X182" i="15"/>
  <c r="Z115" i="13"/>
  <c r="Z163" i="13"/>
  <c r="G99" i="16"/>
  <c r="G225" i="16"/>
  <c r="R241" i="15"/>
  <c r="W311" i="14"/>
  <c r="AH295" i="14"/>
  <c r="AH311" i="14"/>
  <c r="G183" i="14"/>
  <c r="AC167" i="10"/>
  <c r="AC183" i="10"/>
  <c r="K184" i="19"/>
  <c r="AB100" i="13"/>
  <c r="AB226" i="13"/>
  <c r="AB242" i="13" s="1"/>
  <c r="W103" i="12"/>
  <c r="W119" i="12" s="1"/>
  <c r="F242" i="17"/>
  <c r="AM225" i="10"/>
  <c r="AM219" i="10"/>
  <c r="AM33" i="10" s="1"/>
  <c r="AM35" i="10" s="1"/>
  <c r="AM41" i="10" s="1"/>
  <c r="AM36" i="10" s="1"/>
  <c r="D169" i="11"/>
  <c r="D185" i="11"/>
  <c r="D170" i="11" s="1"/>
  <c r="G167" i="10"/>
  <c r="Q84" i="15"/>
  <c r="AD183" i="17"/>
  <c r="Q167" i="14"/>
  <c r="Q183" i="14"/>
  <c r="J240" i="15"/>
  <c r="T116" i="15"/>
  <c r="T164" i="15"/>
  <c r="AF183" i="14"/>
  <c r="T182" i="12"/>
  <c r="Z86" i="16"/>
  <c r="R184" i="10"/>
  <c r="R168" i="10" s="1"/>
  <c r="AA212" i="19"/>
  <c r="AA228" i="19" s="1"/>
  <c r="AA244" i="19" s="1"/>
  <c r="AA309" i="19"/>
  <c r="U166" i="19"/>
  <c r="U182" i="19"/>
  <c r="AB242" i="11"/>
  <c r="AB258" i="11" s="1"/>
  <c r="O114" i="14"/>
  <c r="O241" i="14" s="1"/>
  <c r="O162" i="14"/>
  <c r="AH116" i="10"/>
  <c r="AH243" i="10" s="1"/>
  <c r="AH164" i="10"/>
  <c r="X182" i="14"/>
  <c r="X166" i="14" s="1"/>
  <c r="Q86" i="12"/>
  <c r="Q102" i="12" s="1"/>
  <c r="Q182" i="15"/>
  <c r="T99" i="16"/>
  <c r="T225" i="16"/>
  <c r="T241" i="16" s="1"/>
  <c r="S85" i="17"/>
  <c r="F115" i="13"/>
  <c r="F163" i="13"/>
  <c r="O241" i="15"/>
  <c r="R184" i="13"/>
  <c r="C212" i="15"/>
  <c r="C309" i="15"/>
  <c r="N84" i="13"/>
  <c r="F84" i="16"/>
  <c r="D183" i="16"/>
  <c r="Q213" i="16"/>
  <c r="Q310" i="16"/>
  <c r="R212" i="13"/>
  <c r="R309" i="13"/>
  <c r="AA168" i="19"/>
  <c r="AA184" i="19"/>
  <c r="O84" i="17"/>
  <c r="AA183" i="16"/>
  <c r="P25" i="14"/>
  <c r="P28" i="14" s="1"/>
  <c r="P26" i="14" s="1"/>
  <c r="V183" i="10"/>
  <c r="X117" i="12"/>
  <c r="X165" i="12"/>
  <c r="C183" i="15"/>
  <c r="AB15" i="12"/>
  <c r="AB46" i="12" s="1"/>
  <c r="AB11" i="1"/>
  <c r="AB43" i="1" s="1"/>
  <c r="F100" i="13"/>
  <c r="F226" i="13"/>
  <c r="F242" i="13" s="1"/>
  <c r="AA182" i="11"/>
  <c r="C116" i="12"/>
  <c r="C164" i="12"/>
  <c r="K182" i="11"/>
  <c r="E84" i="17"/>
  <c r="AB89" i="17"/>
  <c r="D182" i="13"/>
  <c r="E182" i="17"/>
  <c r="K212" i="13"/>
  <c r="K309" i="13"/>
  <c r="Q184" i="16"/>
  <c r="K185" i="16"/>
  <c r="M213" i="12"/>
  <c r="M310" i="12"/>
  <c r="Z183" i="15"/>
  <c r="B166" i="20"/>
  <c r="B182" i="20"/>
  <c r="AA114" i="17"/>
  <c r="AA162" i="17"/>
  <c r="T214" i="15"/>
  <c r="T311" i="15"/>
  <c r="AC99" i="17"/>
  <c r="AC225" i="17"/>
  <c r="Y182" i="13"/>
  <c r="Q213" i="17"/>
  <c r="Q310" i="17"/>
  <c r="P87" i="13"/>
  <c r="L169" i="11"/>
  <c r="L185" i="11"/>
  <c r="L170" i="11" s="1"/>
  <c r="J114" i="15"/>
  <c r="J162" i="15"/>
  <c r="E114" i="16"/>
  <c r="E162" i="16"/>
  <c r="V240" i="15"/>
  <c r="AC115" i="13"/>
  <c r="AC163" i="13"/>
  <c r="U185" i="10"/>
  <c r="J241" i="17"/>
  <c r="AF183" i="10"/>
  <c r="W181" i="11"/>
  <c r="W165" i="11" s="1"/>
  <c r="Z84" i="17"/>
  <c r="K114" i="17"/>
  <c r="K162" i="17"/>
  <c r="L168" i="11"/>
  <c r="X183" i="16"/>
  <c r="AE182" i="13"/>
  <c r="E183" i="15"/>
  <c r="B213" i="12"/>
  <c r="B310" i="12"/>
  <c r="AD115" i="11"/>
  <c r="AD163" i="11"/>
  <c r="E114" i="13"/>
  <c r="E162" i="13"/>
  <c r="T165" i="12"/>
  <c r="R167" i="10"/>
  <c r="AA84" i="17"/>
  <c r="AA227" i="19"/>
  <c r="AA243" i="19" s="1"/>
  <c r="T214" i="12"/>
  <c r="T311" i="12"/>
  <c r="U165" i="19"/>
  <c r="J100" i="16"/>
  <c r="J226" i="16"/>
  <c r="J242" i="16" s="1"/>
  <c r="H99" i="13"/>
  <c r="H225" i="13"/>
  <c r="H241" i="13" s="1"/>
  <c r="V183" i="13"/>
  <c r="N183" i="16"/>
  <c r="N212" i="17"/>
  <c r="N309" i="17"/>
  <c r="F183" i="20"/>
  <c r="F167" i="20"/>
  <c r="AC240" i="17"/>
  <c r="D240" i="13"/>
  <c r="S99" i="16"/>
  <c r="S225" i="16"/>
  <c r="X165" i="14"/>
  <c r="H117" i="12"/>
  <c r="H165" i="12"/>
  <c r="E99" i="13"/>
  <c r="E225" i="13"/>
  <c r="E241" i="13" s="1"/>
  <c r="M217" i="14"/>
  <c r="M106" i="14"/>
  <c r="M122" i="14" s="1"/>
  <c r="M249" i="14" s="1"/>
  <c r="L90" i="14"/>
  <c r="O115" i="15"/>
  <c r="O163" i="15"/>
  <c r="C84" i="15"/>
  <c r="Z183" i="16"/>
  <c r="U166" i="14"/>
  <c r="U182" i="14"/>
  <c r="E117" i="12"/>
  <c r="E165" i="12"/>
  <c r="AB184" i="17"/>
  <c r="N212" i="13"/>
  <c r="N309" i="13"/>
  <c r="AH167" i="14"/>
  <c r="AH183" i="14"/>
  <c r="B182" i="10"/>
  <c r="Y115" i="13"/>
  <c r="Y163" i="13"/>
  <c r="H116" i="17"/>
  <c r="H164" i="17"/>
  <c r="L182" i="16"/>
  <c r="R85" i="15"/>
  <c r="W212" i="13"/>
  <c r="W309" i="13"/>
  <c r="O183" i="13"/>
  <c r="L100" i="13"/>
  <c r="L226" i="13"/>
  <c r="R167" i="19"/>
  <c r="R183" i="19"/>
  <c r="B100" i="15"/>
  <c r="B226" i="15"/>
  <c r="P116" i="15"/>
  <c r="P164" i="15"/>
  <c r="O212" i="17"/>
  <c r="O309" i="17"/>
  <c r="Z114" i="17"/>
  <c r="Z162" i="17"/>
  <c r="W84" i="13"/>
  <c r="O168" i="19"/>
  <c r="O184" i="19"/>
  <c r="M115" i="15"/>
  <c r="M163" i="15"/>
  <c r="K100" i="12"/>
  <c r="V114" i="16"/>
  <c r="V162" i="16"/>
  <c r="W99" i="13"/>
  <c r="W225" i="13"/>
  <c r="W241" i="13" s="1"/>
  <c r="AC294" i="14"/>
  <c r="AC310" i="14"/>
  <c r="C184" i="11"/>
  <c r="D212" i="15"/>
  <c r="D309" i="15"/>
  <c r="C114" i="16"/>
  <c r="C162" i="16"/>
  <c r="D183" i="14"/>
  <c r="L310" i="15"/>
  <c r="L213" i="15"/>
  <c r="Z309" i="14"/>
  <c r="J212" i="13"/>
  <c r="J309" i="13"/>
  <c r="Q84" i="13"/>
  <c r="AE182" i="12"/>
  <c r="M214" i="17"/>
  <c r="M311" i="17"/>
  <c r="AD213" i="15"/>
  <c r="AD310" i="15"/>
  <c r="Z166" i="10"/>
  <c r="E309" i="14"/>
  <c r="T183" i="17"/>
  <c r="I100" i="13"/>
  <c r="I226" i="13"/>
  <c r="J182" i="11"/>
  <c r="H212" i="16"/>
  <c r="H309" i="16"/>
  <c r="AA166" i="13"/>
  <c r="AA182" i="13"/>
  <c r="Y311" i="14"/>
  <c r="G84" i="16"/>
  <c r="J114" i="13"/>
  <c r="J162" i="13"/>
  <c r="X313" i="16"/>
  <c r="X216" i="16"/>
  <c r="J213" i="16"/>
  <c r="J310" i="16"/>
  <c r="AH112" i="10"/>
  <c r="AH239" i="10" s="1"/>
  <c r="AH160" i="10"/>
  <c r="AE183" i="14"/>
  <c r="AE167" i="14" s="1"/>
  <c r="J84" i="15"/>
  <c r="M212" i="14"/>
  <c r="M292" i="14" s="1"/>
  <c r="M101" i="14"/>
  <c r="L85" i="14"/>
  <c r="M185" i="13"/>
  <c r="S213" i="17"/>
  <c r="S310" i="17"/>
  <c r="E240" i="13"/>
  <c r="AB213" i="15"/>
  <c r="AB310" i="15"/>
  <c r="S183" i="14"/>
  <c r="AD212" i="16"/>
  <c r="AD309" i="16"/>
  <c r="Z183" i="19"/>
  <c r="L310" i="14"/>
  <c r="AE186" i="15"/>
  <c r="F168" i="19"/>
  <c r="F184" i="19"/>
  <c r="I115" i="15"/>
  <c r="I163" i="15"/>
  <c r="Y100" i="13"/>
  <c r="Y226" i="13"/>
  <c r="L214" i="17"/>
  <c r="L311" i="17"/>
  <c r="E240" i="17"/>
  <c r="H184" i="15"/>
  <c r="S166" i="14"/>
  <c r="Y100" i="17"/>
  <c r="Y226" i="17"/>
  <c r="K212" i="17"/>
  <c r="K309" i="17"/>
  <c r="T101" i="15"/>
  <c r="T227" i="15"/>
  <c r="X169" i="19"/>
  <c r="X185" i="19"/>
  <c r="AC240" i="11"/>
  <c r="AC256" i="11" s="1"/>
  <c r="Z166" i="19"/>
  <c r="AF182" i="11"/>
  <c r="O244" i="16"/>
  <c r="R167" i="12"/>
  <c r="R183" i="12"/>
  <c r="J115" i="17"/>
  <c r="J163" i="17"/>
  <c r="G166" i="20"/>
  <c r="G182" i="20"/>
  <c r="AB182" i="16"/>
  <c r="W164" i="11"/>
  <c r="U212" i="16"/>
  <c r="U309" i="16"/>
  <c r="N213" i="14"/>
  <c r="N293" i="14" s="1"/>
  <c r="N102" i="14"/>
  <c r="M86" i="14"/>
  <c r="N214" i="16"/>
  <c r="N311" i="16"/>
  <c r="W102" i="15"/>
  <c r="W228" i="15"/>
  <c r="W244" i="15" s="1"/>
  <c r="E166" i="15"/>
  <c r="B86" i="12"/>
  <c r="B102" i="12" s="1"/>
  <c r="P102" i="13"/>
  <c r="P228" i="13"/>
  <c r="P244" i="13" s="1"/>
  <c r="B117" i="12"/>
  <c r="B165" i="12"/>
  <c r="H86" i="17"/>
  <c r="X100" i="17"/>
  <c r="X226" i="17"/>
  <c r="M186" i="12"/>
  <c r="AA212" i="17"/>
  <c r="AA309" i="17"/>
  <c r="S181" i="11"/>
  <c r="J167" i="12"/>
  <c r="J183" i="12"/>
  <c r="T87" i="12"/>
  <c r="T229" i="12"/>
  <c r="AA99" i="17"/>
  <c r="AA225" i="17"/>
  <c r="AA241" i="17" s="1"/>
  <c r="C166" i="10"/>
  <c r="C182" i="10"/>
  <c r="T244" i="13"/>
  <c r="L213" i="13"/>
  <c r="L310" i="13"/>
  <c r="W182" i="15"/>
  <c r="U240" i="15"/>
  <c r="H104" i="15"/>
  <c r="H120" i="15" s="1"/>
  <c r="H230" i="15"/>
  <c r="H246" i="15" s="1"/>
  <c r="D212" i="16"/>
  <c r="D309" i="16"/>
  <c r="F166" i="20"/>
  <c r="AC114" i="17"/>
  <c r="AC162" i="17"/>
  <c r="I309" i="14"/>
  <c r="AH118" i="10"/>
  <c r="AH245" i="10" s="1"/>
  <c r="AH166" i="10"/>
  <c r="AG294" i="14"/>
  <c r="AG310" i="14"/>
  <c r="O99" i="13"/>
  <c r="O225" i="13"/>
  <c r="O241" i="13" s="1"/>
  <c r="N184" i="10"/>
  <c r="N168" i="10" s="1"/>
  <c r="C212" i="17"/>
  <c r="C309" i="17"/>
  <c r="S166" i="13"/>
  <c r="S182" i="13"/>
  <c r="AH168" i="10"/>
  <c r="AH184" i="10"/>
  <c r="R166" i="14"/>
  <c r="R182" i="14"/>
  <c r="AB167" i="17"/>
  <c r="V212" i="13"/>
  <c r="V309" i="13"/>
  <c r="B241" i="15"/>
  <c r="B165" i="10"/>
  <c r="W100" i="17"/>
  <c r="W226" i="17"/>
  <c r="W242" i="17" s="1"/>
  <c r="E183" i="16"/>
  <c r="E80" i="12"/>
  <c r="D234" i="12" s="1"/>
  <c r="D250" i="12" s="1"/>
  <c r="I183" i="16"/>
  <c r="G114" i="17"/>
  <c r="G162" i="17"/>
  <c r="J99" i="15"/>
  <c r="J225" i="15"/>
  <c r="B100" i="13"/>
  <c r="B226" i="13"/>
  <c r="F213" i="13"/>
  <c r="F310" i="13"/>
  <c r="G114" i="16"/>
  <c r="G162" i="16"/>
  <c r="R99" i="13"/>
  <c r="R225" i="13"/>
  <c r="R241" i="13" s="1"/>
  <c r="AD242" i="11"/>
  <c r="AD258" i="11" s="1"/>
  <c r="Y182" i="14"/>
  <c r="P118" i="12"/>
  <c r="P166" i="12"/>
  <c r="B311" i="14"/>
  <c r="C114" i="17"/>
  <c r="C162" i="17"/>
  <c r="J185" i="16"/>
  <c r="AE122" i="20"/>
  <c r="AE265" i="20" s="1"/>
  <c r="AE107" i="20"/>
  <c r="G166" i="11"/>
  <c r="G182" i="11"/>
  <c r="AC183" i="14"/>
  <c r="AC167" i="14"/>
  <c r="Y100" i="12"/>
  <c r="O160" i="14"/>
  <c r="O112" i="14"/>
  <c r="O239" i="14" s="1"/>
  <c r="O108" i="14"/>
  <c r="O23" i="14" s="1"/>
  <c r="F310" i="14"/>
  <c r="K183" i="15"/>
  <c r="G165" i="11"/>
  <c r="S88" i="13"/>
  <c r="Y99" i="16"/>
  <c r="Y225" i="16"/>
  <c r="Y241" i="16" s="1"/>
  <c r="Y169" i="19"/>
  <c r="Y185" i="19"/>
  <c r="Q183" i="12"/>
  <c r="S212" i="12"/>
  <c r="S309" i="12"/>
  <c r="I183" i="14"/>
  <c r="J84" i="13"/>
  <c r="U183" i="17"/>
  <c r="M86" i="17"/>
  <c r="AA240" i="17"/>
  <c r="K84" i="16"/>
  <c r="O182" i="17"/>
  <c r="Q167" i="20"/>
  <c r="J213" i="17"/>
  <c r="J310" i="17"/>
  <c r="AB245" i="17"/>
  <c r="K165" i="11"/>
  <c r="W312" i="16"/>
  <c r="W215" i="16"/>
  <c r="J85" i="16"/>
  <c r="B85" i="15"/>
  <c r="AC217" i="19"/>
  <c r="AC233" i="19" s="1"/>
  <c r="AC249" i="19" s="1"/>
  <c r="AC218" i="19"/>
  <c r="AC234" i="19" s="1"/>
  <c r="AC250" i="19" s="1"/>
  <c r="AD113" i="11"/>
  <c r="AD161" i="11"/>
  <c r="H217" i="15"/>
  <c r="H218" i="15"/>
  <c r="I166" i="10"/>
  <c r="B242" i="17"/>
  <c r="R294" i="14"/>
  <c r="R310" i="14"/>
  <c r="G99" i="17"/>
  <c r="G225" i="17"/>
  <c r="H169" i="10"/>
  <c r="H185" i="10"/>
  <c r="AA86" i="11"/>
  <c r="AA102" i="11" s="1"/>
  <c r="AA118" i="11" s="1"/>
  <c r="M86" i="13"/>
  <c r="Q213" i="12"/>
  <c r="Q310" i="12"/>
  <c r="J183" i="14"/>
  <c r="D99" i="17"/>
  <c r="D225" i="17"/>
  <c r="N117" i="14"/>
  <c r="N244" i="14" s="1"/>
  <c r="N165" i="14"/>
  <c r="Q85" i="17"/>
  <c r="K240" i="17"/>
  <c r="X166" i="16"/>
  <c r="V85" i="17"/>
  <c r="D114" i="17"/>
  <c r="D162" i="17"/>
  <c r="I242" i="16"/>
  <c r="N311" i="15"/>
  <c r="N214" i="15"/>
  <c r="R166" i="20"/>
  <c r="R182" i="20"/>
  <c r="J183" i="10"/>
  <c r="J167" i="10"/>
  <c r="X213" i="13"/>
  <c r="X310" i="13"/>
  <c r="Q100" i="17"/>
  <c r="Q226" i="17"/>
  <c r="Q242" i="17" s="1"/>
  <c r="O103" i="16"/>
  <c r="O229" i="16"/>
  <c r="Z99" i="17"/>
  <c r="Z225" i="17"/>
  <c r="O183" i="20"/>
  <c r="O167" i="20"/>
  <c r="U84" i="16"/>
  <c r="N86" i="16"/>
  <c r="N183" i="12"/>
  <c r="W243" i="15"/>
  <c r="U311" i="14"/>
  <c r="H311" i="17"/>
  <c r="H214" i="17"/>
  <c r="Q169" i="10"/>
  <c r="Q185" i="10"/>
  <c r="X213" i="17"/>
  <c r="X310" i="17"/>
  <c r="T118" i="13"/>
  <c r="T166" i="13"/>
  <c r="L85" i="13"/>
  <c r="J99" i="13"/>
  <c r="J225" i="13"/>
  <c r="D84" i="16"/>
  <c r="Q310" i="14"/>
  <c r="C99" i="15"/>
  <c r="C225" i="15"/>
  <c r="AD167" i="14"/>
  <c r="AD183" i="14"/>
  <c r="D114" i="13"/>
  <c r="D162" i="13"/>
  <c r="V213" i="12"/>
  <c r="V310" i="12"/>
  <c r="O84" i="13"/>
  <c r="C84" i="17"/>
  <c r="AH167" i="10"/>
  <c r="L186" i="13"/>
  <c r="V84" i="13"/>
  <c r="N294" i="14"/>
  <c r="N310" i="14"/>
  <c r="B115" i="15"/>
  <c r="B163" i="15"/>
  <c r="U184" i="13"/>
  <c r="M211" i="14"/>
  <c r="M291" i="14" s="1"/>
  <c r="M100" i="14"/>
  <c r="L84" i="14"/>
  <c r="P241" i="16"/>
  <c r="D91" i="12"/>
  <c r="D107" i="12" s="1"/>
  <c r="D123" i="12" s="1"/>
  <c r="D219" i="12"/>
  <c r="D33" i="12" s="1"/>
  <c r="U100" i="13"/>
  <c r="U226" i="13"/>
  <c r="N87" i="12"/>
  <c r="N103" i="12" s="1"/>
  <c r="N119" i="12" s="1"/>
  <c r="U100" i="17"/>
  <c r="U226" i="17"/>
  <c r="D84" i="13"/>
  <c r="AF116" i="11"/>
  <c r="AF164" i="11"/>
  <c r="M294" i="14"/>
  <c r="M310" i="14"/>
  <c r="R114" i="16"/>
  <c r="R162" i="16"/>
  <c r="N207" i="14"/>
  <c r="N93" i="14"/>
  <c r="N96" i="14"/>
  <c r="M80" i="14"/>
  <c r="I165" i="11"/>
  <c r="T214" i="17"/>
  <c r="T311" i="17"/>
  <c r="C167" i="11"/>
  <c r="D166" i="10"/>
  <c r="B182" i="17"/>
  <c r="L115" i="13"/>
  <c r="L163" i="13"/>
  <c r="O219" i="14"/>
  <c r="O33" i="14" s="1"/>
  <c r="O35" i="14" s="1"/>
  <c r="O41" i="14" s="1"/>
  <c r="O287" i="14"/>
  <c r="AA118" i="13"/>
  <c r="B213" i="15"/>
  <c r="B310" i="15"/>
  <c r="Q212" i="15"/>
  <c r="Q309" i="15"/>
  <c r="Z91" i="11"/>
  <c r="Z12" i="11" s="1"/>
  <c r="L115" i="15"/>
  <c r="L163" i="15"/>
  <c r="P182" i="15"/>
  <c r="L103" i="14"/>
  <c r="L119" i="14" s="1"/>
  <c r="L246" i="14" s="1"/>
  <c r="K87" i="14"/>
  <c r="L214" i="14"/>
  <c r="L294" i="14" s="1"/>
  <c r="I115" i="13"/>
  <c r="I163" i="13"/>
  <c r="X103" i="16"/>
  <c r="X119" i="16" s="1"/>
  <c r="X229" i="16"/>
  <c r="X245" i="16" s="1"/>
  <c r="R181" i="11"/>
  <c r="R165" i="11" s="1"/>
  <c r="V168" i="20"/>
  <c r="J184" i="13"/>
  <c r="M116" i="17"/>
  <c r="M164" i="17"/>
  <c r="T242" i="15"/>
  <c r="X115" i="17"/>
  <c r="X163" i="17"/>
  <c r="AA216" i="13"/>
  <c r="AA313" i="13"/>
  <c r="I101" i="16"/>
  <c r="I227" i="16"/>
  <c r="Z214" i="16"/>
  <c r="Z311" i="16"/>
  <c r="W114" i="13"/>
  <c r="W162" i="13"/>
  <c r="AH113" i="10"/>
  <c r="AH240" i="10" s="1"/>
  <c r="AH161" i="10"/>
  <c r="C183" i="12"/>
  <c r="Y88" i="15"/>
  <c r="AB85" i="13"/>
  <c r="W182" i="20"/>
  <c r="Q166" i="14"/>
  <c r="N114" i="13"/>
  <c r="N162" i="13"/>
  <c r="AA88" i="13"/>
  <c r="P215" i="13"/>
  <c r="P312" i="13"/>
  <c r="T84" i="16"/>
  <c r="S214" i="15"/>
  <c r="S311" i="15"/>
  <c r="R101" i="17"/>
  <c r="R227" i="17"/>
  <c r="R243" i="17" s="1"/>
  <c r="W183" i="13"/>
  <c r="AG182" i="11"/>
  <c r="AE116" i="11"/>
  <c r="AE164" i="11"/>
  <c r="AD259" i="11"/>
  <c r="I168" i="19"/>
  <c r="I184" i="19"/>
  <c r="X85" i="17"/>
  <c r="V183" i="17"/>
  <c r="F87" i="12"/>
  <c r="F103" i="12" s="1"/>
  <c r="U114" i="15"/>
  <c r="U162" i="15"/>
  <c r="V100" i="17"/>
  <c r="V226" i="17"/>
  <c r="V242" i="17" s="1"/>
  <c r="G87" i="12"/>
  <c r="G103" i="12" s="1"/>
  <c r="G119" i="12" s="1"/>
  <c r="Y183" i="16"/>
  <c r="U309" i="15"/>
  <c r="U212" i="15"/>
  <c r="F165" i="11"/>
  <c r="F181" i="11"/>
  <c r="V86" i="12"/>
  <c r="V228" i="12" s="1"/>
  <c r="S100" i="17"/>
  <c r="S226" i="17"/>
  <c r="O212" i="13"/>
  <c r="O309" i="13"/>
  <c r="M184" i="15"/>
  <c r="N228" i="12"/>
  <c r="N244" i="12" s="1"/>
  <c r="AB256" i="11"/>
  <c r="P182" i="14"/>
  <c r="P166" i="14" s="1"/>
  <c r="X182" i="20"/>
  <c r="AC100" i="13"/>
  <c r="AC226" i="13"/>
  <c r="AC242" i="13" s="1"/>
  <c r="N116" i="14"/>
  <c r="N243" i="14" s="1"/>
  <c r="N164" i="14"/>
  <c r="M213" i="15"/>
  <c r="M310" i="15"/>
  <c r="G182" i="13"/>
  <c r="K99" i="16"/>
  <c r="K225" i="16"/>
  <c r="E99" i="17"/>
  <c r="E225" i="17"/>
  <c r="Q115" i="16"/>
  <c r="Q163" i="16"/>
  <c r="S101" i="15"/>
  <c r="S227" i="15"/>
  <c r="S243" i="15" s="1"/>
  <c r="AB181" i="11"/>
  <c r="L101" i="17"/>
  <c r="L227" i="17"/>
  <c r="L243" i="17" s="1"/>
  <c r="D114" i="16"/>
  <c r="D162" i="16"/>
  <c r="AG100" i="10"/>
  <c r="AG104" i="10"/>
  <c r="AG97" i="10"/>
  <c r="AG101" i="10"/>
  <c r="AG105" i="10"/>
  <c r="AG121" i="10" s="1"/>
  <c r="AG248" i="10" s="1"/>
  <c r="AG98" i="10"/>
  <c r="AG103" i="10"/>
  <c r="AG106" i="10"/>
  <c r="AG122" i="10" s="1"/>
  <c r="AG249" i="10" s="1"/>
  <c r="AG96" i="10"/>
  <c r="AG99" i="10"/>
  <c r="AG102" i="10"/>
  <c r="R166" i="19"/>
  <c r="F104" i="15"/>
  <c r="F120" i="15" s="1"/>
  <c r="F230" i="15"/>
  <c r="F246" i="15" s="1"/>
  <c r="I86" i="17"/>
  <c r="P294" i="14"/>
  <c r="P310" i="14"/>
  <c r="O293" i="14"/>
  <c r="S293" i="14"/>
  <c r="D114" i="15"/>
  <c r="D162" i="15"/>
  <c r="P88" i="17"/>
  <c r="Y115" i="12"/>
  <c r="Y163" i="12"/>
  <c r="K99" i="13"/>
  <c r="K225" i="13"/>
  <c r="Q212" i="13"/>
  <c r="Q309" i="13"/>
  <c r="B115" i="13"/>
  <c r="B163" i="13"/>
  <c r="F240" i="16"/>
  <c r="H165" i="20"/>
  <c r="C183" i="13"/>
  <c r="W166" i="14"/>
  <c r="W182" i="14"/>
  <c r="V164" i="11"/>
  <c r="B182" i="14"/>
  <c r="Q115" i="17"/>
  <c r="Q163" i="17"/>
  <c r="Y114" i="16"/>
  <c r="Y162" i="16"/>
  <c r="L86" i="16"/>
  <c r="G183" i="16"/>
  <c r="L181" i="20"/>
  <c r="K183" i="13"/>
  <c r="Z115" i="15"/>
  <c r="Z163" i="15"/>
  <c r="C99" i="16"/>
  <c r="C225" i="16"/>
  <c r="C241" i="16" s="1"/>
  <c r="G212" i="16"/>
  <c r="G309" i="16"/>
  <c r="C212" i="12"/>
  <c r="C309" i="12"/>
  <c r="AA183" i="10"/>
  <c r="P183" i="13"/>
  <c r="H84" i="16"/>
  <c r="U115" i="12"/>
  <c r="U163" i="12"/>
  <c r="M185" i="10"/>
  <c r="M169" i="10" s="1"/>
  <c r="T88" i="13"/>
  <c r="L167" i="14"/>
  <c r="L183" i="14"/>
  <c r="AB183" i="12"/>
  <c r="AB214" i="19"/>
  <c r="AB311" i="19"/>
  <c r="AE295" i="14"/>
  <c r="AE311" i="14"/>
  <c r="R114" i="13"/>
  <c r="R162" i="13"/>
  <c r="O89" i="12"/>
  <c r="O105" i="12" s="1"/>
  <c r="O121" i="12" s="1"/>
  <c r="L116" i="17"/>
  <c r="L164" i="17"/>
  <c r="AE186" i="16"/>
  <c r="N209" i="14"/>
  <c r="N289" i="14" s="1"/>
  <c r="N98" i="14"/>
  <c r="M82" i="14"/>
  <c r="S115" i="17"/>
  <c r="S163" i="17"/>
  <c r="B101" i="17"/>
  <c r="B227" i="17"/>
  <c r="B243" i="17" s="1"/>
  <c r="AB166" i="20"/>
  <c r="AB182" i="20"/>
  <c r="G313" i="15"/>
  <c r="G216" i="15"/>
  <c r="S86" i="15"/>
  <c r="V99" i="15"/>
  <c r="V225" i="15"/>
  <c r="N183" i="14"/>
  <c r="N167" i="14" s="1"/>
  <c r="K99" i="17"/>
  <c r="K225" i="17"/>
  <c r="K241" i="17" s="1"/>
  <c r="U241" i="17"/>
  <c r="V84" i="15"/>
  <c r="C185" i="19"/>
  <c r="C169" i="19"/>
  <c r="K212" i="12"/>
  <c r="K309" i="12"/>
  <c r="E183" i="20"/>
  <c r="R100" i="15"/>
  <c r="R226" i="15"/>
  <c r="S183" i="15"/>
  <c r="Y288" i="10"/>
  <c r="Y292" i="10"/>
  <c r="Y296" i="10"/>
  <c r="Y289" i="10"/>
  <c r="Y293" i="10"/>
  <c r="Y297" i="10"/>
  <c r="Y294" i="10"/>
  <c r="Y298" i="10"/>
  <c r="Y290" i="10"/>
  <c r="Y295" i="10"/>
  <c r="Y287" i="10"/>
  <c r="Y291" i="10"/>
  <c r="E228" i="12"/>
  <c r="E244" i="12" s="1"/>
  <c r="AB214" i="16"/>
  <c r="AB311" i="16"/>
  <c r="AJ299" i="10"/>
  <c r="AJ39" i="10"/>
  <c r="V184" i="12"/>
  <c r="I168" i="20"/>
  <c r="I184" i="20"/>
  <c r="B213" i="13"/>
  <c r="B310" i="13"/>
  <c r="S183" i="17"/>
  <c r="O230" i="12"/>
  <c r="O246" i="12" s="1"/>
  <c r="AA103" i="13"/>
  <c r="AA119" i="13" s="1"/>
  <c r="AA229" i="13"/>
  <c r="AC182" i="16"/>
  <c r="P213" i="16"/>
  <c r="P310" i="16"/>
  <c r="X184" i="17"/>
  <c r="S240" i="16"/>
  <c r="P101" i="15"/>
  <c r="P227" i="15"/>
  <c r="AE242" i="11"/>
  <c r="AE258" i="11" s="1"/>
  <c r="M185" i="17"/>
  <c r="I167" i="19"/>
  <c r="AD229" i="11"/>
  <c r="AD326" i="11"/>
  <c r="N242" i="16"/>
  <c r="N183" i="20"/>
  <c r="N167" i="20" s="1"/>
  <c r="F214" i="12"/>
  <c r="F311" i="12"/>
  <c r="X183" i="10"/>
  <c r="X167" i="10" s="1"/>
  <c r="AL182" i="10"/>
  <c r="AD166" i="11"/>
  <c r="AD182" i="11"/>
  <c r="Z182" i="12"/>
  <c r="G214" i="12"/>
  <c r="G311" i="12"/>
  <c r="U84" i="15"/>
  <c r="H99" i="16"/>
  <c r="H225" i="16"/>
  <c r="G166" i="15"/>
  <c r="G182" i="15"/>
  <c r="F164" i="11"/>
  <c r="F217" i="15"/>
  <c r="F218" i="15"/>
  <c r="AE184" i="20"/>
  <c r="AB114" i="11"/>
  <c r="AB257" i="11" s="1"/>
  <c r="AB162" i="11"/>
  <c r="AC182" i="12"/>
  <c r="W243" i="16"/>
  <c r="P115" i="16"/>
  <c r="P163" i="16"/>
  <c r="M85" i="15"/>
  <c r="M182" i="19"/>
  <c r="AG293" i="10"/>
  <c r="AG297" i="10"/>
  <c r="AG290" i="10"/>
  <c r="AG294" i="10"/>
  <c r="AG298" i="10"/>
  <c r="AG287" i="10"/>
  <c r="AG291" i="10"/>
  <c r="AG295" i="10"/>
  <c r="AG296" i="10"/>
  <c r="AG288" i="10"/>
  <c r="AG292" i="10"/>
  <c r="AG289" i="10"/>
  <c r="L107" i="14"/>
  <c r="L123" i="14" s="1"/>
  <c r="L250" i="14" s="1"/>
  <c r="K91" i="14"/>
  <c r="L218" i="14"/>
  <c r="AD116" i="11"/>
  <c r="AD164" i="11"/>
  <c r="T182" i="15"/>
  <c r="T184" i="10"/>
  <c r="T168" i="10"/>
  <c r="L116" i="16"/>
  <c r="L164" i="16"/>
  <c r="O88" i="16"/>
  <c r="O183" i="14"/>
  <c r="O167" i="14" s="1"/>
  <c r="O85" i="15"/>
  <c r="AB164" i="11"/>
  <c r="P167" i="17"/>
  <c r="P183" i="17"/>
  <c r="O313" i="16"/>
  <c r="O216" i="16"/>
  <c r="AD240" i="11"/>
  <c r="AD256" i="11" s="1"/>
  <c r="O166" i="14"/>
  <c r="O183" i="15"/>
  <c r="H101" i="17"/>
  <c r="H227" i="17"/>
  <c r="P183" i="11"/>
  <c r="AJ182" i="10"/>
  <c r="O114" i="17"/>
  <c r="O162" i="17"/>
  <c r="I311" i="17"/>
  <c r="I214" i="17"/>
  <c r="E212" i="16"/>
  <c r="E309" i="16"/>
  <c r="AA214" i="15"/>
  <c r="AA311" i="15"/>
  <c r="R214" i="12"/>
  <c r="R311" i="12"/>
  <c r="P216" i="17"/>
  <c r="P313" i="17"/>
  <c r="D166" i="19"/>
  <c r="U85" i="17"/>
  <c r="U100" i="12"/>
  <c r="AC166" i="14"/>
  <c r="R87" i="12"/>
  <c r="R103" i="12" s="1"/>
  <c r="R119" i="12" s="1"/>
  <c r="AC293" i="14"/>
  <c r="V99" i="16"/>
  <c r="V225" i="16"/>
  <c r="V241" i="16" s="1"/>
  <c r="AB104" i="17"/>
  <c r="AB230" i="17"/>
  <c r="AB246" i="17" s="1"/>
  <c r="F114" i="16"/>
  <c r="F162" i="16"/>
  <c r="W166" i="10"/>
  <c r="W182" i="10"/>
  <c r="AB166" i="14"/>
  <c r="N184" i="15"/>
  <c r="U226" i="12"/>
  <c r="U242" i="12" s="1"/>
  <c r="V115" i="17"/>
  <c r="V163" i="17"/>
  <c r="H86" i="12"/>
  <c r="H102" i="12" s="1"/>
  <c r="E167" i="10"/>
  <c r="E183" i="10"/>
  <c r="F183" i="14"/>
  <c r="S165" i="10"/>
  <c r="B183" i="12"/>
  <c r="N115" i="14"/>
  <c r="N242" i="14" s="1"/>
  <c r="N163" i="14"/>
  <c r="P183" i="16"/>
  <c r="AH294" i="14"/>
  <c r="V183" i="16"/>
  <c r="N99" i="13"/>
  <c r="N225" i="13"/>
  <c r="N241" i="13" s="1"/>
  <c r="O165" i="10"/>
  <c r="Q99" i="13"/>
  <c r="Q225" i="13"/>
  <c r="Q241" i="13" s="1"/>
  <c r="K167" i="19"/>
  <c r="Z213" i="13"/>
  <c r="Z310" i="13"/>
  <c r="W166" i="12"/>
  <c r="W182" i="12"/>
  <c r="AB213" i="13"/>
  <c r="AB310" i="13"/>
  <c r="Y85" i="13"/>
  <c r="Q182" i="13"/>
  <c r="N84" i="17"/>
  <c r="J184" i="15"/>
  <c r="G88" i="15"/>
  <c r="V212" i="15"/>
  <c r="V309" i="15"/>
  <c r="O99" i="17"/>
  <c r="O225" i="17"/>
  <c r="O241" i="17" s="1"/>
  <c r="T185" i="13"/>
  <c r="K101" i="15"/>
  <c r="K227" i="15"/>
  <c r="K243" i="15" s="1"/>
  <c r="X85" i="13"/>
  <c r="T184" i="19"/>
  <c r="AC84" i="17"/>
  <c r="M242" i="16"/>
  <c r="AB183" i="15"/>
  <c r="L168" i="10"/>
  <c r="L184" i="10"/>
  <c r="D84" i="17"/>
  <c r="Y115" i="17"/>
  <c r="Y163" i="17"/>
  <c r="N101" i="15"/>
  <c r="N227" i="15"/>
  <c r="G241" i="13"/>
  <c r="AB86" i="16"/>
  <c r="H114" i="16"/>
  <c r="H162" i="16"/>
  <c r="U212" i="12"/>
  <c r="U309" i="12"/>
  <c r="B85" i="13"/>
  <c r="P85" i="16"/>
  <c r="S114" i="16"/>
  <c r="S162" i="16"/>
  <c r="S166" i="20"/>
  <c r="S182" i="20"/>
  <c r="P311" i="15"/>
  <c r="P214" i="15"/>
  <c r="AD244" i="11"/>
  <c r="AD260" i="11" s="1"/>
  <c r="AD86" i="11"/>
  <c r="AD102" i="11" s="1"/>
  <c r="AD118" i="11" s="1"/>
  <c r="AC182" i="15"/>
  <c r="K310" i="14"/>
  <c r="N116" i="16"/>
  <c r="N164" i="16"/>
  <c r="Q183" i="17"/>
  <c r="E186" i="14"/>
  <c r="AD165" i="11"/>
  <c r="V212" i="16"/>
  <c r="V309" i="16"/>
  <c r="P103" i="17"/>
  <c r="P229" i="17"/>
  <c r="P245" i="17" s="1"/>
  <c r="D99" i="15"/>
  <c r="D225" i="15"/>
  <c r="D241" i="15" s="1"/>
  <c r="AA294" i="14"/>
  <c r="AA310" i="14"/>
  <c r="R212" i="16"/>
  <c r="R309" i="16"/>
  <c r="S212" i="16"/>
  <c r="S309" i="16"/>
  <c r="AA184" i="12"/>
  <c r="J183" i="20"/>
  <c r="J167" i="20"/>
  <c r="F89" i="15"/>
  <c r="M101" i="17"/>
  <c r="M227" i="17"/>
  <c r="M243" i="17" s="1"/>
  <c r="D182" i="17"/>
  <c r="W117" i="16"/>
  <c r="W165" i="16"/>
  <c r="AE234" i="20"/>
  <c r="AE33" i="20" s="1"/>
  <c r="AE35" i="20" s="1"/>
  <c r="AE41" i="20" s="1"/>
  <c r="AE36" i="20" s="1"/>
  <c r="Z100" i="15"/>
  <c r="Z226" i="15"/>
  <c r="AF293" i="10"/>
  <c r="AF290" i="10"/>
  <c r="AF294" i="10"/>
  <c r="AF291" i="10"/>
  <c r="AF295" i="10"/>
  <c r="AF298" i="10"/>
  <c r="AF296" i="10"/>
  <c r="AF297" i="10"/>
  <c r="AF288" i="10"/>
  <c r="AF292" i="10"/>
  <c r="AF287" i="10"/>
  <c r="AF289" i="10"/>
  <c r="Q99" i="15"/>
  <c r="Q225" i="15"/>
  <c r="Q241" i="15" s="1"/>
  <c r="L101" i="16"/>
  <c r="L227" i="16"/>
  <c r="L243" i="16" s="1"/>
  <c r="H168" i="19"/>
  <c r="H184" i="19"/>
  <c r="AB115" i="13"/>
  <c r="AB163" i="13"/>
  <c r="M86" i="16"/>
  <c r="T103" i="13"/>
  <c r="T229" i="13"/>
  <c r="T245" i="13" s="1"/>
  <c r="U115" i="13"/>
  <c r="U163" i="13"/>
  <c r="Q85" i="16"/>
  <c r="I85" i="13"/>
  <c r="Z164" i="11"/>
  <c r="K184" i="12"/>
  <c r="F168" i="10"/>
  <c r="F184" i="10"/>
  <c r="O167" i="19"/>
  <c r="H84" i="13"/>
  <c r="F311" i="17"/>
  <c r="F214" i="17"/>
  <c r="S313" i="13"/>
  <c r="S216" i="13"/>
  <c r="G84" i="17"/>
  <c r="AC182" i="13"/>
  <c r="Y166" i="20"/>
  <c r="Y182" i="20"/>
  <c r="V99" i="13"/>
  <c r="V225" i="13"/>
  <c r="V241" i="13" s="1"/>
  <c r="AB294" i="14"/>
  <c r="AB310" i="14"/>
  <c r="N166" i="11"/>
  <c r="N182" i="11"/>
  <c r="H213" i="12"/>
  <c r="H310" i="12"/>
  <c r="J115" i="16"/>
  <c r="J163" i="16"/>
  <c r="G103" i="15"/>
  <c r="G119" i="15" s="1"/>
  <c r="G229" i="15"/>
  <c r="G245" i="15" s="1"/>
  <c r="AB293" i="14"/>
  <c r="M101" i="16"/>
  <c r="M227" i="16"/>
  <c r="AI182" i="10"/>
  <c r="N184" i="17"/>
  <c r="H183" i="13"/>
  <c r="M99" i="14"/>
  <c r="M210" i="14"/>
  <c r="M290" i="14" s="1"/>
  <c r="L83" i="14"/>
  <c r="D309" i="14"/>
  <c r="H114" i="13"/>
  <c r="H162" i="13"/>
  <c r="I185" i="15"/>
  <c r="E182" i="19"/>
  <c r="L164" i="20"/>
  <c r="K214" i="15"/>
  <c r="K311" i="15"/>
  <c r="O114" i="13"/>
  <c r="O162" i="13"/>
  <c r="B117" i="16"/>
  <c r="B165" i="16"/>
  <c r="E212" i="17"/>
  <c r="E309" i="17"/>
  <c r="J100" i="17"/>
  <c r="J226" i="17"/>
  <c r="J242" i="17" s="1"/>
  <c r="AD182" i="12"/>
  <c r="AI108" i="10"/>
  <c r="AI25" i="10"/>
  <c r="AI28" i="10" s="1"/>
  <c r="AI26" i="10" s="1"/>
  <c r="Z100" i="13"/>
  <c r="Z226" i="13"/>
  <c r="AG85" i="11"/>
  <c r="AG101" i="11" s="1"/>
  <c r="AG243" i="11"/>
  <c r="B214" i="17"/>
  <c r="B311" i="17"/>
  <c r="C114" i="15"/>
  <c r="C162" i="15"/>
  <c r="S115" i="12"/>
  <c r="S242" i="12" s="1"/>
  <c r="S163" i="12"/>
  <c r="F212" i="16"/>
  <c r="F309" i="16"/>
  <c r="B86" i="17"/>
  <c r="AE214" i="16"/>
  <c r="AE311" i="16"/>
  <c r="X100" i="13"/>
  <c r="X226" i="13"/>
  <c r="X242" i="13" s="1"/>
  <c r="I183" i="13"/>
  <c r="Q184" i="19"/>
  <c r="Q168" i="19" s="1"/>
  <c r="L86" i="17"/>
  <c r="E114" i="17"/>
  <c r="E162" i="17"/>
  <c r="O118" i="16"/>
  <c r="O166" i="16"/>
  <c r="I116" i="16"/>
  <c r="I164" i="16"/>
  <c r="R165" i="20"/>
  <c r="AC309" i="17"/>
  <c r="AC212" i="17"/>
  <c r="E182" i="13"/>
  <c r="K85" i="12"/>
  <c r="K101" i="12" s="1"/>
  <c r="K227" i="12"/>
  <c r="L183" i="12"/>
  <c r="N166" i="19"/>
  <c r="N182" i="19"/>
  <c r="M116" i="16"/>
  <c r="M164" i="16"/>
  <c r="D212" i="17"/>
  <c r="D309" i="17"/>
  <c r="I85" i="15"/>
  <c r="AA243" i="11"/>
  <c r="U185" i="16"/>
  <c r="N165" i="19"/>
  <c r="G115" i="13"/>
  <c r="G163" i="13"/>
  <c r="S103" i="13"/>
  <c r="S119" i="13" s="1"/>
  <c r="S229" i="13"/>
  <c r="S245" i="13" s="1"/>
  <c r="E214" i="12"/>
  <c r="E311" i="12"/>
  <c r="G213" i="13"/>
  <c r="G310" i="13"/>
  <c r="AM185" i="10"/>
  <c r="U85" i="12"/>
  <c r="U227" i="12" s="1"/>
  <c r="R184" i="16"/>
  <c r="J183" i="19"/>
  <c r="AK299" i="10"/>
  <c r="AK39" i="10"/>
  <c r="C182" i="14"/>
  <c r="W182" i="19"/>
  <c r="Y166" i="10"/>
  <c r="Y182" i="10"/>
  <c r="Z265" i="11"/>
  <c r="AC182" i="19"/>
  <c r="W215" i="15"/>
  <c r="W312" i="15"/>
  <c r="S165" i="20"/>
  <c r="AC213" i="13"/>
  <c r="AC310" i="13"/>
  <c r="P86" i="15"/>
  <c r="AC214" i="15"/>
  <c r="AC311" i="15"/>
  <c r="K183" i="14"/>
  <c r="AG14" i="10"/>
  <c r="AG15" i="10" s="1"/>
  <c r="AG19" i="10" s="1"/>
  <c r="AH6" i="10"/>
  <c r="AI4" i="10"/>
  <c r="T102" i="12"/>
  <c r="T118" i="12" s="1"/>
  <c r="P244" i="17"/>
  <c r="G240" i="16"/>
  <c r="U99" i="15"/>
  <c r="U225" i="15"/>
  <c r="U241" i="15" s="1"/>
  <c r="AB228" i="11"/>
  <c r="AB325" i="11"/>
  <c r="V84" i="16"/>
  <c r="P214" i="12"/>
  <c r="P311" i="12"/>
  <c r="AA293" i="14"/>
  <c r="R84" i="16"/>
  <c r="S84" i="16"/>
  <c r="J166" i="20"/>
  <c r="AF228" i="11"/>
  <c r="AF325" i="11"/>
  <c r="X213" i="15"/>
  <c r="X310" i="15"/>
  <c r="X115" i="15"/>
  <c r="X163" i="15"/>
  <c r="H183" i="17"/>
  <c r="C213" i="13"/>
  <c r="C310" i="13"/>
  <c r="C182" i="17"/>
  <c r="U310" i="13"/>
  <c r="U213" i="13"/>
  <c r="V182" i="14"/>
  <c r="V166" i="14" s="1"/>
  <c r="Q100" i="16"/>
  <c r="Q226" i="16"/>
  <c r="O186" i="16"/>
  <c r="I213" i="13"/>
  <c r="I310" i="13"/>
  <c r="F167" i="15"/>
  <c r="W213" i="17"/>
  <c r="W310" i="17"/>
  <c r="U99" i="16"/>
  <c r="U225" i="16"/>
  <c r="U241" i="16" s="1"/>
  <c r="L183" i="17"/>
  <c r="C115" i="13"/>
  <c r="C163" i="13"/>
  <c r="AD182" i="13"/>
  <c r="D166" i="12"/>
  <c r="D182" i="12"/>
  <c r="Q117" i="12"/>
  <c r="Q165" i="12"/>
  <c r="F86" i="17"/>
  <c r="V183" i="15"/>
  <c r="I231" i="12"/>
  <c r="I247" i="12" s="1"/>
  <c r="I89" i="12"/>
  <c r="I105" i="12" s="1"/>
  <c r="I121" i="12" s="1"/>
  <c r="AJ108" i="10"/>
  <c r="AJ25" i="10"/>
  <c r="AJ28" i="10" s="1"/>
  <c r="AJ26" i="10" s="1"/>
  <c r="AA183" i="14"/>
  <c r="AA167" i="14" s="1"/>
  <c r="Y103" i="15"/>
  <c r="Y119" i="15" s="1"/>
  <c r="Y229" i="15"/>
  <c r="Y245" i="15" s="1"/>
  <c r="T86" i="17"/>
  <c r="L214" i="16"/>
  <c r="L311" i="16"/>
  <c r="P166" i="10"/>
  <c r="P182" i="10"/>
  <c r="Y164" i="11"/>
  <c r="L212" i="12"/>
  <c r="L309" i="12"/>
  <c r="J183" i="17"/>
  <c r="K212" i="16"/>
  <c r="K309" i="16"/>
  <c r="AD234" i="20"/>
  <c r="AD33" i="20" s="1"/>
  <c r="S85" i="12"/>
  <c r="S101" i="12" s="1"/>
  <c r="N116" i="15"/>
  <c r="N164" i="15"/>
  <c r="Z116" i="16"/>
  <c r="Z164" i="16"/>
  <c r="B164" i="11"/>
  <c r="L85" i="12"/>
  <c r="L101" i="12" s="1"/>
  <c r="K86" i="15"/>
  <c r="O240" i="13"/>
  <c r="G309" i="14"/>
  <c r="AA181" i="20"/>
  <c r="W102" i="16"/>
  <c r="W228" i="16"/>
  <c r="W244" i="16" s="1"/>
  <c r="AH115" i="10"/>
  <c r="AH242" i="10" s="1"/>
  <c r="AH163" i="10"/>
  <c r="T216" i="13"/>
  <c r="T313" i="13"/>
  <c r="AG116" i="11"/>
  <c r="AG164" i="11"/>
  <c r="D99" i="13"/>
  <c r="D225" i="13"/>
  <c r="V213" i="17"/>
  <c r="V310" i="17"/>
  <c r="T212" i="16"/>
  <c r="T309" i="16"/>
  <c r="AE294" i="14"/>
  <c r="Z212" i="17"/>
  <c r="Z309" i="17"/>
  <c r="AC172" i="16"/>
  <c r="H167" i="15"/>
  <c r="K84" i="17"/>
  <c r="V114" i="15"/>
  <c r="V162" i="15"/>
  <c r="K181" i="20"/>
  <c r="K165" i="20" s="1"/>
  <c r="P185" i="12"/>
  <c r="Q167" i="19"/>
  <c r="N86" i="15"/>
  <c r="E118" i="12"/>
  <c r="E166" i="12"/>
  <c r="J166" i="10"/>
  <c r="X295" i="14"/>
  <c r="X311" i="14"/>
  <c r="B102" i="16"/>
  <c r="B228" i="16"/>
  <c r="G244" i="15"/>
  <c r="W183" i="16"/>
  <c r="Q114" i="15"/>
  <c r="Q162" i="15"/>
  <c r="AA185" i="15"/>
  <c r="U115" i="17"/>
  <c r="U163" i="17"/>
  <c r="I213" i="15"/>
  <c r="I310" i="15"/>
  <c r="AE214" i="15"/>
  <c r="AE311" i="15"/>
  <c r="Y183" i="15"/>
  <c r="AE215" i="13"/>
  <c r="AE312" i="13"/>
  <c r="L167" i="10"/>
  <c r="K184" i="17"/>
  <c r="O182" i="11"/>
  <c r="Y166" i="15"/>
  <c r="F245" i="15"/>
  <c r="V165" i="14"/>
  <c r="N214" i="12"/>
  <c r="N311" i="12"/>
  <c r="G240" i="17"/>
  <c r="C183" i="16"/>
  <c r="Y182" i="12"/>
  <c r="B182" i="13"/>
  <c r="O165" i="11"/>
  <c r="R84" i="13"/>
  <c r="CA8" i="11"/>
  <c r="P184" i="20"/>
  <c r="I242" i="17"/>
  <c r="F183" i="16"/>
  <c r="D212" i="13"/>
  <c r="D309" i="13"/>
  <c r="AG169" i="10"/>
  <c r="AG185" i="10"/>
  <c r="AD96" i="11"/>
  <c r="R213" i="15"/>
  <c r="R310" i="15"/>
  <c r="E229" i="12"/>
  <c r="E245" i="12" s="1"/>
  <c r="E87" i="12"/>
  <c r="E103" i="12" s="1"/>
  <c r="G85" i="13"/>
  <c r="AK23" i="10"/>
  <c r="J166" i="19"/>
  <c r="M105" i="14"/>
  <c r="M121" i="14" s="1"/>
  <c r="M248" i="14" s="1"/>
  <c r="M216" i="14"/>
  <c r="L89" i="14"/>
  <c r="W165" i="19"/>
  <c r="AE182" i="11"/>
  <c r="Y165" i="10"/>
  <c r="AA95" i="11"/>
  <c r="AC165" i="19"/>
  <c r="W87" i="15"/>
  <c r="AC85" i="13"/>
  <c r="R184" i="15"/>
  <c r="S167" i="19"/>
  <c r="S183" i="19"/>
  <c r="H183" i="16"/>
  <c r="AD182" i="16"/>
  <c r="AA256" i="11"/>
  <c r="AH297" i="10"/>
  <c r="AH294" i="10"/>
  <c r="AH298" i="10"/>
  <c r="AH287" i="10"/>
  <c r="AH295" i="10"/>
  <c r="AH293" i="10"/>
  <c r="AH296" i="10"/>
  <c r="AH288" i="10"/>
  <c r="AH292" i="10"/>
  <c r="AH290" i="10"/>
  <c r="AH291" i="10"/>
  <c r="AH289" i="10"/>
  <c r="AB184" i="10"/>
  <c r="AB168" i="10" s="1"/>
  <c r="T183" i="20"/>
  <c r="AG183" i="14"/>
  <c r="AG167" i="14"/>
  <c r="AB85" i="11"/>
  <c r="AB101" i="11" s="1"/>
  <c r="AB117" i="11" s="1"/>
  <c r="AB241" i="13"/>
  <c r="P87" i="12"/>
  <c r="P103" i="12" s="1"/>
  <c r="P229" i="12"/>
  <c r="P245" i="12" s="1"/>
  <c r="R99" i="16"/>
  <c r="R225" i="16"/>
  <c r="T167" i="10"/>
  <c r="P242" i="15"/>
  <c r="M214" i="16"/>
  <c r="M311" i="16"/>
  <c r="Q241" i="16"/>
  <c r="AF85" i="11"/>
  <c r="AF101" i="11" s="1"/>
  <c r="AF243" i="11"/>
  <c r="X85" i="15"/>
  <c r="X244" i="16"/>
  <c r="F184" i="15"/>
  <c r="X166" i="11"/>
  <c r="X182" i="11"/>
  <c r="I183" i="12"/>
  <c r="M168" i="11"/>
  <c r="M184" i="11"/>
  <c r="V186" i="19"/>
  <c r="V171" i="19" s="1"/>
  <c r="V170" i="19"/>
  <c r="C85" i="13"/>
  <c r="U241" i="13"/>
  <c r="U240" i="16"/>
  <c r="U85" i="13"/>
  <c r="AB184" i="15" l="1"/>
  <c r="P119" i="12"/>
  <c r="P167" i="12"/>
  <c r="AD112" i="11"/>
  <c r="AD160" i="11"/>
  <c r="K100" i="17"/>
  <c r="K226" i="17"/>
  <c r="W118" i="16"/>
  <c r="W166" i="16"/>
  <c r="K85" i="16"/>
  <c r="V184" i="15"/>
  <c r="M185" i="11"/>
  <c r="M170" i="11" s="1"/>
  <c r="R115" i="16"/>
  <c r="R163" i="16"/>
  <c r="R86" i="15"/>
  <c r="I86" i="15"/>
  <c r="U115" i="16"/>
  <c r="U163" i="16"/>
  <c r="D85" i="17"/>
  <c r="L99" i="14"/>
  <c r="L210" i="14"/>
  <c r="L290" i="14" s="1"/>
  <c r="K83" i="14"/>
  <c r="D183" i="17"/>
  <c r="P119" i="17"/>
  <c r="G215" i="12"/>
  <c r="G312" i="12"/>
  <c r="P117" i="15"/>
  <c r="P165" i="15"/>
  <c r="AB215" i="16"/>
  <c r="AB312" i="16"/>
  <c r="K213" i="12"/>
  <c r="K310" i="12"/>
  <c r="AB183" i="20"/>
  <c r="G85" i="16"/>
  <c r="W167" i="14"/>
  <c r="W183" i="14"/>
  <c r="M207" i="14"/>
  <c r="M93" i="14"/>
  <c r="M96" i="14"/>
  <c r="L80" i="14"/>
  <c r="Q186" i="10"/>
  <c r="Q171" i="10" s="1"/>
  <c r="X214" i="13"/>
  <c r="X311" i="13"/>
  <c r="D115" i="17"/>
  <c r="D163" i="17"/>
  <c r="U184" i="17"/>
  <c r="O115" i="13"/>
  <c r="O163" i="13"/>
  <c r="H185" i="15"/>
  <c r="S168" i="14"/>
  <c r="S184" i="14"/>
  <c r="X89" i="16"/>
  <c r="N184" i="16"/>
  <c r="E184" i="15"/>
  <c r="Z102" i="16"/>
  <c r="Z228" i="16"/>
  <c r="H183" i="20"/>
  <c r="I102" i="16"/>
  <c r="I228" i="16"/>
  <c r="C243" i="12"/>
  <c r="R87" i="17"/>
  <c r="F101" i="13"/>
  <c r="F227" i="13"/>
  <c r="I117" i="17"/>
  <c r="I165" i="17"/>
  <c r="X104" i="16"/>
  <c r="X230" i="16"/>
  <c r="X246" i="16" s="1"/>
  <c r="E115" i="16"/>
  <c r="E163" i="16"/>
  <c r="G85" i="17"/>
  <c r="N117" i="16"/>
  <c r="N165" i="16"/>
  <c r="Y183" i="14"/>
  <c r="W116" i="17"/>
  <c r="W164" i="17"/>
  <c r="AG295" i="14"/>
  <c r="AG311" i="14"/>
  <c r="P118" i="13"/>
  <c r="P166" i="13"/>
  <c r="R168" i="12"/>
  <c r="R184" i="12"/>
  <c r="S167" i="14"/>
  <c r="X217" i="16"/>
  <c r="X218" i="16"/>
  <c r="C100" i="15"/>
  <c r="C226" i="15"/>
  <c r="V184" i="13"/>
  <c r="E167" i="15"/>
  <c r="R310" i="13"/>
  <c r="R213" i="13"/>
  <c r="T183" i="12"/>
  <c r="H166" i="20"/>
  <c r="F117" i="17"/>
  <c r="F165" i="17"/>
  <c r="T185" i="16"/>
  <c r="Y214" i="17"/>
  <c r="Y311" i="17"/>
  <c r="R215" i="17"/>
  <c r="R312" i="17"/>
  <c r="AB184" i="19"/>
  <c r="AD255" i="11"/>
  <c r="AD294" i="14"/>
  <c r="AD310" i="14"/>
  <c r="E213" i="13"/>
  <c r="E310" i="13"/>
  <c r="B184" i="16"/>
  <c r="N185" i="15"/>
  <c r="K228" i="12"/>
  <c r="K86" i="12"/>
  <c r="K102" i="12" s="1"/>
  <c r="W183" i="20"/>
  <c r="N160" i="14"/>
  <c r="N112" i="14"/>
  <c r="N239" i="14" s="1"/>
  <c r="N108" i="14"/>
  <c r="N23" i="14" s="1"/>
  <c r="C184" i="13"/>
  <c r="W166" i="20"/>
  <c r="Z92" i="11"/>
  <c r="Z9" i="1"/>
  <c r="Z12" i="1" s="1"/>
  <c r="Z15" i="11"/>
  <c r="Z45" i="11" s="1"/>
  <c r="L100" i="14"/>
  <c r="L211" i="14"/>
  <c r="L291" i="14" s="1"/>
  <c r="K84" i="14"/>
  <c r="V87" i="12"/>
  <c r="V229" i="12"/>
  <c r="H87" i="17"/>
  <c r="J184" i="14"/>
  <c r="J100" i="13"/>
  <c r="J226" i="13"/>
  <c r="O25" i="14"/>
  <c r="O28" i="14" s="1"/>
  <c r="O26" i="14" s="1"/>
  <c r="Y166" i="14"/>
  <c r="AA115" i="17"/>
  <c r="AA163" i="17"/>
  <c r="B118" i="12"/>
  <c r="B166" i="12"/>
  <c r="AB214" i="15"/>
  <c r="AB311" i="15"/>
  <c r="D213" i="15"/>
  <c r="D310" i="15"/>
  <c r="AE183" i="13"/>
  <c r="Z184" i="15"/>
  <c r="AA183" i="11"/>
  <c r="R85" i="13"/>
  <c r="T166" i="12"/>
  <c r="X183" i="15"/>
  <c r="Z166" i="11"/>
  <c r="Z182" i="11"/>
  <c r="O217" i="12"/>
  <c r="O218" i="12"/>
  <c r="AG229" i="11"/>
  <c r="AG326" i="11"/>
  <c r="Y86" i="17"/>
  <c r="Y182" i="11"/>
  <c r="T295" i="14"/>
  <c r="T311" i="14"/>
  <c r="F185" i="12"/>
  <c r="Z101" i="15"/>
  <c r="Z227" i="15"/>
  <c r="AD293" i="14"/>
  <c r="E85" i="13"/>
  <c r="AB184" i="14"/>
  <c r="AB168" i="14" s="1"/>
  <c r="T217" i="13"/>
  <c r="T218" i="13"/>
  <c r="W214" i="17"/>
  <c r="W311" i="17"/>
  <c r="W216" i="15"/>
  <c r="W313" i="15"/>
  <c r="V213" i="16"/>
  <c r="V310" i="16"/>
  <c r="I184" i="12"/>
  <c r="I168" i="12" s="1"/>
  <c r="W86" i="17"/>
  <c r="F85" i="16"/>
  <c r="V85" i="16"/>
  <c r="V184" i="16"/>
  <c r="AC183" i="12"/>
  <c r="C172" i="19"/>
  <c r="AB230" i="19"/>
  <c r="AB246" i="19" s="1"/>
  <c r="U85" i="15"/>
  <c r="I167" i="12"/>
  <c r="AA111" i="11"/>
  <c r="AA254" i="11" s="1"/>
  <c r="AA159" i="11"/>
  <c r="AC183" i="19"/>
  <c r="AC167" i="19"/>
  <c r="E312" i="12"/>
  <c r="E215" i="12"/>
  <c r="H184" i="13"/>
  <c r="I101" i="13"/>
  <c r="I227" i="13"/>
  <c r="P89" i="17"/>
  <c r="O89" i="16"/>
  <c r="Z183" i="12"/>
  <c r="C170" i="19"/>
  <c r="C186" i="19"/>
  <c r="C171" i="19" s="1"/>
  <c r="B117" i="17"/>
  <c r="B165" i="17"/>
  <c r="I102" i="17"/>
  <c r="I228" i="17"/>
  <c r="I244" i="17" s="1"/>
  <c r="L117" i="17"/>
  <c r="L165" i="17"/>
  <c r="U213" i="15"/>
  <c r="U310" i="15"/>
  <c r="Q213" i="15"/>
  <c r="Q310" i="15"/>
  <c r="N219" i="14"/>
  <c r="N33" i="14" s="1"/>
  <c r="N35" i="14" s="1"/>
  <c r="N41" i="14" s="1"/>
  <c r="N287" i="14"/>
  <c r="M116" i="14"/>
  <c r="M243" i="14" s="1"/>
  <c r="M164" i="14"/>
  <c r="H215" i="17"/>
  <c r="H312" i="17"/>
  <c r="T245" i="12"/>
  <c r="B228" i="12"/>
  <c r="B244" i="12" s="1"/>
  <c r="L215" i="17"/>
  <c r="L312" i="17"/>
  <c r="AD214" i="15"/>
  <c r="AD311" i="15"/>
  <c r="D85" i="15"/>
  <c r="M214" i="12"/>
  <c r="M311" i="12"/>
  <c r="AA166" i="11"/>
  <c r="Q214" i="16"/>
  <c r="Q311" i="16"/>
  <c r="T115" i="16"/>
  <c r="T163" i="16"/>
  <c r="AF184" i="14"/>
  <c r="AI297" i="10"/>
  <c r="AI290" i="10"/>
  <c r="AI294" i="10"/>
  <c r="AI298" i="10"/>
  <c r="AI287" i="10"/>
  <c r="AI291" i="10"/>
  <c r="AI295" i="10"/>
  <c r="AI293" i="10"/>
  <c r="AI288" i="10"/>
  <c r="AI296" i="10"/>
  <c r="AI292" i="10"/>
  <c r="AI289" i="10"/>
  <c r="Z165" i="11"/>
  <c r="B216" i="16"/>
  <c r="B313" i="16"/>
  <c r="O90" i="12"/>
  <c r="O106" i="12" s="1"/>
  <c r="O122" i="12" s="1"/>
  <c r="O232" i="12"/>
  <c r="O248" i="12" s="1"/>
  <c r="AG86" i="11"/>
  <c r="AG102" i="11" s="1"/>
  <c r="Y165" i="11"/>
  <c r="S311" i="14"/>
  <c r="S295" i="14" s="1"/>
  <c r="Z183" i="20"/>
  <c r="Y310" i="12"/>
  <c r="Y213" i="12"/>
  <c r="Q169" i="20"/>
  <c r="Q185" i="20"/>
  <c r="Q170" i="20" s="1"/>
  <c r="N115" i="13"/>
  <c r="N163" i="13"/>
  <c r="G88" i="12"/>
  <c r="G104" i="12" s="1"/>
  <c r="G120" i="12" s="1"/>
  <c r="AB215" i="19"/>
  <c r="AB231" i="19" s="1"/>
  <c r="AB247" i="19" s="1"/>
  <c r="AB312" i="19"/>
  <c r="M115" i="14"/>
  <c r="M242" i="14" s="1"/>
  <c r="M163" i="14"/>
  <c r="P217" i="17"/>
  <c r="P218" i="17"/>
  <c r="S117" i="12"/>
  <c r="S165" i="12"/>
  <c r="X214" i="15"/>
  <c r="X311" i="15"/>
  <c r="J116" i="17"/>
  <c r="J164" i="17"/>
  <c r="V115" i="13"/>
  <c r="V163" i="13"/>
  <c r="Q115" i="15"/>
  <c r="Q163" i="15"/>
  <c r="X183" i="11"/>
  <c r="AG170" i="10"/>
  <c r="AG186" i="10"/>
  <c r="N312" i="12"/>
  <c r="N215" i="12"/>
  <c r="AA186" i="15"/>
  <c r="S227" i="12"/>
  <c r="S243" i="12" s="1"/>
  <c r="AJ98" i="10"/>
  <c r="AJ106" i="10"/>
  <c r="AJ122" i="10" s="1"/>
  <c r="AJ249" i="10" s="1"/>
  <c r="AJ104" i="10"/>
  <c r="AJ120" i="10" s="1"/>
  <c r="AJ247" i="10" s="1"/>
  <c r="AJ100" i="10"/>
  <c r="AJ103" i="10"/>
  <c r="AJ119" i="10" s="1"/>
  <c r="AJ246" i="10" s="1"/>
  <c r="AJ97" i="10"/>
  <c r="AJ102" i="10"/>
  <c r="AJ101" i="10"/>
  <c r="AJ96" i="10"/>
  <c r="AJ99" i="10"/>
  <c r="AJ105" i="10"/>
  <c r="AJ121" i="10" s="1"/>
  <c r="AJ248" i="10" s="1"/>
  <c r="I214" i="13"/>
  <c r="I311" i="13"/>
  <c r="X86" i="15"/>
  <c r="AC166" i="19"/>
  <c r="E88" i="12"/>
  <c r="E104" i="12" s="1"/>
  <c r="E310" i="17"/>
  <c r="E213" i="17"/>
  <c r="Y167" i="20"/>
  <c r="Y183" i="20"/>
  <c r="B101" i="13"/>
  <c r="B227" i="13"/>
  <c r="AC100" i="17"/>
  <c r="AC226" i="17"/>
  <c r="W167" i="10"/>
  <c r="W183" i="10"/>
  <c r="R215" i="12"/>
  <c r="R312" i="12"/>
  <c r="O217" i="16"/>
  <c r="O218" i="16"/>
  <c r="AD183" i="11"/>
  <c r="P311" i="16"/>
  <c r="P214" i="16"/>
  <c r="AB184" i="12"/>
  <c r="AB182" i="11"/>
  <c r="Y184" i="16"/>
  <c r="AG183" i="11"/>
  <c r="AB101" i="13"/>
  <c r="AB227" i="13"/>
  <c r="AB243" i="13" s="1"/>
  <c r="Q85" i="15"/>
  <c r="U312" i="14"/>
  <c r="U296" i="14"/>
  <c r="J184" i="10"/>
  <c r="J168" i="10"/>
  <c r="Q214" i="12"/>
  <c r="Q311" i="12"/>
  <c r="V213" i="13"/>
  <c r="V310" i="13"/>
  <c r="T103" i="12"/>
  <c r="T119" i="12" s="1"/>
  <c r="AF183" i="11"/>
  <c r="L87" i="17"/>
  <c r="C169" i="11"/>
  <c r="C185" i="11"/>
  <c r="C170" i="11" s="1"/>
  <c r="H115" i="13"/>
  <c r="H163" i="13"/>
  <c r="X184" i="16"/>
  <c r="M87" i="12"/>
  <c r="M103" i="12" s="1"/>
  <c r="Q86" i="16"/>
  <c r="Q183" i="15"/>
  <c r="AF167" i="14"/>
  <c r="M168" i="14"/>
  <c r="M184" i="14"/>
  <c r="B88" i="16"/>
  <c r="E186" i="12"/>
  <c r="AA230" i="11"/>
  <c r="AA327" i="11"/>
  <c r="M183" i="20"/>
  <c r="M97" i="14"/>
  <c r="M208" i="14"/>
  <c r="M288" i="14" s="1"/>
  <c r="L81" i="14"/>
  <c r="K170" i="10"/>
  <c r="K186" i="10"/>
  <c r="K171" i="10" s="1"/>
  <c r="S294" i="14"/>
  <c r="Z166" i="20"/>
  <c r="M118" i="12"/>
  <c r="M166" i="12"/>
  <c r="Y86" i="12"/>
  <c r="Y228" i="12"/>
  <c r="Q168" i="20"/>
  <c r="D184" i="10"/>
  <c r="D168" i="10" s="1"/>
  <c r="X242" i="15"/>
  <c r="K182" i="20"/>
  <c r="C115" i="16"/>
  <c r="C163" i="16"/>
  <c r="AE183" i="11"/>
  <c r="N88" i="12"/>
  <c r="N104" i="12" s="1"/>
  <c r="N120" i="12" s="1"/>
  <c r="AD235" i="20"/>
  <c r="AD35" i="20"/>
  <c r="AD41" i="20" s="1"/>
  <c r="AD36" i="20" s="1"/>
  <c r="I86" i="13"/>
  <c r="AF229" i="11"/>
  <c r="AF326" i="11"/>
  <c r="E85" i="17"/>
  <c r="N185" i="17"/>
  <c r="M117" i="17"/>
  <c r="M165" i="17"/>
  <c r="U213" i="12"/>
  <c r="U310" i="12"/>
  <c r="P184" i="16"/>
  <c r="R230" i="12"/>
  <c r="R246" i="12" s="1"/>
  <c r="R88" i="12"/>
  <c r="R104" i="12" s="1"/>
  <c r="R120" i="12" s="1"/>
  <c r="P184" i="17"/>
  <c r="P86" i="16"/>
  <c r="V100" i="15"/>
  <c r="V226" i="15"/>
  <c r="L184" i="14"/>
  <c r="AB165" i="11"/>
  <c r="AC116" i="13"/>
  <c r="AC164" i="13"/>
  <c r="J185" i="13"/>
  <c r="U185" i="13"/>
  <c r="AD184" i="14"/>
  <c r="AD168" i="14" s="1"/>
  <c r="U295" i="14"/>
  <c r="R183" i="20"/>
  <c r="R167" i="20" s="1"/>
  <c r="Q87" i="12"/>
  <c r="Q103" i="12" s="1"/>
  <c r="Q229" i="12"/>
  <c r="Q245" i="12" s="1"/>
  <c r="B101" i="15"/>
  <c r="B227" i="15"/>
  <c r="B243" i="15" s="1"/>
  <c r="I184" i="14"/>
  <c r="R115" i="13"/>
  <c r="R163" i="13"/>
  <c r="V85" i="13"/>
  <c r="I310" i="14"/>
  <c r="J184" i="12"/>
  <c r="Y242" i="13"/>
  <c r="G100" i="16"/>
  <c r="G226" i="16"/>
  <c r="M215" i="17"/>
  <c r="M312" i="17"/>
  <c r="C168" i="11"/>
  <c r="O213" i="17"/>
  <c r="O310" i="17"/>
  <c r="L217" i="14"/>
  <c r="L106" i="14"/>
  <c r="L122" i="14" s="1"/>
  <c r="L249" i="14" s="1"/>
  <c r="K90" i="14"/>
  <c r="X167" i="16"/>
  <c r="F116" i="13"/>
  <c r="F164" i="13"/>
  <c r="D184" i="16"/>
  <c r="K100" i="13"/>
  <c r="K226" i="13"/>
  <c r="P242" i="16"/>
  <c r="M167" i="14"/>
  <c r="AA245" i="11"/>
  <c r="AA261" i="11" s="1"/>
  <c r="AA87" i="11"/>
  <c r="M166" i="20"/>
  <c r="J311" i="14"/>
  <c r="N113" i="14"/>
  <c r="N240" i="14" s="1"/>
  <c r="N161" i="14"/>
  <c r="H184" i="14"/>
  <c r="K169" i="10"/>
  <c r="X183" i="13"/>
  <c r="AA100" i="16"/>
  <c r="AA226" i="16"/>
  <c r="AA242" i="16" s="1"/>
  <c r="AB243" i="16"/>
  <c r="M185" i="16"/>
  <c r="AA183" i="17"/>
  <c r="AB234" i="17"/>
  <c r="AB250" i="17" s="1"/>
  <c r="AB91" i="17"/>
  <c r="AB107" i="17" s="1"/>
  <c r="AB123" i="17" s="1"/>
  <c r="AB219" i="17"/>
  <c r="AB33" i="17" s="1"/>
  <c r="AB35" i="17" s="1"/>
  <c r="AB41" i="17" s="1"/>
  <c r="D100" i="15"/>
  <c r="D226" i="15"/>
  <c r="Y184" i="17"/>
  <c r="C184" i="16"/>
  <c r="J185" i="15"/>
  <c r="V311" i="12"/>
  <c r="V214" i="12"/>
  <c r="U115" i="15"/>
  <c r="U163" i="15"/>
  <c r="D213" i="13"/>
  <c r="D310" i="13"/>
  <c r="K213" i="16"/>
  <c r="K310" i="16"/>
  <c r="AF86" i="11"/>
  <c r="AF102" i="11" s="1"/>
  <c r="Y183" i="10"/>
  <c r="N167" i="19"/>
  <c r="N183" i="19"/>
  <c r="AC183" i="13"/>
  <c r="Q101" i="16"/>
  <c r="Q227" i="16"/>
  <c r="F105" i="15"/>
  <c r="F121" i="15" s="1"/>
  <c r="F231" i="15"/>
  <c r="F247" i="15" s="1"/>
  <c r="U86" i="12"/>
  <c r="U228" i="12"/>
  <c r="T185" i="19"/>
  <c r="N100" i="17"/>
  <c r="N226" i="17"/>
  <c r="AA215" i="15"/>
  <c r="AA312" i="15"/>
  <c r="AE185" i="20"/>
  <c r="AE170" i="20" s="1"/>
  <c r="AL183" i="10"/>
  <c r="AC183" i="16"/>
  <c r="K184" i="13"/>
  <c r="X167" i="20"/>
  <c r="X183" i="20"/>
  <c r="W184" i="13"/>
  <c r="Y104" i="15"/>
  <c r="Y230" i="15"/>
  <c r="Y246" i="15" s="1"/>
  <c r="B214" i="15"/>
  <c r="B311" i="15"/>
  <c r="M311" i="14"/>
  <c r="M102" i="13"/>
  <c r="M228" i="13"/>
  <c r="M244" i="13" s="1"/>
  <c r="J101" i="16"/>
  <c r="J227" i="16"/>
  <c r="S213" i="12"/>
  <c r="S310" i="12"/>
  <c r="S214" i="17"/>
  <c r="S311" i="17"/>
  <c r="M87" i="17"/>
  <c r="AC311" i="14"/>
  <c r="AC295" i="14" s="1"/>
  <c r="O85" i="17"/>
  <c r="J116" i="16"/>
  <c r="J164" i="16"/>
  <c r="L171" i="11"/>
  <c r="K186" i="16"/>
  <c r="Q228" i="12"/>
  <c r="Q244" i="12" s="1"/>
  <c r="AB116" i="13"/>
  <c r="AB164" i="13"/>
  <c r="P116" i="16"/>
  <c r="P164" i="16"/>
  <c r="O214" i="15"/>
  <c r="O311" i="15"/>
  <c r="H183" i="11"/>
  <c r="Z25" i="11"/>
  <c r="Z28" i="11" s="1"/>
  <c r="Z26" i="11" s="1"/>
  <c r="U166" i="11"/>
  <c r="U182" i="11"/>
  <c r="D184" i="19"/>
  <c r="D168" i="19" s="1"/>
  <c r="AB117" i="16"/>
  <c r="AB165" i="16"/>
  <c r="Z184" i="14"/>
  <c r="AE213" i="17"/>
  <c r="AE310" i="17"/>
  <c r="AB90" i="17"/>
  <c r="X116" i="15"/>
  <c r="X164" i="15"/>
  <c r="H184" i="12"/>
  <c r="Y85" i="16"/>
  <c r="Z167" i="14"/>
  <c r="P169" i="19"/>
  <c r="P185" i="19"/>
  <c r="J101" i="17"/>
  <c r="J227" i="17"/>
  <c r="J243" i="17" s="1"/>
  <c r="E249" i="15"/>
  <c r="F183" i="13"/>
  <c r="H213" i="13"/>
  <c r="H310" i="13"/>
  <c r="L185" i="15"/>
  <c r="AL294" i="10"/>
  <c r="AL291" i="10"/>
  <c r="AL295" i="10"/>
  <c r="AL292" i="10"/>
  <c r="AL297" i="10"/>
  <c r="AL298" i="10"/>
  <c r="AL288" i="10"/>
  <c r="AL287" i="10"/>
  <c r="AL296" i="10"/>
  <c r="AL290" i="10"/>
  <c r="AL293" i="10"/>
  <c r="AL289" i="10"/>
  <c r="AE183" i="10"/>
  <c r="AE167" i="10" s="1"/>
  <c r="Y310" i="16"/>
  <c r="Y213" i="16"/>
  <c r="U184" i="20"/>
  <c r="U168" i="20" s="1"/>
  <c r="P168" i="19"/>
  <c r="E106" i="15"/>
  <c r="E122" i="15" s="1"/>
  <c r="E232" i="15"/>
  <c r="E250" i="15"/>
  <c r="H85" i="13"/>
  <c r="AG115" i="10"/>
  <c r="AG242" i="10" s="1"/>
  <c r="AG163" i="10"/>
  <c r="Q295" i="14"/>
  <c r="Q311" i="14"/>
  <c r="T88" i="12"/>
  <c r="T230" i="12"/>
  <c r="T246" i="12" s="1"/>
  <c r="E121" i="15"/>
  <c r="E108" i="15"/>
  <c r="E23" i="15" s="1"/>
  <c r="E25" i="15" s="1"/>
  <c r="E28" i="15" s="1"/>
  <c r="E26" i="15" s="1"/>
  <c r="G185" i="10"/>
  <c r="AB185" i="13"/>
  <c r="AB102" i="16"/>
  <c r="AB228" i="16"/>
  <c r="AB244" i="16" s="1"/>
  <c r="Y101" i="13"/>
  <c r="Y227" i="13"/>
  <c r="I87" i="17"/>
  <c r="F234" i="15"/>
  <c r="F91" i="15"/>
  <c r="F215" i="12"/>
  <c r="F312" i="12"/>
  <c r="N114" i="14"/>
  <c r="N241" i="14" s="1"/>
  <c r="N162" i="14"/>
  <c r="G184" i="16"/>
  <c r="K241" i="13"/>
  <c r="AG112" i="10"/>
  <c r="AG239" i="10" s="1"/>
  <c r="AG160" i="10"/>
  <c r="V116" i="17"/>
  <c r="V164" i="17"/>
  <c r="R117" i="17"/>
  <c r="R165" i="17"/>
  <c r="D100" i="13"/>
  <c r="D226" i="13"/>
  <c r="N295" i="14"/>
  <c r="N311" i="14"/>
  <c r="Q294" i="14"/>
  <c r="N102" i="16"/>
  <c r="N228" i="16"/>
  <c r="N244" i="16" s="1"/>
  <c r="H186" i="10"/>
  <c r="H171" i="10" s="1"/>
  <c r="Y170" i="19"/>
  <c r="Y186" i="19"/>
  <c r="Y171" i="19" s="1"/>
  <c r="AC184" i="14"/>
  <c r="AC168" i="14"/>
  <c r="B242" i="13"/>
  <c r="AC219" i="19"/>
  <c r="AA85" i="17"/>
  <c r="X186" i="19"/>
  <c r="X171" i="19" s="1"/>
  <c r="F169" i="19"/>
  <c r="F185" i="19"/>
  <c r="L212" i="14"/>
  <c r="L292" i="14" s="1"/>
  <c r="L101" i="14"/>
  <c r="K85" i="14"/>
  <c r="AA183" i="13"/>
  <c r="Q100" i="13"/>
  <c r="Q226" i="13"/>
  <c r="B116" i="15"/>
  <c r="B164" i="15"/>
  <c r="AH168" i="14"/>
  <c r="AH184" i="14"/>
  <c r="Z100" i="17"/>
  <c r="Z226" i="17"/>
  <c r="Z242" i="17" s="1"/>
  <c r="Q311" i="17"/>
  <c r="Q214" i="17"/>
  <c r="K85" i="13"/>
  <c r="N100" i="13"/>
  <c r="N226" i="13"/>
  <c r="AC184" i="10"/>
  <c r="AC168" i="10" s="1"/>
  <c r="I242" i="15"/>
  <c r="Y100" i="16"/>
  <c r="Y226" i="16"/>
  <c r="AC101" i="16"/>
  <c r="AC227" i="16"/>
  <c r="AC243" i="16" s="1"/>
  <c r="R184" i="17"/>
  <c r="G168" i="10"/>
  <c r="AK184" i="10"/>
  <c r="AE86" i="11"/>
  <c r="AE102" i="11" s="1"/>
  <c r="AD184" i="10"/>
  <c r="AD168" i="10" s="1"/>
  <c r="M243" i="13"/>
  <c r="W246" i="12"/>
  <c r="AA244" i="11"/>
  <c r="AA260" i="11" s="1"/>
  <c r="N87" i="16"/>
  <c r="K310" i="13"/>
  <c r="K213" i="13"/>
  <c r="B215" i="17"/>
  <c r="B312" i="17"/>
  <c r="H184" i="16"/>
  <c r="L86" i="12"/>
  <c r="L102" i="12" s="1"/>
  <c r="K115" i="13"/>
  <c r="K163" i="13"/>
  <c r="S215" i="15"/>
  <c r="S312" i="15"/>
  <c r="D100" i="16"/>
  <c r="D226" i="16"/>
  <c r="G183" i="11"/>
  <c r="B116" i="13"/>
  <c r="B164" i="13"/>
  <c r="AH185" i="10"/>
  <c r="D213" i="16"/>
  <c r="D310" i="16"/>
  <c r="M213" i="14"/>
  <c r="M293" i="14" s="1"/>
  <c r="M102" i="14"/>
  <c r="L86" i="14"/>
  <c r="M117" i="14"/>
  <c r="M244" i="14" s="1"/>
  <c r="M165" i="14"/>
  <c r="R184" i="19"/>
  <c r="R168" i="19" s="1"/>
  <c r="Q86" i="17"/>
  <c r="E183" i="17"/>
  <c r="Q168" i="14"/>
  <c r="Q184" i="14"/>
  <c r="I116" i="15"/>
  <c r="I164" i="15"/>
  <c r="C116" i="13"/>
  <c r="C164" i="13"/>
  <c r="C100" i="16"/>
  <c r="C226" i="16"/>
  <c r="C242" i="16" s="1"/>
  <c r="V171" i="20"/>
  <c r="AD167" i="10"/>
  <c r="AD169" i="20"/>
  <c r="AD185" i="20"/>
  <c r="AD170" i="20" s="1"/>
  <c r="AD171" i="20" s="1"/>
  <c r="L242" i="15"/>
  <c r="M117" i="13"/>
  <c r="M165" i="13"/>
  <c r="W104" i="12"/>
  <c r="W120" i="12" s="1"/>
  <c r="M117" i="16"/>
  <c r="M165" i="16"/>
  <c r="P185" i="20"/>
  <c r="P170" i="20" s="1"/>
  <c r="K215" i="15"/>
  <c r="K312" i="15"/>
  <c r="P168" i="20"/>
  <c r="U86" i="13"/>
  <c r="U186" i="16"/>
  <c r="AG259" i="11"/>
  <c r="S217" i="13"/>
  <c r="S218" i="13"/>
  <c r="J241" i="15"/>
  <c r="M215" i="13"/>
  <c r="M312" i="13"/>
  <c r="B186" i="15"/>
  <c r="Q166" i="11"/>
  <c r="Q182" i="11"/>
  <c r="G184" i="19"/>
  <c r="G168" i="19" s="1"/>
  <c r="AD215" i="13"/>
  <c r="AD312" i="13"/>
  <c r="AG199" i="9"/>
  <c r="AG215" i="9"/>
  <c r="AF312" i="14"/>
  <c r="Z101" i="13"/>
  <c r="Z227" i="13"/>
  <c r="Z243" i="13" s="1"/>
  <c r="I168" i="10"/>
  <c r="I184" i="10"/>
  <c r="L116" i="15"/>
  <c r="L164" i="15"/>
  <c r="D241" i="16"/>
  <c r="U214" i="17"/>
  <c r="U311" i="17"/>
  <c r="AE166" i="10"/>
  <c r="T184" i="20"/>
  <c r="T168" i="20" s="1"/>
  <c r="K185" i="17"/>
  <c r="K117" i="12"/>
  <c r="K165" i="12"/>
  <c r="S213" i="16"/>
  <c r="S310" i="16"/>
  <c r="E241" i="17"/>
  <c r="Y183" i="13"/>
  <c r="V184" i="10"/>
  <c r="V168" i="10" s="1"/>
  <c r="C213" i="15"/>
  <c r="C310" i="15"/>
  <c r="U101" i="13"/>
  <c r="U227" i="13"/>
  <c r="U243" i="13" s="1"/>
  <c r="X312" i="14"/>
  <c r="P183" i="10"/>
  <c r="D183" i="12"/>
  <c r="U311" i="13"/>
  <c r="U214" i="13"/>
  <c r="R100" i="16"/>
  <c r="R226" i="16"/>
  <c r="R242" i="16" s="1"/>
  <c r="E183" i="13"/>
  <c r="AG117" i="11"/>
  <c r="AG165" i="11"/>
  <c r="F87" i="17"/>
  <c r="T119" i="13"/>
  <c r="T167" i="13"/>
  <c r="S85" i="16"/>
  <c r="AC183" i="15"/>
  <c r="N243" i="15"/>
  <c r="K117" i="15"/>
  <c r="K165" i="15"/>
  <c r="AB86" i="13"/>
  <c r="O104" i="16"/>
  <c r="O230" i="16"/>
  <c r="O246" i="16" s="1"/>
  <c r="H100" i="16"/>
  <c r="H226" i="16"/>
  <c r="L102" i="16"/>
  <c r="L228" i="16"/>
  <c r="AG114" i="10"/>
  <c r="AG241" i="10" s="1"/>
  <c r="AG162" i="10"/>
  <c r="E115" i="17"/>
  <c r="E163" i="17"/>
  <c r="M185" i="15"/>
  <c r="V100" i="13"/>
  <c r="V226" i="13"/>
  <c r="J241" i="13"/>
  <c r="U100" i="16"/>
  <c r="U226" i="16"/>
  <c r="U242" i="16" s="1"/>
  <c r="G241" i="17"/>
  <c r="J86" i="17"/>
  <c r="J115" i="15"/>
  <c r="J163" i="15"/>
  <c r="S183" i="13"/>
  <c r="X242" i="17"/>
  <c r="T243" i="15"/>
  <c r="H85" i="16"/>
  <c r="J85" i="13"/>
  <c r="L242" i="13"/>
  <c r="N213" i="13"/>
  <c r="N310" i="13"/>
  <c r="S241" i="16"/>
  <c r="D183" i="13"/>
  <c r="V167" i="10"/>
  <c r="C85" i="15"/>
  <c r="AD184" i="17"/>
  <c r="M87" i="13"/>
  <c r="AE243" i="11"/>
  <c r="AE259" i="11" s="1"/>
  <c r="H105" i="15"/>
  <c r="H231" i="15"/>
  <c r="H247" i="15" s="1"/>
  <c r="V117" i="12"/>
  <c r="V244" i="12" s="1"/>
  <c r="V165" i="12"/>
  <c r="Q165" i="11"/>
  <c r="AG198" i="9"/>
  <c r="AF295" i="14"/>
  <c r="AC214" i="16"/>
  <c r="AC311" i="16"/>
  <c r="T117" i="17"/>
  <c r="T165" i="17"/>
  <c r="I167" i="10"/>
  <c r="AD214" i="17"/>
  <c r="AD311" i="17"/>
  <c r="D115" i="16"/>
  <c r="D163" i="16"/>
  <c r="U86" i="17"/>
  <c r="O184" i="12"/>
  <c r="U184" i="12"/>
  <c r="L213" i="12"/>
  <c r="L310" i="12"/>
  <c r="Z85" i="17"/>
  <c r="AB120" i="17"/>
  <c r="AG119" i="10"/>
  <c r="AG246" i="10" s="1"/>
  <c r="AG167" i="10"/>
  <c r="V101" i="17"/>
  <c r="V227" i="17"/>
  <c r="V243" i="17" s="1"/>
  <c r="J213" i="13"/>
  <c r="J310" i="13"/>
  <c r="AE117" i="11"/>
  <c r="AE165" i="11"/>
  <c r="S168" i="19"/>
  <c r="S184" i="19"/>
  <c r="T213" i="16"/>
  <c r="T310" i="16"/>
  <c r="C183" i="17"/>
  <c r="K184" i="14"/>
  <c r="AK290" i="10"/>
  <c r="AK294" i="10"/>
  <c r="AK298" i="10"/>
  <c r="AK287" i="10"/>
  <c r="AK291" i="10"/>
  <c r="AK295" i="10"/>
  <c r="AK288" i="10"/>
  <c r="AK296" i="10"/>
  <c r="AK297" i="10"/>
  <c r="AK292" i="10"/>
  <c r="AK293" i="10"/>
  <c r="AK289" i="10"/>
  <c r="E167" i="19"/>
  <c r="E183" i="19"/>
  <c r="F312" i="17"/>
  <c r="F215" i="17"/>
  <c r="R213" i="16"/>
  <c r="R310" i="16"/>
  <c r="N117" i="15"/>
  <c r="N165" i="15"/>
  <c r="W183" i="12"/>
  <c r="F184" i="14"/>
  <c r="V115" i="16"/>
  <c r="V163" i="16"/>
  <c r="G183" i="15"/>
  <c r="G167" i="15" s="1"/>
  <c r="B214" i="13"/>
  <c r="B311" i="13"/>
  <c r="V241" i="15"/>
  <c r="P104" i="17"/>
  <c r="P120" i="17" s="1"/>
  <c r="P230" i="17"/>
  <c r="P246" i="17" s="1"/>
  <c r="AG107" i="10"/>
  <c r="AG123" i="10" s="1"/>
  <c r="AG250" i="10" s="1"/>
  <c r="F119" i="12"/>
  <c r="F167" i="12"/>
  <c r="T100" i="16"/>
  <c r="T226" i="16"/>
  <c r="T242" i="16" s="1"/>
  <c r="Z215" i="16"/>
  <c r="Z312" i="16"/>
  <c r="B183" i="17"/>
  <c r="U242" i="17"/>
  <c r="J115" i="13"/>
  <c r="J163" i="13"/>
  <c r="G115" i="17"/>
  <c r="G163" i="17"/>
  <c r="U213" i="16"/>
  <c r="U310" i="16"/>
  <c r="T117" i="15"/>
  <c r="T165" i="15"/>
  <c r="L311" i="14"/>
  <c r="J167" i="11"/>
  <c r="J183" i="11"/>
  <c r="Z310" i="14"/>
  <c r="Z294" i="14"/>
  <c r="L116" i="13"/>
  <c r="L164" i="13"/>
  <c r="N85" i="13"/>
  <c r="S115" i="16"/>
  <c r="S163" i="16"/>
  <c r="AF184" i="10"/>
  <c r="AF168" i="10" s="1"/>
  <c r="AC241" i="17"/>
  <c r="R185" i="13"/>
  <c r="G184" i="14"/>
  <c r="V166" i="11"/>
  <c r="V182" i="11"/>
  <c r="D167" i="20"/>
  <c r="D183" i="20"/>
  <c r="U184" i="15"/>
  <c r="AC116" i="16"/>
  <c r="AC164" i="16"/>
  <c r="X215" i="12"/>
  <c r="X312" i="12"/>
  <c r="S184" i="12"/>
  <c r="C185" i="20"/>
  <c r="C170" i="20" s="1"/>
  <c r="AC186" i="17"/>
  <c r="AB87" i="16"/>
  <c r="T89" i="13"/>
  <c r="W88" i="15"/>
  <c r="X185" i="17"/>
  <c r="F185" i="15"/>
  <c r="AB243" i="11"/>
  <c r="AB259" i="11" s="1"/>
  <c r="AH14" i="10"/>
  <c r="AH15" i="10" s="1"/>
  <c r="AH19" i="10" s="1"/>
  <c r="AI6" i="10"/>
  <c r="AJ4" i="10"/>
  <c r="L102" i="17"/>
  <c r="L228" i="17"/>
  <c r="L244" i="17" s="1"/>
  <c r="AI183" i="10"/>
  <c r="Q184" i="17"/>
  <c r="T168" i="19"/>
  <c r="Q183" i="13"/>
  <c r="AE168" i="20"/>
  <c r="T104" i="13"/>
  <c r="T230" i="13"/>
  <c r="X166" i="20"/>
  <c r="B86" i="15"/>
  <c r="C241" i="15"/>
  <c r="S86" i="12"/>
  <c r="S102" i="12" s="1"/>
  <c r="S228" i="12"/>
  <c r="S244" i="12" s="1"/>
  <c r="W118" i="15"/>
  <c r="Y116" i="13"/>
  <c r="Y164" i="13"/>
  <c r="S86" i="17"/>
  <c r="Y312" i="14"/>
  <c r="Y296" i="14"/>
  <c r="AE183" i="12"/>
  <c r="Q118" i="12"/>
  <c r="Q166" i="12"/>
  <c r="Y214" i="13"/>
  <c r="Y311" i="13"/>
  <c r="T182" i="11"/>
  <c r="T166" i="11" s="1"/>
  <c r="AD183" i="16"/>
  <c r="F184" i="16"/>
  <c r="AA182" i="20"/>
  <c r="J184" i="17"/>
  <c r="W183" i="19"/>
  <c r="W167" i="19" s="1"/>
  <c r="AA245" i="13"/>
  <c r="L182" i="20"/>
  <c r="Q310" i="13"/>
  <c r="Q213" i="13"/>
  <c r="Y295" i="14"/>
  <c r="B183" i="10"/>
  <c r="X167" i="14"/>
  <c r="X183" i="14"/>
  <c r="E184" i="11"/>
  <c r="O116" i="15"/>
  <c r="O164" i="15"/>
  <c r="L184" i="12"/>
  <c r="M170" i="10"/>
  <c r="M186" i="10"/>
  <c r="M171" i="10" s="1"/>
  <c r="Q85" i="13"/>
  <c r="W313" i="16"/>
  <c r="W216" i="16"/>
  <c r="AA310" i="17"/>
  <c r="AA213" i="17"/>
  <c r="B242" i="15"/>
  <c r="E115" i="13"/>
  <c r="E163" i="13"/>
  <c r="I183" i="11"/>
  <c r="I167" i="11" s="1"/>
  <c r="U167" i="20"/>
  <c r="W184" i="17"/>
  <c r="O183" i="11"/>
  <c r="O167" i="11" s="1"/>
  <c r="G310" i="14"/>
  <c r="C183" i="14"/>
  <c r="S89" i="13"/>
  <c r="I215" i="17"/>
  <c r="I312" i="17"/>
  <c r="AB185" i="10"/>
  <c r="AB169" i="10" s="1"/>
  <c r="B118" i="16"/>
  <c r="B166" i="16"/>
  <c r="N184" i="20"/>
  <c r="H213" i="16"/>
  <c r="H310" i="16"/>
  <c r="M312" i="16"/>
  <c r="M215" i="16"/>
  <c r="AK108" i="10"/>
  <c r="AK25" i="10"/>
  <c r="AK28" i="10" s="1"/>
  <c r="AK26" i="10" s="1"/>
  <c r="R100" i="13"/>
  <c r="R226" i="13"/>
  <c r="R242" i="13" s="1"/>
  <c r="AE216" i="13"/>
  <c r="AE313" i="13"/>
  <c r="T85" i="16"/>
  <c r="L215" i="16"/>
  <c r="L312" i="16"/>
  <c r="AD183" i="13"/>
  <c r="P215" i="12"/>
  <c r="P312" i="12"/>
  <c r="AC215" i="15"/>
  <c r="AC312" i="15"/>
  <c r="J184" i="19"/>
  <c r="J168" i="19" s="1"/>
  <c r="AA259" i="11"/>
  <c r="Z242" i="13"/>
  <c r="E166" i="19"/>
  <c r="H100" i="13"/>
  <c r="H226" i="13"/>
  <c r="H242" i="13" s="1"/>
  <c r="R85" i="16"/>
  <c r="T186" i="13"/>
  <c r="E168" i="10"/>
  <c r="E184" i="10"/>
  <c r="AJ183" i="10"/>
  <c r="AD230" i="11"/>
  <c r="AD327" i="11"/>
  <c r="B86" i="13"/>
  <c r="S184" i="15"/>
  <c r="P184" i="13"/>
  <c r="K241" i="16"/>
  <c r="O213" i="13"/>
  <c r="O310" i="13"/>
  <c r="F229" i="12"/>
  <c r="F245" i="12" s="1"/>
  <c r="P313" i="13"/>
  <c r="P216" i="13"/>
  <c r="Z87" i="16"/>
  <c r="U116" i="17"/>
  <c r="U164" i="17"/>
  <c r="L101" i="13"/>
  <c r="L227" i="13"/>
  <c r="L243" i="13" s="1"/>
  <c r="O168" i="20"/>
  <c r="O184" i="20"/>
  <c r="R311" i="14"/>
  <c r="O183" i="17"/>
  <c r="Y115" i="16"/>
  <c r="Y163" i="16"/>
  <c r="J186" i="16"/>
  <c r="C213" i="17"/>
  <c r="C310" i="17"/>
  <c r="U85" i="16"/>
  <c r="K213" i="17"/>
  <c r="K310" i="17"/>
  <c r="J100" i="15"/>
  <c r="J226" i="15"/>
  <c r="J242" i="15" s="1"/>
  <c r="J166" i="11"/>
  <c r="Z293" i="14"/>
  <c r="K116" i="12"/>
  <c r="K164" i="12"/>
  <c r="AB185" i="17"/>
  <c r="AF167" i="10"/>
  <c r="AC115" i="17"/>
  <c r="AC163" i="17"/>
  <c r="AB105" i="17"/>
  <c r="AB121" i="17" s="1"/>
  <c r="AB231" i="17"/>
  <c r="U167" i="19"/>
  <c r="U183" i="19"/>
  <c r="Q100" i="15"/>
  <c r="Q226" i="15"/>
  <c r="Q242" i="15" s="1"/>
  <c r="AH312" i="14"/>
  <c r="AH296" i="14" s="1"/>
  <c r="V165" i="11"/>
  <c r="Z243" i="16"/>
  <c r="D166" i="20"/>
  <c r="AD186" i="15"/>
  <c r="Y101" i="12"/>
  <c r="O167" i="10"/>
  <c r="O183" i="10"/>
  <c r="X88" i="12"/>
  <c r="X230" i="12"/>
  <c r="C168" i="20"/>
  <c r="R102" i="17"/>
  <c r="R228" i="17"/>
  <c r="AF259" i="11"/>
  <c r="O166" i="11"/>
  <c r="AA185" i="12"/>
  <c r="S184" i="17"/>
  <c r="J214" i="17"/>
  <c r="J311" i="17"/>
  <c r="D85" i="16"/>
  <c r="M87" i="16"/>
  <c r="R185" i="15"/>
  <c r="V214" i="17"/>
  <c r="V311" i="17"/>
  <c r="K102" i="15"/>
  <c r="K228" i="15"/>
  <c r="L87" i="16"/>
  <c r="C214" i="13"/>
  <c r="C311" i="13"/>
  <c r="P88" i="12"/>
  <c r="P104" i="12" s="1"/>
  <c r="J167" i="19"/>
  <c r="AC85" i="17"/>
  <c r="X116" i="13"/>
  <c r="X164" i="13"/>
  <c r="Z116" i="13"/>
  <c r="Z164" i="13"/>
  <c r="I186" i="15"/>
  <c r="H214" i="12"/>
  <c r="H311" i="12"/>
  <c r="M102" i="16"/>
  <c r="M228" i="16"/>
  <c r="M244" i="16" s="1"/>
  <c r="Z242" i="15"/>
  <c r="AA311" i="14"/>
  <c r="AA295" i="14" s="1"/>
  <c r="Z214" i="13"/>
  <c r="Z311" i="13"/>
  <c r="R229" i="12"/>
  <c r="R245" i="12" s="1"/>
  <c r="AD245" i="11"/>
  <c r="AD261" i="11" s="1"/>
  <c r="AD87" i="11"/>
  <c r="I185" i="20"/>
  <c r="I170" i="20" s="1"/>
  <c r="V115" i="15"/>
  <c r="V163" i="15"/>
  <c r="AG117" i="10"/>
  <c r="AG244" i="10" s="1"/>
  <c r="AG165" i="10"/>
  <c r="K115" i="16"/>
  <c r="K163" i="16"/>
  <c r="O85" i="13"/>
  <c r="P88" i="13"/>
  <c r="N229" i="12"/>
  <c r="N245" i="12" s="1"/>
  <c r="Z241" i="17"/>
  <c r="S104" i="13"/>
  <c r="S120" i="13" s="1"/>
  <c r="S230" i="13"/>
  <c r="S246" i="13" s="1"/>
  <c r="I184" i="16"/>
  <c r="C85" i="17"/>
  <c r="W183" i="15"/>
  <c r="K85" i="17"/>
  <c r="I242" i="13"/>
  <c r="L86" i="15"/>
  <c r="O184" i="13"/>
  <c r="AB168" i="17"/>
  <c r="T215" i="15"/>
  <c r="T312" i="15"/>
  <c r="AA184" i="16"/>
  <c r="C312" i="14"/>
  <c r="Z117" i="16"/>
  <c r="Z165" i="16"/>
  <c r="AA241" i="16"/>
  <c r="J213" i="15"/>
  <c r="J310" i="15"/>
  <c r="Y101" i="17"/>
  <c r="Y227" i="17"/>
  <c r="W101" i="17"/>
  <c r="W227" i="17"/>
  <c r="W243" i="17" s="1"/>
  <c r="C85" i="16"/>
  <c r="I217" i="12"/>
  <c r="I218" i="12"/>
  <c r="AA184" i="14"/>
  <c r="AA168" i="14"/>
  <c r="G214" i="13"/>
  <c r="G311" i="13"/>
  <c r="F213" i="16"/>
  <c r="F310" i="16"/>
  <c r="L117" i="16"/>
  <c r="L165" i="16"/>
  <c r="X86" i="13"/>
  <c r="G86" i="13"/>
  <c r="K107" i="14"/>
  <c r="K123" i="14" s="1"/>
  <c r="K250" i="14" s="1"/>
  <c r="K218" i="14"/>
  <c r="J91" i="14"/>
  <c r="F168" i="15"/>
  <c r="D85" i="13"/>
  <c r="S117" i="15"/>
  <c r="S165" i="15"/>
  <c r="G229" i="12"/>
  <c r="G245" i="12" s="1"/>
  <c r="N184" i="12"/>
  <c r="N87" i="15"/>
  <c r="S182" i="11"/>
  <c r="F100" i="16"/>
  <c r="F226" i="16"/>
  <c r="S167" i="10"/>
  <c r="S183" i="10"/>
  <c r="L105" i="14"/>
  <c r="L121" i="14" s="1"/>
  <c r="L248" i="14" s="1"/>
  <c r="L216" i="14"/>
  <c r="K89" i="14"/>
  <c r="W184" i="16"/>
  <c r="Q242" i="16"/>
  <c r="O101" i="15"/>
  <c r="O227" i="15"/>
  <c r="O243" i="15" s="1"/>
  <c r="P183" i="14"/>
  <c r="P167" i="14" s="1"/>
  <c r="C184" i="12"/>
  <c r="R182" i="11"/>
  <c r="C115" i="15"/>
  <c r="C163" i="15"/>
  <c r="T215" i="12"/>
  <c r="T312" i="12"/>
  <c r="P103" i="13"/>
  <c r="P229" i="13"/>
  <c r="P245" i="13" s="1"/>
  <c r="K185" i="19"/>
  <c r="W89" i="12"/>
  <c r="W231" i="12" s="1"/>
  <c r="W247" i="12" s="1"/>
  <c r="T165" i="11"/>
  <c r="AG184" i="14"/>
  <c r="AG168" i="14" s="1"/>
  <c r="AA165" i="20"/>
  <c r="F102" i="17"/>
  <c r="F228" i="17"/>
  <c r="F244" i="17" s="1"/>
  <c r="S100" i="16"/>
  <c r="S226" i="16"/>
  <c r="AK4" i="10"/>
  <c r="AL4" i="10" s="1"/>
  <c r="Q185" i="19"/>
  <c r="J168" i="20"/>
  <c r="J184" i="20"/>
  <c r="X101" i="13"/>
  <c r="X227" i="13"/>
  <c r="E85" i="16"/>
  <c r="L165" i="20"/>
  <c r="O295" i="14"/>
  <c r="O311" i="14"/>
  <c r="V167" i="14"/>
  <c r="V183" i="14"/>
  <c r="T167" i="20"/>
  <c r="K311" i="14"/>
  <c r="F90" i="15"/>
  <c r="F233" i="15"/>
  <c r="F219" i="15"/>
  <c r="F33" i="15" s="1"/>
  <c r="F35" i="15" s="1"/>
  <c r="F41" i="15" s="1"/>
  <c r="AF117" i="11"/>
  <c r="AF165" i="11"/>
  <c r="I184" i="13"/>
  <c r="S87" i="15"/>
  <c r="AA100" i="17"/>
  <c r="AA226" i="17"/>
  <c r="AA242" i="17" s="1"/>
  <c r="Y184" i="15"/>
  <c r="V86" i="17"/>
  <c r="C86" i="13"/>
  <c r="V100" i="16"/>
  <c r="V226" i="16"/>
  <c r="V242" i="16" s="1"/>
  <c r="R185" i="16"/>
  <c r="AE215" i="16"/>
  <c r="AE312" i="16"/>
  <c r="H87" i="12"/>
  <c r="H103" i="12" s="1"/>
  <c r="P87" i="15"/>
  <c r="O115" i="17"/>
  <c r="O163" i="17"/>
  <c r="Z86" i="13"/>
  <c r="H118" i="12"/>
  <c r="H166" i="12"/>
  <c r="P184" i="11"/>
  <c r="P168" i="11" s="1"/>
  <c r="M167" i="19"/>
  <c r="M183" i="19"/>
  <c r="H241" i="16"/>
  <c r="AA184" i="10"/>
  <c r="AA168" i="10" s="1"/>
  <c r="AG113" i="10"/>
  <c r="AG240" i="10" s="1"/>
  <c r="AG161" i="10"/>
  <c r="G183" i="13"/>
  <c r="S242" i="17"/>
  <c r="V184" i="17"/>
  <c r="AA104" i="13"/>
  <c r="AA230" i="13"/>
  <c r="AA246" i="13" s="1"/>
  <c r="I243" i="16"/>
  <c r="K103" i="14"/>
  <c r="K214" i="14"/>
  <c r="K294" i="14" s="1"/>
  <c r="J87" i="14"/>
  <c r="Z115" i="17"/>
  <c r="Z163" i="17"/>
  <c r="Q101" i="17"/>
  <c r="Q227" i="17"/>
  <c r="K100" i="16"/>
  <c r="K226" i="16"/>
  <c r="W166" i="15"/>
  <c r="X116" i="17"/>
  <c r="X164" i="17"/>
  <c r="AB183" i="16"/>
  <c r="Y242" i="17"/>
  <c r="Z184" i="19"/>
  <c r="AE184" i="14"/>
  <c r="AE168" i="14" s="1"/>
  <c r="I116" i="13"/>
  <c r="I164" i="13"/>
  <c r="L214" i="15"/>
  <c r="L311" i="15"/>
  <c r="W213" i="13"/>
  <c r="W310" i="13"/>
  <c r="U170" i="10"/>
  <c r="U186" i="10"/>
  <c r="U171" i="10" s="1"/>
  <c r="T87" i="15"/>
  <c r="E100" i="17"/>
  <c r="E226" i="17"/>
  <c r="E242" i="17" s="1"/>
  <c r="AA213" i="19"/>
  <c r="AA310" i="19"/>
  <c r="W312" i="14"/>
  <c r="W296" i="14"/>
  <c r="M242" i="15"/>
  <c r="AA115" i="16"/>
  <c r="AA163" i="16"/>
  <c r="J85" i="15"/>
  <c r="AM108" i="10"/>
  <c r="AM25" i="10"/>
  <c r="AM28" i="10" s="1"/>
  <c r="AM26" i="10" s="1"/>
  <c r="E100" i="13"/>
  <c r="E226" i="13"/>
  <c r="C213" i="16"/>
  <c r="C310" i="16"/>
  <c r="B185" i="19"/>
  <c r="B169" i="19"/>
  <c r="T102" i="15"/>
  <c r="T228" i="15"/>
  <c r="Z183" i="17"/>
  <c r="N184" i="13"/>
  <c r="N241" i="17"/>
  <c r="B182" i="11"/>
  <c r="I90" i="12"/>
  <c r="I106" i="12" s="1"/>
  <c r="I122" i="12" s="1"/>
  <c r="F86" i="13"/>
  <c r="W115" i="13"/>
  <c r="W163" i="13"/>
  <c r="B166" i="10"/>
  <c r="K168" i="19"/>
  <c r="E167" i="11"/>
  <c r="G116" i="13"/>
  <c r="G164" i="13"/>
  <c r="AE229" i="11"/>
  <c r="AE326" i="11"/>
  <c r="Z213" i="17"/>
  <c r="Z310" i="17"/>
  <c r="B244" i="16"/>
  <c r="K243" i="12"/>
  <c r="F88" i="12"/>
  <c r="F104" i="12" s="1"/>
  <c r="F230" i="12"/>
  <c r="K87" i="15"/>
  <c r="AB214" i="13"/>
  <c r="AB311" i="13"/>
  <c r="N184" i="14"/>
  <c r="N168" i="14" s="1"/>
  <c r="N118" i="14"/>
  <c r="N245" i="14" s="1"/>
  <c r="N166" i="14"/>
  <c r="W166" i="11"/>
  <c r="W182" i="11"/>
  <c r="G101" i="13"/>
  <c r="G227" i="13"/>
  <c r="G243" i="13" s="1"/>
  <c r="AC310" i="17"/>
  <c r="AC213" i="17"/>
  <c r="C101" i="13"/>
  <c r="C227" i="13"/>
  <c r="C243" i="13" s="1"/>
  <c r="Y167" i="15"/>
  <c r="L227" i="12"/>
  <c r="L243" i="12" s="1"/>
  <c r="AI104" i="10"/>
  <c r="AI120" i="10" s="1"/>
  <c r="AI247" i="10" s="1"/>
  <c r="AI97" i="10"/>
  <c r="AI101" i="10"/>
  <c r="AI105" i="10"/>
  <c r="AI121" i="10" s="1"/>
  <c r="AI248" i="10" s="1"/>
  <c r="AI98" i="10"/>
  <c r="AI100" i="10"/>
  <c r="AI103" i="10"/>
  <c r="AI119" i="10" s="1"/>
  <c r="AI246" i="10" s="1"/>
  <c r="AI96" i="10"/>
  <c r="AI99" i="10"/>
  <c r="AI102" i="10"/>
  <c r="AI106" i="10"/>
  <c r="AI122" i="10" s="1"/>
  <c r="AI249" i="10" s="1"/>
  <c r="N183" i="11"/>
  <c r="N167" i="11"/>
  <c r="F185" i="10"/>
  <c r="F169" i="10"/>
  <c r="Z116" i="15"/>
  <c r="Z164" i="15"/>
  <c r="P215" i="15"/>
  <c r="P312" i="15"/>
  <c r="V213" i="15"/>
  <c r="V310" i="15"/>
  <c r="H228" i="12"/>
  <c r="H244" i="12" s="1"/>
  <c r="P167" i="11"/>
  <c r="T169" i="10"/>
  <c r="T185" i="10"/>
  <c r="M166" i="19"/>
  <c r="M186" i="17"/>
  <c r="V185" i="12"/>
  <c r="R242" i="15"/>
  <c r="S102" i="15"/>
  <c r="S228" i="15"/>
  <c r="O231" i="12"/>
  <c r="O247" i="12" s="1"/>
  <c r="AA167" i="10"/>
  <c r="AG120" i="10"/>
  <c r="AG247" i="10" s="1"/>
  <c r="AG168" i="10"/>
  <c r="S116" i="17"/>
  <c r="S164" i="17"/>
  <c r="I117" i="16"/>
  <c r="I165" i="16"/>
  <c r="U242" i="13"/>
  <c r="O245" i="16"/>
  <c r="L214" i="13"/>
  <c r="L311" i="13"/>
  <c r="H102" i="17"/>
  <c r="H228" i="17"/>
  <c r="H244" i="17" s="1"/>
  <c r="Z167" i="19"/>
  <c r="D184" i="14"/>
  <c r="O169" i="19"/>
  <c r="O185" i="19"/>
  <c r="W85" i="13"/>
  <c r="F184" i="20"/>
  <c r="U169" i="10"/>
  <c r="D171" i="11"/>
  <c r="W295" i="14"/>
  <c r="V310" i="14"/>
  <c r="V294" i="14"/>
  <c r="Z185" i="13"/>
  <c r="G183" i="12"/>
  <c r="G167" i="12" s="1"/>
  <c r="X244" i="12"/>
  <c r="H310" i="14"/>
  <c r="AL108" i="10"/>
  <c r="AL25" i="10"/>
  <c r="AL28" i="10" s="1"/>
  <c r="AL26" i="10" s="1"/>
  <c r="I215" i="16"/>
  <c r="I312" i="16"/>
  <c r="AA213" i="16"/>
  <c r="AA310" i="16"/>
  <c r="N115" i="17"/>
  <c r="N163" i="17"/>
  <c r="G100" i="17"/>
  <c r="G226" i="17"/>
  <c r="G242" i="17" s="1"/>
  <c r="E213" i="16"/>
  <c r="E310" i="16"/>
  <c r="X184" i="10"/>
  <c r="K115" i="17"/>
  <c r="K163" i="17"/>
  <c r="AG118" i="10"/>
  <c r="AG245" i="10" s="1"/>
  <c r="AG166" i="10"/>
  <c r="N167" i="12"/>
  <c r="N312" i="15"/>
  <c r="N215" i="15"/>
  <c r="W88" i="16"/>
  <c r="Q184" i="12"/>
  <c r="Y116" i="12"/>
  <c r="Y243" i="12" s="1"/>
  <c r="Y164" i="12"/>
  <c r="F214" i="13"/>
  <c r="F311" i="13"/>
  <c r="R183" i="14"/>
  <c r="R167" i="14" s="1"/>
  <c r="S165" i="11"/>
  <c r="N312" i="16"/>
  <c r="N215" i="16"/>
  <c r="M186" i="13"/>
  <c r="C184" i="15"/>
  <c r="Y86" i="13"/>
  <c r="X101" i="15"/>
  <c r="X227" i="15"/>
  <c r="X243" i="15" s="1"/>
  <c r="Q116" i="16"/>
  <c r="Q164" i="16"/>
  <c r="W166" i="19"/>
  <c r="M243" i="16"/>
  <c r="B184" i="12"/>
  <c r="M209" i="14"/>
  <c r="M289" i="14" s="1"/>
  <c r="M98" i="14"/>
  <c r="L82" i="14"/>
  <c r="B87" i="17"/>
  <c r="O168" i="14"/>
  <c r="O184" i="14"/>
  <c r="AC101" i="13"/>
  <c r="AC227" i="13"/>
  <c r="AC243" i="13" s="1"/>
  <c r="E119" i="12"/>
  <c r="E167" i="12"/>
  <c r="B183" i="13"/>
  <c r="AE215" i="15"/>
  <c r="AE312" i="15"/>
  <c r="N102" i="15"/>
  <c r="N228" i="15"/>
  <c r="N244" i="15" s="1"/>
  <c r="D241" i="13"/>
  <c r="L117" i="12"/>
  <c r="L165" i="12"/>
  <c r="T102" i="17"/>
  <c r="T228" i="17"/>
  <c r="T244" i="17" s="1"/>
  <c r="L184" i="17"/>
  <c r="H184" i="17"/>
  <c r="AB229" i="11"/>
  <c r="AB326" i="11"/>
  <c r="P102" i="15"/>
  <c r="P228" i="15"/>
  <c r="P244" i="15" s="1"/>
  <c r="I101" i="15"/>
  <c r="I227" i="15"/>
  <c r="AD183" i="12"/>
  <c r="H185" i="19"/>
  <c r="AE315" i="20"/>
  <c r="AE314" i="20"/>
  <c r="AE39" i="20"/>
  <c r="S183" i="20"/>
  <c r="D100" i="17"/>
  <c r="D226" i="17"/>
  <c r="D242" i="17" s="1"/>
  <c r="V85" i="15"/>
  <c r="U116" i="12"/>
  <c r="U243" i="12" s="1"/>
  <c r="U164" i="12"/>
  <c r="H243" i="17"/>
  <c r="M101" i="15"/>
  <c r="M227" i="15"/>
  <c r="M243" i="15" s="1"/>
  <c r="H115" i="16"/>
  <c r="H163" i="16"/>
  <c r="R116" i="15"/>
  <c r="R164" i="15"/>
  <c r="C213" i="12"/>
  <c r="C310" i="12"/>
  <c r="B183" i="14"/>
  <c r="AG116" i="10"/>
  <c r="AG243" i="10" s="1"/>
  <c r="AG164" i="10"/>
  <c r="M214" i="15"/>
  <c r="M311" i="15"/>
  <c r="X101" i="17"/>
  <c r="X227" i="17"/>
  <c r="X243" i="17" s="1"/>
  <c r="AA217" i="13"/>
  <c r="AA218" i="13"/>
  <c r="P183" i="15"/>
  <c r="T215" i="17"/>
  <c r="T312" i="17"/>
  <c r="U116" i="13"/>
  <c r="U164" i="13"/>
  <c r="C100" i="17"/>
  <c r="C226" i="17"/>
  <c r="O119" i="16"/>
  <c r="O167" i="16"/>
  <c r="H234" i="15"/>
  <c r="H91" i="15"/>
  <c r="H107" i="15" s="1"/>
  <c r="H123" i="15" s="1"/>
  <c r="H219" i="15"/>
  <c r="H33" i="15" s="1"/>
  <c r="H35" i="15" s="1"/>
  <c r="H41" i="15" s="1"/>
  <c r="K184" i="15"/>
  <c r="B312" i="14"/>
  <c r="E96" i="12"/>
  <c r="N169" i="10"/>
  <c r="N185" i="10"/>
  <c r="L86" i="13"/>
  <c r="G167" i="20"/>
  <c r="G183" i="20"/>
  <c r="Y116" i="17"/>
  <c r="Y164" i="17"/>
  <c r="AD213" i="16"/>
  <c r="AD310" i="16"/>
  <c r="R101" i="15"/>
  <c r="R227" i="15"/>
  <c r="U183" i="14"/>
  <c r="U167" i="14" s="1"/>
  <c r="N213" i="17"/>
  <c r="N310" i="17"/>
  <c r="M116" i="15"/>
  <c r="M164" i="15"/>
  <c r="D184" i="15"/>
  <c r="G166" i="12"/>
  <c r="F241" i="16"/>
  <c r="L101" i="15"/>
  <c r="L227" i="15"/>
  <c r="L243" i="15" s="1"/>
  <c r="I87" i="16"/>
  <c r="X118" i="12"/>
  <c r="X245" i="12" s="1"/>
  <c r="X166" i="12"/>
  <c r="AA85" i="16"/>
  <c r="T185" i="14"/>
  <c r="T169" i="14" s="1"/>
  <c r="W103" i="16"/>
  <c r="W229" i="16"/>
  <c r="W245" i="16" s="1"/>
  <c r="Z184" i="10"/>
  <c r="Z168" i="10"/>
  <c r="N85" i="17"/>
  <c r="B214" i="12"/>
  <c r="B311" i="12"/>
  <c r="K167" i="11"/>
  <c r="K183" i="11"/>
  <c r="O100" i="17"/>
  <c r="O226" i="17"/>
  <c r="O242" i="17" s="1"/>
  <c r="R185" i="10"/>
  <c r="AM299" i="10"/>
  <c r="AM39" i="10"/>
  <c r="G241" i="16"/>
  <c r="X184" i="12"/>
  <c r="Y217" i="15"/>
  <c r="Y219" i="15" s="1"/>
  <c r="Y33" i="15" s="1"/>
  <c r="Y35" i="15" s="1"/>
  <c r="Y41" i="15" s="1"/>
  <c r="Y218" i="15"/>
  <c r="P101" i="16"/>
  <c r="P227" i="16"/>
  <c r="P243" i="16" s="1"/>
  <c r="Q185" i="16"/>
  <c r="W216" i="12"/>
  <c r="W313" i="12"/>
  <c r="O86" i="15"/>
  <c r="R241" i="16"/>
  <c r="D115" i="13"/>
  <c r="D163" i="13"/>
  <c r="AB244" i="11"/>
  <c r="AB260" i="11" s="1"/>
  <c r="AB86" i="11"/>
  <c r="AB102" i="11" s="1"/>
  <c r="AB118" i="11" s="1"/>
  <c r="AC214" i="13"/>
  <c r="AC311" i="13"/>
  <c r="U101" i="12"/>
  <c r="B102" i="17"/>
  <c r="B228" i="17"/>
  <c r="B244" i="17" s="1"/>
  <c r="D310" i="14"/>
  <c r="K185" i="12"/>
  <c r="D115" i="15"/>
  <c r="D163" i="15"/>
  <c r="Q115" i="13"/>
  <c r="Q163" i="13"/>
  <c r="H117" i="17"/>
  <c r="H165" i="17"/>
  <c r="T183" i="15"/>
  <c r="E184" i="20"/>
  <c r="G89" i="15"/>
  <c r="C86" i="12"/>
  <c r="C102" i="12" s="1"/>
  <c r="C228" i="12"/>
  <c r="C244" i="12" s="1"/>
  <c r="M86" i="15"/>
  <c r="V102" i="12"/>
  <c r="AA89" i="13"/>
  <c r="T87" i="17"/>
  <c r="D35" i="12"/>
  <c r="D41" i="12" s="1"/>
  <c r="D4" i="3"/>
  <c r="D6" i="3" s="1"/>
  <c r="D12" i="3" s="1"/>
  <c r="X214" i="17"/>
  <c r="X311" i="17"/>
  <c r="H233" i="15"/>
  <c r="H90" i="15"/>
  <c r="M102" i="17"/>
  <c r="M228" i="17"/>
  <c r="M244" i="17" s="1"/>
  <c r="J214" i="16"/>
  <c r="J311" i="16"/>
  <c r="T184" i="17"/>
  <c r="L104" i="14"/>
  <c r="L120" i="14" s="1"/>
  <c r="L247" i="14" s="1"/>
  <c r="L215" i="14"/>
  <c r="L295" i="14" s="1"/>
  <c r="K88" i="14"/>
  <c r="L167" i="19"/>
  <c r="L183" i="19"/>
  <c r="AA230" i="20"/>
  <c r="AA246" i="20" s="1"/>
  <c r="AA262" i="20" s="1"/>
  <c r="AA327" i="20"/>
  <c r="F115" i="16"/>
  <c r="F163" i="16"/>
  <c r="B103" i="16"/>
  <c r="B229" i="16"/>
  <c r="S184" i="16"/>
  <c r="X219" i="16"/>
  <c r="X33" i="16" s="1"/>
  <c r="X35" i="16" s="1"/>
  <c r="X41" i="16" s="1"/>
  <c r="X103" i="12"/>
  <c r="V172" i="19"/>
  <c r="W103" i="15"/>
  <c r="W119" i="15" s="1"/>
  <c r="W229" i="15"/>
  <c r="R214" i="15"/>
  <c r="R311" i="15"/>
  <c r="Y183" i="12"/>
  <c r="I214" i="15"/>
  <c r="I311" i="15"/>
  <c r="P186" i="12"/>
  <c r="AC86" i="13"/>
  <c r="AM186" i="10"/>
  <c r="D310" i="17"/>
  <c r="D213" i="17"/>
  <c r="AB295" i="14"/>
  <c r="AB311" i="14"/>
  <c r="L169" i="10"/>
  <c r="L185" i="10"/>
  <c r="G104" i="15"/>
  <c r="G230" i="15"/>
  <c r="G246" i="15" s="1"/>
  <c r="U101" i="17"/>
  <c r="U227" i="17"/>
  <c r="O184" i="15"/>
  <c r="U100" i="15"/>
  <c r="U226" i="15"/>
  <c r="U242" i="15" s="1"/>
  <c r="P243" i="15"/>
  <c r="AJ290" i="10"/>
  <c r="AJ298" i="10"/>
  <c r="AJ287" i="10"/>
  <c r="AJ291" i="10"/>
  <c r="AJ288" i="10"/>
  <c r="AJ294" i="10"/>
  <c r="AJ296" i="10"/>
  <c r="AJ297" i="10"/>
  <c r="AJ292" i="10"/>
  <c r="AJ295" i="10"/>
  <c r="AJ293" i="10"/>
  <c r="AJ289" i="10"/>
  <c r="E167" i="20"/>
  <c r="G217" i="15"/>
  <c r="G218" i="15"/>
  <c r="AE312" i="14"/>
  <c r="G213" i="16"/>
  <c r="G310" i="16"/>
  <c r="P311" i="14"/>
  <c r="F182" i="11"/>
  <c r="F166" i="11" s="1"/>
  <c r="I185" i="19"/>
  <c r="I169" i="19" s="1"/>
  <c r="D233" i="12"/>
  <c r="D249" i="12" s="1"/>
  <c r="O100" i="13"/>
  <c r="O226" i="13"/>
  <c r="O242" i="13" s="1"/>
  <c r="X86" i="17"/>
  <c r="Q116" i="17"/>
  <c r="Q164" i="17"/>
  <c r="D241" i="17"/>
  <c r="F311" i="14"/>
  <c r="E184" i="16"/>
  <c r="C167" i="10"/>
  <c r="C183" i="10"/>
  <c r="H168" i="15"/>
  <c r="J86" i="16"/>
  <c r="E310" i="14"/>
  <c r="W100" i="13"/>
  <c r="W226" i="13"/>
  <c r="W242" i="13" s="1"/>
  <c r="L183" i="16"/>
  <c r="Z184" i="16"/>
  <c r="B87" i="12"/>
  <c r="B103" i="12" s="1"/>
  <c r="B229" i="12"/>
  <c r="B245" i="12" s="1"/>
  <c r="B183" i="20"/>
  <c r="K166" i="11"/>
  <c r="AA185" i="19"/>
  <c r="S101" i="17"/>
  <c r="S227" i="17"/>
  <c r="S243" i="17" s="1"/>
  <c r="G115" i="16"/>
  <c r="G163" i="16"/>
  <c r="Y89" i="15"/>
  <c r="L166" i="19"/>
  <c r="AB229" i="20"/>
  <c r="AB245" i="20" s="1"/>
  <c r="AB261" i="20" s="1"/>
  <c r="AB326" i="20"/>
  <c r="C117" i="12"/>
  <c r="C165" i="12"/>
  <c r="I243" i="17"/>
  <c r="C115" i="17"/>
  <c r="C163" i="17"/>
  <c r="E241" i="16"/>
  <c r="G310" i="17"/>
  <c r="G213" i="17"/>
  <c r="E100" i="16"/>
  <c r="E226" i="16"/>
  <c r="E242" i="16" s="1"/>
  <c r="N243" i="16"/>
  <c r="AK14" i="10" l="1"/>
  <c r="AK15" i="10" s="1"/>
  <c r="AK19" i="10" s="1"/>
  <c r="AL6" i="10"/>
  <c r="AM4" i="10"/>
  <c r="Y101" i="16"/>
  <c r="Y227" i="16"/>
  <c r="C185" i="16"/>
  <c r="O86" i="17"/>
  <c r="L97" i="14"/>
  <c r="K81" i="14"/>
  <c r="L208" i="14"/>
  <c r="L288" i="14" s="1"/>
  <c r="Z168" i="20"/>
  <c r="Z184" i="20"/>
  <c r="I215" i="15"/>
  <c r="I312" i="15"/>
  <c r="T103" i="17"/>
  <c r="T229" i="17"/>
  <c r="U243" i="17"/>
  <c r="V118" i="12"/>
  <c r="V166" i="12"/>
  <c r="I117" i="15"/>
  <c r="I165" i="15"/>
  <c r="N185" i="12"/>
  <c r="O184" i="17"/>
  <c r="U117" i="17"/>
  <c r="U165" i="17"/>
  <c r="V186" i="12"/>
  <c r="T118" i="15"/>
  <c r="T166" i="15"/>
  <c r="F106" i="15"/>
  <c r="F232" i="15"/>
  <c r="F248" i="15" s="1"/>
  <c r="N168" i="12"/>
  <c r="N185" i="20"/>
  <c r="N170" i="20" s="1"/>
  <c r="N169" i="20"/>
  <c r="F88" i="17"/>
  <c r="Z169" i="14"/>
  <c r="Z185" i="14"/>
  <c r="D185" i="16"/>
  <c r="P215" i="16"/>
  <c r="P312" i="16"/>
  <c r="D101" i="15"/>
  <c r="D227" i="15"/>
  <c r="I118" i="17"/>
  <c r="I166" i="17"/>
  <c r="AE184" i="13"/>
  <c r="T184" i="12"/>
  <c r="Y184" i="14"/>
  <c r="X87" i="13"/>
  <c r="G89" i="12"/>
  <c r="K101" i="16"/>
  <c r="K227" i="16"/>
  <c r="K243" i="16" s="1"/>
  <c r="B119" i="12"/>
  <c r="B167" i="12"/>
  <c r="W245" i="15"/>
  <c r="B88" i="12"/>
  <c r="B230" i="12" s="1"/>
  <c r="B246" i="12" s="1"/>
  <c r="AI115" i="10"/>
  <c r="AI242" i="10" s="1"/>
  <c r="AI163" i="10"/>
  <c r="T103" i="15"/>
  <c r="T229" i="15"/>
  <c r="T245" i="15" s="1"/>
  <c r="K116" i="16"/>
  <c r="K164" i="16"/>
  <c r="V116" i="16"/>
  <c r="V164" i="16"/>
  <c r="K312" i="14"/>
  <c r="AA185" i="14"/>
  <c r="AA169" i="14" s="1"/>
  <c r="C313" i="14"/>
  <c r="I171" i="20"/>
  <c r="AC101" i="17"/>
  <c r="AC227" i="17"/>
  <c r="AC243" i="17" s="1"/>
  <c r="J215" i="17"/>
  <c r="J312" i="17"/>
  <c r="AB186" i="17"/>
  <c r="AB171" i="17" s="1"/>
  <c r="R312" i="14"/>
  <c r="AC216" i="15"/>
  <c r="AC313" i="15"/>
  <c r="N168" i="20"/>
  <c r="B168" i="10"/>
  <c r="B184" i="10"/>
  <c r="T246" i="13"/>
  <c r="W104" i="15"/>
  <c r="W120" i="15" s="1"/>
  <c r="W230" i="15"/>
  <c r="W246" i="15" s="1"/>
  <c r="Z295" i="14"/>
  <c r="Z311" i="14"/>
  <c r="F313" i="17"/>
  <c r="F216" i="17"/>
  <c r="O185" i="12"/>
  <c r="S168" i="13"/>
  <c r="S184" i="13"/>
  <c r="E184" i="13"/>
  <c r="S214" i="16"/>
  <c r="S311" i="16"/>
  <c r="AD216" i="13"/>
  <c r="AD313" i="13"/>
  <c r="G184" i="11"/>
  <c r="D116" i="13"/>
  <c r="D164" i="13"/>
  <c r="D86" i="13"/>
  <c r="L169" i="14"/>
  <c r="L185" i="14"/>
  <c r="Q184" i="15"/>
  <c r="AD184" i="11"/>
  <c r="X168" i="11"/>
  <c r="X184" i="11"/>
  <c r="Y167" i="11"/>
  <c r="Y183" i="11"/>
  <c r="H103" i="17"/>
  <c r="H229" i="17"/>
  <c r="T167" i="12"/>
  <c r="Y167" i="14"/>
  <c r="H184" i="20"/>
  <c r="Q172" i="10"/>
  <c r="U117" i="12"/>
  <c r="U165" i="12"/>
  <c r="AE216" i="15"/>
  <c r="AE313" i="15"/>
  <c r="G90" i="15"/>
  <c r="G219" i="15"/>
  <c r="G33" i="15" s="1"/>
  <c r="G35" i="15" s="1"/>
  <c r="G41" i="15" s="1"/>
  <c r="R87" i="15"/>
  <c r="O102" i="15"/>
  <c r="O228" i="15"/>
  <c r="O244" i="15" s="1"/>
  <c r="N88" i="15"/>
  <c r="AL102" i="10"/>
  <c r="AL99" i="10"/>
  <c r="AL103" i="10"/>
  <c r="AL104" i="10"/>
  <c r="AL120" i="10" s="1"/>
  <c r="AL247" i="10" s="1"/>
  <c r="AL100" i="10"/>
  <c r="AL97" i="10"/>
  <c r="AL106" i="10"/>
  <c r="AL122" i="10" s="1"/>
  <c r="AL249" i="10" s="1"/>
  <c r="AL101" i="10"/>
  <c r="AL96" i="10"/>
  <c r="AL98" i="10"/>
  <c r="AL105" i="10"/>
  <c r="AL121" i="10" s="1"/>
  <c r="AL248" i="10" s="1"/>
  <c r="K215" i="14"/>
  <c r="K295" i="14" s="1"/>
  <c r="K104" i="14"/>
  <c r="J88" i="14"/>
  <c r="W217" i="12"/>
  <c r="W218" i="12"/>
  <c r="B215" i="12"/>
  <c r="B312" i="12"/>
  <c r="L117" i="15"/>
  <c r="L165" i="15"/>
  <c r="M117" i="15"/>
  <c r="M165" i="15"/>
  <c r="N216" i="15"/>
  <c r="N313" i="15"/>
  <c r="D185" i="14"/>
  <c r="E116" i="17"/>
  <c r="E164" i="17"/>
  <c r="K242" i="16"/>
  <c r="P184" i="14"/>
  <c r="C101" i="17"/>
  <c r="C227" i="17"/>
  <c r="H121" i="15"/>
  <c r="H116" i="16"/>
  <c r="H164" i="16"/>
  <c r="K88" i="15"/>
  <c r="AC185" i="10"/>
  <c r="L117" i="14"/>
  <c r="L244" i="14" s="1"/>
  <c r="L165" i="14"/>
  <c r="D242" i="13"/>
  <c r="Y117" i="13"/>
  <c r="Y165" i="13"/>
  <c r="U185" i="20"/>
  <c r="U170" i="20" s="1"/>
  <c r="F184" i="13"/>
  <c r="T186" i="19"/>
  <c r="T171" i="19" s="1"/>
  <c r="T170" i="19"/>
  <c r="D214" i="13"/>
  <c r="D311" i="13"/>
  <c r="N186" i="17"/>
  <c r="V86" i="13"/>
  <c r="X102" i="15"/>
  <c r="X228" i="15"/>
  <c r="I169" i="12"/>
  <c r="I185" i="12"/>
  <c r="K244" i="12"/>
  <c r="I118" i="16"/>
  <c r="I166" i="16"/>
  <c r="W90" i="12"/>
  <c r="P118" i="15"/>
  <c r="P166" i="15"/>
  <c r="Z185" i="16"/>
  <c r="G120" i="15"/>
  <c r="D311" i="14"/>
  <c r="Q186" i="16"/>
  <c r="N101" i="17"/>
  <c r="N227" i="17"/>
  <c r="N186" i="10"/>
  <c r="N171" i="10" s="1"/>
  <c r="AA91" i="13"/>
  <c r="AA234" i="13"/>
  <c r="AA219" i="13"/>
  <c r="AA33" i="13" s="1"/>
  <c r="AB230" i="11"/>
  <c r="AB327" i="11"/>
  <c r="AC117" i="13"/>
  <c r="AC165" i="13"/>
  <c r="C185" i="15"/>
  <c r="AI112" i="10"/>
  <c r="AI239" i="10" s="1"/>
  <c r="AI160" i="10"/>
  <c r="G117" i="13"/>
  <c r="G165" i="13"/>
  <c r="B186" i="19"/>
  <c r="B171" i="19" s="1"/>
  <c r="M168" i="19"/>
  <c r="M184" i="19"/>
  <c r="F118" i="17"/>
  <c r="F166" i="17"/>
  <c r="I185" i="16"/>
  <c r="I169" i="20"/>
  <c r="J87" i="17"/>
  <c r="AB169" i="17"/>
  <c r="R295" i="14"/>
  <c r="B102" i="13"/>
  <c r="B228" i="13"/>
  <c r="B244" i="13" s="1"/>
  <c r="B167" i="10"/>
  <c r="Y215" i="13"/>
  <c r="Y312" i="13"/>
  <c r="T120" i="13"/>
  <c r="T168" i="13"/>
  <c r="D184" i="20"/>
  <c r="J168" i="11"/>
  <c r="J184" i="11"/>
  <c r="E184" i="19"/>
  <c r="S185" i="19"/>
  <c r="O168" i="12"/>
  <c r="S167" i="13"/>
  <c r="S86" i="16"/>
  <c r="P169" i="20"/>
  <c r="P171" i="20" s="1"/>
  <c r="G167" i="11"/>
  <c r="N242" i="13"/>
  <c r="F186" i="19"/>
  <c r="F171" i="19" s="1"/>
  <c r="Y86" i="16"/>
  <c r="O101" i="17"/>
  <c r="O227" i="17"/>
  <c r="Y120" i="15"/>
  <c r="U244" i="12"/>
  <c r="L168" i="14"/>
  <c r="E101" i="17"/>
  <c r="E227" i="17"/>
  <c r="E243" i="17" s="1"/>
  <c r="Y102" i="12"/>
  <c r="Q312" i="12"/>
  <c r="Q215" i="12"/>
  <c r="I215" i="13"/>
  <c r="I312" i="13"/>
  <c r="X167" i="11"/>
  <c r="G230" i="12"/>
  <c r="G246" i="12" s="1"/>
  <c r="AD215" i="15"/>
  <c r="AD312" i="15"/>
  <c r="V214" i="16"/>
  <c r="V311" i="16"/>
  <c r="Y166" i="11"/>
  <c r="D214" i="15"/>
  <c r="D311" i="15"/>
  <c r="N186" i="15"/>
  <c r="R86" i="13"/>
  <c r="H167" i="20"/>
  <c r="Q170" i="10"/>
  <c r="AA186" i="19"/>
  <c r="AA171" i="19" s="1"/>
  <c r="G214" i="16"/>
  <c r="G311" i="16"/>
  <c r="AD214" i="16"/>
  <c r="AD311" i="16"/>
  <c r="H170" i="19"/>
  <c r="H186" i="19"/>
  <c r="H171" i="19" s="1"/>
  <c r="AA214" i="16"/>
  <c r="AA311" i="16"/>
  <c r="K186" i="12"/>
  <c r="T88" i="17"/>
  <c r="X117" i="15"/>
  <c r="X165" i="15"/>
  <c r="AC214" i="17"/>
  <c r="AC311" i="17"/>
  <c r="AE87" i="11"/>
  <c r="AE103" i="11" s="1"/>
  <c r="AA185" i="10"/>
  <c r="AA169" i="10" s="1"/>
  <c r="G87" i="13"/>
  <c r="D101" i="16"/>
  <c r="D227" i="16"/>
  <c r="S185" i="15"/>
  <c r="L102" i="13"/>
  <c r="L228" i="13"/>
  <c r="L244" i="13" s="1"/>
  <c r="P184" i="15"/>
  <c r="Y102" i="13"/>
  <c r="Y228" i="13"/>
  <c r="Y244" i="13" s="1"/>
  <c r="H311" i="14"/>
  <c r="AI118" i="10"/>
  <c r="AI245" i="10" s="1"/>
  <c r="AI166" i="10"/>
  <c r="S116" i="16"/>
  <c r="S164" i="16"/>
  <c r="I168" i="11"/>
  <c r="I184" i="11"/>
  <c r="T183" i="11"/>
  <c r="U185" i="15"/>
  <c r="L186" i="10"/>
  <c r="L171" i="10" s="1"/>
  <c r="T185" i="17"/>
  <c r="M102" i="15"/>
  <c r="M228" i="15"/>
  <c r="M244" i="15" s="1"/>
  <c r="AA233" i="13"/>
  <c r="AA90" i="13"/>
  <c r="AB87" i="11"/>
  <c r="AB103" i="11" s="1"/>
  <c r="AB119" i="11" s="1"/>
  <c r="O169" i="14"/>
  <c r="O185" i="14"/>
  <c r="W167" i="11"/>
  <c r="W183" i="11"/>
  <c r="C214" i="16"/>
  <c r="C311" i="16"/>
  <c r="U172" i="10"/>
  <c r="Q243" i="17"/>
  <c r="C102" i="13"/>
  <c r="C228" i="13"/>
  <c r="J80" i="12"/>
  <c r="I234" i="12"/>
  <c r="I219" i="12"/>
  <c r="I33" i="12" s="1"/>
  <c r="AA185" i="16"/>
  <c r="AD103" i="11"/>
  <c r="O185" i="20"/>
  <c r="O170" i="20" s="1"/>
  <c r="O169" i="20"/>
  <c r="AD231" i="11"/>
  <c r="AD328" i="11"/>
  <c r="P216" i="12"/>
  <c r="P313" i="12"/>
  <c r="Y87" i="13"/>
  <c r="T105" i="13"/>
  <c r="T231" i="13"/>
  <c r="U102" i="17"/>
  <c r="U228" i="17"/>
  <c r="U244" i="17" s="1"/>
  <c r="M103" i="13"/>
  <c r="M229" i="13"/>
  <c r="O120" i="16"/>
  <c r="O168" i="16"/>
  <c r="R116" i="16"/>
  <c r="R164" i="16"/>
  <c r="Q169" i="14"/>
  <c r="Q185" i="14"/>
  <c r="D242" i="16"/>
  <c r="N116" i="13"/>
  <c r="N164" i="13"/>
  <c r="AB118" i="16"/>
  <c r="AB166" i="16"/>
  <c r="Y311" i="16"/>
  <c r="Y214" i="16"/>
  <c r="W185" i="13"/>
  <c r="U102" i="12"/>
  <c r="AA116" i="16"/>
  <c r="AA164" i="16"/>
  <c r="Q88" i="12"/>
  <c r="O234" i="16"/>
  <c r="O91" i="16"/>
  <c r="O107" i="16" s="1"/>
  <c r="O219" i="16"/>
  <c r="O33" i="16" s="1"/>
  <c r="O35" i="16" s="1"/>
  <c r="O41" i="16" s="1"/>
  <c r="I87" i="13"/>
  <c r="V86" i="16"/>
  <c r="Y102" i="17"/>
  <c r="Y228" i="17"/>
  <c r="D86" i="15"/>
  <c r="B185" i="16"/>
  <c r="R311" i="13"/>
  <c r="R214" i="13"/>
  <c r="Z244" i="16"/>
  <c r="L96" i="14"/>
  <c r="L93" i="14"/>
  <c r="L207" i="14"/>
  <c r="K80" i="14"/>
  <c r="D184" i="17"/>
  <c r="D185" i="15"/>
  <c r="E112" i="12"/>
  <c r="E239" i="12" s="1"/>
  <c r="E160" i="12"/>
  <c r="E172" i="12" s="1"/>
  <c r="X119" i="12"/>
  <c r="X167" i="12"/>
  <c r="L98" i="14"/>
  <c r="L209" i="14"/>
  <c r="L289" i="14" s="1"/>
  <c r="K82" i="14"/>
  <c r="AB230" i="20"/>
  <c r="AB246" i="20" s="1"/>
  <c r="AB262" i="20" s="1"/>
  <c r="AB327" i="20"/>
  <c r="X102" i="17"/>
  <c r="X228" i="17"/>
  <c r="H185" i="17"/>
  <c r="C86" i="16"/>
  <c r="V88" i="12"/>
  <c r="V230" i="12"/>
  <c r="I185" i="14"/>
  <c r="AF230" i="11"/>
  <c r="AF327" i="11"/>
  <c r="Q102" i="16"/>
  <c r="Q228" i="16"/>
  <c r="O90" i="16"/>
  <c r="O233" i="16"/>
  <c r="V245" i="12"/>
  <c r="Z118" i="16"/>
  <c r="Z166" i="16"/>
  <c r="M160" i="14"/>
  <c r="M112" i="14"/>
  <c r="M239" i="14" s="1"/>
  <c r="M108" i="14"/>
  <c r="M23" i="14" s="1"/>
  <c r="AB312" i="14"/>
  <c r="J215" i="16"/>
  <c r="J312" i="16"/>
  <c r="T186" i="10"/>
  <c r="T171" i="10" s="1"/>
  <c r="T170" i="10"/>
  <c r="AI107" i="10"/>
  <c r="AI123" i="10" s="1"/>
  <c r="AI250" i="10" s="1"/>
  <c r="E242" i="13"/>
  <c r="W214" i="13"/>
  <c r="W311" i="13"/>
  <c r="Q117" i="17"/>
  <c r="Q165" i="17"/>
  <c r="V184" i="14"/>
  <c r="O117" i="15"/>
  <c r="O165" i="15"/>
  <c r="T216" i="15"/>
  <c r="T313" i="15"/>
  <c r="P230" i="12"/>
  <c r="P246" i="12" s="1"/>
  <c r="AD184" i="13"/>
  <c r="Q214" i="13"/>
  <c r="Q311" i="13"/>
  <c r="Q184" i="13"/>
  <c r="AB103" i="16"/>
  <c r="AB229" i="16"/>
  <c r="AB245" i="16" s="1"/>
  <c r="V183" i="11"/>
  <c r="V167" i="11" s="1"/>
  <c r="AD185" i="17"/>
  <c r="J102" i="17"/>
  <c r="J228" i="17"/>
  <c r="AB102" i="13"/>
  <c r="AB228" i="13"/>
  <c r="AB244" i="13" s="1"/>
  <c r="U215" i="13"/>
  <c r="U312" i="13"/>
  <c r="K186" i="17"/>
  <c r="Q183" i="11"/>
  <c r="E184" i="17"/>
  <c r="S216" i="15"/>
  <c r="S313" i="15"/>
  <c r="X170" i="19"/>
  <c r="P186" i="19"/>
  <c r="P171" i="19" s="1"/>
  <c r="U167" i="11"/>
  <c r="U183" i="11"/>
  <c r="X168" i="20"/>
  <c r="X184" i="20"/>
  <c r="V312" i="12"/>
  <c r="V215" i="12"/>
  <c r="X184" i="13"/>
  <c r="K217" i="14"/>
  <c r="K106" i="14"/>
  <c r="K122" i="14" s="1"/>
  <c r="K249" i="14" s="1"/>
  <c r="J90" i="14"/>
  <c r="V242" i="15"/>
  <c r="AF245" i="11"/>
  <c r="AF87" i="11"/>
  <c r="AF103" i="11" s="1"/>
  <c r="M229" i="12"/>
  <c r="M245" i="12" s="1"/>
  <c r="J185" i="10"/>
  <c r="R216" i="12"/>
  <c r="R313" i="12"/>
  <c r="AJ115" i="10"/>
  <c r="AJ242" i="10" s="1"/>
  <c r="AJ163" i="10"/>
  <c r="Q171" i="20"/>
  <c r="L216" i="17"/>
  <c r="L313" i="17"/>
  <c r="U101" i="15"/>
  <c r="U227" i="15"/>
  <c r="U243" i="15" s="1"/>
  <c r="W217" i="15"/>
  <c r="W218" i="15"/>
  <c r="V103" i="12"/>
  <c r="E214" i="13"/>
  <c r="E311" i="13"/>
  <c r="V185" i="13"/>
  <c r="E185" i="15"/>
  <c r="K99" i="14"/>
  <c r="K210" i="14"/>
  <c r="K290" i="14" s="1"/>
  <c r="J83" i="14"/>
  <c r="L184" i="16"/>
  <c r="G184" i="12"/>
  <c r="G168" i="12" s="1"/>
  <c r="AI116" i="10"/>
  <c r="AI243" i="10" s="1"/>
  <c r="AI164" i="10"/>
  <c r="P185" i="11"/>
  <c r="P170" i="11" s="1"/>
  <c r="P169" i="11"/>
  <c r="D101" i="13"/>
  <c r="D227" i="13"/>
  <c r="D243" i="13" s="1"/>
  <c r="P89" i="12"/>
  <c r="P105" i="12" s="1"/>
  <c r="L296" i="14"/>
  <c r="L312" i="14"/>
  <c r="G185" i="19"/>
  <c r="D116" i="16"/>
  <c r="D164" i="16"/>
  <c r="AD169" i="10"/>
  <c r="AD185" i="10"/>
  <c r="K101" i="13"/>
  <c r="K227" i="13"/>
  <c r="X172" i="19"/>
  <c r="AB186" i="13"/>
  <c r="J117" i="17"/>
  <c r="J165" i="17"/>
  <c r="AC312" i="14"/>
  <c r="AC296" i="14" s="1"/>
  <c r="B118" i="17"/>
  <c r="B166" i="17"/>
  <c r="V101" i="15"/>
  <c r="V227" i="15"/>
  <c r="L185" i="17"/>
  <c r="Z186" i="13"/>
  <c r="H118" i="17"/>
  <c r="H166" i="17"/>
  <c r="AI114" i="10"/>
  <c r="AI241" i="10" s="1"/>
  <c r="AI162" i="10"/>
  <c r="W86" i="13"/>
  <c r="V102" i="17"/>
  <c r="V228" i="17"/>
  <c r="T88" i="15"/>
  <c r="P120" i="12"/>
  <c r="P168" i="12"/>
  <c r="S185" i="17"/>
  <c r="L117" i="13"/>
  <c r="L165" i="13"/>
  <c r="AJ184" i="10"/>
  <c r="AB186" i="10"/>
  <c r="AB171" i="10" s="1"/>
  <c r="AB170" i="10"/>
  <c r="AA86" i="17"/>
  <c r="L183" i="20"/>
  <c r="AE184" i="12"/>
  <c r="D184" i="12"/>
  <c r="S88" i="15"/>
  <c r="AE118" i="11"/>
  <c r="AE166" i="11"/>
  <c r="Q87" i="17"/>
  <c r="AA101" i="17"/>
  <c r="AA227" i="17"/>
  <c r="G170" i="10"/>
  <c r="G186" i="10"/>
  <c r="G171" i="10" s="1"/>
  <c r="M103" i="17"/>
  <c r="M229" i="17"/>
  <c r="J186" i="15"/>
  <c r="I102" i="13"/>
  <c r="I228" i="13"/>
  <c r="M119" i="12"/>
  <c r="M167" i="12"/>
  <c r="R231" i="12"/>
  <c r="R247" i="12" s="1"/>
  <c r="R89" i="12"/>
  <c r="R105" i="12" s="1"/>
  <c r="R121" i="12" s="1"/>
  <c r="AJ112" i="10"/>
  <c r="AJ239" i="10" s="1"/>
  <c r="AJ160" i="10"/>
  <c r="L88" i="17"/>
  <c r="W89" i="15"/>
  <c r="AB215" i="15"/>
  <c r="AB312" i="15"/>
  <c r="K100" i="14"/>
  <c r="K211" i="14"/>
  <c r="K291" i="14" s="1"/>
  <c r="J84" i="14"/>
  <c r="E86" i="13"/>
  <c r="E168" i="15"/>
  <c r="M219" i="14"/>
  <c r="M33" i="14" s="1"/>
  <c r="M35" i="14" s="1"/>
  <c r="M41" i="14" s="1"/>
  <c r="M287" i="14"/>
  <c r="K242" i="17"/>
  <c r="AG185" i="14"/>
  <c r="AG169" i="14"/>
  <c r="I233" i="12"/>
  <c r="I249" i="12" s="1"/>
  <c r="I91" i="12"/>
  <c r="I107" i="12" s="1"/>
  <c r="I123" i="12" s="1"/>
  <c r="Y117" i="12"/>
  <c r="Y244" i="12" s="1"/>
  <c r="Y165" i="12"/>
  <c r="AD88" i="11"/>
  <c r="AD104" i="11" s="1"/>
  <c r="AD120" i="11" s="1"/>
  <c r="Q86" i="13"/>
  <c r="U87" i="13"/>
  <c r="AE184" i="10"/>
  <c r="D185" i="19"/>
  <c r="J87" i="16"/>
  <c r="P117" i="16"/>
  <c r="P165" i="16"/>
  <c r="X117" i="17"/>
  <c r="X165" i="17"/>
  <c r="B103" i="17"/>
  <c r="B229" i="17"/>
  <c r="B245" i="17" s="1"/>
  <c r="W116" i="13"/>
  <c r="W164" i="13"/>
  <c r="O116" i="13"/>
  <c r="O164" i="13"/>
  <c r="D86" i="17"/>
  <c r="C118" i="12"/>
  <c r="C166" i="12"/>
  <c r="Y234" i="15"/>
  <c r="Y91" i="15"/>
  <c r="Z185" i="10"/>
  <c r="B313" i="14"/>
  <c r="M215" i="15"/>
  <c r="M312" i="15"/>
  <c r="N88" i="16"/>
  <c r="L215" i="13"/>
  <c r="L312" i="13"/>
  <c r="E116" i="13"/>
  <c r="E164" i="13"/>
  <c r="L215" i="15"/>
  <c r="L312" i="15"/>
  <c r="O296" i="14"/>
  <c r="O312" i="14"/>
  <c r="W185" i="16"/>
  <c r="J107" i="14"/>
  <c r="J123" i="14" s="1"/>
  <c r="J250" i="14" s="1"/>
  <c r="J218" i="14"/>
  <c r="I91" i="14"/>
  <c r="C215" i="13"/>
  <c r="C312" i="13"/>
  <c r="AJ167" i="10"/>
  <c r="L216" i="16"/>
  <c r="L313" i="16"/>
  <c r="I313" i="17"/>
  <c r="I216" i="17"/>
  <c r="AA311" i="17"/>
  <c r="AA214" i="17"/>
  <c r="L166" i="20"/>
  <c r="G185" i="14"/>
  <c r="J214" i="13"/>
  <c r="J311" i="13"/>
  <c r="AD215" i="17"/>
  <c r="AD312" i="17"/>
  <c r="C101" i="15"/>
  <c r="C227" i="15"/>
  <c r="C243" i="15" s="1"/>
  <c r="D167" i="12"/>
  <c r="Q102" i="17"/>
  <c r="Q228" i="17"/>
  <c r="AE244" i="11"/>
  <c r="AE260" i="11" s="1"/>
  <c r="Q215" i="17"/>
  <c r="Q312" i="17"/>
  <c r="AG172" i="10"/>
  <c r="G169" i="10"/>
  <c r="Q243" i="16"/>
  <c r="B117" i="15"/>
  <c r="B165" i="15"/>
  <c r="V116" i="15"/>
  <c r="V164" i="15"/>
  <c r="K172" i="10"/>
  <c r="U313" i="14"/>
  <c r="U298" i="14" s="1"/>
  <c r="W184" i="10"/>
  <c r="AJ117" i="10"/>
  <c r="AJ244" i="10" s="1"/>
  <c r="AJ165" i="10"/>
  <c r="Y87" i="12"/>
  <c r="W215" i="17"/>
  <c r="W312" i="17"/>
  <c r="AG230" i="11"/>
  <c r="AG327" i="11"/>
  <c r="AD295" i="14"/>
  <c r="AD311" i="14"/>
  <c r="C242" i="15"/>
  <c r="G101" i="17"/>
  <c r="G227" i="17"/>
  <c r="G243" i="17" s="1"/>
  <c r="L115" i="14"/>
  <c r="L242" i="14" s="1"/>
  <c r="L163" i="14"/>
  <c r="K116" i="17"/>
  <c r="K164" i="17"/>
  <c r="Y105" i="15"/>
  <c r="Y121" i="15" s="1"/>
  <c r="Y231" i="15"/>
  <c r="Y247" i="15" s="1"/>
  <c r="D214" i="17"/>
  <c r="D311" i="17"/>
  <c r="G105" i="15"/>
  <c r="G121" i="15" s="1"/>
  <c r="G231" i="15"/>
  <c r="Y233" i="15"/>
  <c r="Y90" i="15"/>
  <c r="M87" i="15"/>
  <c r="N216" i="16"/>
  <c r="N313" i="16"/>
  <c r="L87" i="15"/>
  <c r="L88" i="16"/>
  <c r="I88" i="17"/>
  <c r="Q185" i="17"/>
  <c r="B215" i="13"/>
  <c r="B312" i="13"/>
  <c r="P168" i="10"/>
  <c r="P184" i="10"/>
  <c r="T185" i="20"/>
  <c r="T170" i="20" s="1"/>
  <c r="Z172" i="11"/>
  <c r="S215" i="17"/>
  <c r="S312" i="17"/>
  <c r="K185" i="13"/>
  <c r="Q117" i="16"/>
  <c r="Q165" i="16"/>
  <c r="H185" i="14"/>
  <c r="O214" i="17"/>
  <c r="O311" i="17"/>
  <c r="AD315" i="20"/>
  <c r="AD314" i="20"/>
  <c r="AD39" i="20"/>
  <c r="X185" i="16"/>
  <c r="Q101" i="15"/>
  <c r="Q227" i="15"/>
  <c r="Q243" i="15" s="1"/>
  <c r="AJ118" i="10"/>
  <c r="AJ245" i="10" s="1"/>
  <c r="AJ166" i="10"/>
  <c r="Y214" i="12"/>
  <c r="Y311" i="12"/>
  <c r="Z184" i="12"/>
  <c r="W87" i="17"/>
  <c r="AG87" i="11"/>
  <c r="L116" i="14"/>
  <c r="L243" i="14" s="1"/>
  <c r="L164" i="14"/>
  <c r="C116" i="15"/>
  <c r="C164" i="15"/>
  <c r="N185" i="16"/>
  <c r="W168" i="14"/>
  <c r="W184" i="14"/>
  <c r="D101" i="17"/>
  <c r="D227" i="17"/>
  <c r="H168" i="11"/>
  <c r="H184" i="11"/>
  <c r="AC184" i="13"/>
  <c r="Q119" i="12"/>
  <c r="Q167" i="12"/>
  <c r="X168" i="16"/>
  <c r="H216" i="17"/>
  <c r="H313" i="17"/>
  <c r="P80" i="12"/>
  <c r="O234" i="12" s="1"/>
  <c r="X105" i="16"/>
  <c r="X121" i="16" s="1"/>
  <c r="X231" i="16"/>
  <c r="X247" i="16" s="1"/>
  <c r="AB169" i="19"/>
  <c r="AB185" i="19"/>
  <c r="X91" i="16"/>
  <c r="X234" i="16"/>
  <c r="Z87" i="13"/>
  <c r="L103" i="16"/>
  <c r="L229" i="16"/>
  <c r="L245" i="16" s="1"/>
  <c r="AJ113" i="10"/>
  <c r="AJ240" i="10" s="1"/>
  <c r="AJ161" i="10"/>
  <c r="AI167" i="10"/>
  <c r="V117" i="17"/>
  <c r="V165" i="17"/>
  <c r="V242" i="13"/>
  <c r="X313" i="14"/>
  <c r="X298" i="14" s="1"/>
  <c r="U87" i="17"/>
  <c r="R185" i="17"/>
  <c r="Z116" i="17"/>
  <c r="Z164" i="17"/>
  <c r="AC185" i="14"/>
  <c r="AC169" i="14"/>
  <c r="T104" i="12"/>
  <c r="T120" i="12" s="1"/>
  <c r="H185" i="12"/>
  <c r="O215" i="15"/>
  <c r="O312" i="15"/>
  <c r="S214" i="12"/>
  <c r="S311" i="12"/>
  <c r="M216" i="17"/>
  <c r="M313" i="17"/>
  <c r="P185" i="17"/>
  <c r="N230" i="12"/>
  <c r="N246" i="12" s="1"/>
  <c r="M113" i="14"/>
  <c r="M240" i="14" s="1"/>
  <c r="M161" i="14"/>
  <c r="AB117" i="13"/>
  <c r="AB165" i="13"/>
  <c r="AJ116" i="10"/>
  <c r="AJ243" i="10" s="1"/>
  <c r="AJ164" i="10"/>
  <c r="P105" i="17"/>
  <c r="P121" i="17" s="1"/>
  <c r="P231" i="17"/>
  <c r="P247" i="17" s="1"/>
  <c r="Z183" i="11"/>
  <c r="AB168" i="19"/>
  <c r="X233" i="16"/>
  <c r="X90" i="16"/>
  <c r="S185" i="14"/>
  <c r="S169" i="14" s="1"/>
  <c r="G101" i="16"/>
  <c r="G227" i="16"/>
  <c r="E185" i="20"/>
  <c r="E170" i="20" s="1"/>
  <c r="AC215" i="13"/>
  <c r="AC312" i="13"/>
  <c r="W119" i="16"/>
  <c r="W167" i="16"/>
  <c r="S184" i="20"/>
  <c r="U215" i="17"/>
  <c r="U312" i="17"/>
  <c r="G185" i="16"/>
  <c r="AC184" i="16"/>
  <c r="K244" i="15"/>
  <c r="K86" i="17"/>
  <c r="C184" i="14"/>
  <c r="AC102" i="13"/>
  <c r="AC228" i="13"/>
  <c r="AC244" i="13" s="1"/>
  <c r="X215" i="17"/>
  <c r="X312" i="17"/>
  <c r="T184" i="15"/>
  <c r="H250" i="15"/>
  <c r="B184" i="14"/>
  <c r="B185" i="12"/>
  <c r="P216" i="15"/>
  <c r="P313" i="15"/>
  <c r="P103" i="15"/>
  <c r="P229" i="15"/>
  <c r="P245" i="15" s="1"/>
  <c r="X243" i="13"/>
  <c r="S168" i="10"/>
  <c r="S184" i="10"/>
  <c r="G102" i="13"/>
  <c r="G228" i="13"/>
  <c r="G244" i="13" s="1"/>
  <c r="W117" i="17"/>
  <c r="W165" i="17"/>
  <c r="L102" i="15"/>
  <c r="L228" i="15"/>
  <c r="L244" i="15" s="1"/>
  <c r="K118" i="15"/>
  <c r="K166" i="15"/>
  <c r="U101" i="16"/>
  <c r="U227" i="16"/>
  <c r="U243" i="16" s="1"/>
  <c r="P89" i="13"/>
  <c r="AE217" i="13"/>
  <c r="AE218" i="13"/>
  <c r="AE234" i="13" s="1"/>
  <c r="M172" i="10"/>
  <c r="J185" i="17"/>
  <c r="AC215" i="16"/>
  <c r="AC312" i="16"/>
  <c r="V116" i="13"/>
  <c r="V164" i="13"/>
  <c r="X296" i="14"/>
  <c r="L228" i="12"/>
  <c r="L244" i="12" s="1"/>
  <c r="AH185" i="14"/>
  <c r="AH169" i="14" s="1"/>
  <c r="Y172" i="19"/>
  <c r="Q312" i="14"/>
  <c r="O87" i="15"/>
  <c r="S87" i="12"/>
  <c r="S103" i="12" s="1"/>
  <c r="AL184" i="10"/>
  <c r="N184" i="19"/>
  <c r="Y185" i="17"/>
  <c r="J312" i="14"/>
  <c r="M88" i="17"/>
  <c r="P168" i="17"/>
  <c r="AE184" i="11"/>
  <c r="M184" i="20"/>
  <c r="M168" i="20" s="1"/>
  <c r="C171" i="11"/>
  <c r="AG184" i="11"/>
  <c r="AC116" i="17"/>
  <c r="AC164" i="17"/>
  <c r="AJ107" i="10"/>
  <c r="AJ123" i="10" s="1"/>
  <c r="AJ250" i="10" s="1"/>
  <c r="X215" i="15"/>
  <c r="X312" i="15"/>
  <c r="S312" i="14"/>
  <c r="AF169" i="14"/>
  <c r="AF185" i="14"/>
  <c r="V185" i="16"/>
  <c r="AB185" i="14"/>
  <c r="AB169" i="14"/>
  <c r="R216" i="17"/>
  <c r="R313" i="17"/>
  <c r="I102" i="15"/>
  <c r="I228" i="15"/>
  <c r="Z102" i="13"/>
  <c r="Z228" i="13"/>
  <c r="Z244" i="13" s="1"/>
  <c r="K186" i="19"/>
  <c r="K171" i="19" s="1"/>
  <c r="K105" i="14"/>
  <c r="K121" i="14" s="1"/>
  <c r="K248" i="14" s="1"/>
  <c r="K216" i="14"/>
  <c r="J89" i="14"/>
  <c r="O185" i="13"/>
  <c r="S234" i="13"/>
  <c r="S91" i="13"/>
  <c r="S107" i="13" s="1"/>
  <c r="S123" i="13" s="1"/>
  <c r="S219" i="13"/>
  <c r="S33" i="13" s="1"/>
  <c r="L102" i="14"/>
  <c r="L213" i="14"/>
  <c r="L293" i="14" s="1"/>
  <c r="K86" i="14"/>
  <c r="L118" i="12"/>
  <c r="L166" i="12"/>
  <c r="J243" i="16"/>
  <c r="D242" i="15"/>
  <c r="G242" i="16"/>
  <c r="M167" i="20"/>
  <c r="B243" i="13"/>
  <c r="X87" i="15"/>
  <c r="AF168" i="14"/>
  <c r="I243" i="13"/>
  <c r="X184" i="15"/>
  <c r="C185" i="13"/>
  <c r="R88" i="17"/>
  <c r="R169" i="12"/>
  <c r="R185" i="12"/>
  <c r="X120" i="16"/>
  <c r="H169" i="15"/>
  <c r="AB168" i="20"/>
  <c r="AB184" i="20"/>
  <c r="AB185" i="15"/>
  <c r="P102" i="16"/>
  <c r="P228" i="16"/>
  <c r="E214" i="16"/>
  <c r="E311" i="16"/>
  <c r="V86" i="15"/>
  <c r="AA312" i="14"/>
  <c r="AH297" i="14"/>
  <c r="AH313" i="14"/>
  <c r="AH298" i="14" s="1"/>
  <c r="T101" i="16"/>
  <c r="T227" i="16"/>
  <c r="T243" i="16" s="1"/>
  <c r="S102" i="17"/>
  <c r="S228" i="17"/>
  <c r="D184" i="13"/>
  <c r="AC184" i="15"/>
  <c r="M88" i="13"/>
  <c r="H167" i="11"/>
  <c r="AC242" i="17"/>
  <c r="Z167" i="20"/>
  <c r="H88" i="17"/>
  <c r="AC184" i="12"/>
  <c r="H249" i="15"/>
  <c r="T186" i="14"/>
  <c r="T171" i="14" s="1"/>
  <c r="U184" i="14"/>
  <c r="S167" i="20"/>
  <c r="R168" i="14"/>
  <c r="R184" i="14"/>
  <c r="E86" i="16"/>
  <c r="K103" i="15"/>
  <c r="K229" i="15"/>
  <c r="I232" i="12"/>
  <c r="I248" i="12" s="1"/>
  <c r="L118" i="17"/>
  <c r="L166" i="17"/>
  <c r="AF185" i="10"/>
  <c r="AF169" i="10" s="1"/>
  <c r="N214" i="13"/>
  <c r="N311" i="13"/>
  <c r="S101" i="16"/>
  <c r="S227" i="16"/>
  <c r="S243" i="16" s="1"/>
  <c r="P312" i="14"/>
  <c r="L185" i="12"/>
  <c r="AA167" i="20"/>
  <c r="AA183" i="20"/>
  <c r="C169" i="20"/>
  <c r="F185" i="14"/>
  <c r="N86" i="13"/>
  <c r="M186" i="15"/>
  <c r="S90" i="13"/>
  <c r="M118" i="14"/>
  <c r="M245" i="14" s="1"/>
  <c r="M166" i="14"/>
  <c r="H185" i="16"/>
  <c r="AC117" i="16"/>
  <c r="AC165" i="16"/>
  <c r="H172" i="10"/>
  <c r="F313" i="12"/>
  <c r="F216" i="12"/>
  <c r="Y168" i="10"/>
  <c r="Y184" i="10"/>
  <c r="D116" i="15"/>
  <c r="D164" i="15"/>
  <c r="G116" i="16"/>
  <c r="G164" i="16"/>
  <c r="AD185" i="14"/>
  <c r="AD169" i="14" s="1"/>
  <c r="AA231" i="11"/>
  <c r="AA328" i="11"/>
  <c r="Y185" i="16"/>
  <c r="B117" i="13"/>
  <c r="B165" i="13"/>
  <c r="I117" i="13"/>
  <c r="I165" i="13"/>
  <c r="E101" i="13"/>
  <c r="E227" i="13"/>
  <c r="E243" i="13" s="1"/>
  <c r="Y215" i="17"/>
  <c r="Y312" i="17"/>
  <c r="H186" i="15"/>
  <c r="H171" i="15" s="1"/>
  <c r="AB167" i="20"/>
  <c r="L87" i="13"/>
  <c r="H106" i="15"/>
  <c r="H122" i="15" s="1"/>
  <c r="H232" i="15"/>
  <c r="H248" i="15" s="1"/>
  <c r="N86" i="17"/>
  <c r="AB87" i="13"/>
  <c r="J101" i="15"/>
  <c r="J227" i="15"/>
  <c r="K119" i="14"/>
  <c r="K246" i="14" s="1"/>
  <c r="K167" i="14"/>
  <c r="E101" i="16"/>
  <c r="E227" i="16"/>
  <c r="K169" i="19"/>
  <c r="K214" i="17"/>
  <c r="K311" i="17"/>
  <c r="Z103" i="16"/>
  <c r="Z229" i="16"/>
  <c r="Z245" i="16" s="1"/>
  <c r="Q101" i="13"/>
  <c r="Q227" i="13"/>
  <c r="Q243" i="13" s="1"/>
  <c r="AI168" i="10"/>
  <c r="AI184" i="10"/>
  <c r="G168" i="15"/>
  <c r="G184" i="15"/>
  <c r="R184" i="20"/>
  <c r="O105" i="16"/>
  <c r="O231" i="16"/>
  <c r="O247" i="16" s="1"/>
  <c r="T233" i="13"/>
  <c r="T90" i="13"/>
  <c r="O91" i="12"/>
  <c r="J102" i="16"/>
  <c r="J228" i="16"/>
  <c r="F183" i="11"/>
  <c r="S185" i="16"/>
  <c r="E168" i="20"/>
  <c r="X87" i="17"/>
  <c r="AM294" i="10"/>
  <c r="AM298" i="10"/>
  <c r="AM287" i="10"/>
  <c r="AM291" i="10"/>
  <c r="AM295" i="10"/>
  <c r="AM288" i="10"/>
  <c r="AM292" i="10"/>
  <c r="AM289" i="10"/>
  <c r="AM296" i="10"/>
  <c r="AM290" i="10"/>
  <c r="AM293" i="10"/>
  <c r="AM297" i="10"/>
  <c r="AA101" i="16"/>
  <c r="AA227" i="16"/>
  <c r="AA243" i="16" s="1"/>
  <c r="C214" i="12"/>
  <c r="C311" i="12"/>
  <c r="F312" i="13"/>
  <c r="F215" i="13"/>
  <c r="G116" i="17"/>
  <c r="G164" i="17"/>
  <c r="P88" i="15"/>
  <c r="B167" i="11"/>
  <c r="B183" i="11"/>
  <c r="AE185" i="14"/>
  <c r="AE169" i="14"/>
  <c r="AA120" i="13"/>
  <c r="AA116" i="17"/>
  <c r="AA164" i="17"/>
  <c r="X117" i="13"/>
  <c r="X165" i="13"/>
  <c r="P119" i="13"/>
  <c r="P167" i="13"/>
  <c r="O101" i="13"/>
  <c r="O227" i="13"/>
  <c r="O243" i="13" s="1"/>
  <c r="V215" i="17"/>
  <c r="V312" i="17"/>
  <c r="R244" i="17"/>
  <c r="P217" i="13"/>
  <c r="P218" i="13"/>
  <c r="R101" i="16"/>
  <c r="R227" i="16"/>
  <c r="G311" i="14"/>
  <c r="B245" i="16"/>
  <c r="R186" i="10"/>
  <c r="R171" i="10" s="1"/>
  <c r="R243" i="15"/>
  <c r="C87" i="12"/>
  <c r="AE310" i="20"/>
  <c r="AE307" i="20"/>
  <c r="AE304" i="20"/>
  <c r="AE312" i="20"/>
  <c r="AE309" i="20"/>
  <c r="AE306" i="20"/>
  <c r="AE305" i="20"/>
  <c r="AE308" i="20"/>
  <c r="AE302" i="20"/>
  <c r="AE303" i="20"/>
  <c r="AE311" i="20"/>
  <c r="AE313" i="20"/>
  <c r="F87" i="13"/>
  <c r="F246" i="12"/>
  <c r="B166" i="11"/>
  <c r="Z185" i="19"/>
  <c r="V185" i="17"/>
  <c r="S103" i="15"/>
  <c r="S229" i="15"/>
  <c r="T216" i="12"/>
  <c r="T313" i="12"/>
  <c r="F242" i="16"/>
  <c r="X102" i="13"/>
  <c r="X228" i="13"/>
  <c r="X244" i="13" s="1"/>
  <c r="Y243" i="17"/>
  <c r="M118" i="16"/>
  <c r="M166" i="16"/>
  <c r="V87" i="17"/>
  <c r="R118" i="17"/>
  <c r="R166" i="17"/>
  <c r="Q116" i="15"/>
  <c r="Q164" i="15"/>
  <c r="C214" i="17"/>
  <c r="C311" i="17"/>
  <c r="S117" i="17"/>
  <c r="S165" i="17"/>
  <c r="C168" i="10"/>
  <c r="C184" i="10"/>
  <c r="P295" i="14"/>
  <c r="B119" i="16"/>
  <c r="B167" i="16"/>
  <c r="R169" i="10"/>
  <c r="R117" i="15"/>
  <c r="R165" i="15"/>
  <c r="C242" i="17"/>
  <c r="N118" i="15"/>
  <c r="N166" i="15"/>
  <c r="F120" i="12"/>
  <c r="F168" i="12"/>
  <c r="Z168" i="19"/>
  <c r="J185" i="20"/>
  <c r="J170" i="20" s="1"/>
  <c r="T89" i="12"/>
  <c r="T231" i="12"/>
  <c r="T247" i="12" s="1"/>
  <c r="H215" i="12"/>
  <c r="H312" i="12"/>
  <c r="U184" i="19"/>
  <c r="C86" i="17"/>
  <c r="O311" i="13"/>
  <c r="O214" i="13"/>
  <c r="R116" i="13"/>
  <c r="R164" i="13"/>
  <c r="AA166" i="20"/>
  <c r="AI14" i="10"/>
  <c r="AI15" i="10" s="1"/>
  <c r="AI19" i="10" s="1"/>
  <c r="AJ6" i="10"/>
  <c r="U117" i="13"/>
  <c r="U165" i="13"/>
  <c r="I185" i="10"/>
  <c r="Y242" i="16"/>
  <c r="H170" i="10"/>
  <c r="F231" i="12"/>
  <c r="F247" i="12" s="1"/>
  <c r="F89" i="12"/>
  <c r="F105" i="12" s="1"/>
  <c r="J117" i="16"/>
  <c r="J165" i="16"/>
  <c r="AE169" i="20"/>
  <c r="AE171" i="20" s="1"/>
  <c r="Y167" i="10"/>
  <c r="AA103" i="11"/>
  <c r="P185" i="16"/>
  <c r="AA246" i="11"/>
  <c r="AA88" i="11"/>
  <c r="AA104" i="11" s="1"/>
  <c r="AA120" i="11" s="1"/>
  <c r="Y168" i="20"/>
  <c r="Y184" i="20"/>
  <c r="AJ114" i="10"/>
  <c r="AJ241" i="10" s="1"/>
  <c r="AJ162" i="10"/>
  <c r="AG118" i="11"/>
  <c r="AG166" i="11"/>
  <c r="Q214" i="15"/>
  <c r="Q311" i="15"/>
  <c r="H185" i="13"/>
  <c r="V101" i="16"/>
  <c r="V227" i="16"/>
  <c r="V243" i="16" s="1"/>
  <c r="Y87" i="17"/>
  <c r="K214" i="12"/>
  <c r="K311" i="12"/>
  <c r="R102" i="15"/>
  <c r="R228" i="15"/>
  <c r="K185" i="15"/>
  <c r="I185" i="13"/>
  <c r="F116" i="16"/>
  <c r="F164" i="16"/>
  <c r="Y117" i="17"/>
  <c r="Y165" i="17"/>
  <c r="K101" i="17"/>
  <c r="K227" i="17"/>
  <c r="H88" i="12"/>
  <c r="R186" i="15"/>
  <c r="O184" i="11"/>
  <c r="B184" i="17"/>
  <c r="W184" i="12"/>
  <c r="W168" i="12"/>
  <c r="C214" i="15"/>
  <c r="C311" i="15"/>
  <c r="B216" i="17"/>
  <c r="B313" i="17"/>
  <c r="Q242" i="13"/>
  <c r="F107" i="15"/>
  <c r="F123" i="15" s="1"/>
  <c r="F250" i="15" s="1"/>
  <c r="F92" i="15"/>
  <c r="F12" i="15" s="1"/>
  <c r="F15" i="15" s="1"/>
  <c r="F46" i="15" s="1"/>
  <c r="H101" i="13"/>
  <c r="H227" i="13"/>
  <c r="H243" i="13" s="1"/>
  <c r="AA216" i="15"/>
  <c r="AA313" i="15"/>
  <c r="AF244" i="11"/>
  <c r="AF260" i="11" s="1"/>
  <c r="J185" i="12"/>
  <c r="U186" i="13"/>
  <c r="L103" i="17"/>
  <c r="L229" i="17"/>
  <c r="AB183" i="11"/>
  <c r="AG244" i="11"/>
  <c r="AG260" i="11" s="1"/>
  <c r="Q312" i="16"/>
  <c r="Q215" i="16"/>
  <c r="Q86" i="15"/>
  <c r="Z243" i="15"/>
  <c r="R101" i="13"/>
  <c r="R227" i="13"/>
  <c r="R243" i="13" s="1"/>
  <c r="N25" i="14"/>
  <c r="N28" i="14" s="1"/>
  <c r="N26" i="14" s="1"/>
  <c r="T186" i="16"/>
  <c r="F243" i="13"/>
  <c r="K87" i="12"/>
  <c r="W217" i="16"/>
  <c r="W218" i="16"/>
  <c r="Y313" i="14"/>
  <c r="Y298" i="14" s="1"/>
  <c r="R186" i="13"/>
  <c r="B87" i="13"/>
  <c r="P167" i="10"/>
  <c r="R185" i="19"/>
  <c r="R169" i="19"/>
  <c r="J168" i="12"/>
  <c r="J186" i="13"/>
  <c r="U214" i="12"/>
  <c r="U311" i="12"/>
  <c r="K183" i="20"/>
  <c r="K167" i="20"/>
  <c r="AF184" i="11"/>
  <c r="AB166" i="11"/>
  <c r="E86" i="17"/>
  <c r="P234" i="17"/>
  <c r="P91" i="17"/>
  <c r="P219" i="17"/>
  <c r="P33" i="17" s="1"/>
  <c r="P35" i="17" s="1"/>
  <c r="P41" i="17" s="1"/>
  <c r="Q87" i="16"/>
  <c r="U214" i="15"/>
  <c r="U311" i="15"/>
  <c r="E89" i="12"/>
  <c r="E231" i="12" s="1"/>
  <c r="E247" i="12" s="1"/>
  <c r="F117" i="13"/>
  <c r="F165" i="13"/>
  <c r="U185" i="17"/>
  <c r="AB216" i="16"/>
  <c r="AB313" i="16"/>
  <c r="P104" i="13"/>
  <c r="P230" i="13"/>
  <c r="J116" i="15"/>
  <c r="J164" i="15"/>
  <c r="H101" i="16"/>
  <c r="H227" i="16"/>
  <c r="H243" i="16" s="1"/>
  <c r="F103" i="17"/>
  <c r="F229" i="17"/>
  <c r="F245" i="17" s="1"/>
  <c r="Z117" i="13"/>
  <c r="Z165" i="13"/>
  <c r="U102" i="13"/>
  <c r="U228" i="13"/>
  <c r="D86" i="16"/>
  <c r="K86" i="13"/>
  <c r="Q116" i="13"/>
  <c r="Q164" i="13"/>
  <c r="N118" i="16"/>
  <c r="N166" i="16"/>
  <c r="I103" i="17"/>
  <c r="I229" i="17"/>
  <c r="I245" i="17" s="1"/>
  <c r="L186" i="15"/>
  <c r="AB233" i="17"/>
  <c r="M312" i="14"/>
  <c r="N242" i="17"/>
  <c r="AA184" i="17"/>
  <c r="I311" i="14"/>
  <c r="U87" i="12"/>
  <c r="U229" i="12" s="1"/>
  <c r="K166" i="20"/>
  <c r="B104" i="16"/>
  <c r="B230" i="16"/>
  <c r="E311" i="17"/>
  <c r="E214" i="17"/>
  <c r="P90" i="17"/>
  <c r="U86" i="15"/>
  <c r="E313" i="12"/>
  <c r="E216" i="12"/>
  <c r="F101" i="16"/>
  <c r="F227" i="16"/>
  <c r="F243" i="16" s="1"/>
  <c r="Z117" i="15"/>
  <c r="Z165" i="15"/>
  <c r="AA184" i="11"/>
  <c r="AA168" i="11" s="1"/>
  <c r="J242" i="13"/>
  <c r="AG312" i="14"/>
  <c r="R103" i="17"/>
  <c r="R229" i="17"/>
  <c r="R245" i="17" s="1"/>
  <c r="AB88" i="16"/>
  <c r="M169" i="11"/>
  <c r="S105" i="13"/>
  <c r="S231" i="13"/>
  <c r="S247" i="13" s="1"/>
  <c r="W184" i="19"/>
  <c r="U86" i="16"/>
  <c r="U116" i="16"/>
  <c r="U164" i="16"/>
  <c r="M216" i="13"/>
  <c r="M313" i="13"/>
  <c r="S87" i="17"/>
  <c r="T234" i="13"/>
  <c r="T91" i="13"/>
  <c r="T219" i="13"/>
  <c r="T33" i="13" s="1"/>
  <c r="K214" i="13"/>
  <c r="K311" i="13"/>
  <c r="Y116" i="16"/>
  <c r="Y164" i="16"/>
  <c r="AA184" i="13"/>
  <c r="E248" i="15"/>
  <c r="AE214" i="17"/>
  <c r="AE311" i="17"/>
  <c r="M295" i="14"/>
  <c r="K214" i="16"/>
  <c r="K311" i="16"/>
  <c r="K242" i="13"/>
  <c r="AB185" i="12"/>
  <c r="E120" i="12"/>
  <c r="E168" i="12"/>
  <c r="N89" i="12"/>
  <c r="N105" i="12" s="1"/>
  <c r="N121" i="12" s="1"/>
  <c r="B217" i="16"/>
  <c r="B218" i="16"/>
  <c r="M215" i="12"/>
  <c r="M312" i="12"/>
  <c r="F186" i="12"/>
  <c r="J116" i="13"/>
  <c r="J164" i="13"/>
  <c r="W184" i="20"/>
  <c r="M171" i="11"/>
  <c r="X169" i="10"/>
  <c r="X185" i="10"/>
  <c r="N185" i="14"/>
  <c r="N169" i="14" s="1"/>
  <c r="F169" i="20"/>
  <c r="F185" i="20"/>
  <c r="F170" i="20" s="1"/>
  <c r="H119" i="12"/>
  <c r="H167" i="12"/>
  <c r="O86" i="13"/>
  <c r="S185" i="12"/>
  <c r="E116" i="16"/>
  <c r="E164" i="16"/>
  <c r="AA169" i="19"/>
  <c r="G86" i="16"/>
  <c r="U116" i="15"/>
  <c r="U164" i="15"/>
  <c r="I87" i="15"/>
  <c r="C116" i="17"/>
  <c r="C164" i="17"/>
  <c r="H169" i="19"/>
  <c r="Q185" i="12"/>
  <c r="AA86" i="16"/>
  <c r="F168" i="20"/>
  <c r="F170" i="10"/>
  <c r="F186" i="10"/>
  <c r="F171" i="10" s="1"/>
  <c r="N185" i="13"/>
  <c r="W313" i="14"/>
  <c r="W298" i="14" s="1"/>
  <c r="AB184" i="16"/>
  <c r="G184" i="13"/>
  <c r="H229" i="12"/>
  <c r="H245" i="12" s="1"/>
  <c r="Q170" i="19"/>
  <c r="Q186" i="19"/>
  <c r="Q171" i="19" s="1"/>
  <c r="S183" i="11"/>
  <c r="C171" i="20"/>
  <c r="H116" i="13"/>
  <c r="H164" i="13"/>
  <c r="AK97" i="10"/>
  <c r="AK101" i="10"/>
  <c r="AK105" i="10"/>
  <c r="AK98" i="10"/>
  <c r="AK102" i="10"/>
  <c r="AK106" i="10"/>
  <c r="AK104" i="10"/>
  <c r="AK100" i="10"/>
  <c r="AK103" i="10"/>
  <c r="AK99" i="10"/>
  <c r="AK96" i="10"/>
  <c r="AM96" i="10" s="1"/>
  <c r="F185" i="16"/>
  <c r="X216" i="12"/>
  <c r="X313" i="12"/>
  <c r="N101" i="13"/>
  <c r="N227" i="13"/>
  <c r="N243" i="13" s="1"/>
  <c r="W167" i="12"/>
  <c r="K185" i="14"/>
  <c r="K169" i="14" s="1"/>
  <c r="Z101" i="17"/>
  <c r="Z227" i="17"/>
  <c r="Z243" i="17" s="1"/>
  <c r="J101" i="13"/>
  <c r="J227" i="13"/>
  <c r="C86" i="15"/>
  <c r="D214" i="16"/>
  <c r="D311" i="16"/>
  <c r="B88" i="17"/>
  <c r="AB106" i="17"/>
  <c r="AB21" i="17"/>
  <c r="AB232" i="17"/>
  <c r="AB248" i="17" s="1"/>
  <c r="AB92" i="17"/>
  <c r="AB12" i="17" s="1"/>
  <c r="M118" i="13"/>
  <c r="M166" i="13"/>
  <c r="AF118" i="11"/>
  <c r="AF166" i="11"/>
  <c r="G86" i="17"/>
  <c r="E185" i="16"/>
  <c r="AE313" i="14"/>
  <c r="AE298" i="14" s="1"/>
  <c r="Y184" i="12"/>
  <c r="AA231" i="20"/>
  <c r="AA247" i="20" s="1"/>
  <c r="AA263" i="20" s="1"/>
  <c r="AA328" i="20"/>
  <c r="I103" i="16"/>
  <c r="I229" i="16"/>
  <c r="I245" i="16" s="1"/>
  <c r="AD184" i="12"/>
  <c r="B184" i="13"/>
  <c r="I216" i="16"/>
  <c r="I313" i="16"/>
  <c r="W101" i="13"/>
  <c r="W227" i="13"/>
  <c r="W243" i="13" s="1"/>
  <c r="Z214" i="17"/>
  <c r="Z311" i="17"/>
  <c r="Z184" i="17"/>
  <c r="AA214" i="19"/>
  <c r="AA230" i="19" s="1"/>
  <c r="AA246" i="19" s="1"/>
  <c r="AA311" i="19"/>
  <c r="AE216" i="16"/>
  <c r="AE313" i="16"/>
  <c r="Q169" i="19"/>
  <c r="R167" i="11"/>
  <c r="R183" i="11"/>
  <c r="S166" i="11"/>
  <c r="F214" i="16"/>
  <c r="F311" i="16"/>
  <c r="J214" i="15"/>
  <c r="J311" i="15"/>
  <c r="M103" i="16"/>
  <c r="M229" i="16"/>
  <c r="X246" i="12"/>
  <c r="AB247" i="17"/>
  <c r="M88" i="16"/>
  <c r="W185" i="17"/>
  <c r="S118" i="12"/>
  <c r="S166" i="12"/>
  <c r="X89" i="12"/>
  <c r="X231" i="12"/>
  <c r="Z216" i="16"/>
  <c r="Z313" i="16"/>
  <c r="C184" i="17"/>
  <c r="G214" i="17"/>
  <c r="G311" i="17"/>
  <c r="B168" i="20"/>
  <c r="B184" i="20"/>
  <c r="AE296" i="14"/>
  <c r="O185" i="15"/>
  <c r="AA105" i="13"/>
  <c r="AA121" i="13" s="1"/>
  <c r="AA231" i="13"/>
  <c r="O116" i="17"/>
  <c r="O164" i="17"/>
  <c r="W104" i="16"/>
  <c r="W230" i="16"/>
  <c r="W246" i="16" s="1"/>
  <c r="I88" i="16"/>
  <c r="S244" i="15"/>
  <c r="N184" i="11"/>
  <c r="C117" i="13"/>
  <c r="C165" i="13"/>
  <c r="Z86" i="17"/>
  <c r="AA229" i="19"/>
  <c r="AA245" i="19" s="1"/>
  <c r="AJ14" i="10"/>
  <c r="AJ15" i="10" s="1"/>
  <c r="AJ19" i="10" s="1"/>
  <c r="AK6" i="10"/>
  <c r="R166" i="11"/>
  <c r="N103" i="15"/>
  <c r="N229" i="15"/>
  <c r="F86" i="16"/>
  <c r="J86" i="15"/>
  <c r="W168" i="15"/>
  <c r="W184" i="15"/>
  <c r="O219" i="12"/>
  <c r="O33" i="12" s="1"/>
  <c r="X104" i="12"/>
  <c r="P185" i="13"/>
  <c r="M216" i="16"/>
  <c r="M313" i="16"/>
  <c r="E169" i="11"/>
  <c r="E185" i="11"/>
  <c r="E170" i="11" s="1"/>
  <c r="AD184" i="16"/>
  <c r="F170" i="15"/>
  <c r="F186" i="15"/>
  <c r="Z88" i="16"/>
  <c r="L214" i="12"/>
  <c r="L311" i="12"/>
  <c r="L244" i="16"/>
  <c r="V185" i="10"/>
  <c r="AF297" i="14"/>
  <c r="AF313" i="14"/>
  <c r="AF298" i="14" s="1"/>
  <c r="C116" i="16"/>
  <c r="C164" i="16"/>
  <c r="AH186" i="10"/>
  <c r="AH171" i="10" s="1"/>
  <c r="B167" i="20"/>
  <c r="F312" i="14"/>
  <c r="G234" i="15"/>
  <c r="G91" i="15"/>
  <c r="R312" i="15"/>
  <c r="R215" i="15"/>
  <c r="L168" i="19"/>
  <c r="L184" i="19"/>
  <c r="K168" i="11"/>
  <c r="K184" i="11"/>
  <c r="G184" i="20"/>
  <c r="T216" i="17"/>
  <c r="T313" i="17"/>
  <c r="I243" i="15"/>
  <c r="O170" i="19"/>
  <c r="O186" i="19"/>
  <c r="O171" i="19" s="1"/>
  <c r="S118" i="15"/>
  <c r="S166" i="15"/>
  <c r="AC86" i="17"/>
  <c r="AE230" i="11"/>
  <c r="AE327" i="11"/>
  <c r="T244" i="15"/>
  <c r="R186" i="16"/>
  <c r="S242" i="16"/>
  <c r="C185" i="12"/>
  <c r="G312" i="13"/>
  <c r="G215" i="13"/>
  <c r="W167" i="15"/>
  <c r="O184" i="10"/>
  <c r="H214" i="16"/>
  <c r="H311" i="16"/>
  <c r="E168" i="11"/>
  <c r="B102" i="15"/>
  <c r="B228" i="15"/>
  <c r="B244" i="15" s="1"/>
  <c r="F169" i="15"/>
  <c r="R214" i="16"/>
  <c r="R311" i="16"/>
  <c r="T214" i="16"/>
  <c r="T311" i="16"/>
  <c r="L87" i="12"/>
  <c r="L103" i="12" s="1"/>
  <c r="H92" i="15"/>
  <c r="H12" i="15" s="1"/>
  <c r="H15" i="15" s="1"/>
  <c r="H46" i="15" s="1"/>
  <c r="L118" i="16"/>
  <c r="L166" i="16"/>
  <c r="Y184" i="13"/>
  <c r="AF296" i="14"/>
  <c r="AH169" i="10"/>
  <c r="AA167" i="13"/>
  <c r="N312" i="14"/>
  <c r="Y243" i="13"/>
  <c r="H214" i="13"/>
  <c r="H311" i="13"/>
  <c r="B215" i="15"/>
  <c r="B312" i="15"/>
  <c r="N116" i="17"/>
  <c r="N164" i="17"/>
  <c r="K86" i="16"/>
  <c r="M186" i="16"/>
  <c r="K116" i="13"/>
  <c r="K164" i="13"/>
  <c r="M185" i="14"/>
  <c r="M169" i="14" s="1"/>
  <c r="E230" i="12"/>
  <c r="E246" i="12" s="1"/>
  <c r="N216" i="12"/>
  <c r="N313" i="12"/>
  <c r="B89" i="16"/>
  <c r="M88" i="12"/>
  <c r="M104" i="12" s="1"/>
  <c r="AC184" i="19"/>
  <c r="AC168" i="19"/>
  <c r="W102" i="17"/>
  <c r="W228" i="17"/>
  <c r="W244" i="17" s="1"/>
  <c r="W167" i="20"/>
  <c r="AI117" i="10"/>
  <c r="AI244" i="10" s="1"/>
  <c r="AI165" i="10"/>
  <c r="J103" i="14"/>
  <c r="I87" i="14"/>
  <c r="J214" i="14"/>
  <c r="J294" i="14" s="1"/>
  <c r="Y185" i="15"/>
  <c r="W105" i="12"/>
  <c r="W121" i="12" s="1"/>
  <c r="C101" i="16"/>
  <c r="C227" i="16"/>
  <c r="C243" i="16" s="1"/>
  <c r="Z215" i="13"/>
  <c r="Z312" i="13"/>
  <c r="C87" i="13"/>
  <c r="AA186" i="12"/>
  <c r="E185" i="10"/>
  <c r="E169" i="10"/>
  <c r="W89" i="16"/>
  <c r="U214" i="16"/>
  <c r="U311" i="16"/>
  <c r="J86" i="13"/>
  <c r="AK185" i="10"/>
  <c r="E311" i="14"/>
  <c r="I186" i="19"/>
  <c r="I171" i="19" s="1"/>
  <c r="M118" i="17"/>
  <c r="M166" i="17"/>
  <c r="X185" i="12"/>
  <c r="N214" i="17"/>
  <c r="N311" i="17"/>
  <c r="D116" i="17"/>
  <c r="D164" i="17"/>
  <c r="T118" i="17"/>
  <c r="T166" i="17"/>
  <c r="M114" i="14"/>
  <c r="M241" i="14" s="1"/>
  <c r="M162" i="14"/>
  <c r="X168" i="10"/>
  <c r="V311" i="14"/>
  <c r="V311" i="15"/>
  <c r="V214" i="15"/>
  <c r="AI113" i="10"/>
  <c r="AI240" i="10" s="1"/>
  <c r="AI161" i="10"/>
  <c r="AB215" i="13"/>
  <c r="AB312" i="13"/>
  <c r="F102" i="13"/>
  <c r="F228" i="13"/>
  <c r="F244" i="13" s="1"/>
  <c r="AM101" i="10"/>
  <c r="AM98" i="10"/>
  <c r="AM102" i="10"/>
  <c r="AM103" i="10"/>
  <c r="AM97" i="10"/>
  <c r="AM99" i="10"/>
  <c r="AM104" i="10"/>
  <c r="Y168" i="15"/>
  <c r="J169" i="19"/>
  <c r="J185" i="19"/>
  <c r="H86" i="16"/>
  <c r="X184" i="14"/>
  <c r="X186" i="17"/>
  <c r="T116" i="16"/>
  <c r="T164" i="16"/>
  <c r="R86" i="16"/>
  <c r="T86" i="16"/>
  <c r="U185" i="12"/>
  <c r="H242" i="16"/>
  <c r="AG200" i="9"/>
  <c r="AG216" i="9"/>
  <c r="K313" i="15"/>
  <c r="K216" i="15"/>
  <c r="N103" i="16"/>
  <c r="N229" i="16"/>
  <c r="K212" i="14"/>
  <c r="K292" i="14" s="1"/>
  <c r="K101" i="14"/>
  <c r="J85" i="14"/>
  <c r="H86" i="13"/>
  <c r="Z168" i="14"/>
  <c r="B87" i="15"/>
  <c r="T169" i="19"/>
  <c r="V101" i="13"/>
  <c r="V227" i="13"/>
  <c r="D185" i="10"/>
  <c r="D169" i="10" s="1"/>
  <c r="V214" i="13"/>
  <c r="V311" i="13"/>
  <c r="P87" i="16"/>
  <c r="AG171" i="10"/>
  <c r="AB216" i="19"/>
  <c r="AB232" i="19" s="1"/>
  <c r="AB248" i="19" s="1"/>
  <c r="AB313" i="19"/>
  <c r="T312" i="14"/>
  <c r="T296" i="14" s="1"/>
  <c r="Z185" i="15"/>
  <c r="J185" i="14"/>
  <c r="K118" i="12"/>
  <c r="K166" i="12"/>
  <c r="I244" i="16"/>
  <c r="X215" i="13"/>
  <c r="X312" i="13"/>
  <c r="G216" i="12"/>
  <c r="G313" i="12"/>
  <c r="V185" i="15"/>
  <c r="H104" i="12" l="1"/>
  <c r="H230" i="12"/>
  <c r="H246" i="12" s="1"/>
  <c r="H215" i="13"/>
  <c r="H312" i="13"/>
  <c r="W118" i="17"/>
  <c r="W166" i="17"/>
  <c r="W105" i="16"/>
  <c r="W231" i="16"/>
  <c r="K103" i="12"/>
  <c r="K229" i="12"/>
  <c r="K245" i="12" s="1"/>
  <c r="F215" i="16"/>
  <c r="F312" i="16"/>
  <c r="J117" i="13"/>
  <c r="J165" i="13"/>
  <c r="D102" i="16"/>
  <c r="D228" i="16"/>
  <c r="D244" i="16" s="1"/>
  <c r="N217" i="16"/>
  <c r="N218" i="16"/>
  <c r="S186" i="15"/>
  <c r="B105" i="16"/>
  <c r="B231" i="16"/>
  <c r="AE231" i="11"/>
  <c r="AE328" i="11"/>
  <c r="J102" i="15"/>
  <c r="J228" i="15"/>
  <c r="AA232" i="20"/>
  <c r="AA248" i="20" s="1"/>
  <c r="AA264" i="20" s="1"/>
  <c r="AA233" i="20"/>
  <c r="AA249" i="20" s="1"/>
  <c r="AA265" i="20" s="1"/>
  <c r="G102" i="16"/>
  <c r="G228" i="16"/>
  <c r="G244" i="16" s="1"/>
  <c r="B234" i="16"/>
  <c r="B91" i="16"/>
  <c r="B107" i="16" s="1"/>
  <c r="B123" i="16" s="1"/>
  <c r="P106" i="17"/>
  <c r="P122" i="17" s="1"/>
  <c r="P232" i="17"/>
  <c r="P248" i="17" s="1"/>
  <c r="P92" i="17"/>
  <c r="P12" i="17" s="1"/>
  <c r="N169" i="19"/>
  <c r="N185" i="19"/>
  <c r="N168" i="19"/>
  <c r="F184" i="11"/>
  <c r="F167" i="11"/>
  <c r="F216" i="13"/>
  <c r="F313" i="13"/>
  <c r="P185" i="14"/>
  <c r="P168" i="14"/>
  <c r="U185" i="19"/>
  <c r="U169" i="19"/>
  <c r="U168" i="19"/>
  <c r="Q215" i="13"/>
  <c r="Q312" i="13"/>
  <c r="E90" i="12"/>
  <c r="E106" i="12" s="1"/>
  <c r="E232" i="12"/>
  <c r="V186" i="15"/>
  <c r="B103" i="15"/>
  <c r="B229" i="15"/>
  <c r="B245" i="15" s="1"/>
  <c r="AE246" i="11"/>
  <c r="AE88" i="11"/>
  <c r="AE104" i="11" s="1"/>
  <c r="AM117" i="10"/>
  <c r="AM244" i="10" s="1"/>
  <c r="AM165" i="10"/>
  <c r="U186" i="12"/>
  <c r="AB216" i="13"/>
  <c r="AB313" i="13"/>
  <c r="AK121" i="10"/>
  <c r="AK248" i="10" s="1"/>
  <c r="AM105" i="10"/>
  <c r="AK169" i="10"/>
  <c r="V88" i="17"/>
  <c r="E185" i="17"/>
  <c r="L219" i="14"/>
  <c r="L33" i="14" s="1"/>
  <c r="L35" i="14" s="1"/>
  <c r="L41" i="14" s="1"/>
  <c r="L287" i="14"/>
  <c r="AG103" i="11"/>
  <c r="AG245" i="11"/>
  <c r="AG261" i="11" s="1"/>
  <c r="O169" i="10"/>
  <c r="O185" i="10"/>
  <c r="O168" i="10"/>
  <c r="D186" i="10"/>
  <c r="D171" i="10" s="1"/>
  <c r="D170" i="10"/>
  <c r="P186" i="13"/>
  <c r="AA117" i="16"/>
  <c r="AA165" i="16"/>
  <c r="C102" i="15"/>
  <c r="C228" i="15"/>
  <c r="V117" i="13"/>
  <c r="V165" i="13"/>
  <c r="H102" i="13"/>
  <c r="H228" i="13"/>
  <c r="H244" i="13" s="1"/>
  <c r="Y88" i="17"/>
  <c r="T215" i="16"/>
  <c r="T312" i="16"/>
  <c r="U102" i="16"/>
  <c r="U228" i="16"/>
  <c r="J186" i="17"/>
  <c r="K313" i="14"/>
  <c r="K298" i="14" s="1"/>
  <c r="K296" i="14"/>
  <c r="G117" i="16"/>
  <c r="G165" i="16"/>
  <c r="N313" i="14"/>
  <c r="N298" i="14" s="1"/>
  <c r="N296" i="14"/>
  <c r="I103" i="15"/>
  <c r="I229" i="15"/>
  <c r="I245" i="15" s="1"/>
  <c r="F217" i="12"/>
  <c r="F218" i="12"/>
  <c r="E186" i="16"/>
  <c r="M89" i="16"/>
  <c r="H217" i="17"/>
  <c r="H218" i="17"/>
  <c r="T18" i="3"/>
  <c r="T35" i="13"/>
  <c r="T41" i="13" s="1"/>
  <c r="X185" i="15"/>
  <c r="X216" i="13"/>
  <c r="X313" i="13"/>
  <c r="H186" i="16"/>
  <c r="V117" i="16"/>
  <c r="V165" i="16"/>
  <c r="I186" i="10"/>
  <c r="I171" i="10" s="1"/>
  <c r="I169" i="10"/>
  <c r="J170" i="10"/>
  <c r="J186" i="10"/>
  <c r="J171" i="10" s="1"/>
  <c r="J169" i="10"/>
  <c r="AE218" i="15"/>
  <c r="AE234" i="15" s="1"/>
  <c r="AE217" i="15"/>
  <c r="G105" i="12"/>
  <c r="G121" i="12" s="1"/>
  <c r="G231" i="12"/>
  <c r="G247" i="12" s="1"/>
  <c r="B88" i="15"/>
  <c r="AK122" i="10"/>
  <c r="AK249" i="10" s="1"/>
  <c r="AM106" i="10"/>
  <c r="N90" i="12"/>
  <c r="N106" i="12" s="1"/>
  <c r="N122" i="12" s="1"/>
  <c r="E312" i="17"/>
  <c r="E215" i="17"/>
  <c r="T87" i="16"/>
  <c r="S121" i="13"/>
  <c r="S108" i="13"/>
  <c r="S23" i="13" s="1"/>
  <c r="S25" i="13" s="1"/>
  <c r="S28" i="13" s="1"/>
  <c r="S26" i="13" s="1"/>
  <c r="C103" i="12"/>
  <c r="C229" i="12"/>
  <c r="C245" i="12" s="1"/>
  <c r="U185" i="14"/>
  <c r="U168" i="14"/>
  <c r="AB217" i="16"/>
  <c r="AB218" i="16"/>
  <c r="L89" i="16"/>
  <c r="AA169" i="13"/>
  <c r="AA185" i="13"/>
  <c r="AA168" i="13"/>
  <c r="K117" i="17"/>
  <c r="K165" i="17"/>
  <c r="Q104" i="12"/>
  <c r="Q230" i="12"/>
  <c r="Q246" i="12" s="1"/>
  <c r="AM119" i="10"/>
  <c r="AM246" i="10" s="1"/>
  <c r="AM167" i="10"/>
  <c r="Z102" i="17"/>
  <c r="Z228" i="17"/>
  <c r="Q215" i="15"/>
  <c r="Q312" i="15"/>
  <c r="K87" i="17"/>
  <c r="S313" i="14"/>
  <c r="S298" i="14" s="1"/>
  <c r="S297" i="14"/>
  <c r="S296" i="14"/>
  <c r="C186" i="15"/>
  <c r="AB122" i="17"/>
  <c r="AB108" i="17"/>
  <c r="AB23" i="17" s="1"/>
  <c r="AB170" i="17"/>
  <c r="AB172" i="17" s="1"/>
  <c r="O107" i="12"/>
  <c r="O123" i="12" s="1"/>
  <c r="O250" i="12" s="1"/>
  <c r="O233" i="12"/>
  <c r="O249" i="12" s="1"/>
  <c r="S117" i="16"/>
  <c r="S165" i="16"/>
  <c r="R104" i="17"/>
  <c r="R230" i="17"/>
  <c r="R246" i="17" s="1"/>
  <c r="X120" i="12"/>
  <c r="X168" i="12"/>
  <c r="T89" i="17"/>
  <c r="AB104" i="16"/>
  <c r="AB230" i="16"/>
  <c r="U88" i="12"/>
  <c r="U230" i="12" s="1"/>
  <c r="AK116" i="10"/>
  <c r="AK243" i="10" s="1"/>
  <c r="AK164" i="10"/>
  <c r="AM100" i="10"/>
  <c r="AM112" i="10"/>
  <c r="AM239" i="10" s="1"/>
  <c r="AM160" i="10"/>
  <c r="N186" i="13"/>
  <c r="O185" i="11"/>
  <c r="O170" i="11" s="1"/>
  <c r="O168" i="11"/>
  <c r="S215" i="12"/>
  <c r="S312" i="12"/>
  <c r="O87" i="13"/>
  <c r="AB313" i="14"/>
  <c r="AB298" i="14" s="1"/>
  <c r="AB296" i="14"/>
  <c r="AM118" i="10"/>
  <c r="AM245" i="10" s="1"/>
  <c r="AM166" i="10"/>
  <c r="R119" i="17"/>
  <c r="R167" i="17"/>
  <c r="S119" i="15"/>
  <c r="S167" i="15"/>
  <c r="S18" i="3"/>
  <c r="S35" i="13"/>
  <c r="S41" i="13" s="1"/>
  <c r="I216" i="13"/>
  <c r="I313" i="13"/>
  <c r="H89" i="12"/>
  <c r="H105" i="12" s="1"/>
  <c r="H231" i="12"/>
  <c r="Z186" i="19"/>
  <c r="Z171" i="19" s="1"/>
  <c r="J243" i="15"/>
  <c r="X186" i="12"/>
  <c r="Z216" i="13"/>
  <c r="Z313" i="13"/>
  <c r="H87" i="13"/>
  <c r="H215" i="16"/>
  <c r="H312" i="16"/>
  <c r="V186" i="10"/>
  <c r="V171" i="10" s="1"/>
  <c r="V170" i="10"/>
  <c r="X247" i="12"/>
  <c r="AA215" i="19"/>
  <c r="AA231" i="19" s="1"/>
  <c r="AA247" i="19" s="1"/>
  <c r="AA312" i="19"/>
  <c r="AK118" i="10"/>
  <c r="AK245" i="10" s="1"/>
  <c r="AK166" i="10"/>
  <c r="M216" i="12"/>
  <c r="M313" i="12"/>
  <c r="K215" i="13"/>
  <c r="K312" i="13"/>
  <c r="B246" i="16"/>
  <c r="K102" i="13"/>
  <c r="K228" i="13"/>
  <c r="H117" i="13"/>
  <c r="H165" i="13"/>
  <c r="Q87" i="15"/>
  <c r="C215" i="17"/>
  <c r="C312" i="17"/>
  <c r="Z169" i="19"/>
  <c r="R170" i="10"/>
  <c r="R172" i="10" s="1"/>
  <c r="J117" i="15"/>
  <c r="J165" i="15"/>
  <c r="Y186" i="16"/>
  <c r="S106" i="13"/>
  <c r="S122" i="13" s="1"/>
  <c r="S232" i="13"/>
  <c r="S248" i="13" s="1"/>
  <c r="H104" i="17"/>
  <c r="H230" i="17"/>
  <c r="X103" i="15"/>
  <c r="X229" i="15"/>
  <c r="AG185" i="11"/>
  <c r="Q313" i="14"/>
  <c r="Q298" i="14" s="1"/>
  <c r="G186" i="16"/>
  <c r="Z103" i="13"/>
  <c r="Z229" i="13"/>
  <c r="T171" i="20"/>
  <c r="D215" i="17"/>
  <c r="D312" i="17"/>
  <c r="Q103" i="17"/>
  <c r="Q229" i="17"/>
  <c r="Q245" i="17" s="1"/>
  <c r="S186" i="17"/>
  <c r="V117" i="15"/>
  <c r="V165" i="15"/>
  <c r="J186" i="14"/>
  <c r="J171" i="14" s="1"/>
  <c r="F118" i="13"/>
  <c r="F166" i="13"/>
  <c r="Z88" i="13"/>
  <c r="N217" i="12"/>
  <c r="N218" i="12"/>
  <c r="H87" i="16"/>
  <c r="T217" i="17"/>
  <c r="T218" i="17"/>
  <c r="V169" i="10"/>
  <c r="I104" i="16"/>
  <c r="I230" i="16"/>
  <c r="I246" i="16" s="1"/>
  <c r="X105" i="12"/>
  <c r="AE297" i="14"/>
  <c r="J243" i="13"/>
  <c r="AK114" i="10"/>
  <c r="AK241" i="10" s="1"/>
  <c r="AK162" i="10"/>
  <c r="F172" i="10"/>
  <c r="S186" i="12"/>
  <c r="M89" i="12"/>
  <c r="M105" i="12" s="1"/>
  <c r="K87" i="13"/>
  <c r="B120" i="16"/>
  <c r="B168" i="16"/>
  <c r="R117" i="13"/>
  <c r="R165" i="13"/>
  <c r="T105" i="12"/>
  <c r="T121" i="12" s="1"/>
  <c r="C87" i="17"/>
  <c r="O121" i="16"/>
  <c r="O169" i="16"/>
  <c r="AB103" i="13"/>
  <c r="AB229" i="13"/>
  <c r="S233" i="13"/>
  <c r="E215" i="16"/>
  <c r="E312" i="16"/>
  <c r="K170" i="19"/>
  <c r="K172" i="19" s="1"/>
  <c r="Q296" i="14"/>
  <c r="U117" i="16"/>
  <c r="U165" i="16"/>
  <c r="B185" i="14"/>
  <c r="AC186" i="14"/>
  <c r="AC171" i="14" s="1"/>
  <c r="AC170" i="14"/>
  <c r="P185" i="10"/>
  <c r="D87" i="17"/>
  <c r="C117" i="15"/>
  <c r="C165" i="15"/>
  <c r="O297" i="14"/>
  <c r="O313" i="14"/>
  <c r="O298" i="14" s="1"/>
  <c r="D102" i="17"/>
  <c r="D228" i="17"/>
  <c r="Q102" i="13"/>
  <c r="Q228" i="13"/>
  <c r="W105" i="15"/>
  <c r="W231" i="15"/>
  <c r="W247" i="15" s="1"/>
  <c r="V119" i="12"/>
  <c r="V167" i="12"/>
  <c r="X185" i="13"/>
  <c r="AB118" i="13"/>
  <c r="AB166" i="13"/>
  <c r="V185" i="14"/>
  <c r="V169" i="14" s="1"/>
  <c r="Y87" i="16"/>
  <c r="T121" i="13"/>
  <c r="T169" i="13"/>
  <c r="C312" i="16"/>
  <c r="C215" i="16"/>
  <c r="AE119" i="11"/>
  <c r="AE167" i="11"/>
  <c r="R102" i="13"/>
  <c r="R228" i="13"/>
  <c r="S186" i="19"/>
  <c r="S171" i="19" s="1"/>
  <c r="S170" i="19"/>
  <c r="AC186" i="10"/>
  <c r="AC171" i="10" s="1"/>
  <c r="N89" i="15"/>
  <c r="AL119" i="10"/>
  <c r="AL246" i="10" s="1"/>
  <c r="AL167" i="10"/>
  <c r="R313" i="14"/>
  <c r="R298" i="14" s="1"/>
  <c r="W234" i="15"/>
  <c r="W91" i="15"/>
  <c r="W219" i="15"/>
  <c r="W33" i="15" s="1"/>
  <c r="W35" i="15" s="1"/>
  <c r="W41" i="15" s="1"/>
  <c r="V168" i="14"/>
  <c r="O106" i="16"/>
  <c r="O232" i="16"/>
  <c r="O248" i="16" s="1"/>
  <c r="L114" i="14"/>
  <c r="L241" i="14" s="1"/>
  <c r="L162" i="14"/>
  <c r="Y244" i="17"/>
  <c r="Y312" i="16"/>
  <c r="Y215" i="16"/>
  <c r="C87" i="16"/>
  <c r="AE245" i="11"/>
  <c r="AE261" i="11" s="1"/>
  <c r="E185" i="19"/>
  <c r="E169" i="19" s="1"/>
  <c r="N170" i="10"/>
  <c r="N172" i="10" s="1"/>
  <c r="AC169" i="10"/>
  <c r="AL115" i="10"/>
  <c r="AL242" i="10" s="1"/>
  <c r="AL163" i="10"/>
  <c r="H245" i="17"/>
  <c r="S215" i="16"/>
  <c r="S312" i="16"/>
  <c r="R296" i="14"/>
  <c r="T119" i="15"/>
  <c r="T167" i="15"/>
  <c r="W90" i="15"/>
  <c r="V89" i="12"/>
  <c r="V231" i="12"/>
  <c r="J244" i="17"/>
  <c r="Q244" i="16"/>
  <c r="Y103" i="13"/>
  <c r="Y229" i="13"/>
  <c r="W184" i="11"/>
  <c r="W168" i="11" s="1"/>
  <c r="AC215" i="17"/>
  <c r="AC312" i="17"/>
  <c r="E117" i="17"/>
  <c r="E165" i="17"/>
  <c r="E168" i="19"/>
  <c r="N243" i="17"/>
  <c r="X244" i="15"/>
  <c r="AL118" i="10"/>
  <c r="AL245" i="10" s="1"/>
  <c r="AL166" i="10"/>
  <c r="H119" i="17"/>
  <c r="H167" i="17"/>
  <c r="S87" i="16"/>
  <c r="K208" i="14"/>
  <c r="K288" i="14" s="1"/>
  <c r="J81" i="14"/>
  <c r="K97" i="14"/>
  <c r="S92" i="13"/>
  <c r="S12" i="13" s="1"/>
  <c r="Q118" i="16"/>
  <c r="Q166" i="16"/>
  <c r="Y118" i="17"/>
  <c r="Y166" i="17"/>
  <c r="AC87" i="17"/>
  <c r="J185" i="11"/>
  <c r="J170" i="11" s="1"/>
  <c r="M185" i="19"/>
  <c r="M169" i="19" s="1"/>
  <c r="N117" i="17"/>
  <c r="N165" i="17"/>
  <c r="K104" i="15"/>
  <c r="K230" i="15"/>
  <c r="Y184" i="11"/>
  <c r="E185" i="13"/>
  <c r="L113" i="14"/>
  <c r="L240" i="14" s="1"/>
  <c r="L161" i="14"/>
  <c r="J171" i="20"/>
  <c r="AA233" i="11"/>
  <c r="AA232" i="11"/>
  <c r="U216" i="17"/>
  <c r="U313" i="17"/>
  <c r="W185" i="10"/>
  <c r="Z186" i="15"/>
  <c r="X185" i="14"/>
  <c r="X169" i="14"/>
  <c r="AB88" i="13"/>
  <c r="G185" i="20"/>
  <c r="G170" i="20" s="1"/>
  <c r="G169" i="20"/>
  <c r="F102" i="16"/>
  <c r="F228" i="16"/>
  <c r="AK117" i="10"/>
  <c r="AK244" i="10" s="1"/>
  <c r="AK165" i="10"/>
  <c r="B90" i="16"/>
  <c r="B219" i="16"/>
  <c r="B33" i="16" s="1"/>
  <c r="B35" i="16" s="1"/>
  <c r="B41" i="16" s="1"/>
  <c r="J169" i="20"/>
  <c r="R185" i="20"/>
  <c r="R170" i="20" s="1"/>
  <c r="P244" i="16"/>
  <c r="Z118" i="13"/>
  <c r="Z166" i="13"/>
  <c r="L216" i="15"/>
  <c r="L313" i="15"/>
  <c r="L88" i="12"/>
  <c r="L104" i="12" s="1"/>
  <c r="L230" i="12"/>
  <c r="L246" i="12" s="1"/>
  <c r="Z117" i="17"/>
  <c r="Z165" i="17"/>
  <c r="AA102" i="16"/>
  <c r="AA228" i="16"/>
  <c r="U215" i="15"/>
  <c r="U312" i="15"/>
  <c r="P118" i="16"/>
  <c r="P166" i="16"/>
  <c r="T185" i="15"/>
  <c r="S169" i="20"/>
  <c r="S185" i="20"/>
  <c r="S170" i="20" s="1"/>
  <c r="X107" i="16"/>
  <c r="X123" i="16" s="1"/>
  <c r="X92" i="16"/>
  <c r="D117" i="17"/>
  <c r="D165" i="17"/>
  <c r="X186" i="16"/>
  <c r="X171" i="16" s="1"/>
  <c r="B216" i="13"/>
  <c r="B313" i="13"/>
  <c r="J215" i="13"/>
  <c r="J312" i="13"/>
  <c r="L88" i="15"/>
  <c r="AD246" i="11"/>
  <c r="S104" i="15"/>
  <c r="S230" i="15"/>
  <c r="T104" i="15"/>
  <c r="T230" i="15"/>
  <c r="T246" i="15" s="1"/>
  <c r="V216" i="12"/>
  <c r="V313" i="12"/>
  <c r="K117" i="14"/>
  <c r="K244" i="14" s="1"/>
  <c r="K165" i="14"/>
  <c r="H102" i="16"/>
  <c r="H228" i="16"/>
  <c r="I170" i="19"/>
  <c r="AH172" i="10"/>
  <c r="K185" i="11"/>
  <c r="K170" i="11" s="1"/>
  <c r="K169" i="11"/>
  <c r="Z104" i="16"/>
  <c r="Z230" i="16"/>
  <c r="Z246" i="16" s="1"/>
  <c r="N245" i="15"/>
  <c r="Z87" i="17"/>
  <c r="G102" i="17"/>
  <c r="G228" i="17"/>
  <c r="G244" i="17" s="1"/>
  <c r="N231" i="12"/>
  <c r="N247" i="12" s="1"/>
  <c r="S103" i="17"/>
  <c r="S229" i="17"/>
  <c r="I312" i="14"/>
  <c r="U118" i="13"/>
  <c r="U166" i="13"/>
  <c r="U87" i="15"/>
  <c r="Q88" i="16"/>
  <c r="B217" i="17"/>
  <c r="B218" i="17"/>
  <c r="Y185" i="20"/>
  <c r="Y170" i="20" s="1"/>
  <c r="G312" i="14"/>
  <c r="B184" i="11"/>
  <c r="G185" i="15"/>
  <c r="N102" i="13"/>
  <c r="N228" i="13"/>
  <c r="AB186" i="15"/>
  <c r="I118" i="15"/>
  <c r="I166" i="15"/>
  <c r="AE185" i="11"/>
  <c r="S168" i="20"/>
  <c r="R186" i="17"/>
  <c r="AB186" i="19"/>
  <c r="AB171" i="19" s="1"/>
  <c r="W185" i="14"/>
  <c r="W169" i="14"/>
  <c r="X169" i="16"/>
  <c r="B88" i="13"/>
  <c r="U297" i="14"/>
  <c r="J87" i="13"/>
  <c r="P171" i="11"/>
  <c r="X185" i="20"/>
  <c r="X170" i="20" s="1"/>
  <c r="J118" i="17"/>
  <c r="J166" i="17"/>
  <c r="W215" i="13"/>
  <c r="W312" i="13"/>
  <c r="AF231" i="11"/>
  <c r="AF328" i="11"/>
  <c r="P217" i="12"/>
  <c r="P218" i="12"/>
  <c r="O186" i="14"/>
  <c r="O171" i="14" s="1"/>
  <c r="H312" i="14"/>
  <c r="D215" i="15"/>
  <c r="D312" i="15"/>
  <c r="X118" i="15"/>
  <c r="X166" i="15"/>
  <c r="N104" i="15"/>
  <c r="N230" i="15"/>
  <c r="J216" i="17"/>
  <c r="J313" i="17"/>
  <c r="O102" i="17"/>
  <c r="O228" i="17"/>
  <c r="C117" i="16"/>
  <c r="C165" i="16"/>
  <c r="O102" i="13"/>
  <c r="O228" i="13"/>
  <c r="O244" i="13" s="1"/>
  <c r="T107" i="13"/>
  <c r="T92" i="13"/>
  <c r="T12" i="13" s="1"/>
  <c r="AG313" i="14"/>
  <c r="AG298" i="14" s="1"/>
  <c r="Q102" i="15"/>
  <c r="Q228" i="15"/>
  <c r="Q244" i="15" s="1"/>
  <c r="N102" i="17"/>
  <c r="N228" i="17"/>
  <c r="AA89" i="11"/>
  <c r="AA105" i="11" s="1"/>
  <c r="AA121" i="11" s="1"/>
  <c r="AA247" i="11"/>
  <c r="AA263" i="11" s="1"/>
  <c r="AH186" i="14"/>
  <c r="AH171" i="14" s="1"/>
  <c r="U88" i="17"/>
  <c r="X250" i="16"/>
  <c r="W168" i="10"/>
  <c r="L104" i="17"/>
  <c r="L230" i="17"/>
  <c r="D117" i="13"/>
  <c r="D165" i="13"/>
  <c r="J101" i="14"/>
  <c r="J212" i="14"/>
  <c r="J292" i="14" s="1"/>
  <c r="I85" i="14"/>
  <c r="I172" i="19"/>
  <c r="M186" i="14"/>
  <c r="M171" i="14" s="1"/>
  <c r="G168" i="20"/>
  <c r="U244" i="13"/>
  <c r="R186" i="19"/>
  <c r="R171" i="19" s="1"/>
  <c r="R170" i="19"/>
  <c r="T313" i="14"/>
  <c r="T298" i="14" s="1"/>
  <c r="V87" i="15"/>
  <c r="E312" i="14"/>
  <c r="Y186" i="15"/>
  <c r="N119" i="15"/>
  <c r="N167" i="15"/>
  <c r="M104" i="16"/>
  <c r="M230" i="16"/>
  <c r="M246" i="16" s="1"/>
  <c r="K186" i="14"/>
  <c r="K171" i="14" s="1"/>
  <c r="Q186" i="12"/>
  <c r="V103" i="17"/>
  <c r="V229" i="17"/>
  <c r="K245" i="15"/>
  <c r="M104" i="13"/>
  <c r="M230" i="13"/>
  <c r="R217" i="17"/>
  <c r="R218" i="17"/>
  <c r="X216" i="17"/>
  <c r="X313" i="17"/>
  <c r="Q186" i="17"/>
  <c r="D169" i="12"/>
  <c r="D185" i="12"/>
  <c r="V244" i="17"/>
  <c r="U117" i="15"/>
  <c r="U165" i="15"/>
  <c r="AD186" i="17"/>
  <c r="W87" i="13"/>
  <c r="AF88" i="11"/>
  <c r="AF104" i="11" s="1"/>
  <c r="V102" i="16"/>
  <c r="V228" i="16"/>
  <c r="P90" i="12"/>
  <c r="P106" i="12" s="1"/>
  <c r="D87" i="15"/>
  <c r="D185" i="20"/>
  <c r="D170" i="20" s="1"/>
  <c r="V102" i="13"/>
  <c r="V228" i="13"/>
  <c r="X169" i="11"/>
  <c r="X185" i="11"/>
  <c r="X170" i="11" s="1"/>
  <c r="S185" i="13"/>
  <c r="S169" i="13" s="1"/>
  <c r="J88" i="17"/>
  <c r="D243" i="15"/>
  <c r="L215" i="12"/>
  <c r="L312" i="12"/>
  <c r="Z185" i="17"/>
  <c r="U103" i="12"/>
  <c r="M185" i="20"/>
  <c r="M170" i="20" s="1"/>
  <c r="Q117" i="15"/>
  <c r="Q165" i="15"/>
  <c r="AC313" i="14"/>
  <c r="AC298" i="14" s="1"/>
  <c r="X168" i="14"/>
  <c r="W120" i="16"/>
  <c r="W168" i="16"/>
  <c r="W186" i="17"/>
  <c r="Z215" i="17"/>
  <c r="Z312" i="17"/>
  <c r="AK113" i="10"/>
  <c r="AK240" i="10" s="1"/>
  <c r="AK161" i="10"/>
  <c r="AG296" i="14"/>
  <c r="F103" i="13"/>
  <c r="F229" i="13"/>
  <c r="F245" i="13" s="1"/>
  <c r="AE186" i="14"/>
  <c r="AE171" i="14" s="1"/>
  <c r="AE170" i="14"/>
  <c r="R168" i="20"/>
  <c r="AD186" i="14"/>
  <c r="AD171" i="14" s="1"/>
  <c r="AD170" i="14"/>
  <c r="I244" i="15"/>
  <c r="G88" i="13"/>
  <c r="B103" i="13"/>
  <c r="B229" i="13"/>
  <c r="Q313" i="16"/>
  <c r="Q216" i="16"/>
  <c r="B89" i="17"/>
  <c r="I186" i="13"/>
  <c r="AB217" i="19"/>
  <c r="AB233" i="19" s="1"/>
  <c r="AB249" i="19" s="1"/>
  <c r="AB218" i="19"/>
  <c r="AB234" i="19" s="1"/>
  <c r="AB250" i="19" s="1"/>
  <c r="N245" i="16"/>
  <c r="J186" i="19"/>
  <c r="J171" i="19" s="1"/>
  <c r="V215" i="15"/>
  <c r="V312" i="15"/>
  <c r="Y169" i="15"/>
  <c r="Y185" i="13"/>
  <c r="G216" i="13"/>
  <c r="G313" i="13"/>
  <c r="L185" i="19"/>
  <c r="F171" i="15"/>
  <c r="F172" i="15" s="1"/>
  <c r="F171" i="20"/>
  <c r="M217" i="13"/>
  <c r="M218" i="13"/>
  <c r="Q103" i="16"/>
  <c r="Q229" i="16"/>
  <c r="Q245" i="16" s="1"/>
  <c r="P104" i="15"/>
  <c r="P230" i="15"/>
  <c r="P246" i="15" s="1"/>
  <c r="AI185" i="10"/>
  <c r="AI169" i="10" s="1"/>
  <c r="K119" i="15"/>
  <c r="K167" i="15"/>
  <c r="AC185" i="15"/>
  <c r="AB185" i="20"/>
  <c r="AB170" i="20" s="1"/>
  <c r="R89" i="17"/>
  <c r="L118" i="15"/>
  <c r="L166" i="15"/>
  <c r="X88" i="17"/>
  <c r="N186" i="16"/>
  <c r="AD310" i="20"/>
  <c r="AD307" i="20"/>
  <c r="AD304" i="20"/>
  <c r="AD312" i="20"/>
  <c r="AD308" i="20"/>
  <c r="AD305" i="20"/>
  <c r="AD302" i="20"/>
  <c r="AD309" i="20"/>
  <c r="AD306" i="20"/>
  <c r="AD311" i="20"/>
  <c r="AD303" i="20"/>
  <c r="AD313" i="20"/>
  <c r="G186" i="14"/>
  <c r="L216" i="13"/>
  <c r="L313" i="13"/>
  <c r="D168" i="12"/>
  <c r="L217" i="17"/>
  <c r="L218" i="17"/>
  <c r="U184" i="11"/>
  <c r="U168" i="11"/>
  <c r="AD233" i="11"/>
  <c r="AD232" i="11"/>
  <c r="T104" i="17"/>
  <c r="T230" i="17"/>
  <c r="D168" i="20"/>
  <c r="B170" i="19"/>
  <c r="B172" i="19" s="1"/>
  <c r="D312" i="14"/>
  <c r="B216" i="12"/>
  <c r="B313" i="12"/>
  <c r="O118" i="15"/>
  <c r="O166" i="15"/>
  <c r="B104" i="12"/>
  <c r="D117" i="15"/>
  <c r="D165" i="15"/>
  <c r="O185" i="17"/>
  <c r="C186" i="16"/>
  <c r="I186" i="14"/>
  <c r="D186" i="15"/>
  <c r="AD89" i="11"/>
  <c r="AD105" i="11" s="1"/>
  <c r="AD121" i="11" s="1"/>
  <c r="AD247" i="11"/>
  <c r="AD263" i="11" s="1"/>
  <c r="AB245" i="11"/>
  <c r="AB261" i="11" s="1"/>
  <c r="V215" i="16"/>
  <c r="V312" i="16"/>
  <c r="O243" i="17"/>
  <c r="B89" i="12"/>
  <c r="B105" i="12" s="1"/>
  <c r="R103" i="15"/>
  <c r="R229" i="15"/>
  <c r="AD168" i="11"/>
  <c r="O186" i="12"/>
  <c r="O170" i="12" s="1"/>
  <c r="AC117" i="17"/>
  <c r="AC165" i="17"/>
  <c r="P216" i="16"/>
  <c r="P313" i="16"/>
  <c r="AA106" i="13"/>
  <c r="AA122" i="13" s="1"/>
  <c r="AA249" i="13" s="1"/>
  <c r="AA232" i="13"/>
  <c r="AA248" i="13" s="1"/>
  <c r="Y118" i="13"/>
  <c r="Y166" i="13"/>
  <c r="V87" i="16"/>
  <c r="O117" i="17"/>
  <c r="O165" i="17"/>
  <c r="H108" i="15"/>
  <c r="H23" i="15" s="1"/>
  <c r="H25" i="15" s="1"/>
  <c r="H28" i="15" s="1"/>
  <c r="H26" i="15" s="1"/>
  <c r="W234" i="12"/>
  <c r="W250" i="12" s="1"/>
  <c r="X80" i="12"/>
  <c r="W219" i="12"/>
  <c r="W33" i="12" s="1"/>
  <c r="AD185" i="11"/>
  <c r="O169" i="12"/>
  <c r="P88" i="16"/>
  <c r="Y243" i="16"/>
  <c r="E87" i="16"/>
  <c r="AD216" i="17"/>
  <c r="AD313" i="17"/>
  <c r="AK186" i="10"/>
  <c r="AK171" i="10" s="1"/>
  <c r="C186" i="12"/>
  <c r="AA247" i="13"/>
  <c r="AA185" i="17"/>
  <c r="C215" i="15"/>
  <c r="C312" i="15"/>
  <c r="M104" i="17"/>
  <c r="M230" i="17"/>
  <c r="M246" i="17" s="1"/>
  <c r="U103" i="17"/>
  <c r="U229" i="17"/>
  <c r="I214" i="14"/>
  <c r="I294" i="14" s="1"/>
  <c r="I103" i="14"/>
  <c r="H87" i="14"/>
  <c r="F119" i="17"/>
  <c r="F167" i="17"/>
  <c r="P107" i="17"/>
  <c r="P123" i="17" s="1"/>
  <c r="P250" i="17" s="1"/>
  <c r="P21" i="17"/>
  <c r="C87" i="15"/>
  <c r="P186" i="16"/>
  <c r="R117" i="16"/>
  <c r="R165" i="16"/>
  <c r="X103" i="17"/>
  <c r="X229" i="17"/>
  <c r="L103" i="13"/>
  <c r="L229" i="13"/>
  <c r="O215" i="17"/>
  <c r="O312" i="17"/>
  <c r="AA87" i="17"/>
  <c r="B119" i="17"/>
  <c r="B167" i="17"/>
  <c r="W102" i="13"/>
  <c r="W228" i="13"/>
  <c r="W244" i="13" s="1"/>
  <c r="J102" i="13"/>
  <c r="J228" i="13"/>
  <c r="R216" i="15"/>
  <c r="R313" i="15"/>
  <c r="M245" i="16"/>
  <c r="N117" i="13"/>
  <c r="N165" i="13"/>
  <c r="M313" i="14"/>
  <c r="M298" i="14" s="1"/>
  <c r="R244" i="15"/>
  <c r="P234" i="13"/>
  <c r="P91" i="13"/>
  <c r="P219" i="13"/>
  <c r="P33" i="13" s="1"/>
  <c r="Q117" i="13"/>
  <c r="Q165" i="13"/>
  <c r="V186" i="16"/>
  <c r="J313" i="14"/>
  <c r="J298" i="14" s="1"/>
  <c r="AC216" i="16"/>
  <c r="AC313" i="16"/>
  <c r="AC118" i="13"/>
  <c r="AC166" i="13"/>
  <c r="E171" i="20"/>
  <c r="P186" i="17"/>
  <c r="P171" i="17" s="1"/>
  <c r="O87" i="17"/>
  <c r="L104" i="16"/>
  <c r="L230" i="16"/>
  <c r="G117" i="17"/>
  <c r="G165" i="17"/>
  <c r="AA312" i="17"/>
  <c r="AA215" i="17"/>
  <c r="N104" i="16"/>
  <c r="N230" i="16"/>
  <c r="AG186" i="14"/>
  <c r="AG171" i="14" s="1"/>
  <c r="L184" i="20"/>
  <c r="L168" i="20" s="1"/>
  <c r="K243" i="13"/>
  <c r="P170" i="19"/>
  <c r="P172" i="19" s="1"/>
  <c r="T172" i="10"/>
  <c r="V246" i="12"/>
  <c r="I103" i="13"/>
  <c r="I229" i="13"/>
  <c r="I245" i="13" s="1"/>
  <c r="O171" i="20"/>
  <c r="P185" i="15"/>
  <c r="AD216" i="15"/>
  <c r="AD313" i="15"/>
  <c r="Y216" i="13"/>
  <c r="Y313" i="13"/>
  <c r="D215" i="13"/>
  <c r="D312" i="13"/>
  <c r="W91" i="12"/>
  <c r="W107" i="12" s="1"/>
  <c r="W123" i="12" s="1"/>
  <c r="Q185" i="15"/>
  <c r="F89" i="17"/>
  <c r="D186" i="16"/>
  <c r="N186" i="12"/>
  <c r="D243" i="17"/>
  <c r="W117" i="13"/>
  <c r="W165" i="13"/>
  <c r="AB186" i="12"/>
  <c r="AA169" i="11"/>
  <c r="AA185" i="11"/>
  <c r="AB168" i="11"/>
  <c r="AB184" i="11"/>
  <c r="F186" i="14"/>
  <c r="AC216" i="13"/>
  <c r="AC313" i="13"/>
  <c r="L88" i="13"/>
  <c r="AE185" i="12"/>
  <c r="V118" i="17"/>
  <c r="V166" i="17"/>
  <c r="G185" i="12"/>
  <c r="G169" i="12" s="1"/>
  <c r="L89" i="17"/>
  <c r="K217" i="15"/>
  <c r="K218" i="15"/>
  <c r="AM120" i="10"/>
  <c r="AM247" i="10" s="1"/>
  <c r="AM168" i="10"/>
  <c r="J119" i="14"/>
  <c r="J246" i="14" s="1"/>
  <c r="J167" i="14"/>
  <c r="O186" i="15"/>
  <c r="I89" i="16"/>
  <c r="S184" i="11"/>
  <c r="S168" i="11" s="1"/>
  <c r="P103" i="16"/>
  <c r="P229" i="16"/>
  <c r="P245" i="16" s="1"/>
  <c r="AG217" i="9"/>
  <c r="AG202" i="9" s="1"/>
  <c r="G107" i="15"/>
  <c r="G123" i="15" s="1"/>
  <c r="G250" i="15" s="1"/>
  <c r="G92" i="15"/>
  <c r="G12" i="15" s="1"/>
  <c r="G15" i="15" s="1"/>
  <c r="G46" i="15" s="1"/>
  <c r="E171" i="11"/>
  <c r="M119" i="16"/>
  <c r="M167" i="16"/>
  <c r="B185" i="13"/>
  <c r="AB25" i="1"/>
  <c r="AB15" i="17"/>
  <c r="X217" i="12"/>
  <c r="X218" i="12"/>
  <c r="S167" i="11"/>
  <c r="X170" i="10"/>
  <c r="X186" i="10"/>
  <c r="X171" i="10" s="1"/>
  <c r="M296" i="14"/>
  <c r="Y297" i="14"/>
  <c r="L245" i="17"/>
  <c r="W185" i="12"/>
  <c r="W169" i="12" s="1"/>
  <c r="R118" i="15"/>
  <c r="R166" i="15"/>
  <c r="P90" i="13"/>
  <c r="Y185" i="10"/>
  <c r="AA168" i="20"/>
  <c r="AA184" i="20"/>
  <c r="R185" i="14"/>
  <c r="R169" i="14" s="1"/>
  <c r="K213" i="14"/>
  <c r="K293" i="14" s="1"/>
  <c r="K102" i="14"/>
  <c r="J86" i="14"/>
  <c r="G118" i="13"/>
  <c r="G166" i="13"/>
  <c r="C185" i="14"/>
  <c r="E169" i="20"/>
  <c r="P169" i="17"/>
  <c r="X297" i="14"/>
  <c r="H186" i="14"/>
  <c r="I89" i="17"/>
  <c r="I244" i="13"/>
  <c r="L167" i="20"/>
  <c r="K117" i="13"/>
  <c r="K165" i="13"/>
  <c r="L185" i="16"/>
  <c r="AB119" i="16"/>
  <c r="AB167" i="16"/>
  <c r="V104" i="12"/>
  <c r="D185" i="17"/>
  <c r="Q186" i="14"/>
  <c r="Q171" i="14" s="1"/>
  <c r="AA215" i="16"/>
  <c r="AA312" i="16"/>
  <c r="Y102" i="16"/>
  <c r="Y228" i="16"/>
  <c r="Y88" i="13"/>
  <c r="D87" i="13"/>
  <c r="J215" i="14"/>
  <c r="J295" i="14" s="1"/>
  <c r="J104" i="14"/>
  <c r="I88" i="14"/>
  <c r="G106" i="15"/>
  <c r="G232" i="15"/>
  <c r="G248" i="15" s="1"/>
  <c r="F217" i="17"/>
  <c r="F218" i="17"/>
  <c r="N169" i="12"/>
  <c r="AL14" i="10"/>
  <c r="AL15" i="10" s="1"/>
  <c r="AL19" i="10" s="1"/>
  <c r="AM6" i="10"/>
  <c r="AN4" i="10"/>
  <c r="AM14" i="10" s="1"/>
  <c r="AM15" i="10" s="1"/>
  <c r="AM19" i="10" s="1"/>
  <c r="V312" i="14"/>
  <c r="M89" i="13"/>
  <c r="K186" i="15"/>
  <c r="R243" i="16"/>
  <c r="V168" i="11"/>
  <c r="V184" i="11"/>
  <c r="V295" i="14"/>
  <c r="R88" i="15"/>
  <c r="AD185" i="16"/>
  <c r="I217" i="16"/>
  <c r="I218" i="16"/>
  <c r="N186" i="14"/>
  <c r="N171" i="14" s="1"/>
  <c r="AB167" i="11"/>
  <c r="E102" i="16"/>
  <c r="E228" i="16"/>
  <c r="D185" i="13"/>
  <c r="AB186" i="14"/>
  <c r="AB171" i="14" s="1"/>
  <c r="V215" i="13"/>
  <c r="V312" i="13"/>
  <c r="AM115" i="10"/>
  <c r="AM242" i="10" s="1"/>
  <c r="AM163" i="10"/>
  <c r="U215" i="16"/>
  <c r="U312" i="16"/>
  <c r="K102" i="16"/>
  <c r="K228" i="16"/>
  <c r="K244" i="16" s="1"/>
  <c r="L229" i="12"/>
  <c r="L245" i="12" s="1"/>
  <c r="J215" i="15"/>
  <c r="J312" i="15"/>
  <c r="X90" i="12"/>
  <c r="X232" i="12"/>
  <c r="Q172" i="19"/>
  <c r="K312" i="16"/>
  <c r="K215" i="16"/>
  <c r="AB249" i="17"/>
  <c r="H117" i="16"/>
  <c r="H165" i="16"/>
  <c r="W234" i="16"/>
  <c r="W91" i="16"/>
  <c r="W219" i="16"/>
  <c r="W33" i="16" s="1"/>
  <c r="W35" i="16" s="1"/>
  <c r="W41" i="16" s="1"/>
  <c r="L119" i="17"/>
  <c r="L167" i="17"/>
  <c r="B185" i="17"/>
  <c r="K215" i="12"/>
  <c r="K312" i="12"/>
  <c r="AA119" i="11"/>
  <c r="AA262" i="11" s="1"/>
  <c r="AA167" i="11"/>
  <c r="S186" i="16"/>
  <c r="Z119" i="16"/>
  <c r="Z167" i="16"/>
  <c r="H170" i="15"/>
  <c r="H172" i="15" s="1"/>
  <c r="S244" i="17"/>
  <c r="R186" i="12"/>
  <c r="AF186" i="14"/>
  <c r="AF171" i="14" s="1"/>
  <c r="AF170" i="14"/>
  <c r="Y186" i="17"/>
  <c r="S169" i="10"/>
  <c r="S185" i="10"/>
  <c r="M217" i="17"/>
  <c r="M218" i="17"/>
  <c r="L103" i="15"/>
  <c r="L229" i="15"/>
  <c r="L245" i="15" s="1"/>
  <c r="AD296" i="14"/>
  <c r="AD312" i="14"/>
  <c r="I217" i="17"/>
  <c r="I218" i="17"/>
  <c r="M216" i="15"/>
  <c r="M313" i="15"/>
  <c r="I118" i="13"/>
  <c r="I166" i="13"/>
  <c r="AA102" i="17"/>
  <c r="AA228" i="17"/>
  <c r="AD186" i="10"/>
  <c r="AD171" i="10" s="1"/>
  <c r="R217" i="12"/>
  <c r="R218" i="12"/>
  <c r="S217" i="15"/>
  <c r="S218" i="15"/>
  <c r="Q185" i="13"/>
  <c r="J216" i="16"/>
  <c r="J313" i="16"/>
  <c r="O123" i="16"/>
  <c r="O250" i="16" s="1"/>
  <c r="O171" i="16"/>
  <c r="O108" i="16"/>
  <c r="O23" i="16" s="1"/>
  <c r="O25" i="16" s="1"/>
  <c r="O28" i="16" s="1"/>
  <c r="O26" i="16" s="1"/>
  <c r="AD119" i="11"/>
  <c r="AD167" i="11"/>
  <c r="M118" i="15"/>
  <c r="M166" i="15"/>
  <c r="AA87" i="16"/>
  <c r="F172" i="19"/>
  <c r="Z186" i="16"/>
  <c r="C243" i="17"/>
  <c r="K120" i="14"/>
  <c r="K247" i="14" s="1"/>
  <c r="K168" i="14"/>
  <c r="G233" i="15"/>
  <c r="Z312" i="14"/>
  <c r="Z296" i="14"/>
  <c r="K117" i="16"/>
  <c r="K165" i="16"/>
  <c r="Z186" i="14"/>
  <c r="Z171" i="14" s="1"/>
  <c r="Y117" i="16"/>
  <c r="Y165" i="16"/>
  <c r="E105" i="12"/>
  <c r="N119" i="16"/>
  <c r="N167" i="16"/>
  <c r="I104" i="17"/>
  <c r="I230" i="17"/>
  <c r="K89" i="15"/>
  <c r="V87" i="13"/>
  <c r="AM113" i="10"/>
  <c r="AM240" i="10" s="1"/>
  <c r="AM161" i="10"/>
  <c r="U87" i="16"/>
  <c r="L119" i="12"/>
  <c r="L167" i="12"/>
  <c r="F313" i="14"/>
  <c r="M217" i="16"/>
  <c r="M218" i="16"/>
  <c r="B169" i="20"/>
  <c r="B185" i="20"/>
  <c r="B170" i="20" s="1"/>
  <c r="J87" i="15"/>
  <c r="AD185" i="12"/>
  <c r="F186" i="16"/>
  <c r="K87" i="16"/>
  <c r="F117" i="16"/>
  <c r="F165" i="16"/>
  <c r="E102" i="17"/>
  <c r="E228" i="17"/>
  <c r="W233" i="16"/>
  <c r="W90" i="16"/>
  <c r="K88" i="12"/>
  <c r="K104" i="12" s="1"/>
  <c r="X118" i="13"/>
  <c r="X166" i="13"/>
  <c r="V216" i="17"/>
  <c r="V313" i="17"/>
  <c r="F88" i="13"/>
  <c r="K215" i="17"/>
  <c r="K312" i="17"/>
  <c r="Y216" i="17"/>
  <c r="Y313" i="17"/>
  <c r="F90" i="12"/>
  <c r="F106" i="12" s="1"/>
  <c r="F232" i="12"/>
  <c r="F248" i="12" s="1"/>
  <c r="F219" i="12"/>
  <c r="F33" i="12" s="1"/>
  <c r="L186" i="12"/>
  <c r="S118" i="17"/>
  <c r="S166" i="17"/>
  <c r="L118" i="14"/>
  <c r="L245" i="14" s="1"/>
  <c r="L166" i="14"/>
  <c r="G243" i="16"/>
  <c r="M89" i="17"/>
  <c r="P96" i="12"/>
  <c r="L217" i="16"/>
  <c r="L218" i="16"/>
  <c r="M88" i="15"/>
  <c r="J99" i="14"/>
  <c r="J210" i="14"/>
  <c r="J290" i="14" s="1"/>
  <c r="I83" i="14"/>
  <c r="R90" i="12"/>
  <c r="R106" i="12" s="1"/>
  <c r="R122" i="12" s="1"/>
  <c r="R232" i="12"/>
  <c r="R248" i="12" s="1"/>
  <c r="S89" i="15"/>
  <c r="J88" i="16"/>
  <c r="C102" i="16"/>
  <c r="C228" i="16"/>
  <c r="K96" i="14"/>
  <c r="K93" i="14"/>
  <c r="K207" i="14"/>
  <c r="J80" i="14"/>
  <c r="AA186" i="16"/>
  <c r="T186" i="17"/>
  <c r="L118" i="13"/>
  <c r="L166" i="13"/>
  <c r="H172" i="19"/>
  <c r="F170" i="19"/>
  <c r="T172" i="19"/>
  <c r="C117" i="17"/>
  <c r="C165" i="17"/>
  <c r="L186" i="14"/>
  <c r="L171" i="14" s="1"/>
  <c r="AA186" i="14"/>
  <c r="AA171" i="14" s="1"/>
  <c r="X103" i="13"/>
  <c r="X229" i="13"/>
  <c r="F104" i="17"/>
  <c r="F230" i="17"/>
  <c r="F246" i="17" s="1"/>
  <c r="G215" i="17"/>
  <c r="G312" i="17"/>
  <c r="F87" i="16"/>
  <c r="AE215" i="17"/>
  <c r="AE312" i="17"/>
  <c r="E217" i="12"/>
  <c r="E218" i="12"/>
  <c r="P313" i="14"/>
  <c r="P298" i="14" s="1"/>
  <c r="AB172" i="10"/>
  <c r="K115" i="14"/>
  <c r="K242" i="14" s="1"/>
  <c r="K163" i="14"/>
  <c r="Q87" i="13"/>
  <c r="H186" i="17"/>
  <c r="J186" i="12"/>
  <c r="J171" i="12" s="1"/>
  <c r="T90" i="12"/>
  <c r="T232" i="12"/>
  <c r="O117" i="13"/>
  <c r="O165" i="13"/>
  <c r="C230" i="12"/>
  <c r="C88" i="12"/>
  <c r="C104" i="12" s="1"/>
  <c r="J244" i="16"/>
  <c r="E243" i="16"/>
  <c r="E117" i="13"/>
  <c r="E165" i="13"/>
  <c r="P296" i="14"/>
  <c r="T117" i="16"/>
  <c r="T165" i="16"/>
  <c r="C186" i="13"/>
  <c r="S250" i="13"/>
  <c r="X216" i="15"/>
  <c r="X313" i="15"/>
  <c r="AL185" i="10"/>
  <c r="AL169" i="10" s="1"/>
  <c r="P119" i="15"/>
  <c r="P167" i="15"/>
  <c r="O216" i="15"/>
  <c r="O313" i="15"/>
  <c r="W103" i="17"/>
  <c r="W229" i="17"/>
  <c r="W245" i="17" s="1"/>
  <c r="M103" i="15"/>
  <c r="M229" i="15"/>
  <c r="M245" i="15" s="1"/>
  <c r="AG88" i="11"/>
  <c r="AG104" i="11" s="1"/>
  <c r="Q88" i="17"/>
  <c r="C216" i="13"/>
  <c r="C313" i="13"/>
  <c r="Z186" i="10"/>
  <c r="Z171" i="10" s="1"/>
  <c r="M245" i="17"/>
  <c r="AJ185" i="10"/>
  <c r="G186" i="19"/>
  <c r="G171" i="19" s="1"/>
  <c r="E186" i="15"/>
  <c r="E171" i="15" s="1"/>
  <c r="Q168" i="11"/>
  <c r="Q184" i="11"/>
  <c r="AD185" i="13"/>
  <c r="M25" i="14"/>
  <c r="M28" i="14" s="1"/>
  <c r="M26" i="14" s="1"/>
  <c r="L112" i="14"/>
  <c r="L239" i="14" s="1"/>
  <c r="L108" i="14"/>
  <c r="L23" i="14" s="1"/>
  <c r="L160" i="14"/>
  <c r="I250" i="12"/>
  <c r="L170" i="10"/>
  <c r="L172" i="10" s="1"/>
  <c r="D243" i="16"/>
  <c r="Q231" i="12"/>
  <c r="Q89" i="12"/>
  <c r="Q105" i="12" s="1"/>
  <c r="W106" i="12"/>
  <c r="W122" i="12" s="1"/>
  <c r="AL112" i="10"/>
  <c r="AL239" i="10" s="1"/>
  <c r="AL160" i="10"/>
  <c r="O92" i="16"/>
  <c r="O12" i="16" s="1"/>
  <c r="O15" i="16" s="1"/>
  <c r="O46" i="16" s="1"/>
  <c r="AK112" i="10"/>
  <c r="AK239" i="10" s="1"/>
  <c r="AK160" i="10"/>
  <c r="G185" i="13"/>
  <c r="W185" i="20"/>
  <c r="W170" i="20" s="1"/>
  <c r="W185" i="19"/>
  <c r="W169" i="19" s="1"/>
  <c r="AF185" i="11"/>
  <c r="Y103" i="17"/>
  <c r="Y229" i="17"/>
  <c r="O215" i="13"/>
  <c r="O312" i="13"/>
  <c r="T217" i="12"/>
  <c r="T218" i="12"/>
  <c r="C215" i="12"/>
  <c r="C312" i="12"/>
  <c r="K102" i="17"/>
  <c r="K228" i="17"/>
  <c r="K244" i="17" s="1"/>
  <c r="S170" i="14"/>
  <c r="S186" i="14"/>
  <c r="S171" i="14" s="1"/>
  <c r="S88" i="12"/>
  <c r="S104" i="12" s="1"/>
  <c r="H89" i="17"/>
  <c r="K186" i="13"/>
  <c r="N89" i="16"/>
  <c r="AG231" i="11"/>
  <c r="AG328" i="11"/>
  <c r="Q216" i="17"/>
  <c r="Q313" i="17"/>
  <c r="J103" i="16"/>
  <c r="J229" i="16"/>
  <c r="I35" i="12"/>
  <c r="I41" i="12" s="1"/>
  <c r="I4" i="3"/>
  <c r="I6" i="3" s="1"/>
  <c r="I12" i="3" s="1"/>
  <c r="AD215" i="16"/>
  <c r="AD312" i="16"/>
  <c r="I88" i="13"/>
  <c r="B118" i="13"/>
  <c r="B166" i="13"/>
  <c r="F185" i="13"/>
  <c r="AL114" i="10"/>
  <c r="AL241" i="10" s="1"/>
  <c r="AL162" i="10"/>
  <c r="D102" i="13"/>
  <c r="D228" i="13"/>
  <c r="D244" i="13" s="1"/>
  <c r="G217" i="12"/>
  <c r="G218" i="12"/>
  <c r="R215" i="16"/>
  <c r="R312" i="16"/>
  <c r="AC102" i="17"/>
  <c r="AC228" i="17"/>
  <c r="AC244" i="17" s="1"/>
  <c r="G87" i="17"/>
  <c r="AK115" i="10"/>
  <c r="AK242" i="10" s="1"/>
  <c r="AK163" i="10"/>
  <c r="W168" i="20"/>
  <c r="W168" i="19"/>
  <c r="U102" i="15"/>
  <c r="U228" i="15"/>
  <c r="U244" i="15" s="1"/>
  <c r="I119" i="17"/>
  <c r="I167" i="17"/>
  <c r="P246" i="13"/>
  <c r="G90" i="12"/>
  <c r="G106" i="12" s="1"/>
  <c r="G122" i="12" s="1"/>
  <c r="G232" i="12"/>
  <c r="G248" i="12" s="1"/>
  <c r="V243" i="13"/>
  <c r="T102" i="16"/>
  <c r="T228" i="16"/>
  <c r="E186" i="10"/>
  <c r="E171" i="10" s="1"/>
  <c r="AC185" i="19"/>
  <c r="AC169" i="19" s="1"/>
  <c r="B216" i="15"/>
  <c r="B313" i="15"/>
  <c r="R87" i="16"/>
  <c r="AH170" i="10"/>
  <c r="C185" i="17"/>
  <c r="R184" i="11"/>
  <c r="R168" i="11" s="1"/>
  <c r="I119" i="16"/>
  <c r="I167" i="16"/>
  <c r="B104" i="17"/>
  <c r="B230" i="17"/>
  <c r="B246" i="17" s="1"/>
  <c r="AK119" i="10"/>
  <c r="AK246" i="10" s="1"/>
  <c r="AK167" i="10"/>
  <c r="AB185" i="16"/>
  <c r="P120" i="13"/>
  <c r="P168" i="13"/>
  <c r="J169" i="12"/>
  <c r="F121" i="12"/>
  <c r="F169" i="12"/>
  <c r="C102" i="17"/>
  <c r="C228" i="17"/>
  <c r="C185" i="10"/>
  <c r="C169" i="10"/>
  <c r="S245" i="15"/>
  <c r="J118" i="16"/>
  <c r="J166" i="16"/>
  <c r="E117" i="16"/>
  <c r="E165" i="16"/>
  <c r="T170" i="14"/>
  <c r="T172" i="14" s="1"/>
  <c r="O186" i="13"/>
  <c r="X88" i="15"/>
  <c r="AL168" i="10"/>
  <c r="X106" i="16"/>
  <c r="X232" i="16"/>
  <c r="X248" i="16" s="1"/>
  <c r="O88" i="15"/>
  <c r="S216" i="17"/>
  <c r="S313" i="17"/>
  <c r="W216" i="17"/>
  <c r="W313" i="17"/>
  <c r="C88" i="13"/>
  <c r="Z169" i="10"/>
  <c r="D186" i="19"/>
  <c r="D171" i="19" s="1"/>
  <c r="E102" i="13"/>
  <c r="E228" i="13"/>
  <c r="E244" i="13" s="1"/>
  <c r="M119" i="17"/>
  <c r="M167" i="17"/>
  <c r="AJ168" i="10"/>
  <c r="G169" i="19"/>
  <c r="E169" i="15"/>
  <c r="AF119" i="11"/>
  <c r="AF167" i="11"/>
  <c r="Q167" i="11"/>
  <c r="X244" i="17"/>
  <c r="M245" i="13"/>
  <c r="J96" i="12"/>
  <c r="J92" i="12"/>
  <c r="J12" i="12" s="1"/>
  <c r="U186" i="15"/>
  <c r="D117" i="16"/>
  <c r="D165" i="16"/>
  <c r="G215" i="16"/>
  <c r="G312" i="16"/>
  <c r="Q216" i="12"/>
  <c r="Q313" i="12"/>
  <c r="W232" i="12"/>
  <c r="W248" i="12" s="1"/>
  <c r="U169" i="20"/>
  <c r="U171" i="20" s="1"/>
  <c r="AL117" i="10"/>
  <c r="AL244" i="10" s="1"/>
  <c r="AL165" i="10"/>
  <c r="Y185" i="14"/>
  <c r="Y169" i="14"/>
  <c r="N171" i="20"/>
  <c r="H186" i="12"/>
  <c r="S88" i="17"/>
  <c r="Y106" i="15"/>
  <c r="Y122" i="15" s="1"/>
  <c r="Y232" i="15"/>
  <c r="Y248" i="15" s="1"/>
  <c r="W88" i="17"/>
  <c r="Q244" i="17"/>
  <c r="I218" i="14"/>
  <c r="I107" i="14"/>
  <c r="I123" i="14" s="1"/>
  <c r="I250" i="14" s="1"/>
  <c r="H91" i="14"/>
  <c r="Y107" i="15"/>
  <c r="Y92" i="15"/>
  <c r="Y12" i="15" s="1"/>
  <c r="Y15" i="15" s="1"/>
  <c r="Y46" i="15" s="1"/>
  <c r="D169" i="19"/>
  <c r="J211" i="14"/>
  <c r="J291" i="14" s="1"/>
  <c r="J100" i="14"/>
  <c r="I84" i="14"/>
  <c r="G172" i="10"/>
  <c r="L186" i="17"/>
  <c r="L297" i="14"/>
  <c r="L313" i="14"/>
  <c r="L298" i="14" s="1"/>
  <c r="AF261" i="11"/>
  <c r="R87" i="13"/>
  <c r="M119" i="13"/>
  <c r="M167" i="13"/>
  <c r="G87" i="16"/>
  <c r="S102" i="16"/>
  <c r="S228" i="16"/>
  <c r="S244" i="16" s="1"/>
  <c r="AB231" i="11"/>
  <c r="AB328" i="11"/>
  <c r="B169" i="10"/>
  <c r="B185" i="10"/>
  <c r="Y168" i="14"/>
  <c r="T245" i="17"/>
  <c r="J103" i="17"/>
  <c r="J229" i="17"/>
  <c r="J245" i="17" s="1"/>
  <c r="AB246" i="11"/>
  <c r="AB262" i="11" s="1"/>
  <c r="AB88" i="11"/>
  <c r="AB104" i="11" s="1"/>
  <c r="AB120" i="11" s="1"/>
  <c r="AL113" i="10"/>
  <c r="AL240" i="10" s="1"/>
  <c r="AL161" i="10"/>
  <c r="G185" i="11"/>
  <c r="G170" i="11" s="1"/>
  <c r="T185" i="12"/>
  <c r="T119" i="17"/>
  <c r="T167" i="17"/>
  <c r="S119" i="12"/>
  <c r="S167" i="12"/>
  <c r="P217" i="15"/>
  <c r="P218" i="15"/>
  <c r="X88" i="13"/>
  <c r="R102" i="16"/>
  <c r="R228" i="16"/>
  <c r="AM114" i="10"/>
  <c r="AM241" i="10" s="1"/>
  <c r="AM162" i="10"/>
  <c r="N215" i="17"/>
  <c r="N312" i="17"/>
  <c r="M120" i="12"/>
  <c r="M168" i="12"/>
  <c r="O35" i="12"/>
  <c r="O41" i="12" s="1"/>
  <c r="O4" i="3"/>
  <c r="O6" i="3" s="1"/>
  <c r="O12" i="3" s="1"/>
  <c r="N185" i="11"/>
  <c r="N170" i="11" s="1"/>
  <c r="Z217" i="16"/>
  <c r="Z218" i="16"/>
  <c r="D215" i="16"/>
  <c r="D312" i="16"/>
  <c r="AK107" i="10"/>
  <c r="AK123" i="10" s="1"/>
  <c r="AK250" i="10" s="1"/>
  <c r="P233" i="17"/>
  <c r="AB89" i="16"/>
  <c r="K184" i="20"/>
  <c r="AA218" i="15"/>
  <c r="AA217" i="15"/>
  <c r="H186" i="13"/>
  <c r="V186" i="17"/>
  <c r="N215" i="13"/>
  <c r="N312" i="13"/>
  <c r="AA313" i="14"/>
  <c r="AA298" i="14" s="1"/>
  <c r="J105" i="14"/>
  <c r="J216" i="14"/>
  <c r="J296" i="14" s="1"/>
  <c r="I89" i="14"/>
  <c r="S229" i="12"/>
  <c r="S245" i="12" s="1"/>
  <c r="P89" i="15"/>
  <c r="AC185" i="13"/>
  <c r="Z185" i="12"/>
  <c r="Y249" i="15"/>
  <c r="Q118" i="17"/>
  <c r="Q166" i="17"/>
  <c r="AE185" i="10"/>
  <c r="V186" i="13"/>
  <c r="T217" i="15"/>
  <c r="T218" i="15"/>
  <c r="X118" i="17"/>
  <c r="X166" i="17"/>
  <c r="R215" i="13"/>
  <c r="R312" i="13"/>
  <c r="C244" i="13"/>
  <c r="T184" i="11"/>
  <c r="G103" i="13"/>
  <c r="G229" i="13"/>
  <c r="N87" i="17"/>
  <c r="C103" i="13"/>
  <c r="C229" i="13"/>
  <c r="C245" i="13" s="1"/>
  <c r="M230" i="12"/>
  <c r="M246" i="12" s="1"/>
  <c r="B118" i="15"/>
  <c r="B166" i="15"/>
  <c r="O172" i="19"/>
  <c r="W185" i="15"/>
  <c r="W169" i="15" s="1"/>
  <c r="N168" i="11"/>
  <c r="Z89" i="16"/>
  <c r="AE218" i="16"/>
  <c r="AE217" i="16"/>
  <c r="Y185" i="12"/>
  <c r="D87" i="16"/>
  <c r="AK120" i="10"/>
  <c r="AK247" i="10" s="1"/>
  <c r="AK168" i="10"/>
  <c r="W297" i="14"/>
  <c r="E87" i="17"/>
  <c r="U186" i="17"/>
  <c r="U215" i="12"/>
  <c r="U312" i="12"/>
  <c r="K243" i="17"/>
  <c r="H216" i="12"/>
  <c r="H313" i="12"/>
  <c r="T106" i="13"/>
  <c r="T232" i="13"/>
  <c r="T248" i="13" s="1"/>
  <c r="N87" i="13"/>
  <c r="AC185" i="12"/>
  <c r="AA296" i="14"/>
  <c r="O103" i="15"/>
  <c r="O229" i="15"/>
  <c r="O245" i="15" s="1"/>
  <c r="P105" i="13"/>
  <c r="P231" i="13"/>
  <c r="P247" i="13" s="1"/>
  <c r="B186" i="12"/>
  <c r="AC185" i="16"/>
  <c r="Z184" i="11"/>
  <c r="Y215" i="12"/>
  <c r="Y312" i="12"/>
  <c r="G247" i="15"/>
  <c r="Y103" i="12"/>
  <c r="AE168" i="10"/>
  <c r="K116" i="14"/>
  <c r="K243" i="14" s="1"/>
  <c r="K164" i="14"/>
  <c r="AA243" i="17"/>
  <c r="V243" i="15"/>
  <c r="P121" i="12"/>
  <c r="P169" i="12"/>
  <c r="E215" i="13"/>
  <c r="E312" i="13"/>
  <c r="J217" i="14"/>
  <c r="J297" i="14" s="1"/>
  <c r="J106" i="14"/>
  <c r="J122" i="14" s="1"/>
  <c r="J249" i="14" s="1"/>
  <c r="I90" i="14"/>
  <c r="U216" i="13"/>
  <c r="U313" i="13"/>
  <c r="T89" i="15"/>
  <c r="AB231" i="20"/>
  <c r="AB247" i="20" s="1"/>
  <c r="AB263" i="20" s="1"/>
  <c r="AB328" i="20"/>
  <c r="U118" i="12"/>
  <c r="U245" i="12" s="1"/>
  <c r="U166" i="12"/>
  <c r="C118" i="13"/>
  <c r="C166" i="13"/>
  <c r="T167" i="11"/>
  <c r="AA170" i="19"/>
  <c r="AA172" i="19" s="1"/>
  <c r="AA35" i="13"/>
  <c r="AA41" i="13" s="1"/>
  <c r="AA18" i="3"/>
  <c r="D186" i="14"/>
  <c r="AL116" i="10"/>
  <c r="AL243" i="10" s="1"/>
  <c r="AL164" i="10"/>
  <c r="H169" i="20"/>
  <c r="H185" i="20"/>
  <c r="H170" i="20" s="1"/>
  <c r="G168" i="11"/>
  <c r="T168" i="12"/>
  <c r="F122" i="15"/>
  <c r="F249" i="15" s="1"/>
  <c r="F108" i="15"/>
  <c r="F23" i="15" s="1"/>
  <c r="F25" i="15" s="1"/>
  <c r="F28" i="15" s="1"/>
  <c r="F26" i="15" s="1"/>
  <c r="I313" i="15"/>
  <c r="I216" i="15"/>
  <c r="AF186" i="10"/>
  <c r="AF171" i="10" s="1"/>
  <c r="V102" i="15"/>
  <c r="V228" i="15"/>
  <c r="V244" i="15" s="1"/>
  <c r="Z167" i="11"/>
  <c r="L119" i="16"/>
  <c r="L167" i="16"/>
  <c r="H185" i="11"/>
  <c r="H170" i="11" s="1"/>
  <c r="H169" i="11"/>
  <c r="Y88" i="12"/>
  <c r="Y230" i="12" s="1"/>
  <c r="T169" i="20"/>
  <c r="Y229" i="12"/>
  <c r="Y245" i="12" s="1"/>
  <c r="W186" i="16"/>
  <c r="U103" i="13"/>
  <c r="U229" i="13"/>
  <c r="U245" i="13" s="1"/>
  <c r="AB216" i="15"/>
  <c r="AB313" i="15"/>
  <c r="AA117" i="17"/>
  <c r="AA165" i="17"/>
  <c r="P231" i="12"/>
  <c r="P247" i="12" s="1"/>
  <c r="E87" i="13"/>
  <c r="U88" i="13"/>
  <c r="B186" i="16"/>
  <c r="W186" i="13"/>
  <c r="U118" i="17"/>
  <c r="U166" i="17"/>
  <c r="I169" i="11"/>
  <c r="I185" i="11"/>
  <c r="I170" i="11" s="1"/>
  <c r="Y118" i="12"/>
  <c r="Y166" i="12"/>
  <c r="AL107" i="10"/>
  <c r="AL123" i="10" s="1"/>
  <c r="AL250" i="10" s="1"/>
  <c r="H168" i="20"/>
  <c r="AC218" i="15"/>
  <c r="AC217" i="15"/>
  <c r="AE185" i="13"/>
  <c r="I88" i="15"/>
  <c r="K98" i="14"/>
  <c r="K209" i="14"/>
  <c r="K289" i="14" s="1"/>
  <c r="J82" i="14"/>
  <c r="D102" i="15"/>
  <c r="D228" i="15"/>
  <c r="D244" i="15" s="1"/>
  <c r="T247" i="13"/>
  <c r="AA170" i="10"/>
  <c r="AA186" i="10"/>
  <c r="AA171" i="10" s="1"/>
  <c r="S169" i="19"/>
  <c r="I186" i="16"/>
  <c r="AA107" i="13"/>
  <c r="AA123" i="13" s="1"/>
  <c r="AA250" i="13" s="1"/>
  <c r="AA92" i="13"/>
  <c r="I186" i="12"/>
  <c r="I171" i="12" s="1"/>
  <c r="N217" i="15"/>
  <c r="N218" i="15"/>
  <c r="AD217" i="13"/>
  <c r="AD218" i="13"/>
  <c r="Z185" i="20"/>
  <c r="Z170" i="20" s="1"/>
  <c r="V118" i="16" l="1"/>
  <c r="V166" i="16"/>
  <c r="AB104" i="13"/>
  <c r="AB230" i="13"/>
  <c r="Z244" i="17"/>
  <c r="Q118" i="15"/>
  <c r="Q166" i="15"/>
  <c r="G313" i="14"/>
  <c r="N234" i="15"/>
  <c r="N91" i="15"/>
  <c r="N219" i="15"/>
  <c r="N33" i="15" s="1"/>
  <c r="N35" i="15" s="1"/>
  <c r="N41" i="15" s="1"/>
  <c r="G91" i="14"/>
  <c r="H107" i="14"/>
  <c r="H123" i="14" s="1"/>
  <c r="H250" i="14" s="1"/>
  <c r="H218" i="14"/>
  <c r="G80" i="12"/>
  <c r="N169" i="11"/>
  <c r="AG120" i="11"/>
  <c r="AG168" i="11"/>
  <c r="AA216" i="16"/>
  <c r="AA313" i="16"/>
  <c r="H313" i="14"/>
  <c r="H298" i="14" s="1"/>
  <c r="L217" i="15"/>
  <c r="L218" i="15"/>
  <c r="E248" i="12"/>
  <c r="Y231" i="12"/>
  <c r="Y89" i="12"/>
  <c r="G88" i="16"/>
  <c r="AG246" i="11"/>
  <c r="AA118" i="17"/>
  <c r="AA166" i="17"/>
  <c r="K170" i="14"/>
  <c r="C186" i="14"/>
  <c r="K171" i="11"/>
  <c r="W170" i="10"/>
  <c r="W186" i="10"/>
  <c r="W171" i="10" s="1"/>
  <c r="U119" i="13"/>
  <c r="U167" i="13"/>
  <c r="N88" i="13"/>
  <c r="W217" i="17"/>
  <c r="W218" i="17"/>
  <c r="I217" i="14"/>
  <c r="I297" i="14" s="1"/>
  <c r="H90" i="14"/>
  <c r="I106" i="14"/>
  <c r="AC186" i="16"/>
  <c r="U216" i="12"/>
  <c r="U313" i="12"/>
  <c r="AE186" i="10"/>
  <c r="AE171" i="10" s="1"/>
  <c r="N216" i="17"/>
  <c r="N313" i="17"/>
  <c r="R103" i="13"/>
  <c r="R229" i="13"/>
  <c r="W89" i="17"/>
  <c r="C244" i="17"/>
  <c r="U118" i="15"/>
  <c r="U166" i="15"/>
  <c r="S120" i="12"/>
  <c r="S168" i="12"/>
  <c r="G186" i="13"/>
  <c r="AE216" i="17"/>
  <c r="AE313" i="17"/>
  <c r="M104" i="15"/>
  <c r="M230" i="15"/>
  <c r="M217" i="15"/>
  <c r="M218" i="15"/>
  <c r="J216" i="15"/>
  <c r="J313" i="15"/>
  <c r="I91" i="16"/>
  <c r="I234" i="16"/>
  <c r="I219" i="16"/>
  <c r="I33" i="16" s="1"/>
  <c r="I35" i="16" s="1"/>
  <c r="I41" i="16" s="1"/>
  <c r="F90" i="17"/>
  <c r="F233" i="17"/>
  <c r="D186" i="17"/>
  <c r="M91" i="13"/>
  <c r="M234" i="13"/>
  <c r="M219" i="13"/>
  <c r="M33" i="13" s="1"/>
  <c r="O118" i="13"/>
  <c r="O166" i="13"/>
  <c r="P91" i="12"/>
  <c r="P233" i="12" s="1"/>
  <c r="P249" i="12" s="1"/>
  <c r="N91" i="12"/>
  <c r="N107" i="12" s="1"/>
  <c r="N123" i="12" s="1"/>
  <c r="N233" i="12"/>
  <c r="N249" i="12" s="1"/>
  <c r="Z119" i="13"/>
  <c r="Z167" i="13"/>
  <c r="C216" i="17"/>
  <c r="C313" i="17"/>
  <c r="H88" i="16"/>
  <c r="AB15" i="2"/>
  <c r="AB25" i="17"/>
  <c r="AB28" i="17" s="1"/>
  <c r="AB26" i="17" s="1"/>
  <c r="AB18" i="2" s="1"/>
  <c r="N297" i="14"/>
  <c r="C244" i="15"/>
  <c r="G118" i="16"/>
  <c r="G166" i="16"/>
  <c r="H171" i="20"/>
  <c r="U231" i="12"/>
  <c r="U89" i="12"/>
  <c r="AE169" i="10"/>
  <c r="N88" i="17"/>
  <c r="J15" i="12"/>
  <c r="J46" i="12" s="1"/>
  <c r="J9" i="1"/>
  <c r="J12" i="1" s="1"/>
  <c r="S217" i="17"/>
  <c r="S218" i="17"/>
  <c r="S230" i="12"/>
  <c r="S246" i="12" s="1"/>
  <c r="Q169" i="11"/>
  <c r="Q185" i="11"/>
  <c r="Q170" i="11" s="1"/>
  <c r="W119" i="17"/>
  <c r="W167" i="17"/>
  <c r="C120" i="12"/>
  <c r="C168" i="12"/>
  <c r="L234" i="16"/>
  <c r="L91" i="16"/>
  <c r="L219" i="16"/>
  <c r="L33" i="16" s="1"/>
  <c r="L35" i="16" s="1"/>
  <c r="L41" i="16" s="1"/>
  <c r="F104" i="13"/>
  <c r="F230" i="13"/>
  <c r="B171" i="20"/>
  <c r="E121" i="12"/>
  <c r="E169" i="12"/>
  <c r="M89" i="15"/>
  <c r="J88" i="15"/>
  <c r="I233" i="16"/>
  <c r="I90" i="16"/>
  <c r="X172" i="10"/>
  <c r="I105" i="16"/>
  <c r="I231" i="16"/>
  <c r="I247" i="16" s="1"/>
  <c r="W233" i="12"/>
  <c r="W249" i="12" s="1"/>
  <c r="AG170" i="14"/>
  <c r="W118" i="13"/>
  <c r="W166" i="13"/>
  <c r="U169" i="11"/>
  <c r="U185" i="11"/>
  <c r="U170" i="11" s="1"/>
  <c r="M90" i="13"/>
  <c r="M233" i="13"/>
  <c r="Q217" i="16"/>
  <c r="Q218" i="16"/>
  <c r="X171" i="11"/>
  <c r="D186" i="12"/>
  <c r="D171" i="12" s="1"/>
  <c r="Y171" i="15"/>
  <c r="Y172" i="15" s="1"/>
  <c r="L246" i="17"/>
  <c r="AF232" i="11"/>
  <c r="AF233" i="11"/>
  <c r="U103" i="15"/>
  <c r="U229" i="15"/>
  <c r="U245" i="15" s="1"/>
  <c r="H118" i="16"/>
  <c r="H166" i="16"/>
  <c r="R169" i="20"/>
  <c r="R171" i="20" s="1"/>
  <c r="AA90" i="11"/>
  <c r="AA248" i="11"/>
  <c r="AA264" i="11" s="1"/>
  <c r="Y245" i="13"/>
  <c r="AC170" i="10"/>
  <c r="AC172" i="10" s="1"/>
  <c r="K103" i="13"/>
  <c r="K229" i="13"/>
  <c r="K245" i="13" s="1"/>
  <c r="Z104" i="13"/>
  <c r="Z230" i="13"/>
  <c r="C88" i="17"/>
  <c r="N232" i="12"/>
  <c r="N248" i="12" s="1"/>
  <c r="X217" i="13"/>
  <c r="X218" i="13"/>
  <c r="C118" i="15"/>
  <c r="C166" i="15"/>
  <c r="AM121" i="10"/>
  <c r="AM248" i="10" s="1"/>
  <c r="AM169" i="10"/>
  <c r="U186" i="19"/>
  <c r="U171" i="19" s="1"/>
  <c r="K119" i="12"/>
  <c r="K167" i="12"/>
  <c r="Y186" i="12"/>
  <c r="M105" i="13"/>
  <c r="M231" i="13"/>
  <c r="M247" i="13" s="1"/>
  <c r="C103" i="17"/>
  <c r="C229" i="17"/>
  <c r="S231" i="12"/>
  <c r="S89" i="12"/>
  <c r="S105" i="12" s="1"/>
  <c r="J170" i="19"/>
  <c r="N90" i="16"/>
  <c r="AG247" i="11"/>
  <c r="AG263" i="11" s="1"/>
  <c r="AG89" i="11"/>
  <c r="AG105" i="11" s="1"/>
  <c r="AD170" i="10"/>
  <c r="D216" i="15"/>
  <c r="D313" i="15"/>
  <c r="AF170" i="10"/>
  <c r="AF172" i="10" s="1"/>
  <c r="AA244" i="17"/>
  <c r="R297" i="14"/>
  <c r="L25" i="14"/>
  <c r="L28" i="14" s="1"/>
  <c r="L26" i="14" s="1"/>
  <c r="Y171" i="20"/>
  <c r="T105" i="15"/>
  <c r="T231" i="15"/>
  <c r="P297" i="14"/>
  <c r="AG201" i="9"/>
  <c r="AC103" i="17"/>
  <c r="AC229" i="17"/>
  <c r="D216" i="17"/>
  <c r="D313" i="17"/>
  <c r="Y89" i="17"/>
  <c r="H103" i="16"/>
  <c r="H229" i="16"/>
  <c r="I119" i="15"/>
  <c r="I167" i="15"/>
  <c r="U217" i="13"/>
  <c r="U218" i="13"/>
  <c r="E233" i="12"/>
  <c r="E249" i="12" s="1"/>
  <c r="E91" i="12"/>
  <c r="E107" i="12" s="1"/>
  <c r="F234" i="17"/>
  <c r="F91" i="17"/>
  <c r="F219" i="17"/>
  <c r="F33" i="17" s="1"/>
  <c r="F35" i="17" s="1"/>
  <c r="F41" i="17" s="1"/>
  <c r="Q186" i="15"/>
  <c r="AC218" i="13"/>
  <c r="AC217" i="13"/>
  <c r="E103" i="16"/>
  <c r="E229" i="16"/>
  <c r="P89" i="16"/>
  <c r="Q89" i="16"/>
  <c r="H244" i="16"/>
  <c r="U89" i="17"/>
  <c r="I171" i="11"/>
  <c r="J112" i="12"/>
  <c r="J239" i="12" s="1"/>
  <c r="J108" i="12"/>
  <c r="J23" i="12" s="1"/>
  <c r="J160" i="12"/>
  <c r="S89" i="17"/>
  <c r="C118" i="17"/>
  <c r="C166" i="17"/>
  <c r="R103" i="16"/>
  <c r="R229" i="16"/>
  <c r="I104" i="13"/>
  <c r="I230" i="13"/>
  <c r="I246" i="13" s="1"/>
  <c r="S172" i="14"/>
  <c r="AK172" i="10"/>
  <c r="O217" i="15"/>
  <c r="O218" i="15"/>
  <c r="F103" i="16"/>
  <c r="F229" i="16"/>
  <c r="L90" i="16"/>
  <c r="V217" i="17"/>
  <c r="V218" i="17"/>
  <c r="I91" i="17"/>
  <c r="I234" i="17"/>
  <c r="I219" i="17"/>
  <c r="I33" i="17" s="1"/>
  <c r="I35" i="17" s="1"/>
  <c r="I41" i="17" s="1"/>
  <c r="AD186" i="16"/>
  <c r="G122" i="15"/>
  <c r="G108" i="15"/>
  <c r="G23" i="15" s="1"/>
  <c r="G25" i="15" s="1"/>
  <c r="G28" i="15" s="1"/>
  <c r="G26" i="15" s="1"/>
  <c r="V120" i="12"/>
  <c r="V247" i="12" s="1"/>
  <c r="V168" i="12"/>
  <c r="J213" i="14"/>
  <c r="J293" i="14" s="1"/>
  <c r="J102" i="14"/>
  <c r="I86" i="14"/>
  <c r="AG172" i="14"/>
  <c r="L234" i="17"/>
  <c r="L91" i="17"/>
  <c r="L219" i="17"/>
  <c r="L33" i="17" s="1"/>
  <c r="L35" i="17" s="1"/>
  <c r="L41" i="17" s="1"/>
  <c r="B245" i="13"/>
  <c r="Y170" i="15"/>
  <c r="L120" i="17"/>
  <c r="L168" i="17"/>
  <c r="AF89" i="11"/>
  <c r="AF105" i="11" s="1"/>
  <c r="S171" i="20"/>
  <c r="AB79" i="11"/>
  <c r="AA249" i="11" s="1"/>
  <c r="S93" i="13"/>
  <c r="S15" i="13"/>
  <c r="C103" i="16"/>
  <c r="C229" i="16"/>
  <c r="Q103" i="15"/>
  <c r="Q229" i="15"/>
  <c r="Q245" i="15" s="1"/>
  <c r="H103" i="13"/>
  <c r="H229" i="13"/>
  <c r="H245" i="13" s="1"/>
  <c r="AA186" i="13"/>
  <c r="AA171" i="13" s="1"/>
  <c r="X89" i="13"/>
  <c r="W247" i="16"/>
  <c r="L170" i="14"/>
  <c r="H171" i="14"/>
  <c r="AF120" i="11"/>
  <c r="AF168" i="11"/>
  <c r="S313" i="16"/>
  <c r="S216" i="16"/>
  <c r="Y119" i="12"/>
  <c r="Y246" i="12" s="1"/>
  <c r="Y167" i="12"/>
  <c r="Y123" i="15"/>
  <c r="Y250" i="15" s="1"/>
  <c r="Y108" i="15"/>
  <c r="Y23" i="15" s="1"/>
  <c r="Y25" i="15" s="1"/>
  <c r="Y28" i="15" s="1"/>
  <c r="Y26" i="15" s="1"/>
  <c r="V103" i="16"/>
  <c r="V229" i="16"/>
  <c r="V245" i="16" s="1"/>
  <c r="M170" i="14"/>
  <c r="M172" i="14" s="1"/>
  <c r="B104" i="13"/>
  <c r="B230" i="13"/>
  <c r="B246" i="13" s="1"/>
  <c r="I217" i="13"/>
  <c r="I218" i="13"/>
  <c r="P25" i="1"/>
  <c r="P15" i="17"/>
  <c r="Q90" i="12"/>
  <c r="Q106" i="12" s="1"/>
  <c r="D118" i="13"/>
  <c r="D166" i="13"/>
  <c r="P170" i="10"/>
  <c r="P186" i="10"/>
  <c r="P171" i="10" s="1"/>
  <c r="AA216" i="19"/>
  <c r="AA232" i="19" s="1"/>
  <c r="AA248" i="19" s="1"/>
  <c r="AA313" i="19"/>
  <c r="T186" i="12"/>
  <c r="T171" i="12" s="1"/>
  <c r="G216" i="16"/>
  <c r="G313" i="16"/>
  <c r="N105" i="16"/>
  <c r="N231" i="16"/>
  <c r="N247" i="16" s="1"/>
  <c r="R170" i="12"/>
  <c r="T91" i="15"/>
  <c r="T234" i="15"/>
  <c r="T219" i="15"/>
  <c r="T33" i="15" s="1"/>
  <c r="T35" i="15" s="1"/>
  <c r="T41" i="15" s="1"/>
  <c r="L89" i="15"/>
  <c r="T90" i="17"/>
  <c r="I170" i="12"/>
  <c r="T120" i="17"/>
  <c r="T168" i="17"/>
  <c r="Z169" i="11"/>
  <c r="Z185" i="11"/>
  <c r="Z170" i="11" s="1"/>
  <c r="M119" i="15"/>
  <c r="M167" i="15"/>
  <c r="B105" i="17"/>
  <c r="B231" i="17"/>
  <c r="B247" i="17" s="1"/>
  <c r="B186" i="14"/>
  <c r="Q88" i="13"/>
  <c r="K88" i="17"/>
  <c r="L104" i="13"/>
  <c r="L230" i="13"/>
  <c r="AE79" i="11"/>
  <c r="X186" i="13"/>
  <c r="AM116" i="10"/>
  <c r="AM243" i="10" s="1"/>
  <c r="AM164" i="10"/>
  <c r="AM107" i="10"/>
  <c r="E313" i="17"/>
  <c r="E216" i="17"/>
  <c r="K118" i="14"/>
  <c r="K245" i="14" s="1"/>
  <c r="K166" i="14"/>
  <c r="W216" i="13"/>
  <c r="W313" i="13"/>
  <c r="Y119" i="13"/>
  <c r="Y167" i="13"/>
  <c r="M121" i="12"/>
  <c r="M169" i="12"/>
  <c r="Z217" i="13"/>
  <c r="Z218" i="13"/>
  <c r="AM122" i="10"/>
  <c r="AM249" i="10" s="1"/>
  <c r="AM170" i="10"/>
  <c r="X186" i="15"/>
  <c r="AB217" i="13"/>
  <c r="AB218" i="13"/>
  <c r="P186" i="14"/>
  <c r="P171" i="14" s="1"/>
  <c r="AA172" i="10"/>
  <c r="E88" i="13"/>
  <c r="E103" i="17"/>
  <c r="E229" i="17"/>
  <c r="J119" i="17"/>
  <c r="J167" i="17"/>
  <c r="B89" i="15"/>
  <c r="AD216" i="16"/>
  <c r="AD313" i="16"/>
  <c r="E170" i="15"/>
  <c r="G313" i="17"/>
  <c r="G216" i="17"/>
  <c r="M90" i="16"/>
  <c r="AD297" i="14"/>
  <c r="AD313" i="14"/>
  <c r="AD298" i="14" s="1"/>
  <c r="R104" i="15"/>
  <c r="R230" i="15"/>
  <c r="J120" i="14"/>
  <c r="J247" i="14" s="1"/>
  <c r="J168" i="14"/>
  <c r="Y80" i="12"/>
  <c r="X219" i="12"/>
  <c r="X33" i="12" s="1"/>
  <c r="D88" i="13"/>
  <c r="N246" i="16"/>
  <c r="AA103" i="17"/>
  <c r="AA229" i="17"/>
  <c r="AA245" i="17" s="1"/>
  <c r="I119" i="14"/>
  <c r="I246" i="14" s="1"/>
  <c r="I167" i="14"/>
  <c r="P104" i="16"/>
  <c r="P230" i="16"/>
  <c r="L186" i="19"/>
  <c r="L171" i="19" s="1"/>
  <c r="AC297" i="14"/>
  <c r="V118" i="13"/>
  <c r="V166" i="13"/>
  <c r="O244" i="17"/>
  <c r="W88" i="13"/>
  <c r="V217" i="12"/>
  <c r="V218" i="12"/>
  <c r="B106" i="16"/>
  <c r="B232" i="16"/>
  <c r="B248" i="16" s="1"/>
  <c r="J97" i="14"/>
  <c r="I81" i="14"/>
  <c r="J208" i="14"/>
  <c r="J288" i="14" s="1"/>
  <c r="Y88" i="16"/>
  <c r="S172" i="19"/>
  <c r="E216" i="16"/>
  <c r="E313" i="16"/>
  <c r="M231" i="12"/>
  <c r="M247" i="12" s="1"/>
  <c r="Q297" i="14"/>
  <c r="Z89" i="13"/>
  <c r="L105" i="16"/>
  <c r="L231" i="16"/>
  <c r="AB89" i="13"/>
  <c r="P169" i="14"/>
  <c r="J244" i="15"/>
  <c r="W121" i="16"/>
  <c r="W169" i="16"/>
  <c r="B185" i="11"/>
  <c r="B170" i="11" s="1"/>
  <c r="L104" i="15"/>
  <c r="L230" i="15"/>
  <c r="L246" i="15" s="1"/>
  <c r="X121" i="12"/>
  <c r="X169" i="12"/>
  <c r="N234" i="16"/>
  <c r="N91" i="16"/>
  <c r="N233" i="16" s="1"/>
  <c r="V118" i="15"/>
  <c r="V166" i="15"/>
  <c r="AG232" i="11"/>
  <c r="AG233" i="11"/>
  <c r="AG249" i="11" s="1"/>
  <c r="V119" i="17"/>
  <c r="V167" i="17"/>
  <c r="D103" i="17"/>
  <c r="D229" i="17"/>
  <c r="F35" i="12"/>
  <c r="F41" i="12" s="1"/>
  <c r="F4" i="3"/>
  <c r="F6" i="3" s="1"/>
  <c r="F12" i="3" s="1"/>
  <c r="R217" i="15"/>
  <c r="R218" i="15"/>
  <c r="L120" i="12"/>
  <c r="L168" i="12"/>
  <c r="I212" i="14"/>
  <c r="I292" i="14" s="1"/>
  <c r="I101" i="14"/>
  <c r="H85" i="14"/>
  <c r="B89" i="13"/>
  <c r="J169" i="11"/>
  <c r="V186" i="14"/>
  <c r="V171" i="14" s="1"/>
  <c r="AE186" i="12"/>
  <c r="H118" i="13"/>
  <c r="H166" i="13"/>
  <c r="J244" i="13"/>
  <c r="J104" i="17"/>
  <c r="J230" i="17"/>
  <c r="J246" i="17" s="1"/>
  <c r="AC216" i="17"/>
  <c r="AC313" i="17"/>
  <c r="B250" i="16"/>
  <c r="F186" i="13"/>
  <c r="K216" i="17"/>
  <c r="K313" i="17"/>
  <c r="AC217" i="16"/>
  <c r="AC218" i="16"/>
  <c r="O170" i="14"/>
  <c r="O172" i="14" s="1"/>
  <c r="P217" i="16"/>
  <c r="P218" i="16"/>
  <c r="Q104" i="16"/>
  <c r="Q230" i="16"/>
  <c r="Q246" i="16" s="1"/>
  <c r="E170" i="19"/>
  <c r="E186" i="19"/>
  <c r="E171" i="19" s="1"/>
  <c r="O186" i="17"/>
  <c r="X104" i="17"/>
  <c r="X230" i="17"/>
  <c r="V244" i="13"/>
  <c r="K113" i="14"/>
  <c r="K240" i="14" s="1"/>
  <c r="K161" i="14"/>
  <c r="C119" i="13"/>
  <c r="C167" i="13"/>
  <c r="T248" i="12"/>
  <c r="J207" i="14"/>
  <c r="J96" i="14"/>
  <c r="J93" i="14"/>
  <c r="I80" i="14"/>
  <c r="K216" i="12"/>
  <c r="K313" i="12"/>
  <c r="K118" i="16"/>
  <c r="K166" i="16"/>
  <c r="X233" i="12"/>
  <c r="X91" i="12"/>
  <c r="X107" i="12" s="1"/>
  <c r="X123" i="12" s="1"/>
  <c r="AB185" i="11"/>
  <c r="Y217" i="13"/>
  <c r="Y218" i="13"/>
  <c r="N120" i="16"/>
  <c r="N168" i="16"/>
  <c r="L169" i="19"/>
  <c r="X217" i="17"/>
  <c r="X218" i="17"/>
  <c r="V103" i="15"/>
  <c r="V229" i="15"/>
  <c r="V245" i="15" s="1"/>
  <c r="U104" i="17"/>
  <c r="U230" i="17"/>
  <c r="U246" i="17" s="1"/>
  <c r="I313" i="14"/>
  <c r="I298" i="14" s="1"/>
  <c r="V90" i="12"/>
  <c r="V232" i="12"/>
  <c r="T186" i="15"/>
  <c r="B233" i="16"/>
  <c r="Y313" i="16"/>
  <c r="Y216" i="16"/>
  <c r="R244" i="13"/>
  <c r="W121" i="15"/>
  <c r="E88" i="16"/>
  <c r="U104" i="12"/>
  <c r="B104" i="15"/>
  <c r="B230" i="15"/>
  <c r="B246" i="15" s="1"/>
  <c r="F217" i="13"/>
  <c r="F218" i="13"/>
  <c r="J118" i="15"/>
  <c r="J166" i="15"/>
  <c r="D88" i="16"/>
  <c r="G186" i="12"/>
  <c r="G171" i="12" s="1"/>
  <c r="U119" i="12"/>
  <c r="U246" i="12" s="1"/>
  <c r="U167" i="12"/>
  <c r="Z103" i="17"/>
  <c r="Z229" i="17"/>
  <c r="Z245" i="17" s="1"/>
  <c r="H120" i="17"/>
  <c r="H168" i="17"/>
  <c r="N171" i="12"/>
  <c r="M186" i="19"/>
  <c r="M171" i="19" s="1"/>
  <c r="M170" i="19"/>
  <c r="Z118" i="17"/>
  <c r="Z166" i="17"/>
  <c r="I105" i="14"/>
  <c r="I216" i="14"/>
  <c r="I296" i="14" s="1"/>
  <c r="H89" i="14"/>
  <c r="P170" i="17"/>
  <c r="P172" i="17" s="1"/>
  <c r="X186" i="14"/>
  <c r="X171" i="14" s="1"/>
  <c r="N233" i="15"/>
  <c r="N90" i="15"/>
  <c r="I99" i="14"/>
  <c r="I210" i="14"/>
  <c r="I290" i="14" s="1"/>
  <c r="H83" i="14"/>
  <c r="AG203" i="9"/>
  <c r="H232" i="12"/>
  <c r="H90" i="12"/>
  <c r="H106" i="12" s="1"/>
  <c r="Y217" i="17"/>
  <c r="Y218" i="17"/>
  <c r="Y169" i="20"/>
  <c r="J117" i="14"/>
  <c r="J244" i="14" s="1"/>
  <c r="J165" i="14"/>
  <c r="D88" i="17"/>
  <c r="W186" i="15"/>
  <c r="W171" i="15" s="1"/>
  <c r="N216" i="13"/>
  <c r="N313" i="13"/>
  <c r="C104" i="13"/>
  <c r="C230" i="13"/>
  <c r="C246" i="13" s="1"/>
  <c r="W171" i="20"/>
  <c r="X248" i="12"/>
  <c r="P119" i="16"/>
  <c r="P167" i="16"/>
  <c r="J118" i="13"/>
  <c r="J166" i="13"/>
  <c r="B90" i="17"/>
  <c r="J103" i="15"/>
  <c r="J229" i="15"/>
  <c r="H216" i="16"/>
  <c r="H313" i="16"/>
  <c r="K185" i="20"/>
  <c r="K170" i="20" s="1"/>
  <c r="Y89" i="13"/>
  <c r="AA88" i="17"/>
  <c r="P18" i="3"/>
  <c r="P35" i="13"/>
  <c r="P41" i="13" s="1"/>
  <c r="O216" i="17"/>
  <c r="O313" i="17"/>
  <c r="U245" i="17"/>
  <c r="R245" i="15"/>
  <c r="G217" i="13"/>
  <c r="G218" i="13"/>
  <c r="G104" i="13"/>
  <c r="G230" i="13"/>
  <c r="X89" i="17"/>
  <c r="O118" i="17"/>
  <c r="O166" i="17"/>
  <c r="E186" i="13"/>
  <c r="R118" i="13"/>
  <c r="R166" i="13"/>
  <c r="Q244" i="13"/>
  <c r="S249" i="13"/>
  <c r="AB246" i="16"/>
  <c r="AB234" i="16"/>
  <c r="AB91" i="16"/>
  <c r="T20" i="3"/>
  <c r="T26" i="3" s="1"/>
  <c r="K297" i="14"/>
  <c r="F89" i="13"/>
  <c r="AE232" i="11"/>
  <c r="AE233" i="11"/>
  <c r="C217" i="13"/>
  <c r="C218" i="13"/>
  <c r="B90" i="12"/>
  <c r="B106" i="12" s="1"/>
  <c r="W107" i="15"/>
  <c r="W123" i="15" s="1"/>
  <c r="W92" i="15"/>
  <c r="W12" i="15" s="1"/>
  <c r="W15" i="15" s="1"/>
  <c r="W46" i="15" s="1"/>
  <c r="X119" i="17"/>
  <c r="X167" i="17"/>
  <c r="F119" i="13"/>
  <c r="F167" i="13"/>
  <c r="Z90" i="16"/>
  <c r="Q217" i="12"/>
  <c r="Q218" i="12"/>
  <c r="V297" i="14"/>
  <c r="V313" i="14"/>
  <c r="V298" i="14" s="1"/>
  <c r="N170" i="12"/>
  <c r="AB232" i="20"/>
  <c r="AB248" i="20" s="1"/>
  <c r="AB264" i="20" s="1"/>
  <c r="AB233" i="20"/>
  <c r="AB249" i="20" s="1"/>
  <c r="AB265" i="20" s="1"/>
  <c r="L172" i="14"/>
  <c r="V296" i="14"/>
  <c r="I119" i="13"/>
  <c r="I167" i="13"/>
  <c r="W103" i="13"/>
  <c r="W229" i="13"/>
  <c r="I89" i="13"/>
  <c r="T234" i="17"/>
  <c r="T91" i="17"/>
  <c r="T219" i="17"/>
  <c r="T33" i="17" s="1"/>
  <c r="T35" i="17" s="1"/>
  <c r="T41" i="17" s="1"/>
  <c r="I170" i="10"/>
  <c r="I172" i="10" s="1"/>
  <c r="T169" i="12"/>
  <c r="AA103" i="16"/>
  <c r="AA229" i="16"/>
  <c r="AA245" i="16" s="1"/>
  <c r="AA88" i="16"/>
  <c r="T93" i="13"/>
  <c r="T15" i="13"/>
  <c r="Q120" i="12"/>
  <c r="Q168" i="12"/>
  <c r="AA297" i="14"/>
  <c r="AD186" i="13"/>
  <c r="Q119" i="16"/>
  <c r="Q167" i="16"/>
  <c r="W185" i="11"/>
  <c r="W170" i="11" s="1"/>
  <c r="V89" i="17"/>
  <c r="L233" i="17"/>
  <c r="L90" i="17"/>
  <c r="E313" i="14"/>
  <c r="Y104" i="12"/>
  <c r="N103" i="17"/>
  <c r="N229" i="17"/>
  <c r="K168" i="20"/>
  <c r="X104" i="13"/>
  <c r="X230" i="13"/>
  <c r="B186" i="10"/>
  <c r="B171" i="10" s="1"/>
  <c r="X122" i="16"/>
  <c r="X249" i="16" s="1"/>
  <c r="X108" i="16"/>
  <c r="X23" i="16" s="1"/>
  <c r="X25" i="16" s="1"/>
  <c r="X28" i="16" s="1"/>
  <c r="X26" i="16" s="1"/>
  <c r="E170" i="10"/>
  <c r="E172" i="10" s="1"/>
  <c r="C231" i="12"/>
  <c r="C247" i="12" s="1"/>
  <c r="C89" i="12"/>
  <c r="C105" i="12" s="1"/>
  <c r="F120" i="17"/>
  <c r="F168" i="17"/>
  <c r="M105" i="17"/>
  <c r="M231" i="17"/>
  <c r="K230" i="12"/>
  <c r="J89" i="16"/>
  <c r="L119" i="15"/>
  <c r="L167" i="15"/>
  <c r="B186" i="17"/>
  <c r="U88" i="16"/>
  <c r="V169" i="11"/>
  <c r="V185" i="11"/>
  <c r="V170" i="11" s="1"/>
  <c r="L186" i="16"/>
  <c r="AA185" i="20"/>
  <c r="AA170" i="20" s="1"/>
  <c r="AB29" i="1"/>
  <c r="AB30" i="1" s="1"/>
  <c r="AB31" i="1" s="1"/>
  <c r="AD218" i="15"/>
  <c r="AD217" i="15"/>
  <c r="AA216" i="17"/>
  <c r="AA313" i="17"/>
  <c r="P107" i="13"/>
  <c r="P123" i="13" s="1"/>
  <c r="P92" i="13"/>
  <c r="P12" i="13" s="1"/>
  <c r="O88" i="17"/>
  <c r="U119" i="17"/>
  <c r="U167" i="17"/>
  <c r="L217" i="13"/>
  <c r="L218" i="13"/>
  <c r="G89" i="13"/>
  <c r="D169" i="20"/>
  <c r="D171" i="20" s="1"/>
  <c r="R234" i="17"/>
  <c r="R91" i="17"/>
  <c r="R219" i="17"/>
  <c r="R33" i="17" s="1"/>
  <c r="R35" i="17" s="1"/>
  <c r="R41" i="17" s="1"/>
  <c r="T297" i="14"/>
  <c r="AH170" i="14"/>
  <c r="AH172" i="14" s="1"/>
  <c r="J217" i="17"/>
  <c r="J218" i="17"/>
  <c r="S245" i="17"/>
  <c r="V105" i="12"/>
  <c r="Q118" i="13"/>
  <c r="Q166" i="13"/>
  <c r="AB245" i="13"/>
  <c r="K244" i="13"/>
  <c r="AB120" i="16"/>
  <c r="AB168" i="16"/>
  <c r="K103" i="17"/>
  <c r="K229" i="17"/>
  <c r="AB90" i="16"/>
  <c r="H234" i="17"/>
  <c r="H91" i="17"/>
  <c r="H219" i="17"/>
  <c r="H33" i="17" s="1"/>
  <c r="H35" i="17" s="1"/>
  <c r="H41" i="17" s="1"/>
  <c r="AE89" i="11"/>
  <c r="AE105" i="11" s="1"/>
  <c r="R313" i="13"/>
  <c r="R216" i="13"/>
  <c r="G91" i="12"/>
  <c r="G107" i="12" s="1"/>
  <c r="G123" i="12" s="1"/>
  <c r="G233" i="12"/>
  <c r="G249" i="12" s="1"/>
  <c r="D186" i="13"/>
  <c r="V216" i="16"/>
  <c r="V313" i="16"/>
  <c r="W250" i="15"/>
  <c r="Q104" i="17"/>
  <c r="Q230" i="17"/>
  <c r="K103" i="16"/>
  <c r="K229" i="16"/>
  <c r="D313" i="14"/>
  <c r="J88" i="13"/>
  <c r="S88" i="16"/>
  <c r="E186" i="17"/>
  <c r="Z105" i="16"/>
  <c r="Z231" i="16"/>
  <c r="Z247" i="16" s="1"/>
  <c r="I246" i="17"/>
  <c r="K88" i="16"/>
  <c r="W170" i="12"/>
  <c r="W186" i="12"/>
  <c r="W171" i="12" s="1"/>
  <c r="R89" i="15"/>
  <c r="P169" i="10"/>
  <c r="I217" i="15"/>
  <c r="I218" i="15"/>
  <c r="E118" i="16"/>
  <c r="E166" i="16"/>
  <c r="E122" i="12"/>
  <c r="E170" i="12"/>
  <c r="U89" i="13"/>
  <c r="Q170" i="14"/>
  <c r="Q172" i="14" s="1"/>
  <c r="AB170" i="19"/>
  <c r="AB172" i="19" s="1"/>
  <c r="N105" i="15"/>
  <c r="N231" i="15"/>
  <c r="N247" i="15" s="1"/>
  <c r="Z245" i="13"/>
  <c r="B217" i="15"/>
  <c r="B218" i="15"/>
  <c r="M234" i="16"/>
  <c r="M91" i="16"/>
  <c r="M233" i="16" s="1"/>
  <c r="M219" i="16"/>
  <c r="M33" i="16" s="1"/>
  <c r="M35" i="16" s="1"/>
  <c r="M41" i="16" s="1"/>
  <c r="O171" i="12"/>
  <c r="P121" i="13"/>
  <c r="P169" i="13"/>
  <c r="R244" i="16"/>
  <c r="AC186" i="19"/>
  <c r="AC171" i="19" s="1"/>
  <c r="R118" i="16"/>
  <c r="R166" i="16"/>
  <c r="C216" i="12"/>
  <c r="C313" i="12"/>
  <c r="K231" i="12"/>
  <c r="K89" i="12"/>
  <c r="K105" i="12" s="1"/>
  <c r="D103" i="13"/>
  <c r="D229" i="13"/>
  <c r="D245" i="13" s="1"/>
  <c r="H171" i="11"/>
  <c r="AA20" i="3"/>
  <c r="AA26" i="3" s="1"/>
  <c r="O119" i="15"/>
  <c r="O167" i="15"/>
  <c r="D118" i="15"/>
  <c r="D166" i="15"/>
  <c r="B171" i="16"/>
  <c r="Z186" i="12"/>
  <c r="AB105" i="16"/>
  <c r="AB231" i="16"/>
  <c r="U80" i="12"/>
  <c r="T234" i="12"/>
  <c r="T250" i="12" s="1"/>
  <c r="T219" i="12"/>
  <c r="T33" i="12" s="1"/>
  <c r="AJ170" i="10"/>
  <c r="AJ186" i="10"/>
  <c r="AJ171" i="10" s="1"/>
  <c r="X217" i="15"/>
  <c r="X218" i="15"/>
  <c r="X245" i="13"/>
  <c r="K112" i="14"/>
  <c r="K239" i="14" s="1"/>
  <c r="K108" i="14"/>
  <c r="K23" i="14" s="1"/>
  <c r="K160" i="14"/>
  <c r="W106" i="16"/>
  <c r="W232" i="16"/>
  <c r="Q186" i="13"/>
  <c r="M234" i="17"/>
  <c r="M91" i="17"/>
  <c r="M219" i="17"/>
  <c r="M33" i="17" s="1"/>
  <c r="M35" i="17" s="1"/>
  <c r="M41" i="17" s="1"/>
  <c r="B186" i="13"/>
  <c r="P250" i="13"/>
  <c r="AD169" i="11"/>
  <c r="R119" i="15"/>
  <c r="R167" i="15"/>
  <c r="L89" i="13"/>
  <c r="R105" i="17"/>
  <c r="R231" i="17"/>
  <c r="R247" i="17" s="1"/>
  <c r="Y186" i="13"/>
  <c r="R90" i="17"/>
  <c r="J89" i="17"/>
  <c r="X171" i="20"/>
  <c r="S119" i="17"/>
  <c r="S167" i="17"/>
  <c r="T120" i="15"/>
  <c r="T168" i="15"/>
  <c r="U216" i="15"/>
  <c r="U313" i="15"/>
  <c r="Y185" i="11"/>
  <c r="Y170" i="11" s="1"/>
  <c r="S103" i="16"/>
  <c r="S229" i="16"/>
  <c r="S245" i="16" s="1"/>
  <c r="W106" i="15"/>
  <c r="W122" i="15" s="1"/>
  <c r="W232" i="15"/>
  <c r="W248" i="15" s="1"/>
  <c r="D244" i="17"/>
  <c r="AB119" i="13"/>
  <c r="AB167" i="13"/>
  <c r="J170" i="14"/>
  <c r="X245" i="15"/>
  <c r="K118" i="13"/>
  <c r="K166" i="13"/>
  <c r="AB297" i="14"/>
  <c r="T105" i="17"/>
  <c r="T231" i="17"/>
  <c r="T247" i="17" s="1"/>
  <c r="H90" i="17"/>
  <c r="D172" i="10"/>
  <c r="F185" i="11"/>
  <c r="F170" i="11" s="1"/>
  <c r="B92" i="16"/>
  <c r="B12" i="16" s="1"/>
  <c r="B15" i="16" s="1"/>
  <c r="B46" i="16" s="1"/>
  <c r="H216" i="13"/>
  <c r="H313" i="13"/>
  <c r="O103" i="17"/>
  <c r="O229" i="17"/>
  <c r="O245" i="17" s="1"/>
  <c r="N118" i="17"/>
  <c r="N166" i="17"/>
  <c r="B119" i="15"/>
  <c r="B167" i="15"/>
  <c r="F105" i="17"/>
  <c r="F231" i="17"/>
  <c r="C103" i="15"/>
  <c r="C229" i="15"/>
  <c r="C245" i="15" s="1"/>
  <c r="P120" i="15"/>
  <c r="P168" i="15"/>
  <c r="B91" i="17"/>
  <c r="B234" i="17"/>
  <c r="B219" i="17"/>
  <c r="B33" i="17" s="1"/>
  <c r="B35" i="17" s="1"/>
  <c r="B41" i="17" s="1"/>
  <c r="AA12" i="13"/>
  <c r="AA23" i="13"/>
  <c r="AA25" i="13" s="1"/>
  <c r="AA28" i="13" s="1"/>
  <c r="AA26" i="13" s="1"/>
  <c r="AD248" i="11"/>
  <c r="AD264" i="11" s="1"/>
  <c r="AD90" i="11"/>
  <c r="AD106" i="11" s="1"/>
  <c r="AD122" i="11" s="1"/>
  <c r="V104" i="17"/>
  <c r="V230" i="17"/>
  <c r="V246" i="17" s="1"/>
  <c r="N170" i="14"/>
  <c r="N172" i="14" s="1"/>
  <c r="S169" i="11"/>
  <c r="S185" i="11"/>
  <c r="S170" i="11" s="1"/>
  <c r="I171" i="14"/>
  <c r="S186" i="13"/>
  <c r="S171" i="13" s="1"/>
  <c r="O80" i="12"/>
  <c r="N234" i="12"/>
  <c r="N250" i="12" s="1"/>
  <c r="N219" i="12"/>
  <c r="N33" i="12" s="1"/>
  <c r="E216" i="13"/>
  <c r="E313" i="13"/>
  <c r="S104" i="17"/>
  <c r="S230" i="17"/>
  <c r="S246" i="17" s="1"/>
  <c r="G103" i="17"/>
  <c r="G229" i="17"/>
  <c r="G245" i="17" s="1"/>
  <c r="AL186" i="10"/>
  <c r="AL171" i="10" s="1"/>
  <c r="Z170" i="14"/>
  <c r="Z172" i="14" s="1"/>
  <c r="U216" i="16"/>
  <c r="U313" i="16"/>
  <c r="R170" i="14"/>
  <c r="R186" i="14"/>
  <c r="R171" i="14" s="1"/>
  <c r="J209" i="14"/>
  <c r="J289" i="14" s="1"/>
  <c r="J98" i="14"/>
  <c r="I82" i="14"/>
  <c r="G245" i="13"/>
  <c r="P108" i="17"/>
  <c r="P23" i="17" s="1"/>
  <c r="Y186" i="14"/>
  <c r="Y171" i="14" s="1"/>
  <c r="AB186" i="16"/>
  <c r="T91" i="12"/>
  <c r="T107" i="12" s="1"/>
  <c r="T123" i="12" s="1"/>
  <c r="AJ169" i="10"/>
  <c r="AJ172" i="10" s="1"/>
  <c r="X89" i="15"/>
  <c r="J170" i="12"/>
  <c r="X119" i="13"/>
  <c r="X167" i="13"/>
  <c r="C244" i="16"/>
  <c r="U103" i="16"/>
  <c r="U229" i="16"/>
  <c r="U245" i="16" s="1"/>
  <c r="M233" i="17"/>
  <c r="M90" i="17"/>
  <c r="Y104" i="13"/>
  <c r="Y230" i="13"/>
  <c r="Y170" i="10"/>
  <c r="Y186" i="10"/>
  <c r="Y171" i="10" s="1"/>
  <c r="K234" i="15"/>
  <c r="K91" i="15"/>
  <c r="K107" i="15" s="1"/>
  <c r="K123" i="15" s="1"/>
  <c r="K219" i="15"/>
  <c r="K33" i="15" s="1"/>
  <c r="K35" i="15" s="1"/>
  <c r="K41" i="15" s="1"/>
  <c r="M120" i="17"/>
  <c r="M168" i="17"/>
  <c r="W35" i="12"/>
  <c r="W41" i="12" s="1"/>
  <c r="W4" i="3"/>
  <c r="W6" i="3" s="1"/>
  <c r="W12" i="3" s="1"/>
  <c r="B219" i="12"/>
  <c r="B33" i="12" s="1"/>
  <c r="B120" i="12"/>
  <c r="B168" i="12"/>
  <c r="AD172" i="14"/>
  <c r="D103" i="15"/>
  <c r="D229" i="15"/>
  <c r="D245" i="15" s="1"/>
  <c r="M246" i="13"/>
  <c r="X169" i="20"/>
  <c r="N244" i="13"/>
  <c r="S246" i="15"/>
  <c r="U88" i="15"/>
  <c r="F244" i="16"/>
  <c r="Y168" i="11"/>
  <c r="W233" i="15"/>
  <c r="C88" i="16"/>
  <c r="D118" i="17"/>
  <c r="D166" i="17"/>
  <c r="O103" i="13"/>
  <c r="O229" i="13"/>
  <c r="O245" i="13" s="1"/>
  <c r="Q313" i="15"/>
  <c r="Q216" i="15"/>
  <c r="U170" i="14"/>
  <c r="U186" i="14"/>
  <c r="U171" i="14" s="1"/>
  <c r="U244" i="16"/>
  <c r="F168" i="11"/>
  <c r="B247" i="16"/>
  <c r="H88" i="13"/>
  <c r="G234" i="12"/>
  <c r="H80" i="12"/>
  <c r="G219" i="12"/>
  <c r="G33" i="12" s="1"/>
  <c r="S105" i="15"/>
  <c r="S231" i="15"/>
  <c r="R91" i="12"/>
  <c r="R107" i="12" s="1"/>
  <c r="R123" i="12" s="1"/>
  <c r="AA186" i="17"/>
  <c r="J172" i="19"/>
  <c r="Z234" i="16"/>
  <c r="Z91" i="16"/>
  <c r="Z219" i="16"/>
  <c r="C89" i="13"/>
  <c r="B168" i="11"/>
  <c r="H121" i="12"/>
  <c r="H169" i="12"/>
  <c r="R120" i="17"/>
  <c r="R168" i="17"/>
  <c r="Y104" i="17"/>
  <c r="Y230" i="17"/>
  <c r="Y246" i="17" s="1"/>
  <c r="S118" i="16"/>
  <c r="S166" i="16"/>
  <c r="B120" i="17"/>
  <c r="B168" i="17"/>
  <c r="AF172" i="14"/>
  <c r="Y118" i="16"/>
  <c r="Y166" i="16"/>
  <c r="V88" i="16"/>
  <c r="I120" i="16"/>
  <c r="I168" i="16"/>
  <c r="T122" i="13"/>
  <c r="T249" i="13" s="1"/>
  <c r="T170" i="13"/>
  <c r="T108" i="13"/>
  <c r="T23" i="13" s="1"/>
  <c r="T25" i="13" s="1"/>
  <c r="T28" i="13" s="1"/>
  <c r="T26" i="13" s="1"/>
  <c r="N171" i="11"/>
  <c r="G103" i="16"/>
  <c r="G229" i="16"/>
  <c r="G245" i="16" s="1"/>
  <c r="AI186" i="10"/>
  <c r="AI171" i="10" s="1"/>
  <c r="D88" i="15"/>
  <c r="B217" i="13"/>
  <c r="B218" i="13"/>
  <c r="J171" i="11"/>
  <c r="Q119" i="17"/>
  <c r="Q167" i="17"/>
  <c r="D118" i="16"/>
  <c r="D166" i="16"/>
  <c r="I89" i="15"/>
  <c r="E244" i="16"/>
  <c r="F233" i="12"/>
  <c r="F249" i="12" s="1"/>
  <c r="F91" i="12"/>
  <c r="F107" i="12" s="1"/>
  <c r="R185" i="11"/>
  <c r="R170" i="11" s="1"/>
  <c r="T246" i="17"/>
  <c r="T103" i="16"/>
  <c r="T229" i="16"/>
  <c r="AK170" i="10"/>
  <c r="Z88" i="17"/>
  <c r="T123" i="13"/>
  <c r="T250" i="13" s="1"/>
  <c r="T171" i="13"/>
  <c r="W170" i="14"/>
  <c r="W186" i="14"/>
  <c r="W171" i="14" s="1"/>
  <c r="AC172" i="14"/>
  <c r="G169" i="11"/>
  <c r="G171" i="11" s="1"/>
  <c r="E88" i="17"/>
  <c r="W169" i="20"/>
  <c r="X106" i="12"/>
  <c r="L169" i="20"/>
  <c r="L185" i="20"/>
  <c r="L170" i="20" s="1"/>
  <c r="Q80" i="12"/>
  <c r="P234" i="12"/>
  <c r="P219" i="12"/>
  <c r="P33" i="12" s="1"/>
  <c r="U217" i="17"/>
  <c r="U218" i="17"/>
  <c r="E172" i="15"/>
  <c r="P112" i="12"/>
  <c r="P239" i="12" s="1"/>
  <c r="P160" i="12"/>
  <c r="I90" i="17"/>
  <c r="I233" i="17"/>
  <c r="G119" i="13"/>
  <c r="G167" i="13"/>
  <c r="AC186" i="13"/>
  <c r="P249" i="17"/>
  <c r="P234" i="15"/>
  <c r="P91" i="15"/>
  <c r="P219" i="15"/>
  <c r="P33" i="15" s="1"/>
  <c r="P35" i="15" s="1"/>
  <c r="P41" i="15" s="1"/>
  <c r="AB232" i="11"/>
  <c r="AB233" i="11"/>
  <c r="I100" i="14"/>
  <c r="H84" i="14"/>
  <c r="I211" i="14"/>
  <c r="I291" i="14" s="1"/>
  <c r="X104" i="15"/>
  <c r="X230" i="15"/>
  <c r="T244" i="16"/>
  <c r="AC118" i="17"/>
  <c r="AC166" i="17"/>
  <c r="J245" i="16"/>
  <c r="O313" i="13"/>
  <c r="O216" i="13"/>
  <c r="Q121" i="12"/>
  <c r="Q169" i="12"/>
  <c r="C118" i="16"/>
  <c r="C166" i="16"/>
  <c r="E244" i="17"/>
  <c r="Z313" i="14"/>
  <c r="Z298" i="14" s="1"/>
  <c r="S234" i="15"/>
  <c r="S91" i="15"/>
  <c r="S219" i="15"/>
  <c r="S33" i="15" s="1"/>
  <c r="S35" i="15" s="1"/>
  <c r="S41" i="15" s="1"/>
  <c r="S170" i="10"/>
  <c r="S186" i="10"/>
  <c r="S171" i="10" s="1"/>
  <c r="V216" i="13"/>
  <c r="V313" i="13"/>
  <c r="Y169" i="10"/>
  <c r="K90" i="15"/>
  <c r="P186" i="15"/>
  <c r="L245" i="13"/>
  <c r="X92" i="12"/>
  <c r="X12" i="12" s="1"/>
  <c r="X96" i="12"/>
  <c r="B231" i="12"/>
  <c r="AB169" i="20"/>
  <c r="AB171" i="20" s="1"/>
  <c r="M169" i="20"/>
  <c r="M171" i="20" s="1"/>
  <c r="P232" i="12"/>
  <c r="P248" i="12" s="1"/>
  <c r="M120" i="13"/>
  <c r="M168" i="13"/>
  <c r="R172" i="19"/>
  <c r="N246" i="15"/>
  <c r="N118" i="13"/>
  <c r="N166" i="13"/>
  <c r="S120" i="15"/>
  <c r="S168" i="15"/>
  <c r="AA244" i="16"/>
  <c r="F118" i="16"/>
  <c r="F166" i="16"/>
  <c r="K246" i="15"/>
  <c r="O122" i="16"/>
  <c r="O249" i="16" s="1"/>
  <c r="O170" i="16"/>
  <c r="O172" i="16" s="1"/>
  <c r="C216" i="16"/>
  <c r="C313" i="16"/>
  <c r="K216" i="13"/>
  <c r="K313" i="13"/>
  <c r="Q88" i="15"/>
  <c r="U169" i="14"/>
  <c r="M105" i="16"/>
  <c r="M231" i="16"/>
  <c r="M247" i="16" s="1"/>
  <c r="U118" i="16"/>
  <c r="U166" i="16"/>
  <c r="O170" i="10"/>
  <c r="O186" i="10"/>
  <c r="O171" i="10" s="1"/>
  <c r="AE120" i="11"/>
  <c r="AE168" i="11"/>
  <c r="N219" i="16"/>
  <c r="N33" i="16" s="1"/>
  <c r="N35" i="16" s="1"/>
  <c r="N41" i="16" s="1"/>
  <c r="B121" i="16"/>
  <c r="B169" i="16"/>
  <c r="AG119" i="11"/>
  <c r="AG167" i="11"/>
  <c r="Z186" i="17"/>
  <c r="J216" i="13"/>
  <c r="J313" i="13"/>
  <c r="AE186" i="13"/>
  <c r="R88" i="13"/>
  <c r="E118" i="13"/>
  <c r="E166" i="13"/>
  <c r="Y119" i="17"/>
  <c r="Y167" i="17"/>
  <c r="K105" i="15"/>
  <c r="K231" i="15"/>
  <c r="K247" i="15" s="1"/>
  <c r="K92" i="15"/>
  <c r="K12" i="15" s="1"/>
  <c r="K15" i="15" s="1"/>
  <c r="K46" i="15" s="1"/>
  <c r="AF246" i="11"/>
  <c r="AF262" i="11" s="1"/>
  <c r="D172" i="19"/>
  <c r="H217" i="12"/>
  <c r="H218" i="12"/>
  <c r="D170" i="19"/>
  <c r="F122" i="12"/>
  <c r="F170" i="12"/>
  <c r="L89" i="12"/>
  <c r="L105" i="12" s="1"/>
  <c r="AG297" i="14"/>
  <c r="Z120" i="16"/>
  <c r="Z168" i="16"/>
  <c r="T90" i="15"/>
  <c r="J115" i="14"/>
  <c r="J242" i="14" s="1"/>
  <c r="J163" i="14"/>
  <c r="X170" i="16"/>
  <c r="X172" i="16" s="1"/>
  <c r="F216" i="16"/>
  <c r="F313" i="16"/>
  <c r="W104" i="17"/>
  <c r="W230" i="17"/>
  <c r="W246" i="17" s="1"/>
  <c r="H105" i="17"/>
  <c r="H231" i="17"/>
  <c r="H247" i="17" s="1"/>
  <c r="AC186" i="12"/>
  <c r="Z169" i="20"/>
  <c r="Z171" i="20" s="1"/>
  <c r="K114" i="14"/>
  <c r="K241" i="14" s="1"/>
  <c r="K162" i="14"/>
  <c r="N244" i="17"/>
  <c r="G186" i="15"/>
  <c r="G171" i="15" s="1"/>
  <c r="AD262" i="11"/>
  <c r="AA118" i="16"/>
  <c r="AA166" i="16"/>
  <c r="K120" i="15"/>
  <c r="K168" i="15"/>
  <c r="AA108" i="13"/>
  <c r="X119" i="15"/>
  <c r="X167" i="15"/>
  <c r="K88" i="13"/>
  <c r="Z172" i="19"/>
  <c r="T216" i="16"/>
  <c r="T313" i="16"/>
  <c r="AE262" i="11"/>
  <c r="H120" i="12"/>
  <c r="H247" i="12" s="1"/>
  <c r="H168" i="12"/>
  <c r="Q89" i="17"/>
  <c r="V103" i="13"/>
  <c r="V229" i="13"/>
  <c r="V245" i="13" s="1"/>
  <c r="M232" i="12"/>
  <c r="M248" i="12" s="1"/>
  <c r="M90" i="12"/>
  <c r="M106" i="12" s="1"/>
  <c r="AD172" i="10"/>
  <c r="Y103" i="16"/>
  <c r="Y229" i="16"/>
  <c r="L216" i="12"/>
  <c r="L313" i="12"/>
  <c r="O169" i="11"/>
  <c r="O171" i="11" s="1"/>
  <c r="AB218" i="15"/>
  <c r="AB217" i="15"/>
  <c r="Y216" i="12"/>
  <c r="Y313" i="12"/>
  <c r="J121" i="14"/>
  <c r="J248" i="14" s="1"/>
  <c r="J169" i="14"/>
  <c r="W186" i="19"/>
  <c r="W171" i="19" s="1"/>
  <c r="I120" i="17"/>
  <c r="I168" i="17"/>
  <c r="K216" i="16"/>
  <c r="K313" i="16"/>
  <c r="Z216" i="17"/>
  <c r="Z313" i="17"/>
  <c r="S20" i="3"/>
  <c r="S26" i="3" s="1"/>
  <c r="AD186" i="12"/>
  <c r="Q313" i="13"/>
  <c r="Q216" i="13"/>
  <c r="C186" i="17"/>
  <c r="F80" i="12"/>
  <c r="E234" i="12" s="1"/>
  <c r="E219" i="12"/>
  <c r="E33" i="12" s="1"/>
  <c r="AD217" i="17"/>
  <c r="AD218" i="17"/>
  <c r="M120" i="16"/>
  <c r="M168" i="16"/>
  <c r="W169" i="10"/>
  <c r="V172" i="10"/>
  <c r="F88" i="16"/>
  <c r="Z168" i="11"/>
  <c r="C186" i="10"/>
  <c r="C171" i="10" s="1"/>
  <c r="O104" i="15"/>
  <c r="O230" i="15"/>
  <c r="O246" i="15" s="1"/>
  <c r="O89" i="15"/>
  <c r="I215" i="14"/>
  <c r="I295" i="14" s="1"/>
  <c r="I104" i="14"/>
  <c r="H88" i="14"/>
  <c r="D216" i="13"/>
  <c r="D313" i="13"/>
  <c r="H103" i="14"/>
  <c r="G87" i="14"/>
  <c r="H214" i="14"/>
  <c r="H294" i="14" s="1"/>
  <c r="B119" i="13"/>
  <c r="B167" i="13"/>
  <c r="K118" i="17"/>
  <c r="K166" i="17"/>
  <c r="G88" i="17"/>
  <c r="AB219" i="19"/>
  <c r="G170" i="19"/>
  <c r="G172" i="19" s="1"/>
  <c r="T106" i="12"/>
  <c r="T122" i="12" s="1"/>
  <c r="K219" i="14"/>
  <c r="K33" i="14" s="1"/>
  <c r="K35" i="14" s="1"/>
  <c r="K41" i="14" s="1"/>
  <c r="K287" i="14"/>
  <c r="K120" i="12"/>
  <c r="K168" i="12"/>
  <c r="J217" i="16"/>
  <c r="J218" i="16"/>
  <c r="AB46" i="17"/>
  <c r="AB28" i="1"/>
  <c r="U104" i="13"/>
  <c r="U230" i="13"/>
  <c r="U246" i="13" s="1"/>
  <c r="D103" i="16"/>
  <c r="D229" i="16"/>
  <c r="T169" i="11"/>
  <c r="T185" i="11"/>
  <c r="T170" i="11" s="1"/>
  <c r="P233" i="15"/>
  <c r="P90" i="15"/>
  <c r="AB89" i="11"/>
  <c r="AB105" i="11" s="1"/>
  <c r="AB121" i="11" s="1"/>
  <c r="J116" i="14"/>
  <c r="J243" i="14" s="1"/>
  <c r="J164" i="14"/>
  <c r="T118" i="16"/>
  <c r="T166" i="16"/>
  <c r="R216" i="16"/>
  <c r="R313" i="16"/>
  <c r="J119" i="16"/>
  <c r="J167" i="16"/>
  <c r="O88" i="13"/>
  <c r="Q247" i="12"/>
  <c r="E118" i="17"/>
  <c r="E166" i="17"/>
  <c r="G249" i="15"/>
  <c r="S233" i="15"/>
  <c r="S90" i="15"/>
  <c r="V88" i="13"/>
  <c r="Y244" i="16"/>
  <c r="P106" i="13"/>
  <c r="P232" i="13"/>
  <c r="P248" i="13" s="1"/>
  <c r="L246" i="16"/>
  <c r="L119" i="13"/>
  <c r="L167" i="13"/>
  <c r="C216" i="15"/>
  <c r="C313" i="15"/>
  <c r="B121" i="12"/>
  <c r="B169" i="12"/>
  <c r="AC186" i="15"/>
  <c r="V313" i="15"/>
  <c r="V216" i="15"/>
  <c r="P122" i="12"/>
  <c r="P170" i="12"/>
  <c r="N120" i="15"/>
  <c r="N168" i="15"/>
  <c r="I104" i="15"/>
  <c r="I230" i="15"/>
  <c r="E103" i="13"/>
  <c r="E229" i="13"/>
  <c r="E245" i="13" s="1"/>
  <c r="N103" i="13"/>
  <c r="N229" i="13"/>
  <c r="N245" i="13" s="1"/>
  <c r="T168" i="11"/>
  <c r="P105" i="15"/>
  <c r="P231" i="15"/>
  <c r="P247" i="15" s="1"/>
  <c r="D216" i="16"/>
  <c r="D313" i="16"/>
  <c r="R88" i="16"/>
  <c r="Q217" i="17"/>
  <c r="Q218" i="17"/>
  <c r="Y245" i="17"/>
  <c r="Z170" i="10"/>
  <c r="Z172" i="10" s="1"/>
  <c r="Q103" i="13"/>
  <c r="Q229" i="13"/>
  <c r="AA170" i="14"/>
  <c r="AA172" i="14" s="1"/>
  <c r="J104" i="16"/>
  <c r="J230" i="16"/>
  <c r="S80" i="12"/>
  <c r="R234" i="12"/>
  <c r="R250" i="12" s="1"/>
  <c r="R219" i="12"/>
  <c r="R33" i="12" s="1"/>
  <c r="W107" i="16"/>
  <c r="W171" i="16" s="1"/>
  <c r="W92" i="16"/>
  <c r="AB170" i="14"/>
  <c r="AB172" i="14" s="1"/>
  <c r="I105" i="17"/>
  <c r="I231" i="17"/>
  <c r="I247" i="17" s="1"/>
  <c r="P233" i="13"/>
  <c r="L105" i="17"/>
  <c r="L231" i="17"/>
  <c r="L247" i="17" s="1"/>
  <c r="L120" i="16"/>
  <c r="L168" i="16"/>
  <c r="M297" i="14"/>
  <c r="X245" i="17"/>
  <c r="C88" i="15"/>
  <c r="B217" i="12"/>
  <c r="B218" i="12"/>
  <c r="V88" i="15"/>
  <c r="AE172" i="14"/>
  <c r="V244" i="16"/>
  <c r="V245" i="17"/>
  <c r="J103" i="13"/>
  <c r="J229" i="13"/>
  <c r="J245" i="13" s="1"/>
  <c r="G169" i="15"/>
  <c r="G118" i="17"/>
  <c r="G166" i="17"/>
  <c r="G171" i="20"/>
  <c r="H246" i="17"/>
  <c r="M217" i="12"/>
  <c r="M218" i="12"/>
  <c r="Z170" i="19"/>
  <c r="S216" i="12"/>
  <c r="S313" i="12"/>
  <c r="C119" i="12"/>
  <c r="C246" i="12" s="1"/>
  <c r="C167" i="12"/>
  <c r="J172" i="10"/>
  <c r="T88" i="16"/>
  <c r="N186" i="19"/>
  <c r="N171" i="19" s="1"/>
  <c r="N170" i="19"/>
  <c r="D119" i="13" l="1"/>
  <c r="D167" i="13"/>
  <c r="AA89" i="17"/>
  <c r="R80" i="12"/>
  <c r="Q234" i="12"/>
  <c r="Q219" i="12"/>
  <c r="Q33" i="12" s="1"/>
  <c r="I80" i="12"/>
  <c r="H234" i="12"/>
  <c r="H219" i="12"/>
  <c r="H33" i="12" s="1"/>
  <c r="Y96" i="12"/>
  <c r="E119" i="17"/>
  <c r="E167" i="17"/>
  <c r="P122" i="13"/>
  <c r="P170" i="13"/>
  <c r="H121" i="17"/>
  <c r="H169" i="17"/>
  <c r="C89" i="16"/>
  <c r="G119" i="17"/>
  <c r="G167" i="17"/>
  <c r="O104" i="13"/>
  <c r="O230" i="13"/>
  <c r="R104" i="13"/>
  <c r="R230" i="13"/>
  <c r="R246" i="13" s="1"/>
  <c r="B90" i="15"/>
  <c r="B233" i="15"/>
  <c r="J105" i="16"/>
  <c r="J231" i="16"/>
  <c r="J247" i="16" s="1"/>
  <c r="G120" i="13"/>
  <c r="G168" i="13"/>
  <c r="AD218" i="16"/>
  <c r="AD217" i="16"/>
  <c r="P249" i="13"/>
  <c r="J90" i="16"/>
  <c r="D217" i="13"/>
  <c r="D218" i="13"/>
  <c r="L231" i="12"/>
  <c r="L247" i="12" s="1"/>
  <c r="S107" i="15"/>
  <c r="S92" i="15"/>
  <c r="S12" i="15" s="1"/>
  <c r="S15" i="15" s="1"/>
  <c r="S46" i="15" s="1"/>
  <c r="H100" i="14"/>
  <c r="G84" i="14"/>
  <c r="H211" i="14"/>
  <c r="H291" i="14" s="1"/>
  <c r="Q96" i="12"/>
  <c r="R171" i="11"/>
  <c r="D119" i="15"/>
  <c r="D167" i="15"/>
  <c r="K25" i="14"/>
  <c r="K28" i="14" s="1"/>
  <c r="K26" i="14" s="1"/>
  <c r="K104" i="16"/>
  <c r="K230" i="16"/>
  <c r="V121" i="12"/>
  <c r="V169" i="12"/>
  <c r="K246" i="12"/>
  <c r="Y120" i="12"/>
  <c r="Y168" i="12"/>
  <c r="G90" i="13"/>
  <c r="H248" i="12"/>
  <c r="I117" i="14"/>
  <c r="I244" i="14" s="1"/>
  <c r="I165" i="14"/>
  <c r="Y104" i="16"/>
  <c r="Y230" i="16"/>
  <c r="Y246" i="16" s="1"/>
  <c r="AA119" i="17"/>
  <c r="AA167" i="17"/>
  <c r="B105" i="15"/>
  <c r="B231" i="15"/>
  <c r="T250" i="15"/>
  <c r="I90" i="13"/>
  <c r="F119" i="16"/>
  <c r="F167" i="16"/>
  <c r="AE217" i="17"/>
  <c r="AE218" i="17"/>
  <c r="AE234" i="17" s="1"/>
  <c r="I122" i="14"/>
  <c r="I249" i="14" s="1"/>
  <c r="I170" i="14"/>
  <c r="G104" i="16"/>
  <c r="G230" i="16"/>
  <c r="Y90" i="12"/>
  <c r="Y232" i="12"/>
  <c r="V120" i="17"/>
  <c r="V168" i="17"/>
  <c r="E104" i="17"/>
  <c r="E230" i="17"/>
  <c r="E246" i="17" s="1"/>
  <c r="V119" i="16"/>
  <c r="V167" i="16"/>
  <c r="R35" i="12"/>
  <c r="R41" i="12" s="1"/>
  <c r="R4" i="3"/>
  <c r="R6" i="3" s="1"/>
  <c r="R12" i="3" s="1"/>
  <c r="L217" i="12"/>
  <c r="L218" i="12"/>
  <c r="T89" i="16"/>
  <c r="H91" i="12"/>
  <c r="H107" i="12" s="1"/>
  <c r="H233" i="12"/>
  <c r="H249" i="12" s="1"/>
  <c r="X112" i="12"/>
  <c r="X239" i="12" s="1"/>
  <c r="X160" i="12"/>
  <c r="X108" i="12"/>
  <c r="X23" i="12" s="1"/>
  <c r="X105" i="15"/>
  <c r="X231" i="15"/>
  <c r="X172" i="14"/>
  <c r="R104" i="16"/>
  <c r="R230" i="16"/>
  <c r="R246" i="16" s="1"/>
  <c r="G172" i="15"/>
  <c r="P35" i="12"/>
  <c r="P41" i="12" s="1"/>
  <c r="P4" i="3"/>
  <c r="P6" i="3" s="1"/>
  <c r="P12" i="3" s="1"/>
  <c r="O104" i="17"/>
  <c r="O230" i="17"/>
  <c r="K217" i="17"/>
  <c r="K218" i="17"/>
  <c r="D217" i="16"/>
  <c r="D218" i="16"/>
  <c r="C217" i="15"/>
  <c r="C218" i="15"/>
  <c r="D89" i="13"/>
  <c r="F92" i="12"/>
  <c r="F12" i="12" s="1"/>
  <c r="F96" i="12"/>
  <c r="Y217" i="12"/>
  <c r="Y218" i="12"/>
  <c r="Q105" i="17"/>
  <c r="Q231" i="17"/>
  <c r="I116" i="14"/>
  <c r="I243" i="14" s="1"/>
  <c r="I164" i="14"/>
  <c r="L171" i="20"/>
  <c r="R169" i="11"/>
  <c r="U172" i="14"/>
  <c r="U119" i="16"/>
  <c r="U167" i="16"/>
  <c r="U217" i="16"/>
  <c r="U218" i="16"/>
  <c r="N121" i="15"/>
  <c r="N169" i="15"/>
  <c r="AA217" i="17"/>
  <c r="AA218" i="17"/>
  <c r="M247" i="17"/>
  <c r="Z119" i="17"/>
  <c r="Z167" i="17"/>
  <c r="W108" i="15"/>
  <c r="W23" i="15" s="1"/>
  <c r="W25" i="15" s="1"/>
  <c r="W28" i="15" s="1"/>
  <c r="W26" i="15" s="1"/>
  <c r="Y234" i="13"/>
  <c r="Y91" i="13"/>
  <c r="Y219" i="13"/>
  <c r="Y33" i="13" s="1"/>
  <c r="Q104" i="13"/>
  <c r="Q230" i="13"/>
  <c r="Q246" i="13" s="1"/>
  <c r="T107" i="15"/>
  <c r="T123" i="15" s="1"/>
  <c r="T92" i="15"/>
  <c r="E123" i="12"/>
  <c r="E250" i="12" s="1"/>
  <c r="E171" i="12"/>
  <c r="U171" i="11"/>
  <c r="F246" i="13"/>
  <c r="H106" i="14"/>
  <c r="G90" i="14"/>
  <c r="H217" i="14"/>
  <c r="H297" i="14" s="1"/>
  <c r="M18" i="3"/>
  <c r="M35" i="13"/>
  <c r="M41" i="13" s="1"/>
  <c r="Y105" i="12"/>
  <c r="D89" i="16"/>
  <c r="AC79" i="11"/>
  <c r="AB249" i="11"/>
  <c r="AB265" i="11" s="1"/>
  <c r="Y233" i="13"/>
  <c r="Y90" i="13"/>
  <c r="B120" i="13"/>
  <c r="B168" i="13"/>
  <c r="F120" i="13"/>
  <c r="F168" i="13"/>
  <c r="R89" i="16"/>
  <c r="I120" i="14"/>
  <c r="I247" i="14" s="1"/>
  <c r="I168" i="14"/>
  <c r="J217" i="13"/>
  <c r="J218" i="13"/>
  <c r="Z297" i="14"/>
  <c r="AB90" i="11"/>
  <c r="AB106" i="11" s="1"/>
  <c r="AB122" i="11" s="1"/>
  <c r="F123" i="12"/>
  <c r="F171" i="12"/>
  <c r="C105" i="13"/>
  <c r="C231" i="13"/>
  <c r="Q89" i="15"/>
  <c r="R121" i="17"/>
  <c r="R169" i="17"/>
  <c r="X234" i="15"/>
  <c r="X91" i="15"/>
  <c r="X219" i="15"/>
  <c r="X33" i="15" s="1"/>
  <c r="X35" i="15" s="1"/>
  <c r="X41" i="15" s="1"/>
  <c r="K121" i="12"/>
  <c r="K169" i="12"/>
  <c r="Z121" i="16"/>
  <c r="Z169" i="16"/>
  <c r="R217" i="13"/>
  <c r="R218" i="13"/>
  <c r="J234" i="17"/>
  <c r="J91" i="17"/>
  <c r="J219" i="17"/>
  <c r="J33" i="17" s="1"/>
  <c r="J35" i="17" s="1"/>
  <c r="J41" i="17" s="1"/>
  <c r="Q91" i="12"/>
  <c r="Q107" i="12" s="1"/>
  <c r="Q233" i="12"/>
  <c r="AB107" i="16"/>
  <c r="AB171" i="16" s="1"/>
  <c r="AB92" i="16"/>
  <c r="O217" i="17"/>
  <c r="O218" i="17"/>
  <c r="AB170" i="11"/>
  <c r="AC217" i="17"/>
  <c r="AC218" i="17"/>
  <c r="L120" i="15"/>
  <c r="L168" i="15"/>
  <c r="J113" i="14"/>
  <c r="J240" i="14" s="1"/>
  <c r="J161" i="14"/>
  <c r="D104" i="13"/>
  <c r="D230" i="13"/>
  <c r="D246" i="13" s="1"/>
  <c r="O90" i="15"/>
  <c r="AA106" i="11"/>
  <c r="AA91" i="11"/>
  <c r="Y247" i="12"/>
  <c r="I121" i="17"/>
  <c r="I169" i="17"/>
  <c r="I97" i="14"/>
  <c r="I208" i="14"/>
  <c r="I288" i="14" s="1"/>
  <c r="H81" i="14"/>
  <c r="Q89" i="13"/>
  <c r="J89" i="13"/>
  <c r="K217" i="13"/>
  <c r="K218" i="13"/>
  <c r="X122" i="12"/>
  <c r="X170" i="12"/>
  <c r="Q217" i="15"/>
  <c r="Q218" i="15"/>
  <c r="H217" i="13"/>
  <c r="H218" i="13"/>
  <c r="L105" i="13"/>
  <c r="L231" i="13"/>
  <c r="L247" i="13" s="1"/>
  <c r="X233" i="15"/>
  <c r="X90" i="15"/>
  <c r="K247" i="12"/>
  <c r="J90" i="17"/>
  <c r="J233" i="17"/>
  <c r="L106" i="17"/>
  <c r="L232" i="17"/>
  <c r="L248" i="17" s="1"/>
  <c r="Z106" i="16"/>
  <c r="Z232" i="16"/>
  <c r="I115" i="14"/>
  <c r="I242" i="14" s="1"/>
  <c r="I163" i="14"/>
  <c r="AB169" i="11"/>
  <c r="R234" i="15"/>
  <c r="R91" i="15"/>
  <c r="R219" i="15"/>
  <c r="R33" i="15" s="1"/>
  <c r="R35" i="15" s="1"/>
  <c r="R41" i="15" s="1"/>
  <c r="B171" i="11"/>
  <c r="W217" i="13"/>
  <c r="W218" i="13"/>
  <c r="N121" i="16"/>
  <c r="N169" i="16"/>
  <c r="I213" i="14"/>
  <c r="I293" i="14" s="1"/>
  <c r="I102" i="14"/>
  <c r="H86" i="14"/>
  <c r="U234" i="13"/>
  <c r="U91" i="13"/>
  <c r="U219" i="13"/>
  <c r="U33" i="13" s="1"/>
  <c r="L107" i="16"/>
  <c r="L123" i="16" s="1"/>
  <c r="L250" i="16" s="1"/>
  <c r="L92" i="16"/>
  <c r="L12" i="16" s="1"/>
  <c r="L15" i="16" s="1"/>
  <c r="L46" i="16" s="1"/>
  <c r="M107" i="13"/>
  <c r="M92" i="13"/>
  <c r="M12" i="13" s="1"/>
  <c r="AA119" i="16"/>
  <c r="AA167" i="16"/>
  <c r="G83" i="14"/>
  <c r="H99" i="14"/>
  <c r="H210" i="14"/>
  <c r="H290" i="14" s="1"/>
  <c r="O234" i="15"/>
  <c r="O91" i="15"/>
  <c r="O233" i="15" s="1"/>
  <c r="O219" i="15"/>
  <c r="O33" i="15" s="1"/>
  <c r="O35" i="15" s="1"/>
  <c r="O41" i="15" s="1"/>
  <c r="P121" i="15"/>
  <c r="P169" i="15"/>
  <c r="O89" i="17"/>
  <c r="Y89" i="16"/>
  <c r="W123" i="16"/>
  <c r="W250" i="16" s="1"/>
  <c r="W108" i="16"/>
  <c r="W23" i="16" s="1"/>
  <c r="W25" i="16" s="1"/>
  <c r="W28" i="16" s="1"/>
  <c r="W26" i="16" s="1"/>
  <c r="O105" i="15"/>
  <c r="O231" i="15"/>
  <c r="O247" i="15" s="1"/>
  <c r="Q217" i="13"/>
  <c r="Q218" i="13"/>
  <c r="K89" i="13"/>
  <c r="B247" i="12"/>
  <c r="P107" i="15"/>
  <c r="P92" i="15"/>
  <c r="P12" i="15" s="1"/>
  <c r="P15" i="15" s="1"/>
  <c r="P46" i="15" s="1"/>
  <c r="Z107" i="16"/>
  <c r="Z92" i="16"/>
  <c r="Z33" i="16" s="1"/>
  <c r="Z35" i="16" s="1"/>
  <c r="Z41" i="16" s="1"/>
  <c r="AL170" i="10"/>
  <c r="AL172" i="10" s="1"/>
  <c r="H89" i="13"/>
  <c r="C217" i="12"/>
  <c r="C218" i="12"/>
  <c r="U105" i="13"/>
  <c r="U231" i="13"/>
  <c r="U247" i="13" s="1"/>
  <c r="C121" i="12"/>
  <c r="C169" i="12"/>
  <c r="Z233" i="16"/>
  <c r="N106" i="15"/>
  <c r="N232" i="15"/>
  <c r="G170" i="12"/>
  <c r="Y217" i="16"/>
  <c r="Y218" i="16"/>
  <c r="X246" i="17"/>
  <c r="R233" i="15"/>
  <c r="R90" i="15"/>
  <c r="B169" i="11"/>
  <c r="B122" i="16"/>
  <c r="B170" i="16"/>
  <c r="B108" i="16"/>
  <c r="B23" i="16" s="1"/>
  <c r="B25" i="16" s="1"/>
  <c r="B28" i="16" s="1"/>
  <c r="B26" i="16" s="1"/>
  <c r="X35" i="12"/>
  <c r="X41" i="12" s="1"/>
  <c r="X4" i="3"/>
  <c r="X6" i="3" s="1"/>
  <c r="X12" i="3" s="1"/>
  <c r="E245" i="17"/>
  <c r="W89" i="13"/>
  <c r="G217" i="16"/>
  <c r="G218" i="16"/>
  <c r="Q119" i="15"/>
  <c r="Q167" i="15"/>
  <c r="J118" i="14"/>
  <c r="J245" i="14" s="1"/>
  <c r="J166" i="14"/>
  <c r="U90" i="13"/>
  <c r="U170" i="19"/>
  <c r="U172" i="19" s="1"/>
  <c r="W234" i="17"/>
  <c r="W91" i="17"/>
  <c r="W219" i="17"/>
  <c r="W33" i="17" s="1"/>
  <c r="W35" i="17" s="1"/>
  <c r="W41" i="17" s="1"/>
  <c r="L234" i="15"/>
  <c r="L91" i="15"/>
  <c r="L219" i="15"/>
  <c r="L33" i="15" s="1"/>
  <c r="L35" i="15" s="1"/>
  <c r="L41" i="15" s="1"/>
  <c r="W233" i="17"/>
  <c r="W90" i="17"/>
  <c r="L233" i="15"/>
  <c r="L90" i="15"/>
  <c r="AB246" i="13"/>
  <c r="AB120" i="13"/>
  <c r="AB168" i="13"/>
  <c r="W105" i="17"/>
  <c r="W231" i="17"/>
  <c r="W247" i="17" s="1"/>
  <c r="AA217" i="16"/>
  <c r="AA218" i="16"/>
  <c r="P20" i="3"/>
  <c r="P26" i="3" s="1"/>
  <c r="P32" i="3"/>
  <c r="P34" i="3" s="1"/>
  <c r="P40" i="3" s="1"/>
  <c r="O120" i="15"/>
  <c r="O168" i="15"/>
  <c r="U96" i="12"/>
  <c r="J104" i="13"/>
  <c r="J230" i="13"/>
  <c r="J246" i="13" s="1"/>
  <c r="H107" i="17"/>
  <c r="H21" i="17"/>
  <c r="H92" i="17"/>
  <c r="H12" i="17" s="1"/>
  <c r="W170" i="15"/>
  <c r="W172" i="15" s="1"/>
  <c r="V248" i="12"/>
  <c r="D245" i="17"/>
  <c r="R119" i="16"/>
  <c r="R167" i="16"/>
  <c r="Q105" i="16"/>
  <c r="Q231" i="16"/>
  <c r="H119" i="16"/>
  <c r="H167" i="16"/>
  <c r="D89" i="15"/>
  <c r="U119" i="15"/>
  <c r="U167" i="15"/>
  <c r="I121" i="16"/>
  <c r="I169" i="16"/>
  <c r="N172" i="19"/>
  <c r="J246" i="16"/>
  <c r="E119" i="13"/>
  <c r="E167" i="13"/>
  <c r="P106" i="15"/>
  <c r="P232" i="15"/>
  <c r="P248" i="15" s="1"/>
  <c r="G104" i="17"/>
  <c r="G230" i="17"/>
  <c r="G246" i="17" s="1"/>
  <c r="C170" i="10"/>
  <c r="C172" i="10" s="1"/>
  <c r="Y245" i="16"/>
  <c r="K104" i="13"/>
  <c r="K230" i="13"/>
  <c r="W120" i="17"/>
  <c r="W168" i="17"/>
  <c r="O89" i="13"/>
  <c r="W172" i="14"/>
  <c r="R233" i="12"/>
  <c r="R249" i="12" s="1"/>
  <c r="C104" i="16"/>
  <c r="C230" i="16"/>
  <c r="C246" i="16" s="1"/>
  <c r="T233" i="12"/>
  <c r="T249" i="12" s="1"/>
  <c r="S120" i="17"/>
  <c r="S168" i="17"/>
  <c r="U89" i="15"/>
  <c r="AC170" i="19"/>
  <c r="AC172" i="19" s="1"/>
  <c r="W245" i="13"/>
  <c r="Y105" i="13"/>
  <c r="Y231" i="13"/>
  <c r="H105" i="14"/>
  <c r="G89" i="14"/>
  <c r="H216" i="14"/>
  <c r="H296" i="14" s="1"/>
  <c r="F91" i="13"/>
  <c r="F234" i="13"/>
  <c r="F219" i="13"/>
  <c r="F33" i="13" s="1"/>
  <c r="V106" i="12"/>
  <c r="K217" i="12"/>
  <c r="K218" i="12"/>
  <c r="AD91" i="11"/>
  <c r="AD12" i="11" s="1"/>
  <c r="AB105" i="13"/>
  <c r="AB231" i="13"/>
  <c r="R246" i="15"/>
  <c r="P172" i="14"/>
  <c r="E89" i="17"/>
  <c r="AA217" i="19"/>
  <c r="AA233" i="19" s="1"/>
  <c r="AA249" i="19" s="1"/>
  <c r="AA218" i="19"/>
  <c r="Y105" i="17"/>
  <c r="Y231" i="17"/>
  <c r="H104" i="16"/>
  <c r="H230" i="16"/>
  <c r="H246" i="16" s="1"/>
  <c r="AA89" i="16"/>
  <c r="R217" i="16"/>
  <c r="R218" i="16"/>
  <c r="T217" i="16"/>
  <c r="T218" i="16"/>
  <c r="C217" i="16"/>
  <c r="C218" i="16"/>
  <c r="O119" i="13"/>
  <c r="O167" i="13"/>
  <c r="S104" i="16"/>
  <c r="S230" i="16"/>
  <c r="S246" i="16" s="1"/>
  <c r="C120" i="13"/>
  <c r="C168" i="13"/>
  <c r="D104" i="16"/>
  <c r="D230" i="16"/>
  <c r="D246" i="16" s="1"/>
  <c r="B35" i="12"/>
  <c r="B41" i="12" s="1"/>
  <c r="B4" i="3"/>
  <c r="B6" i="3" s="1"/>
  <c r="B12" i="3" s="1"/>
  <c r="AA104" i="17"/>
  <c r="AA230" i="17"/>
  <c r="X234" i="12"/>
  <c r="X250" i="12" s="1"/>
  <c r="C119" i="16"/>
  <c r="C167" i="16"/>
  <c r="F106" i="17"/>
  <c r="F232" i="17"/>
  <c r="F248" i="17" s="1"/>
  <c r="AB247" i="11"/>
  <c r="AB263" i="11" s="1"/>
  <c r="AA169" i="20"/>
  <c r="AA171" i="20" s="1"/>
  <c r="T104" i="16"/>
  <c r="T230" i="16"/>
  <c r="V104" i="15"/>
  <c r="V230" i="15"/>
  <c r="V246" i="15" s="1"/>
  <c r="J120" i="16"/>
  <c r="J168" i="16"/>
  <c r="I246" i="15"/>
  <c r="S106" i="15"/>
  <c r="S232" i="15"/>
  <c r="Z217" i="17"/>
  <c r="Z218" i="17"/>
  <c r="F217" i="16"/>
  <c r="F218" i="16"/>
  <c r="O217" i="13"/>
  <c r="O218" i="13"/>
  <c r="E217" i="13"/>
  <c r="E218" i="13"/>
  <c r="H106" i="17"/>
  <c r="H232" i="17"/>
  <c r="H248" i="17" s="1"/>
  <c r="AB247" i="16"/>
  <c r="AB106" i="16"/>
  <c r="AB232" i="16"/>
  <c r="AB248" i="16" s="1"/>
  <c r="G105" i="13"/>
  <c r="G231" i="13"/>
  <c r="W119" i="13"/>
  <c r="W167" i="13"/>
  <c r="K169" i="20"/>
  <c r="K171" i="20" s="1"/>
  <c r="F90" i="13"/>
  <c r="K90" i="12"/>
  <c r="K106" i="12" s="1"/>
  <c r="E172" i="19"/>
  <c r="R120" i="15"/>
  <c r="R168" i="15"/>
  <c r="P170" i="14"/>
  <c r="E217" i="17"/>
  <c r="E218" i="17"/>
  <c r="Z171" i="11"/>
  <c r="S89" i="16"/>
  <c r="AB95" i="11"/>
  <c r="AB91" i="11"/>
  <c r="AG121" i="11"/>
  <c r="AG169" i="11"/>
  <c r="AF249" i="11"/>
  <c r="AG79" i="11"/>
  <c r="I106" i="16"/>
  <c r="I232" i="16"/>
  <c r="Q171" i="11"/>
  <c r="C217" i="17"/>
  <c r="C218" i="17"/>
  <c r="I107" i="16"/>
  <c r="I92" i="16"/>
  <c r="I12" i="16" s="1"/>
  <c r="I15" i="16" s="1"/>
  <c r="I46" i="16" s="1"/>
  <c r="R245" i="13"/>
  <c r="U89" i="16"/>
  <c r="H119" i="13"/>
  <c r="H167" i="13"/>
  <c r="J119" i="13"/>
  <c r="J167" i="13"/>
  <c r="I105" i="15"/>
  <c r="I231" i="15"/>
  <c r="AA93" i="13"/>
  <c r="AA15" i="13"/>
  <c r="B249" i="16"/>
  <c r="L90" i="12"/>
  <c r="L106" i="12" s="1"/>
  <c r="R107" i="17"/>
  <c r="R92" i="17"/>
  <c r="R12" i="17" s="1"/>
  <c r="R21" i="17"/>
  <c r="I105" i="13"/>
  <c r="I231" i="13"/>
  <c r="T170" i="12"/>
  <c r="R245" i="16"/>
  <c r="AB17" i="2"/>
  <c r="AB20" i="2" s="1"/>
  <c r="B107" i="17"/>
  <c r="B92" i="17"/>
  <c r="B12" i="17" s="1"/>
  <c r="U217" i="15"/>
  <c r="U218" i="15"/>
  <c r="W169" i="11"/>
  <c r="W171" i="11" s="1"/>
  <c r="C80" i="12"/>
  <c r="B234" i="12" s="1"/>
  <c r="I120" i="15"/>
  <c r="I168" i="15"/>
  <c r="T171" i="11"/>
  <c r="Z89" i="17"/>
  <c r="F89" i="16"/>
  <c r="T172" i="13"/>
  <c r="S247" i="15"/>
  <c r="W249" i="15"/>
  <c r="E89" i="13"/>
  <c r="H233" i="17"/>
  <c r="AB121" i="16"/>
  <c r="AB169" i="16"/>
  <c r="P108" i="13"/>
  <c r="P23" i="13" s="1"/>
  <c r="P25" i="13" s="1"/>
  <c r="P28" i="13" s="1"/>
  <c r="P26" i="13" s="1"/>
  <c r="AB233" i="16"/>
  <c r="V171" i="11"/>
  <c r="B170" i="10"/>
  <c r="B172" i="10" s="1"/>
  <c r="B232" i="12"/>
  <c r="B248" i="12" s="1"/>
  <c r="D104" i="17"/>
  <c r="D230" i="17"/>
  <c r="I121" i="14"/>
  <c r="I248" i="14" s="1"/>
  <c r="I169" i="14"/>
  <c r="D119" i="17"/>
  <c r="D167" i="17"/>
  <c r="L247" i="16"/>
  <c r="AB91" i="13"/>
  <c r="AB233" i="13" s="1"/>
  <c r="AB234" i="13"/>
  <c r="AB219" i="13"/>
  <c r="AB33" i="13" s="1"/>
  <c r="AM123" i="10"/>
  <c r="AM250" i="10" s="1"/>
  <c r="AM171" i="10"/>
  <c r="AM172" i="10" s="1"/>
  <c r="P172" i="10"/>
  <c r="S217" i="16"/>
  <c r="S218" i="16"/>
  <c r="S105" i="17"/>
  <c r="S231" i="17"/>
  <c r="S247" i="17" s="1"/>
  <c r="P105" i="16"/>
  <c r="P231" i="16"/>
  <c r="P247" i="16" s="1"/>
  <c r="X234" i="13"/>
  <c r="X91" i="13"/>
  <c r="X219" i="13"/>
  <c r="X33" i="13" s="1"/>
  <c r="AF248" i="11"/>
  <c r="AF90" i="11"/>
  <c r="AF106" i="11" s="1"/>
  <c r="C89" i="17"/>
  <c r="J217" i="15"/>
  <c r="J218" i="15"/>
  <c r="R119" i="13"/>
  <c r="R167" i="13"/>
  <c r="AB90" i="13"/>
  <c r="AF121" i="11"/>
  <c r="AF169" i="11"/>
  <c r="E245" i="16"/>
  <c r="D217" i="17"/>
  <c r="D218" i="17"/>
  <c r="X90" i="13"/>
  <c r="J89" i="15"/>
  <c r="N217" i="17"/>
  <c r="N218" i="17"/>
  <c r="W172" i="10"/>
  <c r="C89" i="15"/>
  <c r="Q104" i="15"/>
  <c r="Q230" i="15"/>
  <c r="O119" i="17"/>
  <c r="O167" i="17"/>
  <c r="R89" i="13"/>
  <c r="V104" i="16"/>
  <c r="V230" i="16"/>
  <c r="C90" i="12"/>
  <c r="C106" i="12" s="1"/>
  <c r="C232" i="12"/>
  <c r="V105" i="17"/>
  <c r="V231" i="17"/>
  <c r="V247" i="17" s="1"/>
  <c r="C245" i="16"/>
  <c r="N217" i="13"/>
  <c r="N218" i="13"/>
  <c r="N119" i="13"/>
  <c r="N167" i="13"/>
  <c r="X15" i="12"/>
  <c r="X46" i="12" s="1"/>
  <c r="X9" i="1"/>
  <c r="X12" i="1" s="1"/>
  <c r="F169" i="11"/>
  <c r="Y169" i="11"/>
  <c r="X170" i="14"/>
  <c r="H245" i="16"/>
  <c r="D217" i="15"/>
  <c r="D218" i="15"/>
  <c r="N104" i="13"/>
  <c r="N230" i="13"/>
  <c r="S96" i="12"/>
  <c r="B91" i="12"/>
  <c r="Q245" i="13"/>
  <c r="F104" i="16"/>
  <c r="F230" i="16"/>
  <c r="F246" i="16" s="1"/>
  <c r="K217" i="16"/>
  <c r="K218" i="16"/>
  <c r="K106" i="15"/>
  <c r="K232" i="15"/>
  <c r="I106" i="17"/>
  <c r="I232" i="17"/>
  <c r="S121" i="15"/>
  <c r="S169" i="15"/>
  <c r="K245" i="17"/>
  <c r="I234" i="15"/>
  <c r="I91" i="15"/>
  <c r="I219" i="15"/>
  <c r="I33" i="15" s="1"/>
  <c r="I35" i="15" s="1"/>
  <c r="I41" i="15" s="1"/>
  <c r="K119" i="16"/>
  <c r="K167" i="16"/>
  <c r="K119" i="17"/>
  <c r="K167" i="17"/>
  <c r="L90" i="13"/>
  <c r="L233" i="13"/>
  <c r="H217" i="16"/>
  <c r="H218" i="16"/>
  <c r="B120" i="15"/>
  <c r="B168" i="15"/>
  <c r="U120" i="17"/>
  <c r="U168" i="17"/>
  <c r="I207" i="14"/>
  <c r="I93" i="14"/>
  <c r="H80" i="14"/>
  <c r="I96" i="14"/>
  <c r="Q120" i="16"/>
  <c r="Q168" i="16"/>
  <c r="L172" i="19"/>
  <c r="R171" i="12"/>
  <c r="AF247" i="11"/>
  <c r="AF263" i="11" s="1"/>
  <c r="J172" i="12"/>
  <c r="E119" i="16"/>
  <c r="E167" i="16"/>
  <c r="D89" i="17"/>
  <c r="N106" i="16"/>
  <c r="N232" i="16"/>
  <c r="N248" i="16" s="1"/>
  <c r="J104" i="15"/>
  <c r="J230" i="15"/>
  <c r="J246" i="15" s="1"/>
  <c r="S234" i="17"/>
  <c r="S91" i="17"/>
  <c r="S219" i="17"/>
  <c r="S33" i="17" s="1"/>
  <c r="S35" i="17" s="1"/>
  <c r="S41" i="17" s="1"/>
  <c r="N89" i="17"/>
  <c r="G96" i="12"/>
  <c r="G92" i="12"/>
  <c r="G12" i="12" s="1"/>
  <c r="D119" i="16"/>
  <c r="D167" i="16"/>
  <c r="K121" i="15"/>
  <c r="K169" i="15"/>
  <c r="K108" i="15"/>
  <c r="K23" i="15" s="1"/>
  <c r="K25" i="15" s="1"/>
  <c r="K28" i="15" s="1"/>
  <c r="K26" i="15" s="1"/>
  <c r="O172" i="10"/>
  <c r="Z104" i="17"/>
  <c r="Z230" i="17"/>
  <c r="Z246" i="17" s="1"/>
  <c r="B233" i="13"/>
  <c r="B90" i="13"/>
  <c r="H96" i="12"/>
  <c r="H92" i="12"/>
  <c r="H12" i="12" s="1"/>
  <c r="Y172" i="10"/>
  <c r="Y170" i="14"/>
  <c r="Y172" i="14" s="1"/>
  <c r="O92" i="12"/>
  <c r="O12" i="12" s="1"/>
  <c r="O96" i="12"/>
  <c r="F121" i="17"/>
  <c r="F169" i="17"/>
  <c r="B172" i="16"/>
  <c r="I90" i="15"/>
  <c r="Q246" i="17"/>
  <c r="AD170" i="11"/>
  <c r="AD171" i="11" s="1"/>
  <c r="X120" i="13"/>
  <c r="X168" i="13"/>
  <c r="C91" i="13"/>
  <c r="C234" i="13"/>
  <c r="C219" i="13"/>
  <c r="C33" i="13" s="1"/>
  <c r="H89" i="16"/>
  <c r="P234" i="16"/>
  <c r="P91" i="16"/>
  <c r="P219" i="16"/>
  <c r="P33" i="16" s="1"/>
  <c r="P35" i="16" s="1"/>
  <c r="P41" i="16" s="1"/>
  <c r="Z105" i="13"/>
  <c r="Z231" i="13"/>
  <c r="Z247" i="13" s="1"/>
  <c r="L170" i="19"/>
  <c r="I107" i="17"/>
  <c r="I21" i="17"/>
  <c r="I92" i="17"/>
  <c r="I12" i="17" s="1"/>
  <c r="J25" i="12"/>
  <c r="J28" i="12" s="1"/>
  <c r="J26" i="12" s="1"/>
  <c r="J7" i="2" s="1"/>
  <c r="J4" i="2"/>
  <c r="J6" i="2" s="1"/>
  <c r="J9" i="2" s="1"/>
  <c r="AC245" i="17"/>
  <c r="C104" i="17"/>
  <c r="C230" i="17"/>
  <c r="D170" i="12"/>
  <c r="S233" i="17"/>
  <c r="S90" i="17"/>
  <c r="M234" i="15"/>
  <c r="M91" i="15"/>
  <c r="M233" i="15" s="1"/>
  <c r="M219" i="15"/>
  <c r="M33" i="15" s="1"/>
  <c r="M35" i="15" s="1"/>
  <c r="M41" i="15" s="1"/>
  <c r="F234" i="12"/>
  <c r="F250" i="12" s="1"/>
  <c r="K245" i="16"/>
  <c r="L121" i="16"/>
  <c r="L169" i="16"/>
  <c r="G35" i="12"/>
  <c r="G41" i="12" s="1"/>
  <c r="G4" i="3"/>
  <c r="G6" i="3" s="1"/>
  <c r="G12" i="3" s="1"/>
  <c r="M107" i="17"/>
  <c r="M21" i="17"/>
  <c r="M92" i="17"/>
  <c r="M12" i="17" s="1"/>
  <c r="K171" i="15"/>
  <c r="D104" i="15"/>
  <c r="D230" i="15"/>
  <c r="G250" i="12"/>
  <c r="U104" i="15"/>
  <c r="U230" i="15"/>
  <c r="U246" i="15" s="1"/>
  <c r="P25" i="17"/>
  <c r="P28" i="17" s="1"/>
  <c r="P26" i="17" s="1"/>
  <c r="P18" i="2" s="1"/>
  <c r="P15" i="2"/>
  <c r="S172" i="13"/>
  <c r="Q120" i="17"/>
  <c r="Q168" i="17"/>
  <c r="C90" i="13"/>
  <c r="X105" i="17"/>
  <c r="X231" i="17"/>
  <c r="X247" i="17" s="1"/>
  <c r="J245" i="15"/>
  <c r="J112" i="14"/>
  <c r="J239" i="14" s="1"/>
  <c r="J108" i="14"/>
  <c r="J23" i="14" s="1"/>
  <c r="J160" i="14"/>
  <c r="J172" i="14" s="1"/>
  <c r="P90" i="16"/>
  <c r="V172" i="14"/>
  <c r="AG90" i="11"/>
  <c r="AG106" i="11" s="1"/>
  <c r="P246" i="16"/>
  <c r="M106" i="16"/>
  <c r="M232" i="16"/>
  <c r="M248" i="16" s="1"/>
  <c r="V234" i="17"/>
  <c r="V91" i="17"/>
  <c r="V219" i="17"/>
  <c r="V33" i="17" s="1"/>
  <c r="V35" i="17" s="1"/>
  <c r="V41" i="17" s="1"/>
  <c r="AC119" i="17"/>
  <c r="AC167" i="17"/>
  <c r="S121" i="12"/>
  <c r="S169" i="12"/>
  <c r="M105" i="15"/>
  <c r="M231" i="15"/>
  <c r="M90" i="15"/>
  <c r="H104" i="14"/>
  <c r="G88" i="14"/>
  <c r="H215" i="14"/>
  <c r="H295" i="14" s="1"/>
  <c r="M121" i="17"/>
  <c r="M169" i="17"/>
  <c r="S119" i="16"/>
  <c r="S167" i="16"/>
  <c r="AE121" i="11"/>
  <c r="AE169" i="11"/>
  <c r="T107" i="17"/>
  <c r="T21" i="17"/>
  <c r="T92" i="17"/>
  <c r="T12" i="17" s="1"/>
  <c r="X249" i="12"/>
  <c r="G89" i="16"/>
  <c r="Y171" i="11"/>
  <c r="X120" i="17"/>
  <c r="X168" i="17"/>
  <c r="V91" i="12"/>
  <c r="V107" i="12" s="1"/>
  <c r="V233" i="12"/>
  <c r="B121" i="17"/>
  <c r="B169" i="17"/>
  <c r="N89" i="13"/>
  <c r="J120" i="17"/>
  <c r="J168" i="17"/>
  <c r="W104" i="13"/>
  <c r="W230" i="13"/>
  <c r="E104" i="13"/>
  <c r="E230" i="13"/>
  <c r="E246" i="13" s="1"/>
  <c r="V104" i="13"/>
  <c r="V230" i="13"/>
  <c r="V246" i="13" s="1"/>
  <c r="X246" i="13"/>
  <c r="B122" i="12"/>
  <c r="B170" i="12"/>
  <c r="K89" i="16"/>
  <c r="K233" i="15"/>
  <c r="B91" i="13"/>
  <c r="B234" i="13"/>
  <c r="B219" i="13"/>
  <c r="B33" i="13" s="1"/>
  <c r="F247" i="17"/>
  <c r="Q119" i="13"/>
  <c r="Q167" i="13"/>
  <c r="S217" i="12"/>
  <c r="S218" i="12"/>
  <c r="T106" i="15"/>
  <c r="T232" i="15"/>
  <c r="T248" i="15" s="1"/>
  <c r="V89" i="15"/>
  <c r="U120" i="13"/>
  <c r="U168" i="13"/>
  <c r="T233" i="15"/>
  <c r="Y246" i="13"/>
  <c r="S170" i="13"/>
  <c r="J105" i="17"/>
  <c r="J231" i="17"/>
  <c r="J247" i="17" s="1"/>
  <c r="M107" i="16"/>
  <c r="M92" i="16"/>
  <c r="M12" i="16" s="1"/>
  <c r="M15" i="16" s="1"/>
  <c r="M46" i="16" s="1"/>
  <c r="R105" i="15"/>
  <c r="R231" i="15"/>
  <c r="R247" i="15" s="1"/>
  <c r="N245" i="17"/>
  <c r="AF79" i="11"/>
  <c r="AE249" i="11" s="1"/>
  <c r="J119" i="15"/>
  <c r="J167" i="15"/>
  <c r="M172" i="19"/>
  <c r="U120" i="12"/>
  <c r="U247" i="12" s="1"/>
  <c r="U168" i="12"/>
  <c r="V119" i="15"/>
  <c r="V167" i="15"/>
  <c r="J219" i="14"/>
  <c r="J33" i="14" s="1"/>
  <c r="J35" i="14" s="1"/>
  <c r="J41" i="14" s="1"/>
  <c r="J287" i="14"/>
  <c r="V170" i="14"/>
  <c r="P120" i="16"/>
  <c r="P168" i="16"/>
  <c r="G89" i="17"/>
  <c r="AE95" i="11"/>
  <c r="T106" i="17"/>
  <c r="T232" i="17"/>
  <c r="T248" i="17" s="1"/>
  <c r="Q122" i="12"/>
  <c r="Q170" i="12"/>
  <c r="V90" i="17"/>
  <c r="S247" i="12"/>
  <c r="AE170" i="10"/>
  <c r="AE172" i="10" s="1"/>
  <c r="V89" i="13"/>
  <c r="U234" i="17"/>
  <c r="U91" i="17"/>
  <c r="U219" i="17"/>
  <c r="U33" i="17" s="1"/>
  <c r="U35" i="17" s="1"/>
  <c r="U41" i="17" s="1"/>
  <c r="T245" i="16"/>
  <c r="Y120" i="17"/>
  <c r="Y168" i="17"/>
  <c r="H104" i="13"/>
  <c r="H230" i="13"/>
  <c r="I209" i="14"/>
  <c r="I289" i="14" s="1"/>
  <c r="H82" i="14"/>
  <c r="I98" i="14"/>
  <c r="W248" i="16"/>
  <c r="V217" i="16"/>
  <c r="V218" i="16"/>
  <c r="N119" i="17"/>
  <c r="N167" i="17"/>
  <c r="AE90" i="11"/>
  <c r="AE106" i="11" s="1"/>
  <c r="B106" i="17"/>
  <c r="B21" i="17"/>
  <c r="B232" i="17"/>
  <c r="Y91" i="17"/>
  <c r="Y234" i="17"/>
  <c r="Y219" i="17"/>
  <c r="Y33" i="17" s="1"/>
  <c r="Y35" i="17" s="1"/>
  <c r="Y41" i="17" s="1"/>
  <c r="X171" i="12"/>
  <c r="X91" i="17"/>
  <c r="X234" i="17"/>
  <c r="X219" i="17"/>
  <c r="X33" i="17" s="1"/>
  <c r="X35" i="17" s="1"/>
  <c r="X41" i="17" s="1"/>
  <c r="E217" i="16"/>
  <c r="E218" i="16"/>
  <c r="G217" i="17"/>
  <c r="G218" i="17"/>
  <c r="Z234" i="13"/>
  <c r="Z91" i="13"/>
  <c r="Z219" i="13"/>
  <c r="Z33" i="13" s="1"/>
  <c r="AD249" i="11"/>
  <c r="AD265" i="11" s="1"/>
  <c r="T233" i="17"/>
  <c r="Q232" i="12"/>
  <c r="Q248" i="12" s="1"/>
  <c r="X105" i="13"/>
  <c r="X231" i="13"/>
  <c r="L233" i="16"/>
  <c r="C245" i="17"/>
  <c r="Z246" i="13"/>
  <c r="Q234" i="16"/>
  <c r="Q91" i="16"/>
  <c r="Q219" i="16"/>
  <c r="Q33" i="16" s="1"/>
  <c r="Q35" i="16" s="1"/>
  <c r="Q41" i="16" s="1"/>
  <c r="AD107" i="11"/>
  <c r="N104" i="17"/>
  <c r="N230" i="17"/>
  <c r="E92" i="12"/>
  <c r="E12" i="12" s="1"/>
  <c r="U217" i="12"/>
  <c r="U218" i="12"/>
  <c r="F91" i="14"/>
  <c r="G107" i="14"/>
  <c r="G218" i="14"/>
  <c r="G298" i="14" s="1"/>
  <c r="N35" i="12"/>
  <c r="N41" i="12" s="1"/>
  <c r="N4" i="3"/>
  <c r="N6" i="3" s="1"/>
  <c r="N12" i="3" s="1"/>
  <c r="C119" i="15"/>
  <c r="C167" i="15"/>
  <c r="L234" i="13"/>
  <c r="L91" i="13"/>
  <c r="L219" i="13"/>
  <c r="L33" i="13" s="1"/>
  <c r="C104" i="15"/>
  <c r="C230" i="15"/>
  <c r="D245" i="16"/>
  <c r="Y119" i="16"/>
  <c r="Y167" i="16"/>
  <c r="K250" i="15"/>
  <c r="T121" i="17"/>
  <c r="T169" i="17"/>
  <c r="U104" i="16"/>
  <c r="U230" i="16"/>
  <c r="U246" i="16" s="1"/>
  <c r="S90" i="12"/>
  <c r="S106" i="12" s="1"/>
  <c r="M122" i="12"/>
  <c r="M170" i="12"/>
  <c r="V217" i="13"/>
  <c r="V218" i="13"/>
  <c r="X246" i="15"/>
  <c r="Q234" i="17"/>
  <c r="Q91" i="17"/>
  <c r="Q219" i="17"/>
  <c r="Q33" i="17" s="1"/>
  <c r="Q35" i="17" s="1"/>
  <c r="Q41" i="17" s="1"/>
  <c r="V217" i="15"/>
  <c r="V218" i="15"/>
  <c r="W170" i="19"/>
  <c r="W172" i="19" s="1"/>
  <c r="N80" i="12"/>
  <c r="M234" i="12"/>
  <c r="M219" i="12"/>
  <c r="M33" i="12" s="1"/>
  <c r="Q233" i="17"/>
  <c r="Q90" i="17"/>
  <c r="S172" i="10"/>
  <c r="U233" i="17"/>
  <c r="U90" i="17"/>
  <c r="T119" i="16"/>
  <c r="T167" i="16"/>
  <c r="AI170" i="10"/>
  <c r="AI172" i="10" s="1"/>
  <c r="Y120" i="13"/>
  <c r="Y168" i="13"/>
  <c r="J114" i="14"/>
  <c r="J241" i="14" s="1"/>
  <c r="J162" i="14"/>
  <c r="S171" i="11"/>
  <c r="B234" i="15"/>
  <c r="B91" i="15"/>
  <c r="B219" i="15"/>
  <c r="B33" i="15" s="1"/>
  <c r="B35" i="15" s="1"/>
  <c r="B41" i="15" s="1"/>
  <c r="V89" i="16"/>
  <c r="F105" i="13"/>
  <c r="F231" i="13"/>
  <c r="F247" i="13" s="1"/>
  <c r="G246" i="13"/>
  <c r="B233" i="17"/>
  <c r="Y233" i="17"/>
  <c r="Y90" i="17"/>
  <c r="X233" i="17"/>
  <c r="X90" i="17"/>
  <c r="B105" i="13"/>
  <c r="B231" i="13"/>
  <c r="B247" i="13" s="1"/>
  <c r="E89" i="16"/>
  <c r="Z90" i="13"/>
  <c r="L246" i="13"/>
  <c r="L105" i="15"/>
  <c r="L231" i="15"/>
  <c r="L247" i="15" s="1"/>
  <c r="P46" i="17"/>
  <c r="P28" i="1"/>
  <c r="L106" i="16"/>
  <c r="L232" i="16"/>
  <c r="T247" i="15"/>
  <c r="C119" i="17"/>
  <c r="C167" i="17"/>
  <c r="Z120" i="13"/>
  <c r="Z168" i="13"/>
  <c r="Q90" i="16"/>
  <c r="Q233" i="16"/>
  <c r="E108" i="12"/>
  <c r="E23" i="12" s="1"/>
  <c r="M246" i="15"/>
  <c r="U90" i="12"/>
  <c r="U232" i="12"/>
  <c r="V234" i="12"/>
  <c r="W80" i="12"/>
  <c r="V219" i="12"/>
  <c r="V33" i="12" s="1"/>
  <c r="F171" i="11"/>
  <c r="T35" i="12"/>
  <c r="T41" i="12" s="1"/>
  <c r="T4" i="3"/>
  <c r="AE247" i="11"/>
  <c r="AE263" i="11" s="1"/>
  <c r="I120" i="13"/>
  <c r="I168" i="13"/>
  <c r="M91" i="12"/>
  <c r="M107" i="12" s="1"/>
  <c r="G214" i="14"/>
  <c r="G294" i="14" s="1"/>
  <c r="G103" i="14"/>
  <c r="F87" i="14"/>
  <c r="X120" i="15"/>
  <c r="X168" i="15"/>
  <c r="M106" i="17"/>
  <c r="M232" i="17"/>
  <c r="M248" i="17" s="1"/>
  <c r="R106" i="17"/>
  <c r="R232" i="17"/>
  <c r="R248" i="17" s="1"/>
  <c r="W122" i="16"/>
  <c r="W249" i="16" s="1"/>
  <c r="W170" i="16"/>
  <c r="W172" i="16" s="1"/>
  <c r="N107" i="16"/>
  <c r="N92" i="16"/>
  <c r="N12" i="16" s="1"/>
  <c r="N15" i="16" s="1"/>
  <c r="N46" i="16" s="1"/>
  <c r="L120" i="13"/>
  <c r="L168" i="13"/>
  <c r="P29" i="1"/>
  <c r="P30" i="1" s="1"/>
  <c r="P31" i="1" s="1"/>
  <c r="P107" i="12"/>
  <c r="P92" i="12"/>
  <c r="P12" i="12" s="1"/>
  <c r="M120" i="15"/>
  <c r="M168" i="15"/>
  <c r="N107" i="15"/>
  <c r="N92" i="15"/>
  <c r="N12" i="15" s="1"/>
  <c r="N15" i="15" s="1"/>
  <c r="N46" i="15" s="1"/>
  <c r="L121" i="17"/>
  <c r="L169" i="17"/>
  <c r="J234" i="16"/>
  <c r="J91" i="16"/>
  <c r="J219" i="16"/>
  <c r="J33" i="16" s="1"/>
  <c r="J35" i="16" s="1"/>
  <c r="J41" i="16" s="1"/>
  <c r="H119" i="14"/>
  <c r="H246" i="14" s="1"/>
  <c r="H167" i="14"/>
  <c r="E35" i="12"/>
  <c r="E41" i="12" s="1"/>
  <c r="E4" i="3"/>
  <c r="E6" i="3" s="1"/>
  <c r="E12" i="3" s="1"/>
  <c r="V119" i="13"/>
  <c r="V167" i="13"/>
  <c r="G170" i="15"/>
  <c r="L121" i="12"/>
  <c r="L169" i="12"/>
  <c r="M121" i="16"/>
  <c r="M169" i="16"/>
  <c r="G119" i="16"/>
  <c r="G167" i="16"/>
  <c r="R172" i="14"/>
  <c r="R233" i="17"/>
  <c r="K172" i="14"/>
  <c r="P93" i="13"/>
  <c r="P15" i="13"/>
  <c r="AA104" i="16"/>
  <c r="AA230" i="16"/>
  <c r="AA246" i="16" s="1"/>
  <c r="P171" i="13"/>
  <c r="P172" i="13" s="1"/>
  <c r="G91" i="13"/>
  <c r="G233" i="13" s="1"/>
  <c r="G234" i="13"/>
  <c r="G219" i="13"/>
  <c r="G33" i="13" s="1"/>
  <c r="H122" i="12"/>
  <c r="H170" i="12"/>
  <c r="E104" i="16"/>
  <c r="E230" i="16"/>
  <c r="K89" i="17"/>
  <c r="G85" i="14"/>
  <c r="H101" i="14"/>
  <c r="H212" i="14"/>
  <c r="H292" i="14" s="1"/>
  <c r="K104" i="17"/>
  <c r="K230" i="17"/>
  <c r="K246" i="17" s="1"/>
  <c r="I91" i="13"/>
  <c r="I234" i="13"/>
  <c r="I219" i="13"/>
  <c r="I33" i="13" s="1"/>
  <c r="AA170" i="13"/>
  <c r="AA172" i="13" s="1"/>
  <c r="L107" i="17"/>
  <c r="L92" i="17"/>
  <c r="L12" i="17" s="1"/>
  <c r="L21" i="17"/>
  <c r="F245" i="16"/>
  <c r="U105" i="17"/>
  <c r="U231" i="17"/>
  <c r="U247" i="17" s="1"/>
  <c r="F107" i="17"/>
  <c r="F21" i="17"/>
  <c r="F92" i="17"/>
  <c r="F12" i="17" s="1"/>
  <c r="T121" i="15"/>
  <c r="T169" i="15"/>
  <c r="M121" i="13"/>
  <c r="M169" i="13"/>
  <c r="K119" i="13"/>
  <c r="K167" i="13"/>
  <c r="M106" i="13"/>
  <c r="M232" i="13"/>
  <c r="M248" i="13" s="1"/>
  <c r="U105" i="12"/>
  <c r="AG262" i="11"/>
  <c r="AC160" i="20" l="1"/>
  <c r="AC159" i="20"/>
  <c r="AC169" i="20"/>
  <c r="AC161" i="20"/>
  <c r="K90" i="16"/>
  <c r="G120" i="17"/>
  <c r="G168" i="17"/>
  <c r="G91" i="16"/>
  <c r="G234" i="16"/>
  <c r="G219" i="16"/>
  <c r="G33" i="16" s="1"/>
  <c r="G35" i="16" s="1"/>
  <c r="G41" i="16" s="1"/>
  <c r="O234" i="17"/>
  <c r="O91" i="17"/>
  <c r="O219" i="17"/>
  <c r="O33" i="17" s="1"/>
  <c r="O35" i="17" s="1"/>
  <c r="O41" i="17" s="1"/>
  <c r="V234" i="16"/>
  <c r="V91" i="16"/>
  <c r="V219" i="16"/>
  <c r="V33" i="16" s="1"/>
  <c r="V35" i="16" s="1"/>
  <c r="V41" i="16" s="1"/>
  <c r="P107" i="16"/>
  <c r="P92" i="16"/>
  <c r="P12" i="16" s="1"/>
  <c r="P15" i="16" s="1"/>
  <c r="P46" i="16" s="1"/>
  <c r="Q120" i="13"/>
  <c r="Q168" i="13"/>
  <c r="B107" i="12"/>
  <c r="B92" i="12"/>
  <c r="B12" i="12" s="1"/>
  <c r="AB111" i="11"/>
  <c r="AB254" i="11" s="1"/>
  <c r="AB107" i="11"/>
  <c r="AB159" i="11"/>
  <c r="C121" i="13"/>
  <c r="C169" i="13"/>
  <c r="E91" i="14"/>
  <c r="F107" i="14"/>
  <c r="F218" i="14"/>
  <c r="F298" i="14" s="1"/>
  <c r="V121" i="17"/>
  <c r="V169" i="17"/>
  <c r="C91" i="12"/>
  <c r="C107" i="12" s="1"/>
  <c r="X247" i="15"/>
  <c r="I114" i="14"/>
  <c r="I241" i="14" s="1"/>
  <c r="I162" i="14"/>
  <c r="H105" i="13"/>
  <c r="H231" i="13"/>
  <c r="Q123" i="12"/>
  <c r="Q171" i="12"/>
  <c r="R120" i="13"/>
  <c r="R168" i="13"/>
  <c r="E15" i="12"/>
  <c r="E9" i="1"/>
  <c r="E12" i="1" s="1"/>
  <c r="H98" i="14"/>
  <c r="G82" i="14"/>
  <c r="H209" i="14"/>
  <c r="H289" i="14" s="1"/>
  <c r="R121" i="15"/>
  <c r="R169" i="15"/>
  <c r="S112" i="12"/>
  <c r="S239" i="12" s="1"/>
  <c r="S160" i="12"/>
  <c r="V246" i="16"/>
  <c r="C233" i="16"/>
  <c r="C90" i="16"/>
  <c r="AB248" i="11"/>
  <c r="AB264" i="11" s="1"/>
  <c r="Y121" i="12"/>
  <c r="Y169" i="12"/>
  <c r="F112" i="12"/>
  <c r="F239" i="12" s="1"/>
  <c r="F108" i="12"/>
  <c r="F23" i="12" s="1"/>
  <c r="F160" i="12"/>
  <c r="F172" i="12" s="1"/>
  <c r="X121" i="15"/>
  <c r="X169" i="15"/>
  <c r="G246" i="16"/>
  <c r="Y120" i="16"/>
  <c r="Y168" i="16"/>
  <c r="O246" i="13"/>
  <c r="Q250" i="12"/>
  <c r="G212" i="14"/>
  <c r="G292" i="14" s="1"/>
  <c r="F85" i="14"/>
  <c r="G101" i="14"/>
  <c r="P9" i="1"/>
  <c r="P15" i="12"/>
  <c r="P46" i="12" s="1"/>
  <c r="M233" i="12"/>
  <c r="M249" i="12" s="1"/>
  <c r="N246" i="17"/>
  <c r="E90" i="16"/>
  <c r="AE91" i="11"/>
  <c r="AE12" i="11" s="1"/>
  <c r="G104" i="14"/>
  <c r="F88" i="14"/>
  <c r="G215" i="14"/>
  <c r="G295" i="14" s="1"/>
  <c r="P233" i="16"/>
  <c r="C107" i="13"/>
  <c r="C92" i="13"/>
  <c r="C12" i="13" s="1"/>
  <c r="S92" i="12"/>
  <c r="S12" i="12" s="1"/>
  <c r="V120" i="16"/>
  <c r="V168" i="16"/>
  <c r="E105" i="13"/>
  <c r="E231" i="13"/>
  <c r="E247" i="13" s="1"/>
  <c r="E90" i="17"/>
  <c r="H122" i="17"/>
  <c r="H249" i="17" s="1"/>
  <c r="H170" i="17"/>
  <c r="T234" i="16"/>
  <c r="T91" i="16"/>
  <c r="T219" i="16"/>
  <c r="T33" i="16" s="1"/>
  <c r="T35" i="16" s="1"/>
  <c r="T41" i="16" s="1"/>
  <c r="K233" i="12"/>
  <c r="K249" i="12" s="1"/>
  <c r="K91" i="12"/>
  <c r="W234" i="13"/>
  <c r="W91" i="13"/>
  <c r="W233" i="13" s="1"/>
  <c r="W219" i="13"/>
  <c r="W33" i="13" s="1"/>
  <c r="L121" i="13"/>
  <c r="L169" i="13"/>
  <c r="F9" i="1"/>
  <c r="F12" i="1" s="1"/>
  <c r="F15" i="12"/>
  <c r="X25" i="12"/>
  <c r="X28" i="12" s="1"/>
  <c r="X26" i="12" s="1"/>
  <c r="X7" i="2" s="1"/>
  <c r="X4" i="2"/>
  <c r="X6" i="2" s="1"/>
  <c r="X9" i="2" s="1"/>
  <c r="G120" i="16"/>
  <c r="G168" i="16"/>
  <c r="F84" i="14"/>
  <c r="G211" i="14"/>
  <c r="G291" i="14" s="1"/>
  <c r="G100" i="14"/>
  <c r="O120" i="13"/>
  <c r="O168" i="13"/>
  <c r="R92" i="12"/>
  <c r="R12" i="12" s="1"/>
  <c r="R96" i="12"/>
  <c r="L122" i="12"/>
  <c r="L170" i="12"/>
  <c r="R122" i="17"/>
  <c r="R170" i="17"/>
  <c r="Z121" i="13"/>
  <c r="Z169" i="13"/>
  <c r="N234" i="13"/>
  <c r="N91" i="13"/>
  <c r="N219" i="13"/>
  <c r="N33" i="13" s="1"/>
  <c r="I107" i="13"/>
  <c r="I92" i="13"/>
  <c r="I12" i="13" s="1"/>
  <c r="F120" i="16"/>
  <c r="F168" i="16"/>
  <c r="G247" i="13"/>
  <c r="D105" i="17"/>
  <c r="D231" i="17"/>
  <c r="G121" i="13"/>
  <c r="G169" i="13"/>
  <c r="R120" i="16"/>
  <c r="R168" i="16"/>
  <c r="V233" i="16"/>
  <c r="V90" i="16"/>
  <c r="W246" i="13"/>
  <c r="B106" i="13"/>
  <c r="B232" i="13"/>
  <c r="B248" i="13" s="1"/>
  <c r="Q121" i="17"/>
  <c r="Q169" i="17"/>
  <c r="Y106" i="17"/>
  <c r="Y232" i="17"/>
  <c r="Y248" i="17" s="1"/>
  <c r="AG122" i="11"/>
  <c r="AG265" i="11" s="1"/>
  <c r="AG170" i="11"/>
  <c r="J120" i="13"/>
  <c r="J168" i="13"/>
  <c r="X106" i="15"/>
  <c r="X232" i="15"/>
  <c r="X248" i="15" s="1"/>
  <c r="Q112" i="12"/>
  <c r="Q239" i="12" s="1"/>
  <c r="Q108" i="12"/>
  <c r="Q23" i="12" s="1"/>
  <c r="Q160" i="12"/>
  <c r="G90" i="17"/>
  <c r="S106" i="17"/>
  <c r="S232" i="17"/>
  <c r="AD92" i="11"/>
  <c r="AD9" i="1"/>
  <c r="AD15" i="11"/>
  <c r="AD45" i="11" s="1"/>
  <c r="Y91" i="12"/>
  <c r="Q92" i="12"/>
  <c r="Q12" i="12" s="1"/>
  <c r="Q35" i="12"/>
  <c r="Q41" i="12" s="1"/>
  <c r="Q4" i="3"/>
  <c r="Q6" i="3" s="1"/>
  <c r="Q12" i="3" s="1"/>
  <c r="H117" i="14"/>
  <c r="H244" i="14" s="1"/>
  <c r="H165" i="14"/>
  <c r="B249" i="17"/>
  <c r="E91" i="16"/>
  <c r="E234" i="16"/>
  <c r="E219" i="16"/>
  <c r="E33" i="16" s="1"/>
  <c r="E35" i="16" s="1"/>
  <c r="E41" i="16" s="1"/>
  <c r="T122" i="17"/>
  <c r="T170" i="17"/>
  <c r="AB106" i="13"/>
  <c r="AB232" i="13"/>
  <c r="E91" i="17"/>
  <c r="E234" i="17"/>
  <c r="E219" i="17"/>
  <c r="E33" i="17" s="1"/>
  <c r="E35" i="17" s="1"/>
  <c r="E41" i="17" s="1"/>
  <c r="L80" i="12"/>
  <c r="K234" i="12" s="1"/>
  <c r="K219" i="12"/>
  <c r="K33" i="12" s="1"/>
  <c r="U112" i="12"/>
  <c r="U239" i="12" s="1"/>
  <c r="U160" i="12"/>
  <c r="T108" i="15"/>
  <c r="T23" i="15" s="1"/>
  <c r="T25" i="15" s="1"/>
  <c r="T28" i="15" s="1"/>
  <c r="T26" i="15" s="1"/>
  <c r="P123" i="12"/>
  <c r="P250" i="12" s="1"/>
  <c r="P171" i="12"/>
  <c r="P172" i="12" s="1"/>
  <c r="P108" i="12"/>
  <c r="P23" i="12" s="1"/>
  <c r="M123" i="12"/>
  <c r="M171" i="12"/>
  <c r="Q106" i="17"/>
  <c r="Q232" i="17"/>
  <c r="N120" i="17"/>
  <c r="N168" i="17"/>
  <c r="H246" i="13"/>
  <c r="AE111" i="11"/>
  <c r="AE254" i="11" s="1"/>
  <c r="AE107" i="11"/>
  <c r="AE159" i="11"/>
  <c r="M123" i="16"/>
  <c r="M250" i="16" s="1"/>
  <c r="M171" i="16"/>
  <c r="M108" i="16"/>
  <c r="M23" i="16" s="1"/>
  <c r="M25" i="16" s="1"/>
  <c r="M28" i="16" s="1"/>
  <c r="M26" i="16" s="1"/>
  <c r="N105" i="13"/>
  <c r="N231" i="13"/>
  <c r="H120" i="14"/>
  <c r="H247" i="14" s="1"/>
  <c r="H168" i="14"/>
  <c r="P106" i="16"/>
  <c r="P232" i="16"/>
  <c r="P248" i="16" s="1"/>
  <c r="C246" i="17"/>
  <c r="N246" i="13"/>
  <c r="R105" i="13"/>
  <c r="R231" i="13"/>
  <c r="R247" i="13" s="1"/>
  <c r="AB35" i="13"/>
  <c r="AB41" i="13" s="1"/>
  <c r="AB18" i="3"/>
  <c r="E91" i="13"/>
  <c r="E233" i="13" s="1"/>
  <c r="E234" i="13"/>
  <c r="E219" i="13"/>
  <c r="E33" i="13" s="1"/>
  <c r="T233" i="16"/>
  <c r="T90" i="16"/>
  <c r="L107" i="15"/>
  <c r="L92" i="15"/>
  <c r="L12" i="15" s="1"/>
  <c r="L15" i="15" s="1"/>
  <c r="L46" i="15" s="1"/>
  <c r="W90" i="13"/>
  <c r="H234" i="13"/>
  <c r="H91" i="13"/>
  <c r="H219" i="13"/>
  <c r="H33" i="13" s="1"/>
  <c r="AA23" i="11"/>
  <c r="AA12" i="11"/>
  <c r="J107" i="17"/>
  <c r="J92" i="17"/>
  <c r="J12" i="17" s="1"/>
  <c r="J21" i="17"/>
  <c r="J91" i="13"/>
  <c r="J234" i="13"/>
  <c r="J219" i="13"/>
  <c r="J33" i="13" s="1"/>
  <c r="X172" i="12"/>
  <c r="H116" i="14"/>
  <c r="H243" i="14" s="1"/>
  <c r="H164" i="14"/>
  <c r="U121" i="12"/>
  <c r="U169" i="12"/>
  <c r="H91" i="16"/>
  <c r="H234" i="16"/>
  <c r="H219" i="16"/>
  <c r="H33" i="16" s="1"/>
  <c r="H35" i="16" s="1"/>
  <c r="H41" i="16" s="1"/>
  <c r="P121" i="16"/>
  <c r="P169" i="16"/>
  <c r="T25" i="1"/>
  <c r="T15" i="17"/>
  <c r="O15" i="12"/>
  <c r="O46" i="12" s="1"/>
  <c r="O9" i="1"/>
  <c r="O12" i="1" s="1"/>
  <c r="I35" i="13"/>
  <c r="I41" i="13" s="1"/>
  <c r="I18" i="3"/>
  <c r="V234" i="13"/>
  <c r="V91" i="13"/>
  <c r="V219" i="13"/>
  <c r="V33" i="13" s="1"/>
  <c r="Y107" i="13"/>
  <c r="Y92" i="13"/>
  <c r="AB121" i="13"/>
  <c r="AB169" i="13"/>
  <c r="AG248" i="11"/>
  <c r="AG264" i="11" s="1"/>
  <c r="C35" i="13"/>
  <c r="C41" i="13" s="1"/>
  <c r="B35" i="13"/>
  <c r="B41" i="13" s="1"/>
  <c r="E90" i="13"/>
  <c r="R234" i="13"/>
  <c r="R91" i="13"/>
  <c r="R219" i="13"/>
  <c r="R33" i="13" s="1"/>
  <c r="S123" i="15"/>
  <c r="S250" i="15" s="1"/>
  <c r="S171" i="15"/>
  <c r="L122" i="16"/>
  <c r="L170" i="16"/>
  <c r="V105" i="16"/>
  <c r="V231" i="16"/>
  <c r="X107" i="17"/>
  <c r="X21" i="17"/>
  <c r="X92" i="17"/>
  <c r="V249" i="12"/>
  <c r="D90" i="15"/>
  <c r="I247" i="13"/>
  <c r="O90" i="13"/>
  <c r="AA105" i="16"/>
  <c r="AA231" i="16"/>
  <c r="D105" i="15"/>
  <c r="D231" i="15"/>
  <c r="W107" i="17"/>
  <c r="W21" i="17"/>
  <c r="W92" i="17"/>
  <c r="R106" i="15"/>
  <c r="R232" i="15"/>
  <c r="P123" i="15"/>
  <c r="P250" i="15" s="1"/>
  <c r="P108" i="15"/>
  <c r="P23" i="15" s="1"/>
  <c r="P25" i="15" s="1"/>
  <c r="P28" i="15" s="1"/>
  <c r="P26" i="15" s="1"/>
  <c r="R107" i="15"/>
  <c r="R92" i="15"/>
  <c r="R12" i="15" s="1"/>
  <c r="R15" i="15" s="1"/>
  <c r="R46" i="15" s="1"/>
  <c r="Q233" i="15"/>
  <c r="Q90" i="15"/>
  <c r="R233" i="13"/>
  <c r="R90" i="13"/>
  <c r="G106" i="14"/>
  <c r="F90" i="14"/>
  <c r="G217" i="14"/>
  <c r="G297" i="14" s="1"/>
  <c r="C90" i="15"/>
  <c r="H123" i="12"/>
  <c r="H250" i="12" s="1"/>
  <c r="H171" i="12"/>
  <c r="G106" i="13"/>
  <c r="G232" i="13"/>
  <c r="V105" i="15"/>
  <c r="V231" i="15"/>
  <c r="Y106" i="13"/>
  <c r="Y232" i="13"/>
  <c r="Y248" i="13" s="1"/>
  <c r="U18" i="3"/>
  <c r="U35" i="13"/>
  <c r="U41" i="13" s="1"/>
  <c r="B247" i="15"/>
  <c r="U107" i="13"/>
  <c r="U92" i="13"/>
  <c r="U12" i="13" s="1"/>
  <c r="B121" i="13"/>
  <c r="B169" i="13"/>
  <c r="N122" i="16"/>
  <c r="N249" i="16" s="1"/>
  <c r="N170" i="16"/>
  <c r="D91" i="17"/>
  <c r="D234" i="17"/>
  <c r="D219" i="17"/>
  <c r="D33" i="17" s="1"/>
  <c r="D35" i="17" s="1"/>
  <c r="D41" i="17" s="1"/>
  <c r="D105" i="16"/>
  <c r="D231" i="16"/>
  <c r="D247" i="16" s="1"/>
  <c r="Y18" i="3"/>
  <c r="Y35" i="13"/>
  <c r="Y41" i="13" s="1"/>
  <c r="B233" i="12"/>
  <c r="B249" i="12" s="1"/>
  <c r="W120" i="13"/>
  <c r="W168" i="13"/>
  <c r="C248" i="12"/>
  <c r="S90" i="16"/>
  <c r="B123" i="17"/>
  <c r="B250" i="17" s="1"/>
  <c r="B108" i="17"/>
  <c r="B23" i="17" s="1"/>
  <c r="B25" i="17" s="1"/>
  <c r="B28" i="17" s="1"/>
  <c r="B26" i="17" s="1"/>
  <c r="U120" i="15"/>
  <c r="U168" i="15"/>
  <c r="V122" i="12"/>
  <c r="V170" i="12"/>
  <c r="H90" i="13"/>
  <c r="G105" i="17"/>
  <c r="G231" i="17"/>
  <c r="F35" i="13"/>
  <c r="F41" i="13" s="1"/>
  <c r="V123" i="12"/>
  <c r="V250" i="12" s="1"/>
  <c r="V171" i="12"/>
  <c r="D120" i="15"/>
  <c r="D168" i="15"/>
  <c r="I106" i="15"/>
  <c r="I232" i="15"/>
  <c r="I248" i="15" s="1"/>
  <c r="G15" i="12"/>
  <c r="G9" i="1"/>
  <c r="G12" i="1" s="1"/>
  <c r="S108" i="15"/>
  <c r="S23" i="15" s="1"/>
  <c r="S25" i="15" s="1"/>
  <c r="S28" i="15" s="1"/>
  <c r="S26" i="15" s="1"/>
  <c r="Q246" i="15"/>
  <c r="J233" i="15"/>
  <c r="J90" i="15"/>
  <c r="I121" i="13"/>
  <c r="I169" i="13"/>
  <c r="I123" i="16"/>
  <c r="I250" i="16" s="1"/>
  <c r="I108" i="16"/>
  <c r="I23" i="16" s="1"/>
  <c r="I25" i="16" s="1"/>
  <c r="I28" i="16" s="1"/>
  <c r="I26" i="16" s="1"/>
  <c r="I171" i="16"/>
  <c r="F91" i="16"/>
  <c r="F234" i="16"/>
  <c r="F219" i="16"/>
  <c r="F33" i="16" s="1"/>
  <c r="F35" i="16" s="1"/>
  <c r="F41" i="16" s="1"/>
  <c r="F107" i="13"/>
  <c r="F92" i="13"/>
  <c r="F12" i="13" s="1"/>
  <c r="H115" i="14"/>
  <c r="H242" i="14" s="1"/>
  <c r="H163" i="14"/>
  <c r="H122" i="14"/>
  <c r="H249" i="14" s="1"/>
  <c r="H170" i="14"/>
  <c r="D91" i="16"/>
  <c r="D234" i="16"/>
  <c r="D219" i="16"/>
  <c r="D33" i="16" s="1"/>
  <c r="D35" i="16" s="1"/>
  <c r="D41" i="16" s="1"/>
  <c r="D91" i="13"/>
  <c r="D234" i="13"/>
  <c r="D219" i="13"/>
  <c r="D33" i="13" s="1"/>
  <c r="AA120" i="16"/>
  <c r="AA168" i="16"/>
  <c r="Q105" i="13"/>
  <c r="Q231" i="13"/>
  <c r="E105" i="16"/>
  <c r="E231" i="16"/>
  <c r="E247" i="16" s="1"/>
  <c r="AE248" i="11"/>
  <c r="AE264" i="11" s="1"/>
  <c r="V120" i="13"/>
  <c r="V168" i="13"/>
  <c r="L108" i="16"/>
  <c r="L23" i="16" s="1"/>
  <c r="L25" i="16" s="1"/>
  <c r="L28" i="16" s="1"/>
  <c r="L26" i="16" s="1"/>
  <c r="J120" i="15"/>
  <c r="J168" i="15"/>
  <c r="T12" i="15"/>
  <c r="T15" i="15" s="1"/>
  <c r="T46" i="15" s="1"/>
  <c r="T249" i="17"/>
  <c r="AB12" i="11"/>
  <c r="AB23" i="11"/>
  <c r="K120" i="17"/>
  <c r="K168" i="17"/>
  <c r="H105" i="16"/>
  <c r="H231" i="16"/>
  <c r="O105" i="17"/>
  <c r="O231" i="17"/>
  <c r="B106" i="15"/>
  <c r="B232" i="15"/>
  <c r="Q106" i="16"/>
  <c r="Q232" i="16"/>
  <c r="G91" i="17"/>
  <c r="G234" i="17"/>
  <c r="G219" i="17"/>
  <c r="G33" i="17" s="1"/>
  <c r="G35" i="17" s="1"/>
  <c r="G41" i="17" s="1"/>
  <c r="T246" i="16"/>
  <c r="Z120" i="17"/>
  <c r="Z168" i="17"/>
  <c r="C122" i="12"/>
  <c r="C170" i="12"/>
  <c r="W106" i="17"/>
  <c r="W232" i="17"/>
  <c r="F121" i="13"/>
  <c r="F169" i="13"/>
  <c r="AA233" i="17"/>
  <c r="AA90" i="17"/>
  <c r="C234" i="15"/>
  <c r="C91" i="15"/>
  <c r="C219" i="15"/>
  <c r="C33" i="15" s="1"/>
  <c r="C35" i="15" s="1"/>
  <c r="C41" i="15" s="1"/>
  <c r="C105" i="16"/>
  <c r="C231" i="16"/>
  <c r="E120" i="16"/>
  <c r="E168" i="16"/>
  <c r="T171" i="15"/>
  <c r="T172" i="15" s="1"/>
  <c r="Q107" i="16"/>
  <c r="Q92" i="16"/>
  <c r="Q12" i="16" s="1"/>
  <c r="Q15" i="16" s="1"/>
  <c r="Q46" i="16" s="1"/>
  <c r="N96" i="12"/>
  <c r="N92" i="12"/>
  <c r="N12" i="12" s="1"/>
  <c r="M247" i="15"/>
  <c r="G112" i="12"/>
  <c r="G239" i="12" s="1"/>
  <c r="G108" i="12"/>
  <c r="G23" i="12" s="1"/>
  <c r="G160" i="12"/>
  <c r="G172" i="12" s="1"/>
  <c r="C91" i="17"/>
  <c r="C234" i="17"/>
  <c r="C219" i="17"/>
  <c r="C33" i="17" s="1"/>
  <c r="C35" i="17" s="1"/>
  <c r="C41" i="17" s="1"/>
  <c r="F90" i="16"/>
  <c r="O105" i="13"/>
  <c r="O231" i="13"/>
  <c r="O247" i="13" s="1"/>
  <c r="K105" i="13"/>
  <c r="K231" i="13"/>
  <c r="F83" i="14"/>
  <c r="G99" i="14"/>
  <c r="G210" i="14"/>
  <c r="G290" i="14" s="1"/>
  <c r="U234" i="16"/>
  <c r="U91" i="16"/>
  <c r="U219" i="16"/>
  <c r="U33" i="16" s="1"/>
  <c r="U35" i="16" s="1"/>
  <c r="U41" i="16" s="1"/>
  <c r="D90" i="16"/>
  <c r="T105" i="16"/>
  <c r="T231" i="16"/>
  <c r="T247" i="16" s="1"/>
  <c r="D90" i="13"/>
  <c r="K120" i="16"/>
  <c r="K168" i="16"/>
  <c r="D120" i="16"/>
  <c r="D168" i="16"/>
  <c r="L122" i="17"/>
  <c r="L249" i="17" s="1"/>
  <c r="L170" i="17"/>
  <c r="C96" i="12"/>
  <c r="C92" i="12"/>
  <c r="C12" i="12" s="1"/>
  <c r="H15" i="12"/>
  <c r="H46" i="12" s="1"/>
  <c r="H9" i="1"/>
  <c r="H12" i="1" s="1"/>
  <c r="I247" i="15"/>
  <c r="X106" i="17"/>
  <c r="X232" i="17"/>
  <c r="X248" i="17" s="1"/>
  <c r="I121" i="15"/>
  <c r="I169" i="15"/>
  <c r="Q247" i="17"/>
  <c r="S234" i="16"/>
  <c r="S91" i="16"/>
  <c r="S219" i="16"/>
  <c r="S33" i="16" s="1"/>
  <c r="S35" i="16" s="1"/>
  <c r="S41" i="16" s="1"/>
  <c r="AB122" i="16"/>
  <c r="AB170" i="16"/>
  <c r="AB172" i="16" s="1"/>
  <c r="G119" i="14"/>
  <c r="G246" i="14" s="1"/>
  <c r="G167" i="14"/>
  <c r="S105" i="16"/>
  <c r="S231" i="16"/>
  <c r="Z80" i="12"/>
  <c r="Y219" i="12"/>
  <c r="Y33" i="12" s="1"/>
  <c r="K105" i="17"/>
  <c r="K231" i="17"/>
  <c r="U105" i="16"/>
  <c r="U231" i="16"/>
  <c r="R234" i="16"/>
  <c r="R91" i="16"/>
  <c r="R233" i="16" s="1"/>
  <c r="R219" i="16"/>
  <c r="R33" i="16" s="1"/>
  <c r="R35" i="16" s="1"/>
  <c r="R41" i="16" s="1"/>
  <c r="AA105" i="17"/>
  <c r="AA231" i="17"/>
  <c r="AA247" i="17" s="1"/>
  <c r="E246" i="16"/>
  <c r="L248" i="16"/>
  <c r="J121" i="17"/>
  <c r="J169" i="17"/>
  <c r="J25" i="14"/>
  <c r="J28" i="14" s="1"/>
  <c r="J26" i="14" s="1"/>
  <c r="O234" i="13"/>
  <c r="O91" i="13"/>
  <c r="O219" i="13"/>
  <c r="O33" i="13" s="1"/>
  <c r="Q234" i="15"/>
  <c r="Q91" i="15"/>
  <c r="Q219" i="15"/>
  <c r="Q33" i="15" s="1"/>
  <c r="Q35" i="15" s="1"/>
  <c r="Q41" i="15" s="1"/>
  <c r="B107" i="13"/>
  <c r="B92" i="13"/>
  <c r="B12" i="13" s="1"/>
  <c r="C246" i="15"/>
  <c r="C105" i="17"/>
  <c r="C231" i="17"/>
  <c r="C247" i="17" s="1"/>
  <c r="M25" i="1"/>
  <c r="M15" i="17"/>
  <c r="F105" i="16"/>
  <c r="F231" i="16"/>
  <c r="F247" i="16" s="1"/>
  <c r="C233" i="17"/>
  <c r="C90" i="17"/>
  <c r="K232" i="12"/>
  <c r="K248" i="12" s="1"/>
  <c r="AA246" i="17"/>
  <c r="G105" i="14"/>
  <c r="F89" i="14"/>
  <c r="G216" i="14"/>
  <c r="G296" i="14" s="1"/>
  <c r="P171" i="15"/>
  <c r="P172" i="15" s="1"/>
  <c r="Y234" i="16"/>
  <c r="Y91" i="16"/>
  <c r="Y219" i="16"/>
  <c r="Y33" i="16" s="1"/>
  <c r="Y35" i="16" s="1"/>
  <c r="Y41" i="16" s="1"/>
  <c r="K234" i="13"/>
  <c r="K91" i="13"/>
  <c r="K219" i="13"/>
  <c r="K33" i="13" s="1"/>
  <c r="D120" i="13"/>
  <c r="D168" i="13"/>
  <c r="R105" i="16"/>
  <c r="R231" i="16"/>
  <c r="R247" i="16" s="1"/>
  <c r="U233" i="16"/>
  <c r="U90" i="16"/>
  <c r="K234" i="17"/>
  <c r="K91" i="17"/>
  <c r="K219" i="17"/>
  <c r="K33" i="17" s="1"/>
  <c r="K35" i="17" s="1"/>
  <c r="K41" i="17" s="1"/>
  <c r="M80" i="12"/>
  <c r="L234" i="12" s="1"/>
  <c r="L219" i="12"/>
  <c r="L33" i="12" s="1"/>
  <c r="J106" i="16"/>
  <c r="J232" i="16"/>
  <c r="AA234" i="19"/>
  <c r="AA250" i="19" s="1"/>
  <c r="AA219" i="19"/>
  <c r="J107" i="16"/>
  <c r="J92" i="16"/>
  <c r="J12" i="16" s="1"/>
  <c r="J15" i="16" s="1"/>
  <c r="J46" i="16" s="1"/>
  <c r="B121" i="15"/>
  <c r="B169" i="15"/>
  <c r="N233" i="13"/>
  <c r="N90" i="13"/>
  <c r="E120" i="17"/>
  <c r="E168" i="17"/>
  <c r="V106" i="17"/>
  <c r="V232" i="17"/>
  <c r="V248" i="17" s="1"/>
  <c r="Z107" i="13"/>
  <c r="Z92" i="13"/>
  <c r="Z12" i="13" s="1"/>
  <c r="S120" i="16"/>
  <c r="S168" i="16"/>
  <c r="P122" i="15"/>
  <c r="P249" i="15" s="1"/>
  <c r="P170" i="15"/>
  <c r="W105" i="13"/>
  <c r="W231" i="13"/>
  <c r="Y105" i="16"/>
  <c r="Y231" i="16"/>
  <c r="I113" i="14"/>
  <c r="I240" i="14" s="1"/>
  <c r="I161" i="14"/>
  <c r="F103" i="14"/>
  <c r="E87" i="14"/>
  <c r="F214" i="14"/>
  <c r="F294" i="14" s="1"/>
  <c r="S232" i="12"/>
  <c r="S248" i="12" s="1"/>
  <c r="M107" i="15"/>
  <c r="M92" i="15"/>
  <c r="M12" i="15" s="1"/>
  <c r="M15" i="15" s="1"/>
  <c r="M46" i="15" s="1"/>
  <c r="L106" i="15"/>
  <c r="L232" i="15"/>
  <c r="L248" i="15" s="1"/>
  <c r="V80" i="12"/>
  <c r="U219" i="12"/>
  <c r="U33" i="12" s="1"/>
  <c r="P17" i="2"/>
  <c r="P20" i="2" s="1"/>
  <c r="B25" i="1"/>
  <c r="B15" i="17"/>
  <c r="I96" i="12"/>
  <c r="I92" i="12"/>
  <c r="I12" i="12" s="1"/>
  <c r="U91" i="12"/>
  <c r="U107" i="12" s="1"/>
  <c r="U233" i="12"/>
  <c r="C120" i="17"/>
  <c r="C168" i="17"/>
  <c r="I107" i="15"/>
  <c r="I92" i="15"/>
  <c r="I12" i="15" s="1"/>
  <c r="I15" i="15" s="1"/>
  <c r="I46" i="15" s="1"/>
  <c r="Z123" i="16"/>
  <c r="Z250" i="16" s="1"/>
  <c r="Z108" i="16"/>
  <c r="Z23" i="16" s="1"/>
  <c r="Z25" i="16" s="1"/>
  <c r="Z28" i="16" s="1"/>
  <c r="Z26" i="16" s="1"/>
  <c r="Z171" i="16"/>
  <c r="Z172" i="16" s="1"/>
  <c r="J233" i="13"/>
  <c r="J90" i="13"/>
  <c r="H120" i="13"/>
  <c r="H168" i="13"/>
  <c r="K122" i="12"/>
  <c r="K170" i="12"/>
  <c r="G35" i="13"/>
  <c r="G41" i="13" s="1"/>
  <c r="V234" i="15"/>
  <c r="V91" i="15"/>
  <c r="V219" i="15"/>
  <c r="V33" i="15" s="1"/>
  <c r="V35" i="15" s="1"/>
  <c r="V41" i="15" s="1"/>
  <c r="I25" i="1"/>
  <c r="I15" i="17"/>
  <c r="C105" i="15"/>
  <c r="C231" i="15"/>
  <c r="C247" i="15" s="1"/>
  <c r="V90" i="15"/>
  <c r="V233" i="15"/>
  <c r="Y107" i="17"/>
  <c r="Y92" i="17"/>
  <c r="Y21" i="17"/>
  <c r="U107" i="17"/>
  <c r="U21" i="17"/>
  <c r="U92" i="17"/>
  <c r="U12" i="17" s="1"/>
  <c r="X121" i="17"/>
  <c r="X169" i="17"/>
  <c r="I248" i="17"/>
  <c r="Z105" i="17"/>
  <c r="Z231" i="17"/>
  <c r="R25" i="1"/>
  <c r="R15" i="17"/>
  <c r="F106" i="13"/>
  <c r="F232" i="13"/>
  <c r="F248" i="13" s="1"/>
  <c r="Z91" i="17"/>
  <c r="Z233" i="17" s="1"/>
  <c r="Z234" i="17"/>
  <c r="Z219" i="17"/>
  <c r="Z33" i="17" s="1"/>
  <c r="Z35" i="17" s="1"/>
  <c r="Z41" i="17" s="1"/>
  <c r="H120" i="16"/>
  <c r="H168" i="16"/>
  <c r="H121" i="14"/>
  <c r="H248" i="14" s="1"/>
  <c r="H169" i="14"/>
  <c r="Q247" i="16"/>
  <c r="AA234" i="16"/>
  <c r="AA91" i="16"/>
  <c r="AA233" i="16" s="1"/>
  <c r="Y90" i="16"/>
  <c r="K233" i="13"/>
  <c r="K90" i="13"/>
  <c r="K90" i="17"/>
  <c r="L91" i="12"/>
  <c r="L107" i="12" s="1"/>
  <c r="J233" i="16"/>
  <c r="X107" i="13"/>
  <c r="X92" i="13"/>
  <c r="Y121" i="13"/>
  <c r="Y169" i="13"/>
  <c r="M122" i="17"/>
  <c r="M249" i="17" s="1"/>
  <c r="M170" i="17"/>
  <c r="U106" i="12"/>
  <c r="U108" i="12" s="1"/>
  <c r="U23" i="12" s="1"/>
  <c r="H25" i="1"/>
  <c r="H15" i="17"/>
  <c r="M122" i="13"/>
  <c r="M249" i="13" s="1"/>
  <c r="M170" i="13"/>
  <c r="H102" i="14"/>
  <c r="G86" i="14"/>
  <c r="H213" i="14"/>
  <c r="H293" i="14" s="1"/>
  <c r="J106" i="17"/>
  <c r="J232" i="17"/>
  <c r="O233" i="17"/>
  <c r="O90" i="17"/>
  <c r="C247" i="13"/>
  <c r="S122" i="12"/>
  <c r="S170" i="12"/>
  <c r="AF91" i="11"/>
  <c r="AF95" i="11"/>
  <c r="M122" i="16"/>
  <c r="M249" i="16" s="1"/>
  <c r="M170" i="16"/>
  <c r="L106" i="13"/>
  <c r="L232" i="13"/>
  <c r="L248" i="13" s="1"/>
  <c r="S121" i="17"/>
  <c r="S169" i="17"/>
  <c r="S108" i="17"/>
  <c r="S23" i="17" s="1"/>
  <c r="U234" i="15"/>
  <c r="U91" i="15"/>
  <c r="U233" i="15" s="1"/>
  <c r="U219" i="15"/>
  <c r="U33" i="15" s="1"/>
  <c r="U35" i="15" s="1"/>
  <c r="U41" i="15" s="1"/>
  <c r="H123" i="17"/>
  <c r="H250" i="17" s="1"/>
  <c r="H108" i="17"/>
  <c r="H23" i="17" s="1"/>
  <c r="H25" i="17" s="1"/>
  <c r="H28" i="17" s="1"/>
  <c r="H26" i="17" s="1"/>
  <c r="H171" i="17"/>
  <c r="H172" i="17" s="1"/>
  <c r="U121" i="13"/>
  <c r="U169" i="13"/>
  <c r="V120" i="15"/>
  <c r="V168" i="15"/>
  <c r="AB247" i="13"/>
  <c r="C234" i="12"/>
  <c r="D80" i="12"/>
  <c r="C219" i="12"/>
  <c r="C33" i="12" s="1"/>
  <c r="Y248" i="12"/>
  <c r="M108" i="13"/>
  <c r="M23" i="13" s="1"/>
  <c r="M25" i="13" s="1"/>
  <c r="M28" i="13" s="1"/>
  <c r="M26" i="13" s="1"/>
  <c r="U120" i="16"/>
  <c r="U168" i="16"/>
  <c r="T120" i="16"/>
  <c r="T168" i="16"/>
  <c r="N120" i="13"/>
  <c r="N168" i="13"/>
  <c r="C120" i="16"/>
  <c r="C168" i="16"/>
  <c r="O107" i="15"/>
  <c r="O92" i="15"/>
  <c r="O12" i="15" s="1"/>
  <c r="O15" i="15" s="1"/>
  <c r="O46" i="15" s="1"/>
  <c r="M20" i="3"/>
  <c r="M26" i="3" s="1"/>
  <c r="M32" i="3"/>
  <c r="M34" i="3" s="1"/>
  <c r="M40" i="3" s="1"/>
  <c r="D105" i="13"/>
  <c r="D231" i="13"/>
  <c r="F25" i="1"/>
  <c r="F15" i="17"/>
  <c r="M35" i="12"/>
  <c r="M41" i="12" s="1"/>
  <c r="M4" i="3"/>
  <c r="M6" i="3" s="1"/>
  <c r="M12" i="3" s="1"/>
  <c r="R90" i="16"/>
  <c r="O106" i="15"/>
  <c r="O232" i="15"/>
  <c r="M250" i="12"/>
  <c r="M106" i="15"/>
  <c r="M232" i="15"/>
  <c r="M248" i="15" s="1"/>
  <c r="D246" i="15"/>
  <c r="J234" i="15"/>
  <c r="J91" i="15"/>
  <c r="J219" i="15"/>
  <c r="J33" i="15" s="1"/>
  <c r="J35" i="15" s="1"/>
  <c r="J41" i="15" s="1"/>
  <c r="T6" i="3"/>
  <c r="T12" i="3" s="1"/>
  <c r="T32" i="3"/>
  <c r="T34" i="3" s="1"/>
  <c r="T40" i="3" s="1"/>
  <c r="C120" i="15"/>
  <c r="C168" i="15"/>
  <c r="M121" i="15"/>
  <c r="M169" i="15"/>
  <c r="H96" i="14"/>
  <c r="H93" i="14"/>
  <c r="G80" i="14"/>
  <c r="H207" i="14"/>
  <c r="L121" i="15"/>
  <c r="L169" i="15"/>
  <c r="G107" i="13"/>
  <c r="G92" i="13"/>
  <c r="G12" i="13" s="1"/>
  <c r="N123" i="16"/>
  <c r="N250" i="16" s="1"/>
  <c r="N171" i="16"/>
  <c r="N172" i="16" s="1"/>
  <c r="L18" i="3"/>
  <c r="L35" i="13"/>
  <c r="L41" i="13" s="1"/>
  <c r="L249" i="16"/>
  <c r="B248" i="17"/>
  <c r="G105" i="16"/>
  <c r="G231" i="16"/>
  <c r="C106" i="13"/>
  <c r="C232" i="13"/>
  <c r="M123" i="17"/>
  <c r="M250" i="17" s="1"/>
  <c r="M171" i="17"/>
  <c r="M108" i="17"/>
  <c r="M23" i="17" s="1"/>
  <c r="I123" i="17"/>
  <c r="I250" i="17" s="1"/>
  <c r="I171" i="17"/>
  <c r="I108" i="17"/>
  <c r="I23" i="17" s="1"/>
  <c r="I25" i="17" s="1"/>
  <c r="I28" i="17" s="1"/>
  <c r="I26" i="17" s="1"/>
  <c r="I219" i="14"/>
  <c r="I33" i="14" s="1"/>
  <c r="I35" i="14" s="1"/>
  <c r="I41" i="14" s="1"/>
  <c r="I287" i="14"/>
  <c r="I122" i="17"/>
  <c r="I249" i="17" s="1"/>
  <c r="I170" i="17"/>
  <c r="AF122" i="11"/>
  <c r="AF170" i="11"/>
  <c r="D246" i="17"/>
  <c r="R123" i="17"/>
  <c r="R250" i="17" s="1"/>
  <c r="R108" i="17"/>
  <c r="R23" i="17" s="1"/>
  <c r="R171" i="17"/>
  <c r="R172" i="17" s="1"/>
  <c r="I248" i="16"/>
  <c r="F233" i="13"/>
  <c r="Z90" i="17"/>
  <c r="AA120" i="17"/>
  <c r="AA168" i="17"/>
  <c r="Y247" i="17"/>
  <c r="Q121" i="16"/>
  <c r="Q169" i="16"/>
  <c r="AA90" i="16"/>
  <c r="U106" i="13"/>
  <c r="U232" i="13"/>
  <c r="U248" i="13" s="1"/>
  <c r="M93" i="13"/>
  <c r="M15" i="13"/>
  <c r="J105" i="13"/>
  <c r="J231" i="13"/>
  <c r="J247" i="13" s="1"/>
  <c r="O246" i="17"/>
  <c r="J105" i="15"/>
  <c r="J231" i="15"/>
  <c r="J247" i="15" s="1"/>
  <c r="S122" i="15"/>
  <c r="S249" i="15" s="1"/>
  <c r="S170" i="15"/>
  <c r="W121" i="17"/>
  <c r="W169" i="17"/>
  <c r="T123" i="17"/>
  <c r="T250" i="17" s="1"/>
  <c r="T171" i="17"/>
  <c r="T172" i="17" s="1"/>
  <c r="T108" i="17"/>
  <c r="T23" i="17" s="1"/>
  <c r="X106" i="13"/>
  <c r="X232" i="13"/>
  <c r="H233" i="16"/>
  <c r="H90" i="16"/>
  <c r="X233" i="13"/>
  <c r="E105" i="17"/>
  <c r="E231" i="17"/>
  <c r="G81" i="14"/>
  <c r="H97" i="14"/>
  <c r="H208" i="14"/>
  <c r="H288" i="14" s="1"/>
  <c r="AC95" i="11"/>
  <c r="AC91" i="11"/>
  <c r="AC12" i="11" s="1"/>
  <c r="J121" i="16"/>
  <c r="J169" i="16"/>
  <c r="R249" i="17"/>
  <c r="Z18" i="3"/>
  <c r="Z35" i="13"/>
  <c r="Z41" i="13" s="1"/>
  <c r="T122" i="15"/>
  <c r="T249" i="15" s="1"/>
  <c r="T170" i="15"/>
  <c r="G90" i="16"/>
  <c r="E25" i="12"/>
  <c r="E28" i="12" s="1"/>
  <c r="E26" i="12" s="1"/>
  <c r="E7" i="2" s="1"/>
  <c r="E4" i="2"/>
  <c r="E6" i="2" s="1"/>
  <c r="E9" i="2" s="1"/>
  <c r="G123" i="14"/>
  <c r="G250" i="14" s="1"/>
  <c r="G171" i="14"/>
  <c r="T80" i="12"/>
  <c r="S219" i="12"/>
  <c r="S33" i="12" s="1"/>
  <c r="D90" i="17"/>
  <c r="D233" i="17"/>
  <c r="I118" i="14"/>
  <c r="I245" i="14" s="1"/>
  <c r="I166" i="14"/>
  <c r="N108" i="16"/>
  <c r="N23" i="16" s="1"/>
  <c r="N25" i="16" s="1"/>
  <c r="N28" i="16" s="1"/>
  <c r="N26" i="16" s="1"/>
  <c r="Q249" i="12"/>
  <c r="Y106" i="12"/>
  <c r="C234" i="16"/>
  <c r="C91" i="16"/>
  <c r="C219" i="16"/>
  <c r="C33" i="16" s="1"/>
  <c r="C35" i="16" s="1"/>
  <c r="C41" i="16" s="1"/>
  <c r="AA122" i="11"/>
  <c r="AA265" i="11" s="1"/>
  <c r="AA107" i="11"/>
  <c r="AA170" i="11"/>
  <c r="AA171" i="11" s="1"/>
  <c r="AA91" i="17"/>
  <c r="AA234" i="17"/>
  <c r="AA219" i="17"/>
  <c r="AA33" i="17" s="1"/>
  <c r="AA35" i="17" s="1"/>
  <c r="AA41" i="17" s="1"/>
  <c r="D234" i="15"/>
  <c r="D91" i="15"/>
  <c r="D219" i="15"/>
  <c r="D33" i="15" s="1"/>
  <c r="D35" i="15" s="1"/>
  <c r="D41" i="15" s="1"/>
  <c r="AB107" i="13"/>
  <c r="AB92" i="13"/>
  <c r="F122" i="17"/>
  <c r="F249" i="17" s="1"/>
  <c r="F170" i="17"/>
  <c r="F123" i="17"/>
  <c r="F250" i="17" s="1"/>
  <c r="F171" i="17"/>
  <c r="F108" i="17"/>
  <c r="F23" i="17" s="1"/>
  <c r="F25" i="17" s="1"/>
  <c r="F28" i="17" s="1"/>
  <c r="F26" i="17" s="1"/>
  <c r="I233" i="15"/>
  <c r="Q120" i="15"/>
  <c r="Q168" i="15"/>
  <c r="U121" i="17"/>
  <c r="U169" i="17"/>
  <c r="K105" i="16"/>
  <c r="K231" i="16"/>
  <c r="K247" i="16" s="1"/>
  <c r="N105" i="17"/>
  <c r="N231" i="17"/>
  <c r="L25" i="1"/>
  <c r="L15" i="17"/>
  <c r="V35" i="12"/>
  <c r="V41" i="12" s="1"/>
  <c r="V4" i="3"/>
  <c r="V6" i="3" s="1"/>
  <c r="V12" i="3" s="1"/>
  <c r="Z106" i="13"/>
  <c r="Z232" i="13"/>
  <c r="Z248" i="13" s="1"/>
  <c r="Q107" i="17"/>
  <c r="Q92" i="17"/>
  <c r="Q12" i="17" s="1"/>
  <c r="Q21" i="17"/>
  <c r="L107" i="13"/>
  <c r="L92" i="13"/>
  <c r="L12" i="13" s="1"/>
  <c r="X247" i="13"/>
  <c r="V105" i="13"/>
  <c r="V231" i="13"/>
  <c r="C233" i="13"/>
  <c r="S107" i="17"/>
  <c r="S92" i="17"/>
  <c r="S12" i="17" s="1"/>
  <c r="S21" i="17"/>
  <c r="K248" i="15"/>
  <c r="N234" i="17"/>
  <c r="N91" i="17"/>
  <c r="N219" i="17"/>
  <c r="N33" i="17" s="1"/>
  <c r="N35" i="17" s="1"/>
  <c r="N41" i="17" s="1"/>
  <c r="AF264" i="11"/>
  <c r="D120" i="17"/>
  <c r="D168" i="17"/>
  <c r="I122" i="16"/>
  <c r="I249" i="16" s="1"/>
  <c r="I170" i="16"/>
  <c r="Y247" i="13"/>
  <c r="K246" i="13"/>
  <c r="U233" i="13"/>
  <c r="N248" i="15"/>
  <c r="Q234" i="13"/>
  <c r="Q91" i="13"/>
  <c r="Q219" i="13"/>
  <c r="Q33" i="13" s="1"/>
  <c r="M123" i="13"/>
  <c r="M250" i="13" s="1"/>
  <c r="M171" i="13"/>
  <c r="M172" i="13" s="1"/>
  <c r="Z248" i="16"/>
  <c r="X107" i="15"/>
  <c r="X92" i="15"/>
  <c r="X12" i="15" s="1"/>
  <c r="X15" i="15" s="1"/>
  <c r="X46" i="15" s="1"/>
  <c r="O120" i="17"/>
  <c r="O168" i="17"/>
  <c r="I106" i="13"/>
  <c r="I232" i="13"/>
  <c r="I248" i="13" s="1"/>
  <c r="AE122" i="11"/>
  <c r="AE265" i="11" s="1"/>
  <c r="AE170" i="11"/>
  <c r="K234" i="16"/>
  <c r="K91" i="16"/>
  <c r="K233" i="16" s="1"/>
  <c r="K219" i="16"/>
  <c r="K33" i="16" s="1"/>
  <c r="K35" i="16" s="1"/>
  <c r="K41" i="16" s="1"/>
  <c r="AF265" i="11"/>
  <c r="O121" i="15"/>
  <c r="O169" i="15"/>
  <c r="Y112" i="12"/>
  <c r="Y239" i="12" s="1"/>
  <c r="Y160" i="12"/>
  <c r="U248" i="12"/>
  <c r="V90" i="13"/>
  <c r="V107" i="17"/>
  <c r="V92" i="17"/>
  <c r="V12" i="17" s="1"/>
  <c r="V21" i="17"/>
  <c r="L171" i="16"/>
  <c r="Q105" i="15"/>
  <c r="Q231" i="15"/>
  <c r="Q247" i="15" s="1"/>
  <c r="E120" i="13"/>
  <c r="E168" i="13"/>
  <c r="H108" i="12"/>
  <c r="H23" i="12" s="1"/>
  <c r="H112" i="12"/>
  <c r="H239" i="12" s="1"/>
  <c r="H160" i="12"/>
  <c r="H172" i="12" s="1"/>
  <c r="AB249" i="16"/>
  <c r="V233" i="17"/>
  <c r="AB33" i="16"/>
  <c r="AB23" i="16"/>
  <c r="AB25" i="16" s="1"/>
  <c r="AB28" i="16" s="1"/>
  <c r="AB26" i="16" s="1"/>
  <c r="H35" i="12"/>
  <c r="H41" i="12" s="1"/>
  <c r="H4" i="3"/>
  <c r="H6" i="3" s="1"/>
  <c r="H12" i="3" s="1"/>
  <c r="N123" i="15"/>
  <c r="N250" i="15" s="1"/>
  <c r="N108" i="15"/>
  <c r="N23" i="15" s="1"/>
  <c r="N25" i="15" s="1"/>
  <c r="N28" i="15" s="1"/>
  <c r="N26" i="15" s="1"/>
  <c r="N171" i="15"/>
  <c r="U106" i="17"/>
  <c r="U232" i="17"/>
  <c r="S91" i="12"/>
  <c r="S107" i="12" s="1"/>
  <c r="S233" i="12"/>
  <c r="S249" i="12" s="1"/>
  <c r="U90" i="15"/>
  <c r="U105" i="15"/>
  <c r="U231" i="15"/>
  <c r="U247" i="15" s="1"/>
  <c r="AB123" i="16"/>
  <c r="AB250" i="16" s="1"/>
  <c r="AB108" i="16"/>
  <c r="B107" i="15"/>
  <c r="B92" i="15"/>
  <c r="B12" i="15" s="1"/>
  <c r="B15" i="15" s="1"/>
  <c r="B46" i="15" s="1"/>
  <c r="I112" i="14"/>
  <c r="I239" i="14" s="1"/>
  <c r="I108" i="14"/>
  <c r="I23" i="14" s="1"/>
  <c r="I160" i="14"/>
  <c r="L123" i="17"/>
  <c r="L250" i="17" s="1"/>
  <c r="L108" i="17"/>
  <c r="L23" i="17" s="1"/>
  <c r="L171" i="17"/>
  <c r="L172" i="17" s="1"/>
  <c r="W92" i="12"/>
  <c r="W12" i="12" s="1"/>
  <c r="W96" i="12"/>
  <c r="Z233" i="13"/>
  <c r="X121" i="13"/>
  <c r="X169" i="13"/>
  <c r="B122" i="17"/>
  <c r="B170" i="17"/>
  <c r="B171" i="17"/>
  <c r="B172" i="17" s="1"/>
  <c r="O112" i="12"/>
  <c r="O239" i="12" s="1"/>
  <c r="O108" i="12"/>
  <c r="O23" i="12" s="1"/>
  <c r="O160" i="12"/>
  <c r="O172" i="12" s="1"/>
  <c r="K122" i="15"/>
  <c r="K249" i="15" s="1"/>
  <c r="K170" i="15"/>
  <c r="K172" i="15" s="1"/>
  <c r="N233" i="17"/>
  <c r="N90" i="17"/>
  <c r="X18" i="3"/>
  <c r="X35" i="13"/>
  <c r="X41" i="13" s="1"/>
  <c r="L232" i="12"/>
  <c r="L248" i="12" s="1"/>
  <c r="AG91" i="11"/>
  <c r="AG95" i="11"/>
  <c r="S248" i="15"/>
  <c r="Y121" i="17"/>
  <c r="Y169" i="17"/>
  <c r="K120" i="13"/>
  <c r="K168" i="13"/>
  <c r="N122" i="15"/>
  <c r="N249" i="15" s="1"/>
  <c r="N170" i="15"/>
  <c r="Q233" i="13"/>
  <c r="Q90" i="13"/>
  <c r="Z122" i="16"/>
  <c r="Z249" i="16" s="1"/>
  <c r="Z170" i="16"/>
  <c r="I233" i="13"/>
  <c r="K246" i="16"/>
  <c r="U25" i="12" l="1"/>
  <c r="U28" i="12" s="1"/>
  <c r="U26" i="12" s="1"/>
  <c r="U7" i="2" s="1"/>
  <c r="U4" i="2"/>
  <c r="U6" i="2" s="1"/>
  <c r="U9" i="2" s="1"/>
  <c r="D121" i="17"/>
  <c r="D169" i="17"/>
  <c r="AB12" i="13"/>
  <c r="AB23" i="13"/>
  <c r="AB25" i="13" s="1"/>
  <c r="AB28" i="13" s="1"/>
  <c r="AB26" i="13" s="1"/>
  <c r="Y12" i="13"/>
  <c r="AE80" i="13"/>
  <c r="AE81" i="13"/>
  <c r="AE82" i="13"/>
  <c r="AE83" i="13"/>
  <c r="AE84" i="13"/>
  <c r="AE85" i="13"/>
  <c r="AE86" i="13"/>
  <c r="E121" i="13"/>
  <c r="E169" i="13"/>
  <c r="AB123" i="13"/>
  <c r="AB250" i="13" s="1"/>
  <c r="AB108" i="13"/>
  <c r="AB171" i="13"/>
  <c r="V122" i="17"/>
  <c r="V170" i="17"/>
  <c r="E218" i="14"/>
  <c r="E298" i="14" s="1"/>
  <c r="E107" i="14"/>
  <c r="D91" i="14"/>
  <c r="H113" i="14"/>
  <c r="H240" i="14" s="1"/>
  <c r="H161" i="14"/>
  <c r="O248" i="15"/>
  <c r="G123" i="13"/>
  <c r="G250" i="13" s="1"/>
  <c r="G108" i="13"/>
  <c r="G23" i="13" s="1"/>
  <c r="G25" i="13" s="1"/>
  <c r="G28" i="13" s="1"/>
  <c r="G26" i="13" s="1"/>
  <c r="G171" i="13"/>
  <c r="G172" i="13" s="1"/>
  <c r="I123" i="15"/>
  <c r="I250" i="15" s="1"/>
  <c r="I171" i="15"/>
  <c r="I172" i="15" s="1"/>
  <c r="I108" i="15"/>
  <c r="I23" i="15" s="1"/>
  <c r="I25" i="15" s="1"/>
  <c r="I28" i="15" s="1"/>
  <c r="I26" i="15" s="1"/>
  <c r="U20" i="3"/>
  <c r="U26" i="3" s="1"/>
  <c r="V107" i="13"/>
  <c r="V92" i="13"/>
  <c r="V12" i="13" s="1"/>
  <c r="V121" i="16"/>
  <c r="V169" i="16"/>
  <c r="K106" i="16"/>
  <c r="K232" i="16"/>
  <c r="S35" i="12"/>
  <c r="S41" i="12" s="1"/>
  <c r="S4" i="3"/>
  <c r="T92" i="12"/>
  <c r="T96" i="12"/>
  <c r="C35" i="12"/>
  <c r="C41" i="12" s="1"/>
  <c r="C4" i="3"/>
  <c r="C6" i="3" s="1"/>
  <c r="C12" i="3" s="1"/>
  <c r="AF12" i="11"/>
  <c r="AF23" i="11"/>
  <c r="AF25" i="11" s="1"/>
  <c r="AF28" i="11" s="1"/>
  <c r="AF26" i="11" s="1"/>
  <c r="AF172" i="11" s="1"/>
  <c r="I46" i="17"/>
  <c r="I28" i="1"/>
  <c r="I44" i="1" s="1"/>
  <c r="U249" i="12"/>
  <c r="K35" i="13"/>
  <c r="K41" i="13" s="1"/>
  <c r="K18" i="3"/>
  <c r="U247" i="16"/>
  <c r="X122" i="17"/>
  <c r="X249" i="17" s="1"/>
  <c r="X170" i="17"/>
  <c r="G115" i="14"/>
  <c r="G242" i="14" s="1"/>
  <c r="G163" i="14"/>
  <c r="G107" i="17"/>
  <c r="G92" i="17"/>
  <c r="G12" i="17" s="1"/>
  <c r="G21" i="17"/>
  <c r="Y122" i="13"/>
  <c r="Y249" i="13" s="1"/>
  <c r="Y170" i="13"/>
  <c r="R248" i="15"/>
  <c r="AA25" i="11"/>
  <c r="AA28" i="11" s="1"/>
  <c r="AA26" i="11" s="1"/>
  <c r="AA4" i="2"/>
  <c r="AA6" i="2" s="1"/>
  <c r="AA9" i="2" s="1"/>
  <c r="Y107" i="12"/>
  <c r="Y92" i="12"/>
  <c r="Y12" i="12" s="1"/>
  <c r="N107" i="13"/>
  <c r="N92" i="13"/>
  <c r="N12" i="13" s="1"/>
  <c r="P249" i="16"/>
  <c r="F25" i="12"/>
  <c r="F28" i="12" s="1"/>
  <c r="F26" i="12" s="1"/>
  <c r="F7" i="2" s="1"/>
  <c r="F4" i="2"/>
  <c r="F6" i="2" s="1"/>
  <c r="F9" i="2" s="1"/>
  <c r="U121" i="15"/>
  <c r="U169" i="15"/>
  <c r="N247" i="17"/>
  <c r="AA107" i="17"/>
  <c r="AA92" i="17"/>
  <c r="AA12" i="17" s="1"/>
  <c r="AA21" i="17"/>
  <c r="S234" i="12"/>
  <c r="S250" i="12" s="1"/>
  <c r="H106" i="16"/>
  <c r="H232" i="16"/>
  <c r="H248" i="16" s="1"/>
  <c r="U122" i="13"/>
  <c r="U249" i="13" s="1"/>
  <c r="U170" i="13"/>
  <c r="G93" i="14"/>
  <c r="F80" i="14"/>
  <c r="G207" i="14"/>
  <c r="G96" i="14"/>
  <c r="D96" i="12"/>
  <c r="D92" i="12"/>
  <c r="D12" i="12" s="1"/>
  <c r="X12" i="13"/>
  <c r="AD80" i="13"/>
  <c r="AD81" i="13"/>
  <c r="AD82" i="13"/>
  <c r="AD83" i="13"/>
  <c r="AD84" i="13"/>
  <c r="AD85" i="13"/>
  <c r="AD86" i="13"/>
  <c r="AD87" i="13"/>
  <c r="AD88" i="13"/>
  <c r="AD89" i="13"/>
  <c r="F122" i="13"/>
  <c r="F249" i="13" s="1"/>
  <c r="F170" i="13"/>
  <c r="U123" i="12"/>
  <c r="U171" i="12"/>
  <c r="Y247" i="16"/>
  <c r="K107" i="13"/>
  <c r="K92" i="13"/>
  <c r="K12" i="13" s="1"/>
  <c r="U121" i="16"/>
  <c r="U169" i="16"/>
  <c r="E83" i="14"/>
  <c r="F99" i="14"/>
  <c r="F210" i="14"/>
  <c r="F290" i="14" s="1"/>
  <c r="C247" i="16"/>
  <c r="Q248" i="16"/>
  <c r="F93" i="13"/>
  <c r="F15" i="13"/>
  <c r="V247" i="15"/>
  <c r="R122" i="15"/>
  <c r="R249" i="15" s="1"/>
  <c r="R170" i="15"/>
  <c r="S172" i="15"/>
  <c r="H35" i="13"/>
  <c r="H41" i="13" s="1"/>
  <c r="H18" i="3"/>
  <c r="N247" i="13"/>
  <c r="Y233" i="12"/>
  <c r="Y122" i="17"/>
  <c r="Y249" i="17" s="1"/>
  <c r="Y170" i="17"/>
  <c r="B15" i="12"/>
  <c r="B9" i="1"/>
  <c r="B12" i="1" s="1"/>
  <c r="H29" i="1"/>
  <c r="H30" i="1" s="1"/>
  <c r="H31" i="1" s="1"/>
  <c r="H41" i="1"/>
  <c r="H45" i="1" s="1"/>
  <c r="H46" i="1" s="1"/>
  <c r="H47" i="1" s="1"/>
  <c r="M123" i="15"/>
  <c r="M250" i="15" s="1"/>
  <c r="M108" i="15"/>
  <c r="M23" i="15" s="1"/>
  <c r="M25" i="15" s="1"/>
  <c r="M28" i="15" s="1"/>
  <c r="M26" i="15" s="1"/>
  <c r="M171" i="15"/>
  <c r="M172" i="15" s="1"/>
  <c r="F121" i="16"/>
  <c r="F169" i="16"/>
  <c r="D107" i="16"/>
  <c r="D92" i="16"/>
  <c r="D12" i="16" s="1"/>
  <c r="D15" i="16" s="1"/>
  <c r="D46" i="16" s="1"/>
  <c r="J35" i="13"/>
  <c r="J41" i="13" s="1"/>
  <c r="J18" i="3"/>
  <c r="F123" i="14"/>
  <c r="F250" i="14" s="1"/>
  <c r="F171" i="14"/>
  <c r="V106" i="15"/>
  <c r="V232" i="15"/>
  <c r="V248" i="15" s="1"/>
  <c r="J121" i="13"/>
  <c r="J169" i="13"/>
  <c r="Q106" i="13"/>
  <c r="Q232" i="13"/>
  <c r="E247" i="17"/>
  <c r="C93" i="13"/>
  <c r="C15" i="13"/>
  <c r="E121" i="17"/>
  <c r="E169" i="17"/>
  <c r="AF107" i="11"/>
  <c r="AF111" i="11"/>
  <c r="AF254" i="11" s="1"/>
  <c r="AF159" i="11"/>
  <c r="AF171" i="11" s="1"/>
  <c r="H219" i="14"/>
  <c r="H33" i="14" s="1"/>
  <c r="H35" i="14" s="1"/>
  <c r="H41" i="14" s="1"/>
  <c r="H287" i="14"/>
  <c r="I122" i="13"/>
  <c r="I170" i="13"/>
  <c r="N107" i="17"/>
  <c r="N21" i="17"/>
  <c r="N92" i="17"/>
  <c r="N12" i="17" s="1"/>
  <c r="N121" i="17"/>
  <c r="N169" i="17"/>
  <c r="AA106" i="16"/>
  <c r="AA232" i="16"/>
  <c r="AA248" i="16" s="1"/>
  <c r="I172" i="17"/>
  <c r="X123" i="13"/>
  <c r="X250" i="13" s="1"/>
  <c r="X108" i="13"/>
  <c r="X23" i="13" s="1"/>
  <c r="X25" i="13" s="1"/>
  <c r="X28" i="13" s="1"/>
  <c r="X26" i="13" s="1"/>
  <c r="X171" i="13"/>
  <c r="R46" i="17"/>
  <c r="R28" i="1"/>
  <c r="R44" i="1" s="1"/>
  <c r="B93" i="13"/>
  <c r="B15" i="13"/>
  <c r="K247" i="17"/>
  <c r="K247" i="13"/>
  <c r="C121" i="16"/>
  <c r="C169" i="16"/>
  <c r="Q122" i="16"/>
  <c r="Q249" i="16" s="1"/>
  <c r="Q170" i="16"/>
  <c r="F123" i="13"/>
  <c r="F250" i="13" s="1"/>
  <c r="F108" i="13"/>
  <c r="F23" i="13" s="1"/>
  <c r="F25" i="13" s="1"/>
  <c r="F28" i="13" s="1"/>
  <c r="F26" i="13" s="1"/>
  <c r="F171" i="13"/>
  <c r="F172" i="13" s="1"/>
  <c r="W12" i="17"/>
  <c r="H107" i="13"/>
  <c r="H92" i="13"/>
  <c r="H12" i="13" s="1"/>
  <c r="N121" i="13"/>
  <c r="N169" i="13"/>
  <c r="K35" i="12"/>
  <c r="K41" i="12" s="1"/>
  <c r="K4" i="3"/>
  <c r="K6" i="3" s="1"/>
  <c r="K12" i="3" s="1"/>
  <c r="F215" i="14"/>
  <c r="F295" i="14" s="1"/>
  <c r="F104" i="14"/>
  <c r="E88" i="14"/>
  <c r="B123" i="12"/>
  <c r="B250" i="12" s="1"/>
  <c r="B171" i="12"/>
  <c r="B108" i="12"/>
  <c r="B23" i="12" s="1"/>
  <c r="AC170" i="20"/>
  <c r="I15" i="2"/>
  <c r="I25" i="14"/>
  <c r="I28" i="14" s="1"/>
  <c r="I26" i="14" s="1"/>
  <c r="I18" i="2" s="1"/>
  <c r="R106" i="13"/>
  <c r="R232" i="13"/>
  <c r="R248" i="13" s="1"/>
  <c r="E106" i="17"/>
  <c r="E232" i="17"/>
  <c r="S107" i="16"/>
  <c r="S92" i="16"/>
  <c r="S12" i="16" s="1"/>
  <c r="S15" i="16" s="1"/>
  <c r="S46" i="16" s="1"/>
  <c r="U123" i="13"/>
  <c r="U250" i="13" s="1"/>
  <c r="U171" i="13"/>
  <c r="U172" i="13" s="1"/>
  <c r="U108" i="13"/>
  <c r="U23" i="13" s="1"/>
  <c r="U25" i="13" s="1"/>
  <c r="U28" i="13" s="1"/>
  <c r="U26" i="13" s="1"/>
  <c r="I249" i="13"/>
  <c r="Y123" i="17"/>
  <c r="Y250" i="17" s="1"/>
  <c r="Y108" i="17"/>
  <c r="Y23" i="17" s="1"/>
  <c r="Y171" i="17"/>
  <c r="Y172" i="17" s="1"/>
  <c r="M46" i="17"/>
  <c r="M28" i="1"/>
  <c r="X12" i="17"/>
  <c r="X122" i="15"/>
  <c r="X249" i="15" s="1"/>
  <c r="X170" i="15"/>
  <c r="R106" i="16"/>
  <c r="R232" i="16"/>
  <c r="I123" i="13"/>
  <c r="I250" i="13" s="1"/>
  <c r="I108" i="13"/>
  <c r="I23" i="13" s="1"/>
  <c r="I25" i="13" s="1"/>
  <c r="I28" i="13" s="1"/>
  <c r="I26" i="13" s="1"/>
  <c r="I171" i="13"/>
  <c r="I172" i="13" s="1"/>
  <c r="C123" i="13"/>
  <c r="C250" i="13" s="1"/>
  <c r="C108" i="13"/>
  <c r="C23" i="13" s="1"/>
  <c r="C25" i="13" s="1"/>
  <c r="C28" i="13" s="1"/>
  <c r="C26" i="13" s="1"/>
  <c r="C171" i="13"/>
  <c r="C172" i="13" s="1"/>
  <c r="Q121" i="15"/>
  <c r="Q169" i="15"/>
  <c r="H112" i="14"/>
  <c r="H239" i="14" s="1"/>
  <c r="H108" i="14"/>
  <c r="H23" i="14" s="1"/>
  <c r="H160" i="14"/>
  <c r="F46" i="17"/>
  <c r="F28" i="1"/>
  <c r="F44" i="1" s="1"/>
  <c r="R41" i="1"/>
  <c r="V107" i="15"/>
  <c r="V92" i="15"/>
  <c r="I15" i="12"/>
  <c r="I46" i="12" s="1"/>
  <c r="I9" i="1"/>
  <c r="I12" i="1" s="1"/>
  <c r="B123" i="13"/>
  <c r="B250" i="13" s="1"/>
  <c r="B108" i="13"/>
  <c r="B23" i="13" s="1"/>
  <c r="B25" i="13" s="1"/>
  <c r="B28" i="13" s="1"/>
  <c r="B26" i="13" s="1"/>
  <c r="B171" i="13"/>
  <c r="K121" i="17"/>
  <c r="K169" i="17"/>
  <c r="K121" i="13"/>
  <c r="K169" i="13"/>
  <c r="B248" i="15"/>
  <c r="V121" i="15"/>
  <c r="V169" i="15"/>
  <c r="R18" i="3"/>
  <c r="R35" i="13"/>
  <c r="R41" i="13" s="1"/>
  <c r="T46" i="17"/>
  <c r="T28" i="1"/>
  <c r="AD41" i="1"/>
  <c r="AD12" i="1"/>
  <c r="AD44" i="1" s="1"/>
  <c r="W18" i="3"/>
  <c r="W35" i="13"/>
  <c r="W41" i="13" s="1"/>
  <c r="G120" i="14"/>
  <c r="G247" i="14" s="1"/>
  <c r="G168" i="14"/>
  <c r="H247" i="13"/>
  <c r="E107" i="16"/>
  <c r="E92" i="16"/>
  <c r="E12" i="16" s="1"/>
  <c r="E15" i="16" s="1"/>
  <c r="E46" i="16" s="1"/>
  <c r="S233" i="16"/>
  <c r="L172" i="16"/>
  <c r="L123" i="12"/>
  <c r="L250" i="12" s="1"/>
  <c r="L171" i="12"/>
  <c r="Y107" i="16"/>
  <c r="Y92" i="16"/>
  <c r="C15" i="12"/>
  <c r="C9" i="1"/>
  <c r="C12" i="1" s="1"/>
  <c r="Y20" i="3"/>
  <c r="Y26" i="3" s="1"/>
  <c r="L96" i="12"/>
  <c r="L92" i="12"/>
  <c r="L12" i="12" s="1"/>
  <c r="H121" i="13"/>
  <c r="H169" i="13"/>
  <c r="C108" i="12"/>
  <c r="C23" i="12" s="1"/>
  <c r="C112" i="12"/>
  <c r="C239" i="12" s="1"/>
  <c r="C160" i="12"/>
  <c r="E121" i="16"/>
  <c r="E169" i="16"/>
  <c r="B122" i="13"/>
  <c r="B249" i="13" s="1"/>
  <c r="B170" i="13"/>
  <c r="E106" i="16"/>
  <c r="E232" i="16"/>
  <c r="E248" i="16" s="1"/>
  <c r="U248" i="17"/>
  <c r="V25" i="1"/>
  <c r="V15" i="17"/>
  <c r="X123" i="15"/>
  <c r="X250" i="15" s="1"/>
  <c r="X108" i="15"/>
  <c r="X23" i="15" s="1"/>
  <c r="X25" i="15" s="1"/>
  <c r="X28" i="15" s="1"/>
  <c r="X26" i="15" s="1"/>
  <c r="X171" i="15"/>
  <c r="X172" i="15" s="1"/>
  <c r="S25" i="1"/>
  <c r="S15" i="17"/>
  <c r="G106" i="16"/>
  <c r="G232" i="16"/>
  <c r="T25" i="17"/>
  <c r="T28" i="17" s="1"/>
  <c r="T26" i="17" s="1"/>
  <c r="T18" i="2" s="1"/>
  <c r="T15" i="2"/>
  <c r="D121" i="13"/>
  <c r="D169" i="13"/>
  <c r="J248" i="17"/>
  <c r="K106" i="17"/>
  <c r="K232" i="17"/>
  <c r="B41" i="1"/>
  <c r="B45" i="1" s="1"/>
  <c r="B46" i="1" s="1"/>
  <c r="B47" i="1" s="1"/>
  <c r="B29" i="1"/>
  <c r="B30" i="1" s="1"/>
  <c r="B31" i="1" s="1"/>
  <c r="W247" i="13"/>
  <c r="Y234" i="12"/>
  <c r="F106" i="16"/>
  <c r="F232" i="16"/>
  <c r="AA106" i="17"/>
  <c r="AA232" i="17"/>
  <c r="O121" i="17"/>
  <c r="O169" i="17"/>
  <c r="Q247" i="13"/>
  <c r="I172" i="16"/>
  <c r="G247" i="17"/>
  <c r="D121" i="16"/>
  <c r="D169" i="16"/>
  <c r="D121" i="15"/>
  <c r="D169" i="15"/>
  <c r="E106" i="13"/>
  <c r="E232" i="13"/>
  <c r="E248" i="13" s="1"/>
  <c r="AE171" i="11"/>
  <c r="S248" i="17"/>
  <c r="K107" i="12"/>
  <c r="K92" i="12"/>
  <c r="K12" i="12" s="1"/>
  <c r="E233" i="16"/>
  <c r="C106" i="16"/>
  <c r="C232" i="16"/>
  <c r="C248" i="16" s="1"/>
  <c r="P123" i="16"/>
  <c r="P250" i="16" s="1"/>
  <c r="P108" i="16"/>
  <c r="P23" i="16" s="1"/>
  <c r="P25" i="16" s="1"/>
  <c r="P28" i="16" s="1"/>
  <c r="P26" i="16" s="1"/>
  <c r="P171" i="16"/>
  <c r="P172" i="16" s="1"/>
  <c r="V249" i="17"/>
  <c r="D233" i="16"/>
  <c r="D106" i="17"/>
  <c r="D232" i="17"/>
  <c r="E214" i="14"/>
  <c r="E294" i="14" s="1"/>
  <c r="E103" i="14"/>
  <c r="D87" i="14"/>
  <c r="R121" i="16"/>
  <c r="R169" i="16"/>
  <c r="Q123" i="16"/>
  <c r="Q250" i="16" s="1"/>
  <c r="Q108" i="16"/>
  <c r="Q23" i="16" s="1"/>
  <c r="Q25" i="16" s="1"/>
  <c r="Q28" i="16" s="1"/>
  <c r="Q26" i="16" s="1"/>
  <c r="Q171" i="16"/>
  <c r="Q172" i="16" s="1"/>
  <c r="F119" i="14"/>
  <c r="F246" i="14" s="1"/>
  <c r="F167" i="14"/>
  <c r="P122" i="16"/>
  <c r="P170" i="16"/>
  <c r="AA92" i="11"/>
  <c r="AA9" i="1"/>
  <c r="AA12" i="1" s="1"/>
  <c r="AA15" i="11"/>
  <c r="AA45" i="11" s="1"/>
  <c r="N35" i="13"/>
  <c r="N41" i="13" s="1"/>
  <c r="N18" i="3"/>
  <c r="U106" i="15"/>
  <c r="AA90" i="15"/>
  <c r="U232" i="15"/>
  <c r="U248" i="15" s="1"/>
  <c r="S123" i="12"/>
  <c r="S171" i="12"/>
  <c r="AD90" i="13"/>
  <c r="Q107" i="15"/>
  <c r="Q92" i="15"/>
  <c r="Q12" i="15" s="1"/>
  <c r="Q15" i="15" s="1"/>
  <c r="Q46" i="15" s="1"/>
  <c r="O121" i="13"/>
  <c r="O169" i="13"/>
  <c r="C248" i="13"/>
  <c r="Z88" i="15"/>
  <c r="K107" i="17"/>
  <c r="K92" i="17"/>
  <c r="K12" i="17" s="1"/>
  <c r="K21" i="17"/>
  <c r="L20" i="3"/>
  <c r="L26" i="3" s="1"/>
  <c r="N15" i="12"/>
  <c r="N46" i="12" s="1"/>
  <c r="N9" i="1"/>
  <c r="N12" i="1" s="1"/>
  <c r="G107" i="16"/>
  <c r="G92" i="16"/>
  <c r="G12" i="16" s="1"/>
  <c r="G15" i="16" s="1"/>
  <c r="G46" i="16" s="1"/>
  <c r="J121" i="15"/>
  <c r="J169" i="15"/>
  <c r="D106" i="16"/>
  <c r="D232" i="16"/>
  <c r="D248" i="16" s="1"/>
  <c r="Q106" i="15"/>
  <c r="Q232" i="15"/>
  <c r="S15" i="12"/>
  <c r="S46" i="12" s="1"/>
  <c r="S9" i="1"/>
  <c r="S12" i="1" s="1"/>
  <c r="R107" i="16"/>
  <c r="R92" i="16"/>
  <c r="R12" i="16" s="1"/>
  <c r="R15" i="16" s="1"/>
  <c r="R46" i="16" s="1"/>
  <c r="C121" i="15"/>
  <c r="C169" i="15"/>
  <c r="F41" i="1"/>
  <c r="F29" i="1"/>
  <c r="F30" i="1" s="1"/>
  <c r="F31" i="1" s="1"/>
  <c r="O106" i="17"/>
  <c r="O232" i="17"/>
  <c r="O248" i="17" s="1"/>
  <c r="Y35" i="12"/>
  <c r="Y41" i="12" s="1"/>
  <c r="Y4" i="3"/>
  <c r="Y6" i="3" s="1"/>
  <c r="Y12" i="3" s="1"/>
  <c r="V123" i="17"/>
  <c r="V250" i="17" s="1"/>
  <c r="V171" i="17"/>
  <c r="V108" i="17"/>
  <c r="V23" i="17" s="1"/>
  <c r="H247" i="16"/>
  <c r="Q121" i="13"/>
  <c r="Q169" i="13"/>
  <c r="L123" i="15"/>
  <c r="L250" i="15" s="1"/>
  <c r="L171" i="15"/>
  <c r="L172" i="15" s="1"/>
  <c r="L108" i="15"/>
  <c r="L23" i="15" s="1"/>
  <c r="L25" i="15" s="1"/>
  <c r="L28" i="15" s="1"/>
  <c r="L26" i="15" s="1"/>
  <c r="E107" i="17"/>
  <c r="E21" i="17"/>
  <c r="E92" i="17"/>
  <c r="E12" i="17" s="1"/>
  <c r="S122" i="17"/>
  <c r="S249" i="17" s="1"/>
  <c r="S170" i="17"/>
  <c r="V106" i="16"/>
  <c r="V232" i="16"/>
  <c r="V248" i="16" s="1"/>
  <c r="AG107" i="11"/>
  <c r="AG111" i="11"/>
  <c r="AG254" i="11" s="1"/>
  <c r="AG159" i="11"/>
  <c r="AG171" i="11" s="1"/>
  <c r="W112" i="12"/>
  <c r="W239" i="12" s="1"/>
  <c r="W160" i="12"/>
  <c r="W172" i="12" s="1"/>
  <c r="W108" i="12"/>
  <c r="W23" i="12" s="1"/>
  <c r="N172" i="15"/>
  <c r="V106" i="13"/>
  <c r="V232" i="13"/>
  <c r="C107" i="16"/>
  <c r="C92" i="16"/>
  <c r="C12" i="16" s="1"/>
  <c r="C15" i="16" s="1"/>
  <c r="C46" i="16" s="1"/>
  <c r="C122" i="13"/>
  <c r="C249" i="13" s="1"/>
  <c r="C170" i="13"/>
  <c r="K106" i="13"/>
  <c r="K232" i="13"/>
  <c r="W121" i="13"/>
  <c r="W169" i="13"/>
  <c r="J248" i="16"/>
  <c r="F105" i="14"/>
  <c r="E89" i="14"/>
  <c r="F216" i="14"/>
  <c r="F296" i="14" s="1"/>
  <c r="O107" i="13"/>
  <c r="O92" i="13"/>
  <c r="O12" i="13" s="1"/>
  <c r="S121" i="16"/>
  <c r="S169" i="16"/>
  <c r="H121" i="16"/>
  <c r="H169" i="16"/>
  <c r="H106" i="13"/>
  <c r="H232" i="13"/>
  <c r="AA247" i="16"/>
  <c r="T106" i="16"/>
  <c r="T232" i="16"/>
  <c r="AB248" i="13"/>
  <c r="G233" i="17"/>
  <c r="C123" i="12"/>
  <c r="C250" i="12" s="1"/>
  <c r="C171" i="12"/>
  <c r="V107" i="16"/>
  <c r="V92" i="16"/>
  <c r="H46" i="17"/>
  <c r="H28" i="1"/>
  <c r="H44" i="1" s="1"/>
  <c r="Q122" i="17"/>
  <c r="Q249" i="17" s="1"/>
  <c r="Q170" i="17"/>
  <c r="AB219" i="16"/>
  <c r="AB35" i="16"/>
  <c r="AB41" i="16" s="1"/>
  <c r="U106" i="16"/>
  <c r="U232" i="16"/>
  <c r="P25" i="12"/>
  <c r="P28" i="12" s="1"/>
  <c r="P26" i="12" s="1"/>
  <c r="P7" i="2" s="1"/>
  <c r="P29" i="2" s="1"/>
  <c r="P31" i="2" s="1"/>
  <c r="P4" i="2"/>
  <c r="H114" i="14"/>
  <c r="H241" i="14" s="1"/>
  <c r="H162" i="14"/>
  <c r="Z122" i="13"/>
  <c r="Z249" i="13" s="1"/>
  <c r="Z170" i="13"/>
  <c r="S106" i="16"/>
  <c r="S232" i="16"/>
  <c r="S248" i="16" s="1"/>
  <c r="X123" i="17"/>
  <c r="X250" i="17" s="1"/>
  <c r="X108" i="17"/>
  <c r="X23" i="17" s="1"/>
  <c r="X171" i="17"/>
  <c r="X172" i="17" s="1"/>
  <c r="J123" i="17"/>
  <c r="J250" i="17" s="1"/>
  <c r="J108" i="17"/>
  <c r="J23" i="17" s="1"/>
  <c r="J171" i="17"/>
  <c r="AB171" i="11"/>
  <c r="AC169" i="11" s="1"/>
  <c r="L46" i="17"/>
  <c r="L28" i="1"/>
  <c r="AC161" i="11"/>
  <c r="X248" i="13"/>
  <c r="M25" i="17"/>
  <c r="M28" i="17" s="1"/>
  <c r="M26" i="17" s="1"/>
  <c r="M18" i="2" s="1"/>
  <c r="M15" i="2"/>
  <c r="R107" i="13"/>
  <c r="R92" i="13"/>
  <c r="R12" i="13" s="1"/>
  <c r="AE92" i="11"/>
  <c r="AE15" i="11"/>
  <c r="AE45" i="11" s="1"/>
  <c r="J123" i="16"/>
  <c r="J250" i="16" s="1"/>
  <c r="J108" i="16"/>
  <c r="J23" i="16" s="1"/>
  <c r="J25" i="16" s="1"/>
  <c r="J28" i="16" s="1"/>
  <c r="J26" i="16" s="1"/>
  <c r="J171" i="16"/>
  <c r="J172" i="16" s="1"/>
  <c r="O247" i="17"/>
  <c r="D247" i="15"/>
  <c r="U122" i="17"/>
  <c r="U249" i="17" s="1"/>
  <c r="U170" i="17"/>
  <c r="G233" i="16"/>
  <c r="O35" i="13"/>
  <c r="O41" i="13" s="1"/>
  <c r="O18" i="3"/>
  <c r="V247" i="13"/>
  <c r="Z106" i="17"/>
  <c r="Z232" i="17"/>
  <c r="Z248" i="17" s="1"/>
  <c r="G247" i="16"/>
  <c r="G102" i="14"/>
  <c r="G213" i="14"/>
  <c r="G293" i="14" s="1"/>
  <c r="F86" i="14"/>
  <c r="U35" i="12"/>
  <c r="U41" i="12" s="1"/>
  <c r="U4" i="3"/>
  <c r="U6" i="3" s="1"/>
  <c r="U12" i="3" s="1"/>
  <c r="J122" i="16"/>
  <c r="J249" i="16" s="1"/>
  <c r="J170" i="16"/>
  <c r="G121" i="14"/>
  <c r="G248" i="14" s="1"/>
  <c r="G169" i="14"/>
  <c r="H233" i="13"/>
  <c r="D107" i="17"/>
  <c r="D21" i="17"/>
  <c r="D92" i="17"/>
  <c r="D12" i="17" s="1"/>
  <c r="C106" i="15"/>
  <c r="C232" i="15"/>
  <c r="C248" i="15" s="1"/>
  <c r="AA121" i="16"/>
  <c r="AA169" i="16"/>
  <c r="H107" i="16"/>
  <c r="H92" i="16"/>
  <c r="H12" i="16" s="1"/>
  <c r="H15" i="16" s="1"/>
  <c r="H46" i="16" s="1"/>
  <c r="AB122" i="13"/>
  <c r="AB249" i="13" s="1"/>
  <c r="AB170" i="13"/>
  <c r="G106" i="17"/>
  <c r="G232" i="17"/>
  <c r="G248" i="17" s="1"/>
  <c r="T107" i="16"/>
  <c r="T92" i="16"/>
  <c r="T12" i="16" s="1"/>
  <c r="T15" i="16" s="1"/>
  <c r="T46" i="16" s="1"/>
  <c r="S172" i="12"/>
  <c r="C233" i="12"/>
  <c r="C249" i="12" s="1"/>
  <c r="R25" i="17"/>
  <c r="R28" i="17" s="1"/>
  <c r="R26" i="17" s="1"/>
  <c r="R18" i="2" s="1"/>
  <c r="R15" i="2"/>
  <c r="M122" i="15"/>
  <c r="M249" i="15" s="1"/>
  <c r="M170" i="15"/>
  <c r="Q123" i="17"/>
  <c r="Q250" i="17" s="1"/>
  <c r="Q108" i="17"/>
  <c r="Q23" i="17" s="1"/>
  <c r="Q171" i="17"/>
  <c r="AC111" i="11"/>
  <c r="AC254" i="11" s="1"/>
  <c r="AC107" i="11"/>
  <c r="N108" i="12"/>
  <c r="N23" i="12" s="1"/>
  <c r="N112" i="12"/>
  <c r="N239" i="12" s="1"/>
  <c r="N160" i="12"/>
  <c r="N172" i="12" s="1"/>
  <c r="F82" i="14"/>
  <c r="G98" i="14"/>
  <c r="G209" i="14"/>
  <c r="G289" i="14" s="1"/>
  <c r="L122" i="13"/>
  <c r="L249" i="13" s="1"/>
  <c r="L170" i="13"/>
  <c r="AA121" i="17"/>
  <c r="AA169" i="17"/>
  <c r="O25" i="12"/>
  <c r="O28" i="12" s="1"/>
  <c r="O26" i="12" s="1"/>
  <c r="O7" i="2" s="1"/>
  <c r="O4" i="2"/>
  <c r="O6" i="2" s="1"/>
  <c r="O9" i="2" s="1"/>
  <c r="D107" i="15"/>
  <c r="D92" i="15"/>
  <c r="D12" i="15" s="1"/>
  <c r="D15" i="15" s="1"/>
  <c r="D46" i="15" s="1"/>
  <c r="O122" i="15"/>
  <c r="O249" i="15" s="1"/>
  <c r="O170" i="15"/>
  <c r="U107" i="16"/>
  <c r="U92" i="16"/>
  <c r="R123" i="15"/>
  <c r="R250" i="15" s="1"/>
  <c r="R171" i="15"/>
  <c r="R172" i="15" s="1"/>
  <c r="R108" i="15"/>
  <c r="R23" i="15" s="1"/>
  <c r="R25" i="15" s="1"/>
  <c r="R28" i="15" s="1"/>
  <c r="R26" i="15" s="1"/>
  <c r="I93" i="13"/>
  <c r="I15" i="13"/>
  <c r="H25" i="12"/>
  <c r="H28" i="12" s="1"/>
  <c r="H26" i="12" s="1"/>
  <c r="H7" i="2" s="1"/>
  <c r="H4" i="2"/>
  <c r="H6" i="2" s="1"/>
  <c r="H9" i="2" s="1"/>
  <c r="I32" i="3"/>
  <c r="I34" i="3" s="1"/>
  <c r="I40" i="3" s="1"/>
  <c r="I20" i="3"/>
  <c r="I26" i="3" s="1"/>
  <c r="Q15" i="12"/>
  <c r="Q46" i="12" s="1"/>
  <c r="Q9" i="1"/>
  <c r="Q12" i="1" s="1"/>
  <c r="X122" i="13"/>
  <c r="X249" i="13" s="1"/>
  <c r="X170" i="13"/>
  <c r="Z247" i="17"/>
  <c r="I112" i="12"/>
  <c r="I239" i="12" s="1"/>
  <c r="I108" i="12"/>
  <c r="I23" i="12" s="1"/>
  <c r="I160" i="12"/>
  <c r="I172" i="12" s="1"/>
  <c r="C107" i="15"/>
  <c r="C92" i="15"/>
  <c r="C12" i="15" s="1"/>
  <c r="C15" i="15" s="1"/>
  <c r="C46" i="15" s="1"/>
  <c r="M172" i="16"/>
  <c r="W107" i="13"/>
  <c r="W92" i="13"/>
  <c r="M172" i="17"/>
  <c r="D247" i="13"/>
  <c r="L233" i="12"/>
  <c r="L249" i="12" s="1"/>
  <c r="Z121" i="17"/>
  <c r="Z169" i="17"/>
  <c r="B46" i="17"/>
  <c r="B28" i="1"/>
  <c r="B44" i="1" s="1"/>
  <c r="Y121" i="16"/>
  <c r="Y169" i="16"/>
  <c r="F107" i="16"/>
  <c r="F92" i="16"/>
  <c r="F12" i="16" s="1"/>
  <c r="F15" i="16" s="1"/>
  <c r="F46" i="16" s="1"/>
  <c r="G122" i="13"/>
  <c r="G249" i="13" s="1"/>
  <c r="G170" i="13"/>
  <c r="S123" i="17"/>
  <c r="S250" i="17" s="1"/>
  <c r="S171" i="17"/>
  <c r="S172" i="17" s="1"/>
  <c r="J122" i="17"/>
  <c r="J249" i="17" s="1"/>
  <c r="J170" i="17"/>
  <c r="K233" i="17"/>
  <c r="S247" i="16"/>
  <c r="G121" i="17"/>
  <c r="G169" i="17"/>
  <c r="AG12" i="11"/>
  <c r="AG23" i="11"/>
  <c r="AG25" i="11" s="1"/>
  <c r="AG28" i="11" s="1"/>
  <c r="AG26" i="11" s="1"/>
  <c r="AG172" i="11" s="1"/>
  <c r="W9" i="1"/>
  <c r="W12" i="1" s="1"/>
  <c r="W15" i="12"/>
  <c r="W46" i="12" s="1"/>
  <c r="V233" i="13"/>
  <c r="Q18" i="3"/>
  <c r="Q35" i="13"/>
  <c r="Q41" i="13" s="1"/>
  <c r="V121" i="13"/>
  <c r="V169" i="13"/>
  <c r="I249" i="15"/>
  <c r="G121" i="16"/>
  <c r="G169" i="16"/>
  <c r="O123" i="15"/>
  <c r="O250" i="15" s="1"/>
  <c r="O108" i="15"/>
  <c r="O23" i="15" s="1"/>
  <c r="O25" i="15" s="1"/>
  <c r="O28" i="15" s="1"/>
  <c r="O26" i="15" s="1"/>
  <c r="O171" i="15"/>
  <c r="O172" i="15" s="1"/>
  <c r="H118" i="14"/>
  <c r="H245" i="14" s="1"/>
  <c r="H166" i="14"/>
  <c r="Y106" i="16"/>
  <c r="Y232" i="16"/>
  <c r="V92" i="12"/>
  <c r="AB80" i="12" s="1"/>
  <c r="V96" i="12"/>
  <c r="L35" i="12"/>
  <c r="L41" i="12" s="1"/>
  <c r="L4" i="3"/>
  <c r="L6" i="3" s="1"/>
  <c r="L12" i="3" s="1"/>
  <c r="C107" i="17"/>
  <c r="C92" i="17"/>
  <c r="C12" i="17" s="1"/>
  <c r="C21" i="17"/>
  <c r="W248" i="17"/>
  <c r="D35" i="13"/>
  <c r="D41" i="13" s="1"/>
  <c r="C233" i="15"/>
  <c r="O106" i="13"/>
  <c r="O232" i="13"/>
  <c r="E35" i="13"/>
  <c r="E41" i="13" s="1"/>
  <c r="Q172" i="12"/>
  <c r="R112" i="12"/>
  <c r="R239" i="12" s="1"/>
  <c r="R108" i="12"/>
  <c r="R23" i="12" s="1"/>
  <c r="R160" i="12"/>
  <c r="R172" i="12" s="1"/>
  <c r="P12" i="1"/>
  <c r="P44" i="1" s="1"/>
  <c r="P41" i="1"/>
  <c r="AB92" i="11"/>
  <c r="AB9" i="1"/>
  <c r="AB15" i="11"/>
  <c r="AB45" i="11" s="1"/>
  <c r="U93" i="13"/>
  <c r="U15" i="13"/>
  <c r="Q25" i="1"/>
  <c r="Q15" i="17"/>
  <c r="T121" i="16"/>
  <c r="T169" i="16"/>
  <c r="R121" i="13"/>
  <c r="R169" i="13"/>
  <c r="Y123" i="13"/>
  <c r="Y250" i="13" s="1"/>
  <c r="Y108" i="13"/>
  <c r="Y23" i="13" s="1"/>
  <c r="Y25" i="13" s="1"/>
  <c r="Y28" i="13" s="1"/>
  <c r="Y26" i="13" s="1"/>
  <c r="Y171" i="13"/>
  <c r="Y172" i="13" s="1"/>
  <c r="J107" i="13"/>
  <c r="J92" i="13"/>
  <c r="J12" i="13" s="1"/>
  <c r="K107" i="16"/>
  <c r="K92" i="16"/>
  <c r="K12" i="16" s="1"/>
  <c r="K15" i="16" s="1"/>
  <c r="K46" i="16" s="1"/>
  <c r="I122" i="15"/>
  <c r="I170" i="15"/>
  <c r="G208" i="14"/>
  <c r="G288" i="14" s="1"/>
  <c r="G97" i="14"/>
  <c r="F81" i="14"/>
  <c r="V247" i="16"/>
  <c r="J25" i="1"/>
  <c r="J15" i="17"/>
  <c r="Z107" i="17"/>
  <c r="Z92" i="17"/>
  <c r="Z12" i="17" s="1"/>
  <c r="Z21" i="17"/>
  <c r="N106" i="13"/>
  <c r="N232" i="13"/>
  <c r="C121" i="17"/>
  <c r="C169" i="17"/>
  <c r="B122" i="15"/>
  <c r="B249" i="15" s="1"/>
  <c r="B170" i="15"/>
  <c r="G248" i="13"/>
  <c r="W123" i="17"/>
  <c r="W250" i="17" s="1"/>
  <c r="W108" i="17"/>
  <c r="W23" i="17" s="1"/>
  <c r="W171" i="17"/>
  <c r="T29" i="1"/>
  <c r="T30" i="1" s="1"/>
  <c r="T31" i="1" s="1"/>
  <c r="W106" i="13"/>
  <c r="AC90" i="13"/>
  <c r="W232" i="13"/>
  <c r="K121" i="16"/>
  <c r="K169" i="16"/>
  <c r="Z96" i="12"/>
  <c r="F233" i="16"/>
  <c r="L25" i="17"/>
  <c r="L28" i="17" s="1"/>
  <c r="L26" i="17" s="1"/>
  <c r="L18" i="2" s="1"/>
  <c r="L15" i="2"/>
  <c r="Q107" i="13"/>
  <c r="Q92" i="13"/>
  <c r="Q12" i="13" s="1"/>
  <c r="Z20" i="3"/>
  <c r="Z26" i="3" s="1"/>
  <c r="J107" i="15"/>
  <c r="J92" i="15"/>
  <c r="J12" i="15" s="1"/>
  <c r="J15" i="15" s="1"/>
  <c r="J46" i="15" s="1"/>
  <c r="Y233" i="16"/>
  <c r="U25" i="1"/>
  <c r="U15" i="17"/>
  <c r="U234" i="12"/>
  <c r="U250" i="12" s="1"/>
  <c r="J106" i="15"/>
  <c r="J232" i="15"/>
  <c r="J248" i="15" s="1"/>
  <c r="O233" i="13"/>
  <c r="Q25" i="12"/>
  <c r="Q28" i="12" s="1"/>
  <c r="Q26" i="12" s="1"/>
  <c r="Q7" i="2" s="1"/>
  <c r="Q4" i="2"/>
  <c r="Q6" i="2" s="1"/>
  <c r="Q9" i="2" s="1"/>
  <c r="R9" i="1"/>
  <c r="R12" i="1" s="1"/>
  <c r="R15" i="12"/>
  <c r="R46" i="12" s="1"/>
  <c r="G117" i="14"/>
  <c r="G244" i="14" s="1"/>
  <c r="G165" i="14"/>
  <c r="S108" i="12"/>
  <c r="S23" i="12" s="1"/>
  <c r="O107" i="17"/>
  <c r="O21" i="17"/>
  <c r="O92" i="17"/>
  <c r="O12" i="17" s="1"/>
  <c r="S25" i="17"/>
  <c r="S28" i="17" s="1"/>
  <c r="S26" i="17" s="1"/>
  <c r="S18" i="2" s="1"/>
  <c r="S15" i="2"/>
  <c r="Z123" i="13"/>
  <c r="Z250" i="13" s="1"/>
  <c r="Z108" i="13"/>
  <c r="Z23" i="13" s="1"/>
  <c r="Z25" i="13" s="1"/>
  <c r="Z28" i="13" s="1"/>
  <c r="Z26" i="13" s="1"/>
  <c r="Z171" i="13"/>
  <c r="Z172" i="13" s="1"/>
  <c r="D106" i="15"/>
  <c r="D232" i="15"/>
  <c r="D248" i="15" s="1"/>
  <c r="AC92" i="11"/>
  <c r="AC9" i="1"/>
  <c r="AC15" i="11"/>
  <c r="AC45" i="11" s="1"/>
  <c r="Y12" i="17"/>
  <c r="U122" i="12"/>
  <c r="U170" i="12"/>
  <c r="U172" i="12" s="1"/>
  <c r="F172" i="17"/>
  <c r="AA107" i="16"/>
  <c r="AA92" i="16"/>
  <c r="AC90" i="16" s="1"/>
  <c r="G116" i="14"/>
  <c r="G243" i="14" s="1"/>
  <c r="G164" i="14"/>
  <c r="F100" i="14"/>
  <c r="E84" i="14"/>
  <c r="F211" i="14"/>
  <c r="F291" i="14" s="1"/>
  <c r="B123" i="15"/>
  <c r="B250" i="15" s="1"/>
  <c r="B171" i="15"/>
  <c r="B172" i="15" s="1"/>
  <c r="B108" i="15"/>
  <c r="B23" i="15" s="1"/>
  <c r="B25" i="15" s="1"/>
  <c r="B28" i="15" s="1"/>
  <c r="B26" i="15" s="1"/>
  <c r="G93" i="13"/>
  <c r="G15" i="13"/>
  <c r="V18" i="3"/>
  <c r="V35" i="13"/>
  <c r="V41" i="13" s="1"/>
  <c r="X32" i="3"/>
  <c r="X34" i="3" s="1"/>
  <c r="X40" i="3" s="1"/>
  <c r="X20" i="3"/>
  <c r="X26" i="3" s="1"/>
  <c r="L93" i="13"/>
  <c r="L15" i="13"/>
  <c r="U107" i="15"/>
  <c r="U92" i="15"/>
  <c r="M96" i="12"/>
  <c r="M92" i="12"/>
  <c r="M12" i="12" s="1"/>
  <c r="C106" i="17"/>
  <c r="C232" i="17"/>
  <c r="C248" i="17" s="1"/>
  <c r="D106" i="13"/>
  <c r="D232" i="13"/>
  <c r="D248" i="13" s="1"/>
  <c r="G25" i="12"/>
  <c r="G28" i="12" s="1"/>
  <c r="G26" i="12" s="1"/>
  <c r="G7" i="2" s="1"/>
  <c r="G4" i="2"/>
  <c r="G6" i="2" s="1"/>
  <c r="G9" i="2" s="1"/>
  <c r="W122" i="17"/>
  <c r="W249" i="17" s="1"/>
  <c r="W170" i="17"/>
  <c r="D107" i="13"/>
  <c r="D92" i="13"/>
  <c r="D12" i="13" s="1"/>
  <c r="F106" i="14"/>
  <c r="E90" i="14"/>
  <c r="F217" i="14"/>
  <c r="F297" i="14" s="1"/>
  <c r="E107" i="13"/>
  <c r="E92" i="13"/>
  <c r="E12" i="13" s="1"/>
  <c r="F212" i="14"/>
  <c r="F292" i="14" s="1"/>
  <c r="F101" i="14"/>
  <c r="E85" i="14"/>
  <c r="N106" i="17"/>
  <c r="N232" i="17"/>
  <c r="N248" i="17" s="1"/>
  <c r="I172" i="14"/>
  <c r="L123" i="13"/>
  <c r="L250" i="13" s="1"/>
  <c r="L171" i="13"/>
  <c r="L108" i="13"/>
  <c r="L23" i="13" s="1"/>
  <c r="L25" i="13" s="1"/>
  <c r="L28" i="13" s="1"/>
  <c r="L26" i="13" s="1"/>
  <c r="Y122" i="12"/>
  <c r="Y170" i="12"/>
  <c r="U123" i="17"/>
  <c r="U250" i="17" s="1"/>
  <c r="U171" i="17"/>
  <c r="U172" i="17" s="1"/>
  <c r="U108" i="17"/>
  <c r="U23" i="17" s="1"/>
  <c r="J106" i="13"/>
  <c r="J232" i="13"/>
  <c r="J248" i="13" s="1"/>
  <c r="L122" i="15"/>
  <c r="L249" i="15" s="1"/>
  <c r="L170" i="15"/>
  <c r="Z93" i="13"/>
  <c r="Z15" i="13"/>
  <c r="D233" i="13"/>
  <c r="AB25" i="11"/>
  <c r="AB28" i="11" s="1"/>
  <c r="AB26" i="11" s="1"/>
  <c r="AB4" i="2"/>
  <c r="G122" i="14"/>
  <c r="G249" i="14" s="1"/>
  <c r="G170" i="14"/>
  <c r="D233" i="15"/>
  <c r="AB20" i="3"/>
  <c r="AB26" i="3" s="1"/>
  <c r="Q248" i="17"/>
  <c r="D247" i="17"/>
  <c r="E233" i="17"/>
  <c r="U92" i="12"/>
  <c r="AA218" i="12" l="1"/>
  <c r="AA234" i="12" s="1"/>
  <c r="AB96" i="12"/>
  <c r="AC106" i="16"/>
  <c r="AC232" i="16"/>
  <c r="AE90" i="16"/>
  <c r="E249" i="16"/>
  <c r="Q46" i="17"/>
  <c r="Q28" i="1"/>
  <c r="Q44" i="1" s="1"/>
  <c r="F123" i="16"/>
  <c r="F250" i="16" s="1"/>
  <c r="F171" i="16"/>
  <c r="F172" i="16" s="1"/>
  <c r="F108" i="16"/>
  <c r="F23" i="16" s="1"/>
  <c r="F25" i="16" s="1"/>
  <c r="F28" i="16" s="1"/>
  <c r="F26" i="16" s="1"/>
  <c r="K248" i="13"/>
  <c r="D9" i="1"/>
  <c r="D12" i="1" s="1"/>
  <c r="D15" i="12"/>
  <c r="AA123" i="16"/>
  <c r="AA250" i="16" s="1"/>
  <c r="AA108" i="16"/>
  <c r="AA171" i="16"/>
  <c r="AA172" i="16" s="1"/>
  <c r="T248" i="16"/>
  <c r="Q123" i="15"/>
  <c r="Q250" i="15" s="1"/>
  <c r="Q108" i="15"/>
  <c r="Q23" i="15" s="1"/>
  <c r="Q25" i="15" s="1"/>
  <c r="Q28" i="15" s="1"/>
  <c r="Q26" i="15" s="1"/>
  <c r="Q171" i="15"/>
  <c r="Q172" i="15" s="1"/>
  <c r="T122" i="16"/>
  <c r="T249" i="16" s="1"/>
  <c r="T170" i="16"/>
  <c r="C172" i="12"/>
  <c r="H123" i="13"/>
  <c r="H250" i="13" s="1"/>
  <c r="H108" i="13"/>
  <c r="H23" i="13" s="1"/>
  <c r="H25" i="13" s="1"/>
  <c r="H28" i="13" s="1"/>
  <c r="H26" i="13" s="1"/>
  <c r="H171" i="13"/>
  <c r="AB172" i="11"/>
  <c r="AB7" i="2"/>
  <c r="AB29" i="2" s="1"/>
  <c r="AB31" i="2" s="1"/>
  <c r="Y249" i="16"/>
  <c r="G114" i="14"/>
  <c r="G241" i="14" s="1"/>
  <c r="G162" i="14"/>
  <c r="AC88" i="17"/>
  <c r="Q248" i="13"/>
  <c r="AA172" i="11"/>
  <c r="AA7" i="2"/>
  <c r="E212" i="14"/>
  <c r="E292" i="14" s="1"/>
  <c r="D85" i="14"/>
  <c r="E101" i="14"/>
  <c r="U123" i="15"/>
  <c r="U250" i="15" s="1"/>
  <c r="U108" i="15"/>
  <c r="U23" i="15" s="1"/>
  <c r="U25" i="15" s="1"/>
  <c r="U28" i="15" s="1"/>
  <c r="U26" i="15" s="1"/>
  <c r="U171" i="15"/>
  <c r="W172" i="17"/>
  <c r="P45" i="1"/>
  <c r="P46" i="1" s="1"/>
  <c r="P47" i="1" s="1"/>
  <c r="F209" i="14"/>
  <c r="F289" i="14" s="1"/>
  <c r="F98" i="14"/>
  <c r="E82" i="14"/>
  <c r="F102" i="14"/>
  <c r="E86" i="14"/>
  <c r="F213" i="14"/>
  <c r="F293" i="14" s="1"/>
  <c r="R123" i="13"/>
  <c r="R250" i="13" s="1"/>
  <c r="R171" i="13"/>
  <c r="R108" i="13"/>
  <c r="R23" i="13" s="1"/>
  <c r="R25" i="13" s="1"/>
  <c r="R28" i="13" s="1"/>
  <c r="R26" i="13" s="1"/>
  <c r="D122" i="16"/>
  <c r="D249" i="16" s="1"/>
  <c r="D170" i="16"/>
  <c r="T17" i="2"/>
  <c r="T20" i="2" s="1"/>
  <c r="C25" i="12"/>
  <c r="C28" i="12" s="1"/>
  <c r="C26" i="12" s="1"/>
  <c r="C7" i="2" s="1"/>
  <c r="C4" i="2"/>
  <c r="C6" i="2" s="1"/>
  <c r="C9" i="2" s="1"/>
  <c r="V12" i="15"/>
  <c r="V15" i="15" s="1"/>
  <c r="V46" i="15" s="1"/>
  <c r="AB80" i="15"/>
  <c r="AB81" i="15"/>
  <c r="AB82" i="15"/>
  <c r="AB83" i="15"/>
  <c r="AB84" i="15"/>
  <c r="AB85" i="15"/>
  <c r="R122" i="16"/>
  <c r="R249" i="16" s="1"/>
  <c r="R170" i="16"/>
  <c r="W25" i="1"/>
  <c r="W15" i="17"/>
  <c r="Q122" i="13"/>
  <c r="Q249" i="13" s="1"/>
  <c r="Q170" i="13"/>
  <c r="E80" i="14"/>
  <c r="F93" i="14"/>
  <c r="F96" i="14"/>
  <c r="F207" i="14"/>
  <c r="T108" i="12"/>
  <c r="T23" i="12" s="1"/>
  <c r="T112" i="12"/>
  <c r="T239" i="12" s="1"/>
  <c r="T160" i="12"/>
  <c r="T172" i="12" s="1"/>
  <c r="D107" i="14"/>
  <c r="C91" i="14"/>
  <c r="D218" i="14"/>
  <c r="D298" i="14" s="1"/>
  <c r="AC89" i="17"/>
  <c r="R26" i="2"/>
  <c r="R28" i="2" s="1"/>
  <c r="R17" i="2"/>
  <c r="R20" i="2" s="1"/>
  <c r="AD98" i="13"/>
  <c r="AD224" i="13"/>
  <c r="E123" i="16"/>
  <c r="E250" i="16" s="1"/>
  <c r="E108" i="16"/>
  <c r="E23" i="16" s="1"/>
  <c r="E25" i="16" s="1"/>
  <c r="E28" i="16" s="1"/>
  <c r="E26" i="16" s="1"/>
  <c r="E171" i="16"/>
  <c r="Q32" i="3"/>
  <c r="Q34" i="3" s="1"/>
  <c r="Q40" i="3" s="1"/>
  <c r="Q20" i="3"/>
  <c r="Q26" i="3" s="1"/>
  <c r="Q248" i="15"/>
  <c r="Q122" i="15"/>
  <c r="Q249" i="15" s="1"/>
  <c r="Q170" i="15"/>
  <c r="AD106" i="13"/>
  <c r="AD232" i="13"/>
  <c r="D214" i="14"/>
  <c r="D294" i="14" s="1"/>
  <c r="D103" i="14"/>
  <c r="C87" i="14"/>
  <c r="E122" i="13"/>
  <c r="E249" i="13" s="1"/>
  <c r="E170" i="13"/>
  <c r="K93" i="13"/>
  <c r="K15" i="13"/>
  <c r="G112" i="14"/>
  <c r="G239" i="14" s="1"/>
  <c r="G160" i="14"/>
  <c r="G172" i="14" s="1"/>
  <c r="G108" i="14"/>
  <c r="G23" i="14" s="1"/>
  <c r="U12" i="15"/>
  <c r="U15" i="15" s="1"/>
  <c r="U46" i="15" s="1"/>
  <c r="AA80" i="15"/>
  <c r="AA81" i="15"/>
  <c r="AA82" i="15"/>
  <c r="AA83" i="15"/>
  <c r="AA84" i="15"/>
  <c r="AA85" i="15"/>
  <c r="AA86" i="15"/>
  <c r="AA87" i="15"/>
  <c r="AA88" i="15"/>
  <c r="Z89" i="15"/>
  <c r="Z87" i="15"/>
  <c r="AA89" i="15"/>
  <c r="Z86" i="15"/>
  <c r="S26" i="2"/>
  <c r="S28" i="2" s="1"/>
  <c r="S17" i="2"/>
  <c r="S20" i="2" s="1"/>
  <c r="AA80" i="12"/>
  <c r="G122" i="17"/>
  <c r="G249" i="17" s="1"/>
  <c r="G170" i="17"/>
  <c r="R93" i="13"/>
  <c r="R15" i="13"/>
  <c r="C123" i="16"/>
  <c r="C250" i="16" s="1"/>
  <c r="C108" i="16"/>
  <c r="C23" i="16" s="1"/>
  <c r="C25" i="16" s="1"/>
  <c r="C28" i="16" s="1"/>
  <c r="C26" i="16" s="1"/>
  <c r="C171" i="16"/>
  <c r="E119" i="14"/>
  <c r="E246" i="14" s="1"/>
  <c r="E167" i="14"/>
  <c r="R248" i="16"/>
  <c r="AA122" i="16"/>
  <c r="AA249" i="16" s="1"/>
  <c r="AA170" i="16"/>
  <c r="K123" i="13"/>
  <c r="K250" i="13" s="1"/>
  <c r="K108" i="13"/>
  <c r="K23" i="13" s="1"/>
  <c r="K25" i="13" s="1"/>
  <c r="K28" i="13" s="1"/>
  <c r="K26" i="13" s="1"/>
  <c r="K171" i="13"/>
  <c r="G219" i="14"/>
  <c r="G33" i="14" s="1"/>
  <c r="G287" i="14"/>
  <c r="F117" i="14"/>
  <c r="F244" i="14" s="1"/>
  <c r="F165" i="14"/>
  <c r="W25" i="17"/>
  <c r="W28" i="17" s="1"/>
  <c r="W26" i="17" s="1"/>
  <c r="W18" i="2" s="1"/>
  <c r="W29" i="2" s="1"/>
  <c r="W31" i="2" s="1"/>
  <c r="W15" i="2"/>
  <c r="V108" i="12"/>
  <c r="V23" i="12" s="1"/>
  <c r="V112" i="12"/>
  <c r="V239" i="12" s="1"/>
  <c r="V160" i="12"/>
  <c r="V172" i="12" s="1"/>
  <c r="V248" i="13"/>
  <c r="V25" i="17"/>
  <c r="V28" i="17" s="1"/>
  <c r="V26" i="17" s="1"/>
  <c r="V18" i="2" s="1"/>
  <c r="V15" i="2"/>
  <c r="Z90" i="15"/>
  <c r="D248" i="17"/>
  <c r="V123" i="15"/>
  <c r="V250" i="15" s="1"/>
  <c r="V108" i="15"/>
  <c r="V23" i="15" s="1"/>
  <c r="V25" i="15" s="1"/>
  <c r="V28" i="15" s="1"/>
  <c r="V26" i="15" s="1"/>
  <c r="V171" i="15"/>
  <c r="S123" i="16"/>
  <c r="S250" i="16" s="1"/>
  <c r="S108" i="16"/>
  <c r="S23" i="16" s="1"/>
  <c r="S25" i="16" s="1"/>
  <c r="S28" i="16" s="1"/>
  <c r="S26" i="16" s="1"/>
  <c r="S171" i="16"/>
  <c r="S172" i="16" s="1"/>
  <c r="T12" i="12"/>
  <c r="Z86" i="12"/>
  <c r="Z87" i="12"/>
  <c r="Z88" i="12"/>
  <c r="Z89" i="12"/>
  <c r="Z90" i="12"/>
  <c r="E123" i="14"/>
  <c r="E250" i="14" s="1"/>
  <c r="E171" i="14"/>
  <c r="J123" i="15"/>
  <c r="J250" i="15" s="1"/>
  <c r="J171" i="15"/>
  <c r="J172" i="15" s="1"/>
  <c r="J108" i="15"/>
  <c r="J23" i="15" s="1"/>
  <c r="J25" i="15" s="1"/>
  <c r="J28" i="15" s="1"/>
  <c r="J26" i="15" s="1"/>
  <c r="O25" i="1"/>
  <c r="O15" i="17"/>
  <c r="V12" i="12"/>
  <c r="AB81" i="12"/>
  <c r="AB82" i="12"/>
  <c r="AB83" i="12"/>
  <c r="AB84" i="12"/>
  <c r="AB85" i="12"/>
  <c r="AG92" i="11"/>
  <c r="AG15" i="11"/>
  <c r="AG45" i="11" s="1"/>
  <c r="G118" i="14"/>
  <c r="G245" i="14" s="1"/>
  <c r="G166" i="14"/>
  <c r="M17" i="2"/>
  <c r="M20" i="2" s="1"/>
  <c r="P6" i="2"/>
  <c r="P9" i="2" s="1"/>
  <c r="P26" i="2"/>
  <c r="P28" i="2" s="1"/>
  <c r="P32" i="2" s="1"/>
  <c r="H248" i="13"/>
  <c r="V122" i="13"/>
  <c r="V249" i="13" s="1"/>
  <c r="V170" i="13"/>
  <c r="V172" i="17"/>
  <c r="D122" i="17"/>
  <c r="D249" i="17" s="1"/>
  <c r="D170" i="17"/>
  <c r="G248" i="16"/>
  <c r="W32" i="3"/>
  <c r="W34" i="3" s="1"/>
  <c r="W40" i="3" s="1"/>
  <c r="W20" i="3"/>
  <c r="W26" i="3" s="1"/>
  <c r="R29" i="1"/>
  <c r="R30" i="1" s="1"/>
  <c r="R31" i="1" s="1"/>
  <c r="E248" i="17"/>
  <c r="J25" i="17"/>
  <c r="J28" i="17" s="1"/>
  <c r="J26" i="17" s="1"/>
  <c r="J18" i="2" s="1"/>
  <c r="J29" i="2" s="1"/>
  <c r="J31" i="2" s="1"/>
  <c r="J15" i="2"/>
  <c r="AD99" i="13"/>
  <c r="AD225" i="13"/>
  <c r="Z112" i="12"/>
  <c r="Z239" i="12" s="1"/>
  <c r="Z160" i="12"/>
  <c r="E122" i="16"/>
  <c r="E170" i="16"/>
  <c r="AE98" i="13"/>
  <c r="AE224" i="13"/>
  <c r="F116" i="14"/>
  <c r="F243" i="14" s="1"/>
  <c r="F164" i="14"/>
  <c r="J122" i="15"/>
  <c r="J249" i="15" s="1"/>
  <c r="J170" i="15"/>
  <c r="D249" i="15"/>
  <c r="AC90" i="17"/>
  <c r="K248" i="17"/>
  <c r="K122" i="17"/>
  <c r="K249" i="17" s="1"/>
  <c r="K170" i="17"/>
  <c r="W122" i="13"/>
  <c r="W249" i="13" s="1"/>
  <c r="W170" i="13"/>
  <c r="Y248" i="16"/>
  <c r="I41" i="1"/>
  <c r="I45" i="1" s="1"/>
  <c r="I46" i="1" s="1"/>
  <c r="I47" i="1" s="1"/>
  <c r="G15" i="17"/>
  <c r="G25" i="1"/>
  <c r="AE85" i="17"/>
  <c r="S25" i="12"/>
  <c r="S28" i="12" s="1"/>
  <c r="S26" i="12" s="1"/>
  <c r="S7" i="2" s="1"/>
  <c r="S29" i="2" s="1"/>
  <c r="S31" i="2" s="1"/>
  <c r="S4" i="2"/>
  <c r="S6" i="2" s="1"/>
  <c r="S9" i="2" s="1"/>
  <c r="Q93" i="13"/>
  <c r="Q15" i="13"/>
  <c r="J123" i="13"/>
  <c r="J250" i="13" s="1"/>
  <c r="J108" i="13"/>
  <c r="J23" i="13" s="1"/>
  <c r="J25" i="13" s="1"/>
  <c r="J28" i="13" s="1"/>
  <c r="J26" i="13" s="1"/>
  <c r="J171" i="13"/>
  <c r="J172" i="13" s="1"/>
  <c r="AD90" i="16"/>
  <c r="W12" i="13"/>
  <c r="AC87" i="13"/>
  <c r="AC88" i="13"/>
  <c r="AC89" i="13"/>
  <c r="Z122" i="17"/>
  <c r="Z249" i="17" s="1"/>
  <c r="Z170" i="17"/>
  <c r="AC160" i="11"/>
  <c r="U122" i="16"/>
  <c r="U249" i="16" s="1"/>
  <c r="U170" i="16"/>
  <c r="N32" i="3"/>
  <c r="N34" i="3" s="1"/>
  <c r="N40" i="3" s="1"/>
  <c r="N20" i="3"/>
  <c r="N26" i="3" s="1"/>
  <c r="S41" i="1"/>
  <c r="L108" i="12"/>
  <c r="L23" i="12" s="1"/>
  <c r="L112" i="12"/>
  <c r="L239" i="12" s="1"/>
  <c r="L160" i="12"/>
  <c r="L172" i="12" s="1"/>
  <c r="AD86" i="17"/>
  <c r="R122" i="13"/>
  <c r="R249" i="13" s="1"/>
  <c r="R170" i="13"/>
  <c r="N123" i="17"/>
  <c r="N250" i="17" s="1"/>
  <c r="N171" i="17"/>
  <c r="N172" i="17" s="1"/>
  <c r="N108" i="17"/>
  <c r="N23" i="17" s="1"/>
  <c r="V122" i="15"/>
  <c r="V249" i="15" s="1"/>
  <c r="V170" i="15"/>
  <c r="H32" i="3"/>
  <c r="H34" i="3" s="1"/>
  <c r="H40" i="3" s="1"/>
  <c r="H20" i="3"/>
  <c r="H26" i="3" s="1"/>
  <c r="H122" i="16"/>
  <c r="H249" i="16" s="1"/>
  <c r="H170" i="16"/>
  <c r="G123" i="17"/>
  <c r="G250" i="17" s="1"/>
  <c r="G171" i="17"/>
  <c r="G108" i="17"/>
  <c r="G23" i="17" s="1"/>
  <c r="G25" i="17" s="1"/>
  <c r="G28" i="17" s="1"/>
  <c r="G26" i="17" s="1"/>
  <c r="K248" i="16"/>
  <c r="AB172" i="13"/>
  <c r="V123" i="16"/>
  <c r="V250" i="16" s="1"/>
  <c r="V108" i="16"/>
  <c r="V23" i="16" s="1"/>
  <c r="V25" i="16" s="1"/>
  <c r="V28" i="16" s="1"/>
  <c r="V26" i="16" s="1"/>
  <c r="V171" i="16"/>
  <c r="N93" i="13"/>
  <c r="N15" i="13"/>
  <c r="J41" i="1"/>
  <c r="Y93" i="13"/>
  <c r="Y15" i="13"/>
  <c r="AB12" i="1"/>
  <c r="AB44" i="1" s="1"/>
  <c r="AB41" i="1"/>
  <c r="AB45" i="1" s="1"/>
  <c r="AB46" i="1" s="1"/>
  <c r="AB47" i="1" s="1"/>
  <c r="AE87" i="17"/>
  <c r="N25" i="1"/>
  <c r="N15" i="17"/>
  <c r="J93" i="13"/>
  <c r="J15" i="13"/>
  <c r="W25" i="12"/>
  <c r="W28" i="12" s="1"/>
  <c r="W26" i="12" s="1"/>
  <c r="W7" i="2" s="1"/>
  <c r="W4" i="2"/>
  <c r="W6" i="2" s="1"/>
  <c r="W9" i="2" s="1"/>
  <c r="G123" i="16"/>
  <c r="G250" i="16" s="1"/>
  <c r="G108" i="16"/>
  <c r="G23" i="16" s="1"/>
  <c r="G25" i="16" s="1"/>
  <c r="G28" i="16" s="1"/>
  <c r="G26" i="16" s="1"/>
  <c r="G171" i="16"/>
  <c r="AD85" i="17"/>
  <c r="K123" i="12"/>
  <c r="K250" i="12" s="1"/>
  <c r="K171" i="12"/>
  <c r="K172" i="12" s="1"/>
  <c r="K108" i="12"/>
  <c r="K23" i="12" s="1"/>
  <c r="AE97" i="13"/>
  <c r="AE223" i="13"/>
  <c r="X25" i="17"/>
  <c r="X28" i="17" s="1"/>
  <c r="X26" i="17" s="1"/>
  <c r="X18" i="2" s="1"/>
  <c r="X29" i="2" s="1"/>
  <c r="X31" i="2" s="1"/>
  <c r="X15" i="2"/>
  <c r="E123" i="17"/>
  <c r="E250" i="17" s="1"/>
  <c r="E108" i="17"/>
  <c r="E23" i="17" s="1"/>
  <c r="E25" i="17" s="1"/>
  <c r="E28" i="17" s="1"/>
  <c r="E26" i="17" s="1"/>
  <c r="E171" i="17"/>
  <c r="E172" i="17" s="1"/>
  <c r="AD91" i="13"/>
  <c r="AD96" i="13"/>
  <c r="AD93" i="13"/>
  <c r="AC234" i="13"/>
  <c r="W248" i="13"/>
  <c r="B172" i="13"/>
  <c r="X93" i="13"/>
  <c r="X15" i="13"/>
  <c r="U46" i="17"/>
  <c r="U28" i="1"/>
  <c r="S122" i="16"/>
  <c r="S170" i="16"/>
  <c r="D108" i="12"/>
  <c r="D23" i="12" s="1"/>
  <c r="D112" i="12"/>
  <c r="D239" i="12" s="1"/>
  <c r="D160" i="12"/>
  <c r="D172" i="12" s="1"/>
  <c r="M108" i="12"/>
  <c r="M23" i="12" s="1"/>
  <c r="M112" i="12"/>
  <c r="M239" i="12" s="1"/>
  <c r="M160" i="12"/>
  <c r="M172" i="12" s="1"/>
  <c r="U248" i="16"/>
  <c r="S46" i="17"/>
  <c r="S28" i="1"/>
  <c r="S44" i="1" s="1"/>
  <c r="I29" i="2"/>
  <c r="I31" i="2" s="1"/>
  <c r="K122" i="16"/>
  <c r="K249" i="16" s="1"/>
  <c r="K170" i="16"/>
  <c r="J122" i="13"/>
  <c r="J249" i="13" s="1"/>
  <c r="J170" i="13"/>
  <c r="F122" i="14"/>
  <c r="F249" i="14" s="1"/>
  <c r="F170" i="14"/>
  <c r="V32" i="3"/>
  <c r="V34" i="3" s="1"/>
  <c r="V40" i="3" s="1"/>
  <c r="V20" i="3"/>
  <c r="V26" i="3" s="1"/>
  <c r="AE83" i="17"/>
  <c r="AD90" i="17"/>
  <c r="Y122" i="16"/>
  <c r="Y170" i="16"/>
  <c r="Q172" i="17"/>
  <c r="Y32" i="3"/>
  <c r="Y34" i="3" s="1"/>
  <c r="Y40" i="3" s="1"/>
  <c r="H172" i="14"/>
  <c r="AD84" i="17"/>
  <c r="I17" i="2"/>
  <c r="I20" i="2" s="1"/>
  <c r="I26" i="2"/>
  <c r="I28" i="2" s="1"/>
  <c r="AD105" i="13"/>
  <c r="AD231" i="13"/>
  <c r="AC41" i="1"/>
  <c r="AC12" i="1"/>
  <c r="AC44" i="1" s="1"/>
  <c r="F120" i="14"/>
  <c r="F247" i="14" s="1"/>
  <c r="F168" i="14"/>
  <c r="AE99" i="13"/>
  <c r="AE225" i="13"/>
  <c r="Z123" i="17"/>
  <c r="Z250" i="17" s="1"/>
  <c r="Z171" i="17"/>
  <c r="Z108" i="17"/>
  <c r="Z23" i="17" s="1"/>
  <c r="E25" i="1"/>
  <c r="E15" i="17"/>
  <c r="Q41" i="1"/>
  <c r="Q45" i="1" s="1"/>
  <c r="Q46" i="1" s="1"/>
  <c r="Q47" i="1" s="1"/>
  <c r="C15" i="17"/>
  <c r="C25" i="1"/>
  <c r="R123" i="16"/>
  <c r="R250" i="16" s="1"/>
  <c r="R108" i="16"/>
  <c r="R23" i="16" s="1"/>
  <c r="R25" i="16" s="1"/>
  <c r="R28" i="16" s="1"/>
  <c r="R26" i="16" s="1"/>
  <c r="R171" i="16"/>
  <c r="R172" i="16" s="1"/>
  <c r="AE96" i="13"/>
  <c r="AD234" i="13"/>
  <c r="M29" i="1"/>
  <c r="M30" i="1" s="1"/>
  <c r="M31" i="1" s="1"/>
  <c r="E210" i="14"/>
  <c r="E290" i="14" s="1"/>
  <c r="D83" i="14"/>
  <c r="E99" i="14"/>
  <c r="M9" i="1"/>
  <c r="M15" i="12"/>
  <c r="M46" i="12" s="1"/>
  <c r="AB93" i="13"/>
  <c r="AB15" i="13"/>
  <c r="G113" i="14"/>
  <c r="G240" i="14" s="1"/>
  <c r="G161" i="14"/>
  <c r="K123" i="16"/>
  <c r="K250" i="16" s="1"/>
  <c r="K171" i="16"/>
  <c r="K108" i="16"/>
  <c r="K23" i="16" s="1"/>
  <c r="K25" i="16" s="1"/>
  <c r="K28" i="16" s="1"/>
  <c r="K26" i="16" s="1"/>
  <c r="R45" i="1"/>
  <c r="R46" i="1" s="1"/>
  <c r="R47" i="1" s="1"/>
  <c r="I29" i="1"/>
  <c r="I30" i="1" s="1"/>
  <c r="I31" i="1" s="1"/>
  <c r="O123" i="17"/>
  <c r="O250" i="17" s="1"/>
  <c r="O108" i="17"/>
  <c r="O23" i="17" s="1"/>
  <c r="O171" i="17"/>
  <c r="O172" i="17" s="1"/>
  <c r="AD45" i="1"/>
  <c r="AD46" i="1" s="1"/>
  <c r="AD47" i="1" s="1"/>
  <c r="AE84" i="17"/>
  <c r="Q123" i="13"/>
  <c r="Q250" i="13" s="1"/>
  <c r="Q108" i="13"/>
  <c r="Q23" i="13" s="1"/>
  <c r="Q25" i="13" s="1"/>
  <c r="Q28" i="13" s="1"/>
  <c r="Q26" i="13" s="1"/>
  <c r="Q171" i="13"/>
  <c r="Q172" i="13" s="1"/>
  <c r="C122" i="15"/>
  <c r="C249" i="15" s="1"/>
  <c r="C170" i="15"/>
  <c r="O122" i="17"/>
  <c r="O249" i="17" s="1"/>
  <c r="O170" i="17"/>
  <c r="AA248" i="17"/>
  <c r="H15" i="2"/>
  <c r="H25" i="14"/>
  <c r="H28" i="14" s="1"/>
  <c r="H26" i="14" s="1"/>
  <c r="H18" i="2" s="1"/>
  <c r="H29" i="2" s="1"/>
  <c r="H31" i="2" s="1"/>
  <c r="AD83" i="17"/>
  <c r="AD104" i="13"/>
  <c r="AD230" i="13"/>
  <c r="AA25" i="1"/>
  <c r="AA15" i="17"/>
  <c r="O249" i="13"/>
  <c r="E100" i="14"/>
  <c r="E211" i="14"/>
  <c r="E291" i="14" s="1"/>
  <c r="D84" i="14"/>
  <c r="Y25" i="17"/>
  <c r="Y28" i="17" s="1"/>
  <c r="Y26" i="17" s="1"/>
  <c r="Y18" i="2" s="1"/>
  <c r="Y15" i="2"/>
  <c r="AA23" i="16"/>
  <c r="AA25" i="16" s="1"/>
  <c r="AA28" i="16" s="1"/>
  <c r="AA26" i="16" s="1"/>
  <c r="AA33" i="16"/>
  <c r="AC86" i="16"/>
  <c r="AC106" i="13"/>
  <c r="AC232" i="13"/>
  <c r="AE90" i="13"/>
  <c r="T123" i="16"/>
  <c r="T250" i="16" s="1"/>
  <c r="T171" i="16"/>
  <c r="T172" i="16" s="1"/>
  <c r="T108" i="16"/>
  <c r="T23" i="16" s="1"/>
  <c r="T25" i="16" s="1"/>
  <c r="T28" i="16" s="1"/>
  <c r="T26" i="16" s="1"/>
  <c r="Y123" i="12"/>
  <c r="Y171" i="12"/>
  <c r="Y172" i="12" s="1"/>
  <c r="Y108" i="12"/>
  <c r="Y23" i="12" s="1"/>
  <c r="AB6" i="2"/>
  <c r="AB9" i="2" s="1"/>
  <c r="AB26" i="2"/>
  <c r="AB28" i="2" s="1"/>
  <c r="G122" i="16"/>
  <c r="G170" i="16"/>
  <c r="AD88" i="17"/>
  <c r="Y249" i="12"/>
  <c r="L9" i="1"/>
  <c r="L15" i="12"/>
  <c r="L46" i="12" s="1"/>
  <c r="E106" i="14"/>
  <c r="D90" i="14"/>
  <c r="E217" i="14"/>
  <c r="E297" i="14" s="1"/>
  <c r="O248" i="13"/>
  <c r="C123" i="15"/>
  <c r="C250" i="15" s="1"/>
  <c r="C171" i="15"/>
  <c r="C172" i="15" s="1"/>
  <c r="C108" i="15"/>
  <c r="C23" i="15" s="1"/>
  <c r="C25" i="15" s="1"/>
  <c r="C28" i="15" s="1"/>
  <c r="C26" i="15" s="1"/>
  <c r="D15" i="17"/>
  <c r="D25" i="1"/>
  <c r="O32" i="3"/>
  <c r="O34" i="3" s="1"/>
  <c r="O40" i="3" s="1"/>
  <c r="O20" i="3"/>
  <c r="O26" i="3" s="1"/>
  <c r="O123" i="13"/>
  <c r="O250" i="13" s="1"/>
  <c r="O171" i="13"/>
  <c r="O172" i="13" s="1"/>
  <c r="O108" i="13"/>
  <c r="O23" i="13" s="1"/>
  <c r="O25" i="13" s="1"/>
  <c r="O28" i="13" s="1"/>
  <c r="O26" i="13" s="1"/>
  <c r="L32" i="3"/>
  <c r="L34" i="3" s="1"/>
  <c r="L40" i="3" s="1"/>
  <c r="AA122" i="17"/>
  <c r="AA249" i="17" s="1"/>
  <c r="AA170" i="17"/>
  <c r="V46" i="17"/>
  <c r="V28" i="1"/>
  <c r="V29" i="1" s="1"/>
  <c r="V30" i="1" s="1"/>
  <c r="V31" i="1" s="1"/>
  <c r="R32" i="3"/>
  <c r="R34" i="3" s="1"/>
  <c r="R40" i="3" s="1"/>
  <c r="R20" i="3"/>
  <c r="R26" i="3" s="1"/>
  <c r="AD82" i="17"/>
  <c r="B25" i="12"/>
  <c r="B28" i="12" s="1"/>
  <c r="B26" i="12" s="1"/>
  <c r="B7" i="2" s="1"/>
  <c r="B4" i="2"/>
  <c r="B6" i="2" s="1"/>
  <c r="B9" i="2" s="1"/>
  <c r="J20" i="3"/>
  <c r="J26" i="3" s="1"/>
  <c r="J32" i="3"/>
  <c r="J34" i="3" s="1"/>
  <c r="J40" i="3" s="1"/>
  <c r="AD103" i="13"/>
  <c r="AD229" i="13"/>
  <c r="AA123" i="17"/>
  <c r="AA250" i="17" s="1"/>
  <c r="AA108" i="17"/>
  <c r="AA23" i="17" s="1"/>
  <c r="AA171" i="17"/>
  <c r="V93" i="13"/>
  <c r="V15" i="13"/>
  <c r="Z25" i="1"/>
  <c r="Z15" i="17"/>
  <c r="Z104" i="15"/>
  <c r="Z214" i="15"/>
  <c r="Z230" i="15" s="1"/>
  <c r="AC88" i="15"/>
  <c r="AB88" i="15"/>
  <c r="D122" i="15"/>
  <c r="D170" i="15"/>
  <c r="S249" i="16"/>
  <c r="F115" i="14"/>
  <c r="F242" i="14" s="1"/>
  <c r="F163" i="14"/>
  <c r="AF92" i="11"/>
  <c r="AF15" i="11"/>
  <c r="AF45" i="11" s="1"/>
  <c r="E93" i="13"/>
  <c r="E15" i="13"/>
  <c r="E123" i="13"/>
  <c r="E250" i="13" s="1"/>
  <c r="E108" i="13"/>
  <c r="E23" i="13" s="1"/>
  <c r="E25" i="13" s="1"/>
  <c r="E28" i="13" s="1"/>
  <c r="E26" i="13" s="1"/>
  <c r="E171" i="13"/>
  <c r="U122" i="15"/>
  <c r="U249" i="15" s="1"/>
  <c r="U170" i="15"/>
  <c r="AD87" i="17"/>
  <c r="W123" i="13"/>
  <c r="W250" i="13" s="1"/>
  <c r="W108" i="13"/>
  <c r="W23" i="13" s="1"/>
  <c r="W25" i="13" s="1"/>
  <c r="W28" i="13" s="1"/>
  <c r="W26" i="13" s="1"/>
  <c r="W171" i="13"/>
  <c r="W172" i="13" s="1"/>
  <c r="U123" i="16"/>
  <c r="U250" i="16" s="1"/>
  <c r="U171" i="16"/>
  <c r="U172" i="16" s="1"/>
  <c r="U108" i="16"/>
  <c r="U23" i="16" s="1"/>
  <c r="U25" i="16" s="1"/>
  <c r="U28" i="16" s="1"/>
  <c r="U26" i="16" s="1"/>
  <c r="O93" i="13"/>
  <c r="O15" i="13"/>
  <c r="D93" i="13"/>
  <c r="D15" i="13"/>
  <c r="AE81" i="17"/>
  <c r="D123" i="13"/>
  <c r="D250" i="13" s="1"/>
  <c r="D108" i="13"/>
  <c r="D23" i="13" s="1"/>
  <c r="D25" i="13" s="1"/>
  <c r="D28" i="13" s="1"/>
  <c r="D26" i="13" s="1"/>
  <c r="D171" i="13"/>
  <c r="AE80" i="17"/>
  <c r="N248" i="13"/>
  <c r="O122" i="13"/>
  <c r="O170" i="13"/>
  <c r="D123" i="15"/>
  <c r="D250" i="15" s="1"/>
  <c r="D108" i="15"/>
  <c r="D23" i="15" s="1"/>
  <c r="D25" i="15" s="1"/>
  <c r="D28" i="15" s="1"/>
  <c r="D26" i="15" s="1"/>
  <c r="D171" i="15"/>
  <c r="AC159" i="11"/>
  <c r="F45" i="1"/>
  <c r="F46" i="1" s="1"/>
  <c r="F47" i="1" s="1"/>
  <c r="F248" i="16"/>
  <c r="AE80" i="16"/>
  <c r="AE81" i="16"/>
  <c r="AE82" i="16"/>
  <c r="AE83" i="16"/>
  <c r="AE84" i="16"/>
  <c r="AE85" i="16"/>
  <c r="AD86" i="16"/>
  <c r="AD87" i="16"/>
  <c r="AD81" i="16"/>
  <c r="AD82" i="16"/>
  <c r="AD83" i="16"/>
  <c r="AD85" i="16"/>
  <c r="AD84" i="16"/>
  <c r="AD88" i="16"/>
  <c r="AC88" i="16"/>
  <c r="AC87" i="16"/>
  <c r="AD80" i="16"/>
  <c r="AD89" i="16"/>
  <c r="AC89" i="16"/>
  <c r="AD89" i="17"/>
  <c r="AD81" i="17"/>
  <c r="L29" i="1"/>
  <c r="L30" i="1" s="1"/>
  <c r="L31" i="1" s="1"/>
  <c r="AD102" i="13"/>
  <c r="AD228" i="13"/>
  <c r="V123" i="13"/>
  <c r="V250" i="13" s="1"/>
  <c r="V171" i="13"/>
  <c r="V172" i="13" s="1"/>
  <c r="V108" i="13"/>
  <c r="V23" i="13" s="1"/>
  <c r="V25" i="13" s="1"/>
  <c r="V28" i="13" s="1"/>
  <c r="V26" i="13" s="1"/>
  <c r="AE102" i="13"/>
  <c r="AE228" i="13"/>
  <c r="K9" i="1"/>
  <c r="K12" i="1" s="1"/>
  <c r="K15" i="12"/>
  <c r="K46" i="12" s="1"/>
  <c r="AD97" i="13"/>
  <c r="AD223" i="13"/>
  <c r="L172" i="13"/>
  <c r="K122" i="13"/>
  <c r="K249" i="13" s="1"/>
  <c r="K170" i="13"/>
  <c r="N123" i="13"/>
  <c r="N250" i="13" s="1"/>
  <c r="N108" i="13"/>
  <c r="N23" i="13" s="1"/>
  <c r="N25" i="13" s="1"/>
  <c r="N28" i="13" s="1"/>
  <c r="N26" i="13" s="1"/>
  <c r="N171" i="13"/>
  <c r="N172" i="13" s="1"/>
  <c r="C122" i="17"/>
  <c r="C249" i="17" s="1"/>
  <c r="C170" i="17"/>
  <c r="E81" i="14"/>
  <c r="F208" i="14"/>
  <c r="F288" i="14" s="1"/>
  <c r="F97" i="14"/>
  <c r="N122" i="17"/>
  <c r="N249" i="17" s="1"/>
  <c r="N170" i="17"/>
  <c r="U29" i="1"/>
  <c r="U30" i="1" s="1"/>
  <c r="U31" i="1" s="1"/>
  <c r="L17" i="2"/>
  <c r="L20" i="2" s="1"/>
  <c r="Q25" i="17"/>
  <c r="Q28" i="17" s="1"/>
  <c r="Q26" i="17" s="1"/>
  <c r="Q18" i="2" s="1"/>
  <c r="Q29" i="2" s="1"/>
  <c r="Q31" i="2" s="1"/>
  <c r="Q15" i="2"/>
  <c r="U12" i="12"/>
  <c r="AA81" i="12"/>
  <c r="AA82" i="12"/>
  <c r="AA83" i="12"/>
  <c r="AA84" i="12"/>
  <c r="AA85" i="12"/>
  <c r="AA86" i="12"/>
  <c r="AA87" i="12"/>
  <c r="AA88" i="12"/>
  <c r="AA89" i="12"/>
  <c r="AA90" i="12"/>
  <c r="Y25" i="1"/>
  <c r="Y15" i="17"/>
  <c r="I25" i="12"/>
  <c r="I28" i="12" s="1"/>
  <c r="I26" i="12" s="1"/>
  <c r="I7" i="2" s="1"/>
  <c r="I4" i="2"/>
  <c r="I6" i="2" s="1"/>
  <c r="I9" i="2" s="1"/>
  <c r="D123" i="17"/>
  <c r="D250" i="17" s="1"/>
  <c r="D108" i="17"/>
  <c r="D23" i="17" s="1"/>
  <c r="D25" i="17" s="1"/>
  <c r="D28" i="17" s="1"/>
  <c r="D26" i="17" s="1"/>
  <c r="D171" i="17"/>
  <c r="G249" i="16"/>
  <c r="E216" i="14"/>
  <c r="E296" i="14" s="1"/>
  <c r="E105" i="14"/>
  <c r="D89" i="14"/>
  <c r="V122" i="16"/>
  <c r="V249" i="16" s="1"/>
  <c r="V170" i="16"/>
  <c r="F122" i="16"/>
  <c r="F249" i="16" s="1"/>
  <c r="F170" i="16"/>
  <c r="Y123" i="16"/>
  <c r="Y250" i="16" s="1"/>
  <c r="Y108" i="16"/>
  <c r="Y23" i="16" s="1"/>
  <c r="Y25" i="16" s="1"/>
  <c r="Y28" i="16" s="1"/>
  <c r="Y26" i="16" s="1"/>
  <c r="Y171" i="16"/>
  <c r="AD80" i="17"/>
  <c r="AD101" i="13"/>
  <c r="AD227" i="13"/>
  <c r="K20" i="3"/>
  <c r="K26" i="3" s="1"/>
  <c r="K32" i="3"/>
  <c r="K34" i="3" s="1"/>
  <c r="K40" i="3" s="1"/>
  <c r="AE101" i="13"/>
  <c r="AE227" i="13"/>
  <c r="K123" i="17"/>
  <c r="K250" i="17" s="1"/>
  <c r="K171" i="17"/>
  <c r="K172" i="17" s="1"/>
  <c r="K108" i="17"/>
  <c r="K23" i="17" s="1"/>
  <c r="X172" i="13"/>
  <c r="D122" i="13"/>
  <c r="D249" i="13" s="1"/>
  <c r="D170" i="13"/>
  <c r="J46" i="17"/>
  <c r="J28" i="1"/>
  <c r="J44" i="1" s="1"/>
  <c r="C123" i="17"/>
  <c r="C250" i="17" s="1"/>
  <c r="C108" i="17"/>
  <c r="C23" i="17" s="1"/>
  <c r="C25" i="17" s="1"/>
  <c r="C28" i="17" s="1"/>
  <c r="C26" i="17" s="1"/>
  <c r="C171" i="17"/>
  <c r="Y9" i="1"/>
  <c r="Y12" i="1" s="1"/>
  <c r="Y15" i="12"/>
  <c r="Y46" i="12" s="1"/>
  <c r="H93" i="13"/>
  <c r="H15" i="13"/>
  <c r="N25" i="12"/>
  <c r="N28" i="12" s="1"/>
  <c r="N26" i="12" s="1"/>
  <c r="N7" i="2" s="1"/>
  <c r="N4" i="2"/>
  <c r="N6" i="2" s="1"/>
  <c r="N9" i="2" s="1"/>
  <c r="H122" i="13"/>
  <c r="H170" i="13"/>
  <c r="AA106" i="15"/>
  <c r="AA232" i="15"/>
  <c r="E122" i="17"/>
  <c r="E249" i="17" s="1"/>
  <c r="E170" i="17"/>
  <c r="S6" i="3"/>
  <c r="S12" i="3" s="1"/>
  <c r="S32" i="3"/>
  <c r="S34" i="3" s="1"/>
  <c r="S40" i="3" s="1"/>
  <c r="AE86" i="17"/>
  <c r="R25" i="12"/>
  <c r="R28" i="12" s="1"/>
  <c r="R26" i="12" s="1"/>
  <c r="R7" i="2" s="1"/>
  <c r="R29" i="2" s="1"/>
  <c r="R31" i="2" s="1"/>
  <c r="R4" i="2"/>
  <c r="R6" i="2" s="1"/>
  <c r="R9" i="2" s="1"/>
  <c r="H123" i="16"/>
  <c r="H250" i="16" s="1"/>
  <c r="H108" i="16"/>
  <c r="H23" i="16" s="1"/>
  <c r="H25" i="16" s="1"/>
  <c r="H28" i="16" s="1"/>
  <c r="H26" i="16" s="1"/>
  <c r="H171" i="16"/>
  <c r="H172" i="16" s="1"/>
  <c r="U25" i="17"/>
  <c r="U28" i="17" s="1"/>
  <c r="U26" i="17" s="1"/>
  <c r="U18" i="2" s="1"/>
  <c r="U29" i="2" s="1"/>
  <c r="U31" i="2" s="1"/>
  <c r="U15" i="2"/>
  <c r="AE82" i="17"/>
  <c r="N122" i="13"/>
  <c r="N249" i="13" s="1"/>
  <c r="N170" i="13"/>
  <c r="H249" i="13"/>
  <c r="J172" i="17"/>
  <c r="F121" i="14"/>
  <c r="F248" i="14" s="1"/>
  <c r="F169" i="14"/>
  <c r="K25" i="1"/>
  <c r="K15" i="17"/>
  <c r="C122" i="16"/>
  <c r="C249" i="16" s="1"/>
  <c r="C170" i="16"/>
  <c r="Y250" i="12"/>
  <c r="X25" i="1"/>
  <c r="X15" i="17"/>
  <c r="E215" i="14"/>
  <c r="E295" i="14" s="1"/>
  <c r="D88" i="14"/>
  <c r="E104" i="14"/>
  <c r="D123" i="16"/>
  <c r="D250" i="16" s="1"/>
  <c r="D108" i="16"/>
  <c r="D23" i="16" s="1"/>
  <c r="D25" i="16" s="1"/>
  <c r="D28" i="16" s="1"/>
  <c r="D26" i="16" s="1"/>
  <c r="D171" i="16"/>
  <c r="AD100" i="13"/>
  <c r="AD226" i="13"/>
  <c r="U32" i="3"/>
  <c r="U34" i="3" s="1"/>
  <c r="U40" i="3" s="1"/>
  <c r="AE100" i="13"/>
  <c r="AE226" i="13"/>
  <c r="X46" i="17" l="1"/>
  <c r="X28" i="1"/>
  <c r="X44" i="1" s="1"/>
  <c r="W93" i="13"/>
  <c r="W15" i="13"/>
  <c r="L12" i="1"/>
  <c r="L44" i="1" s="1"/>
  <c r="L41" i="1"/>
  <c r="L45" i="1" s="1"/>
  <c r="L46" i="1" s="1"/>
  <c r="L47" i="1" s="1"/>
  <c r="S32" i="2"/>
  <c r="Z102" i="15"/>
  <c r="AE86" i="15"/>
  <c r="Z228" i="15"/>
  <c r="Z244" i="15" s="1"/>
  <c r="AC86" i="15"/>
  <c r="AB86" i="15"/>
  <c r="F113" i="14"/>
  <c r="F240" i="14" s="1"/>
  <c r="F161" i="14"/>
  <c r="E116" i="14"/>
  <c r="E243" i="14" s="1"/>
  <c r="E164" i="14"/>
  <c r="Z104" i="12"/>
  <c r="Z214" i="12"/>
  <c r="Z230" i="12" s="1"/>
  <c r="AB88" i="12"/>
  <c r="AE88" i="12"/>
  <c r="AC88" i="12"/>
  <c r="AA122" i="15"/>
  <c r="AA170" i="15"/>
  <c r="AD97" i="17"/>
  <c r="AD223" i="17"/>
  <c r="AE113" i="13"/>
  <c r="AE161" i="13"/>
  <c r="Z213" i="12"/>
  <c r="Z229" i="12" s="1"/>
  <c r="Z103" i="12"/>
  <c r="AB87" i="12"/>
  <c r="AD87" i="12"/>
  <c r="AC87" i="12"/>
  <c r="F112" i="14"/>
  <c r="F239" i="14" s="1"/>
  <c r="F108" i="14"/>
  <c r="F23" i="14" s="1"/>
  <c r="F160" i="14"/>
  <c r="Y29" i="1"/>
  <c r="Y30" i="1" s="1"/>
  <c r="Y31" i="1" s="1"/>
  <c r="Y41" i="1"/>
  <c r="Y45" i="1" s="1"/>
  <c r="Y46" i="1" s="1"/>
  <c r="Y47" i="1" s="1"/>
  <c r="E208" i="14"/>
  <c r="E288" i="14" s="1"/>
  <c r="D81" i="14"/>
  <c r="E97" i="14"/>
  <c r="AD105" i="17"/>
  <c r="AD231" i="17"/>
  <c r="K25" i="12"/>
  <c r="K28" i="12" s="1"/>
  <c r="K26" i="12" s="1"/>
  <c r="K7" i="2" s="1"/>
  <c r="K4" i="2"/>
  <c r="K6" i="2" s="1"/>
  <c r="K9" i="2" s="1"/>
  <c r="G35" i="14"/>
  <c r="G41" i="14" s="1"/>
  <c r="G18" i="3"/>
  <c r="R172" i="13"/>
  <c r="D215" i="14"/>
  <c r="D295" i="14" s="1"/>
  <c r="D104" i="14"/>
  <c r="C88" i="14"/>
  <c r="R32" i="2"/>
  <c r="AC45" i="1"/>
  <c r="AC46" i="1" s="1"/>
  <c r="AC47" i="1" s="1"/>
  <c r="X41" i="1"/>
  <c r="X29" i="1"/>
  <c r="X30" i="1" s="1"/>
  <c r="X31" i="1" s="1"/>
  <c r="E122" i="14"/>
  <c r="E249" i="14" s="1"/>
  <c r="E170" i="14"/>
  <c r="N25" i="17"/>
  <c r="N28" i="17" s="1"/>
  <c r="N26" i="17" s="1"/>
  <c r="N18" i="2" s="1"/>
  <c r="N29" i="2" s="1"/>
  <c r="N31" i="2" s="1"/>
  <c r="N15" i="2"/>
  <c r="V25" i="12"/>
  <c r="V28" i="12" s="1"/>
  <c r="V26" i="12" s="1"/>
  <c r="V7" i="2" s="1"/>
  <c r="V29" i="2" s="1"/>
  <c r="V31" i="2" s="1"/>
  <c r="V4" i="2"/>
  <c r="V6" i="2" s="1"/>
  <c r="V9" i="2" s="1"/>
  <c r="D123" i="14"/>
  <c r="D250" i="14" s="1"/>
  <c r="D171" i="14"/>
  <c r="AE98" i="16"/>
  <c r="AE224" i="16"/>
  <c r="AB104" i="15"/>
  <c r="AB230" i="15"/>
  <c r="AD104" i="17"/>
  <c r="AD230" i="17"/>
  <c r="O25" i="17"/>
  <c r="O28" i="17" s="1"/>
  <c r="O26" i="17" s="1"/>
  <c r="O18" i="2" s="1"/>
  <c r="O29" i="2" s="1"/>
  <c r="O31" i="2" s="1"/>
  <c r="O15" i="2"/>
  <c r="AD100" i="17"/>
  <c r="AD226" i="17"/>
  <c r="AE240" i="13"/>
  <c r="AE114" i="13"/>
  <c r="AE162" i="13"/>
  <c r="AE117" i="13"/>
  <c r="AE165" i="13"/>
  <c r="Y46" i="17"/>
  <c r="Y28" i="1"/>
  <c r="Y44" i="1" s="1"/>
  <c r="AD88" i="15"/>
  <c r="C41" i="1"/>
  <c r="C45" i="1" s="1"/>
  <c r="C46" i="1" s="1"/>
  <c r="C47" i="1" s="1"/>
  <c r="C29" i="1"/>
  <c r="C30" i="1" s="1"/>
  <c r="C31" i="1" s="1"/>
  <c r="M25" i="12"/>
  <c r="M28" i="12" s="1"/>
  <c r="M26" i="12" s="1"/>
  <c r="M7" i="2" s="1"/>
  <c r="M29" i="2" s="1"/>
  <c r="M31" i="2" s="1"/>
  <c r="M4" i="2"/>
  <c r="AD102" i="17"/>
  <c r="AD228" i="17"/>
  <c r="Z213" i="15"/>
  <c r="Z229" i="15" s="1"/>
  <c r="Z103" i="15"/>
  <c r="AD87" i="15"/>
  <c r="AC87" i="15"/>
  <c r="AB87" i="15"/>
  <c r="AD248" i="13"/>
  <c r="AC104" i="17"/>
  <c r="AC230" i="17"/>
  <c r="AC246" i="17" s="1"/>
  <c r="AE88" i="17"/>
  <c r="AE88" i="15"/>
  <c r="AA46" i="17"/>
  <c r="AA28" i="1"/>
  <c r="AA44" i="1" s="1"/>
  <c r="C46" i="17"/>
  <c r="C28" i="1"/>
  <c r="C44" i="1" s="1"/>
  <c r="Z102" i="12"/>
  <c r="Z212" i="12"/>
  <c r="Z228" i="12" s="1"/>
  <c r="Z244" i="12" s="1"/>
  <c r="AB86" i="12"/>
  <c r="AC86" i="12"/>
  <c r="Z91" i="12"/>
  <c r="Z105" i="15"/>
  <c r="Z215" i="15"/>
  <c r="Z231" i="15" s="1"/>
  <c r="AC89" i="15"/>
  <c r="AD89" i="15"/>
  <c r="AB89" i="15"/>
  <c r="AD122" i="13"/>
  <c r="AD170" i="13"/>
  <c r="AA106" i="12"/>
  <c r="AA216" i="12"/>
  <c r="AA232" i="12" s="1"/>
  <c r="AC90" i="12"/>
  <c r="AC105" i="16"/>
  <c r="AC231" i="16"/>
  <c r="AE89" i="16"/>
  <c r="AB32" i="2"/>
  <c r="AA41" i="1"/>
  <c r="AA45" i="1" s="1"/>
  <c r="AA46" i="1" s="1"/>
  <c r="AA47" i="1" s="1"/>
  <c r="AA29" i="1"/>
  <c r="AA30" i="1" s="1"/>
  <c r="AA31" i="1" s="1"/>
  <c r="Q29" i="1"/>
  <c r="Q30" i="1" s="1"/>
  <c r="Q31" i="1" s="1"/>
  <c r="T15" i="12"/>
  <c r="T46" i="12" s="1"/>
  <c r="T9" i="1"/>
  <c r="K172" i="13"/>
  <c r="AA104" i="15"/>
  <c r="AA230" i="15"/>
  <c r="D80" i="14"/>
  <c r="E93" i="14"/>
  <c r="E96" i="14"/>
  <c r="E207" i="14"/>
  <c r="AB91" i="15"/>
  <c r="AB96" i="15"/>
  <c r="AA234" i="15"/>
  <c r="AE100" i="16"/>
  <c r="AE226" i="16"/>
  <c r="Y17" i="2"/>
  <c r="Y20" i="2" s="1"/>
  <c r="Y26" i="2"/>
  <c r="Y28" i="2" s="1"/>
  <c r="D100" i="14"/>
  <c r="D211" i="14"/>
  <c r="D291" i="14" s="1"/>
  <c r="C84" i="14"/>
  <c r="Z106" i="12"/>
  <c r="Z216" i="12"/>
  <c r="Z232" i="12" s="1"/>
  <c r="AD90" i="12"/>
  <c r="AB90" i="12"/>
  <c r="F219" i="14"/>
  <c r="F33" i="14" s="1"/>
  <c r="F287" i="14"/>
  <c r="AD105" i="16"/>
  <c r="AD231" i="16"/>
  <c r="D25" i="12"/>
  <c r="D28" i="12" s="1"/>
  <c r="D26" i="12" s="1"/>
  <c r="D7" i="2" s="1"/>
  <c r="D4" i="2"/>
  <c r="D6" i="2" s="1"/>
  <c r="D9" i="2" s="1"/>
  <c r="AA214" i="12"/>
  <c r="AA230" i="12" s="1"/>
  <c r="AA104" i="12"/>
  <c r="Z46" i="17"/>
  <c r="Z28" i="1"/>
  <c r="Z44" i="1" s="1"/>
  <c r="AD120" i="13"/>
  <c r="AD247" i="13" s="1"/>
  <c r="AD168" i="13"/>
  <c r="S45" i="1"/>
  <c r="S46" i="1" s="1"/>
  <c r="S47" i="1" s="1"/>
  <c r="D86" i="14"/>
  <c r="E102" i="14"/>
  <c r="E213" i="14"/>
  <c r="E293" i="14" s="1"/>
  <c r="AD241" i="13"/>
  <c r="Y172" i="16"/>
  <c r="AC104" i="16"/>
  <c r="AC230" i="16"/>
  <c r="AE88" i="16"/>
  <c r="AE99" i="17"/>
  <c r="AE225" i="17"/>
  <c r="G172" i="16"/>
  <c r="G46" i="17"/>
  <c r="G28" i="1"/>
  <c r="G44" i="1" s="1"/>
  <c r="AD115" i="13"/>
  <c r="AD242" i="13" s="1"/>
  <c r="AD163" i="13"/>
  <c r="AB211" i="12"/>
  <c r="AB227" i="12" s="1"/>
  <c r="AB101" i="12"/>
  <c r="V172" i="15"/>
  <c r="AA100" i="15"/>
  <c r="AA226" i="15"/>
  <c r="AD84" i="15"/>
  <c r="AC84" i="15"/>
  <c r="AE84" i="15" s="1"/>
  <c r="W29" i="1"/>
  <c r="W30" i="1" s="1"/>
  <c r="W31" i="1" s="1"/>
  <c r="W41" i="1"/>
  <c r="W45" i="1" s="1"/>
  <c r="W46" i="1" s="1"/>
  <c r="W47" i="1" s="1"/>
  <c r="E98" i="14"/>
  <c r="D82" i="14"/>
  <c r="E209" i="14"/>
  <c r="E289" i="14" s="1"/>
  <c r="H172" i="13"/>
  <c r="AE106" i="16"/>
  <c r="AE232" i="16"/>
  <c r="Q26" i="2"/>
  <c r="Q28" i="2" s="1"/>
  <c r="Q32" i="2" s="1"/>
  <c r="Q17" i="2"/>
  <c r="Q20" i="2" s="1"/>
  <c r="AC104" i="13"/>
  <c r="AC230" i="13"/>
  <c r="AE88" i="13"/>
  <c r="E117" i="14"/>
  <c r="E244" i="14" s="1"/>
  <c r="E165" i="14"/>
  <c r="AE99" i="16"/>
  <c r="AE225" i="16"/>
  <c r="AD106" i="16"/>
  <c r="AD232" i="16"/>
  <c r="AD243" i="13"/>
  <c r="K172" i="16"/>
  <c r="L25" i="12"/>
  <c r="L28" i="12" s="1"/>
  <c r="L26" i="12" s="1"/>
  <c r="L7" i="2" s="1"/>
  <c r="L29" i="2" s="1"/>
  <c r="L31" i="2" s="1"/>
  <c r="L4" i="2"/>
  <c r="AE101" i="17"/>
  <c r="AE227" i="17"/>
  <c r="AD96" i="17"/>
  <c r="AD21" i="17"/>
  <c r="AD91" i="17"/>
  <c r="AC234" i="17"/>
  <c r="AD103" i="17"/>
  <c r="AD229" i="17"/>
  <c r="E41" i="1"/>
  <c r="H17" i="2"/>
  <c r="H20" i="2" s="1"/>
  <c r="H26" i="2"/>
  <c r="H28" i="2" s="1"/>
  <c r="H32" i="2" s="1"/>
  <c r="J26" i="2"/>
  <c r="J28" i="2" s="1"/>
  <c r="J32" i="2" s="1"/>
  <c r="J17" i="2"/>
  <c r="J20" i="2" s="1"/>
  <c r="AB100" i="12"/>
  <c r="AB210" i="12"/>
  <c r="AB226" i="12" s="1"/>
  <c r="AA99" i="15"/>
  <c r="AA225" i="15"/>
  <c r="AD83" i="15"/>
  <c r="AC83" i="15"/>
  <c r="AE83" i="15" s="1"/>
  <c r="E172" i="16"/>
  <c r="F114" i="14"/>
  <c r="F241" i="14" s="1"/>
  <c r="F162" i="14"/>
  <c r="N46" i="17"/>
  <c r="N28" i="1"/>
  <c r="N44" i="1" s="1"/>
  <c r="AD102" i="16"/>
  <c r="AD228" i="16"/>
  <c r="AC102" i="16"/>
  <c r="AC91" i="16"/>
  <c r="AC228" i="16"/>
  <c r="AC244" i="16" s="1"/>
  <c r="AE86" i="16"/>
  <c r="AE118" i="13"/>
  <c r="AE166" i="13"/>
  <c r="W26" i="2"/>
  <c r="W28" i="2" s="1"/>
  <c r="W32" i="2" s="1"/>
  <c r="W17" i="2"/>
  <c r="W20" i="2" s="1"/>
  <c r="C214" i="14"/>
  <c r="C294" i="14" s="1"/>
  <c r="C103" i="14"/>
  <c r="B87" i="14"/>
  <c r="AD118" i="13"/>
  <c r="AD245" i="13" s="1"/>
  <c r="AD166" i="13"/>
  <c r="Z215" i="12"/>
  <c r="Z231" i="12" s="1"/>
  <c r="Z105" i="12"/>
  <c r="AB89" i="12"/>
  <c r="AE89" i="12" s="1"/>
  <c r="AD89" i="12"/>
  <c r="AC89" i="12"/>
  <c r="T25" i="12"/>
  <c r="T28" i="12" s="1"/>
  <c r="T26" i="12" s="1"/>
  <c r="T7" i="2" s="1"/>
  <c r="T29" i="2" s="1"/>
  <c r="T31" i="2" s="1"/>
  <c r="T4" i="2"/>
  <c r="J29" i="1"/>
  <c r="J30" i="1" s="1"/>
  <c r="J31" i="1" s="1"/>
  <c r="AA105" i="12"/>
  <c r="AA215" i="12"/>
  <c r="AA231" i="12" s="1"/>
  <c r="AC170" i="11"/>
  <c r="AA103" i="15"/>
  <c r="AA229" i="15"/>
  <c r="AD91" i="16"/>
  <c r="AD96" i="16"/>
  <c r="AC234" i="16"/>
  <c r="E46" i="17"/>
  <c r="E28" i="1"/>
  <c r="E44" i="1" s="1"/>
  <c r="AA103" i="12"/>
  <c r="AA213" i="12"/>
  <c r="AA229" i="12" s="1"/>
  <c r="AC103" i="16"/>
  <c r="AC229" i="16"/>
  <c r="AE87" i="16"/>
  <c r="AD106" i="17"/>
  <c r="AD232" i="17"/>
  <c r="S29" i="1"/>
  <c r="S30" i="1" s="1"/>
  <c r="S31" i="1" s="1"/>
  <c r="W46" i="17"/>
  <c r="W28" i="1"/>
  <c r="W44" i="1" s="1"/>
  <c r="AE98" i="17"/>
  <c r="AE224" i="17"/>
  <c r="Z172" i="17"/>
  <c r="AB209" i="12"/>
  <c r="AB225" i="12" s="1"/>
  <c r="AB99" i="12"/>
  <c r="AA98" i="15"/>
  <c r="AA224" i="15"/>
  <c r="AD82" i="15"/>
  <c r="AC82" i="15"/>
  <c r="AE82" i="15" s="1"/>
  <c r="AC122" i="16"/>
  <c r="AC170" i="16"/>
  <c r="AE101" i="16"/>
  <c r="AE227" i="16"/>
  <c r="AD107" i="13"/>
  <c r="AD233" i="13"/>
  <c r="AD249" i="13" s="1"/>
  <c r="AE112" i="13"/>
  <c r="AE239" i="13" s="1"/>
  <c r="AE160" i="13"/>
  <c r="AC103" i="13"/>
  <c r="AC229" i="13"/>
  <c r="AC245" i="13" s="1"/>
  <c r="AE87" i="13"/>
  <c r="C218" i="14"/>
  <c r="C298" i="14" s="1"/>
  <c r="C107" i="14"/>
  <c r="B91" i="14"/>
  <c r="AE100" i="17"/>
  <c r="AE226" i="17"/>
  <c r="AD121" i="13"/>
  <c r="AD169" i="13"/>
  <c r="K25" i="17"/>
  <c r="K28" i="17" s="1"/>
  <c r="K26" i="17" s="1"/>
  <c r="K18" i="2" s="1"/>
  <c r="K29" i="2" s="1"/>
  <c r="K31" i="2" s="1"/>
  <c r="K15" i="2"/>
  <c r="AD244" i="13"/>
  <c r="K46" i="17"/>
  <c r="K28" i="1"/>
  <c r="K44" i="1" s="1"/>
  <c r="AF80" i="16"/>
  <c r="AE234" i="16" s="1"/>
  <c r="AE91" i="16"/>
  <c r="AE96" i="16"/>
  <c r="AD234" i="16"/>
  <c r="J45" i="1"/>
  <c r="J46" i="1" s="1"/>
  <c r="J47" i="1" s="1"/>
  <c r="K41" i="1"/>
  <c r="AA105" i="15"/>
  <c r="AA231" i="15"/>
  <c r="Z120" i="15"/>
  <c r="Z168" i="15"/>
  <c r="D172" i="15"/>
  <c r="Y25" i="12"/>
  <c r="Y28" i="12" s="1"/>
  <c r="Y26" i="12" s="1"/>
  <c r="Y7" i="2" s="1"/>
  <c r="Y29" i="2" s="1"/>
  <c r="Y31" i="2" s="1"/>
  <c r="Y4" i="2"/>
  <c r="Y6" i="2" s="1"/>
  <c r="Y9" i="2" s="1"/>
  <c r="AD101" i="17"/>
  <c r="AD227" i="17"/>
  <c r="AA102" i="15"/>
  <c r="AA228" i="15"/>
  <c r="G29" i="1"/>
  <c r="G30" i="1" s="1"/>
  <c r="G31" i="1" s="1"/>
  <c r="G41" i="1"/>
  <c r="G45" i="1" s="1"/>
  <c r="G46" i="1" s="1"/>
  <c r="G47" i="1" s="1"/>
  <c r="AD104" i="16"/>
  <c r="AD230" i="16"/>
  <c r="AD100" i="16"/>
  <c r="AD226" i="16"/>
  <c r="E172" i="13"/>
  <c r="D29" i="1"/>
  <c r="D30" i="1" s="1"/>
  <c r="D31" i="1" s="1"/>
  <c r="D41" i="1"/>
  <c r="U26" i="2"/>
  <c r="U28" i="2" s="1"/>
  <c r="U32" i="2" s="1"/>
  <c r="U17" i="2"/>
  <c r="U20" i="2" s="1"/>
  <c r="AA99" i="12"/>
  <c r="AA209" i="12"/>
  <c r="AA225" i="12" s="1"/>
  <c r="AC83" i="12"/>
  <c r="AE83" i="12"/>
  <c r="AD83" i="12"/>
  <c r="AD101" i="16"/>
  <c r="AD227" i="16"/>
  <c r="AA15" i="2"/>
  <c r="AA25" i="17"/>
  <c r="AA28" i="17" s="1"/>
  <c r="AA26" i="17" s="1"/>
  <c r="AA18" i="2" s="1"/>
  <c r="AA29" i="2" s="1"/>
  <c r="AA31" i="2" s="1"/>
  <c r="D46" i="17"/>
  <c r="D28" i="1"/>
  <c r="D44" i="1" s="1"/>
  <c r="G172" i="17"/>
  <c r="AB98" i="12"/>
  <c r="AB208" i="12"/>
  <c r="AB224" i="12" s="1"/>
  <c r="AA97" i="15"/>
  <c r="AA223" i="15"/>
  <c r="AE81" i="15"/>
  <c r="AC81" i="15"/>
  <c r="AD81" i="15"/>
  <c r="AB101" i="15"/>
  <c r="AB227" i="15"/>
  <c r="N41" i="1"/>
  <c r="N45" i="1" s="1"/>
  <c r="N46" i="1" s="1"/>
  <c r="N47" i="1" s="1"/>
  <c r="N29" i="1"/>
  <c r="N30" i="1" s="1"/>
  <c r="N31" i="1" s="1"/>
  <c r="AC105" i="13"/>
  <c r="AC231" i="13"/>
  <c r="AE89" i="13"/>
  <c r="AA219" i="16"/>
  <c r="AA35" i="16"/>
  <c r="AA41" i="16" s="1"/>
  <c r="AE102" i="17"/>
  <c r="AE228" i="17"/>
  <c r="D172" i="17"/>
  <c r="AD98" i="17"/>
  <c r="AD224" i="17"/>
  <c r="I32" i="2"/>
  <c r="X26" i="2"/>
  <c r="X28" i="2" s="1"/>
  <c r="X32" i="2" s="1"/>
  <c r="X17" i="2"/>
  <c r="X20" i="2" s="1"/>
  <c r="D119" i="14"/>
  <c r="D246" i="14" s="1"/>
  <c r="D167" i="14"/>
  <c r="AC104" i="15"/>
  <c r="AC230" i="15"/>
  <c r="V172" i="16"/>
  <c r="AD117" i="13"/>
  <c r="AD165" i="13"/>
  <c r="AE116" i="13"/>
  <c r="AE243" i="13" s="1"/>
  <c r="AE164" i="13"/>
  <c r="Z41" i="1"/>
  <c r="Z45" i="1" s="1"/>
  <c r="Z46" i="1" s="1"/>
  <c r="Z47" i="1" s="1"/>
  <c r="AD99" i="17"/>
  <c r="AD225" i="17"/>
  <c r="AA101" i="15"/>
  <c r="AA227" i="15"/>
  <c r="AD85" i="15"/>
  <c r="AC85" i="15"/>
  <c r="AE85" i="15"/>
  <c r="F118" i="14"/>
  <c r="F245" i="14" s="1"/>
  <c r="F166" i="14"/>
  <c r="AA102" i="12"/>
  <c r="AA212" i="12"/>
  <c r="AA228" i="12" s="1"/>
  <c r="AA101" i="12"/>
  <c r="AA211" i="12"/>
  <c r="AA227" i="12" s="1"/>
  <c r="AC85" i="12"/>
  <c r="AD85" i="12"/>
  <c r="Z25" i="17"/>
  <c r="Z28" i="17" s="1"/>
  <c r="Z26" i="17" s="1"/>
  <c r="Z18" i="2" s="1"/>
  <c r="Z15" i="2"/>
  <c r="AD116" i="13"/>
  <c r="AD164" i="13"/>
  <c r="AA100" i="12"/>
  <c r="AA210" i="12"/>
  <c r="AA226" i="12" s="1"/>
  <c r="AD84" i="12"/>
  <c r="AC84" i="12"/>
  <c r="AE84" i="12" s="1"/>
  <c r="AA172" i="17"/>
  <c r="D172" i="16"/>
  <c r="C172" i="17"/>
  <c r="AA98" i="12"/>
  <c r="AA208" i="12"/>
  <c r="AA224" i="12" s="1"/>
  <c r="AD82" i="12"/>
  <c r="AC82" i="12"/>
  <c r="AD99" i="16"/>
  <c r="AD225" i="16"/>
  <c r="AE106" i="13"/>
  <c r="AE232" i="13"/>
  <c r="M12" i="1"/>
  <c r="M44" i="1" s="1"/>
  <c r="M41" i="1"/>
  <c r="M45" i="1" s="1"/>
  <c r="M46" i="1" s="1"/>
  <c r="M47" i="1" s="1"/>
  <c r="AE241" i="13"/>
  <c r="AB207" i="12"/>
  <c r="AB97" i="12"/>
  <c r="C172" i="16"/>
  <c r="AA96" i="15"/>
  <c r="AA91" i="15"/>
  <c r="Z234" i="15"/>
  <c r="AD80" i="15"/>
  <c r="AC80" i="15"/>
  <c r="AE80" i="15" s="1"/>
  <c r="AD240" i="13"/>
  <c r="AB100" i="15"/>
  <c r="AB226" i="15"/>
  <c r="AB112" i="12"/>
  <c r="AB160" i="12"/>
  <c r="D216" i="14"/>
  <c r="D296" i="14" s="1"/>
  <c r="D105" i="14"/>
  <c r="C89" i="14"/>
  <c r="AC122" i="13"/>
  <c r="AC170" i="13"/>
  <c r="E121" i="14"/>
  <c r="E248" i="14" s="1"/>
  <c r="E169" i="14"/>
  <c r="AE244" i="13"/>
  <c r="AC106" i="17"/>
  <c r="AC91" i="17"/>
  <c r="AC232" i="17"/>
  <c r="AE90" i="17"/>
  <c r="AD103" i="16"/>
  <c r="AD229" i="16"/>
  <c r="O41" i="1"/>
  <c r="O45" i="1" s="1"/>
  <c r="O46" i="1" s="1"/>
  <c r="O47" i="1" s="1"/>
  <c r="O29" i="1"/>
  <c r="O30" i="1" s="1"/>
  <c r="O31" i="1" s="1"/>
  <c r="AB223" i="15"/>
  <c r="AB97" i="15"/>
  <c r="AD112" i="13"/>
  <c r="AD239" i="13" s="1"/>
  <c r="AD160" i="13"/>
  <c r="AC105" i="17"/>
  <c r="AC231" i="17"/>
  <c r="AE89" i="17"/>
  <c r="AE91" i="17" s="1"/>
  <c r="D217" i="14"/>
  <c r="D297" i="14" s="1"/>
  <c r="D106" i="14"/>
  <c r="C90" i="14"/>
  <c r="AE103" i="17"/>
  <c r="AE229" i="17"/>
  <c r="AE97" i="17"/>
  <c r="AE223" i="17"/>
  <c r="D101" i="14"/>
  <c r="D212" i="14"/>
  <c r="D292" i="14" s="1"/>
  <c r="C85" i="14"/>
  <c r="Z218" i="12"/>
  <c r="AA96" i="12"/>
  <c r="AA91" i="12"/>
  <c r="AD80" i="12"/>
  <c r="AC80" i="12"/>
  <c r="AE80" i="12" s="1"/>
  <c r="AE97" i="16"/>
  <c r="AE223" i="16"/>
  <c r="AA97" i="12"/>
  <c r="AA207" i="12"/>
  <c r="AC81" i="12"/>
  <c r="AE81" i="12" s="1"/>
  <c r="AD81" i="12"/>
  <c r="AD113" i="13"/>
  <c r="AD161" i="13"/>
  <c r="AD98" i="16"/>
  <c r="AD224" i="16"/>
  <c r="AE96" i="17"/>
  <c r="AD234" i="17"/>
  <c r="E115" i="14"/>
  <c r="E242" i="14" s="1"/>
  <c r="E163" i="14"/>
  <c r="AE115" i="13"/>
  <c r="AE242" i="13" s="1"/>
  <c r="AE163" i="13"/>
  <c r="V9" i="1"/>
  <c r="V15" i="12"/>
  <c r="V46" i="12" s="1"/>
  <c r="Z216" i="15"/>
  <c r="Z232" i="15" s="1"/>
  <c r="Z106" i="15"/>
  <c r="Z91" i="15"/>
  <c r="AE90" i="15"/>
  <c r="AC90" i="15"/>
  <c r="AD90" i="15"/>
  <c r="AB90" i="15"/>
  <c r="AD114" i="13"/>
  <c r="AD162" i="13"/>
  <c r="AB99" i="15"/>
  <c r="AB225" i="15"/>
  <c r="E120" i="14"/>
  <c r="E247" i="14" s="1"/>
  <c r="E168" i="14"/>
  <c r="U9" i="1"/>
  <c r="U15" i="12"/>
  <c r="U46" i="12" s="1"/>
  <c r="AD223" i="16"/>
  <c r="AD97" i="16"/>
  <c r="D172" i="13"/>
  <c r="AD119" i="13"/>
  <c r="AD246" i="13" s="1"/>
  <c r="AD167" i="13"/>
  <c r="AC91" i="13"/>
  <c r="AC93" i="13" s="1"/>
  <c r="D210" i="14"/>
  <c r="D290" i="14" s="1"/>
  <c r="C83" i="14"/>
  <c r="D99" i="14"/>
  <c r="O46" i="17"/>
  <c r="O28" i="1"/>
  <c r="O44" i="1" s="1"/>
  <c r="V17" i="2"/>
  <c r="V20" i="2" s="1"/>
  <c r="G15" i="2"/>
  <c r="G25" i="14"/>
  <c r="G28" i="14" s="1"/>
  <c r="G26" i="14" s="1"/>
  <c r="G18" i="2" s="1"/>
  <c r="G29" i="2" s="1"/>
  <c r="G31" i="2" s="1"/>
  <c r="AB98" i="15"/>
  <c r="AB224" i="15"/>
  <c r="U172" i="15"/>
  <c r="AE98" i="15" l="1"/>
  <c r="AE224" i="15"/>
  <c r="AE107" i="17"/>
  <c r="AE233" i="17"/>
  <c r="AE21" i="17"/>
  <c r="AE97" i="12"/>
  <c r="AE207" i="12"/>
  <c r="AE100" i="15"/>
  <c r="AE226" i="15"/>
  <c r="AE91" i="15"/>
  <c r="AE96" i="15"/>
  <c r="AD234" i="15"/>
  <c r="AF80" i="12"/>
  <c r="AE218" i="12" s="1"/>
  <c r="AE234" i="12" s="1"/>
  <c r="AE91" i="12"/>
  <c r="AD218" i="12"/>
  <c r="AD234" i="12" s="1"/>
  <c r="AE96" i="12"/>
  <c r="AE100" i="12"/>
  <c r="AE210" i="12"/>
  <c r="AE226" i="12" s="1"/>
  <c r="AE105" i="12"/>
  <c r="AE215" i="12"/>
  <c r="AE231" i="12" s="1"/>
  <c r="AE225" i="15"/>
  <c r="AE99" i="15"/>
  <c r="E161" i="14"/>
  <c r="E113" i="14"/>
  <c r="E240" i="14" s="1"/>
  <c r="AA118" i="12"/>
  <c r="AA166" i="12"/>
  <c r="Z122" i="12"/>
  <c r="Z170" i="12"/>
  <c r="L6" i="2"/>
  <c r="L9" i="2" s="1"/>
  <c r="L26" i="2"/>
  <c r="L28" i="2" s="1"/>
  <c r="L32" i="2" s="1"/>
  <c r="AD225" i="15"/>
  <c r="AD99" i="15"/>
  <c r="AC103" i="12"/>
  <c r="AC213" i="12"/>
  <c r="AC229" i="12" s="1"/>
  <c r="AB102" i="15"/>
  <c r="AB228" i="15"/>
  <c r="AB244" i="15" s="1"/>
  <c r="AA112" i="15"/>
  <c r="AA239" i="15" s="1"/>
  <c r="AA108" i="15"/>
  <c r="AA160" i="15"/>
  <c r="AA17" i="2"/>
  <c r="AA20" i="2" s="1"/>
  <c r="AA26" i="2"/>
  <c r="AA28" i="2" s="1"/>
  <c r="AA32" i="2" s="1"/>
  <c r="AD117" i="17"/>
  <c r="AD165" i="17"/>
  <c r="AB116" i="12"/>
  <c r="AB243" i="12" s="1"/>
  <c r="AB164" i="12"/>
  <c r="AE115" i="16"/>
  <c r="AE163" i="16"/>
  <c r="AB117" i="12"/>
  <c r="AB165" i="12"/>
  <c r="AE116" i="16"/>
  <c r="AE243" i="16" s="1"/>
  <c r="AE164" i="16"/>
  <c r="AC216" i="12"/>
  <c r="AC232" i="12" s="1"/>
  <c r="AC106" i="12"/>
  <c r="AE104" i="15"/>
  <c r="AE230" i="15"/>
  <c r="X45" i="1"/>
  <c r="X46" i="1" s="1"/>
  <c r="X47" i="1" s="1"/>
  <c r="AE87" i="12"/>
  <c r="AC102" i="15"/>
  <c r="AC228" i="15"/>
  <c r="AD224" i="15"/>
  <c r="AD98" i="15"/>
  <c r="AC121" i="16"/>
  <c r="AC248" i="16" s="1"/>
  <c r="AC169" i="16"/>
  <c r="AE112" i="17"/>
  <c r="AE239" i="17" s="1"/>
  <c r="AE160" i="17"/>
  <c r="D117" i="14"/>
  <c r="D244" i="14" s="1"/>
  <c r="D165" i="14"/>
  <c r="AC107" i="17"/>
  <c r="AC21" i="17"/>
  <c r="AC233" i="17"/>
  <c r="AC249" i="17" s="1"/>
  <c r="AD243" i="16"/>
  <c r="AA114" i="15"/>
  <c r="AA162" i="15"/>
  <c r="AA119" i="15"/>
  <c r="AA246" i="15" s="1"/>
  <c r="AA167" i="15"/>
  <c r="AA120" i="12"/>
  <c r="AA168" i="12"/>
  <c r="AE104" i="17"/>
  <c r="AE230" i="17"/>
  <c r="AD103" i="12"/>
  <c r="AD213" i="12"/>
  <c r="AD229" i="12" s="1"/>
  <c r="AD86" i="15"/>
  <c r="AD91" i="15" s="1"/>
  <c r="E114" i="14"/>
  <c r="E241" i="14" s="1"/>
  <c r="E162" i="14"/>
  <c r="AE104" i="12"/>
  <c r="AE214" i="12"/>
  <c r="AE230" i="12" s="1"/>
  <c r="AD116" i="16"/>
  <c r="AD164" i="16"/>
  <c r="AD123" i="13"/>
  <c r="AD250" i="13" s="1"/>
  <c r="AD171" i="13"/>
  <c r="AD172" i="13" s="1"/>
  <c r="V12" i="1"/>
  <c r="V44" i="1" s="1"/>
  <c r="V41" i="1"/>
  <c r="V45" i="1" s="1"/>
  <c r="V46" i="1" s="1"/>
  <c r="V47" i="1" s="1"/>
  <c r="AB113" i="15"/>
  <c r="AB240" i="15" s="1"/>
  <c r="AB161" i="15"/>
  <c r="AA119" i="12"/>
  <c r="AA167" i="12"/>
  <c r="AC218" i="12"/>
  <c r="AC234" i="12" s="1"/>
  <c r="AD96" i="12"/>
  <c r="AE227" i="15"/>
  <c r="AE101" i="15"/>
  <c r="Z118" i="12"/>
  <c r="Z245" i="12" s="1"/>
  <c r="Z166" i="12"/>
  <c r="C119" i="14"/>
  <c r="C246" i="14" s="1"/>
  <c r="C167" i="14"/>
  <c r="AA241" i="15"/>
  <c r="F15" i="2"/>
  <c r="F25" i="14"/>
  <c r="F28" i="14" s="1"/>
  <c r="F26" i="14" s="1"/>
  <c r="F18" i="2" s="1"/>
  <c r="F29" i="2" s="1"/>
  <c r="F31" i="2" s="1"/>
  <c r="AC210" i="12"/>
  <c r="AC226" i="12" s="1"/>
  <c r="AC100" i="12"/>
  <c r="AA118" i="15"/>
  <c r="AA245" i="15" s="1"/>
  <c r="AA166" i="15"/>
  <c r="AA115" i="15"/>
  <c r="AA163" i="15"/>
  <c r="AD122" i="16"/>
  <c r="AD170" i="16"/>
  <c r="C212" i="14"/>
  <c r="C292" i="14" s="1"/>
  <c r="C101" i="14"/>
  <c r="B85" i="14"/>
  <c r="AE106" i="17"/>
  <c r="AE232" i="17"/>
  <c r="AA107" i="15"/>
  <c r="AA233" i="15"/>
  <c r="AA249" i="15" s="1"/>
  <c r="AD210" i="12"/>
  <c r="AD226" i="12" s="1"/>
  <c r="AD100" i="12"/>
  <c r="AA117" i="15"/>
  <c r="AA244" i="15" s="1"/>
  <c r="AA165" i="15"/>
  <c r="AD243" i="17"/>
  <c r="AD107" i="16"/>
  <c r="AD233" i="16"/>
  <c r="AD249" i="16" s="1"/>
  <c r="AE242" i="16"/>
  <c r="AA242" i="12"/>
  <c r="AD115" i="17"/>
  <c r="AD242" i="17" s="1"/>
  <c r="AD163" i="17"/>
  <c r="AE118" i="17"/>
  <c r="AE166" i="17"/>
  <c r="AC122" i="17"/>
  <c r="AC170" i="17"/>
  <c r="AB113" i="12"/>
  <c r="AB240" i="12" s="1"/>
  <c r="AB161" i="12"/>
  <c r="AA116" i="12"/>
  <c r="AA164" i="12"/>
  <c r="Z29" i="1"/>
  <c r="Z30" i="1" s="1"/>
  <c r="Z31" i="1" s="1"/>
  <c r="AD117" i="16"/>
  <c r="AD165" i="16"/>
  <c r="AE116" i="17"/>
  <c r="AE243" i="17" s="1"/>
  <c r="AE164" i="17"/>
  <c r="AB115" i="12"/>
  <c r="AB242" i="12" s="1"/>
  <c r="AB163" i="12"/>
  <c r="AA246" i="12"/>
  <c r="AB112" i="15"/>
  <c r="AB239" i="15" s="1"/>
  <c r="AB160" i="15"/>
  <c r="AA122" i="12"/>
  <c r="AA170" i="12"/>
  <c r="AB103" i="12"/>
  <c r="AB213" i="12"/>
  <c r="AB229" i="12" s="1"/>
  <c r="AE107" i="16"/>
  <c r="AE233" i="16"/>
  <c r="AB116" i="15"/>
  <c r="AB243" i="15" s="1"/>
  <c r="AB164" i="15"/>
  <c r="AB102" i="12"/>
  <c r="AB212" i="12"/>
  <c r="AB228" i="12" s="1"/>
  <c r="AB244" i="12" s="1"/>
  <c r="AB91" i="12"/>
  <c r="E118" i="14"/>
  <c r="E245" i="14" s="1"/>
  <c r="E166" i="14"/>
  <c r="AA242" i="15"/>
  <c r="AA247" i="12"/>
  <c r="AC120" i="17"/>
  <c r="AC168" i="17"/>
  <c r="AC108" i="17"/>
  <c r="Z119" i="12"/>
  <c r="Z246" i="12" s="1"/>
  <c r="Z167" i="12"/>
  <c r="AC107" i="16"/>
  <c r="AC233" i="16"/>
  <c r="AC249" i="16" s="1"/>
  <c r="E29" i="1"/>
  <c r="E30" i="1" s="1"/>
  <c r="E31" i="1" s="1"/>
  <c r="AC120" i="13"/>
  <c r="AC168" i="13"/>
  <c r="AD247" i="16"/>
  <c r="E112" i="14"/>
  <c r="E239" i="14" s="1"/>
  <c r="E108" i="14"/>
  <c r="E23" i="14" s="1"/>
  <c r="E160" i="14"/>
  <c r="AB105" i="15"/>
  <c r="AB231" i="15"/>
  <c r="AB103" i="15"/>
  <c r="AB229" i="15"/>
  <c r="O26" i="2"/>
  <c r="O28" i="2" s="1"/>
  <c r="O32" i="2" s="1"/>
  <c r="O17" i="2"/>
  <c r="O20" i="2" s="1"/>
  <c r="Z248" i="15"/>
  <c r="AE97" i="15"/>
  <c r="AE223" i="15"/>
  <c r="Z121" i="12"/>
  <c r="Z248" i="12" s="1"/>
  <c r="Z169" i="12"/>
  <c r="Z247" i="12"/>
  <c r="AD120" i="16"/>
  <c r="AD168" i="16"/>
  <c r="N26" i="2"/>
  <c r="N28" i="2" s="1"/>
  <c r="N32" i="2" s="1"/>
  <c r="N17" i="2"/>
  <c r="N20" i="2" s="1"/>
  <c r="Y32" i="2"/>
  <c r="AA112" i="12"/>
  <c r="AA160" i="12"/>
  <c r="AC224" i="15"/>
  <c r="AC98" i="15"/>
  <c r="AD248" i="16"/>
  <c r="AE105" i="16"/>
  <c r="AE231" i="16"/>
  <c r="Z234" i="12"/>
  <c r="AA243" i="15"/>
  <c r="AB223" i="12"/>
  <c r="AB239" i="12" s="1"/>
  <c r="AA121" i="12"/>
  <c r="AA248" i="12" s="1"/>
  <c r="AA169" i="12"/>
  <c r="E287" i="14"/>
  <c r="E219" i="14"/>
  <c r="E33" i="14" s="1"/>
  <c r="G17" i="2"/>
  <c r="G20" i="2" s="1"/>
  <c r="G26" i="2"/>
  <c r="G28" i="2" s="1"/>
  <c r="G32" i="2" s="1"/>
  <c r="AD114" i="16"/>
  <c r="AD162" i="16"/>
  <c r="AE119" i="17"/>
  <c r="AE167" i="17"/>
  <c r="Z17" i="2"/>
  <c r="Z20" i="2" s="1"/>
  <c r="AC247" i="13"/>
  <c r="C217" i="14"/>
  <c r="C297" i="14" s="1"/>
  <c r="C106" i="14"/>
  <c r="B90" i="14"/>
  <c r="AC121" i="13"/>
  <c r="AC248" i="13" s="1"/>
  <c r="AC169" i="13"/>
  <c r="AA241" i="12"/>
  <c r="AE103" i="13"/>
  <c r="AE229" i="13"/>
  <c r="AE245" i="13" s="1"/>
  <c r="AE91" i="13"/>
  <c r="AE114" i="17"/>
  <c r="AE162" i="17"/>
  <c r="AC118" i="16"/>
  <c r="AC245" i="16" s="1"/>
  <c r="AC166" i="16"/>
  <c r="AC108" i="16"/>
  <c r="E45" i="1"/>
  <c r="E46" i="1" s="1"/>
  <c r="E47" i="1" s="1"/>
  <c r="AD121" i="16"/>
  <c r="AD169" i="16"/>
  <c r="AD105" i="15"/>
  <c r="AD231" i="15"/>
  <c r="AC103" i="15"/>
  <c r="AC229" i="15"/>
  <c r="AC102" i="12"/>
  <c r="AC212" i="12"/>
  <c r="AC228" i="12" s="1"/>
  <c r="AE117" i="17"/>
  <c r="AE244" i="17" s="1"/>
  <c r="AE165" i="17"/>
  <c r="AE86" i="12"/>
  <c r="AB104" i="12"/>
  <c r="AB214" i="12"/>
  <c r="AB230" i="12" s="1"/>
  <c r="AA240" i="12"/>
  <c r="AA113" i="15"/>
  <c r="AA240" i="15" s="1"/>
  <c r="AA161" i="15"/>
  <c r="AA114" i="12"/>
  <c r="AA162" i="12"/>
  <c r="AC100" i="15"/>
  <c r="AC226" i="15"/>
  <c r="B214" i="14"/>
  <c r="B294" i="14" s="1"/>
  <c r="B103" i="14"/>
  <c r="AD100" i="15"/>
  <c r="AD226" i="15"/>
  <c r="D116" i="14"/>
  <c r="D243" i="14" s="1"/>
  <c r="D164" i="14"/>
  <c r="AD96" i="15"/>
  <c r="AC234" i="15"/>
  <c r="AD119" i="16"/>
  <c r="AD246" i="16" s="1"/>
  <c r="AD167" i="16"/>
  <c r="AD114" i="17"/>
  <c r="AD241" i="17" s="1"/>
  <c r="AD162" i="17"/>
  <c r="AA116" i="15"/>
  <c r="AA164" i="15"/>
  <c r="AB241" i="12"/>
  <c r="AB107" i="15"/>
  <c r="AB108" i="15" s="1"/>
  <c r="AB233" i="15"/>
  <c r="C215" i="14"/>
  <c r="C295" i="14" s="1"/>
  <c r="C104" i="14"/>
  <c r="B88" i="14"/>
  <c r="AE99" i="12"/>
  <c r="AE209" i="12"/>
  <c r="AE225" i="12" s="1"/>
  <c r="C123" i="14"/>
  <c r="C250" i="14" s="1"/>
  <c r="C171" i="14"/>
  <c r="AD116" i="17"/>
  <c r="AD164" i="17"/>
  <c r="D120" i="14"/>
  <c r="D247" i="14" s="1"/>
  <c r="D168" i="14"/>
  <c r="Z118" i="15"/>
  <c r="Z166" i="15"/>
  <c r="AC99" i="12"/>
  <c r="AC209" i="12"/>
  <c r="AC225" i="12" s="1"/>
  <c r="AE240" i="17"/>
  <c r="V26" i="2"/>
  <c r="V28" i="2" s="1"/>
  <c r="V32" i="2" s="1"/>
  <c r="AB106" i="15"/>
  <c r="AB232" i="15"/>
  <c r="D122" i="14"/>
  <c r="D249" i="14" s="1"/>
  <c r="D170" i="14"/>
  <c r="AD211" i="12"/>
  <c r="AD227" i="12" s="1"/>
  <c r="AD101" i="12"/>
  <c r="AA115" i="12"/>
  <c r="AA163" i="12"/>
  <c r="T6" i="2"/>
  <c r="T9" i="2" s="1"/>
  <c r="T26" i="2"/>
  <c r="T28" i="2" s="1"/>
  <c r="T32" i="2" s="1"/>
  <c r="AD244" i="16"/>
  <c r="D96" i="14"/>
  <c r="D93" i="14"/>
  <c r="D207" i="14"/>
  <c r="C80" i="14"/>
  <c r="AC105" i="15"/>
  <c r="AC231" i="15"/>
  <c r="AC247" i="15" s="1"/>
  <c r="AD103" i="15"/>
  <c r="AD229" i="15"/>
  <c r="AD246" i="17"/>
  <c r="G32" i="3"/>
  <c r="G34" i="3" s="1"/>
  <c r="G40" i="3" s="1"/>
  <c r="G20" i="3"/>
  <c r="G26" i="3" s="1"/>
  <c r="AC208" i="12"/>
  <c r="AC224" i="12" s="1"/>
  <c r="AC98" i="12"/>
  <c r="AC107" i="13"/>
  <c r="AC233" i="13"/>
  <c r="AC249" i="13" s="1"/>
  <c r="AE113" i="16"/>
  <c r="AE161" i="16"/>
  <c r="AD98" i="12"/>
  <c r="AD208" i="12"/>
  <c r="AD224" i="12" s="1"/>
  <c r="AD240" i="17"/>
  <c r="AD160" i="16"/>
  <c r="AD112" i="16"/>
  <c r="AD239" i="16" s="1"/>
  <c r="AB241" i="15"/>
  <c r="AE104" i="13"/>
  <c r="AE230" i="13"/>
  <c r="AB115" i="15"/>
  <c r="AB242" i="15" s="1"/>
  <c r="AB163" i="15"/>
  <c r="C216" i="14"/>
  <c r="C296" i="14" s="1"/>
  <c r="C105" i="14"/>
  <c r="B89" i="14"/>
  <c r="AE122" i="13"/>
  <c r="AE170" i="13"/>
  <c r="AC211" i="12"/>
  <c r="AC227" i="12" s="1"/>
  <c r="AC101" i="12"/>
  <c r="AA121" i="15"/>
  <c r="AA248" i="15" s="1"/>
  <c r="AA169" i="15"/>
  <c r="AD118" i="16"/>
  <c r="AD166" i="16"/>
  <c r="AD119" i="17"/>
  <c r="AD167" i="17"/>
  <c r="AE241" i="17"/>
  <c r="F35" i="14"/>
  <c r="F41" i="14" s="1"/>
  <c r="F18" i="3"/>
  <c r="AE89" i="15"/>
  <c r="AE87" i="15"/>
  <c r="AD120" i="17"/>
  <c r="AD168" i="17"/>
  <c r="AD113" i="17"/>
  <c r="AD161" i="17"/>
  <c r="M6" i="2"/>
  <c r="M9" i="2" s="1"/>
  <c r="M26" i="2"/>
  <c r="M28" i="2" s="1"/>
  <c r="M32" i="2" s="1"/>
  <c r="AC119" i="16"/>
  <c r="AC246" i="16" s="1"/>
  <c r="AC167" i="16"/>
  <c r="D208" i="14"/>
  <c r="D288" i="14" s="1"/>
  <c r="D97" i="14"/>
  <c r="C81" i="14"/>
  <c r="AB218" i="12"/>
  <c r="AB234" i="12" s="1"/>
  <c r="AC91" i="12"/>
  <c r="AC96" i="12"/>
  <c r="AE102" i="16"/>
  <c r="AE108" i="16" s="1"/>
  <c r="AE228" i="16"/>
  <c r="AE244" i="16" s="1"/>
  <c r="AE245" i="17"/>
  <c r="AE105" i="13"/>
  <c r="AE231" i="13"/>
  <c r="AD106" i="15"/>
  <c r="AD232" i="15"/>
  <c r="AC106" i="15"/>
  <c r="AC232" i="15"/>
  <c r="AD207" i="12"/>
  <c r="AD97" i="12"/>
  <c r="AE105" i="17"/>
  <c r="AE231" i="17"/>
  <c r="D121" i="14"/>
  <c r="D248" i="14" s="1"/>
  <c r="D169" i="14"/>
  <c r="AD241" i="16"/>
  <c r="AE85" i="12"/>
  <c r="K29" i="1"/>
  <c r="K30" i="1" s="1"/>
  <c r="K31" i="1" s="1"/>
  <c r="AC119" i="13"/>
  <c r="AC246" i="13" s="1"/>
  <c r="AC167" i="13"/>
  <c r="AC108" i="13"/>
  <c r="AE122" i="16"/>
  <c r="AE170" i="16"/>
  <c r="AE115" i="17"/>
  <c r="AE242" i="17" s="1"/>
  <c r="AE163" i="17"/>
  <c r="AA120" i="15"/>
  <c r="AA247" i="15" s="1"/>
  <c r="AA168" i="15"/>
  <c r="Z247" i="15"/>
  <c r="Z119" i="15"/>
  <c r="Z246" i="15" s="1"/>
  <c r="Z167" i="15"/>
  <c r="C86" i="14"/>
  <c r="D213" i="14"/>
  <c r="D293" i="14" s="1"/>
  <c r="D102" i="14"/>
  <c r="AD104" i="15"/>
  <c r="AD230" i="15"/>
  <c r="AD113" i="16"/>
  <c r="AD240" i="16" s="1"/>
  <c r="AD161" i="16"/>
  <c r="AA217" i="12"/>
  <c r="AA233" i="12" s="1"/>
  <c r="AA249" i="12" s="1"/>
  <c r="AA107" i="12"/>
  <c r="AC101" i="15"/>
  <c r="AC227" i="15"/>
  <c r="F172" i="14"/>
  <c r="AD245" i="16"/>
  <c r="AD101" i="15"/>
  <c r="AD227" i="15"/>
  <c r="K26" i="2"/>
  <c r="K28" i="2" s="1"/>
  <c r="K32" i="2" s="1"/>
  <c r="K17" i="2"/>
  <c r="K20" i="2" s="1"/>
  <c r="U12" i="1"/>
  <c r="U44" i="1" s="1"/>
  <c r="U41" i="1"/>
  <c r="AB114" i="15"/>
  <c r="AB162" i="15"/>
  <c r="AE113" i="17"/>
  <c r="AE161" i="17"/>
  <c r="AD99" i="12"/>
  <c r="AD209" i="12"/>
  <c r="AD225" i="12" s="1"/>
  <c r="B218" i="14"/>
  <c r="B298" i="14" s="1"/>
  <c r="B107" i="14"/>
  <c r="AE102" i="15"/>
  <c r="AE228" i="15"/>
  <c r="AE106" i="15"/>
  <c r="AE232" i="15"/>
  <c r="AC207" i="12"/>
  <c r="AC97" i="12"/>
  <c r="AC247" i="17"/>
  <c r="AD115" i="16"/>
  <c r="AD242" i="16" s="1"/>
  <c r="AD163" i="16"/>
  <c r="AA243" i="12"/>
  <c r="AB117" i="15"/>
  <c r="AB165" i="15"/>
  <c r="D45" i="1"/>
  <c r="D46" i="1" s="1"/>
  <c r="D47" i="1" s="1"/>
  <c r="K45" i="1"/>
  <c r="K46" i="1" s="1"/>
  <c r="K47" i="1" s="1"/>
  <c r="AC105" i="12"/>
  <c r="AC215" i="12"/>
  <c r="AC231" i="12" s="1"/>
  <c r="AD107" i="17"/>
  <c r="AD233" i="17"/>
  <c r="AE104" i="16"/>
  <c r="AE230" i="16"/>
  <c r="AB216" i="12"/>
  <c r="AB232" i="12" s="1"/>
  <c r="AB106" i="12"/>
  <c r="Z121" i="15"/>
  <c r="Z169" i="15"/>
  <c r="Z245" i="15"/>
  <c r="AB120" i="15"/>
  <c r="AB168" i="15"/>
  <c r="AE112" i="16"/>
  <c r="AE239" i="16" s="1"/>
  <c r="AE160" i="16"/>
  <c r="AA245" i="12"/>
  <c r="AC225" i="15"/>
  <c r="AC99" i="15"/>
  <c r="C100" i="14"/>
  <c r="C211" i="14"/>
  <c r="C291" i="14" s="1"/>
  <c r="B84" i="14"/>
  <c r="AE117" i="16"/>
  <c r="AE165" i="16"/>
  <c r="Z120" i="12"/>
  <c r="Z168" i="12"/>
  <c r="AC91" i="15"/>
  <c r="AC96" i="15"/>
  <c r="AB234" i="15"/>
  <c r="AB114" i="12"/>
  <c r="AB162" i="12"/>
  <c r="D115" i="14"/>
  <c r="D242" i="14" s="1"/>
  <c r="D163" i="14"/>
  <c r="Z107" i="15"/>
  <c r="Z217" i="15"/>
  <c r="Z233" i="15" s="1"/>
  <c r="Z249" i="15" s="1"/>
  <c r="AA219" i="12"/>
  <c r="AA33" i="12" s="1"/>
  <c r="AA223" i="12"/>
  <c r="AA239" i="12" s="1"/>
  <c r="AC121" i="17"/>
  <c r="AC248" i="17" s="1"/>
  <c r="AC169" i="17"/>
  <c r="AA117" i="12"/>
  <c r="AA244" i="12" s="1"/>
  <c r="AA165" i="12"/>
  <c r="AD223" i="15"/>
  <c r="AD97" i="15"/>
  <c r="AD122" i="17"/>
  <c r="AD170" i="17"/>
  <c r="AD105" i="12"/>
  <c r="AD215" i="12"/>
  <c r="AD231" i="12" s="1"/>
  <c r="AD106" i="12"/>
  <c r="AD216" i="12"/>
  <c r="AD232" i="12" s="1"/>
  <c r="T12" i="1"/>
  <c r="T44" i="1" s="1"/>
  <c r="T41" i="1"/>
  <c r="T45" i="1" s="1"/>
  <c r="T46" i="1" s="1"/>
  <c r="T47" i="1" s="1"/>
  <c r="Z107" i="12"/>
  <c r="Z108" i="12" s="1"/>
  <c r="Z23" i="12" s="1"/>
  <c r="Z217" i="12"/>
  <c r="Z233" i="12" s="1"/>
  <c r="Z249" i="12" s="1"/>
  <c r="AD244" i="17"/>
  <c r="AE240" i="16"/>
  <c r="AD247" i="17"/>
  <c r="AC104" i="12"/>
  <c r="AC214" i="12"/>
  <c r="AC230" i="12" s="1"/>
  <c r="C210" i="14"/>
  <c r="C290" i="14" s="1"/>
  <c r="C99" i="14"/>
  <c r="B83" i="14"/>
  <c r="Z122" i="15"/>
  <c r="Z170" i="15"/>
  <c r="AA161" i="12"/>
  <c r="AA113" i="12"/>
  <c r="AD108" i="13"/>
  <c r="AE82" i="12"/>
  <c r="AC120" i="15"/>
  <c r="AC168" i="15"/>
  <c r="AC223" i="15"/>
  <c r="AC97" i="15"/>
  <c r="AE103" i="16"/>
  <c r="AE229" i="16"/>
  <c r="AB105" i="12"/>
  <c r="AB215" i="12"/>
  <c r="AB231" i="12" s="1"/>
  <c r="AD108" i="17"/>
  <c r="AD112" i="17"/>
  <c r="AD239" i="17" s="1"/>
  <c r="AD160" i="17"/>
  <c r="D98" i="14"/>
  <c r="C82" i="14"/>
  <c r="D209" i="14"/>
  <c r="D289" i="14" s="1"/>
  <c r="AC120" i="16"/>
  <c r="AC247" i="16" s="1"/>
  <c r="AC168" i="16"/>
  <c r="AE90" i="12"/>
  <c r="AD86" i="12"/>
  <c r="AD118" i="17"/>
  <c r="AD245" i="17" s="1"/>
  <c r="AD166" i="17"/>
  <c r="AE114" i="16"/>
  <c r="AE241" i="16" s="1"/>
  <c r="AE162" i="16"/>
  <c r="AD121" i="17"/>
  <c r="AD248" i="17" s="1"/>
  <c r="AD169" i="17"/>
  <c r="AD88" i="12"/>
  <c r="AD107" i="15" l="1"/>
  <c r="AD233" i="15"/>
  <c r="Z25" i="12"/>
  <c r="Z28" i="12" s="1"/>
  <c r="Z26" i="12" s="1"/>
  <c r="Z7" i="2" s="1"/>
  <c r="Z29" i="2" s="1"/>
  <c r="Z31" i="2" s="1"/>
  <c r="Z4" i="2"/>
  <c r="AE115" i="15"/>
  <c r="AE163" i="15"/>
  <c r="AC120" i="12"/>
  <c r="AC247" i="12" s="1"/>
  <c r="AC168" i="12"/>
  <c r="AE107" i="13"/>
  <c r="AE233" i="13"/>
  <c r="AE249" i="13" s="1"/>
  <c r="AB248" i="15"/>
  <c r="AE121" i="13"/>
  <c r="AE248" i="13" s="1"/>
  <c r="AE169" i="13"/>
  <c r="AE246" i="13"/>
  <c r="AB122" i="15"/>
  <c r="AB249" i="15" s="1"/>
  <c r="AB170" i="15"/>
  <c r="AE119" i="13"/>
  <c r="AE167" i="13"/>
  <c r="AC116" i="12"/>
  <c r="AC164" i="12"/>
  <c r="AB121" i="12"/>
  <c r="AB169" i="12"/>
  <c r="AD117" i="15"/>
  <c r="AD165" i="15"/>
  <c r="F20" i="3"/>
  <c r="F26" i="3" s="1"/>
  <c r="F32" i="3"/>
  <c r="F34" i="3" s="1"/>
  <c r="F40" i="3" s="1"/>
  <c r="AE120" i="13"/>
  <c r="AE247" i="13" s="1"/>
  <c r="AE168" i="13"/>
  <c r="AB120" i="12"/>
  <c r="AB247" i="12" s="1"/>
  <c r="AB168" i="12"/>
  <c r="AE239" i="15"/>
  <c r="AC242" i="12"/>
  <c r="AE120" i="15"/>
  <c r="AE168" i="15"/>
  <c r="AE121" i="12"/>
  <c r="AE169" i="12"/>
  <c r="AE116" i="12"/>
  <c r="AE164" i="12"/>
  <c r="AE112" i="12"/>
  <c r="AE160" i="12"/>
  <c r="AE107" i="12"/>
  <c r="AE217" i="12"/>
  <c r="AE233" i="12" s="1"/>
  <c r="AC122" i="12"/>
  <c r="AC170" i="12"/>
  <c r="AC113" i="12"/>
  <c r="AC161" i="12"/>
  <c r="AC115" i="12"/>
  <c r="AC163" i="12"/>
  <c r="AC223" i="12"/>
  <c r="AC239" i="12" s="1"/>
  <c r="AD248" i="12"/>
  <c r="AC119" i="12"/>
  <c r="AC167" i="12"/>
  <c r="AD122" i="12"/>
  <c r="AD170" i="12"/>
  <c r="AB250" i="15"/>
  <c r="AE122" i="15"/>
  <c r="AE170" i="15"/>
  <c r="C208" i="14"/>
  <c r="C288" i="14" s="1"/>
  <c r="B81" i="14"/>
  <c r="C97" i="14"/>
  <c r="AD112" i="15"/>
  <c r="AD160" i="15"/>
  <c r="AB119" i="15"/>
  <c r="AB246" i="15" s="1"/>
  <c r="AB167" i="15"/>
  <c r="AC112" i="15"/>
  <c r="AC108" i="15"/>
  <c r="AC160" i="15"/>
  <c r="AB122" i="12"/>
  <c r="AB170" i="12"/>
  <c r="AE244" i="15"/>
  <c r="D113" i="14"/>
  <c r="D240" i="14" s="1"/>
  <c r="D161" i="14"/>
  <c r="D108" i="14"/>
  <c r="D23" i="14" s="1"/>
  <c r="D112" i="14"/>
  <c r="D239" i="14" s="1"/>
  <c r="D160" i="14"/>
  <c r="AC119" i="15"/>
  <c r="AC246" i="15" s="1"/>
  <c r="AC167" i="15"/>
  <c r="AB247" i="15"/>
  <c r="AB118" i="12"/>
  <c r="AB166" i="12"/>
  <c r="AD115" i="15"/>
  <c r="AD163" i="15"/>
  <c r="AD242" i="12"/>
  <c r="AE98" i="12"/>
  <c r="AE208" i="12"/>
  <c r="AE224" i="12" s="1"/>
  <c r="AC107" i="15"/>
  <c r="AC233" i="15"/>
  <c r="AC249" i="15" s="1"/>
  <c r="AB248" i="12"/>
  <c r="AE118" i="15"/>
  <c r="AE166" i="15"/>
  <c r="AE101" i="12"/>
  <c r="AE211" i="12"/>
  <c r="AE227" i="12" s="1"/>
  <c r="AE243" i="12" s="1"/>
  <c r="AD247" i="15"/>
  <c r="AC114" i="15"/>
  <c r="AC162" i="15"/>
  <c r="AB121" i="15"/>
  <c r="AB169" i="15"/>
  <c r="AA123" i="15"/>
  <c r="AA250" i="15" s="1"/>
  <c r="AA171" i="15"/>
  <c r="AD241" i="15"/>
  <c r="AE112" i="15"/>
  <c r="AE160" i="15"/>
  <c r="AE107" i="15"/>
  <c r="AE233" i="15"/>
  <c r="AE249" i="15" s="1"/>
  <c r="AE242" i="15"/>
  <c r="AB172" i="15"/>
  <c r="AE103" i="12"/>
  <c r="AE213" i="12"/>
  <c r="AE229" i="12" s="1"/>
  <c r="AE105" i="15"/>
  <c r="AE231" i="15"/>
  <c r="AE247" i="15" s="1"/>
  <c r="AA35" i="12"/>
  <c r="AA41" i="12" s="1"/>
  <c r="AA4" i="3"/>
  <c r="AE102" i="12"/>
  <c r="AE212" i="12"/>
  <c r="AE228" i="12" s="1"/>
  <c r="AE119" i="16"/>
  <c r="AE167" i="16"/>
  <c r="F17" i="2"/>
  <c r="F20" i="2" s="1"/>
  <c r="F26" i="2"/>
  <c r="F28" i="2" s="1"/>
  <c r="F32" i="2" s="1"/>
  <c r="AC112" i="12"/>
  <c r="AC160" i="12"/>
  <c r="AC117" i="15"/>
  <c r="AC244" i="15" s="1"/>
  <c r="AC165" i="15"/>
  <c r="B217" i="14"/>
  <c r="B297" i="14" s="1"/>
  <c r="B106" i="14"/>
  <c r="D287" i="14"/>
  <c r="D219" i="14"/>
  <c r="D33" i="14" s="1"/>
  <c r="AB245" i="15"/>
  <c r="AC123" i="17"/>
  <c r="AC250" i="17" s="1"/>
  <c r="AC171" i="17"/>
  <c r="AC172" i="17" s="1"/>
  <c r="AD121" i="15"/>
  <c r="AD169" i="15"/>
  <c r="AE249" i="16"/>
  <c r="AE117" i="15"/>
  <c r="AE165" i="15"/>
  <c r="AD102" i="12"/>
  <c r="AD212" i="12"/>
  <c r="AD228" i="12" s="1"/>
  <c r="AE106" i="12"/>
  <c r="AE216" i="12"/>
  <c r="AE232" i="12" s="1"/>
  <c r="AE248" i="12" s="1"/>
  <c r="AD115" i="12"/>
  <c r="AD163" i="12"/>
  <c r="AE247" i="17"/>
  <c r="B119" i="14"/>
  <c r="B246" i="14" s="1"/>
  <c r="B167" i="14"/>
  <c r="C117" i="14"/>
  <c r="C244" i="14" s="1"/>
  <c r="C165" i="14"/>
  <c r="AD112" i="12"/>
  <c r="AD160" i="12"/>
  <c r="AE246" i="17"/>
  <c r="AE223" i="12"/>
  <c r="AE239" i="12" s="1"/>
  <c r="AB123" i="15"/>
  <c r="AB171" i="15"/>
  <c r="Z219" i="12"/>
  <c r="Z33" i="12" s="1"/>
  <c r="AC121" i="15"/>
  <c r="AC169" i="15"/>
  <c r="AC113" i="15"/>
  <c r="AC240" i="15" s="1"/>
  <c r="AC161" i="15"/>
  <c r="AC245" i="12"/>
  <c r="B123" i="14"/>
  <c r="B250" i="14" s="1"/>
  <c r="B171" i="14"/>
  <c r="AD240" i="12"/>
  <c r="AD102" i="15"/>
  <c r="AD108" i="15" s="1"/>
  <c r="AD228" i="15"/>
  <c r="AD244" i="15" s="1"/>
  <c r="AD120" i="15"/>
  <c r="AD168" i="15"/>
  <c r="E15" i="2"/>
  <c r="E25" i="14"/>
  <c r="E28" i="14" s="1"/>
  <c r="E26" i="14" s="1"/>
  <c r="E18" i="2" s="1"/>
  <c r="E29" i="2" s="1"/>
  <c r="E31" i="2" s="1"/>
  <c r="AD123" i="17"/>
  <c r="AD250" i="17" s="1"/>
  <c r="AD171" i="17"/>
  <c r="AD239" i="15"/>
  <c r="B86" i="14"/>
  <c r="C102" i="14"/>
  <c r="C213" i="14"/>
  <c r="C293" i="14" s="1"/>
  <c r="AE121" i="17"/>
  <c r="AE248" i="17" s="1"/>
  <c r="AE169" i="17"/>
  <c r="AE115" i="12"/>
  <c r="AE242" i="12" s="1"/>
  <c r="AE163" i="12"/>
  <c r="AD91" i="12"/>
  <c r="AE120" i="17"/>
  <c r="AE168" i="17"/>
  <c r="AE172" i="17" s="1"/>
  <c r="AE113" i="12"/>
  <c r="AE161" i="12"/>
  <c r="AE103" i="15"/>
  <c r="AE229" i="15"/>
  <c r="AE245" i="15" s="1"/>
  <c r="AA172" i="15"/>
  <c r="AE245" i="16"/>
  <c r="AD119" i="15"/>
  <c r="AD246" i="15" s="1"/>
  <c r="AD167" i="15"/>
  <c r="Z123" i="12"/>
  <c r="Z250" i="12" s="1"/>
  <c r="Z171" i="12"/>
  <c r="Z172" i="12" s="1"/>
  <c r="AB118" i="15"/>
  <c r="AB166" i="15"/>
  <c r="AC123" i="13"/>
  <c r="AC250" i="13" s="1"/>
  <c r="AC171" i="13"/>
  <c r="AC172" i="13" s="1"/>
  <c r="AD122" i="15"/>
  <c r="AD170" i="15"/>
  <c r="AE118" i="16"/>
  <c r="AE166" i="16"/>
  <c r="AE172" i="16" s="1"/>
  <c r="AE247" i="16"/>
  <c r="AC239" i="15"/>
  <c r="AA123" i="12"/>
  <c r="AA250" i="12" s="1"/>
  <c r="AA171" i="12"/>
  <c r="AA172" i="12" s="1"/>
  <c r="AB217" i="12"/>
  <c r="AB233" i="12" s="1"/>
  <c r="AB107" i="12"/>
  <c r="AE120" i="12"/>
  <c r="AE247" i="12" s="1"/>
  <c r="AE168" i="12"/>
  <c r="AE246" i="16"/>
  <c r="E172" i="14"/>
  <c r="AC117" i="12"/>
  <c r="AC165" i="12"/>
  <c r="AD116" i="15"/>
  <c r="AD243" i="15" s="1"/>
  <c r="AD164" i="15"/>
  <c r="AE123" i="16"/>
  <c r="AE250" i="16" s="1"/>
  <c r="AE171" i="16"/>
  <c r="B216" i="14"/>
  <c r="B296" i="14" s="1"/>
  <c r="B105" i="14"/>
  <c r="B210" i="14"/>
  <c r="B290" i="14" s="1"/>
  <c r="B99" i="14"/>
  <c r="AD223" i="12"/>
  <c r="AD239" i="12" s="1"/>
  <c r="C121" i="14"/>
  <c r="C248" i="14" s="1"/>
  <c r="C169" i="14"/>
  <c r="AD117" i="12"/>
  <c r="AD165" i="12"/>
  <c r="B215" i="14"/>
  <c r="B295" i="14" s="1"/>
  <c r="B104" i="14"/>
  <c r="AC116" i="15"/>
  <c r="AC243" i="15" s="1"/>
  <c r="AC164" i="15"/>
  <c r="AB245" i="12"/>
  <c r="AD114" i="15"/>
  <c r="AD162" i="15"/>
  <c r="AC241" i="15"/>
  <c r="AE161" i="15"/>
  <c r="AE113" i="15"/>
  <c r="AE240" i="15" s="1"/>
  <c r="AD123" i="16"/>
  <c r="AD250" i="16" s="1"/>
  <c r="AD171" i="16"/>
  <c r="AD172" i="16" s="1"/>
  <c r="AD108" i="16"/>
  <c r="AD104" i="12"/>
  <c r="AD214" i="12"/>
  <c r="AD230" i="12" s="1"/>
  <c r="AD246" i="12" s="1"/>
  <c r="AC107" i="12"/>
  <c r="AC217" i="12"/>
  <c r="AC233" i="12" s="1"/>
  <c r="AC249" i="12" s="1"/>
  <c r="C96" i="14"/>
  <c r="C93" i="14"/>
  <c r="B80" i="14"/>
  <c r="C207" i="14"/>
  <c r="AC244" i="12"/>
  <c r="AC118" i="12"/>
  <c r="AC166" i="12"/>
  <c r="C122" i="14"/>
  <c r="C249" i="14" s="1"/>
  <c r="C170" i="14"/>
  <c r="AE121" i="16"/>
  <c r="AE248" i="16" s="1"/>
  <c r="AE169" i="16"/>
  <c r="AD116" i="12"/>
  <c r="AD164" i="12"/>
  <c r="AD121" i="12"/>
  <c r="AD169" i="12"/>
  <c r="AE120" i="16"/>
  <c r="AE168" i="16"/>
  <c r="AD114" i="12"/>
  <c r="AD241" i="12" s="1"/>
  <c r="AD162" i="12"/>
  <c r="AD242" i="15"/>
  <c r="AE122" i="17"/>
  <c r="AE249" i="17" s="1"/>
  <c r="AE170" i="17"/>
  <c r="AE108" i="17"/>
  <c r="AD249" i="17"/>
  <c r="D118" i="14"/>
  <c r="D245" i="14" s="1"/>
  <c r="D166" i="14"/>
  <c r="AC243" i="12"/>
  <c r="AA108" i="12"/>
  <c r="B212" i="14"/>
  <c r="B292" i="14" s="1"/>
  <c r="B101" i="14"/>
  <c r="AE116" i="15"/>
  <c r="AE243" i="15" s="1"/>
  <c r="AE164" i="15"/>
  <c r="AD113" i="15"/>
  <c r="AD240" i="15" s="1"/>
  <c r="AD161" i="15"/>
  <c r="AC121" i="12"/>
  <c r="AC169" i="12"/>
  <c r="AD113" i="12"/>
  <c r="AD161" i="12"/>
  <c r="C209" i="14"/>
  <c r="C289" i="14" s="1"/>
  <c r="C98" i="14"/>
  <c r="B82" i="14"/>
  <c r="C115" i="14"/>
  <c r="C242" i="14" s="1"/>
  <c r="C163" i="14"/>
  <c r="C116" i="14"/>
  <c r="C243" i="14" s="1"/>
  <c r="C164" i="14"/>
  <c r="AC248" i="15"/>
  <c r="AC114" i="12"/>
  <c r="AC241" i="12" s="1"/>
  <c r="AC162" i="12"/>
  <c r="AD243" i="12"/>
  <c r="C120" i="14"/>
  <c r="C247" i="14" s="1"/>
  <c r="C168" i="14"/>
  <c r="AB119" i="12"/>
  <c r="AB246" i="12" s="1"/>
  <c r="AB167" i="12"/>
  <c r="AE123" i="17"/>
  <c r="AE250" i="17" s="1"/>
  <c r="AE171" i="17"/>
  <c r="AD119" i="12"/>
  <c r="AD167" i="12"/>
  <c r="B100" i="14"/>
  <c r="B211" i="14"/>
  <c r="B291" i="14" s="1"/>
  <c r="D114" i="14"/>
  <c r="D241" i="14" s="1"/>
  <c r="D162" i="14"/>
  <c r="U45" i="1"/>
  <c r="U46" i="1" s="1"/>
  <c r="U47" i="1" s="1"/>
  <c r="AC122" i="15"/>
  <c r="AC170" i="15"/>
  <c r="AC240" i="12"/>
  <c r="E35" i="14"/>
  <c r="E41" i="14" s="1"/>
  <c r="E18" i="3"/>
  <c r="AC123" i="16"/>
  <c r="AC250" i="16" s="1"/>
  <c r="AC171" i="16"/>
  <c r="Z123" i="15"/>
  <c r="Z250" i="15" s="1"/>
  <c r="Z108" i="15"/>
  <c r="Z23" i="15" s="1"/>
  <c r="Z25" i="15" s="1"/>
  <c r="Z28" i="15" s="1"/>
  <c r="Z26" i="15" s="1"/>
  <c r="Z171" i="15"/>
  <c r="Z172" i="15" s="1"/>
  <c r="AC248" i="12"/>
  <c r="AD172" i="17"/>
  <c r="AC246" i="12"/>
  <c r="AC115" i="15"/>
  <c r="AC242" i="15" s="1"/>
  <c r="AC163" i="15"/>
  <c r="AD248" i="15"/>
  <c r="AE93" i="13"/>
  <c r="AC118" i="15"/>
  <c r="AC245" i="15" s="1"/>
  <c r="AC166" i="15"/>
  <c r="AE114" i="15"/>
  <c r="AE241" i="15" s="1"/>
  <c r="AE162" i="15"/>
  <c r="AB172" i="12" l="1"/>
  <c r="AB123" i="12"/>
  <c r="AB250" i="12" s="1"/>
  <c r="AB171" i="12"/>
  <c r="E17" i="2"/>
  <c r="E20" i="2" s="1"/>
  <c r="E26" i="2"/>
  <c r="E28" i="2" s="1"/>
  <c r="E32" i="2" s="1"/>
  <c r="B96" i="14"/>
  <c r="B93" i="14"/>
  <c r="B207" i="14"/>
  <c r="AB249" i="12"/>
  <c r="AE117" i="12"/>
  <c r="AE165" i="12"/>
  <c r="AA6" i="3"/>
  <c r="AA12" i="3" s="1"/>
  <c r="AA32" i="3"/>
  <c r="AA34" i="3" s="1"/>
  <c r="AA40" i="3" s="1"/>
  <c r="D15" i="2"/>
  <c r="D25" i="14"/>
  <c r="D28" i="14" s="1"/>
  <c r="D26" i="14" s="1"/>
  <c r="D18" i="2" s="1"/>
  <c r="D29" i="2" s="1"/>
  <c r="D31" i="2" s="1"/>
  <c r="C287" i="14"/>
  <c r="C219" i="14"/>
  <c r="C33" i="14" s="1"/>
  <c r="D35" i="14"/>
  <c r="D41" i="14" s="1"/>
  <c r="D18" i="3"/>
  <c r="AE121" i="15"/>
  <c r="AE248" i="15" s="1"/>
  <c r="AE169" i="15"/>
  <c r="B122" i="14"/>
  <c r="B249" i="14" s="1"/>
  <c r="B170" i="14"/>
  <c r="AC123" i="15"/>
  <c r="AC250" i="15" s="1"/>
  <c r="AC171" i="15"/>
  <c r="AC172" i="15" s="1"/>
  <c r="AD120" i="12"/>
  <c r="AD247" i="12" s="1"/>
  <c r="AD168" i="12"/>
  <c r="B121" i="14"/>
  <c r="B248" i="14" s="1"/>
  <c r="B169" i="14"/>
  <c r="AE123" i="15"/>
  <c r="AE250" i="15" s="1"/>
  <c r="AE171" i="15"/>
  <c r="AE240" i="12"/>
  <c r="AE119" i="15"/>
  <c r="AE246" i="15" s="1"/>
  <c r="AE167" i="15"/>
  <c r="AE172" i="15" s="1"/>
  <c r="AE119" i="12"/>
  <c r="AE246" i="12" s="1"/>
  <c r="AE167" i="12"/>
  <c r="AE114" i="12"/>
  <c r="AE241" i="12" s="1"/>
  <c r="AE162" i="12"/>
  <c r="AE122" i="12"/>
  <c r="AE249" i="12" s="1"/>
  <c r="AE170" i="12"/>
  <c r="AE123" i="13"/>
  <c r="AE250" i="13" s="1"/>
  <c r="AE171" i="13"/>
  <c r="AE172" i="13" s="1"/>
  <c r="AD244" i="12"/>
  <c r="AE108" i="15"/>
  <c r="AD217" i="12"/>
  <c r="AD107" i="12"/>
  <c r="AE123" i="12"/>
  <c r="AE250" i="12" s="1"/>
  <c r="AE171" i="12"/>
  <c r="AD118" i="12"/>
  <c r="AD245" i="12" s="1"/>
  <c r="AD166" i="12"/>
  <c r="Z35" i="12"/>
  <c r="Z41" i="12" s="1"/>
  <c r="Z4" i="3"/>
  <c r="C118" i="14"/>
  <c r="C245" i="14" s="1"/>
  <c r="C166" i="14"/>
  <c r="C113" i="14"/>
  <c r="C240" i="14" s="1"/>
  <c r="C161" i="14"/>
  <c r="AE172" i="12"/>
  <c r="C108" i="14"/>
  <c r="C23" i="14" s="1"/>
  <c r="C112" i="14"/>
  <c r="C239" i="14" s="1"/>
  <c r="C160" i="14"/>
  <c r="C172" i="14" s="1"/>
  <c r="AE245" i="12"/>
  <c r="C114" i="14"/>
  <c r="C241" i="14" s="1"/>
  <c r="C162" i="14"/>
  <c r="AC123" i="12"/>
  <c r="AC250" i="12" s="1"/>
  <c r="AC171" i="12"/>
  <c r="AC172" i="12" s="1"/>
  <c r="AC108" i="12"/>
  <c r="B117" i="14"/>
  <c r="B244" i="14" s="1"/>
  <c r="B165" i="14"/>
  <c r="B213" i="14"/>
  <c r="B293" i="14" s="1"/>
  <c r="B102" i="14"/>
  <c r="B208" i="14"/>
  <c r="B288" i="14" s="1"/>
  <c r="B97" i="14"/>
  <c r="AE108" i="12"/>
  <c r="AD118" i="15"/>
  <c r="AD245" i="15" s="1"/>
  <c r="AD166" i="15"/>
  <c r="AD172" i="15" s="1"/>
  <c r="AE219" i="12"/>
  <c r="Z6" i="2"/>
  <c r="Z9" i="2" s="1"/>
  <c r="Z26" i="2"/>
  <c r="Z28" i="2" s="1"/>
  <c r="Z32" i="2" s="1"/>
  <c r="AE244" i="12"/>
  <c r="D172" i="14"/>
  <c r="AB219" i="12"/>
  <c r="AB33" i="12" s="1"/>
  <c r="B98" i="14"/>
  <c r="B209" i="14"/>
  <c r="B289" i="14" s="1"/>
  <c r="AC219" i="12"/>
  <c r="B116" i="14"/>
  <c r="B243" i="14" s="1"/>
  <c r="B164" i="14"/>
  <c r="B115" i="14"/>
  <c r="B242" i="14" s="1"/>
  <c r="B163" i="14"/>
  <c r="E20" i="3"/>
  <c r="E26" i="3" s="1"/>
  <c r="E32" i="3"/>
  <c r="E34" i="3" s="1"/>
  <c r="E40" i="3" s="1"/>
  <c r="AB108" i="12"/>
  <c r="B120" i="14"/>
  <c r="B247" i="14" s="1"/>
  <c r="B168" i="14"/>
  <c r="AD108" i="12"/>
  <c r="AE118" i="12"/>
  <c r="AE166" i="12"/>
  <c r="AE108" i="13"/>
  <c r="AD249" i="15"/>
  <c r="AD123" i="15"/>
  <c r="AD250" i="15" s="1"/>
  <c r="AD171" i="15"/>
  <c r="D26" i="2" l="1"/>
  <c r="D28" i="2" s="1"/>
  <c r="D32" i="2" s="1"/>
  <c r="D17" i="2"/>
  <c r="D20" i="2" s="1"/>
  <c r="B287" i="14"/>
  <c r="B219" i="14"/>
  <c r="B33" i="14" s="1"/>
  <c r="B118" i="14"/>
  <c r="B245" i="14" s="1"/>
  <c r="B166" i="14"/>
  <c r="B160" i="14"/>
  <c r="B112" i="14"/>
  <c r="B239" i="14" s="1"/>
  <c r="B108" i="14"/>
  <c r="B23" i="14" s="1"/>
  <c r="AB35" i="12"/>
  <c r="AB41" i="12" s="1"/>
  <c r="AB4" i="3"/>
  <c r="D32" i="3"/>
  <c r="D34" i="3" s="1"/>
  <c r="D40" i="3" s="1"/>
  <c r="D20" i="3"/>
  <c r="D26" i="3" s="1"/>
  <c r="C35" i="14"/>
  <c r="C41" i="14" s="1"/>
  <c r="C18" i="3"/>
  <c r="Z6" i="3"/>
  <c r="Z12" i="3" s="1"/>
  <c r="Z32" i="3"/>
  <c r="Z34" i="3" s="1"/>
  <c r="Z40" i="3" s="1"/>
  <c r="C15" i="2"/>
  <c r="C25" i="14"/>
  <c r="C28" i="14" s="1"/>
  <c r="C26" i="14" s="1"/>
  <c r="C18" i="2" s="1"/>
  <c r="C29" i="2" s="1"/>
  <c r="C31" i="2" s="1"/>
  <c r="B114" i="14"/>
  <c r="B241" i="14" s="1"/>
  <c r="B162" i="14"/>
  <c r="B113" i="14"/>
  <c r="B240" i="14" s="1"/>
  <c r="B161" i="14"/>
  <c r="AD123" i="12"/>
  <c r="AD250" i="12" s="1"/>
  <c r="AD171" i="12"/>
  <c r="AD172" i="12" s="1"/>
  <c r="AD233" i="12"/>
  <c r="AD249" i="12" s="1"/>
  <c r="AD219" i="12"/>
  <c r="B25" i="14" l="1"/>
  <c r="B28" i="14" s="1"/>
  <c r="B26" i="14" s="1"/>
  <c r="B18" i="2" s="1"/>
  <c r="B29" i="2" s="1"/>
  <c r="B31" i="2" s="1"/>
  <c r="B15" i="2"/>
  <c r="B35" i="14"/>
  <c r="B41" i="14" s="1"/>
  <c r="B18" i="3"/>
  <c r="C32" i="3"/>
  <c r="C34" i="3" s="1"/>
  <c r="C40" i="3" s="1"/>
  <c r="C20" i="3"/>
  <c r="C26" i="3" s="1"/>
  <c r="C26" i="2"/>
  <c r="C28" i="2" s="1"/>
  <c r="C32" i="2" s="1"/>
  <c r="C17" i="2"/>
  <c r="C20" i="2" s="1"/>
  <c r="AB6" i="3"/>
  <c r="AB12" i="3" s="1"/>
  <c r="AB32" i="3"/>
  <c r="AB34" i="3" s="1"/>
  <c r="AB40" i="3" s="1"/>
  <c r="B172" i="14"/>
  <c r="B32" i="3" l="1"/>
  <c r="B34" i="3" s="1"/>
  <c r="B40" i="3" s="1"/>
  <c r="B20" i="3"/>
  <c r="B26" i="3" s="1"/>
  <c r="B26" i="2"/>
  <c r="B28" i="2" s="1"/>
  <c r="B32" i="2" s="1"/>
  <c r="B17" i="2"/>
  <c r="B20" i="2" s="1"/>
</calcChain>
</file>

<file path=xl/sharedStrings.xml><?xml version="1.0" encoding="utf-8"?>
<sst xmlns="http://schemas.openxmlformats.org/spreadsheetml/2006/main" count="5699" uniqueCount="429">
  <si>
    <t>MAJOR PRODUCING COUNTRIES SUNFLOWER SEED SUPPLY AND DEMAND (1,000 Hectares/1,000 Tonnes)</t>
  </si>
  <si>
    <t>(EU, Russia, Ukraine)</t>
  </si>
  <si>
    <t>Harvested Area</t>
  </si>
  <si>
    <t>Yield</t>
  </si>
  <si>
    <t>Beginning Stocks (September 1)</t>
  </si>
  <si>
    <t>Production</t>
  </si>
  <si>
    <t>Imports</t>
  </si>
  <si>
    <t xml:space="preserve">    Total Supply</t>
  </si>
  <si>
    <t>Crush</t>
  </si>
  <si>
    <t>Exports</t>
  </si>
  <si>
    <t>Seed</t>
  </si>
  <si>
    <t>Residual</t>
  </si>
  <si>
    <t xml:space="preserve">    Total Use</t>
  </si>
  <si>
    <t>Ending Stocks (August 31)</t>
  </si>
  <si>
    <t>Stocks/Use</t>
  </si>
  <si>
    <t>MAJOR IMPORTING COUNTRIES SUNFLOWER SEED SUPPLY AND DEMAND (1,000 Hectares/1,000 Tonnes)</t>
  </si>
  <si>
    <t>(China, Turkey)</t>
  </si>
  <si>
    <t>OTHER COUNTRIES SUNFLOWER SEED SUPPLY AND DEMAND (1,000 Hectares/1,000 Tonnes)</t>
  </si>
  <si>
    <t>WORLD SUNFLOWER SEED SUPPLY AND DEMAND (1,000 Hectares/1,000 Tonnes)</t>
  </si>
  <si>
    <t>Bold numbers are Fastmarkets Forecasts</t>
  </si>
  <si>
    <t>Source: USDA, Fastmarkets</t>
  </si>
  <si>
    <t>World Food, Feed and Waste Domestic Use</t>
  </si>
  <si>
    <t>MAJOR PRODUCING COUNTRIES SUNFLOWER MEAL SUPPLY AND DEMAND (1,000 Hectares/1,000 Tonnes)</t>
  </si>
  <si>
    <t>Beginning Stocks (October 1)</t>
  </si>
  <si>
    <t>Domestic Usage</t>
  </si>
  <si>
    <t>Ending Stocks (September 30)</t>
  </si>
  <si>
    <t>MAJOR IMPORTING COUNTRIES SUNFLOWER MEAL SUPPLY AND DEMAND (1,000 Hectares/1,000 Tonnes)</t>
  </si>
  <si>
    <t>OTHER COUNTRIES SUNFLOWER MEAL SUPPLY AND DEMAND (1,000 Hectares/1,000 Tonnes)</t>
  </si>
  <si>
    <t>WORLD SUNFLOWER MEAL SUPPLY AND DEMAND (1,000 Hectares/1,000 Tonnes)</t>
  </si>
  <si>
    <t>MAJOR PRODUCING COUNTRIES SUNFLOWER OIL SUPPLY AND DEMAND (1,000 Hectares/1,000 Tonnes)</t>
  </si>
  <si>
    <t xml:space="preserve">  Industrail Usage</t>
  </si>
  <si>
    <t xml:space="preserve">  Feed Usage</t>
  </si>
  <si>
    <t xml:space="preserve">  Food Usage</t>
  </si>
  <si>
    <t>MAJOR IMPORTING COUNTRIES SUNFLOWER OIL SUPPLY AND DEMAND (1,000 Hectares/1,000 Tonnes)</t>
  </si>
  <si>
    <t>(India, China)</t>
  </si>
  <si>
    <t>OTHER COUNTRIES SUNFLOWER OIL SUPPLY AND DEMAND (1,000 Hectares/1,000 Tonnes)</t>
  </si>
  <si>
    <t>WORLD SUNFLOWER OIL SUPPLY AND DEMAND (1,000 Hectares/1,000 Tonnes)</t>
  </si>
  <si>
    <t>EUROPE, RUSSIA, AND UKRAINE SUNFLOWER EXPORTS (1,000 Tonnes)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</si>
  <si>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</si>
  <si>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</si>
  <si>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</si>
  <si>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</si>
  <si>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</si>
  <si>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</si>
  <si>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</si>
  <si>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</si>
  <si>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</si>
  <si>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</si>
  <si>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</si>
  <si>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</si>
  <si>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Total</t>
  </si>
  <si>
    <t>SON</t>
  </si>
  <si>
    <t>DJF</t>
  </si>
  <si>
    <t>MAM</t>
  </si>
  <si>
    <t>JJA</t>
  </si>
  <si>
    <t>EU SUNFLOWER EXPORTS TO CHINA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</si>
  <si>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</si>
  <si>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</si>
  <si>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</si>
  <si>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</si>
  <si>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</si>
  <si>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</si>
  <si>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</si>
  <si>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</si>
  <si>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</si>
  <si>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</si>
  <si>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</si>
  <si>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</si>
  <si>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</si>
  <si>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</si>
  <si>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</si>
  <si>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</si>
  <si>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</si>
  <si>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</si>
  <si>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</si>
  <si>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</si>
  <si>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</si>
  <si>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</si>
  <si>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</si>
  <si>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</si>
  <si>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</si>
  <si>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</si>
  <si>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</si>
  <si>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RUSSIA SUNFLOWER EXPORTS TO CHINA</t>
  </si>
  <si>
    <t>1993/94</t>
  </si>
  <si>
    <t>UKRAINE SUNFLOWER EXPORTS TO CHINA</t>
  </si>
  <si>
    <t>EUROPE, RUSSIA, AND UKRAINE SUNFLOWER EXPORTS TO CHINA</t>
  </si>
  <si>
    <t>EU SUNFLOWER EXPORTS TO TURKEY</t>
  </si>
  <si>
    <t>RUSSIA SUNFLOWER EXPORTS TO TURKEY</t>
  </si>
  <si>
    <t>UKRAINE SUNFLOWER EXPORTS TO TURKEY</t>
  </si>
  <si>
    <t>EUROPE, RUSSIA, AND UKRAINE SUNFLOWER EXPORTS TO TURKEY</t>
  </si>
  <si>
    <t>EU SUNFLOWER EXPORTS TO THE REST OF THE WORLD</t>
  </si>
  <si>
    <t>RUSSIA SUNFLOWER EXPORTS TO THE REST OF THE WORLD</t>
  </si>
  <si>
    <t>UKRAINE SUNFLOWER EXPORTS TO THE REST OF THE WORLD</t>
  </si>
  <si>
    <t>EUROPE, RUSSIA, AND UKRAINE SUNFLOWER EXPORTS TO THE REST OF THE WORLD</t>
  </si>
  <si>
    <t>TOTAL EU SUNFLOWER EXPORTS</t>
  </si>
  <si>
    <t>TOTAL RUSSIA SUNFLOWER EXPORTS</t>
  </si>
  <si>
    <t>TOTAL UKRAINE SUNFLOWER EXPORTS</t>
  </si>
  <si>
    <t>TOTAL EUROPE, RUSSIA, AND UKRAINE SUNFLOWER EXPORTS</t>
  </si>
  <si>
    <t>Sources: Global Trade Tracker and Fastmarkets</t>
  </si>
  <si>
    <t>Bold numbers are Fastmarkets forecasts and estimates</t>
  </si>
  <si>
    <t>EUROPE, RUSSIA, AND UKRAINE SUNFLOWER OIL EXPORTS (1,000 Tonnes)</t>
  </si>
  <si>
    <t>QUARTERLY SHIPMENTS</t>
  </si>
  <si>
    <t>OND</t>
  </si>
  <si>
    <t>JFM</t>
  </si>
  <si>
    <t>APJ</t>
  </si>
  <si>
    <t>JAS</t>
  </si>
  <si>
    <t>EU SUNFLOWER OIL EXPORTS TO CHINA</t>
  </si>
  <si>
    <t>RUSSIA SUNFLOWER OIL EXPORTS TO CHINA</t>
  </si>
  <si>
    <t>UKRAINE SUNFLOWER OIL EXPORTS TO CHINA</t>
  </si>
  <si>
    <t>EUROPE, RUSSIA, AND UKRAINE SUNFLOWER OIL EXPORTS TO CHINA</t>
  </si>
  <si>
    <t>EU SUNFLOWER OIL EXPORTS TO INDIA</t>
  </si>
  <si>
    <t>RUSSIA SUNFLOWER OIL EXPORTS TO INDIA</t>
  </si>
  <si>
    <t>UKRAINE SUNFLOWER OIL EXPORTS TO INDIA</t>
  </si>
  <si>
    <t>EUROPE, RUSSIA, AND UKRAINE SUNFLOWER OIL EXPORTS TO INDIA</t>
  </si>
  <si>
    <t>EU SUNFLOWER OIL EXPORTS TO THE REST OF THE WORLD</t>
  </si>
  <si>
    <t>RUSSIA SUNFLOWER OIL EXPORTS TO THE REST OF THE WORLD</t>
  </si>
  <si>
    <t>UKRAINE SUNFLOWER OIL EXPORTS TO THE REST OF THE WORLD</t>
  </si>
  <si>
    <t>EUROPE, RUSSIA, AND UKRAINE SUNFLOWER OIL EXPORTS TO THE REST OF THE WORLD</t>
  </si>
  <si>
    <t>TOTAL EU SUNFLOWER OIL EXPORTS</t>
  </si>
  <si>
    <t>TOTAL RUSSIA SUNFLOWER OIL EXPORTS</t>
  </si>
  <si>
    <t>TOTAL UKRAINE SUNFLOWER OIL EXPORTS</t>
  </si>
  <si>
    <t>TOTAL EUROPE, RUSSIA, AND UKRAINE SUNFLOWER OIL EXPORTS</t>
  </si>
  <si>
    <t>Sources: USDA, Global Trade Tracker and The Jacobsen. Bold numbers are The Jacobsen forecasts.</t>
  </si>
  <si>
    <t>SUNFLOWER TRADE MATRIX (September - August) Marketing Year, 1,000 Tonnes)</t>
  </si>
  <si>
    <t>European Union</t>
  </si>
  <si>
    <t>Ukraine</t>
  </si>
  <si>
    <t>Russia</t>
  </si>
  <si>
    <t>United States</t>
  </si>
  <si>
    <t>Difference between Balance Sheet and Total</t>
  </si>
  <si>
    <t xml:space="preserve"> 2021/22 </t>
  </si>
  <si>
    <t xml:space="preserve">2021/22  </t>
  </si>
  <si>
    <t xml:space="preserve">2021/22 </t>
  </si>
  <si>
    <t xml:space="preserve">2022/23 </t>
  </si>
  <si>
    <t>EU-28</t>
  </si>
  <si>
    <t>N/A</t>
  </si>
  <si>
    <t>Other Europe</t>
  </si>
  <si>
    <t>FSU-12</t>
  </si>
  <si>
    <t>China</t>
  </si>
  <si>
    <t>Indonesia</t>
  </si>
  <si>
    <t>Iran</t>
  </si>
  <si>
    <t>Israel</t>
  </si>
  <si>
    <t>Japan</t>
  </si>
  <si>
    <t>Jordan</t>
  </si>
  <si>
    <t>Malaysia</t>
  </si>
  <si>
    <t>Philippines</t>
  </si>
  <si>
    <t>Saudi Arabia</t>
  </si>
  <si>
    <t>South Korea</t>
  </si>
  <si>
    <t>Syria</t>
  </si>
  <si>
    <t>Taiwan</t>
  </si>
  <si>
    <t>Thailand</t>
  </si>
  <si>
    <t>Turkey</t>
  </si>
  <si>
    <t>Vietnam</t>
  </si>
  <si>
    <t>Other Asia</t>
  </si>
  <si>
    <t>Algeria</t>
  </si>
  <si>
    <t>Egypt</t>
  </si>
  <si>
    <t>Morocco</t>
  </si>
  <si>
    <t>South Africa</t>
  </si>
  <si>
    <t>Tunisia</t>
  </si>
  <si>
    <t xml:space="preserve">Other Africa     </t>
  </si>
  <si>
    <t>Argentina</t>
  </si>
  <si>
    <t>Brazil</t>
  </si>
  <si>
    <t>Canada</t>
  </si>
  <si>
    <t>Chile</t>
  </si>
  <si>
    <t>Colombia</t>
  </si>
  <si>
    <t>Cuba</t>
  </si>
  <si>
    <t>Dominican Rep.</t>
  </si>
  <si>
    <t>Mexico</t>
  </si>
  <si>
    <t>Peru</t>
  </si>
  <si>
    <t>US</t>
  </si>
  <si>
    <t>Venezuela</t>
  </si>
  <si>
    <t>Other West Hemis.</t>
  </si>
  <si>
    <t xml:space="preserve"> Total</t>
  </si>
  <si>
    <t>Source: GTT, Fastmarkets</t>
  </si>
  <si>
    <t>SUNFLOWER MEAL TRADE MATRIX (October - September) Marketing Year, 1,000 Tonnes)</t>
  </si>
  <si>
    <t xml:space="preserve">1993/94 </t>
  </si>
  <si>
    <t xml:space="preserve">1994/95 </t>
  </si>
  <si>
    <t xml:space="preserve">1995/96 </t>
  </si>
  <si>
    <t xml:space="preserve">1996/97 </t>
  </si>
  <si>
    <t xml:space="preserve">1997/98 </t>
  </si>
  <si>
    <t xml:space="preserve">1998/99 </t>
  </si>
  <si>
    <t xml:space="preserve">1999/00 </t>
  </si>
  <si>
    <t xml:space="preserve">2000/01 </t>
  </si>
  <si>
    <t xml:space="preserve">2001/02 </t>
  </si>
  <si>
    <t xml:space="preserve">2002/03 </t>
  </si>
  <si>
    <t xml:space="preserve">2003/04 </t>
  </si>
  <si>
    <t xml:space="preserve">2004/05 </t>
  </si>
  <si>
    <t xml:space="preserve">2005/06 </t>
  </si>
  <si>
    <t xml:space="preserve">2006/07 </t>
  </si>
  <si>
    <t xml:space="preserve">2007/08 </t>
  </si>
  <si>
    <t xml:space="preserve">2008/09 </t>
  </si>
  <si>
    <t xml:space="preserve">2009/10 </t>
  </si>
  <si>
    <t xml:space="preserve">2010/11 </t>
  </si>
  <si>
    <t xml:space="preserve">2011/12 </t>
  </si>
  <si>
    <t xml:space="preserve">2012/13 </t>
  </si>
  <si>
    <t xml:space="preserve">2014/15 </t>
  </si>
  <si>
    <t xml:space="preserve">2015/16 </t>
  </si>
  <si>
    <t xml:space="preserve">2016/17 </t>
  </si>
  <si>
    <t xml:space="preserve">2017/18 </t>
  </si>
  <si>
    <t xml:space="preserve">2018/19 </t>
  </si>
  <si>
    <t xml:space="preserve">2019/20 </t>
  </si>
  <si>
    <t xml:space="preserve">2020/21 </t>
  </si>
  <si>
    <t>2022/23</t>
  </si>
  <si>
    <t>SUNFLOWER OIL TRADE MATRIX (October - September) Marketing Year, 1,000 Tonnes)</t>
  </si>
  <si>
    <t xml:space="preserve">2013/14 </t>
  </si>
  <si>
    <t xml:space="preserve">India </t>
  </si>
  <si>
    <t>ARGENTINA SUNFLOWER COMPLEX SUPPLY AND DEMAND</t>
  </si>
  <si>
    <t>Updated</t>
  </si>
  <si>
    <t>2021/22 PSD</t>
  </si>
  <si>
    <t>22/23 PSD</t>
  </si>
  <si>
    <t>23/24 PSD</t>
  </si>
  <si>
    <t>ARGENTINA SUNFLOWER SUPPLY AND DEMAND (1,000 Hectares/1,000 Tonnes)</t>
  </si>
  <si>
    <t>Argentina Agricultural Production - Ag Ministry</t>
  </si>
  <si>
    <t>Planted Area</t>
  </si>
  <si>
    <t>Harvested Percent</t>
  </si>
  <si>
    <r>
      <t xml:space="preserve">Yield </t>
    </r>
    <r>
      <rPr>
        <sz val="9"/>
        <color theme="1"/>
        <rFont val="Helvetica-Normal"/>
      </rPr>
      <t>(Tonnes per Hectare)</t>
    </r>
  </si>
  <si>
    <r>
      <t xml:space="preserve">Carryin </t>
    </r>
    <r>
      <rPr>
        <sz val="9"/>
        <color theme="1"/>
        <rFont val="Helvetica-Normal"/>
      </rPr>
      <t>(January 1)</t>
    </r>
  </si>
  <si>
    <t>Argentina Crushing - Ag Ministry</t>
  </si>
  <si>
    <t>-</t>
  </si>
  <si>
    <r>
      <t xml:space="preserve">Carryout </t>
    </r>
    <r>
      <rPr>
        <sz val="9"/>
        <color theme="1"/>
        <rFont val="Helvetica-Normal"/>
      </rPr>
      <t>(December 31)</t>
    </r>
  </si>
  <si>
    <t>Enter end of year sunflower stocks from Argentina Ag Ministry</t>
  </si>
  <si>
    <t>Stocks-to-Usage</t>
  </si>
  <si>
    <r>
      <t xml:space="preserve">Average Price </t>
    </r>
    <r>
      <rPr>
        <sz val="9"/>
        <color theme="1"/>
        <rFont val="Helvetica-Normal"/>
      </rPr>
      <t>(Dollars per Ton)</t>
    </r>
  </si>
  <si>
    <t>ARGENTINA SUNFLOWER MEAL SUPPLY AND DEMAND (1,000 Tonnes)</t>
  </si>
  <si>
    <r>
      <t xml:space="preserve">Crush </t>
    </r>
    <r>
      <rPr>
        <sz val="9"/>
        <color theme="1"/>
        <rFont val="Helvetica-Normal"/>
      </rPr>
      <t>(October - September)</t>
    </r>
  </si>
  <si>
    <r>
      <t xml:space="preserve">Average Price </t>
    </r>
    <r>
      <rPr>
        <sz val="9"/>
        <color theme="1"/>
        <rFont val="Helvetica-Normal"/>
      </rPr>
      <t>(50%, Dollars per Ton)</t>
    </r>
  </si>
  <si>
    <t>ARGENTINA SUNFLOWER OIL SUPPLY AND DEMAND (1,000 Tonnes)</t>
  </si>
  <si>
    <t>Bold Numbers are The Jacobsen Forecasts and Estimates</t>
  </si>
  <si>
    <t>SUNFLOWER IMPORTS (1,000 Tonnes)</t>
  </si>
  <si>
    <t>HS Code</t>
  </si>
  <si>
    <t>1206001, 1206009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</si>
  <si>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</si>
  <si>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</si>
  <si>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</si>
  <si>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</si>
  <si>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</si>
  <si>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</si>
  <si>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</si>
  <si>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</si>
  <si>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</si>
  <si>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</si>
  <si>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</si>
  <si>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Total</t>
  </si>
  <si>
    <t>SUNFLOWER EXPORTS (1,000 Tonnes)</t>
  </si>
  <si>
    <t>SUNFLOWER CRUSH (1,000 Tonnes)</t>
  </si>
  <si>
    <t>Argentina Crush</t>
  </si>
  <si>
    <t>SUNFLOWER STOCKS (1,000 Tonnes)</t>
  </si>
  <si>
    <t>First of Month Product Stocks</t>
  </si>
  <si>
    <t>Estadisticas</t>
  </si>
  <si>
    <t>Statistics</t>
  </si>
  <si>
    <t>Existencias de Granos de Aceites y Subproductos por Provincia</t>
  </si>
  <si>
    <t>Stocks of Oil Grains and By-Products by Province</t>
  </si>
  <si>
    <t>SUNFLOWER MEAL PRODUCTION (Pellets, 1,000 Tonnes)</t>
  </si>
  <si>
    <t>SUNFLOWER MEAL PRODUCTION (Expeller, 1,000 Tonnes)</t>
  </si>
  <si>
    <t>SUNFLOWER MEAL YIELD</t>
  </si>
  <si>
    <t xml:space="preserve">    Marketing-Year Average</t>
  </si>
  <si>
    <t>SUNFLOWER MEAL IMPORTS (1,000 Tonnes)</t>
  </si>
  <si>
    <t>SUNFLOWER MEAL EXPORTS (1,000 Tonnes)</t>
  </si>
  <si>
    <t>SUNFLOWER MEAL DOMESTIC USAGE (1,000 Tonnes)</t>
  </si>
  <si>
    <t>SUNFLOWER MEAL END-OF-MONTH STOCKS (1,000 Tonnes)</t>
  </si>
  <si>
    <t>Argentina Stocks - SAGPYA</t>
  </si>
  <si>
    <t>SUNFLOWER MEAL (Dollars per Tonne)</t>
  </si>
  <si>
    <t>SUNFLOWER OIL PRODUCTION (1,000 Tonnes)</t>
  </si>
  <si>
    <t>SUNFLOWER OIL YIELD</t>
  </si>
  <si>
    <t>SUNFLOWER MEAL AND OIL YIELD</t>
  </si>
  <si>
    <t>SUNFLOWER OIL IMPORTS (1,000 Tonnes)</t>
  </si>
  <si>
    <t>151211, 151219</t>
  </si>
  <si>
    <t>SUNFLOWER OIL EXPORTS (1,000 Tonnes)</t>
  </si>
  <si>
    <t>SUNFLOWER OIL DOMESTIC USAGE (1,000 Tonnes)</t>
  </si>
  <si>
    <t>SUNFLOWER OIL END-OF-MONTH STOCKS (1,000 Tonnes)</t>
  </si>
  <si>
    <t>SUNFLOWER OIL (Dollars per Tonne)</t>
  </si>
  <si>
    <t>EU-28 SUNFLOWER COMPLEX SUPPLY AND DEMAND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</si>
  <si>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</si>
  <si>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</si>
  <si>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</si>
  <si>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</si>
  <si>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</si>
  <si>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</si>
  <si>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</si>
  <si>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</si>
  <si>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</si>
  <si>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</si>
  <si>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</si>
  <si>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</si>
  <si>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</si>
  <si>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</si>
  <si>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</si>
  <si>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</si>
  <si>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</si>
  <si>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</si>
  <si>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</si>
  <si>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</si>
  <si>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</si>
  <si>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</si>
  <si>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</si>
  <si>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</si>
  <si>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</si>
  <si>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</si>
  <si>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 xml:space="preserve">19/20 </t>
  </si>
  <si>
    <t xml:space="preserve">20/21 </t>
  </si>
  <si>
    <t>21/22</t>
  </si>
  <si>
    <t>22/23</t>
  </si>
  <si>
    <t>23/24</t>
  </si>
  <si>
    <t>24/25</t>
  </si>
  <si>
    <t>25/26</t>
  </si>
  <si>
    <t>26/27</t>
  </si>
  <si>
    <t>27/28</t>
  </si>
  <si>
    <t>28/29</t>
  </si>
  <si>
    <t>29/30</t>
  </si>
  <si>
    <t>30/31</t>
  </si>
  <si>
    <t>EU-28 SUNFLOWER SUPPLY AND DEMAND (1,000 Hectares/1,000 Tonnes)</t>
  </si>
  <si>
    <t>EuroStat Oilseed Production Data</t>
  </si>
  <si>
    <t>Eurostat Oilseed Supply and Demand Estimates</t>
  </si>
  <si>
    <r>
      <t xml:space="preserve">Carryin </t>
    </r>
    <r>
      <rPr>
        <sz val="9"/>
        <color theme="1"/>
        <rFont val="Helvetica-Normal"/>
      </rPr>
      <t>(August 1)</t>
    </r>
  </si>
  <si>
    <r>
      <t xml:space="preserve">Carryout </t>
    </r>
    <r>
      <rPr>
        <sz val="9"/>
        <color theme="1"/>
        <rFont val="Helvetica-Normal"/>
      </rPr>
      <t>(July 31)</t>
    </r>
  </si>
  <si>
    <t>EU-28 SUNFLOWER MEAL SUPPLY AND DEMAND (1,000 Tonnes)</t>
  </si>
  <si>
    <r>
      <t xml:space="preserve">Carryin </t>
    </r>
    <r>
      <rPr>
        <sz val="9"/>
        <color theme="1"/>
        <rFont val="Helvetica-Normal"/>
      </rPr>
      <t>(October 1)</t>
    </r>
  </si>
  <si>
    <r>
      <t xml:space="preserve">Carryout </t>
    </r>
    <r>
      <rPr>
        <sz val="9"/>
        <color theme="1"/>
        <rFont val="Helvetica-Normal"/>
      </rPr>
      <t>(September 30)</t>
    </r>
  </si>
  <si>
    <t>EU-28 SUNFLOWER OIL SUPPLY AND DEMAND (1,000 Tonnes)</t>
  </si>
  <si>
    <t>Source: USDA, Fastmarkets. Bold numbers are Fastmarkets Forecasts</t>
  </si>
  <si>
    <t>Jun-May EuroStat</t>
  </si>
  <si>
    <t>FM Jun-May</t>
  </si>
  <si>
    <t>UKRAINE SUNFLOWER COMPLEX SUPPLY AND DEMAND</t>
  </si>
  <si>
    <t>State Statistics Service of Ukraine</t>
  </si>
  <si>
    <t>Statistical Information</t>
  </si>
  <si>
    <t>Agriculture</t>
  </si>
  <si>
    <t>Crops-Growing (1999-????)</t>
  </si>
  <si>
    <t>2019/20 PSD</t>
  </si>
  <si>
    <t>20/21 PSD</t>
  </si>
  <si>
    <t>21/22 PSD</t>
  </si>
  <si>
    <t>Last Update</t>
  </si>
  <si>
    <t>UKRAINE SUNFLOWER SUPPLY AND DEMAND (1,000 Hectares/1,000 Tonnes)</t>
  </si>
  <si>
    <t>Harveste Area</t>
  </si>
  <si>
    <r>
      <t xml:space="preserve">Carryin </t>
    </r>
    <r>
      <rPr>
        <sz val="9"/>
        <color theme="1"/>
        <rFont val="Helvetica-Normal"/>
      </rPr>
      <t>(September 1)</t>
    </r>
  </si>
  <si>
    <t>USDA-PSD</t>
  </si>
  <si>
    <t>Harvest</t>
  </si>
  <si>
    <t>Feed/Residual</t>
  </si>
  <si>
    <t>Stocks</t>
  </si>
  <si>
    <r>
      <t xml:space="preserve">Carryout </t>
    </r>
    <r>
      <rPr>
        <sz val="9"/>
        <color theme="1"/>
        <rFont val="Helvetica-Normal"/>
      </rPr>
      <t>(August 31)</t>
    </r>
  </si>
  <si>
    <t>UKRAINE SUNFLOWER MEAL SUPPLY AND DEMAND (1,000 Tonnes)</t>
  </si>
  <si>
    <t>UKRAINE SUNFLOWER OIL SUPPLY AND DEMAND (1,000 Tonnes)</t>
  </si>
  <si>
    <t>Sunflower Exports</t>
  </si>
  <si>
    <t>(tonnes)</t>
  </si>
  <si>
    <t>Line-Up Estimates</t>
  </si>
  <si>
    <t>SUNMEAL PRODUCTION</t>
  </si>
  <si>
    <t>TOTAL</t>
  </si>
  <si>
    <t>SUNMEAL STOCKS</t>
  </si>
  <si>
    <t>Novik</t>
  </si>
  <si>
    <t>Line-Up Copy</t>
  </si>
  <si>
    <t>Economic activity</t>
  </si>
  <si>
    <t>Industry</t>
  </si>
  <si>
    <t>Output of industrial products by type in Ukraine and by region</t>
  </si>
  <si>
    <t>Crude sunflower-seed oil and its fractions (excluding chemically modified), t</t>
  </si>
  <si>
    <t>Refined sunflower-seed and safflower oil and their fractions (excluding chemically modified)</t>
  </si>
  <si>
    <t>SUNFLOWER MEAL UKRAINE - SOYBEAN MEAL DECATUR (Dollars per Tonne)</t>
  </si>
  <si>
    <t>CRUDE SUNOIL PRODUCTION</t>
  </si>
  <si>
    <t>REFINED SUNOIL PRODUCTION</t>
  </si>
  <si>
    <t>Annual number true up</t>
  </si>
  <si>
    <t>CRUDE SUNOIL STOCKS</t>
  </si>
  <si>
    <t>REFINED SUNOIL STOCKS</t>
  </si>
  <si>
    <t>Sunflower Oil Exports</t>
  </si>
  <si>
    <t>Line-Up Predictions</t>
  </si>
  <si>
    <t>Copy of Line-Up</t>
  </si>
  <si>
    <t>Novik Line-Up</t>
  </si>
  <si>
    <t>Average Prices from Grain Ukraine.com for crude high-oleic</t>
  </si>
  <si>
    <t>20/21</t>
  </si>
  <si>
    <t>Our Price-GU Price</t>
  </si>
  <si>
    <t>SUNFLOWER OIL UKRAINE - US CRUDE DEGUMMED CHICAGO (Dollars per Tonne)</t>
  </si>
  <si>
    <t>RUSSIA SUNFLOWER COMPLEX SUPPLY AND DEMAND</t>
  </si>
  <si>
    <t>Russian Federal State Statistics Service</t>
  </si>
  <si>
    <t>Use Russian version of website</t>
  </si>
  <si>
    <t>Archived Data</t>
  </si>
  <si>
    <t>Historical Acreage Data - 2008</t>
  </si>
  <si>
    <t xml:space="preserve">21/22 </t>
  </si>
  <si>
    <t xml:space="preserve">22/23 </t>
  </si>
  <si>
    <t>Analytics</t>
  </si>
  <si>
    <t>Market Reviews</t>
  </si>
  <si>
    <t>Historical Yield and Production Data - 2008</t>
  </si>
  <si>
    <t>RUSSIA SUNFLOWER SUPPLY AND DEMAND (1,000 Hectares/1,000 Tonnes)</t>
  </si>
  <si>
    <t>92/93</t>
  </si>
  <si>
    <t>95/96</t>
  </si>
  <si>
    <t>00/01</t>
  </si>
  <si>
    <t>01/02</t>
  </si>
  <si>
    <t>02/03</t>
  </si>
  <si>
    <t>03/04</t>
  </si>
  <si>
    <t>04/05</t>
  </si>
  <si>
    <t>05/06</t>
  </si>
  <si>
    <t>06/07</t>
  </si>
  <si>
    <t>07/08</t>
  </si>
  <si>
    <t>10/11</t>
  </si>
  <si>
    <t>12/13</t>
  </si>
  <si>
    <t>13/14</t>
  </si>
  <si>
    <t>14/15</t>
  </si>
  <si>
    <t>15/16</t>
  </si>
  <si>
    <t>16/17</t>
  </si>
  <si>
    <t>Calculated Area</t>
  </si>
  <si>
    <t>Delta to RFSSS Reported</t>
  </si>
  <si>
    <t>USDA Acreage</t>
  </si>
  <si>
    <t>RUSSIA SUNFLOWER MEAL SUPPLY AND DEMAND (1,000 Tonnes)</t>
  </si>
  <si>
    <t>RUSSIA SUNFLOWER OIL SUPPLY AND DEMAND (1,000 Tonnes)</t>
  </si>
  <si>
    <t>INDIA SUNFLOWER COMPLEX SUPPLY AND DEMAND</t>
  </si>
  <si>
    <t>INDIA SUNFLOWER SUPPLY AND DEMAND (1,000 Hectares/1,000 Tonnes)</t>
  </si>
  <si>
    <t>INDIA SUNFLOWER MEAL SUPPLY AND DEMAND (1,000 Tonnes)</t>
  </si>
  <si>
    <t>INDIA SUNFLOWER OIL SUPPLY AND DEMAND (1,000 Tonnes)</t>
  </si>
  <si>
    <t>CHINA SUNFLOWER COMPLEX SUPPLY AND DEMAND</t>
  </si>
  <si>
    <t>23/25</t>
  </si>
  <si>
    <t>23/26</t>
  </si>
  <si>
    <t>CHINA SUNFLOWER SUPPLY AND DEMAND (1,000 Hectares/1,000 Tonnes)</t>
  </si>
  <si>
    <t>CHINA SUNFLOWER MEAL SUPPLY AND DEMAND (1,000 Tonnes)</t>
  </si>
  <si>
    <t>CHINA SUNFLOWER OIL SUPPLY AND DEMAND (1,000 Tonnes)</t>
  </si>
  <si>
    <t>CANADA SUNFLOWER COMPLEX SUPPLY AND DEMAND</t>
  </si>
  <si>
    <t>CANADA SUNFLOWER SUPPLY AND DEMAND (1,000 Hectares/1,000 Tonnes)</t>
  </si>
  <si>
    <r>
      <t xml:space="preserve">Carryout </t>
    </r>
    <r>
      <rPr>
        <sz val="9"/>
        <color theme="1"/>
        <rFont val="Helvetica-Normal"/>
      </rPr>
      <t>(July 30)</t>
    </r>
  </si>
  <si>
    <t>CANADA SUNFLOWER MEAL SUPPLY AND DEMAND (1,000 Tonnes)</t>
  </si>
  <si>
    <t>CANADA SUNFLOWER OIL SUPPLY AND DEMAND (1,000 Tonnes)</t>
  </si>
  <si>
    <t>MEXICO SUNFLOWER COMPLEX SUPPLY AND DEMAND</t>
  </si>
  <si>
    <t>MEXICO SUNFLOWER SUPPLY AND DEMAND (1,000 Hectares/1,000 Tonnes)</t>
  </si>
  <si>
    <t>MEXICO SUNFLOWER MEAL SUPPLY AND DEMAND (1,000 Tonnes)</t>
  </si>
  <si>
    <t>MEXICO SUNFLOWER OIL SUPPLY AND DEMAND (1,000 Tonnes)</t>
  </si>
  <si>
    <t>TURKEY SUNFLOWER COMPLEX SUPPLY AND DEMAND</t>
  </si>
  <si>
    <t>TURKEY SUNFLOWER SUPPLY AND DEMAND (1,000 Hectares/1,000 Tonnes)</t>
  </si>
  <si>
    <r>
      <t xml:space="preserve">Yield </t>
    </r>
    <r>
      <rPr>
        <sz val="9"/>
        <color theme="1"/>
        <rFont val="Bahnschrift SemiBold"/>
        <family val="2"/>
      </rPr>
      <t>(Tonnes per Hectare)</t>
    </r>
  </si>
  <si>
    <r>
      <t xml:space="preserve">Carryin </t>
    </r>
    <r>
      <rPr>
        <sz val="9"/>
        <color theme="1"/>
        <rFont val="Bahnschrift SemiBold"/>
        <family val="2"/>
      </rPr>
      <t>(October 1)</t>
    </r>
  </si>
  <si>
    <r>
      <t xml:space="preserve">Carryout </t>
    </r>
    <r>
      <rPr>
        <sz val="9"/>
        <color theme="1"/>
        <rFont val="Bahnschrift SemiBold"/>
        <family val="2"/>
      </rPr>
      <t>(September 30)</t>
    </r>
  </si>
  <si>
    <r>
      <t xml:space="preserve">Average Price </t>
    </r>
    <r>
      <rPr>
        <sz val="9"/>
        <color theme="1"/>
        <rFont val="Bahnschrift SemiBold"/>
        <family val="2"/>
      </rPr>
      <t>(Dollars per Ton)</t>
    </r>
  </si>
  <si>
    <t>TURKEY SUNFLOWER MEAL SUPPLY AND DEMAND (1,000 Tonnes)</t>
  </si>
  <si>
    <r>
      <t xml:space="preserve">Crush </t>
    </r>
    <r>
      <rPr>
        <sz val="9"/>
        <color theme="1"/>
        <rFont val="Bahnschrift SemiBold"/>
        <family val="2"/>
      </rPr>
      <t>(October - September)</t>
    </r>
  </si>
  <si>
    <r>
      <t xml:space="preserve">Average Price </t>
    </r>
    <r>
      <rPr>
        <sz val="9"/>
        <color theme="1"/>
        <rFont val="Bahnschrift SemiBold"/>
        <family val="2"/>
      </rPr>
      <t>(50%, Dollars per Ton)</t>
    </r>
  </si>
  <si>
    <t>TURKEY SUNFLOWER OIL SUPPLY AND DEMAND (1,000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</si>
</sst>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_);[Red]\(0\)"/>
    <numFmt numFmtId="167" formatCode="#,##0_);[Red]\(#,##0\);\-\-\-"/>
    <numFmt numFmtId="168" formatCode="#,##0.00_);[Red]\(#,##0.00\);\-\-\-"/>
    <numFmt numFmtId="169" formatCode="#,##0;\-#,##0;\-\-\-"/>
    <numFmt numFmtId="170" formatCode="#,##0.0_);[Red]\(#,##0.0\)"/>
    <numFmt numFmtId="171" formatCode="#,##0.000_);[Red]\(#,##0.000\)"/>
    <numFmt numFmtId="172" formatCode="#,##0.0"/>
    <numFmt numFmtId="173" formatCode="[$-409]d\-mmm\-yy;@"/>
    <numFmt numFmtId="174" formatCode="0.0_);[Red]\(0.0\)"/>
    <numFmt numFmtId="175" formatCode="#,##0.0000_);[Red]\(#,##0.0000\)"/>
    <numFmt numFmtId="176" formatCode="0.0000"/>
    <numFmt numFmtId="177" formatCode="_(* #,##0.0_);_(* \(#,##0.0\);_(* &quot;-&quot;??_);_(@_)"/>
    <numFmt numFmtId="178" formatCode="#,##0.0;\-#,##0.0;\-\-\-"/>
  </numFmts>
  <fonts count="7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Bahnschrift SemiBold"/>
      <family val="2"/>
    </font>
    <font>
      <sz val="11"/>
      <color theme="1"/>
      <name val="Bahnschrift SemiBold"/>
      <family val="2"/>
    </font>
    <font>
      <b/>
      <sz val="11"/>
      <color theme="1"/>
      <name val="Arial"/>
      <family val="2"/>
    </font>
    <font>
      <sz val="12"/>
      <color theme="1"/>
      <name val="Bahnschrift SemiBold"/>
      <family val="2"/>
    </font>
    <font>
      <sz val="10"/>
      <color theme="1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Bahnschrift SemiBold"/>
      <family val="2"/>
    </font>
    <font>
      <sz val="11"/>
      <color theme="1"/>
      <name val="Arial Narrow"/>
      <family val="2"/>
    </font>
    <font>
      <b/>
      <sz val="12"/>
      <color theme="0"/>
      <name val="Helvetica"/>
      <family val="2"/>
    </font>
    <font>
      <b/>
      <sz val="11"/>
      <color theme="0"/>
      <name val="Helvetica"/>
      <family val="2"/>
    </font>
    <font>
      <b/>
      <sz val="11"/>
      <color theme="1"/>
      <name val="Helvetica"/>
      <family val="2"/>
    </font>
    <font>
      <sz val="11"/>
      <color theme="1"/>
      <name val="Helvetica"/>
      <family val="2"/>
    </font>
    <font>
      <sz val="11"/>
      <color theme="1"/>
      <name val="Arial"/>
      <family val="2"/>
    </font>
    <font>
      <b/>
      <sz val="11"/>
      <color theme="1"/>
      <name val="Arial Narrow"/>
      <family val="2"/>
    </font>
    <font>
      <b/>
      <sz val="12"/>
      <color theme="0"/>
      <name val="Bahnschrift SemiBold"/>
      <family val="2"/>
    </font>
    <font>
      <b/>
      <sz val="11"/>
      <color theme="1"/>
      <name val="Bahnschrift SemiBold"/>
      <family val="2"/>
    </font>
    <font>
      <b/>
      <sz val="11"/>
      <color rgb="FF000000"/>
      <name val="Arial Narrow"/>
      <family val="2"/>
    </font>
    <font>
      <b/>
      <sz val="10"/>
      <color theme="1"/>
      <name val="Helvetica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name val="Bahnschrift SemiBold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Bahnschrift SemiBold"/>
      <family val="2"/>
    </font>
    <font>
      <b/>
      <sz val="10"/>
      <color rgb="FFFF0000"/>
      <name val="Arial Narrow"/>
      <family val="2"/>
    </font>
    <font>
      <b/>
      <sz val="12"/>
      <color theme="1"/>
      <name val="Bahnschrift SemiBold"/>
      <family val="2"/>
    </font>
    <font>
      <sz val="11"/>
      <color rgb="FF000000"/>
      <name val="Aptos Narrow"/>
      <family val="2"/>
      <scheme val="minor"/>
    </font>
    <font>
      <b/>
      <sz val="10"/>
      <name val="Arial Narrow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4"/>
      <color theme="0"/>
      <name val="Bahnschrift SemiBold"/>
      <family val="2"/>
    </font>
    <font>
      <sz val="14"/>
      <color theme="0"/>
      <name val="Bahnschrift SemiBold"/>
      <family val="2"/>
    </font>
    <font>
      <sz val="11"/>
      <color theme="1"/>
      <name val="Helvetica-Normal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Bahnschrift SemiBold"/>
      <family val="2"/>
    </font>
    <font>
      <sz val="9"/>
      <color theme="1"/>
      <name val="Helvetica-Normal"/>
    </font>
    <font>
      <b/>
      <sz val="9"/>
      <color theme="1"/>
      <name val="Bahnschrift SemiBold"/>
      <family val="2"/>
    </font>
    <font>
      <b/>
      <sz val="10"/>
      <color theme="1"/>
      <name val="Helvetica-Normal"/>
    </font>
    <font>
      <sz val="11"/>
      <color theme="1"/>
      <name val="Brown"/>
    </font>
    <font>
      <sz val="10"/>
      <color theme="1"/>
      <name val="Helvetica-Normal"/>
    </font>
    <font>
      <b/>
      <sz val="10"/>
      <color rgb="FF8E9A44"/>
      <name val="Arial Narrow"/>
      <family val="2"/>
    </font>
    <font>
      <sz val="10"/>
      <name val="Arial Narrow"/>
      <family val="2"/>
    </font>
    <font>
      <b/>
      <u/>
      <sz val="11"/>
      <color theme="10"/>
      <name val="Aptos Narrow"/>
      <family val="2"/>
      <scheme val="minor"/>
    </font>
    <font>
      <u/>
      <sz val="10"/>
      <color theme="10"/>
      <name val="Arial Narrow"/>
      <family val="2"/>
    </font>
    <font>
      <sz val="11"/>
      <color theme="1"/>
      <name val="Aparajita"/>
      <family val="1"/>
    </font>
    <font>
      <b/>
      <sz val="11"/>
      <color theme="1"/>
      <name val="Aparajita"/>
      <family val="1"/>
    </font>
    <font>
      <u/>
      <sz val="10"/>
      <color theme="10"/>
      <name val="Helvetica-Normal"/>
    </font>
    <font>
      <sz val="12"/>
      <name val="Arial Narrow"/>
      <family val="2"/>
    </font>
    <font>
      <b/>
      <sz val="12"/>
      <name val="Arial Narrow"/>
      <family val="2"/>
    </font>
    <font>
      <b/>
      <sz val="10"/>
      <name val="Aptos Narrow"/>
      <family val="2"/>
      <scheme val="minor"/>
    </font>
    <font>
      <sz val="8"/>
      <color theme="1"/>
      <name val="Avenir Next LT Pro Demi"/>
      <family val="2"/>
    </font>
    <font>
      <sz val="11"/>
      <color theme="0"/>
      <name val="Bahnschrift SemiBold"/>
      <family val="2"/>
    </font>
    <font>
      <sz val="10"/>
      <color theme="0"/>
      <name val="Arial"/>
      <family val="2"/>
    </font>
    <font>
      <sz val="12"/>
      <color theme="0"/>
      <name val="Arial Narrow"/>
      <family val="2"/>
    </font>
    <font>
      <sz val="8"/>
      <color theme="1"/>
      <name val="Arial Narrow"/>
      <family val="2"/>
    </font>
    <font>
      <b/>
      <u/>
      <sz val="11"/>
      <color theme="10"/>
      <name val="Arial Narrow"/>
      <family val="2"/>
    </font>
    <font>
      <b/>
      <sz val="10"/>
      <color theme="1"/>
      <name val="Aptos Narrow"/>
      <family val="2"/>
      <scheme val="minor"/>
    </font>
    <font>
      <b/>
      <u/>
      <sz val="10"/>
      <color theme="10"/>
      <name val="Helvetica-Normal"/>
    </font>
    <font>
      <b/>
      <sz val="11"/>
      <name val="Arial Narrow"/>
      <family val="2"/>
    </font>
    <font>
      <sz val="12"/>
      <color theme="1"/>
      <name val="Book Antiqua"/>
      <family val="1"/>
    </font>
    <font>
      <b/>
      <sz val="12"/>
      <color theme="1"/>
      <name val="Book Antiqua"/>
      <family val="1"/>
    </font>
    <font>
      <sz val="12"/>
      <name val="Book Antiqua"/>
      <family val="1"/>
    </font>
    <font>
      <b/>
      <sz val="12"/>
      <name val="Book Antiqua"/>
      <family val="1"/>
    </font>
    <font>
      <b/>
      <sz val="11"/>
      <color theme="1"/>
      <name val="Helvetica-Normal"/>
    </font>
    <font>
      <b/>
      <sz val="9"/>
      <color theme="1"/>
      <name val="Helvetica-Normal"/>
    </font>
    <font>
      <sz val="9"/>
      <color theme="1"/>
      <name val="Bahnschrift SemiBold"/>
      <family val="2"/>
    </font>
  </fonts>
  <fills count="7">
    <fill>
      <patternFill patternType="none"/>
    </fill>
    <fill>
      <patternFill patternType="gray125"/>
    </fill>
    <fill>
      <patternFill patternType="solid">
        <fgColor rgb="FF8C8C8C"/>
        <bgColor rgb="FF8E9A44"/>
      </patternFill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rgb="FF6F0791"/>
      </top>
      <bottom/>
      <diagonal/>
    </border>
    <border>
      <left/>
      <right/>
      <top style="medium">
        <color rgb="FF6F0791"/>
      </top>
      <bottom/>
      <diagonal/>
    </border>
    <border>
      <left/>
      <right/>
      <top/>
      <bottom style="thin">
        <color rgb="FF6F0791"/>
      </bottom>
      <diagonal/>
    </border>
    <border>
      <left/>
      <right style="thin">
        <color theme="0" tint="-0.14999847407452621"/>
      </right>
      <top/>
      <bottom/>
      <diagonal/>
    </border>
    <border>
      <left/>
      <right/>
      <top/>
      <bottom style="thin">
        <color rgb="FF8E9A4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rgb="FF6F0791"/>
      </bottom>
      <diagonal/>
    </border>
    <border>
      <left/>
      <right/>
      <top style="thin">
        <color rgb="FF6F0791"/>
      </top>
      <bottom style="medium">
        <color rgb="FF6F0791"/>
      </bottom>
      <diagonal/>
    </border>
    <border>
      <left/>
      <right style="thin">
        <color rgb="FF6F0791"/>
      </right>
      <top style="thin">
        <color rgb="FF6F0791"/>
      </top>
      <bottom style="medium">
        <color rgb="FF6F0791"/>
      </bottom>
      <diagonal/>
    </border>
    <border>
      <left style="thin">
        <color rgb="FF6F0791"/>
      </left>
      <right/>
      <top style="thin">
        <color rgb="FF6F0791"/>
      </top>
      <bottom style="medium">
        <color rgb="FF6F0791"/>
      </bottom>
      <diagonal/>
    </border>
    <border>
      <left/>
      <right style="thin">
        <color rgb="FF6F0791"/>
      </right>
      <top/>
      <bottom style="medium">
        <color rgb="FF6F0791"/>
      </bottom>
      <diagonal/>
    </border>
    <border>
      <left style="thin">
        <color rgb="FF6F0791"/>
      </left>
      <right style="thin">
        <color rgb="FF6F0791"/>
      </right>
      <top style="thin">
        <color rgb="FF6F0791"/>
      </top>
      <bottom style="medium">
        <color rgb="FF6F0791"/>
      </bottom>
      <diagonal/>
    </border>
    <border>
      <left/>
      <right style="thin">
        <color rgb="FF6F0791"/>
      </right>
      <top style="medium">
        <color rgb="FF6F0791"/>
      </top>
      <bottom style="medium">
        <color rgb="FF6F0791"/>
      </bottom>
      <diagonal/>
    </border>
    <border>
      <left/>
      <right/>
      <top style="medium">
        <color rgb="FF6F0791"/>
      </top>
      <bottom style="medium">
        <color rgb="FF6F0791"/>
      </bottom>
      <diagonal/>
    </border>
    <border>
      <left style="thin">
        <color rgb="FF6F0791"/>
      </left>
      <right/>
      <top style="medium">
        <color rgb="FF6F0791"/>
      </top>
      <bottom style="medium">
        <color rgb="FF6F0791"/>
      </bottom>
      <diagonal/>
    </border>
    <border>
      <left/>
      <right style="thin">
        <color rgb="FF6F0791"/>
      </right>
      <top/>
      <bottom/>
      <diagonal/>
    </border>
    <border>
      <left style="thin">
        <color rgb="FF6F0791"/>
      </left>
      <right/>
      <top style="medium">
        <color rgb="FF6F0791"/>
      </top>
      <bottom/>
      <diagonal/>
    </border>
    <border>
      <left/>
      <right style="thin">
        <color rgb="FF6F0791"/>
      </right>
      <top style="medium">
        <color rgb="FF6F0791"/>
      </top>
      <bottom/>
      <diagonal/>
    </border>
    <border>
      <left style="thin">
        <color rgb="FF6F0791"/>
      </left>
      <right/>
      <top/>
      <bottom/>
      <diagonal/>
    </border>
    <border>
      <left/>
      <right style="thin">
        <color rgb="FF6F0791"/>
      </right>
      <top/>
      <bottom style="medium">
        <color rgb="FF6D078E"/>
      </bottom>
      <diagonal/>
    </border>
    <border>
      <left/>
      <right/>
      <top/>
      <bottom style="medium">
        <color rgb="FF6D078E"/>
      </bottom>
      <diagonal/>
    </border>
    <border>
      <left/>
      <right style="thin">
        <color rgb="FF6F0791"/>
      </right>
      <top style="medium">
        <color rgb="FF6D078E"/>
      </top>
      <bottom style="medium">
        <color rgb="FF6D078E"/>
      </bottom>
      <diagonal/>
    </border>
    <border>
      <left/>
      <right/>
      <top style="medium">
        <color rgb="FF6D078E"/>
      </top>
      <bottom style="medium">
        <color rgb="FF6D078E"/>
      </bottom>
      <diagonal/>
    </border>
    <border>
      <left style="thin">
        <color rgb="FF6F0791"/>
      </left>
      <right/>
      <top style="medium">
        <color rgb="FF6D078E"/>
      </top>
      <bottom style="medium">
        <color rgb="FF6D078E"/>
      </bottom>
      <diagonal/>
    </border>
    <border>
      <left/>
      <right style="medium">
        <color rgb="FF8E9A44"/>
      </right>
      <top style="thin">
        <color rgb="FF6F0791"/>
      </top>
      <bottom style="medium">
        <color rgb="FF6F0791"/>
      </bottom>
      <diagonal/>
    </border>
    <border>
      <left style="thin">
        <color rgb="FF6F0791"/>
      </left>
      <right/>
      <top style="thin">
        <color rgb="FF6F0791"/>
      </top>
      <bottom style="thin">
        <color rgb="FF6F0791"/>
      </bottom>
      <diagonal/>
    </border>
    <border>
      <left/>
      <right style="thin">
        <color rgb="FF6F0791"/>
      </right>
      <top style="thin">
        <color rgb="FF6F0791"/>
      </top>
      <bottom style="thin">
        <color rgb="FF6F0791"/>
      </bottom>
      <diagonal/>
    </border>
    <border>
      <left/>
      <right style="medium">
        <color rgb="FF6D078E"/>
      </right>
      <top style="thin">
        <color rgb="FF6F0791"/>
      </top>
      <bottom/>
      <diagonal/>
    </border>
    <border>
      <left/>
      <right style="thin">
        <color rgb="FF6F0791"/>
      </right>
      <top style="thin">
        <color rgb="FF6F0791"/>
      </top>
      <bottom/>
      <diagonal/>
    </border>
    <border>
      <left/>
      <right style="thin">
        <color rgb="FF6F0791"/>
      </right>
      <top style="thin">
        <color rgb="FF6F0791"/>
      </top>
      <bottom style="medium">
        <color rgb="FF6D078E"/>
      </bottom>
      <diagonal/>
    </border>
    <border>
      <left/>
      <right/>
      <top style="thin">
        <color rgb="FF6F0791"/>
      </top>
      <bottom style="medium">
        <color rgb="FF6D078E"/>
      </bottom>
      <diagonal/>
    </border>
    <border>
      <left style="thin">
        <color rgb="FF6F0791"/>
      </left>
      <right/>
      <top style="thin">
        <color rgb="FF6F0791"/>
      </top>
      <bottom style="medium">
        <color rgb="FF6D078E"/>
      </bottom>
      <diagonal/>
    </border>
    <border>
      <left/>
      <right style="medium">
        <color rgb="FF6D078E"/>
      </right>
      <top/>
      <bottom style="medium">
        <color rgb="FF6D078E"/>
      </bottom>
      <diagonal/>
    </border>
    <border>
      <left/>
      <right style="medium">
        <color rgb="FF6D078E"/>
      </right>
      <top/>
      <bottom/>
      <diagonal/>
    </border>
    <border>
      <left/>
      <right style="thin">
        <color rgb="FF6F0791"/>
      </right>
      <top style="medium">
        <color rgb="FF6D078E"/>
      </top>
      <bottom/>
      <diagonal/>
    </border>
    <border>
      <left style="thin">
        <color rgb="FF6F0791"/>
      </left>
      <right/>
      <top style="medium">
        <color rgb="FF6D078E"/>
      </top>
      <bottom/>
      <diagonal/>
    </border>
    <border>
      <left style="thin">
        <color rgb="FF6F0791"/>
      </left>
      <right/>
      <top/>
      <bottom style="medium">
        <color rgb="FF6D078E"/>
      </bottom>
      <diagonal/>
    </border>
    <border>
      <left/>
      <right style="medium">
        <color rgb="FF6D078E"/>
      </right>
      <top style="medium">
        <color rgb="FF6D078E"/>
      </top>
      <bottom style="medium">
        <color rgb="FF6D078E"/>
      </bottom>
      <diagonal/>
    </border>
    <border>
      <left/>
      <right/>
      <top style="medium">
        <color rgb="FF6D078E"/>
      </top>
      <bottom/>
      <diagonal/>
    </border>
    <border>
      <left/>
      <right/>
      <top style="medium">
        <color rgb="FF8C8C8C"/>
      </top>
      <bottom/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335163"/>
      </top>
      <bottom/>
      <diagonal/>
    </border>
    <border>
      <left/>
      <right/>
      <top/>
      <bottom style="medium">
        <color rgb="FF33516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8E9A4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40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43" fontId="37" fillId="0" borderId="0" applyFont="0" applyFill="0" applyBorder="0" applyAlignment="0" applyProtection="0"/>
  </cellStyleXfs>
  <cellXfs count="442">
    <xf numFmtId="0" fontId="0" fillId="0" borderId="0" xfId="0"/>
    <xf numFmtId="0" fontId="3" fillId="2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38" fontId="7" fillId="0" borderId="0" xfId="0" applyNumberFormat="1" applyFont="1"/>
    <xf numFmtId="38" fontId="8" fillId="0" borderId="0" xfId="0" applyNumberFormat="1" applyFont="1"/>
    <xf numFmtId="38" fontId="9" fillId="0" borderId="0" xfId="0" applyNumberFormat="1" applyFont="1"/>
    <xf numFmtId="2" fontId="7" fillId="0" borderId="0" xfId="0" applyNumberFormat="1" applyFont="1"/>
    <xf numFmtId="40" fontId="8" fillId="0" borderId="0" xfId="0" applyNumberFormat="1" applyFont="1"/>
    <xf numFmtId="40" fontId="9" fillId="0" borderId="0" xfId="0" applyNumberFormat="1" applyFont="1"/>
    <xf numFmtId="0" fontId="6" fillId="0" borderId="1" xfId="0" applyFont="1" applyBorder="1"/>
    <xf numFmtId="38" fontId="7" fillId="0" borderId="1" xfId="0" applyNumberFormat="1" applyFont="1" applyBorder="1"/>
    <xf numFmtId="38" fontId="8" fillId="0" borderId="1" xfId="0" applyNumberFormat="1" applyFont="1" applyBorder="1"/>
    <xf numFmtId="38" fontId="9" fillId="0" borderId="1" xfId="0" applyNumberFormat="1" applyFont="1" applyBorder="1"/>
    <xf numFmtId="164" fontId="7" fillId="0" borderId="0" xfId="2" applyNumberFormat="1" applyFont="1"/>
    <xf numFmtId="164" fontId="8" fillId="0" borderId="0" xfId="2" applyNumberFormat="1" applyFont="1"/>
    <xf numFmtId="164" fontId="9" fillId="0" borderId="0" xfId="2" applyNumberFormat="1" applyFont="1"/>
    <xf numFmtId="0" fontId="0" fillId="0" borderId="2" xfId="0" applyBorder="1"/>
    <xf numFmtId="0" fontId="9" fillId="0" borderId="0" xfId="0" applyFont="1" applyAlignment="1">
      <alignment horizontal="center"/>
    </xf>
    <xf numFmtId="38" fontId="6" fillId="0" borderId="0" xfId="0" applyNumberFormat="1" applyFont="1"/>
    <xf numFmtId="40" fontId="6" fillId="0" borderId="0" xfId="0" applyNumberFormat="1" applyFont="1"/>
    <xf numFmtId="40" fontId="7" fillId="0" borderId="0" xfId="0" applyNumberFormat="1" applyFont="1"/>
    <xf numFmtId="38" fontId="6" fillId="0" borderId="1" xfId="0" applyNumberFormat="1" applyFont="1" applyBorder="1"/>
    <xf numFmtId="38" fontId="10" fillId="0" borderId="2" xfId="0" applyNumberFormat="1" applyFont="1" applyBorder="1" applyAlignment="1">
      <alignment horizontal="left"/>
    </xf>
    <xf numFmtId="38" fontId="10" fillId="0" borderId="0" xfId="0" applyNumberFormat="1" applyFont="1" applyAlignment="1">
      <alignment horizontal="left"/>
    </xf>
    <xf numFmtId="0" fontId="11" fillId="0" borderId="0" xfId="0" applyFont="1"/>
    <xf numFmtId="165" fontId="7" fillId="0" borderId="0" xfId="1" applyNumberFormat="1" applyFont="1" applyBorder="1"/>
    <xf numFmtId="38" fontId="8" fillId="0" borderId="0" xfId="1" applyNumberFormat="1" applyFont="1" applyBorder="1" applyAlignment="1"/>
    <xf numFmtId="38" fontId="9" fillId="0" borderId="0" xfId="1" applyNumberFormat="1" applyFont="1" applyBorder="1" applyAlignment="1"/>
    <xf numFmtId="165" fontId="7" fillId="0" borderId="0" xfId="1" applyNumberFormat="1" applyFont="1"/>
    <xf numFmtId="38" fontId="8" fillId="0" borderId="0" xfId="1" applyNumberFormat="1" applyFont="1" applyAlignment="1"/>
    <xf numFmtId="38" fontId="9" fillId="0" borderId="0" xfId="1" applyNumberFormat="1" applyFont="1" applyAlignment="1"/>
    <xf numFmtId="0" fontId="6" fillId="0" borderId="3" xfId="0" applyFont="1" applyBorder="1"/>
    <xf numFmtId="165" fontId="7" fillId="0" borderId="3" xfId="1" applyNumberFormat="1" applyFont="1" applyBorder="1"/>
    <xf numFmtId="38" fontId="8" fillId="0" borderId="3" xfId="1" applyNumberFormat="1" applyFont="1" applyBorder="1" applyAlignment="1"/>
    <xf numFmtId="38" fontId="9" fillId="0" borderId="3" xfId="1" applyNumberFormat="1" applyFont="1" applyBorder="1" applyAlignment="1"/>
    <xf numFmtId="165" fontId="7" fillId="0" borderId="4" xfId="1" applyNumberFormat="1" applyFont="1" applyBorder="1"/>
    <xf numFmtId="38" fontId="8" fillId="0" borderId="4" xfId="1" applyNumberFormat="1" applyFont="1" applyBorder="1" applyAlignment="1"/>
    <xf numFmtId="38" fontId="9" fillId="0" borderId="4" xfId="1" applyNumberFormat="1" applyFont="1" applyBorder="1" applyAlignment="1"/>
    <xf numFmtId="0" fontId="6" fillId="0" borderId="5" xfId="0" applyFont="1" applyBorder="1"/>
    <xf numFmtId="165" fontId="7" fillId="0" borderId="0" xfId="1" applyNumberFormat="1" applyFont="1" applyFill="1" applyBorder="1"/>
    <xf numFmtId="38" fontId="8" fillId="0" borderId="0" xfId="1" applyNumberFormat="1" applyFont="1" applyFill="1" applyBorder="1" applyAlignment="1"/>
    <xf numFmtId="38" fontId="9" fillId="0" borderId="0" xfId="1" applyNumberFormat="1" applyFont="1" applyFill="1" applyBorder="1" applyAlignment="1"/>
    <xf numFmtId="38" fontId="7" fillId="0" borderId="6" xfId="0" applyNumberFormat="1" applyFont="1" applyBorder="1"/>
    <xf numFmtId="38" fontId="8" fillId="0" borderId="6" xfId="0" applyNumberFormat="1" applyFont="1" applyBorder="1"/>
    <xf numFmtId="38" fontId="9" fillId="0" borderId="6" xfId="0" applyNumberFormat="1" applyFont="1" applyBorder="1"/>
    <xf numFmtId="38" fontId="7" fillId="0" borderId="3" xfId="0" applyNumberFormat="1" applyFont="1" applyBorder="1"/>
    <xf numFmtId="38" fontId="8" fillId="0" borderId="3" xfId="0" applyNumberFormat="1" applyFont="1" applyBorder="1"/>
    <xf numFmtId="38" fontId="9" fillId="0" borderId="3" xfId="0" applyNumberFormat="1" applyFont="1" applyBorder="1"/>
    <xf numFmtId="166" fontId="7" fillId="0" borderId="0" xfId="0" applyNumberFormat="1" applyFont="1"/>
    <xf numFmtId="0" fontId="7" fillId="0" borderId="0" xfId="0" applyFont="1" applyAlignment="1">
      <alignment wrapText="1"/>
    </xf>
    <xf numFmtId="3" fontId="7" fillId="0" borderId="0" xfId="0" applyNumberFormat="1" applyFont="1" applyAlignment="1">
      <alignment wrapText="1"/>
    </xf>
    <xf numFmtId="165" fontId="8" fillId="0" borderId="0" xfId="1" applyNumberFormat="1" applyFont="1" applyBorder="1"/>
    <xf numFmtId="165" fontId="9" fillId="0" borderId="0" xfId="1" applyNumberFormat="1" applyFont="1" applyBorder="1"/>
    <xf numFmtId="165" fontId="8" fillId="0" borderId="3" xfId="1" applyNumberFormat="1" applyFont="1" applyBorder="1"/>
    <xf numFmtId="165" fontId="9" fillId="0" borderId="3" xfId="1" applyNumberFormat="1" applyFont="1" applyBorder="1"/>
    <xf numFmtId="165" fontId="7" fillId="0" borderId="3" xfId="1" applyNumberFormat="1" applyFont="1" applyFill="1" applyBorder="1"/>
    <xf numFmtId="165" fontId="8" fillId="0" borderId="3" xfId="1" applyNumberFormat="1" applyFont="1" applyFill="1" applyBorder="1"/>
    <xf numFmtId="165" fontId="9" fillId="0" borderId="3" xfId="1" applyNumberFormat="1" applyFont="1" applyFill="1" applyBorder="1"/>
    <xf numFmtId="165" fontId="0" fillId="0" borderId="0" xfId="0" applyNumberFormat="1"/>
    <xf numFmtId="165" fontId="8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/>
    <xf numFmtId="166" fontId="9" fillId="0" borderId="0" xfId="0" applyNumberFormat="1" applyFont="1"/>
    <xf numFmtId="3" fontId="8" fillId="0" borderId="0" xfId="0" applyNumberFormat="1" applyFont="1" applyAlignment="1">
      <alignment wrapText="1"/>
    </xf>
    <xf numFmtId="3" fontId="9" fillId="0" borderId="0" xfId="0" applyNumberFormat="1" applyFont="1" applyAlignment="1">
      <alignment wrapText="1"/>
    </xf>
    <xf numFmtId="3" fontId="7" fillId="0" borderId="3" xfId="0" applyNumberFormat="1" applyFont="1" applyBorder="1" applyAlignment="1">
      <alignment wrapText="1"/>
    </xf>
    <xf numFmtId="3" fontId="8" fillId="0" borderId="3" xfId="0" applyNumberFormat="1" applyFont="1" applyBorder="1" applyAlignment="1">
      <alignment wrapText="1"/>
    </xf>
    <xf numFmtId="3" fontId="9" fillId="0" borderId="3" xfId="0" applyNumberFormat="1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3" fontId="7" fillId="0" borderId="3" xfId="0" applyNumberFormat="1" applyFont="1" applyBorder="1"/>
    <xf numFmtId="3" fontId="8" fillId="0" borderId="3" xfId="0" applyNumberFormat="1" applyFont="1" applyBorder="1"/>
    <xf numFmtId="3" fontId="9" fillId="0" borderId="3" xfId="0" applyNumberFormat="1" applyFont="1" applyBorder="1"/>
    <xf numFmtId="0" fontId="12" fillId="3" borderId="0" xfId="0" applyFont="1" applyFill="1"/>
    <xf numFmtId="0" fontId="13" fillId="3" borderId="0" xfId="0" applyFont="1" applyFill="1"/>
    <xf numFmtId="0" fontId="0" fillId="0" borderId="7" xfId="0" applyBorder="1"/>
    <xf numFmtId="0" fontId="14" fillId="0" borderId="7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167" fontId="11" fillId="0" borderId="0" xfId="0" applyNumberFormat="1" applyFont="1"/>
    <xf numFmtId="0" fontId="15" fillId="0" borderId="0" xfId="0" quotePrefix="1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quotePrefix="1" applyFont="1" applyAlignment="1">
      <alignment horizontal="left"/>
    </xf>
    <xf numFmtId="38" fontId="11" fillId="0" borderId="0" xfId="0" applyNumberFormat="1" applyFont="1" applyAlignment="1">
      <alignment horizontal="right"/>
    </xf>
    <xf numFmtId="38" fontId="11" fillId="0" borderId="0" xfId="0" applyNumberFormat="1" applyFont="1"/>
    <xf numFmtId="0" fontId="16" fillId="0" borderId="7" xfId="0" quotePrefix="1" applyFont="1" applyBorder="1" applyAlignment="1">
      <alignment horizontal="left"/>
    </xf>
    <xf numFmtId="38" fontId="11" fillId="0" borderId="7" xfId="0" applyNumberFormat="1" applyFont="1" applyBorder="1" applyAlignment="1">
      <alignment horizontal="right"/>
    </xf>
    <xf numFmtId="38" fontId="17" fillId="0" borderId="7" xfId="0" applyNumberFormat="1" applyFont="1" applyBorder="1" applyAlignment="1">
      <alignment horizontal="right"/>
    </xf>
    <xf numFmtId="0" fontId="11" fillId="0" borderId="7" xfId="0" applyFont="1" applyBorder="1"/>
    <xf numFmtId="38" fontId="11" fillId="0" borderId="7" xfId="0" applyNumberFormat="1" applyFont="1" applyBorder="1"/>
    <xf numFmtId="38" fontId="17" fillId="0" borderId="7" xfId="0" applyNumberFormat="1" applyFont="1" applyBorder="1"/>
    <xf numFmtId="167" fontId="11" fillId="0" borderId="7" xfId="0" applyNumberFormat="1" applyFont="1" applyBorder="1"/>
    <xf numFmtId="0" fontId="17" fillId="0" borderId="7" xfId="0" applyFont="1" applyBorder="1"/>
    <xf numFmtId="0" fontId="16" fillId="0" borderId="0" xfId="0" applyFont="1"/>
    <xf numFmtId="0" fontId="16" fillId="0" borderId="0" xfId="0" applyFont="1" applyAlignment="1">
      <alignment horizontal="left"/>
    </xf>
    <xf numFmtId="0" fontId="10" fillId="0" borderId="0" xfId="0" applyFont="1"/>
    <xf numFmtId="0" fontId="18" fillId="3" borderId="0" xfId="0" applyFont="1" applyFill="1"/>
    <xf numFmtId="0" fontId="3" fillId="3" borderId="0" xfId="0" applyFont="1" applyFill="1" applyAlignment="1">
      <alignment horizontal="centerContinuous"/>
    </xf>
    <xf numFmtId="0" fontId="13" fillId="3" borderId="0" xfId="0" applyFont="1" applyFill="1" applyAlignment="1">
      <alignment horizontal="centerContinuous"/>
    </xf>
    <xf numFmtId="0" fontId="19" fillId="0" borderId="0" xfId="0" applyFont="1"/>
    <xf numFmtId="0" fontId="5" fillId="0" borderId="0" xfId="0" quotePrefix="1" applyFont="1" applyAlignment="1">
      <alignment horizontal="left"/>
    </xf>
    <xf numFmtId="0" fontId="19" fillId="0" borderId="2" xfId="0" applyFont="1" applyBorder="1"/>
    <xf numFmtId="0" fontId="11" fillId="0" borderId="2" xfId="0" applyFont="1" applyBorder="1"/>
    <xf numFmtId="167" fontId="11" fillId="0" borderId="2" xfId="0" applyNumberFormat="1" applyFont="1" applyBorder="1"/>
    <xf numFmtId="167" fontId="0" fillId="0" borderId="0" xfId="0" applyNumberFormat="1"/>
    <xf numFmtId="38" fontId="0" fillId="0" borderId="0" xfId="0" applyNumberFormat="1"/>
    <xf numFmtId="0" fontId="17" fillId="0" borderId="0" xfId="0" applyFont="1"/>
    <xf numFmtId="168" fontId="11" fillId="0" borderId="0" xfId="0" applyNumberFormat="1" applyFont="1"/>
    <xf numFmtId="167" fontId="17" fillId="0" borderId="0" xfId="0" applyNumberFormat="1" applyFont="1"/>
    <xf numFmtId="167" fontId="20" fillId="0" borderId="0" xfId="0" applyNumberFormat="1" applyFont="1"/>
    <xf numFmtId="0" fontId="21" fillId="0" borderId="2" xfId="0" applyFont="1" applyBorder="1"/>
    <xf numFmtId="0" fontId="0" fillId="3" borderId="3" xfId="0" applyFill="1" applyBorder="1"/>
    <xf numFmtId="0" fontId="0" fillId="4" borderId="8" xfId="0" applyFill="1" applyBorder="1"/>
    <xf numFmtId="0" fontId="0" fillId="4" borderId="0" xfId="0" applyFill="1"/>
    <xf numFmtId="0" fontId="0" fillId="4" borderId="8" xfId="0" applyFill="1" applyBorder="1" applyAlignment="1">
      <alignment horizontal="centerContinuous"/>
    </xf>
    <xf numFmtId="0" fontId="6" fillId="4" borderId="8" xfId="0" applyFont="1" applyFill="1" applyBorder="1" applyAlignment="1">
      <alignment horizontal="left"/>
    </xf>
    <xf numFmtId="0" fontId="0" fillId="4" borderId="9" xfId="0" applyFill="1" applyBorder="1"/>
    <xf numFmtId="0" fontId="6" fillId="4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0" fillId="4" borderId="7" xfId="0" applyFill="1" applyBorder="1"/>
    <xf numFmtId="0" fontId="0" fillId="4" borderId="10" xfId="0" applyFill="1" applyBorder="1"/>
    <xf numFmtId="0" fontId="0" fillId="4" borderId="11" xfId="0" applyFill="1" applyBorder="1" applyAlignment="1">
      <alignment horizontal="centerContinuous"/>
    </xf>
    <xf numFmtId="0" fontId="0" fillId="4" borderId="12" xfId="0" applyFill="1" applyBorder="1" applyAlignment="1">
      <alignment horizontal="centerContinuous"/>
    </xf>
    <xf numFmtId="0" fontId="0" fillId="4" borderId="9" xfId="0" applyFill="1" applyBorder="1" applyAlignment="1">
      <alignment horizontal="centerContinuous"/>
    </xf>
    <xf numFmtId="0" fontId="6" fillId="0" borderId="8" xfId="0" applyFont="1" applyBorder="1" applyAlignment="1">
      <alignment horizontal="centerContinuous"/>
    </xf>
    <xf numFmtId="0" fontId="5" fillId="0" borderId="0" xfId="0" applyFont="1"/>
    <xf numFmtId="0" fontId="5" fillId="4" borderId="13" xfId="0" applyFont="1" applyFill="1" applyBorder="1"/>
    <xf numFmtId="17" fontId="22" fillId="4" borderId="14" xfId="0" applyNumberFormat="1" applyFont="1" applyFill="1" applyBorder="1" applyAlignment="1">
      <alignment horizontal="right"/>
    </xf>
    <xf numFmtId="17" fontId="22" fillId="4" borderId="13" xfId="3" applyNumberFormat="1" applyFont="1" applyFill="1" applyBorder="1" applyAlignment="1">
      <alignment horizontal="right"/>
    </xf>
    <xf numFmtId="17" fontId="22" fillId="4" borderId="15" xfId="3" applyNumberFormat="1" applyFont="1" applyFill="1" applyBorder="1" applyAlignment="1">
      <alignment horizontal="right"/>
    </xf>
    <xf numFmtId="17" fontId="22" fillId="4" borderId="14" xfId="3" applyNumberFormat="1" applyFont="1" applyFill="1" applyBorder="1" applyAlignment="1">
      <alignment horizontal="right"/>
    </xf>
    <xf numFmtId="17" fontId="22" fillId="4" borderId="14" xfId="3" quotePrefix="1" applyNumberFormat="1" applyFont="1" applyFill="1" applyBorder="1" applyAlignment="1">
      <alignment horizontal="right"/>
    </xf>
    <xf numFmtId="0" fontId="5" fillId="0" borderId="7" xfId="0" quotePrefix="1" applyFont="1" applyBorder="1" applyAlignment="1">
      <alignment horizontal="center"/>
    </xf>
    <xf numFmtId="17" fontId="5" fillId="0" borderId="0" xfId="0" applyNumberFormat="1" applyFont="1"/>
    <xf numFmtId="169" fontId="24" fillId="0" borderId="16" xfId="4" quotePrefix="1" applyNumberFormat="1" applyFont="1" applyBorder="1" applyAlignment="1">
      <alignment horizontal="left"/>
    </xf>
    <xf numFmtId="38" fontId="25" fillId="0" borderId="0" xfId="0" applyNumberFormat="1" applyFont="1" applyAlignment="1">
      <alignment horizontal="right"/>
    </xf>
    <xf numFmtId="167" fontId="25" fillId="0" borderId="0" xfId="0" applyNumberFormat="1" applyFont="1" applyAlignment="1">
      <alignment horizontal="center"/>
    </xf>
    <xf numFmtId="167" fontId="25" fillId="0" borderId="16" xfId="0" applyNumberFormat="1" applyFont="1" applyBorder="1" applyAlignment="1">
      <alignment horizontal="center"/>
    </xf>
    <xf numFmtId="167" fontId="25" fillId="0" borderId="0" xfId="0" applyNumberFormat="1" applyFont="1"/>
    <xf numFmtId="167" fontId="25" fillId="0" borderId="17" xfId="0" applyNumberFormat="1" applyFont="1" applyBorder="1"/>
    <xf numFmtId="167" fontId="25" fillId="0" borderId="16" xfId="0" applyNumberFormat="1" applyFont="1" applyBorder="1"/>
    <xf numFmtId="167" fontId="25" fillId="0" borderId="18" xfId="0" applyNumberFormat="1" applyFont="1" applyBorder="1"/>
    <xf numFmtId="167" fontId="26" fillId="0" borderId="0" xfId="0" applyNumberFormat="1" applyFont="1"/>
    <xf numFmtId="38" fontId="25" fillId="0" borderId="0" xfId="0" applyNumberFormat="1" applyFont="1"/>
    <xf numFmtId="167" fontId="25" fillId="0" borderId="19" xfId="0" applyNumberFormat="1" applyFont="1" applyBorder="1"/>
    <xf numFmtId="169" fontId="24" fillId="0" borderId="16" xfId="4" applyNumberFormat="1" applyFont="1" applyBorder="1" applyAlignment="1">
      <alignment horizontal="left"/>
    </xf>
    <xf numFmtId="169" fontId="24" fillId="0" borderId="16" xfId="4" applyNumberFormat="1" applyFont="1" applyBorder="1"/>
    <xf numFmtId="167" fontId="25" fillId="0" borderId="0" xfId="0" applyNumberFormat="1" applyFont="1" applyAlignment="1">
      <alignment horizontal="right"/>
    </xf>
    <xf numFmtId="167" fontId="25" fillId="0" borderId="19" xfId="0" applyNumberFormat="1" applyFont="1" applyBorder="1" applyAlignment="1">
      <alignment horizontal="right"/>
    </xf>
    <xf numFmtId="167" fontId="25" fillId="0" borderId="16" xfId="0" applyNumberFormat="1" applyFont="1" applyBorder="1" applyAlignment="1">
      <alignment horizontal="right"/>
    </xf>
    <xf numFmtId="167" fontId="25" fillId="0" borderId="20" xfId="0" applyNumberFormat="1" applyFont="1" applyBorder="1"/>
    <xf numFmtId="167" fontId="25" fillId="0" borderId="21" xfId="0" applyNumberFormat="1" applyFont="1" applyBorder="1"/>
    <xf numFmtId="167" fontId="26" fillId="0" borderId="7" xfId="0" applyNumberFormat="1" applyFont="1" applyBorder="1"/>
    <xf numFmtId="169" fontId="27" fillId="0" borderId="22" xfId="4" applyNumberFormat="1" applyFont="1" applyBorder="1" applyAlignment="1">
      <alignment horizontal="left"/>
    </xf>
    <xf numFmtId="38" fontId="26" fillId="0" borderId="23" xfId="0" applyNumberFormat="1" applyFont="1" applyBorder="1"/>
    <xf numFmtId="38" fontId="25" fillId="0" borderId="23" xfId="0" applyNumberFormat="1" applyFont="1" applyBorder="1"/>
    <xf numFmtId="167" fontId="25" fillId="0" borderId="23" xfId="0" applyNumberFormat="1" applyFont="1" applyBorder="1"/>
    <xf numFmtId="167" fontId="26" fillId="0" borderId="22" xfId="0" applyNumberFormat="1" applyFont="1" applyBorder="1"/>
    <xf numFmtId="167" fontId="26" fillId="0" borderId="23" xfId="0" applyNumberFormat="1" applyFont="1" applyBorder="1"/>
    <xf numFmtId="167" fontId="25" fillId="0" borderId="24" xfId="0" applyNumberFormat="1" applyFont="1" applyBorder="1"/>
    <xf numFmtId="0" fontId="2" fillId="0" borderId="0" xfId="0" applyFont="1"/>
    <xf numFmtId="38" fontId="26" fillId="0" borderId="0" xfId="0" applyNumberFormat="1" applyFont="1" applyAlignment="1">
      <alignment horizontal="left"/>
    </xf>
    <xf numFmtId="38" fontId="28" fillId="0" borderId="0" xfId="0" applyNumberFormat="1" applyFont="1" applyAlignment="1">
      <alignment horizontal="right"/>
    </xf>
    <xf numFmtId="170" fontId="25" fillId="0" borderId="0" xfId="0" applyNumberFormat="1" applyFont="1" applyAlignment="1">
      <alignment horizontal="right"/>
    </xf>
    <xf numFmtId="0" fontId="29" fillId="4" borderId="25" xfId="0" applyFont="1" applyFill="1" applyBorder="1" applyAlignment="1">
      <alignment horizontal="centerContinuous"/>
    </xf>
    <xf numFmtId="0" fontId="29" fillId="4" borderId="8" xfId="0" applyFont="1" applyFill="1" applyBorder="1" applyAlignment="1">
      <alignment horizontal="centerContinuous"/>
    </xf>
    <xf numFmtId="17" fontId="22" fillId="4" borderId="13" xfId="0" applyNumberFormat="1" applyFont="1" applyFill="1" applyBorder="1" applyAlignment="1">
      <alignment horizontal="right"/>
    </xf>
    <xf numFmtId="0" fontId="0" fillId="3" borderId="26" xfId="0" applyFill="1" applyBorder="1"/>
    <xf numFmtId="0" fontId="0" fillId="3" borderId="27" xfId="0" applyFill="1" applyBorder="1"/>
    <xf numFmtId="0" fontId="30" fillId="4" borderId="28" xfId="0" applyFont="1" applyFill="1" applyBorder="1"/>
    <xf numFmtId="0" fontId="0" fillId="4" borderId="1" xfId="0" applyFill="1" applyBorder="1"/>
    <xf numFmtId="0" fontId="2" fillId="4" borderId="0" xfId="0" applyFont="1" applyFill="1"/>
    <xf numFmtId="0" fontId="0" fillId="4" borderId="29" xfId="0" applyFill="1" applyBorder="1"/>
    <xf numFmtId="0" fontId="2" fillId="4" borderId="3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0" fillId="4" borderId="31" xfId="0" applyFill="1" applyBorder="1"/>
    <xf numFmtId="0" fontId="0" fillId="4" borderId="32" xfId="0" applyFill="1" applyBorder="1"/>
    <xf numFmtId="0" fontId="2" fillId="4" borderId="1" xfId="0" applyFont="1" applyFill="1" applyBorder="1" applyAlignment="1">
      <alignment horizontal="right"/>
    </xf>
    <xf numFmtId="0" fontId="30" fillId="4" borderId="33" xfId="0" applyFont="1" applyFill="1" applyBorder="1"/>
    <xf numFmtId="17" fontId="31" fillId="4" borderId="23" xfId="3" applyNumberFormat="1" applyFont="1" applyFill="1" applyBorder="1" applyAlignment="1">
      <alignment horizontal="right"/>
    </xf>
    <xf numFmtId="17" fontId="31" fillId="4" borderId="23" xfId="3" quotePrefix="1" applyNumberFormat="1" applyFont="1" applyFill="1" applyBorder="1" applyAlignment="1">
      <alignment horizontal="right"/>
    </xf>
    <xf numFmtId="17" fontId="31" fillId="4" borderId="22" xfId="3" quotePrefix="1" applyNumberFormat="1" applyFont="1" applyFill="1" applyBorder="1" applyAlignment="1">
      <alignment horizontal="right"/>
    </xf>
    <xf numFmtId="17" fontId="31" fillId="4" borderId="21" xfId="3" quotePrefix="1" applyNumberFormat="1" applyFont="1" applyFill="1" applyBorder="1" applyAlignment="1">
      <alignment horizontal="right"/>
    </xf>
    <xf numFmtId="17" fontId="0" fillId="0" borderId="0" xfId="0" applyNumberFormat="1"/>
    <xf numFmtId="169" fontId="24" fillId="0" borderId="34" xfId="0" applyNumberFormat="1" applyFont="1" applyBorder="1" applyAlignment="1">
      <alignment horizontal="left"/>
    </xf>
    <xf numFmtId="0" fontId="3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35" xfId="0" applyFont="1" applyBorder="1" applyAlignment="1">
      <alignment horizontal="right"/>
    </xf>
    <xf numFmtId="167" fontId="25" fillId="0" borderId="35" xfId="0" applyNumberFormat="1" applyFont="1" applyBorder="1"/>
    <xf numFmtId="167" fontId="25" fillId="0" borderId="36" xfId="0" applyNumberFormat="1" applyFont="1" applyBorder="1"/>
    <xf numFmtId="169" fontId="24" fillId="0" borderId="34" xfId="0" applyNumberFormat="1" applyFont="1" applyBorder="1"/>
    <xf numFmtId="167" fontId="11" fillId="0" borderId="20" xfId="0" applyNumberFormat="1" applyFont="1" applyBorder="1"/>
    <xf numFmtId="167" fontId="25" fillId="0" borderId="37" xfId="0" applyNumberFormat="1" applyFont="1" applyBorder="1"/>
    <xf numFmtId="169" fontId="27" fillId="0" borderId="38" xfId="0" applyNumberFormat="1" applyFont="1" applyBorder="1" applyAlignment="1">
      <alignment horizontal="left"/>
    </xf>
    <xf numFmtId="0" fontId="0" fillId="0" borderId="39" xfId="0" applyBorder="1"/>
    <xf numFmtId="0" fontId="0" fillId="0" borderId="34" xfId="0" applyBorder="1"/>
    <xf numFmtId="0" fontId="34" fillId="3" borderId="0" xfId="0" applyFont="1" applyFill="1"/>
    <xf numFmtId="0" fontId="35" fillId="3" borderId="0" xfId="0" applyFont="1" applyFill="1"/>
    <xf numFmtId="0" fontId="2" fillId="0" borderId="0" xfId="0" applyFont="1" applyAlignment="1">
      <alignment horizontal="center"/>
    </xf>
    <xf numFmtId="0" fontId="36" fillId="0" borderId="14" xfId="0" applyFont="1" applyBorder="1"/>
    <xf numFmtId="166" fontId="22" fillId="0" borderId="14" xfId="1" quotePrefix="1" applyNumberFormat="1" applyFont="1" applyBorder="1" applyAlignment="1" applyProtection="1">
      <alignment horizontal="right"/>
    </xf>
    <xf numFmtId="166" fontId="22" fillId="0" borderId="14" xfId="1" quotePrefix="1" applyNumberFormat="1" applyFont="1" applyFill="1" applyBorder="1" applyAlignment="1" applyProtection="1">
      <alignment horizontal="right"/>
    </xf>
    <xf numFmtId="15" fontId="0" fillId="0" borderId="0" xfId="0" applyNumberFormat="1"/>
    <xf numFmtId="0" fontId="33" fillId="0" borderId="0" xfId="5"/>
    <xf numFmtId="170" fontId="7" fillId="0" borderId="0" xfId="0" applyNumberFormat="1" applyFont="1"/>
    <xf numFmtId="170" fontId="32" fillId="0" borderId="0" xfId="0" applyNumberFormat="1" applyFont="1"/>
    <xf numFmtId="38" fontId="2" fillId="0" borderId="0" xfId="0" applyNumberFormat="1" applyFont="1" applyAlignment="1">
      <alignment horizontal="center"/>
    </xf>
    <xf numFmtId="170" fontId="37" fillId="0" borderId="0" xfId="6" applyNumberFormat="1" applyFont="1" applyFill="1" applyAlignment="1" applyProtection="1">
      <alignment horizontal="right"/>
    </xf>
    <xf numFmtId="170" fontId="22" fillId="0" borderId="0" xfId="6" applyNumberFormat="1" applyFont="1" applyFill="1" applyAlignment="1" applyProtection="1">
      <alignment horizontal="right"/>
    </xf>
    <xf numFmtId="3" fontId="38" fillId="0" borderId="0" xfId="0" applyNumberFormat="1" applyFont="1" applyAlignment="1">
      <alignment horizontal="center" wrapText="1"/>
    </xf>
    <xf numFmtId="38" fontId="39" fillId="0" borderId="0" xfId="6" applyNumberFormat="1" applyFont="1" applyFill="1" applyAlignment="1" applyProtection="1">
      <alignment horizontal="center"/>
    </xf>
    <xf numFmtId="0" fontId="40" fillId="0" borderId="0" xfId="0" applyFont="1"/>
    <xf numFmtId="164" fontId="37" fillId="0" borderId="0" xfId="2" applyNumberFormat="1" applyFont="1" applyFill="1" applyAlignment="1" applyProtection="1">
      <alignment horizontal="right"/>
    </xf>
    <xf numFmtId="164" fontId="22" fillId="0" borderId="0" xfId="2" applyNumberFormat="1" applyFont="1" applyFill="1" applyAlignment="1" applyProtection="1">
      <alignment horizontal="right"/>
    </xf>
    <xf numFmtId="38" fontId="31" fillId="0" borderId="0" xfId="6" applyNumberFormat="1" applyFont="1" applyFill="1" applyAlignment="1" applyProtection="1">
      <alignment horizontal="right"/>
    </xf>
    <xf numFmtId="0" fontId="38" fillId="0" borderId="0" xfId="0" applyFont="1" applyAlignment="1">
      <alignment horizontal="center"/>
    </xf>
    <xf numFmtId="0" fontId="38" fillId="0" borderId="0" xfId="0" applyFont="1"/>
    <xf numFmtId="40" fontId="32" fillId="0" borderId="0" xfId="0" applyNumberFormat="1" applyFont="1"/>
    <xf numFmtId="0" fontId="4" fillId="0" borderId="1" xfId="0" applyFont="1" applyBorder="1"/>
    <xf numFmtId="38" fontId="32" fillId="0" borderId="1" xfId="0" applyNumberFormat="1" applyFont="1" applyBorder="1"/>
    <xf numFmtId="0" fontId="38" fillId="0" borderId="0" xfId="0" applyFont="1" applyAlignment="1">
      <alignment horizontal="center" wrapText="1"/>
    </xf>
    <xf numFmtId="38" fontId="32" fillId="0" borderId="0" xfId="0" applyNumberFormat="1" applyFont="1"/>
    <xf numFmtId="3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7" fillId="0" borderId="1" xfId="2" applyNumberFormat="1" applyFont="1" applyBorder="1"/>
    <xf numFmtId="164" fontId="32" fillId="0" borderId="1" xfId="2" applyNumberFormat="1" applyFont="1" applyBorder="1"/>
    <xf numFmtId="0" fontId="4" fillId="0" borderId="40" xfId="0" applyFont="1" applyBorder="1"/>
    <xf numFmtId="38" fontId="11" fillId="0" borderId="40" xfId="0" applyNumberFormat="1" applyFont="1" applyBorder="1"/>
    <xf numFmtId="0" fontId="7" fillId="0" borderId="40" xfId="0" applyFont="1" applyBorder="1"/>
    <xf numFmtId="0" fontId="42" fillId="0" borderId="40" xfId="0" applyFont="1" applyBorder="1"/>
    <xf numFmtId="0" fontId="36" fillId="0" borderId="40" xfId="0" applyFont="1" applyBorder="1"/>
    <xf numFmtId="0" fontId="36" fillId="0" borderId="0" xfId="0" applyFont="1"/>
    <xf numFmtId="0" fontId="43" fillId="0" borderId="0" xfId="0" applyFont="1"/>
    <xf numFmtId="38" fontId="22" fillId="0" borderId="41" xfId="1" quotePrefix="1" applyNumberFormat="1" applyFont="1" applyBorder="1" applyAlignment="1" applyProtection="1">
      <alignment horizontal="right"/>
    </xf>
    <xf numFmtId="166" fontId="22" fillId="0" borderId="41" xfId="1" quotePrefix="1" applyNumberFormat="1" applyFont="1" applyBorder="1" applyAlignment="1" applyProtection="1">
      <alignment horizontal="right"/>
    </xf>
    <xf numFmtId="0" fontId="44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0" fontId="45" fillId="0" borderId="0" xfId="0" applyFont="1"/>
    <xf numFmtId="170" fontId="46" fillId="0" borderId="0" xfId="0" applyNumberFormat="1" applyFont="1"/>
    <xf numFmtId="170" fontId="25" fillId="0" borderId="0" xfId="0" applyNumberFormat="1" applyFont="1"/>
    <xf numFmtId="170" fontId="26" fillId="0" borderId="0" xfId="0" applyNumberFormat="1" applyFont="1"/>
    <xf numFmtId="9" fontId="0" fillId="0" borderId="0" xfId="2" applyFont="1"/>
    <xf numFmtId="170" fontId="47" fillId="0" borderId="42" xfId="7" applyNumberFormat="1" applyFont="1" applyFill="1" applyBorder="1" applyAlignment="1">
      <alignment horizontal="right"/>
    </xf>
    <xf numFmtId="170" fontId="47" fillId="0" borderId="42" xfId="7" applyNumberFormat="1" applyFont="1" applyBorder="1" applyAlignment="1">
      <alignment horizontal="right"/>
    </xf>
    <xf numFmtId="170" fontId="31" fillId="0" borderId="42" xfId="7" applyNumberFormat="1" applyFont="1" applyFill="1" applyBorder="1" applyAlignment="1">
      <alignment horizontal="right"/>
    </xf>
    <xf numFmtId="0" fontId="0" fillId="0" borderId="43" xfId="0" applyBorder="1"/>
    <xf numFmtId="0" fontId="48" fillId="0" borderId="0" xfId="5" applyFont="1" applyAlignment="1">
      <alignment horizontal="center"/>
    </xf>
    <xf numFmtId="0" fontId="49" fillId="0" borderId="0" xfId="5" applyFont="1"/>
    <xf numFmtId="38" fontId="47" fillId="0" borderId="0" xfId="0" applyNumberFormat="1" applyFont="1"/>
    <xf numFmtId="38" fontId="31" fillId="0" borderId="0" xfId="0" applyNumberFormat="1" applyFont="1"/>
    <xf numFmtId="38" fontId="26" fillId="0" borderId="0" xfId="0" applyNumberFormat="1" applyFont="1"/>
    <xf numFmtId="38" fontId="0" fillId="0" borderId="43" xfId="0" applyNumberFormat="1" applyBorder="1"/>
    <xf numFmtId="0" fontId="49" fillId="0" borderId="0" xfId="5" applyFont="1" applyAlignment="1">
      <alignment horizontal="center"/>
    </xf>
    <xf numFmtId="0" fontId="50" fillId="0" borderId="0" xfId="0" applyFont="1" applyAlignment="1">
      <alignment horizontal="right"/>
    </xf>
    <xf numFmtId="0" fontId="51" fillId="0" borderId="0" xfId="0" applyFont="1"/>
    <xf numFmtId="171" fontId="47" fillId="0" borderId="0" xfId="0" applyNumberFormat="1" applyFont="1"/>
    <xf numFmtId="171" fontId="31" fillId="0" borderId="0" xfId="0" applyNumberFormat="1" applyFont="1"/>
    <xf numFmtId="171" fontId="25" fillId="0" borderId="0" xfId="0" applyNumberFormat="1" applyFont="1"/>
    <xf numFmtId="171" fontId="26" fillId="0" borderId="0" xfId="0" applyNumberFormat="1" applyFont="1"/>
    <xf numFmtId="170" fontId="47" fillId="0" borderId="0" xfId="0" applyNumberFormat="1" applyFont="1"/>
    <xf numFmtId="170" fontId="0" fillId="0" borderId="43" xfId="0" applyNumberFormat="1" applyBorder="1"/>
    <xf numFmtId="170" fontId="0" fillId="0" borderId="0" xfId="0" applyNumberFormat="1"/>
    <xf numFmtId="0" fontId="52" fillId="0" borderId="0" xfId="5" applyFont="1"/>
    <xf numFmtId="166" fontId="47" fillId="0" borderId="0" xfId="0" applyNumberFormat="1" applyFont="1"/>
    <xf numFmtId="166" fontId="25" fillId="0" borderId="0" xfId="0" applyNumberFormat="1" applyFont="1"/>
    <xf numFmtId="166" fontId="26" fillId="0" borderId="0" xfId="0" applyNumberFormat="1" applyFont="1"/>
    <xf numFmtId="38" fontId="22" fillId="0" borderId="0" xfId="1" quotePrefix="1" applyNumberFormat="1" applyFont="1" applyBorder="1" applyAlignment="1" applyProtection="1">
      <alignment horizontal="right"/>
    </xf>
    <xf numFmtId="38" fontId="39" fillId="0" borderId="0" xfId="1" quotePrefix="1" applyNumberFormat="1" applyFont="1" applyBorder="1" applyAlignment="1" applyProtection="1">
      <alignment horizontal="center"/>
    </xf>
    <xf numFmtId="171" fontId="0" fillId="0" borderId="44" xfId="0" applyNumberFormat="1" applyBorder="1"/>
    <xf numFmtId="172" fontId="7" fillId="0" borderId="0" xfId="0" applyNumberFormat="1" applyFont="1"/>
    <xf numFmtId="172" fontId="25" fillId="0" borderId="0" xfId="0" applyNumberFormat="1" applyFont="1"/>
    <xf numFmtId="0" fontId="17" fillId="0" borderId="0" xfId="0" applyFont="1" applyAlignment="1">
      <alignment horizontal="center"/>
    </xf>
    <xf numFmtId="0" fontId="33" fillId="0" borderId="0" xfId="5" applyAlignment="1">
      <alignment horizontal="left"/>
    </xf>
    <xf numFmtId="38" fontId="53" fillId="0" borderId="0" xfId="6" applyNumberFormat="1" applyFont="1" applyFill="1" applyAlignment="1" applyProtection="1">
      <alignment horizontal="right"/>
    </xf>
    <xf numFmtId="38" fontId="54" fillId="0" borderId="0" xfId="6" applyNumberFormat="1" applyFont="1" applyFill="1" applyAlignment="1" applyProtection="1">
      <alignment horizontal="right"/>
    </xf>
    <xf numFmtId="3" fontId="39" fillId="0" borderId="0" xfId="0" applyNumberFormat="1" applyFont="1" applyAlignment="1">
      <alignment horizontal="center"/>
    </xf>
    <xf numFmtId="164" fontId="53" fillId="0" borderId="0" xfId="2" applyNumberFormat="1" applyFont="1" applyFill="1" applyAlignment="1" applyProtection="1">
      <alignment horizontal="right"/>
    </xf>
    <xf numFmtId="164" fontId="54" fillId="0" borderId="0" xfId="2" applyNumberFormat="1" applyFont="1" applyFill="1" applyAlignment="1" applyProtection="1">
      <alignment horizontal="right"/>
    </xf>
    <xf numFmtId="0" fontId="55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" fillId="0" borderId="45" xfId="0" applyFont="1" applyBorder="1"/>
    <xf numFmtId="3" fontId="0" fillId="0" borderId="0" xfId="0" applyNumberFormat="1" applyAlignment="1">
      <alignment horizontal="center"/>
    </xf>
    <xf numFmtId="164" fontId="8" fillId="0" borderId="1" xfId="2" applyNumberFormat="1" applyFont="1" applyBorder="1"/>
    <xf numFmtId="164" fontId="9" fillId="0" borderId="1" xfId="2" applyNumberFormat="1" applyFont="1" applyBorder="1"/>
    <xf numFmtId="38" fontId="8" fillId="0" borderId="40" xfId="0" applyNumberFormat="1" applyFont="1" applyBorder="1"/>
    <xf numFmtId="0" fontId="8" fillId="0" borderId="0" xfId="0" applyFont="1"/>
    <xf numFmtId="0" fontId="8" fillId="0" borderId="40" xfId="0" applyFont="1" applyBorder="1"/>
    <xf numFmtId="38" fontId="46" fillId="0" borderId="0" xfId="0" applyNumberFormat="1" applyFont="1"/>
    <xf numFmtId="38" fontId="0" fillId="0" borderId="0" xfId="0" applyNumberFormat="1" applyAlignment="1">
      <alignment horizontal="center"/>
    </xf>
    <xf numFmtId="38" fontId="47" fillId="0" borderId="42" xfId="7" applyNumberFormat="1" applyFont="1" applyFill="1" applyBorder="1" applyAlignment="1">
      <alignment horizontal="right"/>
    </xf>
    <xf numFmtId="38" fontId="31" fillId="0" borderId="42" xfId="7" applyNumberFormat="1" applyFont="1" applyFill="1" applyBorder="1" applyAlignment="1">
      <alignment horizontal="right"/>
    </xf>
    <xf numFmtId="38" fontId="56" fillId="0" borderId="43" xfId="0" applyNumberFormat="1" applyFont="1" applyBorder="1" applyAlignment="1">
      <alignment horizontal="right"/>
    </xf>
    <xf numFmtId="38" fontId="56" fillId="0" borderId="43" xfId="0" applyNumberFormat="1" applyFont="1" applyBorder="1"/>
    <xf numFmtId="0" fontId="56" fillId="0" borderId="0" xfId="0" applyFont="1" applyAlignment="1">
      <alignment horizontal="right"/>
    </xf>
    <xf numFmtId="38" fontId="56" fillId="0" borderId="0" xfId="0" applyNumberFormat="1" applyFont="1"/>
    <xf numFmtId="171" fontId="46" fillId="0" borderId="0" xfId="0" applyNumberFormat="1" applyFont="1"/>
    <xf numFmtId="38" fontId="45" fillId="0" borderId="0" xfId="0" applyNumberFormat="1" applyFont="1"/>
    <xf numFmtId="0" fontId="37" fillId="0" borderId="0" xfId="0" applyFont="1"/>
    <xf numFmtId="0" fontId="33" fillId="0" borderId="0" xfId="5" applyFill="1" applyAlignment="1" applyProtection="1"/>
    <xf numFmtId="0" fontId="22" fillId="0" borderId="0" xfId="0" applyFont="1"/>
    <xf numFmtId="0" fontId="22" fillId="0" borderId="0" xfId="0" quotePrefix="1" applyFont="1" applyAlignment="1">
      <alignment horizontal="left"/>
    </xf>
    <xf numFmtId="0" fontId="36" fillId="4" borderId="14" xfId="0" applyFont="1" applyFill="1" applyBorder="1"/>
    <xf numFmtId="166" fontId="22" fillId="4" borderId="14" xfId="1" quotePrefix="1" applyNumberFormat="1" applyFont="1" applyFill="1" applyBorder="1" applyAlignment="1" applyProtection="1">
      <alignment horizontal="right"/>
    </xf>
    <xf numFmtId="166" fontId="22" fillId="4" borderId="0" xfId="1" quotePrefix="1" applyNumberFormat="1" applyFont="1" applyFill="1" applyBorder="1" applyAlignment="1" applyProtection="1">
      <alignment horizontal="right"/>
    </xf>
    <xf numFmtId="173" fontId="31" fillId="5" borderId="0" xfId="0" applyNumberFormat="1" applyFont="1" applyFill="1"/>
    <xf numFmtId="0" fontId="37" fillId="0" borderId="0" xfId="0" applyFont="1" applyAlignment="1">
      <alignment horizontal="left"/>
    </xf>
    <xf numFmtId="0" fontId="4" fillId="4" borderId="0" xfId="0" applyFont="1" applyFill="1"/>
    <xf numFmtId="38" fontId="11" fillId="4" borderId="0" xfId="0" applyNumberFormat="1" applyFont="1" applyFill="1"/>
    <xf numFmtId="166" fontId="47" fillId="0" borderId="46" xfId="0" applyNumberFormat="1" applyFont="1" applyBorder="1" applyAlignment="1">
      <alignment horizontal="center"/>
    </xf>
    <xf numFmtId="170" fontId="7" fillId="4" borderId="0" xfId="0" applyNumberFormat="1" applyFont="1" applyFill="1"/>
    <xf numFmtId="38" fontId="8" fillId="4" borderId="0" xfId="0" applyNumberFormat="1" applyFont="1" applyFill="1"/>
    <xf numFmtId="38" fontId="9" fillId="4" borderId="0" xfId="0" applyNumberFormat="1" applyFont="1" applyFill="1"/>
    <xf numFmtId="0" fontId="47" fillId="0" borderId="0" xfId="0" applyFont="1" applyAlignment="1">
      <alignment horizontal="right"/>
    </xf>
    <xf numFmtId="38" fontId="25" fillId="6" borderId="0" xfId="0" applyNumberFormat="1" applyFont="1" applyFill="1"/>
    <xf numFmtId="38" fontId="26" fillId="6" borderId="0" xfId="0" applyNumberFormat="1" applyFont="1" applyFill="1"/>
    <xf numFmtId="38" fontId="53" fillId="4" borderId="0" xfId="6" applyNumberFormat="1" applyFont="1" applyFill="1" applyAlignment="1" applyProtection="1">
      <alignment horizontal="right"/>
    </xf>
    <xf numFmtId="38" fontId="54" fillId="4" borderId="0" xfId="6" applyNumberFormat="1" applyFont="1" applyFill="1" applyAlignment="1" applyProtection="1">
      <alignment horizontal="right"/>
    </xf>
    <xf numFmtId="0" fontId="40" fillId="4" borderId="0" xfId="0" applyFont="1" applyFill="1"/>
    <xf numFmtId="164" fontId="37" fillId="4" borderId="0" xfId="2" applyNumberFormat="1" applyFont="1" applyFill="1" applyAlignment="1" applyProtection="1">
      <alignment horizontal="right"/>
    </xf>
    <xf numFmtId="164" fontId="53" fillId="4" borderId="0" xfId="2" applyNumberFormat="1" applyFont="1" applyFill="1" applyAlignment="1" applyProtection="1">
      <alignment horizontal="right"/>
    </xf>
    <xf numFmtId="164" fontId="54" fillId="4" borderId="0" xfId="2" applyNumberFormat="1" applyFont="1" applyFill="1" applyAlignment="1" applyProtection="1">
      <alignment horizontal="right"/>
    </xf>
    <xf numFmtId="40" fontId="47" fillId="0" borderId="0" xfId="0" applyNumberFormat="1" applyFont="1" applyAlignment="1">
      <alignment horizontal="right"/>
    </xf>
    <xf numFmtId="40" fontId="25" fillId="0" borderId="0" xfId="0" applyNumberFormat="1" applyFont="1"/>
    <xf numFmtId="40" fontId="25" fillId="6" borderId="0" xfId="0" applyNumberFormat="1" applyFont="1" applyFill="1"/>
    <xf numFmtId="40" fontId="26" fillId="0" borderId="0" xfId="0" applyNumberFormat="1" applyFont="1"/>
    <xf numFmtId="40" fontId="7" fillId="4" borderId="0" xfId="0" applyNumberFormat="1" applyFont="1" applyFill="1"/>
    <xf numFmtId="40" fontId="8" fillId="4" borderId="0" xfId="0" applyNumberFormat="1" applyFont="1" applyFill="1"/>
    <xf numFmtId="40" fontId="9" fillId="4" borderId="0" xfId="0" applyNumberFormat="1" applyFont="1" applyFill="1"/>
    <xf numFmtId="0" fontId="0" fillId="6" borderId="0" xfId="0" applyFill="1"/>
    <xf numFmtId="0" fontId="4" fillId="4" borderId="1" xfId="0" applyFont="1" applyFill="1" applyBorder="1"/>
    <xf numFmtId="38" fontId="7" fillId="4" borderId="1" xfId="0" applyNumberFormat="1" applyFont="1" applyFill="1" applyBorder="1"/>
    <xf numFmtId="38" fontId="8" fillId="4" borderId="1" xfId="0" applyNumberFormat="1" applyFont="1" applyFill="1" applyBorder="1"/>
    <xf numFmtId="38" fontId="9" fillId="4" borderId="1" xfId="0" applyNumberFormat="1" applyFont="1" applyFill="1" applyBorder="1"/>
    <xf numFmtId="38" fontId="7" fillId="4" borderId="0" xfId="0" applyNumberFormat="1" applyFont="1" applyFill="1"/>
    <xf numFmtId="0" fontId="0" fillId="0" borderId="0" xfId="0" applyAlignment="1">
      <alignment horizontal="right"/>
    </xf>
    <xf numFmtId="164" fontId="7" fillId="4" borderId="1" xfId="2" applyNumberFormat="1" applyFont="1" applyFill="1" applyBorder="1"/>
    <xf numFmtId="164" fontId="8" fillId="4" borderId="1" xfId="2" applyNumberFormat="1" applyFont="1" applyFill="1" applyBorder="1"/>
    <xf numFmtId="164" fontId="9" fillId="4" borderId="1" xfId="2" applyNumberFormat="1" applyFont="1" applyFill="1" applyBorder="1"/>
    <xf numFmtId="164" fontId="9" fillId="4" borderId="0" xfId="2" applyNumberFormat="1" applyFont="1" applyFill="1" applyBorder="1"/>
    <xf numFmtId="0" fontId="8" fillId="4" borderId="0" xfId="0" applyFont="1" applyFill="1"/>
    <xf numFmtId="0" fontId="4" fillId="4" borderId="40" xfId="0" applyFont="1" applyFill="1" applyBorder="1"/>
    <xf numFmtId="38" fontId="11" fillId="4" borderId="40" xfId="0" applyNumberFormat="1" applyFont="1" applyFill="1" applyBorder="1"/>
    <xf numFmtId="38" fontId="8" fillId="4" borderId="40" xfId="0" applyNumberFormat="1" applyFont="1" applyFill="1" applyBorder="1"/>
    <xf numFmtId="0" fontId="57" fillId="3" borderId="40" xfId="0" applyFont="1" applyFill="1" applyBorder="1"/>
    <xf numFmtId="0" fontId="58" fillId="3" borderId="40" xfId="0" applyFont="1" applyFill="1" applyBorder="1"/>
    <xf numFmtId="0" fontId="59" fillId="3" borderId="40" xfId="0" applyFont="1" applyFill="1" applyBorder="1"/>
    <xf numFmtId="38" fontId="10" fillId="4" borderId="2" xfId="0" applyNumberFormat="1" applyFont="1" applyFill="1" applyBorder="1" applyAlignment="1">
      <alignment horizontal="left"/>
    </xf>
    <xf numFmtId="0" fontId="36" fillId="4" borderId="40" xfId="0" applyFont="1" applyFill="1" applyBorder="1"/>
    <xf numFmtId="9" fontId="36" fillId="4" borderId="40" xfId="2" applyFont="1" applyFill="1" applyBorder="1"/>
    <xf numFmtId="0" fontId="36" fillId="4" borderId="0" xfId="0" applyFont="1" applyFill="1"/>
    <xf numFmtId="164" fontId="25" fillId="0" borderId="0" xfId="2" applyNumberFormat="1" applyFont="1"/>
    <xf numFmtId="9" fontId="0" fillId="0" borderId="0" xfId="2" applyFont="1" applyAlignment="1">
      <alignment horizontal="center"/>
    </xf>
    <xf numFmtId="171" fontId="0" fillId="0" borderId="0" xfId="0" applyNumberFormat="1"/>
    <xf numFmtId="38" fontId="28" fillId="0" borderId="0" xfId="0" applyNumberFormat="1" applyFont="1"/>
    <xf numFmtId="0" fontId="33" fillId="0" borderId="0" xfId="5" applyAlignment="1">
      <alignment horizontal="center"/>
    </xf>
    <xf numFmtId="174" fontId="25" fillId="0" borderId="0" xfId="0" applyNumberFormat="1" applyFont="1"/>
    <xf numFmtId="174" fontId="47" fillId="0" borderId="0" xfId="8" applyNumberFormat="1" applyFont="1"/>
    <xf numFmtId="0" fontId="0" fillId="0" borderId="0" xfId="0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center"/>
    </xf>
    <xf numFmtId="170" fontId="37" fillId="0" borderId="0" xfId="1" applyNumberFormat="1" applyFont="1" applyFill="1"/>
    <xf numFmtId="0" fontId="33" fillId="0" borderId="0" xfId="5" quotePrefix="1" applyFill="1" applyAlignment="1" applyProtection="1">
      <alignment horizontal="left"/>
    </xf>
    <xf numFmtId="0" fontId="0" fillId="0" borderId="0" xfId="0" quotePrefix="1" applyAlignment="1">
      <alignment horizontal="left"/>
    </xf>
    <xf numFmtId="40" fontId="47" fillId="0" borderId="0" xfId="0" applyNumberFormat="1" applyFont="1"/>
    <xf numFmtId="175" fontId="0" fillId="0" borderId="0" xfId="0" applyNumberFormat="1"/>
    <xf numFmtId="38" fontId="39" fillId="0" borderId="0" xfId="0" applyNumberFormat="1" applyFont="1" applyAlignment="1">
      <alignment horizontal="center"/>
    </xf>
    <xf numFmtId="176" fontId="0" fillId="0" borderId="0" xfId="0" applyNumberFormat="1"/>
    <xf numFmtId="0" fontId="0" fillId="0" borderId="0" xfId="0" applyAlignment="1">
      <alignment horizontal="center" wrapText="1"/>
    </xf>
    <xf numFmtId="166" fontId="22" fillId="0" borderId="0" xfId="1" quotePrefix="1" applyNumberFormat="1" applyFont="1" applyBorder="1" applyAlignment="1" applyProtection="1">
      <alignment horizontal="right"/>
    </xf>
    <xf numFmtId="0" fontId="60" fillId="0" borderId="0" xfId="0" applyFont="1" applyAlignment="1">
      <alignment horizontal="center"/>
    </xf>
    <xf numFmtId="40" fontId="31" fillId="0" borderId="0" xfId="0" applyNumberFormat="1" applyFont="1"/>
    <xf numFmtId="0" fontId="61" fillId="0" borderId="0" xfId="5" applyFont="1"/>
    <xf numFmtId="166" fontId="22" fillId="0" borderId="0" xfId="1" quotePrefix="1" applyNumberFormat="1" applyFont="1" applyFill="1" applyBorder="1" applyAlignment="1" applyProtection="1">
      <alignment horizontal="right"/>
    </xf>
    <xf numFmtId="0" fontId="61" fillId="0" borderId="0" xfId="5" applyFont="1" applyFill="1"/>
    <xf numFmtId="0" fontId="52" fillId="0" borderId="0" xfId="5" applyFont="1" applyFill="1" applyBorder="1"/>
    <xf numFmtId="166" fontId="47" fillId="0" borderId="0" xfId="0" quotePrefix="1" applyNumberFormat="1" applyFont="1" applyAlignment="1">
      <alignment horizontal="center"/>
    </xf>
    <xf numFmtId="166" fontId="47" fillId="0" borderId="0" xfId="0" applyNumberFormat="1" applyFont="1" applyAlignment="1">
      <alignment horizontal="center"/>
    </xf>
    <xf numFmtId="0" fontId="62" fillId="0" borderId="0" xfId="0" applyFont="1" applyAlignment="1">
      <alignment horizontal="center"/>
    </xf>
    <xf numFmtId="3" fontId="25" fillId="0" borderId="0" xfId="0" applyNumberFormat="1" applyFont="1" applyAlignment="1">
      <alignment wrapText="1"/>
    </xf>
    <xf numFmtId="164" fontId="32" fillId="0" borderId="0" xfId="2" applyNumberFormat="1" applyFont="1" applyBorder="1"/>
    <xf numFmtId="0" fontId="7" fillId="0" borderId="0" xfId="0" applyFont="1"/>
    <xf numFmtId="9" fontId="2" fillId="0" borderId="0" xfId="2" applyFont="1" applyAlignment="1">
      <alignment horizontal="center"/>
    </xf>
    <xf numFmtId="171" fontId="0" fillId="0" borderId="43" xfId="0" applyNumberFormat="1" applyBorder="1"/>
    <xf numFmtId="0" fontId="63" fillId="0" borderId="0" xfId="5" applyFont="1" applyAlignment="1">
      <alignment horizontal="center"/>
    </xf>
    <xf numFmtId="170" fontId="25" fillId="0" borderId="43" xfId="0" applyNumberFormat="1" applyFont="1" applyBorder="1"/>
    <xf numFmtId="38" fontId="31" fillId="0" borderId="0" xfId="0" applyNumberFormat="1" applyFont="1" applyAlignment="1">
      <alignment horizontal="center"/>
    </xf>
    <xf numFmtId="3" fontId="0" fillId="0" borderId="0" xfId="0" applyNumberFormat="1"/>
    <xf numFmtId="0" fontId="33" fillId="0" borderId="0" xfId="5" applyFill="1" applyBorder="1" applyAlignment="1" applyProtection="1"/>
    <xf numFmtId="0" fontId="39" fillId="0" borderId="0" xfId="1" applyNumberFormat="1" applyFont="1" applyFill="1" applyBorder="1" applyAlignment="1">
      <alignment horizontal="center"/>
    </xf>
    <xf numFmtId="173" fontId="31" fillId="0" borderId="0" xfId="0" applyNumberFormat="1" applyFont="1"/>
    <xf numFmtId="0" fontId="2" fillId="0" borderId="0" xfId="1" applyNumberFormat="1" applyFont="1" applyAlignment="1">
      <alignment horizontal="center"/>
    </xf>
    <xf numFmtId="38" fontId="17" fillId="0" borderId="0" xfId="0" applyNumberFormat="1" applyFont="1"/>
    <xf numFmtId="0" fontId="2" fillId="0" borderId="0" xfId="1" applyNumberFormat="1" applyFont="1" applyFill="1" applyBorder="1" applyAlignment="1">
      <alignment horizontal="center"/>
    </xf>
    <xf numFmtId="38" fontId="64" fillId="0" borderId="0" xfId="6" applyNumberFormat="1" applyFont="1" applyFill="1" applyAlignment="1" applyProtection="1">
      <alignment horizontal="right"/>
    </xf>
    <xf numFmtId="40" fontId="25" fillId="0" borderId="0" xfId="0" applyNumberFormat="1" applyFont="1" applyAlignment="1">
      <alignment horizontal="center"/>
    </xf>
    <xf numFmtId="0" fontId="52" fillId="0" borderId="0" xfId="5" applyFont="1" applyFill="1" applyBorder="1" applyAlignment="1">
      <alignment horizontal="center"/>
    </xf>
    <xf numFmtId="166" fontId="39" fillId="0" borderId="0" xfId="0" applyNumberFormat="1" applyFont="1" applyAlignment="1">
      <alignment horizontal="center"/>
    </xf>
    <xf numFmtId="38" fontId="65" fillId="0" borderId="0" xfId="0" applyNumberFormat="1" applyFont="1"/>
    <xf numFmtId="38" fontId="66" fillId="0" borderId="0" xfId="0" applyNumberFormat="1" applyFont="1"/>
    <xf numFmtId="38" fontId="32" fillId="0" borderId="0" xfId="0" applyNumberFormat="1" applyFont="1" applyAlignment="1">
      <alignment horizontal="center"/>
    </xf>
    <xf numFmtId="38" fontId="25" fillId="0" borderId="0" xfId="0" applyNumberFormat="1" applyFont="1" applyAlignment="1">
      <alignment horizontal="center"/>
    </xf>
    <xf numFmtId="38" fontId="67" fillId="0" borderId="0" xfId="6" applyNumberFormat="1" applyFont="1" applyFill="1" applyAlignment="1" applyProtection="1"/>
    <xf numFmtId="38" fontId="68" fillId="0" borderId="0" xfId="6" applyNumberFormat="1" applyFont="1" applyFill="1" applyAlignment="1" applyProtection="1"/>
    <xf numFmtId="164" fontId="67" fillId="0" borderId="0" xfId="2" applyNumberFormat="1" applyFont="1" applyFill="1" applyAlignment="1" applyProtection="1"/>
    <xf numFmtId="164" fontId="68" fillId="0" borderId="0" xfId="2" applyNumberFormat="1" applyFont="1" applyFill="1" applyAlignment="1" applyProtection="1"/>
    <xf numFmtId="40" fontId="47" fillId="0" borderId="0" xfId="0" applyNumberFormat="1" applyFont="1" applyAlignment="1">
      <alignment horizontal="center"/>
    </xf>
    <xf numFmtId="40" fontId="2" fillId="0" borderId="0" xfId="0" applyNumberFormat="1" applyFont="1" applyAlignment="1">
      <alignment horizontal="center"/>
    </xf>
    <xf numFmtId="40" fontId="65" fillId="0" borderId="0" xfId="0" applyNumberFormat="1" applyFont="1"/>
    <xf numFmtId="40" fontId="66" fillId="0" borderId="0" xfId="0" applyNumberFormat="1" applyFont="1"/>
    <xf numFmtId="0" fontId="47" fillId="0" borderId="0" xfId="0" applyFont="1" applyAlignment="1">
      <alignment horizontal="center"/>
    </xf>
    <xf numFmtId="38" fontId="65" fillId="0" borderId="1" xfId="0" applyNumberFormat="1" applyFont="1" applyBorder="1"/>
    <xf numFmtId="38" fontId="66" fillId="0" borderId="1" xfId="0" applyNumberFormat="1" applyFont="1" applyBorder="1"/>
    <xf numFmtId="0" fontId="66" fillId="0" borderId="0" xfId="0" applyFont="1"/>
    <xf numFmtId="164" fontId="66" fillId="0" borderId="1" xfId="2" applyNumberFormat="1" applyFont="1" applyBorder="1"/>
    <xf numFmtId="170" fontId="2" fillId="0" borderId="0" xfId="0" applyNumberFormat="1" applyFont="1" applyAlignment="1">
      <alignment horizontal="center"/>
    </xf>
    <xf numFmtId="0" fontId="69" fillId="0" borderId="0" xfId="0" applyFont="1"/>
    <xf numFmtId="0" fontId="36" fillId="0" borderId="41" xfId="0" applyFont="1" applyBorder="1"/>
    <xf numFmtId="166" fontId="22" fillId="0" borderId="41" xfId="1" quotePrefix="1" applyNumberFormat="1" applyFont="1" applyFill="1" applyBorder="1" applyAlignment="1" applyProtection="1">
      <alignment horizontal="right"/>
    </xf>
    <xf numFmtId="164" fontId="47" fillId="0" borderId="0" xfId="2" applyNumberFormat="1" applyFont="1" applyFill="1" applyAlignment="1" applyProtection="1">
      <alignment horizontal="right"/>
    </xf>
    <xf numFmtId="164" fontId="31" fillId="0" borderId="0" xfId="2" applyNumberFormat="1" applyFont="1" applyFill="1" applyAlignment="1" applyProtection="1">
      <alignment horizontal="right"/>
    </xf>
    <xf numFmtId="40" fontId="11" fillId="0" borderId="0" xfId="0" applyNumberFormat="1" applyFont="1"/>
    <xf numFmtId="40" fontId="17" fillId="0" borderId="0" xfId="0" applyNumberFormat="1" applyFont="1"/>
    <xf numFmtId="0" fontId="36" fillId="0" borderId="47" xfId="0" applyFont="1" applyBorder="1"/>
    <xf numFmtId="38" fontId="11" fillId="0" borderId="47" xfId="0" applyNumberFormat="1" applyFont="1" applyBorder="1"/>
    <xf numFmtId="38" fontId="17" fillId="0" borderId="47" xfId="0" applyNumberFormat="1" applyFont="1" applyBorder="1"/>
    <xf numFmtId="0" fontId="0" fillId="0" borderId="47" xfId="0" applyBorder="1"/>
    <xf numFmtId="0" fontId="69" fillId="0" borderId="43" xfId="0" applyFont="1" applyBorder="1"/>
    <xf numFmtId="38" fontId="11" fillId="0" borderId="43" xfId="0" applyNumberFormat="1" applyFont="1" applyBorder="1"/>
    <xf numFmtId="0" fontId="36" fillId="0" borderId="43" xfId="0" applyFont="1" applyBorder="1"/>
    <xf numFmtId="0" fontId="70" fillId="0" borderId="43" xfId="0" applyFont="1" applyBorder="1"/>
    <xf numFmtId="164" fontId="0" fillId="0" borderId="43" xfId="2" applyNumberFormat="1" applyFont="1" applyBorder="1"/>
    <xf numFmtId="40" fontId="47" fillId="0" borderId="42" xfId="7" applyFont="1" applyFill="1" applyBorder="1" applyAlignment="1">
      <alignment horizontal="right"/>
    </xf>
    <xf numFmtId="40" fontId="47" fillId="0" borderId="42" xfId="7" applyFont="1" applyBorder="1" applyAlignment="1">
      <alignment horizontal="right"/>
    </xf>
    <xf numFmtId="43" fontId="0" fillId="0" borderId="0" xfId="1" applyFont="1"/>
    <xf numFmtId="38" fontId="37" fillId="0" borderId="0" xfId="6" applyNumberFormat="1" applyFont="1" applyFill="1" applyAlignment="1" applyProtection="1">
      <alignment horizontal="right"/>
    </xf>
    <xf numFmtId="38" fontId="22" fillId="0" borderId="0" xfId="6" applyNumberFormat="1" applyFont="1" applyFill="1" applyAlignment="1" applyProtection="1">
      <alignment horizontal="right"/>
    </xf>
    <xf numFmtId="177" fontId="0" fillId="0" borderId="43" xfId="1" applyNumberFormat="1" applyFont="1" applyBorder="1"/>
    <xf numFmtId="0" fontId="35" fillId="4" borderId="0" xfId="0" applyFont="1" applyFill="1"/>
    <xf numFmtId="178" fontId="47" fillId="0" borderId="0" xfId="8" applyNumberFormat="1" applyFont="1"/>
  </cellXfs>
  <cellStyles count="9">
    <cellStyle name="Comma" xfId="1" builtinId="3"/>
    <cellStyle name="Comma 9" xfId="4" xr:uid="{F48D2BA7-E9D5-47C4-ADC1-AD515A5E2A33}"/>
    <cellStyle name="Comma_eusunoilim" xfId="8" xr:uid="{D3522387-0C15-445C-B955-0D9C45EFE6BB}"/>
    <cellStyle name="Comma_sbusbal" xfId="6" xr:uid="{C8F15D40-D7F6-4BAE-82A1-B23722924C9D}"/>
    <cellStyle name="Comma_sbwldbal" xfId="3" xr:uid="{D83B1F0F-5116-4602-8C29-2FAD5C24080A}"/>
    <cellStyle name="Comma_suwldbal" xfId="7" xr:uid="{369A6124-5130-4171-9877-DC33972F2E2E}"/>
    <cellStyle name="Hyperlink" xfId="5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hartsheet" Target="chartsheets/sheet1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1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Sunflower Seed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8C8C8C"/>
              </a:solidFill>
              <a:ln w="9525">
                <a:solidFill>
                  <a:srgbClr val="323232"/>
                </a:solidFill>
              </a:ln>
              <a:effectLst/>
            </c:spPr>
          </c:marker>
          <c:dPt>
            <c:idx val="29"/>
            <c:marker>
              <c:symbol val="circle"/>
              <c:size val="4"/>
              <c:spPr>
                <a:solidFill>
                  <a:srgbClr val="8C8C8C"/>
                </a:solidFill>
                <a:ln w="952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16-45FF-8654-8CC6BB0E3FEF}"/>
              </c:ext>
            </c:extLst>
          </c:dPt>
          <c:dPt>
            <c:idx val="30"/>
            <c:marker>
              <c:symbol val="circle"/>
              <c:size val="4"/>
              <c:spPr>
                <a:solidFill>
                  <a:srgbClr val="8C8C8C"/>
                </a:solidFill>
                <a:ln w="952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16-45FF-8654-8CC6BB0E3FEF}"/>
              </c:ext>
            </c:extLst>
          </c:dPt>
          <c:dPt>
            <c:idx val="31"/>
            <c:marker>
              <c:symbol val="circle"/>
              <c:size val="4"/>
              <c:spPr>
                <a:solidFill>
                  <a:srgbClr val="8C8C8C"/>
                </a:solidFill>
                <a:ln w="952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16-45FF-8654-8CC6BB0E3FEF}"/>
              </c:ext>
            </c:extLst>
          </c:dPt>
          <c:dPt>
            <c:idx val="32"/>
            <c:marker>
              <c:symbol val="circle"/>
              <c:size val="4"/>
              <c:spPr>
                <a:solidFill>
                  <a:srgbClr val="8C8C8C"/>
                </a:solidFill>
                <a:ln w="952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16-45FF-8654-8CC6BB0E3FEF}"/>
              </c:ext>
            </c:extLst>
          </c:dPt>
          <c:trendline>
            <c:spPr>
              <a:ln w="9525" cap="rnd">
                <a:solidFill>
                  <a:srgbClr val="6D078E"/>
                </a:solidFill>
                <a:prstDash val="solid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66736767279090115"/>
                  <c:y val="-4.86537620297462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cat>
            <c:strRef>
              <c:f>'EU Sun Complex'!$B$2:$AM$2</c:f>
              <c:strCache>
                <c:ptCount val="38"/>
                <c:pt idx="0">
                  <c:v>93/94 </c:v>
                </c:pt>
                <c:pt idx="1">
                  <c:v>94/95 </c:v>
                </c:pt>
                <c:pt idx="2">
                  <c:v>95/96 </c:v>
                </c:pt>
                <c:pt idx="3">
                  <c:v>96/97 </c:v>
                </c:pt>
                <c:pt idx="4">
                  <c:v>97/98 </c:v>
                </c:pt>
                <c:pt idx="5">
                  <c:v>98/99 </c:v>
                </c:pt>
                <c:pt idx="6">
                  <c:v>99/00 </c:v>
                </c:pt>
                <c:pt idx="7">
                  <c:v>00/01 </c:v>
                </c:pt>
                <c:pt idx="8">
                  <c:v>01/02 </c:v>
                </c:pt>
                <c:pt idx="9">
                  <c:v>02/03 </c:v>
                </c:pt>
                <c:pt idx="10">
                  <c:v>03/04 </c:v>
                </c:pt>
                <c:pt idx="11">
                  <c:v>04/05 </c:v>
                </c:pt>
                <c:pt idx="12">
                  <c:v>05/06 </c:v>
                </c:pt>
                <c:pt idx="13">
                  <c:v>06/07 </c:v>
                </c:pt>
                <c:pt idx="14">
                  <c:v>07/08 </c:v>
                </c:pt>
                <c:pt idx="15">
                  <c:v>08/09 </c:v>
                </c:pt>
                <c:pt idx="16">
                  <c:v>09/10 </c:v>
                </c:pt>
                <c:pt idx="17">
                  <c:v>10/11 </c:v>
                </c:pt>
                <c:pt idx="18">
                  <c:v>11/12 </c:v>
                </c:pt>
                <c:pt idx="19">
                  <c:v>12/13 </c:v>
                </c:pt>
                <c:pt idx="20">
                  <c:v>13/14 </c:v>
                </c:pt>
                <c:pt idx="21">
                  <c:v>14/15 </c:v>
                </c:pt>
                <c:pt idx="22">
                  <c:v>15/16 </c:v>
                </c:pt>
                <c:pt idx="23">
                  <c:v>16/17 </c:v>
                </c:pt>
                <c:pt idx="24">
                  <c:v>17/18 </c:v>
                </c:pt>
                <c:pt idx="25">
                  <c:v>18/19 </c:v>
                </c:pt>
                <c:pt idx="26">
                  <c:v>19/20 </c:v>
                </c:pt>
                <c:pt idx="27">
                  <c:v>20/21 </c:v>
                </c:pt>
                <c:pt idx="28">
                  <c:v>21/22</c:v>
                </c:pt>
                <c:pt idx="29">
                  <c:v>22/23</c:v>
                </c:pt>
                <c:pt idx="30">
                  <c:v>23/24</c:v>
                </c:pt>
                <c:pt idx="31">
                  <c:v>24/25</c:v>
                </c:pt>
                <c:pt idx="32">
                  <c:v>25/26</c:v>
                </c:pt>
                <c:pt idx="33">
                  <c:v>26/27</c:v>
                </c:pt>
                <c:pt idx="34">
                  <c:v>27/28</c:v>
                </c:pt>
                <c:pt idx="35">
                  <c:v>28/29</c:v>
                </c:pt>
                <c:pt idx="36">
                  <c:v>29/30</c:v>
                </c:pt>
                <c:pt idx="37">
                  <c:v>30/31</c:v>
                </c:pt>
              </c:strCache>
            </c:strRef>
          </c:cat>
          <c:val>
            <c:numRef>
              <c:f>'EU Sun Complex'!$B$7:$AM$7</c:f>
              <c:numCache>
                <c:formatCode>#,##0.00_);[Red]\(#,##0.00\)</c:formatCode>
                <c:ptCount val="38"/>
                <c:pt idx="0">
                  <c:v>1.2514806378132119</c:v>
                </c:pt>
                <c:pt idx="1">
                  <c:v>1.4024085435128379</c:v>
                </c:pt>
                <c:pt idx="2">
                  <c:v>1.3612377068841448</c:v>
                </c:pt>
                <c:pt idx="3">
                  <c:v>1.5251226922178078</c:v>
                </c:pt>
                <c:pt idx="4">
                  <c:v>1.4862812346888781</c:v>
                </c:pt>
                <c:pt idx="5">
                  <c:v>1.4109321620302586</c:v>
                </c:pt>
                <c:pt idx="6">
                  <c:v>1.4267782426778242</c:v>
                </c:pt>
                <c:pt idx="7">
                  <c:v>1.4432040189785096</c:v>
                </c:pt>
                <c:pt idx="8">
                  <c:v>1.4031897034135423</c:v>
                </c:pt>
                <c:pt idx="9">
                  <c:v>1.5113800057620281</c:v>
                </c:pt>
                <c:pt idx="10">
                  <c:v>1.4889952153110049</c:v>
                </c:pt>
                <c:pt idx="11">
                  <c:v>1.7743074416078219</c:v>
                </c:pt>
                <c:pt idx="12">
                  <c:v>1.6683250414593698</c:v>
                </c:pt>
                <c:pt idx="13">
                  <c:v>1.6406678295539496</c:v>
                </c:pt>
                <c:pt idx="14">
                  <c:v>1.391509703196347</c:v>
                </c:pt>
                <c:pt idx="15">
                  <c:v>2.0677539520514019</c:v>
                </c:pt>
                <c:pt idx="16">
                  <c:v>1.798261260088851</c:v>
                </c:pt>
                <c:pt idx="17">
                  <c:v>1.844080335471453</c:v>
                </c:pt>
                <c:pt idx="18">
                  <c:v>1.9596068294268896</c:v>
                </c:pt>
                <c:pt idx="19">
                  <c:v>1.6691763494665668</c:v>
                </c:pt>
                <c:pt idx="20">
                  <c:v>2.0044233144360111</c:v>
                </c:pt>
                <c:pt idx="21">
                  <c:v>2.1798459461233373</c:v>
                </c:pt>
                <c:pt idx="22">
                  <c:v>1.8781375071469411</c:v>
                </c:pt>
                <c:pt idx="23">
                  <c:v>2.1118595350255136</c:v>
                </c:pt>
                <c:pt idx="24">
                  <c:v>2.4127501368388824</c:v>
                </c:pt>
                <c:pt idx="25">
                  <c:v>2.4772421844919461</c:v>
                </c:pt>
                <c:pt idx="26">
                  <c:v>2.3615699907327574</c:v>
                </c:pt>
                <c:pt idx="27">
                  <c:v>2.0477446037928146</c:v>
                </c:pt>
                <c:pt idx="28">
                  <c:v>2.3724915708540388</c:v>
                </c:pt>
                <c:pt idx="29">
                  <c:v>1.8853126216111042</c:v>
                </c:pt>
                <c:pt idx="30">
                  <c:v>2.0904579965397994</c:v>
                </c:pt>
                <c:pt idx="31">
                  <c:v>1.6501417911824952</c:v>
                </c:pt>
                <c:pt idx="32">
                  <c:v>2.126316099981636</c:v>
                </c:pt>
                <c:pt idx="33">
                  <c:v>2.1277608082014368</c:v>
                </c:pt>
                <c:pt idx="34">
                  <c:v>2.1402311824580571</c:v>
                </c:pt>
                <c:pt idx="35">
                  <c:v>2.1542005127483552</c:v>
                </c:pt>
                <c:pt idx="36">
                  <c:v>2.1577143683113635</c:v>
                </c:pt>
                <c:pt idx="37">
                  <c:v>2.1662876629173398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16-45FF-8654-8CC6BB0E3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017696"/>
        <c:axId val="1383020320"/>
      </c:lineChart>
      <c:catAx>
        <c:axId val="13830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20320"/>
        <c:crosses val="autoZero"/>
        <c:auto val="1"/>
        <c:lblAlgn val="ctr"/>
        <c:lblOffset val="100"/>
        <c:noMultiLvlLbl val="0"/>
      </c:catAx>
      <c:valAx>
        <c:axId val="138302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1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Ukraine Sunflower Oil Exports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50681414710374"/>
          <c:y val="0.1131782807278605"/>
          <c:w val="0.87776074987993646"/>
          <c:h val="0.764921287611252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'[2]Ukraine Sun Oil Exports'!$A$296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FF616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'[2]Ukraine Sun Oil Exports'!$Y$2:$AE$2</c:f>
              <c:strCache>
                <c:ptCount val="7"/>
                <c:pt idx="0">
                  <c:v>2016/17</c:v>
                </c:pt>
                <c:pt idx="1">
                  <c:v>2017/18</c:v>
                </c:pt>
                <c:pt idx="2">
                  <c:v>2018/19</c:v>
                </c:pt>
                <c:pt idx="3">
                  <c:v>2019/20</c:v>
                </c:pt>
                <c:pt idx="4">
                  <c:v>2020/21</c:v>
                </c:pt>
                <c:pt idx="5">
                  <c:v>2021/22</c:v>
                </c:pt>
                <c:pt idx="6">
                  <c:v>2022/23</c:v>
                </c:pt>
              </c:strCache>
            </c:strRef>
          </c:cat>
          <c:val>
            <c:numRef>
              <c:f>'[2]Ukraine Sun Oil Exports'!$Y$296:$AE$296</c:f>
              <c:numCache>
                <c:formatCode>General</c:formatCode>
                <c:ptCount val="7"/>
                <c:pt idx="0">
                  <c:v>1710.7615379999995</c:v>
                </c:pt>
                <c:pt idx="1">
                  <c:v>1291.8806880000002</c:v>
                </c:pt>
                <c:pt idx="2">
                  <c:v>1833.7583139999997</c:v>
                </c:pt>
                <c:pt idx="3">
                  <c:v>2164.0545040000006</c:v>
                </c:pt>
                <c:pt idx="4">
                  <c:v>1563.839858</c:v>
                </c:pt>
                <c:pt idx="5">
                  <c:v>2014.1000000000001</c:v>
                </c:pt>
                <c:pt idx="6">
                  <c:v>661.21899999999994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F-47FD-938C-232938DB7464}"/>
            </c:ext>
          </c:extLst>
        </c:ser>
        <c:ser>
          <c:idx val="1"/>
          <c:order val="1"/>
          <c:tx>
            <c:strRef>
              <c:f>'[2]Ukraine Sun Oil Exports'!$A$297</c:f>
              <c:strCache>
                <c:ptCount val="1"/>
                <c:pt idx="0">
                  <c:v>Other Europe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'[2]Ukraine Sun Oil Exports'!$Y$2:$AE$2</c:f>
              <c:strCache>
                <c:ptCount val="7"/>
                <c:pt idx="0">
                  <c:v>2016/17</c:v>
                </c:pt>
                <c:pt idx="1">
                  <c:v>2017/18</c:v>
                </c:pt>
                <c:pt idx="2">
                  <c:v>2018/19</c:v>
                </c:pt>
                <c:pt idx="3">
                  <c:v>2019/20</c:v>
                </c:pt>
                <c:pt idx="4">
                  <c:v>2020/21</c:v>
                </c:pt>
                <c:pt idx="5">
                  <c:v>2021/22</c:v>
                </c:pt>
                <c:pt idx="6">
                  <c:v>2022/23</c:v>
                </c:pt>
              </c:strCache>
            </c:strRef>
          </c:cat>
          <c:val>
            <c:numRef>
              <c:f>'[2]Ukraine Sun Oil Exports'!$Y$297:$AE$297</c:f>
              <c:numCache>
                <c:formatCode>General</c:formatCode>
                <c:ptCount val="7"/>
                <c:pt idx="0">
                  <c:v>28.373045000000001</c:v>
                </c:pt>
                <c:pt idx="1">
                  <c:v>8.8994159999999987</c:v>
                </c:pt>
                <c:pt idx="2">
                  <c:v>8.2756050000000005</c:v>
                </c:pt>
                <c:pt idx="3">
                  <c:v>19.587924999999998</c:v>
                </c:pt>
                <c:pt idx="4">
                  <c:v>28.457414999999997</c:v>
                </c:pt>
                <c:pt idx="5">
                  <c:v>33.113</c:v>
                </c:pt>
                <c:pt idx="6">
                  <c:v>57.563000000000002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2F-47FD-938C-232938DB7464}"/>
            </c:ext>
          </c:extLst>
        </c:ser>
        <c:ser>
          <c:idx val="2"/>
          <c:order val="2"/>
          <c:tx>
            <c:strRef>
              <c:f>'[2]Ukraine Sun Oil Exports'!$A$298</c:f>
              <c:strCache>
                <c:ptCount val="1"/>
                <c:pt idx="0">
                  <c:v>FSU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'[2]Ukraine Sun Oil Exports'!$Y$2:$AE$2</c:f>
              <c:strCache>
                <c:ptCount val="7"/>
                <c:pt idx="0">
                  <c:v>2016/17</c:v>
                </c:pt>
                <c:pt idx="1">
                  <c:v>2017/18</c:v>
                </c:pt>
                <c:pt idx="2">
                  <c:v>2018/19</c:v>
                </c:pt>
                <c:pt idx="3">
                  <c:v>2019/20</c:v>
                </c:pt>
                <c:pt idx="4">
                  <c:v>2020/21</c:v>
                </c:pt>
                <c:pt idx="5">
                  <c:v>2021/22</c:v>
                </c:pt>
                <c:pt idx="6">
                  <c:v>2022/23</c:v>
                </c:pt>
              </c:strCache>
            </c:strRef>
          </c:cat>
          <c:val>
            <c:numRef>
              <c:f>'[2]Ukraine Sun Oil Exports'!$Y$298:$AE$298</c:f>
              <c:numCache>
                <c:formatCode>General</c:formatCode>
                <c:ptCount val="7"/>
                <c:pt idx="0">
                  <c:v>43.234694999999995</c:v>
                </c:pt>
                <c:pt idx="1">
                  <c:v>36.620531000000007</c:v>
                </c:pt>
                <c:pt idx="2">
                  <c:v>30.722424999999994</c:v>
                </c:pt>
                <c:pt idx="3">
                  <c:v>26.466594000000004</c:v>
                </c:pt>
                <c:pt idx="4">
                  <c:v>22.497758999999999</c:v>
                </c:pt>
                <c:pt idx="5">
                  <c:v>32.191000000000003</c:v>
                </c:pt>
                <c:pt idx="6">
                  <c:v>41.218999999999994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2F-47FD-938C-232938DB7464}"/>
            </c:ext>
          </c:extLst>
        </c:ser>
        <c:ser>
          <c:idx val="3"/>
          <c:order val="3"/>
          <c:tx>
            <c:strRef>
              <c:f>'[2]Ukraine Sun Oil Exports'!$A$299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'[2]Ukraine Sun Oil Exports'!$Y$2:$AE$2</c:f>
              <c:strCache>
                <c:ptCount val="7"/>
                <c:pt idx="0">
                  <c:v>2016/17</c:v>
                </c:pt>
                <c:pt idx="1">
                  <c:v>2017/18</c:v>
                </c:pt>
                <c:pt idx="2">
                  <c:v>2018/19</c:v>
                </c:pt>
                <c:pt idx="3">
                  <c:v>2019/20</c:v>
                </c:pt>
                <c:pt idx="4">
                  <c:v>2020/21</c:v>
                </c:pt>
                <c:pt idx="5">
                  <c:v>2021/22</c:v>
                </c:pt>
                <c:pt idx="6">
                  <c:v>2022/23</c:v>
                </c:pt>
              </c:strCache>
            </c:strRef>
          </c:cat>
          <c:val>
            <c:numRef>
              <c:f>'[2]Ukraine Sun Oil Exports'!$Y$299:$AE$299</c:f>
              <c:numCache>
                <c:formatCode>General</c:formatCode>
                <c:ptCount val="7"/>
                <c:pt idx="0">
                  <c:v>3706.4492840000012</c:v>
                </c:pt>
                <c:pt idx="1">
                  <c:v>3766.3257150000009</c:v>
                </c:pt>
                <c:pt idx="2">
                  <c:v>3946.4773820000005</c:v>
                </c:pt>
                <c:pt idx="3">
                  <c:v>4153.5582989999994</c:v>
                </c:pt>
                <c:pt idx="4">
                  <c:v>3398.2099349999994</c:v>
                </c:pt>
                <c:pt idx="5">
                  <c:v>2382.3111279999998</c:v>
                </c:pt>
                <c:pt idx="6">
                  <c:v>627.09400000000005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2F-47FD-938C-232938DB7464}"/>
            </c:ext>
          </c:extLst>
        </c:ser>
        <c:ser>
          <c:idx val="4"/>
          <c:order val="4"/>
          <c:tx>
            <c:strRef>
              <c:f>'[2]Ukraine Sun Oil Exports'!$A$300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'[2]Ukraine Sun Oil Exports'!$Y$2:$AE$2</c:f>
              <c:strCache>
                <c:ptCount val="7"/>
                <c:pt idx="0">
                  <c:v>2016/17</c:v>
                </c:pt>
                <c:pt idx="1">
                  <c:v>2017/18</c:v>
                </c:pt>
                <c:pt idx="2">
                  <c:v>2018/19</c:v>
                </c:pt>
                <c:pt idx="3">
                  <c:v>2019/20</c:v>
                </c:pt>
                <c:pt idx="4">
                  <c:v>2020/21</c:v>
                </c:pt>
                <c:pt idx="5">
                  <c:v>2021/22</c:v>
                </c:pt>
                <c:pt idx="6">
                  <c:v>2022/23</c:v>
                </c:pt>
              </c:strCache>
            </c:strRef>
          </c:cat>
          <c:val>
            <c:numRef>
              <c:f>'[2]Ukraine Sun Oil Exports'!$Y$300:$AE$300</c:f>
              <c:numCache>
                <c:formatCode>General</c:formatCode>
                <c:ptCount val="7"/>
                <c:pt idx="0">
                  <c:v>362.43507499999993</c:v>
                </c:pt>
                <c:pt idx="1">
                  <c:v>173.72902199999999</c:v>
                </c:pt>
                <c:pt idx="2">
                  <c:v>196.30314899999999</c:v>
                </c:pt>
                <c:pt idx="3">
                  <c:v>375.46291600000001</c:v>
                </c:pt>
                <c:pt idx="4">
                  <c:v>182.51122100000003</c:v>
                </c:pt>
                <c:pt idx="5">
                  <c:v>169.69603000000004</c:v>
                </c:pt>
                <c:pt idx="6">
                  <c:v>213.494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2F-47FD-938C-232938DB7464}"/>
            </c:ext>
          </c:extLst>
        </c:ser>
        <c:ser>
          <c:idx val="5"/>
          <c:order val="5"/>
          <c:tx>
            <c:strRef>
              <c:f>'[2]Ukraine Sun Oil Exports'!$A$301</c:f>
              <c:strCache>
                <c:ptCount val="1"/>
                <c:pt idx="0">
                  <c:v>Western Hemisphere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'[2]Ukraine Sun Oil Exports'!$Y$2:$AE$2</c:f>
              <c:strCache>
                <c:ptCount val="7"/>
                <c:pt idx="0">
                  <c:v>2016/17</c:v>
                </c:pt>
                <c:pt idx="1">
                  <c:v>2017/18</c:v>
                </c:pt>
                <c:pt idx="2">
                  <c:v>2018/19</c:v>
                </c:pt>
                <c:pt idx="3">
                  <c:v>2019/20</c:v>
                </c:pt>
                <c:pt idx="4">
                  <c:v>2020/21</c:v>
                </c:pt>
                <c:pt idx="5">
                  <c:v>2021/22</c:v>
                </c:pt>
                <c:pt idx="6">
                  <c:v>2022/23</c:v>
                </c:pt>
              </c:strCache>
            </c:strRef>
          </c:cat>
          <c:val>
            <c:numRef>
              <c:f>'[2]Ukraine Sun Oil Exports'!$Y$301:$AE$301</c:f>
              <c:numCache>
                <c:formatCode>General</c:formatCode>
                <c:ptCount val="7"/>
                <c:pt idx="0">
                  <c:v>27.107044999999999</c:v>
                </c:pt>
                <c:pt idx="1">
                  <c:v>28.480226000000005</c:v>
                </c:pt>
                <c:pt idx="2">
                  <c:v>39.154234000000002</c:v>
                </c:pt>
                <c:pt idx="3">
                  <c:v>84.453163000000004</c:v>
                </c:pt>
                <c:pt idx="4">
                  <c:v>50.947891999999996</c:v>
                </c:pt>
                <c:pt idx="5">
                  <c:v>55.70608099999999</c:v>
                </c:pt>
                <c:pt idx="6">
                  <c:v>120.95400000000001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2F-47FD-938C-232938DB7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673647"/>
        <c:axId val="72672007"/>
      </c:barChart>
      <c:catAx>
        <c:axId val="7267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672007"/>
        <c:crosses val="autoZero"/>
        <c:auto val="1"/>
        <c:lblAlgn val="ctr"/>
        <c:lblOffset val="100"/>
        <c:noMultiLvlLbl val="0"/>
      </c:catAx>
      <c:valAx>
        <c:axId val="72672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6736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424423447120046"/>
          <c:y val="0.14312811533630607"/>
          <c:w val="0.69087131022080939"/>
          <c:h val="5.0762992851296818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87D0EE-8DB8-4A58-B9E4-3358D121080D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9531</xdr:colOff>
      <xdr:row>3</xdr:row>
      <xdr:rowOff>195262</xdr:rowOff>
    </xdr:from>
    <xdr:to>
      <xdr:col>48</xdr:col>
      <xdr:colOff>381006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9ACF4-CB66-4D58-90F5-75FF63A6D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209550</xdr:colOff>
      <xdr:row>0</xdr:row>
      <xdr:rowOff>63873</xdr:rowOff>
    </xdr:from>
    <xdr:to>
      <xdr:col>51</xdr:col>
      <xdr:colOff>515471</xdr:colOff>
      <xdr:row>0</xdr:row>
      <xdr:rowOff>179294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47A3CEE-7461-40B4-B5DD-E684F93D5978}"/>
            </a:ext>
          </a:extLst>
        </xdr:cNvPr>
        <xdr:cNvSpPr/>
      </xdr:nvSpPr>
      <xdr:spPr bwMode="auto">
        <a:xfrm>
          <a:off x="32394525" y="63873"/>
          <a:ext cx="305921" cy="115421"/>
        </a:xfrm>
        <a:prstGeom prst="rightArrow">
          <a:avLst/>
        </a:prstGeom>
        <a:solidFill>
          <a:schemeClr val="accent6">
            <a:lumMod val="7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257735</xdr:colOff>
      <xdr:row>0</xdr:row>
      <xdr:rowOff>56030</xdr:rowOff>
    </xdr:from>
    <xdr:to>
      <xdr:col>49</xdr:col>
      <xdr:colOff>563656</xdr:colOff>
      <xdr:row>0</xdr:row>
      <xdr:rowOff>171451</xdr:rowOff>
    </xdr:to>
    <xdr:sp macro="" textlink="">
      <xdr:nvSpPr>
        <xdr:cNvPr id="3" name="Right Arrow 1">
          <a:extLst>
            <a:ext uri="{FF2B5EF4-FFF2-40B4-BE49-F238E27FC236}">
              <a16:creationId xmlns:a16="http://schemas.microsoft.com/office/drawing/2014/main" id="{EB75E1B1-2F91-42A1-BD0A-D7C7DADC4B9C}"/>
            </a:ext>
          </a:extLst>
        </xdr:cNvPr>
        <xdr:cNvSpPr/>
      </xdr:nvSpPr>
      <xdr:spPr bwMode="auto">
        <a:xfrm>
          <a:off x="31261610" y="56030"/>
          <a:ext cx="305921" cy="115421"/>
        </a:xfrm>
        <a:prstGeom prst="rightArrow">
          <a:avLst/>
        </a:prstGeom>
        <a:solidFill>
          <a:schemeClr val="accent6">
            <a:lumMod val="7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198344</xdr:colOff>
      <xdr:row>0</xdr:row>
      <xdr:rowOff>75080</xdr:rowOff>
    </xdr:from>
    <xdr:to>
      <xdr:col>49</xdr:col>
      <xdr:colOff>504265</xdr:colOff>
      <xdr:row>0</xdr:row>
      <xdr:rowOff>190501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D28564D0-898E-47BC-9441-7FCDF4420A04}"/>
            </a:ext>
          </a:extLst>
        </xdr:cNvPr>
        <xdr:cNvSpPr/>
      </xdr:nvSpPr>
      <xdr:spPr bwMode="auto">
        <a:xfrm>
          <a:off x="30992669" y="75080"/>
          <a:ext cx="305921" cy="115421"/>
        </a:xfrm>
        <a:prstGeom prst="rightArrow">
          <a:avLst/>
        </a:prstGeom>
        <a:solidFill>
          <a:schemeClr val="accent6">
            <a:lumMod val="7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100853</xdr:colOff>
      <xdr:row>1</xdr:row>
      <xdr:rowOff>44823</xdr:rowOff>
    </xdr:from>
    <xdr:to>
      <xdr:col>43</xdr:col>
      <xdr:colOff>406774</xdr:colOff>
      <xdr:row>1</xdr:row>
      <xdr:rowOff>160244</xdr:rowOff>
    </xdr:to>
    <xdr:sp macro="" textlink="">
      <xdr:nvSpPr>
        <xdr:cNvPr id="3" name="Right Arrow 1">
          <a:extLst>
            <a:ext uri="{FF2B5EF4-FFF2-40B4-BE49-F238E27FC236}">
              <a16:creationId xmlns:a16="http://schemas.microsoft.com/office/drawing/2014/main" id="{0905141F-E509-4304-B1A6-D9D03AAF33DE}"/>
            </a:ext>
          </a:extLst>
        </xdr:cNvPr>
        <xdr:cNvSpPr/>
      </xdr:nvSpPr>
      <xdr:spPr bwMode="auto">
        <a:xfrm>
          <a:off x="27351878" y="292473"/>
          <a:ext cx="305921" cy="115421"/>
        </a:xfrm>
        <a:prstGeom prst="rightArrow">
          <a:avLst/>
        </a:prstGeom>
        <a:solidFill>
          <a:schemeClr val="accent6">
            <a:lumMod val="7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4230350" cy="8058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EAAB5-636C-30FB-4870-A58BF1D9F0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0.95215</cdr:y>
    </cdr:from>
    <cdr:to>
      <cdr:x>0.32143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C0B717-6DE5-4087-A4F3-A38E54CAA6E5}"/>
            </a:ext>
          </a:extLst>
        </cdr:cNvPr>
        <cdr:cNvSpPr txBox="1"/>
      </cdr:nvSpPr>
      <cdr:spPr>
        <a:xfrm xmlns:a="http://schemas.openxmlformats.org/drawingml/2006/main">
          <a:off x="0" y="5117646"/>
          <a:ext cx="30480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GTT, The Jacobsen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209550</xdr:colOff>
      <xdr:row>0</xdr:row>
      <xdr:rowOff>63873</xdr:rowOff>
    </xdr:from>
    <xdr:to>
      <xdr:col>48</xdr:col>
      <xdr:colOff>515471</xdr:colOff>
      <xdr:row>0</xdr:row>
      <xdr:rowOff>179294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356BF4F1-A771-4511-A499-1044D471A2D5}"/>
            </a:ext>
          </a:extLst>
        </xdr:cNvPr>
        <xdr:cNvSpPr/>
      </xdr:nvSpPr>
      <xdr:spPr bwMode="auto">
        <a:xfrm>
          <a:off x="30622875" y="63873"/>
          <a:ext cx="305921" cy="115421"/>
        </a:xfrm>
        <a:prstGeom prst="rightArrow">
          <a:avLst/>
        </a:prstGeom>
        <a:solidFill>
          <a:schemeClr val="accent6">
            <a:lumMod val="7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257735</xdr:colOff>
      <xdr:row>0</xdr:row>
      <xdr:rowOff>56030</xdr:rowOff>
    </xdr:from>
    <xdr:to>
      <xdr:col>46</xdr:col>
      <xdr:colOff>563656</xdr:colOff>
      <xdr:row>0</xdr:row>
      <xdr:rowOff>171451</xdr:rowOff>
    </xdr:to>
    <xdr:sp macro="" textlink="">
      <xdr:nvSpPr>
        <xdr:cNvPr id="3" name="Right Arrow 1">
          <a:extLst>
            <a:ext uri="{FF2B5EF4-FFF2-40B4-BE49-F238E27FC236}">
              <a16:creationId xmlns:a16="http://schemas.microsoft.com/office/drawing/2014/main" id="{62DD2018-5221-4947-BCAA-4F80363932CB}"/>
            </a:ext>
          </a:extLst>
        </xdr:cNvPr>
        <xdr:cNvSpPr/>
      </xdr:nvSpPr>
      <xdr:spPr bwMode="auto">
        <a:xfrm>
          <a:off x="29489960" y="56030"/>
          <a:ext cx="305921" cy="115421"/>
        </a:xfrm>
        <a:prstGeom prst="rightArrow">
          <a:avLst/>
        </a:prstGeom>
        <a:solidFill>
          <a:schemeClr val="accent6">
            <a:lumMod val="7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sunbal%20-%20HOBO.xlsx" TargetMode="External"/><Relationship Id="rId1" Type="http://schemas.openxmlformats.org/officeDocument/2006/relationships/externalLinkPath" Target="/Users/torem/Dropbox/FM%20Files/HOBO/Biofuel%20Model/wldsun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suntrade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suntrad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trade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trad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lautrade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lautrad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soy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soy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ld Sun Bal"/>
      <sheetName val="World Sun Meal Bal"/>
      <sheetName val="World Sun Oil Bal"/>
      <sheetName val="Major Sunflower Exports"/>
      <sheetName val="Major Sun Oil Exports"/>
      <sheetName val="Sun Matrix"/>
      <sheetName val="Sun Meal Matrix"/>
      <sheetName val="Sun Oil Matrix"/>
      <sheetName val="Argentina Sun Complex"/>
      <sheetName val="EU Sun Complex"/>
      <sheetName val="Ukraine Sun Complex"/>
      <sheetName val="Russia Sun Complex"/>
      <sheetName val="India Sun Complex"/>
      <sheetName val="China Sun Complex"/>
      <sheetName val="Canada Sun Complex"/>
      <sheetName val="Mexico Sun Complex"/>
      <sheetName val="Turkey Sun Complex"/>
      <sheetName val="Ukraine Exports by Region"/>
      <sheetName val="Template"/>
      <sheetName val="Ukraine Sun Comple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 xml:space="preserve">93/94 </v>
          </cell>
          <cell r="C2" t="str">
            <v xml:space="preserve">94/95 </v>
          </cell>
          <cell r="D2" t="str">
            <v xml:space="preserve">95/96 </v>
          </cell>
          <cell r="E2" t="str">
            <v xml:space="preserve">96/97 </v>
          </cell>
          <cell r="F2" t="str">
            <v xml:space="preserve">97/98 </v>
          </cell>
          <cell r="G2" t="str">
            <v xml:space="preserve">98/99 </v>
          </cell>
          <cell r="H2" t="str">
            <v xml:space="preserve">99/00 </v>
          </cell>
          <cell r="I2" t="str">
            <v xml:space="preserve">00/01 </v>
          </cell>
          <cell r="J2" t="str">
            <v xml:space="preserve">01/02 </v>
          </cell>
          <cell r="K2" t="str">
            <v xml:space="preserve">02/03 </v>
          </cell>
          <cell r="L2" t="str">
            <v xml:space="preserve">03/04 </v>
          </cell>
          <cell r="M2" t="str">
            <v xml:space="preserve">04/05 </v>
          </cell>
          <cell r="N2" t="str">
            <v xml:space="preserve">05/06 </v>
          </cell>
          <cell r="O2" t="str">
            <v xml:space="preserve">06/07 </v>
          </cell>
          <cell r="P2" t="str">
            <v xml:space="preserve">07/08 </v>
          </cell>
          <cell r="Q2" t="str">
            <v xml:space="preserve">08/09 </v>
          </cell>
          <cell r="R2" t="str">
            <v xml:space="preserve">09/10 </v>
          </cell>
          <cell r="S2" t="str">
            <v xml:space="preserve">10/11 </v>
          </cell>
          <cell r="T2" t="str">
            <v xml:space="preserve">11/12 </v>
          </cell>
          <cell r="U2" t="str">
            <v xml:space="preserve">12/13 </v>
          </cell>
          <cell r="V2" t="str">
            <v xml:space="preserve">13/14 </v>
          </cell>
          <cell r="W2" t="str">
            <v xml:space="preserve">14/15 </v>
          </cell>
          <cell r="X2" t="str">
            <v xml:space="preserve">15/16 </v>
          </cell>
          <cell r="Y2" t="str">
            <v xml:space="preserve">16/17 </v>
          </cell>
          <cell r="Z2" t="str">
            <v xml:space="preserve">17/18 </v>
          </cell>
          <cell r="AA2" t="str">
            <v xml:space="preserve">18/19 </v>
          </cell>
          <cell r="AB2" t="str">
            <v xml:space="preserve">19/20 </v>
          </cell>
          <cell r="AC2" t="str">
            <v xml:space="preserve">20/21 </v>
          </cell>
          <cell r="AD2" t="str">
            <v>21/22</v>
          </cell>
          <cell r="AE2" t="str">
            <v>22/23</v>
          </cell>
          <cell r="AF2" t="str">
            <v>23/24</v>
          </cell>
          <cell r="AG2" t="str">
            <v>24/25</v>
          </cell>
          <cell r="AH2" t="str">
            <v>25/26</v>
          </cell>
          <cell r="AI2" t="str">
            <v>26/27</v>
          </cell>
          <cell r="AJ2" t="str">
            <v>27/28</v>
          </cell>
          <cell r="AK2" t="str">
            <v>28/29</v>
          </cell>
          <cell r="AL2" t="str">
            <v>29/30</v>
          </cell>
          <cell r="AM2" t="str">
            <v>30/31</v>
          </cell>
        </row>
        <row r="7">
          <cell r="B7">
            <v>1.2514806378132119</v>
          </cell>
          <cell r="C7">
            <v>1.4024085435128379</v>
          </cell>
          <cell r="D7">
            <v>1.3612377068841448</v>
          </cell>
          <cell r="E7">
            <v>1.5251226922178078</v>
          </cell>
          <cell r="F7">
            <v>1.4862812346888781</v>
          </cell>
          <cell r="G7">
            <v>1.4109321620302586</v>
          </cell>
          <cell r="H7">
            <v>1.4267782426778242</v>
          </cell>
          <cell r="I7">
            <v>1.4432040189785096</v>
          </cell>
          <cell r="J7">
            <v>1.4031897034135423</v>
          </cell>
          <cell r="K7">
            <v>1.5113800057620281</v>
          </cell>
          <cell r="L7">
            <v>1.4889952153110049</v>
          </cell>
          <cell r="M7">
            <v>1.7743074416078219</v>
          </cell>
          <cell r="N7">
            <v>1.6683250414593698</v>
          </cell>
          <cell r="O7">
            <v>1.6406678295539496</v>
          </cell>
          <cell r="P7">
            <v>1.391509703196347</v>
          </cell>
          <cell r="Q7">
            <v>2.0677539520514019</v>
          </cell>
          <cell r="R7">
            <v>1.798261260088851</v>
          </cell>
          <cell r="S7">
            <v>1.844080335471453</v>
          </cell>
          <cell r="T7">
            <v>1.9596068294268896</v>
          </cell>
          <cell r="U7">
            <v>1.6691763494665668</v>
          </cell>
          <cell r="V7">
            <v>2.0044233144360111</v>
          </cell>
          <cell r="W7">
            <v>2.1798459461233373</v>
          </cell>
          <cell r="X7">
            <v>1.8781375071469411</v>
          </cell>
          <cell r="Y7">
            <v>2.1118595350255136</v>
          </cell>
          <cell r="Z7">
            <v>2.4127501368388824</v>
          </cell>
          <cell r="AA7">
            <v>2.4772421844919461</v>
          </cell>
          <cell r="AB7">
            <v>2.3615699907327574</v>
          </cell>
          <cell r="AC7">
            <v>2.0477446037928146</v>
          </cell>
          <cell r="AD7">
            <v>2.3724915708540388</v>
          </cell>
          <cell r="AE7">
            <v>1.8853126216111042</v>
          </cell>
          <cell r="AF7">
            <v>2.0904579965397994</v>
          </cell>
          <cell r="AG7">
            <v>1.6501417911824952</v>
          </cell>
          <cell r="AH7">
            <v>2.126316099981636</v>
          </cell>
          <cell r="AI7">
            <v>2.1277608082014368</v>
          </cell>
          <cell r="AJ7">
            <v>2.1402311824580571</v>
          </cell>
          <cell r="AK7">
            <v>2.1542005127483552</v>
          </cell>
          <cell r="AL7">
            <v>2.1577143683113635</v>
          </cell>
          <cell r="AM7">
            <v>2.1662876629173398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S Codes"/>
      <sheetName val="Argentina Sunflower Imports"/>
      <sheetName val="Argentina Sunflower Exports"/>
      <sheetName val="Argentina Sun Meal Imports"/>
      <sheetName val="Argentina Sun Meal Exports"/>
      <sheetName val="Argentina Sun Oil Imports"/>
      <sheetName val="Argentina Sun Oil Exports"/>
      <sheetName val="EU Sunflower Imports"/>
      <sheetName val="EU Sunflower Exports"/>
      <sheetName val="EU Sun Meal Imports"/>
      <sheetName val="EU Sun Meal Exports"/>
      <sheetName val="EU Sun Oil Imports"/>
      <sheetName val="EU Sun Oil Exports"/>
      <sheetName val="Ukraine Sunflower Imports"/>
      <sheetName val="Ukraine Sunflower Exports"/>
      <sheetName val="Ukraine Sun Meal Imports"/>
      <sheetName val="Ukraine Sun Meal Exports"/>
      <sheetName val="Ukraine Sun Oil Imports"/>
      <sheetName val="Ukraine Sun Oil Exports"/>
      <sheetName val="Russia Sunflower Imports"/>
      <sheetName val="Russia Sunflower Exports"/>
      <sheetName val="Russia Sun Meal Imports"/>
      <sheetName val="Russia Sun Meal Exports"/>
      <sheetName val="Russia Sun Oil Imports"/>
      <sheetName val="Russia Sun Oil Exports"/>
      <sheetName val="India Sunflower Imports"/>
      <sheetName val="India Sunflower Exports"/>
      <sheetName val="India Sun Meal Imports"/>
      <sheetName val="India Sun Meal Exports"/>
      <sheetName val="India Sun Oil Imports"/>
      <sheetName val="India Sun Oil Exports"/>
      <sheetName val="China Sunflower Imports"/>
      <sheetName val="China Sunflower Exports"/>
      <sheetName val="China Sun Meal Imports"/>
      <sheetName val="China Sun Meal Exports"/>
      <sheetName val="China Sun Oil Imports"/>
      <sheetName val="China Sun Oil Exports"/>
      <sheetName val="Canada Sunflower Imports"/>
      <sheetName val="Canada Sunflower Exports"/>
      <sheetName val="Canada Sun Meal Imports"/>
      <sheetName val="Canada Sun Meal Exports"/>
      <sheetName val="Canada Sun Oil Imports"/>
      <sheetName val="Canada Sun Oil Exports"/>
      <sheetName val="Mexico Sunflower Imports"/>
      <sheetName val="Mexico Sunflower Exports"/>
      <sheetName val="Mexico Sun Meal Imports"/>
      <sheetName val="Mexico Sun Meal Exports"/>
      <sheetName val="Mexico Sun Oil Imports"/>
      <sheetName val="Mexico Sun Oil Exports"/>
      <sheetName val="Turkey Sunflower Imports"/>
      <sheetName val="Turkey Sunflower Exports"/>
      <sheetName val="Turkey Sun Meal Imports"/>
      <sheetName val="Turkey Sun Meal Exports"/>
      <sheetName val="Turkey Sun Oil Imports"/>
      <sheetName val="Turkey Sun Oil Exports"/>
    </sheetNames>
    <sheetDataSet>
      <sheetData sheetId="0"/>
      <sheetData sheetId="1">
        <row r="290">
          <cell r="EA290">
            <v>1.15E-4</v>
          </cell>
          <cell r="EB290">
            <v>1.2E-5</v>
          </cell>
          <cell r="EC290">
            <v>3.0000000000000001E-6</v>
          </cell>
          <cell r="ED290">
            <v>0.58022600000000002</v>
          </cell>
          <cell r="EE290">
            <v>0.944743</v>
          </cell>
          <cell r="EF290">
            <v>0.24565699999999999</v>
          </cell>
          <cell r="EG290">
            <v>0.22783300000000001</v>
          </cell>
          <cell r="EH290">
            <v>0.20788899999999999</v>
          </cell>
          <cell r="EI290">
            <v>0.16653200000000001</v>
          </cell>
          <cell r="EJ290">
            <v>1.0094000000000001E-2</v>
          </cell>
          <cell r="EK290">
            <v>2.9220000000000001E-3</v>
          </cell>
          <cell r="EL290">
            <v>9.4899999999999997E-4</v>
          </cell>
          <cell r="EM290">
            <v>6.0000000000000002E-6</v>
          </cell>
          <cell r="EN290">
            <v>1.2E-5</v>
          </cell>
          <cell r="EO290">
            <v>8.3799999999999999E-2</v>
          </cell>
          <cell r="EP290">
            <v>0.456617</v>
          </cell>
          <cell r="EQ290">
            <v>2.2982849999999999</v>
          </cell>
          <cell r="ER290">
            <v>0.52858099999999997</v>
          </cell>
          <cell r="ES290">
            <v>0.33752900000000002</v>
          </cell>
          <cell r="ET290">
            <v>5.9101000000000001E-2</v>
          </cell>
          <cell r="EU290">
            <v>0.28601799999999999</v>
          </cell>
          <cell r="EV290">
            <v>0.45810000000000001</v>
          </cell>
          <cell r="EW290">
            <v>1.9177E-2</v>
          </cell>
          <cell r="EX290">
            <v>9.19E-4</v>
          </cell>
          <cell r="EY290">
            <v>9.9999999999999995E-7</v>
          </cell>
          <cell r="EZ290">
            <v>3.0616000000000001E-2</v>
          </cell>
          <cell r="FA290">
            <v>1.4969E-2</v>
          </cell>
          <cell r="FB290">
            <v>0.184505</v>
          </cell>
          <cell r="FC290">
            <v>0.48319800000000002</v>
          </cell>
          <cell r="FD290">
            <v>0.24490400000000001</v>
          </cell>
          <cell r="FE290">
            <v>0.113537</v>
          </cell>
          <cell r="FF290">
            <v>0.335646</v>
          </cell>
          <cell r="FG290">
            <v>12.336751</v>
          </cell>
          <cell r="FH290">
            <v>14.246798</v>
          </cell>
          <cell r="FI290">
            <v>0.10295799999999999</v>
          </cell>
          <cell r="FJ290">
            <v>1.2899999999999999E-4</v>
          </cell>
          <cell r="FK290">
            <v>2.198E-2</v>
          </cell>
          <cell r="FL290"/>
          <cell r="FM290">
            <v>1.6799999999999999E-4</v>
          </cell>
          <cell r="FN290">
            <v>6.4380999999999994E-2</v>
          </cell>
          <cell r="FO290">
            <v>4.1829999999999999E-2</v>
          </cell>
          <cell r="FP290">
            <v>0.13342799999999999</v>
          </cell>
          <cell r="FQ290">
            <v>0.34063399999999999</v>
          </cell>
          <cell r="FR290">
            <v>3.7690000000000001E-2</v>
          </cell>
          <cell r="FS290">
            <v>4.0398999999999997E-2</v>
          </cell>
          <cell r="FT290">
            <v>0.134962</v>
          </cell>
          <cell r="FU290">
            <v>5.4339999999999999E-2</v>
          </cell>
          <cell r="FV290">
            <v>2.4699999999999999E-4</v>
          </cell>
          <cell r="FW290">
            <v>3.4E-5</v>
          </cell>
          <cell r="FX290">
            <v>18.615801999999999</v>
          </cell>
          <cell r="FY290">
            <v>4.2181000000000003E-2</v>
          </cell>
          <cell r="FZ290">
            <v>1.485E-3</v>
          </cell>
          <cell r="GA290">
            <v>0.12968499999999999</v>
          </cell>
          <cell r="GB290">
            <v>0.52565600000000001</v>
          </cell>
          <cell r="GC290">
            <v>0.13206399999999999</v>
          </cell>
          <cell r="GD290">
            <v>0.17209199999999999</v>
          </cell>
          <cell r="GE290">
            <v>8.3823999999999996E-2</v>
          </cell>
          <cell r="GF290">
            <v>2.5824E-2</v>
          </cell>
          <cell r="GG290">
            <v>4.9619000000000003E-2</v>
          </cell>
          <cell r="GH290">
            <v>0.150473</v>
          </cell>
          <cell r="GI290">
            <v>8.5254250000000003</v>
          </cell>
          <cell r="GJ290">
            <v>18.470123999999998</v>
          </cell>
          <cell r="GK290">
            <v>0.50000599999999995</v>
          </cell>
          <cell r="GL290">
            <v>1.2999999999999999E-3</v>
          </cell>
          <cell r="GM290">
            <v>3.8247000000000003E-2</v>
          </cell>
          <cell r="GN290">
            <v>0.243837</v>
          </cell>
          <cell r="GO290">
            <v>0.191411</v>
          </cell>
          <cell r="GP290">
            <v>3.9513E-2</v>
          </cell>
          <cell r="GQ290">
            <v>0.12141</v>
          </cell>
          <cell r="GR290">
            <v>1.0101519999999999</v>
          </cell>
          <cell r="GS290">
            <v>3.3845040000000002</v>
          </cell>
          <cell r="GT290">
            <v>1.938375</v>
          </cell>
          <cell r="GU290">
            <v>7.4455369999999998</v>
          </cell>
          <cell r="GV290">
            <v>10.992668999999999</v>
          </cell>
          <cell r="GW290">
            <v>1.35E-4</v>
          </cell>
          <cell r="GX290">
            <v>6.6474589999999996</v>
          </cell>
          <cell r="GY290">
            <v>0.85667000000000004</v>
          </cell>
          <cell r="GZ290">
            <v>0.21450900000000001</v>
          </cell>
          <cell r="HA290">
            <v>0.35689599999999999</v>
          </cell>
          <cell r="HB290">
            <v>0.221969</v>
          </cell>
          <cell r="HC290">
            <v>0.220384</v>
          </cell>
          <cell r="HD290">
            <v>0.15112100000000001</v>
          </cell>
          <cell r="HE290">
            <v>0.10706599999999999</v>
          </cell>
          <cell r="HF290">
            <v>0.10396</v>
          </cell>
          <cell r="HG290">
            <v>27.534269999999999</v>
          </cell>
          <cell r="HH290">
            <v>72.089642999999995</v>
          </cell>
          <cell r="HI290">
            <v>42.319468000000001</v>
          </cell>
          <cell r="HJ290">
            <v>24.552699</v>
          </cell>
          <cell r="HK290">
            <v>17.839255000000001</v>
          </cell>
          <cell r="HL290">
            <v>0.119737</v>
          </cell>
          <cell r="HM290">
            <v>0.75299700000000003</v>
          </cell>
          <cell r="HN290">
            <v>9.1014999999999999E-2</v>
          </cell>
          <cell r="HO290">
            <v>0.120952</v>
          </cell>
          <cell r="HP290">
            <v>0.30209200000000003</v>
          </cell>
          <cell r="HQ290">
            <v>15.706845</v>
          </cell>
          <cell r="HR290">
            <v>1.9069210000000001</v>
          </cell>
          <cell r="HS290">
            <v>9.0561170000000004</v>
          </cell>
          <cell r="HT290">
            <v>14.781370000000001</v>
          </cell>
          <cell r="HU290">
            <v>1.9650860000000001</v>
          </cell>
          <cell r="HV290">
            <v>8.2253790000000002</v>
          </cell>
          <cell r="HW290">
            <v>0.86978900000000003</v>
          </cell>
          <cell r="HX290">
            <v>1.2879020000000001</v>
          </cell>
          <cell r="HY290">
            <v>0.17675199999999999</v>
          </cell>
          <cell r="HZ290">
            <v>1.210261</v>
          </cell>
          <cell r="IA290">
            <v>0.152035</v>
          </cell>
          <cell r="IB290">
            <v>0.126892</v>
          </cell>
          <cell r="IC290">
            <v>0.10974100000000001</v>
          </cell>
          <cell r="ID290">
            <v>2.506E-3</v>
          </cell>
          <cell r="IE290">
            <v>5.5000000000000002E-5</v>
          </cell>
          <cell r="IF290">
            <v>4.7568210000000004</v>
          </cell>
          <cell r="IG290">
            <v>4.149483</v>
          </cell>
          <cell r="IH290">
            <v>1.25E-4</v>
          </cell>
          <cell r="II290">
            <v>6.3043000000000002E-2</v>
          </cell>
          <cell r="IJ290">
            <v>5.8458999999999997E-2</v>
          </cell>
          <cell r="IK290">
            <v>8.6969999999999999E-3</v>
          </cell>
          <cell r="IL290">
            <v>3.7657000000000003E-2</v>
          </cell>
          <cell r="IM290">
            <v>0.140601</v>
          </cell>
          <cell r="IN290">
            <v>4.6148000000000002E-2</v>
          </cell>
          <cell r="IO290">
            <v>3.1830000000000001E-3</v>
          </cell>
          <cell r="IP290">
            <v>4.9299999999999995E-4</v>
          </cell>
          <cell r="IQ290">
            <v>6.9999999999999999E-6</v>
          </cell>
          <cell r="IR290"/>
          <cell r="IS290">
            <v>2.8800000000000002E-3</v>
          </cell>
          <cell r="IT290">
            <v>5.3999999999999999E-2</v>
          </cell>
          <cell r="IU290">
            <v>6.1606000000000001E-2</v>
          </cell>
          <cell r="IV290">
            <v>8.8001999999999997E-2</v>
          </cell>
          <cell r="IW290">
            <v>3.9309999999999996E-3</v>
          </cell>
          <cell r="IX290">
            <v>5.2741000000000003E-2</v>
          </cell>
          <cell r="IY290">
            <v>0.80556899999999998</v>
          </cell>
          <cell r="IZ290">
            <v>1.0735600000000001</v>
          </cell>
          <cell r="JA290">
            <v>1.374231</v>
          </cell>
          <cell r="JB290">
            <v>1.0956330000000001</v>
          </cell>
          <cell r="JC290">
            <v>0.39124300000000001</v>
          </cell>
          <cell r="JD290">
            <v>1.53</v>
          </cell>
          <cell r="JE290">
            <v>1.6619999999999999</v>
          </cell>
          <cell r="JF290">
            <v>0.78225999999999996</v>
          </cell>
          <cell r="JG290">
            <v>5.2429999999999997E-2</v>
          </cell>
          <cell r="JH290">
            <v>8.4647E-2</v>
          </cell>
          <cell r="JI290">
            <v>4.2483E-2</v>
          </cell>
          <cell r="JJ290">
            <v>1.6790149999999999</v>
          </cell>
          <cell r="JK290">
            <v>2.5133070000000002</v>
          </cell>
          <cell r="JL290">
            <v>5.1766E-2</v>
          </cell>
          <cell r="JM290">
            <v>9.4710000000000003E-3</v>
          </cell>
          <cell r="JN290">
            <v>5.2899999999999996E-4</v>
          </cell>
          <cell r="JO290">
            <v>1.6000000000000001E-4</v>
          </cell>
          <cell r="JP290">
            <v>0.14157600000000001</v>
          </cell>
          <cell r="JQ290">
            <v>1.5100000000000001E-4</v>
          </cell>
          <cell r="JR290"/>
          <cell r="JS290"/>
          <cell r="JT290">
            <v>0.34183999999999998</v>
          </cell>
          <cell r="JU290">
            <v>1.7649000000000001E-2</v>
          </cell>
          <cell r="JV290">
            <v>0.24982699999999999</v>
          </cell>
          <cell r="JW290">
            <v>0.121877</v>
          </cell>
          <cell r="JX290">
            <v>5.4003000000000002E-2</v>
          </cell>
          <cell r="JY290">
            <v>7.1850999999999998E-2</v>
          </cell>
          <cell r="JZ290">
            <v>1.9580000000000001E-3</v>
          </cell>
          <cell r="KA290">
            <v>0.13184100000000001</v>
          </cell>
          <cell r="KB290"/>
          <cell r="KC290">
            <v>0.39568399999999998</v>
          </cell>
          <cell r="KD290">
            <v>3.9583E-2</v>
          </cell>
          <cell r="KE290">
            <v>3.1404000000000001E-2</v>
          </cell>
          <cell r="KF290">
            <v>8.8999999999999995E-5</v>
          </cell>
          <cell r="KG290">
            <v>3.6811999999999998E-2</v>
          </cell>
          <cell r="KH290">
            <v>0.139934</v>
          </cell>
          <cell r="KI290">
            <v>3.9204000000000003E-2</v>
          </cell>
          <cell r="KJ290">
            <v>3.6225E-2</v>
          </cell>
          <cell r="KK290">
            <v>5.5999999999999995E-4</v>
          </cell>
          <cell r="KL290">
            <v>7.0210000000000003E-3</v>
          </cell>
          <cell r="KM290"/>
          <cell r="KN290"/>
          <cell r="KO290"/>
          <cell r="KP290">
            <v>0.11380700000000001</v>
          </cell>
          <cell r="KQ290">
            <v>1.193E-3</v>
          </cell>
          <cell r="KR290">
            <v>3.0000000000000001E-5</v>
          </cell>
          <cell r="KS290">
            <v>0.171015</v>
          </cell>
          <cell r="KT290">
            <v>9.025E-3</v>
          </cell>
          <cell r="KU290">
            <v>1.6864000000000001E-2</v>
          </cell>
          <cell r="KV290">
            <v>2.9690999999999999E-2</v>
          </cell>
          <cell r="KW290">
            <v>5.6099999999999998E-4</v>
          </cell>
          <cell r="KX290">
            <v>2.5000000000000001E-5</v>
          </cell>
          <cell r="KY290">
            <v>1.8322999999999999E-2</v>
          </cell>
          <cell r="KZ290">
            <v>3.0905999999999999E-2</v>
          </cell>
          <cell r="LA290">
            <v>1.9816E-2</v>
          </cell>
          <cell r="LB290">
            <v>9.5630000000000003E-3</v>
          </cell>
          <cell r="LC290">
            <v>4.0002000000000003E-2</v>
          </cell>
          <cell r="LD290">
            <v>2.8042999999999998E-2</v>
          </cell>
          <cell r="LE290">
            <v>1.2340000000000001E-3</v>
          </cell>
          <cell r="LF290">
            <v>2.1690999999999998E-2</v>
          </cell>
          <cell r="LG290">
            <v>5.7298000000000002E-2</v>
          </cell>
          <cell r="LH290">
            <v>2.8628000000000001E-2</v>
          </cell>
          <cell r="LI290">
            <v>5.7728000000000002E-2</v>
          </cell>
          <cell r="LJ290">
            <v>4.7002000000000002E-2</v>
          </cell>
          <cell r="LK290"/>
          <cell r="LL290"/>
          <cell r="LM290"/>
          <cell r="LN290"/>
          <cell r="LO290">
            <v>6.6059000000000007E-2</v>
          </cell>
          <cell r="LP290">
            <v>2.4176E-2</v>
          </cell>
          <cell r="LQ290"/>
          <cell r="LR290"/>
          <cell r="LS290">
            <v>2.5693000000000001E-2</v>
          </cell>
          <cell r="LT290">
            <v>3.8032000000000003E-2</v>
          </cell>
          <cell r="LU290">
            <v>2.6557000000000001E-2</v>
          </cell>
          <cell r="LV290">
            <v>6.8000000000000005E-4</v>
          </cell>
          <cell r="LW290"/>
          <cell r="LX290"/>
          <cell r="LY290">
            <v>7.0917999999999995E-2</v>
          </cell>
          <cell r="LZ290"/>
          <cell r="MA290">
            <v>7.0800000000000002E-2</v>
          </cell>
          <cell r="MB290">
            <v>0.125584</v>
          </cell>
          <cell r="MC290">
            <v>0.20824500000000001</v>
          </cell>
          <cell r="MD290">
            <v>1.307E-3</v>
          </cell>
          <cell r="ME290">
            <v>3.5178000000000001E-2</v>
          </cell>
          <cell r="MF290">
            <v>5.2226000000000002E-2</v>
          </cell>
          <cell r="MG290">
            <v>8.1810000000000008E-3</v>
          </cell>
          <cell r="MH290">
            <v>1.4200000000000001E-4</v>
          </cell>
          <cell r="MI290">
            <v>3.6284999999999998E-2</v>
          </cell>
          <cell r="MJ290">
            <v>1.9999999999999999E-6</v>
          </cell>
          <cell r="MK290"/>
          <cell r="ML290">
            <v>1.8863999999999999E-2</v>
          </cell>
          <cell r="MM290"/>
          <cell r="MN290">
            <v>4.7979000000000001E-2</v>
          </cell>
          <cell r="MO290">
            <v>0.105903</v>
          </cell>
          <cell r="MP290">
            <v>2.6713000000000001E-2</v>
          </cell>
          <cell r="MQ290">
            <v>1.2834E-2</v>
          </cell>
          <cell r="MR290">
            <v>2.6171E-2</v>
          </cell>
          <cell r="MS290">
            <v>1.8228000000000001E-2</v>
          </cell>
          <cell r="MT290">
            <v>5.7211999999999999E-2</v>
          </cell>
          <cell r="MU290">
            <v>5.2999999999999999E-2</v>
          </cell>
          <cell r="MV290">
            <v>0</v>
          </cell>
          <cell r="MW290">
            <v>0</v>
          </cell>
          <cell r="MX290">
            <v>8.9999999999999993E-3</v>
          </cell>
          <cell r="MY290">
            <v>4.9000000000000002E-2</v>
          </cell>
          <cell r="MZ290">
            <v>1E-3</v>
          </cell>
          <cell r="NA290">
            <v>0.14699999999999999</v>
          </cell>
          <cell r="NB290">
            <v>1E-3</v>
          </cell>
          <cell r="NC290">
            <v>4.0000000000000001E-3</v>
          </cell>
          <cell r="ND290">
            <v>3.0000000000000001E-3</v>
          </cell>
          <cell r="NE290">
            <v>5.0000000000000001E-3</v>
          </cell>
          <cell r="NF290">
            <v>2.5999999999999999E-2</v>
          </cell>
          <cell r="NG290">
            <v>2.1000000000000001E-2</v>
          </cell>
          <cell r="NH290">
            <v>4.3999999999999997E-2</v>
          </cell>
          <cell r="NI290">
            <v>2.5999999999999999E-2</v>
          </cell>
          <cell r="NJ290">
            <v>7.9000000000000001E-2</v>
          </cell>
          <cell r="NK290">
            <v>3.5999999999999997E-2</v>
          </cell>
          <cell r="NL290">
            <v>1E-3</v>
          </cell>
          <cell r="NM290">
            <v>0.105</v>
          </cell>
          <cell r="NN290">
            <v>8.7999999999999995E-2</v>
          </cell>
          <cell r="NO290">
            <v>0.02</v>
          </cell>
          <cell r="NP290">
            <v>0.16</v>
          </cell>
          <cell r="NQ290">
            <v>0.41899999999999998</v>
          </cell>
          <cell r="NR290">
            <v>3.1E-2</v>
          </cell>
          <cell r="NS290">
            <v>0</v>
          </cell>
          <cell r="NT290">
            <v>0</v>
          </cell>
          <cell r="NU290">
            <v>4.8000000000000001E-2</v>
          </cell>
          <cell r="NV290">
            <v>0</v>
          </cell>
          <cell r="NW290">
            <v>0.18</v>
          </cell>
          <cell r="NX290">
            <v>6.6000000000000003E-2</v>
          </cell>
          <cell r="NY290">
            <v>0.316</v>
          </cell>
          <cell r="NZ290">
            <v>0.14399999999999999</v>
          </cell>
        </row>
      </sheetData>
      <sheetData sheetId="2">
        <row r="290">
          <cell r="EA290">
            <v>1.7177089999999999</v>
          </cell>
          <cell r="EB290">
            <v>5.2501550000000003</v>
          </cell>
          <cell r="EC290">
            <v>83.259512000000001</v>
          </cell>
          <cell r="ED290">
            <v>173.42600100000001</v>
          </cell>
          <cell r="EE290">
            <v>28.425515999999998</v>
          </cell>
          <cell r="EF290">
            <v>24.137832</v>
          </cell>
          <cell r="EG290">
            <v>15.303369</v>
          </cell>
          <cell r="EH290">
            <v>2.7884859999999998</v>
          </cell>
          <cell r="EI290">
            <v>2.8504459999999998</v>
          </cell>
          <cell r="EJ290">
            <v>2.7555049999999999</v>
          </cell>
          <cell r="EK290">
            <v>2.708256</v>
          </cell>
          <cell r="EL290">
            <v>1.5803739999999999</v>
          </cell>
          <cell r="EM290">
            <v>1.4457899999999999</v>
          </cell>
          <cell r="EN290">
            <v>17.256042000000001</v>
          </cell>
          <cell r="EO290">
            <v>26.899488000000002</v>
          </cell>
          <cell r="EP290">
            <v>137.06802999999999</v>
          </cell>
          <cell r="EQ290">
            <v>25.207849</v>
          </cell>
          <cell r="ER290">
            <v>10.422890000000001</v>
          </cell>
          <cell r="ES290">
            <v>2.83386</v>
          </cell>
          <cell r="ET290">
            <v>1.700553</v>
          </cell>
          <cell r="EU290">
            <v>2.4642050000000002</v>
          </cell>
          <cell r="EV290">
            <v>2.1718760000000001</v>
          </cell>
          <cell r="EW290">
            <v>2.0857990000000002</v>
          </cell>
          <cell r="EX290">
            <v>1.151753</v>
          </cell>
          <cell r="EY290">
            <v>0.89480000000000004</v>
          </cell>
          <cell r="EZ290">
            <v>0.51853499999999997</v>
          </cell>
          <cell r="FA290">
            <v>1.602182</v>
          </cell>
          <cell r="FB290">
            <v>1.905489</v>
          </cell>
          <cell r="FC290">
            <v>24.992439999999998</v>
          </cell>
          <cell r="FD290">
            <v>3.4963760000000002</v>
          </cell>
          <cell r="FE290">
            <v>2.3960219999999999</v>
          </cell>
          <cell r="FF290">
            <v>1.671721</v>
          </cell>
          <cell r="FG290">
            <v>2.2386710000000001</v>
          </cell>
          <cell r="FH290">
            <v>1.5570139999999999</v>
          </cell>
          <cell r="FI290">
            <v>2.4147669999999999</v>
          </cell>
          <cell r="FJ290">
            <v>1.3744339999999999</v>
          </cell>
          <cell r="FK290">
            <v>1.036605</v>
          </cell>
          <cell r="FL290">
            <v>1.355629</v>
          </cell>
          <cell r="FM290">
            <v>43.695833999999998</v>
          </cell>
          <cell r="FN290">
            <v>5.8615449999999996</v>
          </cell>
          <cell r="FO290">
            <v>22.768063999999999</v>
          </cell>
          <cell r="FP290">
            <v>5.8682720000000002</v>
          </cell>
          <cell r="FQ290">
            <v>5.6725190000000003</v>
          </cell>
          <cell r="FR290">
            <v>2.9416310000000001</v>
          </cell>
          <cell r="FS290">
            <v>3.93797</v>
          </cell>
          <cell r="FT290">
            <v>4.3704470000000004</v>
          </cell>
          <cell r="FU290">
            <v>3.7278370000000001</v>
          </cell>
          <cell r="FV290">
            <v>3.1204040000000002</v>
          </cell>
          <cell r="FW290">
            <v>2.710194</v>
          </cell>
          <cell r="FX290">
            <v>2.157931</v>
          </cell>
          <cell r="FY290">
            <v>2.8989470000000002</v>
          </cell>
          <cell r="FZ290">
            <v>3.5888900000000001</v>
          </cell>
          <cell r="GA290">
            <v>4.9743649999999997</v>
          </cell>
          <cell r="GB290">
            <v>5.4342189999999997</v>
          </cell>
          <cell r="GC290">
            <v>3.7300710000000001</v>
          </cell>
          <cell r="GD290">
            <v>4.5176999999999996</v>
          </cell>
          <cell r="GE290">
            <v>3.7240639999999998</v>
          </cell>
          <cell r="GF290">
            <v>3.6822140000000001</v>
          </cell>
          <cell r="GG290">
            <v>3.3418410000000001</v>
          </cell>
          <cell r="GH290">
            <v>4.095783</v>
          </cell>
          <cell r="GI290">
            <v>2.9791799999999999</v>
          </cell>
          <cell r="GJ290">
            <v>2.1647699999999999</v>
          </cell>
          <cell r="GK290">
            <v>4.9818340000000001</v>
          </cell>
          <cell r="GL290">
            <v>4.4773519999999998</v>
          </cell>
          <cell r="GM290">
            <v>25.577076999999999</v>
          </cell>
          <cell r="GN290">
            <v>3.8859590000000002</v>
          </cell>
          <cell r="GO290">
            <v>3.80036</v>
          </cell>
          <cell r="GP290">
            <v>2.372703</v>
          </cell>
          <cell r="GQ290">
            <v>2.221489</v>
          </cell>
          <cell r="GR290">
            <v>3.060765</v>
          </cell>
          <cell r="GS290">
            <v>2.129489</v>
          </cell>
          <cell r="GT290">
            <v>2.0018440000000002</v>
          </cell>
          <cell r="GU290">
            <v>1.0761510000000001</v>
          </cell>
          <cell r="GV290">
            <v>1.984634</v>
          </cell>
          <cell r="GW290">
            <v>3.9294989999999999</v>
          </cell>
          <cell r="GX290">
            <v>3.7705069999999998</v>
          </cell>
          <cell r="GY290">
            <v>3.0259230000000001</v>
          </cell>
          <cell r="GZ290">
            <v>2.8856519999999999</v>
          </cell>
          <cell r="HA290">
            <v>5.5846960000000001</v>
          </cell>
          <cell r="HB290">
            <v>5.8094109999999999</v>
          </cell>
          <cell r="HC290">
            <v>5.9539780000000002</v>
          </cell>
          <cell r="HD290">
            <v>4.8686590000000001</v>
          </cell>
          <cell r="HE290">
            <v>3.507917</v>
          </cell>
          <cell r="HF290">
            <v>3.1374970000000002</v>
          </cell>
          <cell r="HG290">
            <v>3.5452349999999999</v>
          </cell>
          <cell r="HH290">
            <v>2.714737</v>
          </cell>
          <cell r="HI290">
            <v>5.2119049999999998</v>
          </cell>
          <cell r="HJ290">
            <v>5.6795629999999999</v>
          </cell>
          <cell r="HK290">
            <v>6.9326619999999997</v>
          </cell>
          <cell r="HL290">
            <v>6.650995</v>
          </cell>
          <cell r="HM290">
            <v>8.5806920000000009</v>
          </cell>
          <cell r="HN290">
            <v>6.4712399999999999</v>
          </cell>
          <cell r="HO290">
            <v>7.9903409999999999</v>
          </cell>
          <cell r="HP290">
            <v>4.7119280000000003</v>
          </cell>
          <cell r="HQ290">
            <v>7.4805460000000004</v>
          </cell>
          <cell r="HR290">
            <v>5.8686930000000004</v>
          </cell>
          <cell r="HS290">
            <v>4.2003110000000001</v>
          </cell>
          <cell r="HT290">
            <v>4.0370439999999999</v>
          </cell>
          <cell r="HU290">
            <v>5.6112169999999999</v>
          </cell>
          <cell r="HV290">
            <v>7.2972289999999997</v>
          </cell>
          <cell r="HW290">
            <v>6.0304510000000002</v>
          </cell>
          <cell r="HX290">
            <v>5.7439099999999996</v>
          </cell>
          <cell r="HY290">
            <v>5.3309740000000003</v>
          </cell>
          <cell r="HZ290">
            <v>6.1068790000000002</v>
          </cell>
          <cell r="IA290">
            <v>4.5094589999999997</v>
          </cell>
          <cell r="IB290">
            <v>7.351966</v>
          </cell>
          <cell r="IC290">
            <v>6.7580090000000004</v>
          </cell>
          <cell r="ID290">
            <v>6.866422</v>
          </cell>
          <cell r="IE290">
            <v>4.4611349999999996</v>
          </cell>
          <cell r="IF290">
            <v>4.2917920000000001</v>
          </cell>
          <cell r="IG290">
            <v>4.1236050000000004</v>
          </cell>
          <cell r="IH290">
            <v>5.7407649999999997</v>
          </cell>
          <cell r="II290">
            <v>6.1835040000000001</v>
          </cell>
          <cell r="IJ290">
            <v>5.7369479999999999</v>
          </cell>
          <cell r="IK290">
            <v>4.6311850000000003</v>
          </cell>
          <cell r="IL290">
            <v>7.9337080000000002</v>
          </cell>
          <cell r="IM290">
            <v>6.4818129999999998</v>
          </cell>
          <cell r="IN290">
            <v>8.5141810000000007</v>
          </cell>
          <cell r="IO290">
            <v>8.8954269999999998</v>
          </cell>
          <cell r="IP290">
            <v>6.6454500000000003</v>
          </cell>
          <cell r="IQ290">
            <v>5.1261099999999997</v>
          </cell>
          <cell r="IR290">
            <v>4.8125900000000001</v>
          </cell>
          <cell r="IS290">
            <v>6.5026580000000003</v>
          </cell>
          <cell r="IT290">
            <v>5.9917290000000003</v>
          </cell>
          <cell r="IU290">
            <v>8.7457419999999999</v>
          </cell>
          <cell r="IV290">
            <v>6.8090149999999996</v>
          </cell>
          <cell r="IW290">
            <v>7.3686559999999997</v>
          </cell>
          <cell r="IX290">
            <v>6.4360980000000003</v>
          </cell>
          <cell r="IY290">
            <v>7.4262540000000001</v>
          </cell>
          <cell r="IZ290">
            <v>7.2141890000000002</v>
          </cell>
          <cell r="JA290">
            <v>6.9811899999999998</v>
          </cell>
          <cell r="JB290">
            <v>6.4498550000000003</v>
          </cell>
          <cell r="JC290">
            <v>5.844659</v>
          </cell>
          <cell r="JD290">
            <v>4.6882669999999997</v>
          </cell>
          <cell r="JE290">
            <v>6.8828469999999999</v>
          </cell>
          <cell r="JF290">
            <v>7.3113429999999999</v>
          </cell>
          <cell r="JG290">
            <v>10.000838999999999</v>
          </cell>
          <cell r="JH290">
            <v>7.4367260000000002</v>
          </cell>
          <cell r="JI290">
            <v>6.1345099999999997</v>
          </cell>
          <cell r="JJ290">
            <v>6.7655719999999997</v>
          </cell>
          <cell r="JK290">
            <v>8.7160860000000007</v>
          </cell>
          <cell r="JL290">
            <v>7.1461819999999996</v>
          </cell>
          <cell r="JM290">
            <v>8.9627230000000004</v>
          </cell>
          <cell r="JN290">
            <v>6.1651530000000001</v>
          </cell>
          <cell r="JO290">
            <v>3.8586689999999999</v>
          </cell>
          <cell r="JP290">
            <v>4.5203559999999996</v>
          </cell>
          <cell r="JQ290">
            <v>5.2069239999999999</v>
          </cell>
          <cell r="JR290">
            <v>6.3558620000000001</v>
          </cell>
          <cell r="JS290">
            <v>7.9408380000000003</v>
          </cell>
          <cell r="JT290">
            <v>7.9208809999999996</v>
          </cell>
          <cell r="JU290">
            <v>7.5754210000000004</v>
          </cell>
          <cell r="JV290">
            <v>7.9163819999999996</v>
          </cell>
          <cell r="JW290">
            <v>6.3680510000000004</v>
          </cell>
          <cell r="JX290">
            <v>6.9168919999999998</v>
          </cell>
          <cell r="JY290">
            <v>4.5304710000000004</v>
          </cell>
          <cell r="JZ290">
            <v>5.2862159999999996</v>
          </cell>
          <cell r="KA290">
            <v>4.0993219999999999</v>
          </cell>
          <cell r="KB290">
            <v>3.4085369999999999</v>
          </cell>
          <cell r="KC290">
            <v>4.2459259999999999</v>
          </cell>
          <cell r="KD290">
            <v>4.4944800000000003</v>
          </cell>
          <cell r="KE290">
            <v>8.8221240000000005</v>
          </cell>
          <cell r="KF290">
            <v>5.4465269999999997</v>
          </cell>
          <cell r="KG290">
            <v>5.5811960000000003</v>
          </cell>
          <cell r="KH290">
            <v>4.9357100000000003</v>
          </cell>
          <cell r="KI290">
            <v>4.8422070000000001</v>
          </cell>
          <cell r="KJ290">
            <v>5.325062</v>
          </cell>
          <cell r="KK290">
            <v>6.0979580000000002</v>
          </cell>
          <cell r="KL290">
            <v>4.9356479999999996</v>
          </cell>
          <cell r="KM290">
            <v>3.1068690000000001</v>
          </cell>
          <cell r="KN290">
            <v>4.8169240000000002</v>
          </cell>
          <cell r="KO290">
            <v>21.828030999999999</v>
          </cell>
          <cell r="KP290">
            <v>119.060203</v>
          </cell>
          <cell r="KQ290">
            <v>99.018919999999994</v>
          </cell>
          <cell r="KR290">
            <v>20.680589999999999</v>
          </cell>
          <cell r="KS290">
            <v>5.2261930000000003</v>
          </cell>
          <cell r="KT290">
            <v>5.9406379999999999</v>
          </cell>
          <cell r="KU290">
            <v>7.0338329999999996</v>
          </cell>
          <cell r="KV290">
            <v>6.3572319999999998</v>
          </cell>
          <cell r="KW290">
            <v>7.1339180000000004</v>
          </cell>
          <cell r="KX290">
            <v>6.1426429999999996</v>
          </cell>
          <cell r="KY290">
            <v>4.6654309999999999</v>
          </cell>
          <cell r="KZ290">
            <v>5.3403130000000001</v>
          </cell>
          <cell r="LA290">
            <v>9.2182209999999998</v>
          </cell>
          <cell r="LB290">
            <v>4.9480529999999998</v>
          </cell>
          <cell r="LC290">
            <v>7.2651849999999998</v>
          </cell>
          <cell r="LD290">
            <v>8.2408090000000005</v>
          </cell>
          <cell r="LE290">
            <v>5.2137979999999997</v>
          </cell>
          <cell r="LF290">
            <v>6.8092779999999999</v>
          </cell>
          <cell r="LG290">
            <v>7.4139309999999998</v>
          </cell>
          <cell r="LH290">
            <v>6.4220889999999997</v>
          </cell>
          <cell r="LI290">
            <v>6.2558119999999997</v>
          </cell>
          <cell r="LJ290">
            <v>5.4024049999999999</v>
          </cell>
          <cell r="LK290">
            <v>3.7116189999999998</v>
          </cell>
          <cell r="LL290">
            <v>4.1057790000000001</v>
          </cell>
          <cell r="LM290">
            <v>4.1141930000000002</v>
          </cell>
          <cell r="LN290">
            <v>6.7035330000000002</v>
          </cell>
          <cell r="LO290">
            <v>5.7492070000000002</v>
          </cell>
          <cell r="LP290">
            <v>5.1310520000000004</v>
          </cell>
          <cell r="LQ290">
            <v>4.0094469999999998</v>
          </cell>
          <cell r="LR290">
            <v>3.9105259999999999</v>
          </cell>
          <cell r="LS290">
            <v>2.8933230000000001</v>
          </cell>
          <cell r="LT290">
            <v>4.9659190000000004</v>
          </cell>
          <cell r="LU290">
            <v>4.955743</v>
          </cell>
          <cell r="LV290">
            <v>4.208825</v>
          </cell>
          <cell r="LW290">
            <v>3.7791049999999999</v>
          </cell>
          <cell r="LX290">
            <v>4.7467620000000004</v>
          </cell>
          <cell r="LY290">
            <v>35.197828999999999</v>
          </cell>
          <cell r="LZ290">
            <v>63.912464</v>
          </cell>
          <cell r="MA290">
            <v>6.9615840000000002</v>
          </cell>
          <cell r="MB290">
            <v>6.9156269999999997</v>
          </cell>
          <cell r="MC290">
            <v>5.9116720000000003</v>
          </cell>
          <cell r="MD290">
            <v>3.60819</v>
          </cell>
          <cell r="ME290">
            <v>3.9616020000000001</v>
          </cell>
          <cell r="MF290">
            <v>5.0927170000000004</v>
          </cell>
          <cell r="MG290">
            <v>3.974796</v>
          </cell>
          <cell r="MH290">
            <v>4.8141999999999996</v>
          </cell>
          <cell r="MI290">
            <v>1.8856120000000001</v>
          </cell>
          <cell r="MJ290">
            <v>30.350653999999999</v>
          </cell>
          <cell r="MK290">
            <v>30.528023999999998</v>
          </cell>
          <cell r="ML290">
            <v>63.935867999999999</v>
          </cell>
          <cell r="MM290">
            <v>41.499958999999997</v>
          </cell>
          <cell r="MN290">
            <v>7.8651109999999997</v>
          </cell>
          <cell r="MO290">
            <v>10.551475</v>
          </cell>
          <cell r="MP290">
            <v>7.1824060000000003</v>
          </cell>
          <cell r="MQ290">
            <v>6.7379420000000003</v>
          </cell>
          <cell r="MR290">
            <v>2.8872339999999999</v>
          </cell>
          <cell r="MS290">
            <v>3.8012139999999999</v>
          </cell>
          <cell r="MT290">
            <v>3.45607</v>
          </cell>
          <cell r="MU290">
            <v>2.4609999999999999</v>
          </cell>
          <cell r="MV290">
            <v>2.6749999999999998</v>
          </cell>
          <cell r="MW290">
            <v>44.216000000000001</v>
          </cell>
          <cell r="MX290">
            <v>53.831000000000003</v>
          </cell>
          <cell r="MY290">
            <v>30.323</v>
          </cell>
          <cell r="MZ290">
            <v>7.9960000000000004</v>
          </cell>
          <cell r="NA290">
            <v>9.6370000000000005</v>
          </cell>
          <cell r="NB290">
            <v>8.0489999999999995</v>
          </cell>
          <cell r="NC290">
            <v>8.5169999999999995</v>
          </cell>
          <cell r="ND290">
            <v>5.2830000000000004</v>
          </cell>
          <cell r="NE290">
            <v>7.194</v>
          </cell>
          <cell r="NF290">
            <v>4.359</v>
          </cell>
          <cell r="NG290">
            <v>4.3010000000000002</v>
          </cell>
          <cell r="NH290">
            <v>3.4710000000000001</v>
          </cell>
          <cell r="NI290">
            <v>4.84</v>
          </cell>
          <cell r="NJ290">
            <v>67.828000000000003</v>
          </cell>
          <cell r="NK290">
            <v>27.779</v>
          </cell>
          <cell r="NL290">
            <v>11.35</v>
          </cell>
          <cell r="NM290">
            <v>5.7149999999999999</v>
          </cell>
          <cell r="NN290">
            <v>5.657</v>
          </cell>
          <cell r="NO290">
            <v>9.6329999999999991</v>
          </cell>
          <cell r="NP290">
            <v>4.4809999999999999</v>
          </cell>
          <cell r="NQ290">
            <v>4.048</v>
          </cell>
          <cell r="NR290">
            <v>10.339</v>
          </cell>
          <cell r="NS290">
            <v>3.84</v>
          </cell>
          <cell r="NT290">
            <v>5.7409999999999997</v>
          </cell>
          <cell r="NU290">
            <v>6.3440000000000003</v>
          </cell>
          <cell r="NV290">
            <v>17.472000000000001</v>
          </cell>
          <cell r="NW290">
            <v>6.6890000000000001</v>
          </cell>
          <cell r="NX290">
            <v>6.4859999999999998</v>
          </cell>
          <cell r="NY290">
            <v>10.81</v>
          </cell>
          <cell r="NZ290">
            <v>9.6359999999999992</v>
          </cell>
        </row>
      </sheetData>
      <sheetData sheetId="3"/>
      <sheetData sheetId="4">
        <row r="290">
          <cell r="EA290">
            <v>86.881</v>
          </cell>
          <cell r="EB290">
            <v>49.741</v>
          </cell>
          <cell r="EC290">
            <v>147.50299999999999</v>
          </cell>
          <cell r="ED290">
            <v>156.375</v>
          </cell>
          <cell r="EE290">
            <v>156.58999999999997</v>
          </cell>
          <cell r="EF290">
            <v>110.021</v>
          </cell>
          <cell r="EG290">
            <v>114.53299999999999</v>
          </cell>
          <cell r="EH290">
            <v>74.057000000000002</v>
          </cell>
          <cell r="EI290">
            <v>58.476999999999997</v>
          </cell>
          <cell r="EJ290">
            <v>68.832999999999998</v>
          </cell>
          <cell r="EK290">
            <v>65.076999999999998</v>
          </cell>
          <cell r="EL290">
            <v>71.061000000000007</v>
          </cell>
          <cell r="EM290">
            <v>99.451000000000008</v>
          </cell>
          <cell r="EN290">
            <v>157.923</v>
          </cell>
          <cell r="EO290">
            <v>184.05199999999996</v>
          </cell>
          <cell r="EP290">
            <v>126.279</v>
          </cell>
          <cell r="EQ290">
            <v>139.28200000000001</v>
          </cell>
          <cell r="ER290">
            <v>118.28700000000001</v>
          </cell>
          <cell r="ES290">
            <v>81.385999999999996</v>
          </cell>
          <cell r="ET290">
            <v>62.667999999999999</v>
          </cell>
          <cell r="EU290">
            <v>61.839000000000006</v>
          </cell>
          <cell r="EV290">
            <v>79.944000000000003</v>
          </cell>
          <cell r="EW290">
            <v>56.796999999999997</v>
          </cell>
          <cell r="EX290">
            <v>62.234999999999999</v>
          </cell>
          <cell r="EY290">
            <v>58.786000000000001</v>
          </cell>
          <cell r="EZ290">
            <v>90.044999999999987</v>
          </cell>
          <cell r="FA290">
            <v>94.703000000000003</v>
          </cell>
          <cell r="FB290">
            <v>113.33199999999999</v>
          </cell>
          <cell r="FC290">
            <v>125.506</v>
          </cell>
          <cell r="FD290">
            <v>89.96</v>
          </cell>
          <cell r="FE290">
            <v>43.381999999999998</v>
          </cell>
          <cell r="FF290">
            <v>46.521999999999998</v>
          </cell>
          <cell r="FG290">
            <v>79.013000000000005</v>
          </cell>
          <cell r="FH290">
            <v>75.539000000000001</v>
          </cell>
          <cell r="FI290">
            <v>46.518000000000001</v>
          </cell>
          <cell r="FJ290">
            <v>69.150000000000006</v>
          </cell>
          <cell r="FK290">
            <v>73.484000000000009</v>
          </cell>
          <cell r="FL290">
            <v>80.78</v>
          </cell>
          <cell r="FM290">
            <v>99.067999999999998</v>
          </cell>
          <cell r="FN290">
            <v>140.12599999999998</v>
          </cell>
          <cell r="FO290">
            <v>103.32599999999999</v>
          </cell>
          <cell r="FP290">
            <v>150.24699999999999</v>
          </cell>
          <cell r="FQ290">
            <v>101.09099999999999</v>
          </cell>
          <cell r="FR290">
            <v>73.655000000000001</v>
          </cell>
          <cell r="FS290">
            <v>48.253999999999998</v>
          </cell>
          <cell r="FT290">
            <v>82.367999999999995</v>
          </cell>
          <cell r="FU290">
            <v>58.632999999999996</v>
          </cell>
          <cell r="FV290">
            <v>45.323999999999998</v>
          </cell>
          <cell r="FW290">
            <v>74.224000000000004</v>
          </cell>
          <cell r="FX290">
            <v>122.024</v>
          </cell>
          <cell r="FY290">
            <v>111.642</v>
          </cell>
          <cell r="FZ290">
            <v>138.52199999999999</v>
          </cell>
          <cell r="GA290">
            <v>112.271</v>
          </cell>
          <cell r="GB290">
            <v>100.282</v>
          </cell>
          <cell r="GC290">
            <v>86.542000000000002</v>
          </cell>
          <cell r="GD290">
            <v>58.197000000000003</v>
          </cell>
          <cell r="GE290">
            <v>74.361999999999995</v>
          </cell>
          <cell r="GF290">
            <v>33.796999999999997</v>
          </cell>
          <cell r="GG290">
            <v>37.923999999999999</v>
          </cell>
          <cell r="GH290">
            <v>44.714999999999996</v>
          </cell>
          <cell r="GI290">
            <v>71.637999999999991</v>
          </cell>
          <cell r="GJ290">
            <v>103.07299999999999</v>
          </cell>
          <cell r="GK290">
            <v>64.41</v>
          </cell>
          <cell r="GL290">
            <v>141.69</v>
          </cell>
          <cell r="GM290">
            <v>113.22400000000002</v>
          </cell>
          <cell r="GN290">
            <v>47.991</v>
          </cell>
          <cell r="GO290">
            <v>77.264999999999986</v>
          </cell>
          <cell r="GP290">
            <v>48.725000000000001</v>
          </cell>
          <cell r="GQ290">
            <v>35.219000000000001</v>
          </cell>
          <cell r="GR290">
            <v>57.276000000000003</v>
          </cell>
          <cell r="GS290">
            <v>49.566999999999993</v>
          </cell>
          <cell r="GT290">
            <v>27.562999999999999</v>
          </cell>
          <cell r="GU290">
            <v>50.401000000000003</v>
          </cell>
          <cell r="GV290">
            <v>52.415999999999997</v>
          </cell>
          <cell r="GW290">
            <v>114.517</v>
          </cell>
          <cell r="GX290">
            <v>149.07599999999999</v>
          </cell>
          <cell r="GY290">
            <v>79.483000000000004</v>
          </cell>
          <cell r="GZ290">
            <v>100.482</v>
          </cell>
          <cell r="HA290">
            <v>120.62100000000001</v>
          </cell>
          <cell r="HB290">
            <v>64.512</v>
          </cell>
          <cell r="HC290">
            <v>30.341000000000001</v>
          </cell>
          <cell r="HD290">
            <v>116.73900000000002</v>
          </cell>
          <cell r="HE290">
            <v>86.766999999999996</v>
          </cell>
          <cell r="HF290">
            <v>45.287000000000006</v>
          </cell>
          <cell r="HG290">
            <v>84.37299999999999</v>
          </cell>
          <cell r="HH290">
            <v>68.763999999999996</v>
          </cell>
          <cell r="HI290">
            <v>78.337999999999994</v>
          </cell>
          <cell r="HJ290">
            <v>94.855999999999995</v>
          </cell>
          <cell r="HK290">
            <v>72.308999999999997</v>
          </cell>
          <cell r="HL290">
            <v>91.02600000000001</v>
          </cell>
          <cell r="HM290">
            <v>123.97099999999999</v>
          </cell>
          <cell r="HN290">
            <v>45.176000000000002</v>
          </cell>
          <cell r="HO290">
            <v>30.001999999999999</v>
          </cell>
          <cell r="HP290">
            <v>33.528000000000006</v>
          </cell>
          <cell r="HQ290">
            <v>20.86</v>
          </cell>
          <cell r="HR290">
            <v>40.04</v>
          </cell>
          <cell r="HS290">
            <v>31.493000000000002</v>
          </cell>
          <cell r="HT290">
            <v>57.507000000000005</v>
          </cell>
          <cell r="HU290">
            <v>59.295999999999999</v>
          </cell>
          <cell r="HV290">
            <v>46.163000000000004</v>
          </cell>
          <cell r="HW290">
            <v>81.143000000000001</v>
          </cell>
          <cell r="HX290">
            <v>65.356000000000009</v>
          </cell>
          <cell r="HY290">
            <v>47.828999999999994</v>
          </cell>
          <cell r="HZ290">
            <v>26.082999999999998</v>
          </cell>
          <cell r="IA290">
            <v>54.79</v>
          </cell>
          <cell r="IB290">
            <v>53.390999999999998</v>
          </cell>
          <cell r="IC290">
            <v>43.290999999999997</v>
          </cell>
          <cell r="ID290">
            <v>19.231999999999999</v>
          </cell>
          <cell r="IE290">
            <v>29.175000000000001</v>
          </cell>
          <cell r="IF290">
            <v>60.593000000000004</v>
          </cell>
          <cell r="IG290">
            <v>70.801999999999992</v>
          </cell>
          <cell r="IH290">
            <v>64.661000000000001</v>
          </cell>
          <cell r="II290">
            <v>75.938999999999993</v>
          </cell>
          <cell r="IJ290">
            <v>66.009</v>
          </cell>
          <cell r="IK290">
            <v>110.077</v>
          </cell>
          <cell r="IL290">
            <v>66.174000000000007</v>
          </cell>
          <cell r="IM290">
            <v>53.588000000000008</v>
          </cell>
          <cell r="IN290">
            <v>68.972000000000008</v>
          </cell>
          <cell r="IO290">
            <v>14.07</v>
          </cell>
          <cell r="IP290">
            <v>37.676000000000002</v>
          </cell>
          <cell r="IQ290">
            <v>57.93</v>
          </cell>
          <cell r="IR290">
            <v>53.793999999999997</v>
          </cell>
          <cell r="IS290">
            <v>86.661000000000001</v>
          </cell>
          <cell r="IT290">
            <v>103.99299999999999</v>
          </cell>
          <cell r="IU290">
            <v>126.23299999999999</v>
          </cell>
          <cell r="IV290">
            <v>122.61799999999999</v>
          </cell>
          <cell r="IW290">
            <v>52.880999999999993</v>
          </cell>
          <cell r="IX290">
            <v>66.201999999999998</v>
          </cell>
          <cell r="IY290">
            <v>47.393000000000001</v>
          </cell>
          <cell r="IZ290">
            <v>49.387</v>
          </cell>
          <cell r="JA290">
            <v>9.6649999999999991</v>
          </cell>
          <cell r="JB290">
            <v>28.463999999999995</v>
          </cell>
          <cell r="JC290">
            <v>63.781999999999996</v>
          </cell>
          <cell r="JD290">
            <v>82.00200000000001</v>
          </cell>
          <cell r="JE290">
            <v>85.173999999999992</v>
          </cell>
          <cell r="JF290">
            <v>48.165000000000006</v>
          </cell>
          <cell r="JG290">
            <v>43.217999999999996</v>
          </cell>
          <cell r="JH290">
            <v>36.588999999999999</v>
          </cell>
          <cell r="JI290">
            <v>26.622</v>
          </cell>
          <cell r="JJ290">
            <v>21.584000000000003</v>
          </cell>
          <cell r="JK290">
            <v>1.9610000000000001</v>
          </cell>
          <cell r="JL290">
            <v>18.451000000000001</v>
          </cell>
          <cell r="JM290">
            <v>1.927</v>
          </cell>
          <cell r="JN290">
            <v>2.4870000000000001</v>
          </cell>
          <cell r="JO290">
            <v>14.292999999999999</v>
          </cell>
          <cell r="JP290">
            <v>26.776</v>
          </cell>
          <cell r="JQ290">
            <v>18.486000000000001</v>
          </cell>
          <cell r="JR290">
            <v>39.162999999999997</v>
          </cell>
          <cell r="JS290">
            <v>41.964999999999996</v>
          </cell>
          <cell r="JT290">
            <v>28.143999999999998</v>
          </cell>
          <cell r="JU290">
            <v>14.979000000000001</v>
          </cell>
          <cell r="JV290">
            <v>36.447999999999993</v>
          </cell>
          <cell r="JW290">
            <v>36.107999999999997</v>
          </cell>
          <cell r="JX290">
            <v>2.12</v>
          </cell>
          <cell r="JY290">
            <v>31.031000000000002</v>
          </cell>
          <cell r="JZ290">
            <v>19.919999999999998</v>
          </cell>
          <cell r="KA290">
            <v>48.758000000000003</v>
          </cell>
          <cell r="KB290">
            <v>45.55</v>
          </cell>
          <cell r="KC290">
            <v>41.930999999999997</v>
          </cell>
          <cell r="KD290">
            <v>59.606999999999999</v>
          </cell>
          <cell r="KE290">
            <v>30.983000000000001</v>
          </cell>
          <cell r="KF290">
            <v>105.40900000000001</v>
          </cell>
          <cell r="KG290">
            <v>38.594999999999999</v>
          </cell>
          <cell r="KH290">
            <v>91.703999999999994</v>
          </cell>
          <cell r="KI290">
            <v>40.234000000000002</v>
          </cell>
          <cell r="KJ290">
            <v>14.357000000000001</v>
          </cell>
          <cell r="KK290">
            <v>10.277000000000001</v>
          </cell>
          <cell r="KL290">
            <v>12.532</v>
          </cell>
          <cell r="KM290">
            <v>37.625999999999998</v>
          </cell>
          <cell r="KN290">
            <v>72.60299999999998</v>
          </cell>
          <cell r="KO290">
            <v>92.172999999999988</v>
          </cell>
          <cell r="KP290">
            <v>84.409000000000006</v>
          </cell>
          <cell r="KQ290">
            <v>126.51599999999999</v>
          </cell>
          <cell r="KR290">
            <v>65.995999999999995</v>
          </cell>
          <cell r="KS290">
            <v>87.855999999999995</v>
          </cell>
          <cell r="KT290">
            <v>84.304999999999993</v>
          </cell>
          <cell r="KU290">
            <v>1.4419999999999999</v>
          </cell>
          <cell r="KV290">
            <v>18.521000000000001</v>
          </cell>
          <cell r="KW290">
            <v>9.1910000000000007</v>
          </cell>
          <cell r="KX290">
            <v>26.433999999999997</v>
          </cell>
          <cell r="KY290">
            <v>63.02</v>
          </cell>
          <cell r="KZ290">
            <v>74.724999999999994</v>
          </cell>
          <cell r="LA290">
            <v>92.126000000000005</v>
          </cell>
          <cell r="LB290">
            <v>120.502</v>
          </cell>
          <cell r="LC290">
            <v>76.608999999999995</v>
          </cell>
          <cell r="LD290">
            <v>88.227000000000004</v>
          </cell>
          <cell r="LE290">
            <v>68.23</v>
          </cell>
          <cell r="LF290">
            <v>91.507000000000005</v>
          </cell>
          <cell r="LG290">
            <v>52.393999999999998</v>
          </cell>
          <cell r="LH290">
            <v>50.122999999999998</v>
          </cell>
          <cell r="LI290">
            <v>33.554000000000002</v>
          </cell>
          <cell r="LJ290">
            <v>9.2430000000000003</v>
          </cell>
          <cell r="LK290">
            <v>41.475999999999999</v>
          </cell>
          <cell r="LL290">
            <v>65.320999999999998</v>
          </cell>
          <cell r="LM290">
            <v>77.584999999999994</v>
          </cell>
          <cell r="LN290">
            <v>101.08199999999999</v>
          </cell>
          <cell r="LO290">
            <v>85.79</v>
          </cell>
          <cell r="LP290">
            <v>33.709000000000003</v>
          </cell>
          <cell r="LQ290">
            <v>83.65</v>
          </cell>
          <cell r="LR290">
            <v>93.521000000000001</v>
          </cell>
          <cell r="LS290">
            <v>39.234999999999999</v>
          </cell>
          <cell r="LT290">
            <v>54.154000000000003</v>
          </cell>
          <cell r="LU290">
            <v>32.933999999999997</v>
          </cell>
          <cell r="LV290">
            <v>37.622</v>
          </cell>
          <cell r="LW290">
            <v>70.989000000000004</v>
          </cell>
          <cell r="LX290">
            <v>50.371000000000002</v>
          </cell>
          <cell r="LY290">
            <v>104.407</v>
          </cell>
          <cell r="LZ290">
            <v>92.811000000000007</v>
          </cell>
          <cell r="MA290">
            <v>152.61500000000001</v>
          </cell>
          <cell r="MB290">
            <v>101.447</v>
          </cell>
          <cell r="MC290">
            <v>69.117000000000004</v>
          </cell>
          <cell r="MD290">
            <v>116.21899999999999</v>
          </cell>
          <cell r="ME290">
            <v>57.953000000000003</v>
          </cell>
          <cell r="MF290">
            <v>53.651000000000003</v>
          </cell>
          <cell r="MG290">
            <v>60.216999999999999</v>
          </cell>
          <cell r="MH290">
            <v>22.751999999999999</v>
          </cell>
          <cell r="MI290">
            <v>31.849</v>
          </cell>
          <cell r="MJ290">
            <v>19.937999999999999</v>
          </cell>
          <cell r="MK290">
            <v>58.317</v>
          </cell>
          <cell r="ML290">
            <v>87.034999999999997</v>
          </cell>
          <cell r="MM290">
            <v>83.918000000000006</v>
          </cell>
          <cell r="MN290">
            <v>85.245999999999995</v>
          </cell>
          <cell r="MO290">
            <v>67.076999999999998</v>
          </cell>
          <cell r="MP290">
            <v>55.033999999999999</v>
          </cell>
          <cell r="MQ290">
            <v>71.106999999999999</v>
          </cell>
          <cell r="MR290">
            <v>23.724</v>
          </cell>
          <cell r="MS290">
            <v>11.105</v>
          </cell>
          <cell r="MT290">
            <v>1.3280000000000001</v>
          </cell>
          <cell r="MU290">
            <v>20.486999999999998</v>
          </cell>
          <cell r="MV290">
            <v>35.497</v>
          </cell>
          <cell r="MW290">
            <v>53.703000000000003</v>
          </cell>
          <cell r="MX290">
            <v>106.782</v>
          </cell>
          <cell r="MY290">
            <v>145.38399999999999</v>
          </cell>
          <cell r="MZ290">
            <v>112.39</v>
          </cell>
          <cell r="NA290">
            <v>60.484999999999999</v>
          </cell>
          <cell r="NB290">
            <v>157.22200000000001</v>
          </cell>
          <cell r="NC290">
            <v>56.262999999999998</v>
          </cell>
          <cell r="ND290">
            <v>57.905999999999999</v>
          </cell>
          <cell r="NE290">
            <v>73.27</v>
          </cell>
          <cell r="NF290">
            <v>20.47</v>
          </cell>
          <cell r="NG290">
            <v>33.183999999999997</v>
          </cell>
          <cell r="NH290">
            <v>76.444999999999993</v>
          </cell>
          <cell r="NI290">
            <v>56.08</v>
          </cell>
          <cell r="NJ290">
            <v>146.14400000000001</v>
          </cell>
          <cell r="NK290">
            <v>99.081999999999994</v>
          </cell>
          <cell r="NL290">
            <v>68.472999999999999</v>
          </cell>
          <cell r="NM290">
            <v>124.79300000000001</v>
          </cell>
          <cell r="NN290">
            <v>112.17</v>
          </cell>
          <cell r="NO290">
            <v>78.558000000000007</v>
          </cell>
          <cell r="NP290">
            <v>60.204000000000001</v>
          </cell>
          <cell r="NQ290">
            <v>40.350999999999999</v>
          </cell>
        </row>
      </sheetData>
      <sheetData sheetId="5">
        <row r="290">
          <cell r="EA290">
            <v>2.9250000000000001E-3</v>
          </cell>
          <cell r="EB290">
            <v>2.8500000000000001E-3</v>
          </cell>
          <cell r="EC290"/>
          <cell r="ED290">
            <v>1.2E-5</v>
          </cell>
          <cell r="EE290">
            <v>3.114E-3</v>
          </cell>
          <cell r="EF290">
            <v>2.9499999999999999E-3</v>
          </cell>
          <cell r="EG290">
            <v>3.8999999999999998E-3</v>
          </cell>
          <cell r="EH290">
            <v>9.9999999999999995E-7</v>
          </cell>
          <cell r="EI290">
            <v>5.8500000000000002E-3</v>
          </cell>
          <cell r="EJ290">
            <v>1.7604999999999999E-2</v>
          </cell>
          <cell r="EK290">
            <v>2.0409999999999998E-3</v>
          </cell>
          <cell r="EL290"/>
          <cell r="EM290">
            <v>2.0400000000000001E-3</v>
          </cell>
          <cell r="EN290"/>
          <cell r="EO290">
            <v>9.2000000000000003E-4</v>
          </cell>
          <cell r="EP290">
            <v>1.1E-5</v>
          </cell>
          <cell r="EQ290">
            <v>2.101E-3</v>
          </cell>
          <cell r="ER290">
            <v>7.1000000000000005E-5</v>
          </cell>
          <cell r="ES290">
            <v>9.5500000000000001E-4</v>
          </cell>
          <cell r="ET290">
            <v>1.0000000000000001E-5</v>
          </cell>
          <cell r="EU290">
            <v>0</v>
          </cell>
          <cell r="EV290">
            <v>1.9499999999999999E-3</v>
          </cell>
          <cell r="EW290">
            <v>7.2009999999999999E-3</v>
          </cell>
          <cell r="EX290">
            <v>1.5250000000000001E-3</v>
          </cell>
          <cell r="EY290">
            <v>1.5280000000000001E-3</v>
          </cell>
          <cell r="EZ290">
            <v>3.189E-3</v>
          </cell>
          <cell r="FA290">
            <v>1.1820000000000001E-3</v>
          </cell>
          <cell r="FB290"/>
          <cell r="FC290">
            <v>1.5200000000000001E-3</v>
          </cell>
          <cell r="FD290">
            <v>9.5E-4</v>
          </cell>
          <cell r="FE290">
            <v>1.1E-5</v>
          </cell>
          <cell r="FF290">
            <v>0.28094999999999998</v>
          </cell>
          <cell r="FG290">
            <v>1.120968</v>
          </cell>
          <cell r="FH290">
            <v>1.926E-3</v>
          </cell>
          <cell r="FI290">
            <v>1.964E-3</v>
          </cell>
          <cell r="FJ290">
            <v>9.6000000000000002E-4</v>
          </cell>
          <cell r="FK290"/>
          <cell r="FL290">
            <v>0</v>
          </cell>
          <cell r="FM290">
            <v>2.8800000000000002E-3</v>
          </cell>
          <cell r="FN290">
            <v>9.6000000000000002E-4</v>
          </cell>
          <cell r="FO290">
            <v>1.9250000000000001E-3</v>
          </cell>
          <cell r="FP290">
            <v>1.7099999999999999E-3</v>
          </cell>
          <cell r="FQ290">
            <v>0.51493299999999997</v>
          </cell>
          <cell r="FR290">
            <v>0.51301099999999999</v>
          </cell>
          <cell r="FS290"/>
          <cell r="FT290">
            <v>2.64E-3</v>
          </cell>
          <cell r="FU290">
            <v>0</v>
          </cell>
          <cell r="FV290">
            <v>3.5999999999999999E-3</v>
          </cell>
          <cell r="FW290">
            <v>2.7009999999999998E-3</v>
          </cell>
          <cell r="FX290">
            <v>9.0399999999999996E-4</v>
          </cell>
          <cell r="FY290">
            <v>8.9999999999999998E-4</v>
          </cell>
          <cell r="FZ290">
            <v>9.0300000000000005E-4</v>
          </cell>
          <cell r="GA290">
            <v>9.7439999999999992E-3</v>
          </cell>
          <cell r="GB290">
            <v>2.7000000000000001E-3</v>
          </cell>
          <cell r="GC290">
            <v>7.6300000000000001E-4</v>
          </cell>
          <cell r="GD290">
            <v>2.6471999999999999E-2</v>
          </cell>
          <cell r="GE290">
            <v>9.9999999999999995E-7</v>
          </cell>
          <cell r="GF290">
            <v>5.3360999999999999E-2</v>
          </cell>
          <cell r="GG290">
            <v>1.2E-5</v>
          </cell>
          <cell r="GH290">
            <v>6.0000000000000002E-6</v>
          </cell>
          <cell r="GI290">
            <v>1.98E-3</v>
          </cell>
          <cell r="GJ290">
            <v>3.2429999999999998E-3</v>
          </cell>
          <cell r="GK290">
            <v>4.3200000000000001E-3</v>
          </cell>
          <cell r="GL290">
            <v>1.9999999999999999E-6</v>
          </cell>
          <cell r="GM290">
            <v>3.2420000000000001E-3</v>
          </cell>
          <cell r="GN290"/>
          <cell r="GO290">
            <v>3.2439999999999999E-3</v>
          </cell>
          <cell r="GP290">
            <v>0</v>
          </cell>
          <cell r="GQ290">
            <v>6.0000000000000002E-6</v>
          </cell>
          <cell r="GR290">
            <v>3.2469999999999999E-3</v>
          </cell>
          <cell r="GS290">
            <v>0.82680200000000004</v>
          </cell>
          <cell r="GT290">
            <v>1.3040020000000001</v>
          </cell>
          <cell r="GU290">
            <v>4.5009999999999998E-3</v>
          </cell>
          <cell r="GV290">
            <v>2.5200000000000001E-3</v>
          </cell>
          <cell r="GW290">
            <v>5.0000000000000004E-6</v>
          </cell>
          <cell r="GX290">
            <v>2.8860000000000001E-3</v>
          </cell>
          <cell r="GY290">
            <v>3.96E-3</v>
          </cell>
          <cell r="GZ290">
            <v>3.96E-3</v>
          </cell>
          <cell r="HA290"/>
          <cell r="HB290"/>
          <cell r="HC290">
            <v>2.3410000000000002E-3</v>
          </cell>
          <cell r="HD290">
            <v>9.9999999999999995E-7</v>
          </cell>
          <cell r="HE290">
            <v>2.7070000000000002E-3</v>
          </cell>
          <cell r="HF290">
            <v>7.9830000000000005E-3</v>
          </cell>
          <cell r="HG290">
            <v>2.8830000000000001E-3</v>
          </cell>
          <cell r="HH290">
            <v>3.96E-3</v>
          </cell>
          <cell r="HI290">
            <v>5.0000000000000004E-6</v>
          </cell>
          <cell r="HJ290">
            <v>2.8800000000000002E-3</v>
          </cell>
          <cell r="HK290">
            <v>7.2801000000000005E-2</v>
          </cell>
          <cell r="HL290">
            <v>3.7799999999999999E-3</v>
          </cell>
          <cell r="HM290">
            <v>5.2566000000000002E-2</v>
          </cell>
          <cell r="HN290">
            <v>2.9190000000000002E-3</v>
          </cell>
          <cell r="HO290">
            <v>2.036E-3</v>
          </cell>
          <cell r="HP290">
            <v>2.9529999999999999E-3</v>
          </cell>
          <cell r="HQ290">
            <v>4.8609999999999999E-3</v>
          </cell>
          <cell r="HR290">
            <v>6.8710000000000004E-3</v>
          </cell>
          <cell r="HS290"/>
          <cell r="HT290">
            <v>9.9999999999999995E-7</v>
          </cell>
          <cell r="HU290">
            <v>2.9160000000000002E-3</v>
          </cell>
          <cell r="HV290">
            <v>8.4960000000000001E-3</v>
          </cell>
          <cell r="HW290">
            <v>2.1749999999999999E-3</v>
          </cell>
          <cell r="HX290">
            <v>1.9819999999999998E-3</v>
          </cell>
          <cell r="HY290">
            <v>1.92E-4</v>
          </cell>
          <cell r="HZ290">
            <v>6.7999999999999999E-5</v>
          </cell>
          <cell r="IA290">
            <v>9.9999999999999995E-7</v>
          </cell>
          <cell r="IB290">
            <v>1.95E-4</v>
          </cell>
          <cell r="IC290"/>
          <cell r="ID290">
            <v>2.1999999999999999E-5</v>
          </cell>
          <cell r="IE290">
            <v>9.9999999999999995E-7</v>
          </cell>
          <cell r="IF290">
            <v>2.7789999999999998E-3</v>
          </cell>
          <cell r="IG290">
            <v>1.7E-5</v>
          </cell>
          <cell r="IH290">
            <v>3.9810000000000002E-3</v>
          </cell>
          <cell r="II290">
            <v>4.6519999999999999E-3</v>
          </cell>
          <cell r="IJ290">
            <v>5.0000000000000002E-5</v>
          </cell>
          <cell r="IK290">
            <v>3.1000000000000001E-5</v>
          </cell>
          <cell r="IL290">
            <v>4.0499999999999998E-4</v>
          </cell>
          <cell r="IM290">
            <v>4.6E-5</v>
          </cell>
          <cell r="IN290">
            <v>3.6000000000000001E-5</v>
          </cell>
          <cell r="IO290">
            <v>5.4699999999999996E-4</v>
          </cell>
          <cell r="IP290">
            <v>2.7599999999999999E-3</v>
          </cell>
          <cell r="IQ290"/>
          <cell r="IR290"/>
          <cell r="IS290"/>
          <cell r="IT290"/>
          <cell r="IU290"/>
          <cell r="IV290"/>
          <cell r="IW290">
            <v>5.7799999999999995E-4</v>
          </cell>
          <cell r="IX290">
            <v>1.15E-4</v>
          </cell>
          <cell r="IY290">
            <v>1.9999999999999999E-6</v>
          </cell>
          <cell r="IZ290">
            <v>3.0000000000000001E-6</v>
          </cell>
          <cell r="JA290">
            <v>2.5000000000000001E-5</v>
          </cell>
          <cell r="JB290">
            <v>0</v>
          </cell>
          <cell r="JC290">
            <v>2.0000000000000002E-5</v>
          </cell>
          <cell r="JD290">
            <v>2.5000000000000001E-5</v>
          </cell>
          <cell r="JE290">
            <v>9.9999999999999995E-7</v>
          </cell>
          <cell r="JF290">
            <v>5.0000000000000002E-5</v>
          </cell>
          <cell r="JG290"/>
          <cell r="JH290">
            <v>1E-4</v>
          </cell>
          <cell r="JI290">
            <v>3.0000000000000001E-3</v>
          </cell>
          <cell r="JJ290">
            <v>2.0000000000000001E-4</v>
          </cell>
          <cell r="JK290">
            <v>0</v>
          </cell>
          <cell r="JL290">
            <v>5.1E-5</v>
          </cell>
          <cell r="JM290">
            <v>1.4999999999999999E-4</v>
          </cell>
          <cell r="JN290">
            <v>3.5E-4</v>
          </cell>
          <cell r="JO290">
            <v>2.5000000000000001E-5</v>
          </cell>
          <cell r="JP290">
            <v>0</v>
          </cell>
          <cell r="JQ290"/>
          <cell r="JR290">
            <v>5.0000000000000004E-6</v>
          </cell>
          <cell r="JS290">
            <v>4.8000000000000001E-5</v>
          </cell>
          <cell r="JT290">
            <v>9.9999999999999995E-7</v>
          </cell>
          <cell r="JU290">
            <v>2.0100000000000001E-4</v>
          </cell>
          <cell r="JV290">
            <v>3.1999999999999999E-5</v>
          </cell>
          <cell r="JW290">
            <v>8.1000000000000004E-5</v>
          </cell>
          <cell r="JX290">
            <v>1.4999999999999999E-4</v>
          </cell>
          <cell r="JY290">
            <v>5.0000000000000004E-6</v>
          </cell>
          <cell r="JZ290"/>
          <cell r="KA290">
            <v>1E-4</v>
          </cell>
          <cell r="KB290">
            <v>6.3E-5</v>
          </cell>
          <cell r="KC290">
            <v>3.1999999999999999E-5</v>
          </cell>
          <cell r="KD290">
            <v>6.3999999999999997E-5</v>
          </cell>
          <cell r="KE290">
            <v>6.5439999999999998E-2</v>
          </cell>
          <cell r="KF290">
            <v>8.3999999999999995E-5</v>
          </cell>
          <cell r="KG290">
            <v>1.08E-4</v>
          </cell>
          <cell r="KH290">
            <v>1.8000000000000001E-4</v>
          </cell>
          <cell r="KI290">
            <v>2.4600000000000002E-4</v>
          </cell>
          <cell r="KJ290">
            <v>5.7000000000000003E-5</v>
          </cell>
          <cell r="KK290">
            <v>9.5000000000000005E-5</v>
          </cell>
          <cell r="KL290"/>
          <cell r="KM290">
            <v>3.3199999999999999E-4</v>
          </cell>
          <cell r="KN290"/>
          <cell r="KO290">
            <v>1.03E-4</v>
          </cell>
          <cell r="KP290">
            <v>1.83E-4</v>
          </cell>
          <cell r="KQ290">
            <v>4.6E-5</v>
          </cell>
          <cell r="KR290"/>
          <cell r="KS290"/>
          <cell r="KT290">
            <v>1E-4</v>
          </cell>
          <cell r="KU290">
            <v>3.28E-4</v>
          </cell>
          <cell r="KV290"/>
          <cell r="KW290">
            <v>4.6E-5</v>
          </cell>
          <cell r="KX290"/>
          <cell r="KY290">
            <v>1.5999999999999999E-5</v>
          </cell>
          <cell r="KZ290"/>
          <cell r="LA290">
            <v>1E-4</v>
          </cell>
          <cell r="LB290">
            <v>4.6E-5</v>
          </cell>
          <cell r="LC290">
            <v>1.3799999999999999E-4</v>
          </cell>
          <cell r="LD290"/>
          <cell r="LE290">
            <v>1.5E-5</v>
          </cell>
          <cell r="LF290"/>
          <cell r="LG290"/>
          <cell r="LH290">
            <v>9.6000000000000002E-5</v>
          </cell>
          <cell r="LI290"/>
          <cell r="LJ290">
            <v>5.5999999999999999E-5</v>
          </cell>
          <cell r="LK290"/>
          <cell r="LL290">
            <v>9.2E-5</v>
          </cell>
          <cell r="LM290"/>
          <cell r="LN290"/>
          <cell r="LO290"/>
          <cell r="LP290"/>
          <cell r="LQ290"/>
          <cell r="LR290"/>
          <cell r="LS290"/>
          <cell r="LT290"/>
          <cell r="LU290"/>
          <cell r="LV290"/>
          <cell r="LW290">
            <v>1.3999999999999999E-4</v>
          </cell>
          <cell r="LX290"/>
          <cell r="LY290"/>
          <cell r="LZ290"/>
          <cell r="MA290">
            <v>9.2E-5</v>
          </cell>
          <cell r="MB290">
            <v>1.1E-4</v>
          </cell>
          <cell r="MC290">
            <v>2.5999999999999998E-5</v>
          </cell>
          <cell r="MD290"/>
          <cell r="ME290">
            <v>9.9999999999999995E-7</v>
          </cell>
          <cell r="MF290">
            <v>1.94E-4</v>
          </cell>
          <cell r="MG290"/>
          <cell r="MI290"/>
          <cell r="MJ290"/>
          <cell r="MK290">
            <v>1.8000000000000001E-4</v>
          </cell>
          <cell r="ML290">
            <v>9.9999999999999995E-7</v>
          </cell>
          <cell r="MM290">
            <v>1.9999999999999999E-6</v>
          </cell>
          <cell r="MN290">
            <v>9.2E-5</v>
          </cell>
          <cell r="MO290">
            <v>1.8526999999999998E-2</v>
          </cell>
          <cell r="MP290">
            <v>1.9999999999999999E-6</v>
          </cell>
          <cell r="MQ290"/>
          <cell r="MR290">
            <v>1.92E-4</v>
          </cell>
          <cell r="MS290">
            <v>6.0000000000000002E-5</v>
          </cell>
          <cell r="MT290">
            <v>7.5800000000000006E-2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1E-3</v>
          </cell>
          <cell r="MZ290">
            <v>4.0000000000000001E-3</v>
          </cell>
          <cell r="NA290">
            <v>0</v>
          </cell>
          <cell r="NB290">
            <v>2E-3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  <cell r="NI290">
            <v>0</v>
          </cell>
          <cell r="NJ290">
            <v>6.0000000000000001E-3</v>
          </cell>
          <cell r="NK290">
            <v>0</v>
          </cell>
          <cell r="NL290">
            <v>0</v>
          </cell>
          <cell r="NM290">
            <v>4.2999999999999997E-2</v>
          </cell>
          <cell r="NN290">
            <v>0.03</v>
          </cell>
          <cell r="NO290">
            <v>0</v>
          </cell>
          <cell r="NP290">
            <v>0.01</v>
          </cell>
          <cell r="NQ290">
            <v>0</v>
          </cell>
          <cell r="NR290">
            <v>0</v>
          </cell>
          <cell r="NS290">
            <v>0</v>
          </cell>
          <cell r="NT290">
            <v>0</v>
          </cell>
          <cell r="NU290">
            <v>5.5E-2</v>
          </cell>
          <cell r="NV290">
            <v>0</v>
          </cell>
          <cell r="NW290">
            <v>0</v>
          </cell>
          <cell r="NX290">
            <v>0</v>
          </cell>
          <cell r="NY290">
            <v>2.3E-2</v>
          </cell>
          <cell r="NZ290">
            <v>0.01</v>
          </cell>
        </row>
      </sheetData>
      <sheetData sheetId="6">
        <row r="290">
          <cell r="EA290">
            <v>43.583705999999999</v>
          </cell>
          <cell r="EB290">
            <v>73.506200000000007</v>
          </cell>
          <cell r="EC290">
            <v>97.851293999999996</v>
          </cell>
          <cell r="ED290">
            <v>137.010265</v>
          </cell>
          <cell r="EE290">
            <v>156.169297</v>
          </cell>
          <cell r="EF290">
            <v>93.593487999999994</v>
          </cell>
          <cell r="EG290">
            <v>93.767893000000001</v>
          </cell>
          <cell r="EH290">
            <v>71.760589999999993</v>
          </cell>
          <cell r="EI290">
            <v>38.509824999999999</v>
          </cell>
          <cell r="EJ290">
            <v>68.859700000000004</v>
          </cell>
          <cell r="EK290">
            <v>52.441395999999997</v>
          </cell>
          <cell r="EL290">
            <v>109.46696300000001</v>
          </cell>
          <cell r="EM290">
            <v>76.379355000000004</v>
          </cell>
          <cell r="EN290">
            <v>161.43884</v>
          </cell>
          <cell r="EO290">
            <v>86.172419000000005</v>
          </cell>
          <cell r="EP290">
            <v>79.604650000000007</v>
          </cell>
          <cell r="EQ290">
            <v>83.229341000000005</v>
          </cell>
          <cell r="ER290">
            <v>134.734118</v>
          </cell>
          <cell r="ES290">
            <v>94.903817000000004</v>
          </cell>
          <cell r="ET290">
            <v>53.902619999999999</v>
          </cell>
          <cell r="EU290">
            <v>67.644245999999995</v>
          </cell>
          <cell r="EV290">
            <v>55.351911999999999</v>
          </cell>
          <cell r="EW290">
            <v>78.819608000000002</v>
          </cell>
          <cell r="EX290">
            <v>44.068263999999999</v>
          </cell>
          <cell r="EY290">
            <v>66.253344999999996</v>
          </cell>
          <cell r="EZ290">
            <v>53.439374999999998</v>
          </cell>
          <cell r="FA290">
            <v>126.335542</v>
          </cell>
          <cell r="FB290">
            <v>124.211583</v>
          </cell>
          <cell r="FC290">
            <v>29.795995999999999</v>
          </cell>
          <cell r="FD290">
            <v>99.394564000000003</v>
          </cell>
          <cell r="FE290">
            <v>55.718373999999997</v>
          </cell>
          <cell r="FF290">
            <v>86.869309000000001</v>
          </cell>
          <cell r="FG290">
            <v>85.926542999999995</v>
          </cell>
          <cell r="FH290">
            <v>58.478290999999999</v>
          </cell>
          <cell r="FI290">
            <v>71.617572999999993</v>
          </cell>
          <cell r="FJ290">
            <v>78.858335999999994</v>
          </cell>
          <cell r="FK290">
            <v>108.315111</v>
          </cell>
          <cell r="FL290">
            <v>81.816688999999997</v>
          </cell>
          <cell r="FM290">
            <v>155.50971699999999</v>
          </cell>
          <cell r="FN290">
            <v>156.621745</v>
          </cell>
          <cell r="FO290">
            <v>72.063017000000002</v>
          </cell>
          <cell r="FP290">
            <v>105.640159</v>
          </cell>
          <cell r="FQ290">
            <v>94.831854000000007</v>
          </cell>
          <cell r="FR290">
            <v>159.32578599999999</v>
          </cell>
          <cell r="FS290">
            <v>38.832425000000001</v>
          </cell>
          <cell r="FT290">
            <v>69.620360000000005</v>
          </cell>
          <cell r="FU290">
            <v>71.652223000000006</v>
          </cell>
          <cell r="FV290">
            <v>103.829154</v>
          </cell>
          <cell r="FW290">
            <v>88.804254999999998</v>
          </cell>
          <cell r="FX290">
            <v>59.595632000000002</v>
          </cell>
          <cell r="FY290">
            <v>152.297372</v>
          </cell>
          <cell r="FZ290">
            <v>175.682873</v>
          </cell>
          <cell r="GA290">
            <v>122.633646</v>
          </cell>
          <cell r="GB290">
            <v>123.925405</v>
          </cell>
          <cell r="GC290">
            <v>89.026859000000002</v>
          </cell>
          <cell r="GD290">
            <v>102.949792</v>
          </cell>
          <cell r="GE290">
            <v>72.045227999999994</v>
          </cell>
          <cell r="GF290">
            <v>128.04700700000001</v>
          </cell>
          <cell r="GG290">
            <v>34.726965</v>
          </cell>
          <cell r="GH290">
            <v>83.511815999999996</v>
          </cell>
          <cell r="GI290">
            <v>40.965744000000001</v>
          </cell>
          <cell r="GJ290">
            <v>95.156395000000003</v>
          </cell>
          <cell r="GK290">
            <v>97.840258000000006</v>
          </cell>
          <cell r="GL290">
            <v>101.021201</v>
          </cell>
          <cell r="GM290">
            <v>110.670109</v>
          </cell>
          <cell r="GN290">
            <v>79.800183000000004</v>
          </cell>
          <cell r="GO290">
            <v>67.590084000000004</v>
          </cell>
          <cell r="GP290">
            <v>86.705816999999996</v>
          </cell>
          <cell r="GQ290">
            <v>81.490701000000001</v>
          </cell>
          <cell r="GR290">
            <v>35.600974999999998</v>
          </cell>
          <cell r="GS290">
            <v>40.542019000000003</v>
          </cell>
          <cell r="GT290">
            <v>23.890245</v>
          </cell>
          <cell r="GU290">
            <v>58.738942000000002</v>
          </cell>
          <cell r="GV290">
            <v>69.542321000000001</v>
          </cell>
          <cell r="GW290">
            <v>79.705197999999996</v>
          </cell>
          <cell r="GX290">
            <v>218.15320600000001</v>
          </cell>
          <cell r="GY290">
            <v>141.64825500000001</v>
          </cell>
          <cell r="GZ290">
            <v>60.814219000000001</v>
          </cell>
          <cell r="HA290">
            <v>150.63042999999999</v>
          </cell>
          <cell r="HB290">
            <v>134.22339600000001</v>
          </cell>
          <cell r="HC290">
            <v>70.441378</v>
          </cell>
          <cell r="HD290">
            <v>86.23639</v>
          </cell>
          <cell r="HE290">
            <v>59.596159</v>
          </cell>
          <cell r="HF290">
            <v>35.944938999999998</v>
          </cell>
          <cell r="HG290">
            <v>91.502414000000002</v>
          </cell>
          <cell r="HH290">
            <v>90.332241999999994</v>
          </cell>
          <cell r="HI290">
            <v>81.219706000000002</v>
          </cell>
          <cell r="HJ290">
            <v>122.20554</v>
          </cell>
          <cell r="HK290">
            <v>107.056926</v>
          </cell>
          <cell r="HL290">
            <v>129.58276000000001</v>
          </cell>
          <cell r="HM290">
            <v>61.846944000000001</v>
          </cell>
          <cell r="HN290">
            <v>68.306240000000003</v>
          </cell>
          <cell r="HO290">
            <v>54.833965999999997</v>
          </cell>
          <cell r="HP290">
            <v>68.220924999999994</v>
          </cell>
          <cell r="HQ290">
            <v>58.800437000000002</v>
          </cell>
          <cell r="HR290">
            <v>27.834631999999999</v>
          </cell>
          <cell r="HS290">
            <v>43.158453000000002</v>
          </cell>
          <cell r="HT290">
            <v>27.202483000000001</v>
          </cell>
          <cell r="HU290">
            <v>116.632606</v>
          </cell>
          <cell r="HV290">
            <v>107.465138</v>
          </cell>
          <cell r="HW290">
            <v>49.312435000000001</v>
          </cell>
          <cell r="HX290">
            <v>38.662545000000001</v>
          </cell>
          <cell r="HY290">
            <v>32.059893000000002</v>
          </cell>
          <cell r="HZ290">
            <v>47.835926000000001</v>
          </cell>
          <cell r="IA290">
            <v>28.536270999999999</v>
          </cell>
          <cell r="IB290">
            <v>37.700555999999999</v>
          </cell>
          <cell r="IC290">
            <v>14.73488</v>
          </cell>
          <cell r="ID290">
            <v>31.838697</v>
          </cell>
          <cell r="IE290">
            <v>24.882860999999998</v>
          </cell>
          <cell r="IF290">
            <v>47.838571000000002</v>
          </cell>
          <cell r="IG290">
            <v>71.490561999999997</v>
          </cell>
          <cell r="IH290">
            <v>140.75083599999999</v>
          </cell>
          <cell r="II290">
            <v>78.106503000000004</v>
          </cell>
          <cell r="IJ290">
            <v>160.54584700000001</v>
          </cell>
          <cell r="IK290">
            <v>71.333910000000003</v>
          </cell>
          <cell r="IL290">
            <v>69.194497999999996</v>
          </cell>
          <cell r="IM290">
            <v>60.869292999999999</v>
          </cell>
          <cell r="IN290">
            <v>83.847457000000006</v>
          </cell>
          <cell r="IO290">
            <v>67.758516999999998</v>
          </cell>
          <cell r="IP290">
            <v>43.570447000000001</v>
          </cell>
          <cell r="IQ290">
            <v>39.864379999999997</v>
          </cell>
          <cell r="IR290">
            <v>90.995617999999993</v>
          </cell>
          <cell r="IS290">
            <v>87.119309000000001</v>
          </cell>
          <cell r="IT290">
            <v>110.008759</v>
          </cell>
          <cell r="IU290">
            <v>92.221371000000005</v>
          </cell>
          <cell r="IV290">
            <v>90.633007000000006</v>
          </cell>
          <cell r="IW290">
            <v>62.419423999999999</v>
          </cell>
          <cell r="IX290">
            <v>30.895137999999999</v>
          </cell>
          <cell r="IY290">
            <v>47.272654000000003</v>
          </cell>
          <cell r="IZ290">
            <v>45.475048000000001</v>
          </cell>
          <cell r="JA290">
            <v>39.415799</v>
          </cell>
          <cell r="JB290">
            <v>53.905425999999999</v>
          </cell>
          <cell r="JC290">
            <v>72.427908000000002</v>
          </cell>
          <cell r="JD290">
            <v>58.216363999999999</v>
          </cell>
          <cell r="JE290">
            <v>50.869062</v>
          </cell>
          <cell r="JF290">
            <v>55.575243</v>
          </cell>
          <cell r="JG290">
            <v>39.841101000000002</v>
          </cell>
          <cell r="JH290">
            <v>60.060541000000001</v>
          </cell>
          <cell r="JI290">
            <v>17.358252</v>
          </cell>
          <cell r="JJ290">
            <v>17.876166000000001</v>
          </cell>
          <cell r="JK290">
            <v>16.758196999999999</v>
          </cell>
          <cell r="JL290">
            <v>24.753933</v>
          </cell>
          <cell r="JM290">
            <v>16.172805</v>
          </cell>
          <cell r="JN290">
            <v>16.063475</v>
          </cell>
          <cell r="JO290">
            <v>11.026066999999999</v>
          </cell>
          <cell r="JP290">
            <v>26.28998</v>
          </cell>
          <cell r="JQ290">
            <v>24.890408999999998</v>
          </cell>
          <cell r="JR290">
            <v>76.973072999999999</v>
          </cell>
          <cell r="JS290">
            <v>31.765637999999999</v>
          </cell>
          <cell r="JT290">
            <v>68.693543000000005</v>
          </cell>
          <cell r="JU290">
            <v>23.281635999999999</v>
          </cell>
          <cell r="JV290">
            <v>13.181741000000001</v>
          </cell>
          <cell r="JW290">
            <v>23.377573999999999</v>
          </cell>
          <cell r="JX290">
            <v>35.393740999999999</v>
          </cell>
          <cell r="JY290">
            <v>4.260904</v>
          </cell>
          <cell r="JZ290">
            <v>9.6416660000000007</v>
          </cell>
          <cell r="KA290">
            <v>14.553969</v>
          </cell>
          <cell r="KB290">
            <v>17.135192</v>
          </cell>
          <cell r="KC290">
            <v>36.824606000000003</v>
          </cell>
          <cell r="KD290">
            <v>80.948610000000002</v>
          </cell>
          <cell r="KE290">
            <v>50.817819999999998</v>
          </cell>
          <cell r="KF290">
            <v>51.442030000000003</v>
          </cell>
          <cell r="KG290">
            <v>41.111485999999999</v>
          </cell>
          <cell r="KH290">
            <v>53.917631</v>
          </cell>
          <cell r="KI290">
            <v>15.799322999999999</v>
          </cell>
          <cell r="KJ290">
            <v>51.057859000000001</v>
          </cell>
          <cell r="KK290">
            <v>18.311164999999999</v>
          </cell>
          <cell r="KL290">
            <v>7.2473989999999997</v>
          </cell>
          <cell r="KM290">
            <v>15.565322999999999</v>
          </cell>
          <cell r="KN290">
            <v>79.390455000000003</v>
          </cell>
          <cell r="KO290">
            <v>113.98446800000001</v>
          </cell>
          <cell r="KP290">
            <v>77.651393999999996</v>
          </cell>
          <cell r="KQ290">
            <v>92.051759000000004</v>
          </cell>
          <cell r="KR290">
            <v>43.012244000000003</v>
          </cell>
          <cell r="KS290">
            <v>62.747410000000002</v>
          </cell>
          <cell r="KT290">
            <v>37.464199999999998</v>
          </cell>
          <cell r="KU290">
            <v>17.673978000000002</v>
          </cell>
          <cell r="KV290">
            <v>22.088114999999998</v>
          </cell>
          <cell r="KW290">
            <v>20.823384000000001</v>
          </cell>
          <cell r="KX290">
            <v>34.597279</v>
          </cell>
          <cell r="KY290">
            <v>36.714703999999998</v>
          </cell>
          <cell r="KZ290">
            <v>46.913831999999999</v>
          </cell>
          <cell r="LA290">
            <v>92.705139000000003</v>
          </cell>
          <cell r="LB290">
            <v>92.783479999999997</v>
          </cell>
          <cell r="LC290">
            <v>72.405702000000005</v>
          </cell>
          <cell r="LD290">
            <v>46.990999000000002</v>
          </cell>
          <cell r="LE290">
            <v>111.783585</v>
          </cell>
          <cell r="LF290">
            <v>51.912503000000001</v>
          </cell>
          <cell r="LG290">
            <v>91.411300999999995</v>
          </cell>
          <cell r="LH290">
            <v>77.648448000000002</v>
          </cell>
          <cell r="LI290">
            <v>25.096931999999999</v>
          </cell>
          <cell r="LJ290">
            <v>18.155925</v>
          </cell>
          <cell r="LK290">
            <v>47.702457000000003</v>
          </cell>
          <cell r="LL290">
            <v>41.497553000000003</v>
          </cell>
          <cell r="LM290">
            <v>26.798423</v>
          </cell>
          <cell r="LN290">
            <v>84.107849000000002</v>
          </cell>
          <cell r="LO290">
            <v>112.39364</v>
          </cell>
          <cell r="LP290">
            <v>79.669991999999993</v>
          </cell>
          <cell r="LQ290">
            <v>56.549536000000003</v>
          </cell>
          <cell r="LR290">
            <v>108.192027</v>
          </cell>
          <cell r="LS290">
            <v>43.445056000000001</v>
          </cell>
          <cell r="LT290">
            <v>46.329239999999999</v>
          </cell>
          <cell r="LU290">
            <v>48.000104999999998</v>
          </cell>
          <cell r="LV290">
            <v>16.63392</v>
          </cell>
          <cell r="LW290">
            <v>95.260321000000005</v>
          </cell>
          <cell r="LX290">
            <v>65.433747999999994</v>
          </cell>
          <cell r="LY290">
            <v>127.57771200000001</v>
          </cell>
          <cell r="LZ290">
            <v>75.521834999999996</v>
          </cell>
          <cell r="MA290">
            <v>106.969503</v>
          </cell>
          <cell r="MB290">
            <v>99.702363000000005</v>
          </cell>
          <cell r="MC290">
            <v>88.747497999999993</v>
          </cell>
          <cell r="MD290">
            <v>106.86682399999999</v>
          </cell>
          <cell r="ME290">
            <v>54.676372999999998</v>
          </cell>
          <cell r="MF290">
            <v>32.402605999999999</v>
          </cell>
          <cell r="MG290">
            <v>54.776338000000003</v>
          </cell>
          <cell r="MH290">
            <v>43.580680000000001</v>
          </cell>
          <cell r="MI290">
            <v>17.299810999999998</v>
          </cell>
          <cell r="MJ290">
            <v>45.479976000000001</v>
          </cell>
          <cell r="MK290">
            <v>42.274526999999999</v>
          </cell>
          <cell r="ML290">
            <v>67.645115000000004</v>
          </cell>
          <cell r="MM290">
            <v>108.75737100000001</v>
          </cell>
          <cell r="MN290">
            <v>37.384678999999998</v>
          </cell>
          <cell r="MO290">
            <v>106.67121</v>
          </cell>
          <cell r="MP290">
            <v>51.545295000000003</v>
          </cell>
          <cell r="MQ290">
            <v>29.399238</v>
          </cell>
          <cell r="MR290">
            <v>32.312645000000003</v>
          </cell>
          <cell r="MS290">
            <v>25.755327999999999</v>
          </cell>
          <cell r="MT290">
            <v>6.8741570000000003</v>
          </cell>
          <cell r="MU290">
            <v>21.617999999999999</v>
          </cell>
          <cell r="MV290">
            <v>28.497</v>
          </cell>
          <cell r="MW290">
            <v>40.140999999999998</v>
          </cell>
          <cell r="MX290">
            <v>88.137</v>
          </cell>
          <cell r="MY290">
            <v>120.06699999999999</v>
          </cell>
          <cell r="MZ290">
            <v>102.039</v>
          </cell>
          <cell r="NA290">
            <v>121.468</v>
          </cell>
          <cell r="NB290">
            <v>128.267</v>
          </cell>
          <cell r="NC290">
            <v>64.033000000000001</v>
          </cell>
          <cell r="ND290">
            <v>19.559000000000001</v>
          </cell>
          <cell r="NE290">
            <v>17.559999999999999</v>
          </cell>
          <cell r="NF290">
            <v>26.818999999999999</v>
          </cell>
          <cell r="NG290">
            <v>67.998999999999995</v>
          </cell>
          <cell r="NH290">
            <v>32.823999999999998</v>
          </cell>
          <cell r="NI290">
            <v>78.956999999999994</v>
          </cell>
          <cell r="NJ290">
            <v>92.995999999999995</v>
          </cell>
          <cell r="NK290">
            <v>166.88</v>
          </cell>
          <cell r="NL290">
            <v>131.56100000000001</v>
          </cell>
          <cell r="NM290">
            <v>98.82</v>
          </cell>
          <cell r="NN290">
            <v>85.634</v>
          </cell>
          <cell r="NO290">
            <v>56.118000000000002</v>
          </cell>
          <cell r="NP290">
            <v>25.291</v>
          </cell>
          <cell r="NQ290">
            <v>58.188000000000002</v>
          </cell>
          <cell r="NR290">
            <v>38.587000000000003</v>
          </cell>
          <cell r="NS290">
            <v>11.150880000000001</v>
          </cell>
          <cell r="NT290">
            <v>29.213260999999999</v>
          </cell>
          <cell r="NU290">
            <v>87.885570999999999</v>
          </cell>
          <cell r="NV290">
            <v>124.966566</v>
          </cell>
          <cell r="NW290">
            <v>105.768458</v>
          </cell>
          <cell r="NX290">
            <v>101.802711</v>
          </cell>
          <cell r="NY290">
            <v>97.319468000000001</v>
          </cell>
          <cell r="NZ290">
            <v>147.236243</v>
          </cell>
        </row>
      </sheetData>
      <sheetData sheetId="7">
        <row r="290">
          <cell r="BT290">
            <v>340.45400000000001</v>
          </cell>
          <cell r="BU290">
            <v>328.21199999999993</v>
          </cell>
          <cell r="BV290">
            <v>243.74299999999999</v>
          </cell>
          <cell r="BW290">
            <v>165.73999999999998</v>
          </cell>
          <cell r="BX290">
            <v>109.55199999999999</v>
          </cell>
          <cell r="BY290">
            <v>54.382000000000005</v>
          </cell>
          <cell r="BZ290">
            <v>12.273</v>
          </cell>
          <cell r="CA290">
            <v>8.3770000000000007</v>
          </cell>
          <cell r="CB290">
            <v>8.6059999999999999</v>
          </cell>
          <cell r="CC290">
            <v>51.042000000000002</v>
          </cell>
          <cell r="CD290">
            <v>185.39500000000001</v>
          </cell>
          <cell r="CE290">
            <v>221.95500000000001</v>
          </cell>
          <cell r="CF290">
            <v>246.83200000000002</v>
          </cell>
          <cell r="CG290">
            <v>205.65299999999996</v>
          </cell>
          <cell r="CH290">
            <v>165.404</v>
          </cell>
          <cell r="CI290">
            <v>191.35499999999999</v>
          </cell>
          <cell r="CJ290">
            <v>270.05099999999999</v>
          </cell>
          <cell r="CK290">
            <v>164.11600000000001</v>
          </cell>
          <cell r="CL290">
            <v>63.866</v>
          </cell>
          <cell r="CM290">
            <v>10.182</v>
          </cell>
          <cell r="CN290">
            <v>11.149999999999999</v>
          </cell>
          <cell r="CO290">
            <v>91.280999999999992</v>
          </cell>
          <cell r="CP290">
            <v>207.62200000000001</v>
          </cell>
          <cell r="CQ290">
            <v>325.95799999999997</v>
          </cell>
          <cell r="CR290">
            <v>371.46899999999999</v>
          </cell>
          <cell r="CS290">
            <v>152.68799999999999</v>
          </cell>
          <cell r="CT290">
            <v>141.583</v>
          </cell>
          <cell r="CU290">
            <v>314.97800000000001</v>
          </cell>
          <cell r="CV290">
            <v>330.524</v>
          </cell>
          <cell r="CW290">
            <v>160.39500000000001</v>
          </cell>
          <cell r="CX290">
            <v>89.350999999999999</v>
          </cell>
          <cell r="CY290">
            <v>98.498000000000005</v>
          </cell>
          <cell r="CZ290">
            <v>27.373999999999999</v>
          </cell>
          <cell r="DA290">
            <v>108.95699999999999</v>
          </cell>
          <cell r="DB290">
            <v>45.222999999999999</v>
          </cell>
          <cell r="DC290">
            <v>148.59</v>
          </cell>
          <cell r="DD290">
            <v>80.313000000000002</v>
          </cell>
          <cell r="DE290">
            <v>129.25200000000001</v>
          </cell>
          <cell r="DF290">
            <v>146.465</v>
          </cell>
          <cell r="DG290">
            <v>110.876</v>
          </cell>
          <cell r="DH290">
            <v>182.92599999999999</v>
          </cell>
          <cell r="DI290">
            <v>157.25299999999999</v>
          </cell>
          <cell r="DJ290">
            <v>128.006</v>
          </cell>
          <cell r="DK290">
            <v>80.08</v>
          </cell>
          <cell r="DL290">
            <v>68.051000000000002</v>
          </cell>
          <cell r="DM290">
            <v>57.685000000000002</v>
          </cell>
          <cell r="DN290">
            <v>193.49600000000001</v>
          </cell>
          <cell r="DO290">
            <v>268.81099999999998</v>
          </cell>
          <cell r="DP290">
            <v>277.07799999999997</v>
          </cell>
          <cell r="DQ290">
            <v>197.46299999999999</v>
          </cell>
          <cell r="DR290">
            <v>216.42500000000001</v>
          </cell>
          <cell r="DS290">
            <v>166.18100000000001</v>
          </cell>
          <cell r="DT290">
            <v>120.262</v>
          </cell>
          <cell r="DU290">
            <v>79.676000000000002</v>
          </cell>
          <cell r="DV290">
            <v>35.828000000000003</v>
          </cell>
          <cell r="DW290">
            <v>41.960999999999999</v>
          </cell>
          <cell r="DX290">
            <v>22.01</v>
          </cell>
          <cell r="DY290">
            <v>29.614000000000001</v>
          </cell>
          <cell r="DZ290">
            <v>62.835000000000001</v>
          </cell>
          <cell r="EA290">
            <v>35.356000000000002</v>
          </cell>
          <cell r="EB290">
            <v>42.838000000000001</v>
          </cell>
          <cell r="EC290">
            <v>25.731000000000002</v>
          </cell>
          <cell r="ED290">
            <v>31.009000000000004</v>
          </cell>
          <cell r="EE290">
            <v>137.88800000000001</v>
          </cell>
          <cell r="EF290">
            <v>147.53900000000002</v>
          </cell>
          <cell r="EG290">
            <v>125.375</v>
          </cell>
          <cell r="EH290">
            <v>80.5</v>
          </cell>
          <cell r="EI290">
            <v>28.469000000000001</v>
          </cell>
          <cell r="EJ290">
            <v>30.440999999999995</v>
          </cell>
          <cell r="EK290">
            <v>22.650999999999996</v>
          </cell>
          <cell r="EL290">
            <v>55.106000000000009</v>
          </cell>
          <cell r="EM290">
            <v>61.529999999999994</v>
          </cell>
          <cell r="EN290">
            <v>43.841999999999999</v>
          </cell>
          <cell r="EO290">
            <v>76.228000000000009</v>
          </cell>
          <cell r="EP290">
            <v>48.018999999999998</v>
          </cell>
          <cell r="EQ290">
            <v>95.930999999999997</v>
          </cell>
          <cell r="ER290">
            <v>120.855</v>
          </cell>
          <cell r="ES290">
            <v>61.686999999999998</v>
          </cell>
          <cell r="ET290">
            <v>90.061999999999998</v>
          </cell>
          <cell r="EU290">
            <v>14.491</v>
          </cell>
          <cell r="EV290">
            <v>11.772000000000002</v>
          </cell>
          <cell r="EW290">
            <v>63.61</v>
          </cell>
          <cell r="EX290">
            <v>114.09599999999999</v>
          </cell>
          <cell r="EY290">
            <v>173.82199999999997</v>
          </cell>
          <cell r="EZ290">
            <v>168.09399999999999</v>
          </cell>
          <cell r="FA290">
            <v>77.718000000000018</v>
          </cell>
          <cell r="FB290">
            <v>118.84099999999999</v>
          </cell>
          <cell r="FC290">
            <v>80.24799999999999</v>
          </cell>
          <cell r="FD290">
            <v>72.345999999999989</v>
          </cell>
          <cell r="FE290">
            <v>63.075000000000003</v>
          </cell>
          <cell r="FF290">
            <v>60.532000000000004</v>
          </cell>
          <cell r="FG290">
            <v>50.838000000000001</v>
          </cell>
          <cell r="FH290">
            <v>14.34</v>
          </cell>
          <cell r="FI290">
            <v>16.234000000000002</v>
          </cell>
          <cell r="FJ290">
            <v>17.664999999999999</v>
          </cell>
          <cell r="FK290">
            <v>22.669</v>
          </cell>
          <cell r="FL290">
            <v>27.190999999999999</v>
          </cell>
          <cell r="FM290">
            <v>32.223999999999997</v>
          </cell>
          <cell r="FN290">
            <v>22.959999999999997</v>
          </cell>
          <cell r="FO290">
            <v>62.08</v>
          </cell>
          <cell r="FP290">
            <v>68.962999999999994</v>
          </cell>
          <cell r="FQ290">
            <v>69.412000000000006</v>
          </cell>
          <cell r="FR290">
            <v>31.085999999999999</v>
          </cell>
          <cell r="FS290">
            <v>24.491</v>
          </cell>
          <cell r="FT290">
            <v>17.401</v>
          </cell>
          <cell r="FU290">
            <v>27.136000000000003</v>
          </cell>
          <cell r="FV290">
            <v>34.994</v>
          </cell>
          <cell r="FW290">
            <v>99.098000000000013</v>
          </cell>
          <cell r="FX290">
            <v>66.003000000000014</v>
          </cell>
          <cell r="FY290">
            <v>27.776</v>
          </cell>
          <cell r="FZ290">
            <v>93.539999999999992</v>
          </cell>
          <cell r="GA290">
            <v>65.257000000000005</v>
          </cell>
          <cell r="GB290">
            <v>71.603999999999999</v>
          </cell>
          <cell r="GC290">
            <v>38.747</v>
          </cell>
          <cell r="GD290">
            <v>35.721000000000004</v>
          </cell>
          <cell r="GE290">
            <v>40.506</v>
          </cell>
          <cell r="GF290">
            <v>16.860999999999997</v>
          </cell>
          <cell r="GG290">
            <v>31.881</v>
          </cell>
          <cell r="GH290">
            <v>38.893999999999998</v>
          </cell>
          <cell r="GI290">
            <v>46.466999999999999</v>
          </cell>
          <cell r="GJ290">
            <v>43.573000000000008</v>
          </cell>
          <cell r="GK290">
            <v>108.60799999999999</v>
          </cell>
          <cell r="GL290">
            <v>76.337999999999994</v>
          </cell>
          <cell r="GM290">
            <v>81.778999999999996</v>
          </cell>
          <cell r="GN290">
            <v>55.129000000000005</v>
          </cell>
          <cell r="GO290">
            <v>17.72</v>
          </cell>
          <cell r="GP290">
            <v>35.454999999999998</v>
          </cell>
          <cell r="GQ290">
            <v>15.209</v>
          </cell>
          <cell r="GR290">
            <v>15.657</v>
          </cell>
          <cell r="GS290">
            <v>19.245999999999999</v>
          </cell>
          <cell r="GT290">
            <v>19.721</v>
          </cell>
          <cell r="GU290">
            <v>18.856999999999999</v>
          </cell>
          <cell r="GV290">
            <v>23.730000000000004</v>
          </cell>
          <cell r="GW290">
            <v>22.939</v>
          </cell>
          <cell r="GX290">
            <v>22.227</v>
          </cell>
          <cell r="GY290">
            <v>21.024000000000001</v>
          </cell>
          <cell r="GZ290">
            <v>32.996000000000002</v>
          </cell>
          <cell r="HA290">
            <v>67.447000000000003</v>
          </cell>
          <cell r="HB290">
            <v>20.049000000000003</v>
          </cell>
          <cell r="HC290">
            <v>14.535</v>
          </cell>
          <cell r="HD290">
            <v>17.364999999999998</v>
          </cell>
          <cell r="HE290">
            <v>17.457000000000001</v>
          </cell>
          <cell r="HF290">
            <v>22.977000000000004</v>
          </cell>
          <cell r="HG290">
            <v>55.729000000000006</v>
          </cell>
          <cell r="HH290">
            <v>58.790000000000006</v>
          </cell>
          <cell r="HI290">
            <v>74.914000000000016</v>
          </cell>
          <cell r="HJ290">
            <v>123.76599999999999</v>
          </cell>
          <cell r="HK290">
            <v>59.222000000000001</v>
          </cell>
          <cell r="HL290">
            <v>44.899000000000001</v>
          </cell>
          <cell r="HM290">
            <v>52.143000000000001</v>
          </cell>
          <cell r="HN290">
            <v>73.753000000000014</v>
          </cell>
          <cell r="HO290">
            <v>32.350999999999999</v>
          </cell>
          <cell r="HP290">
            <v>19.052999999999997</v>
          </cell>
          <cell r="HQ290">
            <v>32.975000000000001</v>
          </cell>
          <cell r="HR290">
            <v>29.07</v>
          </cell>
          <cell r="HS290">
            <v>20.91</v>
          </cell>
          <cell r="HT290">
            <v>21.286000000000001</v>
          </cell>
          <cell r="HU290">
            <v>20.714999999999996</v>
          </cell>
          <cell r="HV290">
            <v>24.025999999999996</v>
          </cell>
          <cell r="HW290">
            <v>18.943999999999996</v>
          </cell>
          <cell r="HX290">
            <v>28.761000000000003</v>
          </cell>
          <cell r="HY290">
            <v>26.683000000000003</v>
          </cell>
          <cell r="HZ290">
            <v>19.125999999999998</v>
          </cell>
          <cell r="IA290">
            <v>11.47</v>
          </cell>
          <cell r="IB290">
            <v>14.829000000000001</v>
          </cell>
          <cell r="IC290">
            <v>15.488000000000001</v>
          </cell>
          <cell r="ID290">
            <v>19.270999999999997</v>
          </cell>
          <cell r="IE290">
            <v>22.981999999999999</v>
          </cell>
          <cell r="IF290">
            <v>56.194000000000003</v>
          </cell>
          <cell r="IG290">
            <v>42.826000000000001</v>
          </cell>
          <cell r="IH290">
            <v>68.174999999999997</v>
          </cell>
          <cell r="II290">
            <v>33.907999999999994</v>
          </cell>
          <cell r="IJ290">
            <v>42.373999999999995</v>
          </cell>
          <cell r="IK290">
            <v>24.126000000000001</v>
          </cell>
          <cell r="IL290">
            <v>15.425000000000001</v>
          </cell>
          <cell r="IM290">
            <v>14.824999999999999</v>
          </cell>
          <cell r="IN290">
            <v>23.085999999999999</v>
          </cell>
          <cell r="IO290">
            <v>29.831000000000003</v>
          </cell>
          <cell r="IP290">
            <v>32.507000000000005</v>
          </cell>
          <cell r="IQ290">
            <v>22.085999999999999</v>
          </cell>
          <cell r="IR290">
            <v>16.872</v>
          </cell>
          <cell r="IS290">
            <v>13.748999999999999</v>
          </cell>
          <cell r="IT290">
            <v>15.501999999999999</v>
          </cell>
          <cell r="IU290">
            <v>15.332999999999998</v>
          </cell>
          <cell r="IV290">
            <v>14.564</v>
          </cell>
          <cell r="IW290">
            <v>22.693000000000001</v>
          </cell>
          <cell r="IX290">
            <v>23.009999999999998</v>
          </cell>
          <cell r="IY290">
            <v>13.099000000000002</v>
          </cell>
          <cell r="IZ290">
            <v>13.971</v>
          </cell>
          <cell r="JA290">
            <v>19.856999999999999</v>
          </cell>
          <cell r="JB290">
            <v>21.013000000000002</v>
          </cell>
          <cell r="JC290">
            <v>13.795999999999999</v>
          </cell>
          <cell r="JD290">
            <v>18.500999999999998</v>
          </cell>
          <cell r="JE290">
            <v>14.827999999999999</v>
          </cell>
          <cell r="JF290">
            <v>17.333000000000002</v>
          </cell>
          <cell r="JG290">
            <v>13.536999999999999</v>
          </cell>
          <cell r="JH290">
            <v>22.596000000000004</v>
          </cell>
          <cell r="JI290">
            <v>11.122</v>
          </cell>
          <cell r="JJ290">
            <v>12.321999999999999</v>
          </cell>
          <cell r="JK290">
            <v>12.838999999999999</v>
          </cell>
          <cell r="JL290">
            <v>36.032000000000004</v>
          </cell>
          <cell r="JM290">
            <v>56.966999999999999</v>
          </cell>
          <cell r="JN290">
            <v>57.737000000000002</v>
          </cell>
          <cell r="JO290">
            <v>32.474999999999994</v>
          </cell>
          <cell r="JP290">
            <v>18.234999999999999</v>
          </cell>
          <cell r="JQ290">
            <v>35.307000000000002</v>
          </cell>
          <cell r="JR290">
            <v>20.545000000000002</v>
          </cell>
          <cell r="JS290">
            <v>15.769</v>
          </cell>
          <cell r="JT290">
            <v>31.320999999999998</v>
          </cell>
          <cell r="JU290">
            <v>14.435</v>
          </cell>
          <cell r="JV290">
            <v>12.750999999999999</v>
          </cell>
          <cell r="JW290">
            <v>7.7449999999999992</v>
          </cell>
          <cell r="JX290">
            <v>15.453999999999999</v>
          </cell>
          <cell r="JY290">
            <v>20.471999999999998</v>
          </cell>
          <cell r="JZ290">
            <v>24.289000000000001</v>
          </cell>
          <cell r="KA290">
            <v>16.027000000000001</v>
          </cell>
          <cell r="KB290">
            <v>18.117000000000001</v>
          </cell>
          <cell r="KC290">
            <v>24.160999999999998</v>
          </cell>
          <cell r="KD290">
            <v>38.260000000000005</v>
          </cell>
          <cell r="KE290">
            <v>46.064999999999998</v>
          </cell>
          <cell r="KF290">
            <v>16.163999999999998</v>
          </cell>
          <cell r="KG290">
            <v>14.14</v>
          </cell>
          <cell r="KH290">
            <v>12.093</v>
          </cell>
          <cell r="KI290">
            <v>8.0180000000000007</v>
          </cell>
          <cell r="KJ290">
            <v>28.130000000000003</v>
          </cell>
          <cell r="KK290">
            <v>46.966000000000008</v>
          </cell>
          <cell r="KL290">
            <v>38.368000000000002</v>
          </cell>
          <cell r="KM290">
            <v>45.256000000000007</v>
          </cell>
          <cell r="KN290">
            <v>21.842000000000002</v>
          </cell>
          <cell r="KO290">
            <v>26.650999999999996</v>
          </cell>
          <cell r="KP290">
            <v>40.713000000000001</v>
          </cell>
          <cell r="KQ290">
            <v>44.914000000000001</v>
          </cell>
          <cell r="KR290">
            <v>88.606999999999999</v>
          </cell>
          <cell r="KS290">
            <v>62.922000000000011</v>
          </cell>
          <cell r="KT290">
            <v>50.959000000000003</v>
          </cell>
          <cell r="KU290">
            <v>86.450999999999993</v>
          </cell>
          <cell r="KV290">
            <v>67.149000000000001</v>
          </cell>
          <cell r="KW290">
            <v>53.908000000000001</v>
          </cell>
          <cell r="KX290">
            <v>86.67</v>
          </cell>
          <cell r="KY290">
            <v>162.30899999999997</v>
          </cell>
          <cell r="KZ290">
            <v>67.686000000000007</v>
          </cell>
          <cell r="LA290">
            <v>42.002000000000002</v>
          </cell>
          <cell r="LB290">
            <v>40.835999999999999</v>
          </cell>
          <cell r="LC290">
            <v>43.323</v>
          </cell>
          <cell r="LD290">
            <v>37.293000000000006</v>
          </cell>
          <cell r="LE290">
            <v>26.678999999999998</v>
          </cell>
          <cell r="LF290">
            <v>28.016999999999996</v>
          </cell>
          <cell r="LG290">
            <v>28.867999999999999</v>
          </cell>
          <cell r="LH290">
            <v>47.174999999999997</v>
          </cell>
          <cell r="LI290">
            <v>48.62299999999999</v>
          </cell>
          <cell r="LJ290">
            <v>64.356999999999999</v>
          </cell>
          <cell r="LK290">
            <v>63.109000000000009</v>
          </cell>
          <cell r="LL290">
            <v>52.335999999999999</v>
          </cell>
          <cell r="LM290">
            <v>44.896999999999998</v>
          </cell>
          <cell r="LN290">
            <v>39.862000000000002</v>
          </cell>
          <cell r="LO290">
            <v>44.697000000000003</v>
          </cell>
          <cell r="LP290">
            <v>62.768999999999998</v>
          </cell>
          <cell r="LQ290">
            <v>36.887999999999998</v>
          </cell>
          <cell r="LR290">
            <v>14.513</v>
          </cell>
          <cell r="LS290">
            <v>10.907999999999999</v>
          </cell>
          <cell r="LT290">
            <v>38.215000000000003</v>
          </cell>
          <cell r="LU290">
            <v>66.942999999999998</v>
          </cell>
          <cell r="LV290">
            <v>85.361000000000004</v>
          </cell>
          <cell r="LW290">
            <v>58.683999999999997</v>
          </cell>
          <cell r="LX290">
            <v>37.296999999999997</v>
          </cell>
          <cell r="LY290">
            <v>50.075000000000003</v>
          </cell>
          <cell r="LZ290">
            <v>30.625</v>
          </cell>
          <cell r="MA290">
            <v>35.51</v>
          </cell>
          <cell r="MB290">
            <v>90.548000000000002</v>
          </cell>
          <cell r="MC290">
            <v>12.859</v>
          </cell>
          <cell r="MD290">
            <v>14.157999999999999</v>
          </cell>
          <cell r="ME290">
            <v>15575.692999999999</v>
          </cell>
          <cell r="MF290">
            <v>10715.303999999998</v>
          </cell>
          <cell r="MG290">
            <v>62211.616000000002</v>
          </cell>
          <cell r="MH290">
            <v>66645.251999999979</v>
          </cell>
          <cell r="MI290">
            <v>116794.19900000001</v>
          </cell>
          <cell r="MJ290">
            <v>178729.74999999997</v>
          </cell>
          <cell r="MK290">
            <v>165953.74800000002</v>
          </cell>
          <cell r="ML290">
            <v>120299.35900000003</v>
          </cell>
          <cell r="MM290">
            <v>87596.467999999993</v>
          </cell>
          <cell r="MN290">
            <v>79995.349999999991</v>
          </cell>
          <cell r="MO290">
            <v>43845.877000000008</v>
          </cell>
          <cell r="MP290">
            <v>20666.35300000001</v>
          </cell>
          <cell r="MQ290">
            <v>17413.120000000003</v>
          </cell>
          <cell r="MR290">
            <v>13380.051000000003</v>
          </cell>
          <cell r="MS290">
            <v>63604.764999999999</v>
          </cell>
          <cell r="MT290">
            <v>200831.43199999994</v>
          </cell>
          <cell r="MU290">
            <v>228470.24599999984</v>
          </cell>
          <cell r="MV290">
            <v>77625.828000000023</v>
          </cell>
          <cell r="MW290">
            <v>36035.424999999996</v>
          </cell>
          <cell r="MX290">
            <v>27234.333000000006</v>
          </cell>
          <cell r="MY290">
            <v>26298.452000000005</v>
          </cell>
          <cell r="MZ290">
            <v>17620.830999999998</v>
          </cell>
          <cell r="NA290">
            <v>94475.709000000003</v>
          </cell>
          <cell r="NB290">
            <v>14110.883999999998</v>
          </cell>
          <cell r="NC290">
            <v>13088.235999999999</v>
          </cell>
          <cell r="ND290">
            <v>11481.549000000003</v>
          </cell>
          <cell r="NE290">
            <v>31156.493999999999</v>
          </cell>
          <cell r="NF290">
            <v>69133.619000000021</v>
          </cell>
          <cell r="NG290">
            <v>61745.318999999989</v>
          </cell>
          <cell r="NH290">
            <v>46078.235000000008</v>
          </cell>
          <cell r="NI290">
            <v>48692.662999999993</v>
          </cell>
          <cell r="NJ290">
            <v>39208.062999999995</v>
          </cell>
          <cell r="NK290">
            <v>98408.185999999972</v>
          </cell>
          <cell r="NL290">
            <v>96743.510000000024</v>
          </cell>
          <cell r="NM290">
            <v>260852.17800000004</v>
          </cell>
          <cell r="NN290">
            <v>371350.02</v>
          </cell>
          <cell r="NO290">
            <v>325265.95500000002</v>
          </cell>
          <cell r="NP290">
            <v>192334.76499999996</v>
          </cell>
          <cell r="NQ290">
            <v>184046.07300000003</v>
          </cell>
          <cell r="NR290">
            <v>209753.91800000003</v>
          </cell>
          <cell r="NS290">
            <v>331059.10899999988</v>
          </cell>
          <cell r="NT290">
            <v>271312.58299999993</v>
          </cell>
          <cell r="NU290">
            <v>129811.46300000003</v>
          </cell>
          <cell r="NV290">
            <v>123962.26200000006</v>
          </cell>
          <cell r="NW290">
            <v>167152.63399999993</v>
          </cell>
          <cell r="NX290">
            <v>70397.995999999999</v>
          </cell>
          <cell r="NZ290">
            <v>48487.392999999989</v>
          </cell>
          <cell r="OA290">
            <v>26707.501999999997</v>
          </cell>
          <cell r="OB290">
            <v>15067.623000000003</v>
          </cell>
          <cell r="OC290">
            <v>23052.089999999997</v>
          </cell>
          <cell r="OD290">
            <v>57357.125999999982</v>
          </cell>
          <cell r="OE290">
            <v>92466.93299999999</v>
          </cell>
          <cell r="OF290">
            <v>127691.662</v>
          </cell>
          <cell r="OG290">
            <v>69483.700999999957</v>
          </cell>
          <cell r="OH290">
            <v>93957.232999999978</v>
          </cell>
          <cell r="OI290">
            <v>53644.655000000021</v>
          </cell>
          <cell r="OJ290">
            <v>101010.41900000001</v>
          </cell>
          <cell r="OK290">
            <v>66485.775999999983</v>
          </cell>
          <cell r="OL290">
            <v>38262.915999999997</v>
          </cell>
          <cell r="OM290">
            <v>33470.519999999982</v>
          </cell>
          <cell r="ON290">
            <v>24985.126</v>
          </cell>
          <cell r="OO290">
            <v>68724.410999999964</v>
          </cell>
          <cell r="OP290">
            <v>76314.688999999969</v>
          </cell>
          <cell r="OQ290">
            <v>94647.649000000034</v>
          </cell>
          <cell r="OR290">
            <v>62458.07999999998</v>
          </cell>
          <cell r="OS290">
            <v>47923.34199999999</v>
          </cell>
        </row>
      </sheetData>
      <sheetData sheetId="8">
        <row r="37">
          <cell r="B37">
            <v>0</v>
          </cell>
          <cell r="C37">
            <v>0</v>
          </cell>
          <cell r="D37">
            <v>0</v>
          </cell>
          <cell r="E37">
            <v>4.5589999999999993</v>
          </cell>
          <cell r="F37">
            <v>10.732999999999999</v>
          </cell>
          <cell r="G37">
            <v>18.754999999999999</v>
          </cell>
          <cell r="H37">
            <v>47.059999999999995</v>
          </cell>
          <cell r="I37">
            <v>13.095999999999997</v>
          </cell>
          <cell r="J37">
            <v>11.868</v>
          </cell>
          <cell r="K37">
            <v>16.057000000000002</v>
          </cell>
          <cell r="L37">
            <v>33.338000000000008</v>
          </cell>
          <cell r="M37">
            <v>42.931999999999995</v>
          </cell>
          <cell r="N37">
            <v>37.046999999999997</v>
          </cell>
          <cell r="O37">
            <v>87.88000000000001</v>
          </cell>
          <cell r="P37">
            <v>53.337999999999994</v>
          </cell>
          <cell r="Q37">
            <v>110.976</v>
          </cell>
          <cell r="R37">
            <v>89.668000000000006</v>
          </cell>
          <cell r="S37">
            <v>103.95399999999999</v>
          </cell>
          <cell r="T37">
            <v>103.02200000000002</v>
          </cell>
          <cell r="U37">
            <v>72.125999999999991</v>
          </cell>
          <cell r="V37">
            <v>56.506</v>
          </cell>
          <cell r="W37">
            <v>49.466000000000001</v>
          </cell>
          <cell r="X37">
            <v>60.716000000000001</v>
          </cell>
          <cell r="Y37">
            <v>42.948999999999998</v>
          </cell>
          <cell r="Z37">
            <v>119.04999999999998</v>
          </cell>
          <cell r="AA37">
            <v>32.701000000000001</v>
          </cell>
          <cell r="AB37">
            <v>70.679999999999993</v>
          </cell>
          <cell r="AC37">
            <v>82.082999999999998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0.871</v>
          </cell>
          <cell r="F59">
            <v>1.2430000000000003</v>
          </cell>
          <cell r="G59">
            <v>12.129</v>
          </cell>
          <cell r="H59">
            <v>3.3179999999999996</v>
          </cell>
          <cell r="I59">
            <v>0.94400000000000006</v>
          </cell>
          <cell r="J59">
            <v>5.8259999999999996</v>
          </cell>
          <cell r="K59">
            <v>3.1870000000000003</v>
          </cell>
          <cell r="L59">
            <v>3.2570000000000001</v>
          </cell>
          <cell r="M59">
            <v>6.9509999999999996</v>
          </cell>
          <cell r="N59">
            <v>4.7689999999999992</v>
          </cell>
          <cell r="O59">
            <v>6.4139999999999997</v>
          </cell>
          <cell r="P59">
            <v>9.7840000000000007</v>
          </cell>
          <cell r="Q59">
            <v>7.0459999999999994</v>
          </cell>
          <cell r="R59">
            <v>9.2159999999999993</v>
          </cell>
          <cell r="S59">
            <v>16.311999999999998</v>
          </cell>
          <cell r="T59">
            <v>15.858000000000002</v>
          </cell>
          <cell r="U59">
            <v>21.556999999999999</v>
          </cell>
          <cell r="V59">
            <v>18.632999999999999</v>
          </cell>
          <cell r="W59">
            <v>17.222999999999999</v>
          </cell>
          <cell r="X59">
            <v>30.204000000000001</v>
          </cell>
          <cell r="Y59">
            <v>33.717999999999996</v>
          </cell>
          <cell r="Z59">
            <v>34.353999999999999</v>
          </cell>
          <cell r="AA59">
            <v>37.502999999999993</v>
          </cell>
          <cell r="AB59">
            <v>35.125</v>
          </cell>
          <cell r="AC59">
            <v>37.112000000000002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38.615000000000002</v>
          </cell>
          <cell r="F74">
            <v>33.512</v>
          </cell>
          <cell r="G74">
            <v>48.439000000000007</v>
          </cell>
          <cell r="H74">
            <v>85.863000000000014</v>
          </cell>
          <cell r="I74">
            <v>41.917999999999992</v>
          </cell>
          <cell r="J74">
            <v>118.30500000000002</v>
          </cell>
          <cell r="K74">
            <v>109.99299999999999</v>
          </cell>
          <cell r="L74">
            <v>300.27699999999999</v>
          </cell>
          <cell r="M74">
            <v>513.09899999999993</v>
          </cell>
          <cell r="N74">
            <v>250.81899999999999</v>
          </cell>
          <cell r="O74">
            <v>671.75900000000001</v>
          </cell>
          <cell r="P74">
            <v>433.24799999999999</v>
          </cell>
          <cell r="Q74">
            <v>259.90199999999993</v>
          </cell>
          <cell r="R74">
            <v>542.46500000000015</v>
          </cell>
          <cell r="S74">
            <v>345.96300000000002</v>
          </cell>
          <cell r="T74">
            <v>520.69200000000001</v>
          </cell>
          <cell r="U74">
            <v>343.56099999999998</v>
          </cell>
          <cell r="V74">
            <v>497.50100000000009</v>
          </cell>
          <cell r="W74">
            <v>424.72500000000002</v>
          </cell>
          <cell r="X74">
            <v>214.672</v>
          </cell>
          <cell r="Y74">
            <v>247.32500000000002</v>
          </cell>
          <cell r="Z74">
            <v>425.65499999999992</v>
          </cell>
          <cell r="AA74">
            <v>386.22400000000005</v>
          </cell>
          <cell r="AB74">
            <v>470.02300000000008</v>
          </cell>
          <cell r="AC74">
            <v>812.22200000000009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1E-3</v>
          </cell>
          <cell r="F88">
            <v>5.9000000000000004E-2</v>
          </cell>
          <cell r="G88">
            <v>4.9000000000000002E-2</v>
          </cell>
          <cell r="H88">
            <v>2.1000000000000001E-2</v>
          </cell>
          <cell r="I88">
            <v>3.0000000000000001E-3</v>
          </cell>
          <cell r="J88">
            <v>1.4999999999999999E-2</v>
          </cell>
          <cell r="K88">
            <v>0.10100000000000001</v>
          </cell>
          <cell r="L88">
            <v>4.2000000000000003E-2</v>
          </cell>
          <cell r="M88">
            <v>0.222</v>
          </cell>
          <cell r="N88">
            <v>0.125</v>
          </cell>
          <cell r="O88">
            <v>0.16400000000000001</v>
          </cell>
          <cell r="P88">
            <v>0.126</v>
          </cell>
          <cell r="Q88">
            <v>0.10300000000000001</v>
          </cell>
          <cell r="R88">
            <v>0.29300000000000004</v>
          </cell>
          <cell r="S88">
            <v>6.2E-2</v>
          </cell>
          <cell r="T88">
            <v>7.2000000000000008E-2</v>
          </cell>
          <cell r="U88">
            <v>3.7999999999999999E-2</v>
          </cell>
          <cell r="V88">
            <v>0.75</v>
          </cell>
          <cell r="W88">
            <v>4.9000000000000002E-2</v>
          </cell>
          <cell r="X88">
            <v>6.3E-2</v>
          </cell>
          <cell r="Y88">
            <v>3.9999999999999994E-2</v>
          </cell>
          <cell r="Z88">
            <v>0.307</v>
          </cell>
          <cell r="AA88">
            <v>14.404999999999999</v>
          </cell>
          <cell r="AB88">
            <v>45.895000000000003</v>
          </cell>
          <cell r="AC88">
            <v>53.202000000000005</v>
          </cell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>
            <v>1E-3</v>
          </cell>
          <cell r="BV88"/>
          <cell r="BW88"/>
          <cell r="BX88"/>
          <cell r="BY88"/>
          <cell r="BZ88"/>
          <cell r="CA88"/>
          <cell r="CB88"/>
          <cell r="CC88"/>
          <cell r="CD88"/>
          <cell r="CE88">
            <v>5.8000000000000003E-2</v>
          </cell>
          <cell r="CF88"/>
          <cell r="CG88">
            <v>1E-3</v>
          </cell>
          <cell r="CH88"/>
          <cell r="CI88"/>
          <cell r="CJ88"/>
          <cell r="CK88"/>
          <cell r="CL88"/>
          <cell r="CM88"/>
          <cell r="CN88"/>
          <cell r="CO88"/>
          <cell r="CP88"/>
          <cell r="CQ88">
            <v>0.04</v>
          </cell>
          <cell r="CR88">
            <v>7.0000000000000001E-3</v>
          </cell>
          <cell r="CS88">
            <v>2E-3</v>
          </cell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>
            <v>2.1000000000000001E-2</v>
          </cell>
          <cell r="DF88"/>
          <cell r="DG88"/>
          <cell r="DH88"/>
          <cell r="DI88"/>
          <cell r="DJ88"/>
          <cell r="DK88"/>
          <cell r="DL88"/>
          <cell r="DM88"/>
          <cell r="DN88"/>
          <cell r="DO88"/>
          <cell r="DP88">
            <v>2E-3</v>
          </cell>
          <cell r="DQ88">
            <v>1E-3</v>
          </cell>
          <cell r="DR88"/>
          <cell r="DS88"/>
          <cell r="DT88"/>
          <cell r="DU88"/>
          <cell r="DV88"/>
          <cell r="DW88"/>
          <cell r="DX88"/>
          <cell r="DY88"/>
          <cell r="DZ88"/>
          <cell r="EA88"/>
          <cell r="EB88"/>
          <cell r="EC88">
            <v>1.2E-2</v>
          </cell>
          <cell r="ED88">
            <v>2E-3</v>
          </cell>
          <cell r="EE88"/>
          <cell r="EF88"/>
          <cell r="EG88"/>
          <cell r="EH88">
            <v>1E-3</v>
          </cell>
          <cell r="EI88"/>
          <cell r="EJ88"/>
          <cell r="EK88"/>
          <cell r="EL88"/>
          <cell r="EM88">
            <v>6.0000000000000001E-3</v>
          </cell>
          <cell r="EN88">
            <v>1.4999999999999999E-2</v>
          </cell>
          <cell r="EO88">
            <v>1E-3</v>
          </cell>
          <cell r="EP88">
            <v>1.7000000000000001E-2</v>
          </cell>
          <cell r="EQ88">
            <v>3.4000000000000002E-2</v>
          </cell>
          <cell r="ER88">
            <v>1.7999999999999999E-2</v>
          </cell>
          <cell r="ES88"/>
          <cell r="ET88">
            <v>0.01</v>
          </cell>
          <cell r="EU88"/>
          <cell r="EV88"/>
          <cell r="EW88">
            <v>8.0000000000000002E-3</v>
          </cell>
          <cell r="EX88"/>
          <cell r="EY88"/>
          <cell r="EZ88">
            <v>3.2000000000000001E-2</v>
          </cell>
          <cell r="FA88">
            <v>1E-3</v>
          </cell>
          <cell r="FB88">
            <v>1E-3</v>
          </cell>
          <cell r="FC88"/>
          <cell r="FD88"/>
          <cell r="FE88"/>
          <cell r="FF88"/>
          <cell r="FG88"/>
          <cell r="FH88"/>
          <cell r="FI88">
            <v>0.01</v>
          </cell>
          <cell r="FJ88"/>
          <cell r="FK88">
            <v>0.02</v>
          </cell>
          <cell r="FL88">
            <v>1E-3</v>
          </cell>
          <cell r="FM88">
            <v>3.6999999999999998E-2</v>
          </cell>
          <cell r="FN88">
            <v>5.8000000000000003E-2</v>
          </cell>
          <cell r="FO88">
            <v>7.1999999999999995E-2</v>
          </cell>
          <cell r="FP88">
            <v>2.4E-2</v>
          </cell>
          <cell r="FQ88"/>
          <cell r="FR88"/>
          <cell r="FS88"/>
          <cell r="FT88">
            <v>7.0000000000000001E-3</v>
          </cell>
          <cell r="FU88"/>
          <cell r="FV88"/>
          <cell r="FW88"/>
          <cell r="FX88">
            <v>0.11799999999999999</v>
          </cell>
          <cell r="FY88"/>
          <cell r="FZ88"/>
          <cell r="GA88"/>
          <cell r="GB88"/>
          <cell r="GC88"/>
          <cell r="GD88"/>
          <cell r="GE88">
            <v>1.7999999999999999E-2</v>
          </cell>
          <cell r="GF88"/>
          <cell r="GG88"/>
          <cell r="GH88"/>
          <cell r="GI88">
            <v>0.01</v>
          </cell>
          <cell r="GJ88"/>
          <cell r="GK88">
            <v>0.13600000000000001</v>
          </cell>
          <cell r="GL88"/>
          <cell r="GM88"/>
          <cell r="GN88"/>
          <cell r="GO88"/>
          <cell r="GP88"/>
          <cell r="GQ88"/>
          <cell r="GR88"/>
          <cell r="GS88"/>
          <cell r="GT88"/>
          <cell r="GU88"/>
          <cell r="GV88">
            <v>3.5999999999999997E-2</v>
          </cell>
          <cell r="GW88">
            <v>0.09</v>
          </cell>
          <cell r="GX88"/>
          <cell r="GY88"/>
          <cell r="GZ88"/>
          <cell r="HA88"/>
          <cell r="HB88"/>
          <cell r="HC88"/>
          <cell r="HD88">
            <v>0.01</v>
          </cell>
          <cell r="HE88">
            <v>2E-3</v>
          </cell>
          <cell r="HF88">
            <v>1E-3</v>
          </cell>
          <cell r="HG88"/>
          <cell r="HH88">
            <v>5.6000000000000001E-2</v>
          </cell>
          <cell r="HI88">
            <v>3.0000000000000001E-3</v>
          </cell>
          <cell r="HJ88"/>
          <cell r="HK88">
            <v>1.2999999999999999E-2</v>
          </cell>
          <cell r="HL88">
            <v>1.7999999999999999E-2</v>
          </cell>
          <cell r="HM88"/>
          <cell r="HN88"/>
          <cell r="HO88"/>
          <cell r="HP88">
            <v>2.9000000000000001E-2</v>
          </cell>
          <cell r="HQ88"/>
          <cell r="HR88"/>
          <cell r="HS88">
            <v>4.7E-2</v>
          </cell>
          <cell r="HT88">
            <v>0.19400000000000001</v>
          </cell>
          <cell r="HU88">
            <v>1E-3</v>
          </cell>
          <cell r="HV88">
            <v>4.0000000000000001E-3</v>
          </cell>
          <cell r="HW88"/>
          <cell r="HX88">
            <v>1.7999999999999999E-2</v>
          </cell>
          <cell r="HY88"/>
          <cell r="HZ88"/>
          <cell r="IA88"/>
          <cell r="IB88">
            <v>1E-3</v>
          </cell>
          <cell r="IC88"/>
          <cell r="ID88"/>
          <cell r="IE88">
            <v>3.7999999999999999E-2</v>
          </cell>
          <cell r="IF88">
            <v>6.0000000000000001E-3</v>
          </cell>
          <cell r="IG88">
            <v>1.2999999999999999E-2</v>
          </cell>
          <cell r="IH88">
            <v>1E-3</v>
          </cell>
          <cell r="II88">
            <v>1E-3</v>
          </cell>
          <cell r="IJ88"/>
          <cell r="IK88">
            <v>2E-3</v>
          </cell>
          <cell r="IL88"/>
          <cell r="IM88"/>
          <cell r="IN88"/>
          <cell r="IO88">
            <v>4.1000000000000002E-2</v>
          </cell>
          <cell r="IP88"/>
          <cell r="IQ88"/>
          <cell r="IR88">
            <v>8.9999999999999993E-3</v>
          </cell>
          <cell r="IS88"/>
          <cell r="IT88"/>
          <cell r="IU88">
            <v>2.1999999999999999E-2</v>
          </cell>
          <cell r="IV88"/>
          <cell r="IW88"/>
          <cell r="IX88"/>
          <cell r="IY88"/>
          <cell r="IZ88"/>
          <cell r="JA88"/>
          <cell r="JB88">
            <v>0.02</v>
          </cell>
          <cell r="JC88"/>
          <cell r="JD88">
            <v>1E-3</v>
          </cell>
          <cell r="JE88">
            <v>1.0999999999999999E-2</v>
          </cell>
          <cell r="JF88"/>
          <cell r="JG88"/>
          <cell r="JH88">
            <v>6.0000000000000001E-3</v>
          </cell>
          <cell r="JI88"/>
          <cell r="JJ88"/>
          <cell r="JK88">
            <v>1.7999999999999999E-2</v>
          </cell>
          <cell r="JL88">
            <v>0.36499999999999999</v>
          </cell>
          <cell r="JM88">
            <v>0.11</v>
          </cell>
          <cell r="JN88">
            <v>0.217</v>
          </cell>
          <cell r="JO88"/>
          <cell r="JP88"/>
          <cell r="JQ88">
            <v>8.0000000000000002E-3</v>
          </cell>
          <cell r="JR88">
            <v>2.5999999999999999E-2</v>
          </cell>
          <cell r="JS88"/>
          <cell r="JT88">
            <v>1E-3</v>
          </cell>
          <cell r="JU88"/>
          <cell r="JV88">
            <v>5.0000000000000001E-3</v>
          </cell>
          <cell r="JW88">
            <v>2.5999999999999999E-2</v>
          </cell>
          <cell r="JX88"/>
          <cell r="JY88"/>
          <cell r="JZ88"/>
          <cell r="KA88"/>
          <cell r="KB88">
            <v>0.02</v>
          </cell>
          <cell r="KC88">
            <v>3.0000000000000001E-3</v>
          </cell>
          <cell r="KD88"/>
          <cell r="KE88"/>
          <cell r="KF88"/>
          <cell r="KG88"/>
          <cell r="KH88"/>
          <cell r="KI88"/>
          <cell r="KJ88"/>
          <cell r="KK88"/>
          <cell r="KL88">
            <v>1.9E-2</v>
          </cell>
          <cell r="KM88">
            <v>3.0000000000000001E-3</v>
          </cell>
          <cell r="KN88">
            <v>8.0000000000000002E-3</v>
          </cell>
          <cell r="KO88">
            <v>1E-3</v>
          </cell>
          <cell r="KP88"/>
          <cell r="KQ88"/>
          <cell r="KR88"/>
          <cell r="KS88"/>
          <cell r="KT88">
            <v>3.2000000000000001E-2</v>
          </cell>
          <cell r="KU88"/>
          <cell r="KV88"/>
          <cell r="KW88">
            <v>1.7999999999999999E-2</v>
          </cell>
          <cell r="KX88"/>
          <cell r="KY88" t="str">
            <v/>
          </cell>
          <cell r="KZ88">
            <v>0.01</v>
          </cell>
          <cell r="LA88">
            <v>1.0999999999999999E-2</v>
          </cell>
          <cell r="LB88" t="str">
            <v/>
          </cell>
          <cell r="LC88" t="str">
            <v/>
          </cell>
          <cell r="LD88">
            <v>1E-3</v>
          </cell>
          <cell r="LE88" t="str">
            <v/>
          </cell>
          <cell r="LF88" t="str">
            <v/>
          </cell>
          <cell r="LG88">
            <v>6.3E-2</v>
          </cell>
          <cell r="LH88" t="str">
            <v/>
          </cell>
          <cell r="LI88" t="str">
            <v/>
          </cell>
          <cell r="LJ88">
            <v>1.9E-2</v>
          </cell>
          <cell r="LK88" t="str">
            <v/>
          </cell>
          <cell r="LL88" t="str">
            <v/>
          </cell>
          <cell r="LM88">
            <v>2E-3</v>
          </cell>
          <cell r="LN88">
            <v>6.0000000000000001E-3</v>
          </cell>
          <cell r="LO88">
            <v>0.217</v>
          </cell>
          <cell r="LP88" t="str">
            <v/>
          </cell>
          <cell r="LQ88" t="str">
            <v/>
          </cell>
          <cell r="LR88" t="str">
            <v/>
          </cell>
          <cell r="LS88">
            <v>2E-3</v>
          </cell>
          <cell r="LT88" t="str">
            <v/>
          </cell>
          <cell r="LU88">
            <v>1.548</v>
          </cell>
          <cell r="LV88">
            <v>2.2429999999999999</v>
          </cell>
          <cell r="LW88">
            <v>2.609</v>
          </cell>
          <cell r="LX88">
            <v>0.73</v>
          </cell>
          <cell r="LY88">
            <v>1.099</v>
          </cell>
          <cell r="LZ88">
            <v>0.27400000000000002</v>
          </cell>
          <cell r="MA88">
            <v>1.89</v>
          </cell>
          <cell r="MB88">
            <v>2.1880000000000002</v>
          </cell>
          <cell r="MC88">
            <v>0.28899999999999998</v>
          </cell>
          <cell r="MD88">
            <v>1.5329999999999999</v>
          </cell>
          <cell r="ME88">
            <v>2.7570000000000001</v>
          </cell>
          <cell r="MF88">
            <v>2.069</v>
          </cell>
          <cell r="MG88">
            <v>1.996</v>
          </cell>
          <cell r="MH88">
            <v>1.714</v>
          </cell>
          <cell r="MI88">
            <v>5.4630000000000001</v>
          </cell>
          <cell r="MJ88">
            <v>1.3480000000000001</v>
          </cell>
          <cell r="MK88">
            <v>2.871</v>
          </cell>
          <cell r="ML88">
            <v>5.0979999999999999</v>
          </cell>
          <cell r="MM88">
            <v>7.0149999999999997</v>
          </cell>
          <cell r="MN88">
            <v>5.5789999999999997</v>
          </cell>
          <cell r="MO88">
            <v>7.4580000000000002</v>
          </cell>
          <cell r="MP88">
            <v>2.5270000000000001</v>
          </cell>
          <cell r="MQ88">
            <v>5.2969999999999997</v>
          </cell>
          <cell r="MR88">
            <v>4.95</v>
          </cell>
          <cell r="MS88">
            <v>6.3970000000000002</v>
          </cell>
          <cell r="MT88">
            <v>4.8959999999999999</v>
          </cell>
          <cell r="MU88">
            <v>4.1879999999999997</v>
          </cell>
          <cell r="MV88">
            <v>2.298</v>
          </cell>
          <cell r="MW88">
            <v>2.73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0.24099999999999999</v>
          </cell>
          <cell r="O103">
            <v>1E-3</v>
          </cell>
          <cell r="P103">
            <v>1E-3</v>
          </cell>
          <cell r="Q103">
            <v>3.0000000000000001E-3</v>
          </cell>
          <cell r="R103">
            <v>2.5999999999999999E-2</v>
          </cell>
          <cell r="S103">
            <v>0.27199999999999996</v>
          </cell>
          <cell r="T103">
            <v>0.20899999999999999</v>
          </cell>
          <cell r="U103">
            <v>0.23800000000000002</v>
          </cell>
          <cell r="V103">
            <v>0.36399999999999999</v>
          </cell>
          <cell r="W103">
            <v>0.41699999999999998</v>
          </cell>
          <cell r="X103">
            <v>0.501</v>
          </cell>
          <cell r="Y103">
            <v>0.54900000000000004</v>
          </cell>
          <cell r="Z103">
            <v>0.91399999999999992</v>
          </cell>
          <cell r="AA103">
            <v>0.36</v>
          </cell>
          <cell r="AB103">
            <v>0.47300000000000003</v>
          </cell>
          <cell r="AC103">
            <v>0.13100000000000001</v>
          </cell>
          <cell r="AD103">
            <v>0.95699999999999996</v>
          </cell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2.7E-2</v>
          </cell>
          <cell r="J104">
            <v>0</v>
          </cell>
          <cell r="K104">
            <v>0</v>
          </cell>
          <cell r="L104">
            <v>4.7E-2</v>
          </cell>
          <cell r="M104">
            <v>0.05</v>
          </cell>
          <cell r="N104">
            <v>0.14199999999999999</v>
          </cell>
          <cell r="O104">
            <v>8.0000000000000002E-3</v>
          </cell>
          <cell r="P104">
            <v>2.3E-2</v>
          </cell>
          <cell r="Q104">
            <v>0</v>
          </cell>
          <cell r="R104">
            <v>6.0000000000000001E-3</v>
          </cell>
          <cell r="S104">
            <v>0</v>
          </cell>
          <cell r="T104">
            <v>4.4999999999999998E-2</v>
          </cell>
          <cell r="U104">
            <v>0</v>
          </cell>
          <cell r="V104">
            <v>9.2999999999999999E-2</v>
          </cell>
          <cell r="W104">
            <v>0</v>
          </cell>
          <cell r="X104">
            <v>1.6339999999999999</v>
          </cell>
          <cell r="Y104">
            <v>1.3370000000000002</v>
          </cell>
          <cell r="Z104">
            <v>2.7629999999999999</v>
          </cell>
          <cell r="AA104">
            <v>1.012</v>
          </cell>
          <cell r="AB104">
            <v>2.4480000000000004</v>
          </cell>
          <cell r="AC104">
            <v>4.4999999999999998E-2</v>
          </cell>
          <cell r="AD104">
            <v>0.27799999999999997</v>
          </cell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</row>
        <row r="107">
          <cell r="B107">
            <v>0</v>
          </cell>
          <cell r="C107">
            <v>0</v>
          </cell>
          <cell r="D107">
            <v>0</v>
          </cell>
          <cell r="E107">
            <v>9.9000000000000005E-2</v>
          </cell>
          <cell r="F107">
            <v>4.5999999999999999E-2</v>
          </cell>
          <cell r="G107">
            <v>5.5860000000000003</v>
          </cell>
          <cell r="H107">
            <v>21.675999999999998</v>
          </cell>
          <cell r="I107">
            <v>4.6000000000000006E-2</v>
          </cell>
          <cell r="J107">
            <v>5.0189999999999992</v>
          </cell>
          <cell r="K107">
            <v>1.2289999999999996</v>
          </cell>
          <cell r="L107">
            <v>0.35099999999999998</v>
          </cell>
          <cell r="M107">
            <v>0.3590000000000001</v>
          </cell>
          <cell r="N107">
            <v>0.27900000000000003</v>
          </cell>
          <cell r="O107">
            <v>0.153</v>
          </cell>
          <cell r="P107">
            <v>0.19400000000000001</v>
          </cell>
          <cell r="Q107">
            <v>1.6659999999999997</v>
          </cell>
          <cell r="R107">
            <v>0.18</v>
          </cell>
          <cell r="S107">
            <v>0.09</v>
          </cell>
          <cell r="T107">
            <v>0.54100000000000004</v>
          </cell>
          <cell r="U107">
            <v>0.253</v>
          </cell>
          <cell r="V107">
            <v>1.4689999999999999</v>
          </cell>
          <cell r="W107">
            <v>1.3760000000000003</v>
          </cell>
          <cell r="X107">
            <v>1.32</v>
          </cell>
          <cell r="Y107">
            <v>1.5250000000000001</v>
          </cell>
          <cell r="Z107">
            <v>1.8420000000000001</v>
          </cell>
          <cell r="AA107">
            <v>1.3780000000000001</v>
          </cell>
          <cell r="AB107">
            <v>3.4239999999999999</v>
          </cell>
          <cell r="AC107">
            <v>3.1379999999999995</v>
          </cell>
          <cell r="AD107">
            <v>3.5220000000000002</v>
          </cell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</row>
        <row r="108">
          <cell r="B108">
            <v>0</v>
          </cell>
          <cell r="C108">
            <v>0</v>
          </cell>
          <cell r="D108">
            <v>0</v>
          </cell>
          <cell r="E108">
            <v>6.0000000000000001E-3</v>
          </cell>
          <cell r="F108">
            <v>9.5000000000000001E-2</v>
          </cell>
          <cell r="G108">
            <v>0.317</v>
          </cell>
          <cell r="H108">
            <v>0.20399999999999999</v>
          </cell>
          <cell r="I108">
            <v>0.48199999999999993</v>
          </cell>
          <cell r="J108">
            <v>0.57000000000000006</v>
          </cell>
          <cell r="K108">
            <v>0.59900000000000009</v>
          </cell>
          <cell r="L108">
            <v>0.115</v>
          </cell>
          <cell r="M108">
            <v>0.34400000000000008</v>
          </cell>
          <cell r="N108">
            <v>0.23599999999999996</v>
          </cell>
          <cell r="O108">
            <v>0.40600000000000003</v>
          </cell>
          <cell r="P108">
            <v>0.28600000000000003</v>
          </cell>
          <cell r="Q108">
            <v>0.24899999999999997</v>
          </cell>
          <cell r="R108">
            <v>0.33700000000000002</v>
          </cell>
          <cell r="S108">
            <v>0.20399999999999999</v>
          </cell>
          <cell r="T108">
            <v>0.14899999999999999</v>
          </cell>
          <cell r="U108">
            <v>0.2</v>
          </cell>
          <cell r="V108">
            <v>0.34900000000000003</v>
          </cell>
          <cell r="W108">
            <v>0.32600000000000001</v>
          </cell>
          <cell r="X108">
            <v>0.30299999999999999</v>
          </cell>
          <cell r="Y108">
            <v>0.27600000000000002</v>
          </cell>
          <cell r="Z108">
            <v>0.26300000000000001</v>
          </cell>
          <cell r="AA108">
            <v>0.253</v>
          </cell>
          <cell r="AB108">
            <v>1.0289999999999999</v>
          </cell>
          <cell r="AC108">
            <v>0.44900000000000001</v>
          </cell>
          <cell r="AD108">
            <v>0.49199999999999999</v>
          </cell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  <cell r="BB108"/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5.9380000000000006</v>
          </cell>
          <cell r="G109">
            <v>0</v>
          </cell>
          <cell r="H109">
            <v>0.28899999999999998</v>
          </cell>
          <cell r="I109">
            <v>0.159</v>
          </cell>
          <cell r="J109">
            <v>8.0000000000000002E-3</v>
          </cell>
          <cell r="K109">
            <v>0</v>
          </cell>
          <cell r="L109">
            <v>0</v>
          </cell>
          <cell r="M109">
            <v>1.0999999999999999E-2</v>
          </cell>
          <cell r="N109">
            <v>1.4999999999999999E-2</v>
          </cell>
          <cell r="O109">
            <v>1.6E-2</v>
          </cell>
          <cell r="P109">
            <v>1.4999999999999999E-2</v>
          </cell>
          <cell r="Q109">
            <v>1.1000000000000001E-2</v>
          </cell>
          <cell r="R109">
            <v>8.0000000000000002E-3</v>
          </cell>
          <cell r="S109">
            <v>1.2999999999999999E-2</v>
          </cell>
          <cell r="T109">
            <v>5.0000000000000001E-3</v>
          </cell>
          <cell r="U109">
            <v>0.12000000000000001</v>
          </cell>
          <cell r="V109">
            <v>0.42299999999999999</v>
          </cell>
          <cell r="W109">
            <v>4.016</v>
          </cell>
          <cell r="X109">
            <v>7.395999999999999</v>
          </cell>
          <cell r="Y109">
            <v>4.468</v>
          </cell>
          <cell r="Z109">
            <v>2.5019999999999998</v>
          </cell>
          <cell r="AA109">
            <v>1.9280000000000002</v>
          </cell>
          <cell r="AB109">
            <v>0.60199999999999998</v>
          </cell>
          <cell r="AC109">
            <v>0.28699999999999998</v>
          </cell>
          <cell r="AD109">
            <v>1.365</v>
          </cell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1E-3</v>
          </cell>
          <cell r="G112">
            <v>1.6E-2</v>
          </cell>
          <cell r="H112">
            <v>0</v>
          </cell>
          <cell r="I112">
            <v>0</v>
          </cell>
          <cell r="J112">
            <v>0</v>
          </cell>
          <cell r="K112">
            <v>2.5999999999999999E-2</v>
          </cell>
          <cell r="L112">
            <v>4.7E-2</v>
          </cell>
          <cell r="M112">
            <v>0.01</v>
          </cell>
          <cell r="N112">
            <v>2.4E-2</v>
          </cell>
          <cell r="O112">
            <v>0.15100000000000002</v>
          </cell>
          <cell r="P112">
            <v>0.15100000000000002</v>
          </cell>
          <cell r="Q112">
            <v>0.18000000000000002</v>
          </cell>
          <cell r="R112">
            <v>0.185</v>
          </cell>
          <cell r="S112">
            <v>0.17700000000000005</v>
          </cell>
          <cell r="T112">
            <v>0.35900000000000004</v>
          </cell>
          <cell r="U112">
            <v>0.38900000000000001</v>
          </cell>
          <cell r="V112">
            <v>0.56000000000000005</v>
          </cell>
          <cell r="W112">
            <v>0.59500000000000008</v>
          </cell>
          <cell r="X112">
            <v>0.96299999999999997</v>
          </cell>
          <cell r="Y112">
            <v>1.3040000000000003</v>
          </cell>
          <cell r="Z112">
            <v>1.5920000000000001</v>
          </cell>
          <cell r="AA112">
            <v>1.4239999999999999</v>
          </cell>
          <cell r="AB112">
            <v>3.15</v>
          </cell>
          <cell r="AC112">
            <v>3.0220000000000002</v>
          </cell>
          <cell r="AD112">
            <v>3.1959599999999999</v>
          </cell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1.6E-2</v>
          </cell>
          <cell r="H117">
            <v>0</v>
          </cell>
          <cell r="I117">
            <v>0</v>
          </cell>
          <cell r="J117">
            <v>0</v>
          </cell>
          <cell r="K117">
            <v>3.0000000000000001E-3</v>
          </cell>
          <cell r="L117">
            <v>2E-3</v>
          </cell>
          <cell r="M117">
            <v>5.0000000000000001E-3</v>
          </cell>
          <cell r="N117">
            <v>2.8000000000000001E-2</v>
          </cell>
          <cell r="O117">
            <v>4.0000000000000001E-3</v>
          </cell>
          <cell r="P117">
            <v>0</v>
          </cell>
          <cell r="Q117">
            <v>2E-3</v>
          </cell>
          <cell r="R117">
            <v>4.0000000000000001E-3</v>
          </cell>
          <cell r="S117">
            <v>2E-3</v>
          </cell>
          <cell r="T117">
            <v>2.7E-2</v>
          </cell>
          <cell r="U117">
            <v>4.0000000000000001E-3</v>
          </cell>
          <cell r="V117">
            <v>4.7E-2</v>
          </cell>
          <cell r="W117">
            <v>4.5999999999999999E-2</v>
          </cell>
          <cell r="X117">
            <v>5.5E-2</v>
          </cell>
          <cell r="Y117">
            <v>0.1</v>
          </cell>
          <cell r="Z117">
            <v>4.4999999999999998E-2</v>
          </cell>
          <cell r="AA117">
            <v>0.08</v>
          </cell>
          <cell r="AB117">
            <v>0.14600000000000002</v>
          </cell>
          <cell r="AC117">
            <v>0.16800000000000001</v>
          </cell>
          <cell r="AD117">
            <v>0.124</v>
          </cell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  <cell r="BA117"/>
          <cell r="BB117"/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1E-3</v>
          </cell>
          <cell r="J136">
            <v>2E-3</v>
          </cell>
          <cell r="K136">
            <v>0</v>
          </cell>
          <cell r="L136">
            <v>0</v>
          </cell>
          <cell r="M136">
            <v>3.0000000000000001E-3</v>
          </cell>
          <cell r="N136">
            <v>8.0000000000000002E-3</v>
          </cell>
          <cell r="O136">
            <v>0</v>
          </cell>
          <cell r="P136">
            <v>6.0000000000000001E-3</v>
          </cell>
          <cell r="Q136">
            <v>4.0000000000000001E-3</v>
          </cell>
          <cell r="R136">
            <v>0</v>
          </cell>
          <cell r="S136">
            <v>1E-3</v>
          </cell>
          <cell r="T136">
            <v>2E-3</v>
          </cell>
          <cell r="U136">
            <v>0</v>
          </cell>
          <cell r="V136">
            <v>2E-3</v>
          </cell>
          <cell r="W136">
            <v>1E-3</v>
          </cell>
          <cell r="X136">
            <v>1E-3</v>
          </cell>
          <cell r="Y136">
            <v>2E-3</v>
          </cell>
          <cell r="Z136">
            <v>0</v>
          </cell>
          <cell r="AA136">
            <v>0</v>
          </cell>
          <cell r="AB136">
            <v>6.6000000000000003E-2</v>
          </cell>
          <cell r="AC136">
            <v>7.4999999999999997E-2</v>
          </cell>
          <cell r="AD136">
            <v>5.1999999999999998E-2</v>
          </cell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1.3999999999999999E-2</v>
          </cell>
          <cell r="G140">
            <v>2E-3</v>
          </cell>
          <cell r="H140">
            <v>2.1999999999999999E-2</v>
          </cell>
          <cell r="I140">
            <v>5.0000000000000001E-3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1E-3</v>
          </cell>
          <cell r="P140">
            <v>0</v>
          </cell>
          <cell r="Q140">
            <v>0</v>
          </cell>
          <cell r="R140">
            <v>2.2000000000000002E-2</v>
          </cell>
          <cell r="S140">
            <v>5.3999999999999992E-2</v>
          </cell>
          <cell r="T140">
            <v>4.5999999999999999E-2</v>
          </cell>
          <cell r="U140">
            <v>8.900000000000001E-2</v>
          </cell>
          <cell r="V140">
            <v>0.128</v>
          </cell>
          <cell r="W140">
            <v>0.59899999999999998</v>
          </cell>
          <cell r="X140">
            <v>0.69000000000000006</v>
          </cell>
          <cell r="Y140">
            <v>0.22699999999999998</v>
          </cell>
          <cell r="Z140">
            <v>0.89600000000000013</v>
          </cell>
          <cell r="AA140">
            <v>1.66</v>
          </cell>
          <cell r="AB140">
            <v>1.5209999999999999</v>
          </cell>
          <cell r="AC140">
            <v>0.15900000000000003</v>
          </cell>
          <cell r="AD140">
            <v>2.3019999999999996</v>
          </cell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6.1840000000000002</v>
          </cell>
          <cell r="J146">
            <v>8.9740000000000002</v>
          </cell>
          <cell r="K146">
            <v>1.079</v>
          </cell>
          <cell r="L146">
            <v>0</v>
          </cell>
          <cell r="M146">
            <v>0</v>
          </cell>
          <cell r="N146">
            <v>0</v>
          </cell>
          <cell r="O146">
            <v>1.51</v>
          </cell>
          <cell r="P146">
            <v>1E-3</v>
          </cell>
          <cell r="Q146">
            <v>9.7240000000000002</v>
          </cell>
          <cell r="R146">
            <v>1E-3</v>
          </cell>
          <cell r="S146">
            <v>5.3290000000000006</v>
          </cell>
          <cell r="T146">
            <v>0.21100000000000002</v>
          </cell>
          <cell r="U146">
            <v>0.29900000000000004</v>
          </cell>
          <cell r="V146">
            <v>0.47599999999999998</v>
          </cell>
          <cell r="W146">
            <v>1.163</v>
          </cell>
          <cell r="X146">
            <v>0.66400000000000015</v>
          </cell>
          <cell r="Y146">
            <v>0</v>
          </cell>
          <cell r="Z146">
            <v>4.3999999999999997E-2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</row>
        <row r="147">
          <cell r="B147">
            <v>0</v>
          </cell>
          <cell r="C147">
            <v>0</v>
          </cell>
          <cell r="D147">
            <v>0</v>
          </cell>
          <cell r="E147">
            <v>2E-3</v>
          </cell>
          <cell r="F147">
            <v>2E-3</v>
          </cell>
          <cell r="G147">
            <v>0</v>
          </cell>
          <cell r="H147">
            <v>5.0000000000000001E-3</v>
          </cell>
          <cell r="I147">
            <v>8.0000000000000002E-3</v>
          </cell>
          <cell r="J147">
            <v>1.4999999999999999E-2</v>
          </cell>
          <cell r="K147">
            <v>1.8000000000000002E-2</v>
          </cell>
          <cell r="L147">
            <v>0.104</v>
          </cell>
          <cell r="M147">
            <v>0.16099999999999998</v>
          </cell>
          <cell r="N147">
            <v>5.6000000000000001E-2</v>
          </cell>
          <cell r="O147">
            <v>0.216</v>
          </cell>
          <cell r="P147">
            <v>0.314</v>
          </cell>
          <cell r="Q147">
            <v>0.189</v>
          </cell>
          <cell r="R147">
            <v>0.23499999999999996</v>
          </cell>
          <cell r="S147">
            <v>0.16699999999999998</v>
          </cell>
          <cell r="T147">
            <v>0.34600000000000003</v>
          </cell>
          <cell r="U147">
            <v>0.33800000000000002</v>
          </cell>
          <cell r="V147">
            <v>0.44700000000000001</v>
          </cell>
          <cell r="W147">
            <v>0.36699999999999999</v>
          </cell>
          <cell r="X147">
            <v>0.59599999999999997</v>
          </cell>
          <cell r="Y147">
            <v>0.75700000000000001</v>
          </cell>
          <cell r="Z147">
            <v>0.58899999999999986</v>
          </cell>
          <cell r="AA147">
            <v>0.63700000000000001</v>
          </cell>
          <cell r="AB147">
            <v>0.92200000000000004</v>
          </cell>
          <cell r="AC147">
            <v>1.1610000000000003</v>
          </cell>
          <cell r="AD147">
            <v>1.2989999999999999</v>
          </cell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1E-3</v>
          </cell>
          <cell r="I148">
            <v>0</v>
          </cell>
          <cell r="J148">
            <v>3.0000000000000001E-3</v>
          </cell>
          <cell r="K148">
            <v>1.2E-2</v>
          </cell>
          <cell r="L148">
            <v>5.7000000000000002E-2</v>
          </cell>
          <cell r="M148">
            <v>0.05</v>
          </cell>
          <cell r="N148">
            <v>4.0000000000000001E-3</v>
          </cell>
          <cell r="O148">
            <v>3.6000000000000004E-2</v>
          </cell>
          <cell r="P148">
            <v>3.0000000000000001E-3</v>
          </cell>
          <cell r="Q148">
            <v>3.0000000000000001E-3</v>
          </cell>
          <cell r="R148">
            <v>2E-3</v>
          </cell>
          <cell r="S148">
            <v>3.0000000000000001E-3</v>
          </cell>
          <cell r="T148">
            <v>3.0000000000000001E-3</v>
          </cell>
          <cell r="U148">
            <v>5.0000000000000001E-3</v>
          </cell>
          <cell r="V148">
            <v>2E-3</v>
          </cell>
          <cell r="W148">
            <v>2E-3</v>
          </cell>
          <cell r="X148">
            <v>3.0000000000000001E-3</v>
          </cell>
          <cell r="Y148">
            <v>0</v>
          </cell>
          <cell r="Z148">
            <v>6.0000000000000001E-3</v>
          </cell>
          <cell r="AA148">
            <v>0.24799999999999997</v>
          </cell>
          <cell r="AB148">
            <v>0.56299999999999994</v>
          </cell>
          <cell r="AC148">
            <v>0.16699999999999998</v>
          </cell>
          <cell r="AD148">
            <v>0.372</v>
          </cell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</row>
        <row r="151">
          <cell r="B151">
            <v>0</v>
          </cell>
          <cell r="C151">
            <v>0</v>
          </cell>
          <cell r="D151">
            <v>0</v>
          </cell>
          <cell r="E151">
            <v>38.200000000000003</v>
          </cell>
          <cell r="F151">
            <v>26.935000000000002</v>
          </cell>
          <cell r="G151">
            <v>41.775000000000006</v>
          </cell>
          <cell r="H151">
            <v>51.003000000000007</v>
          </cell>
          <cell r="I151">
            <v>34.440999999999995</v>
          </cell>
          <cell r="J151">
            <v>103.55400000000002</v>
          </cell>
          <cell r="K151">
            <v>87.316000000000003</v>
          </cell>
          <cell r="L151">
            <v>237.23699999999999</v>
          </cell>
          <cell r="M151">
            <v>503.39699999999993</v>
          </cell>
          <cell r="N151">
            <v>249.51300000000001</v>
          </cell>
          <cell r="O151">
            <v>398.07600000000008</v>
          </cell>
          <cell r="P151">
            <v>431.78699999999998</v>
          </cell>
          <cell r="Q151">
            <v>246.61499999999998</v>
          </cell>
          <cell r="R151">
            <v>403.33800000000008</v>
          </cell>
          <cell r="S151">
            <v>338.94100000000003</v>
          </cell>
          <cell r="T151">
            <v>252.511</v>
          </cell>
          <cell r="U151">
            <v>340.14800000000002</v>
          </cell>
          <cell r="V151">
            <v>261.48600000000005</v>
          </cell>
          <cell r="W151">
            <v>222.30500000000001</v>
          </cell>
          <cell r="X151">
            <v>173.33500000000001</v>
          </cell>
          <cell r="Y151">
            <v>125.429</v>
          </cell>
          <cell r="Z151">
            <v>337.13599999999997</v>
          </cell>
          <cell r="AA151">
            <v>340.23600000000005</v>
          </cell>
          <cell r="AB151">
            <v>370.49800000000005</v>
          </cell>
          <cell r="AC151">
            <v>662.27499999999998</v>
          </cell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>
            <v>2E-3</v>
          </cell>
          <cell r="BT151">
            <v>5.0000000000000001E-3</v>
          </cell>
          <cell r="BU151">
            <v>5.1999999999999998E-2</v>
          </cell>
          <cell r="BV151">
            <v>4.5999999999999999E-2</v>
          </cell>
          <cell r="BW151">
            <v>3.9E-2</v>
          </cell>
          <cell r="BX151">
            <v>4.2069999999999999</v>
          </cell>
          <cell r="BY151">
            <v>9.7240000000000002</v>
          </cell>
          <cell r="BZ151">
            <v>7.3739999999999997</v>
          </cell>
          <cell r="CA151">
            <v>16.751000000000001</v>
          </cell>
          <cell r="CB151">
            <v>1.8420000000000001</v>
          </cell>
          <cell r="CC151"/>
          <cell r="CD151">
            <v>2.2629999999999999</v>
          </cell>
          <cell r="CE151">
            <v>4.0000000000000001E-3</v>
          </cell>
          <cell r="CF151">
            <v>2E-3</v>
          </cell>
          <cell r="CG151">
            <v>0.35699999999999998</v>
          </cell>
          <cell r="CH151">
            <v>1.4999999999999999E-2</v>
          </cell>
          <cell r="CI151">
            <v>2.8000000000000001E-2</v>
          </cell>
          <cell r="CJ151">
            <v>2E-3</v>
          </cell>
          <cell r="CK151">
            <v>2.1000000000000001E-2</v>
          </cell>
          <cell r="CL151">
            <v>5.65</v>
          </cell>
          <cell r="CM151">
            <v>3.0000000000000001E-3</v>
          </cell>
          <cell r="CN151">
            <v>3.0000000000000001E-3</v>
          </cell>
          <cell r="CO151"/>
          <cell r="CP151">
            <v>0.28999999999999998</v>
          </cell>
          <cell r="CQ151">
            <v>2.214</v>
          </cell>
          <cell r="CR151">
            <v>4.24</v>
          </cell>
          <cell r="CS151">
            <v>0.77500000000000002</v>
          </cell>
          <cell r="CT151">
            <v>9.9979999999999993</v>
          </cell>
          <cell r="CU151">
            <v>14.372</v>
          </cell>
          <cell r="CV151">
            <v>8.1809999999999992</v>
          </cell>
          <cell r="CW151">
            <v>5.0000000000000001E-3</v>
          </cell>
          <cell r="CX151">
            <v>1.694</v>
          </cell>
          <cell r="CY151">
            <v>5.2560000000000002</v>
          </cell>
          <cell r="CZ151">
            <v>12.583</v>
          </cell>
          <cell r="DA151">
            <v>15.457000000000001</v>
          </cell>
          <cell r="DB151">
            <v>4.1539999999999999</v>
          </cell>
          <cell r="DC151">
            <v>0.373</v>
          </cell>
          <cell r="DD151">
            <v>4.92</v>
          </cell>
          <cell r="DE151">
            <v>1.861</v>
          </cell>
          <cell r="DF151">
            <v>2.8879999999999999</v>
          </cell>
          <cell r="DG151">
            <v>2.92</v>
          </cell>
          <cell r="DH151">
            <v>0.496</v>
          </cell>
          <cell r="DI151">
            <v>9.2999999999999999E-2</v>
          </cell>
          <cell r="DJ151">
            <v>2E-3</v>
          </cell>
          <cell r="DK151">
            <v>3.1269999999999998</v>
          </cell>
          <cell r="DL151">
            <v>3.6829999999999998</v>
          </cell>
          <cell r="DM151">
            <v>3.2290000000000001</v>
          </cell>
          <cell r="DN151">
            <v>4.3010000000000002</v>
          </cell>
          <cell r="DO151">
            <v>5.4320000000000004</v>
          </cell>
          <cell r="DP151">
            <v>5.0659999999999998</v>
          </cell>
          <cell r="DQ151">
            <v>0.36</v>
          </cell>
          <cell r="DR151">
            <v>2.012</v>
          </cell>
          <cell r="DS151">
            <v>0.82599999999999996</v>
          </cell>
          <cell r="DT151">
            <v>5.5149999999999997</v>
          </cell>
          <cell r="DU151">
            <v>0.876</v>
          </cell>
          <cell r="DV151">
            <v>1.4E-2</v>
          </cell>
          <cell r="DW151">
            <v>0.29299999999999998</v>
          </cell>
          <cell r="DX151">
            <v>7.0819999999999999</v>
          </cell>
          <cell r="DY151">
            <v>31.225999999999999</v>
          </cell>
          <cell r="DZ151">
            <v>4.1859999999999999</v>
          </cell>
          <cell r="EA151">
            <v>13.615</v>
          </cell>
          <cell r="EB151">
            <v>9.7189999999999994</v>
          </cell>
          <cell r="EC151">
            <v>10.898999999999999</v>
          </cell>
          <cell r="ED151">
            <v>19.338000000000001</v>
          </cell>
          <cell r="EE151">
            <v>5.6289999999999996</v>
          </cell>
          <cell r="EF151">
            <v>0.2</v>
          </cell>
          <cell r="EG151">
            <v>0.17</v>
          </cell>
          <cell r="EH151">
            <v>1.1970000000000001</v>
          </cell>
          <cell r="EI151">
            <v>4.734</v>
          </cell>
          <cell r="EJ151">
            <v>9.1720000000000006</v>
          </cell>
          <cell r="EK151">
            <v>2.1160000000000001</v>
          </cell>
          <cell r="EL151">
            <v>3.855</v>
          </cell>
          <cell r="EM151">
            <v>4.548</v>
          </cell>
          <cell r="EN151">
            <v>2.7250000000000001</v>
          </cell>
          <cell r="EO151">
            <v>0.29799999999999999</v>
          </cell>
          <cell r="EP151">
            <v>2.8420000000000001</v>
          </cell>
          <cell r="EQ151">
            <v>5.6740000000000004</v>
          </cell>
          <cell r="ER151">
            <v>22.068999999999999</v>
          </cell>
          <cell r="ES151">
            <v>14.77</v>
          </cell>
          <cell r="ET151">
            <v>14.513</v>
          </cell>
          <cell r="EU151">
            <v>67.802000000000007</v>
          </cell>
          <cell r="EV151">
            <v>50.029000000000003</v>
          </cell>
          <cell r="EW151">
            <v>21.375</v>
          </cell>
          <cell r="EX151">
            <v>4.5880000000000001</v>
          </cell>
          <cell r="EY151">
            <v>1.4259999999999999</v>
          </cell>
          <cell r="EZ151">
            <v>7.327</v>
          </cell>
          <cell r="FA151">
            <v>10.483000000000001</v>
          </cell>
          <cell r="FB151">
            <v>10.893000000000001</v>
          </cell>
          <cell r="FC151">
            <v>10.279</v>
          </cell>
          <cell r="FD151">
            <v>23.494</v>
          </cell>
          <cell r="FE151">
            <v>6.7430000000000003</v>
          </cell>
          <cell r="FF151">
            <v>22.797999999999998</v>
          </cell>
          <cell r="FG151">
            <v>61.454999999999998</v>
          </cell>
          <cell r="FH151">
            <v>50.064999999999998</v>
          </cell>
          <cell r="FI151">
            <v>13.512</v>
          </cell>
          <cell r="FJ151">
            <v>10.888</v>
          </cell>
          <cell r="FK151">
            <v>33.353000000000002</v>
          </cell>
          <cell r="FL151">
            <v>42.73</v>
          </cell>
          <cell r="FM151">
            <v>66.165000000000006</v>
          </cell>
          <cell r="FN151">
            <v>105.19799999999999</v>
          </cell>
          <cell r="FO151">
            <v>49.338999999999999</v>
          </cell>
          <cell r="FP151">
            <v>29.277000000000001</v>
          </cell>
          <cell r="FQ151">
            <v>34.554000000000002</v>
          </cell>
          <cell r="FR151">
            <v>6.8609999999999998</v>
          </cell>
          <cell r="FS151">
            <v>15.27</v>
          </cell>
          <cell r="FT151">
            <v>9.6549999999999994</v>
          </cell>
          <cell r="FU151">
            <v>11.499000000000001</v>
          </cell>
          <cell r="FV151">
            <v>16.8</v>
          </cell>
          <cell r="FW151">
            <v>10.461</v>
          </cell>
          <cell r="FX151">
            <v>29.478999999999999</v>
          </cell>
          <cell r="FY151">
            <v>48.161999999999999</v>
          </cell>
          <cell r="FZ151">
            <v>55.793999999999997</v>
          </cell>
          <cell r="GA151">
            <v>36.183</v>
          </cell>
          <cell r="GB151">
            <v>3.4929999999999999</v>
          </cell>
          <cell r="GC151">
            <v>12.709</v>
          </cell>
          <cell r="GD151">
            <v>8.0000000000000002E-3</v>
          </cell>
          <cell r="GE151">
            <v>13.313000000000001</v>
          </cell>
          <cell r="GF151">
            <v>25.763999999999999</v>
          </cell>
          <cell r="GG151">
            <v>12.843</v>
          </cell>
          <cell r="GH151">
            <v>7.9770000000000003</v>
          </cell>
          <cell r="GI151">
            <v>42.488</v>
          </cell>
          <cell r="GJ151">
            <v>51.331000000000003</v>
          </cell>
          <cell r="GK151">
            <v>59.162999999999997</v>
          </cell>
          <cell r="GL151">
            <v>96.254000000000005</v>
          </cell>
          <cell r="GM151">
            <v>71.893000000000001</v>
          </cell>
          <cell r="GN151">
            <v>14.391999999999999</v>
          </cell>
          <cell r="GO151">
            <v>2.1110000000000002</v>
          </cell>
          <cell r="GP151">
            <v>0.54700000000000004</v>
          </cell>
          <cell r="GQ151">
            <v>8.7309999999999999</v>
          </cell>
          <cell r="GR151">
            <v>50.393000000000001</v>
          </cell>
          <cell r="GS151">
            <v>33.72</v>
          </cell>
          <cell r="GT151">
            <v>30.111000000000001</v>
          </cell>
          <cell r="GU151">
            <v>63.561999999999998</v>
          </cell>
          <cell r="GV151">
            <v>55.652999999999999</v>
          </cell>
          <cell r="GW151">
            <v>43.860999999999997</v>
          </cell>
          <cell r="GX151">
            <v>48.658000000000001</v>
          </cell>
          <cell r="GY151">
            <v>51.786999999999999</v>
          </cell>
          <cell r="GZ151">
            <v>42.247999999999998</v>
          </cell>
          <cell r="HA151">
            <v>2.8460000000000001</v>
          </cell>
          <cell r="HB151">
            <v>0.217</v>
          </cell>
          <cell r="HC151">
            <v>9.4309999999999992</v>
          </cell>
          <cell r="HD151">
            <v>24.256</v>
          </cell>
          <cell r="HE151">
            <v>15.515000000000001</v>
          </cell>
          <cell r="HF151">
            <v>1.5229999999999999</v>
          </cell>
          <cell r="HG151">
            <v>12.377000000000001</v>
          </cell>
          <cell r="HH151">
            <v>29.97</v>
          </cell>
          <cell r="HI151">
            <v>18.648</v>
          </cell>
          <cell r="HJ151">
            <v>16.747</v>
          </cell>
          <cell r="HK151">
            <v>39.146999999999998</v>
          </cell>
          <cell r="HL151">
            <v>22.602</v>
          </cell>
          <cell r="HM151">
            <v>13.343999999999999</v>
          </cell>
          <cell r="HN151">
            <v>43.055</v>
          </cell>
          <cell r="HO151">
            <v>52.386000000000003</v>
          </cell>
          <cell r="HP151">
            <v>53.847999999999999</v>
          </cell>
          <cell r="HQ151">
            <v>57.557000000000002</v>
          </cell>
          <cell r="HR151">
            <v>44.817999999999998</v>
          </cell>
          <cell r="HS151">
            <v>20.558</v>
          </cell>
          <cell r="HT151">
            <v>35.424999999999997</v>
          </cell>
          <cell r="HU151">
            <v>62.902999999999999</v>
          </cell>
          <cell r="HV151">
            <v>47.737000000000002</v>
          </cell>
          <cell r="HW151">
            <v>11.862</v>
          </cell>
          <cell r="HX151">
            <v>14.986000000000001</v>
          </cell>
          <cell r="HY151">
            <v>0.26600000000000001</v>
          </cell>
          <cell r="HZ151">
            <v>0.99199999999999999</v>
          </cell>
          <cell r="IA151">
            <v>9.8469999999999995</v>
          </cell>
          <cell r="IB151">
            <v>15.135</v>
          </cell>
          <cell r="IC151">
            <v>17.196000000000002</v>
          </cell>
          <cell r="ID151">
            <v>15.324999999999999</v>
          </cell>
          <cell r="IE151">
            <v>25.725000000000001</v>
          </cell>
          <cell r="IF151">
            <v>18.468</v>
          </cell>
          <cell r="IG151">
            <v>30.873000000000001</v>
          </cell>
          <cell r="IH151">
            <v>45.572000000000003</v>
          </cell>
          <cell r="II151">
            <v>81.501999999999995</v>
          </cell>
          <cell r="IJ151">
            <v>72.498000000000005</v>
          </cell>
          <cell r="IK151">
            <v>6.6959999999999997</v>
          </cell>
          <cell r="IL151">
            <v>0.104</v>
          </cell>
          <cell r="IM151">
            <v>38.067</v>
          </cell>
          <cell r="IN151">
            <v>17.428999999999998</v>
          </cell>
          <cell r="IO151">
            <v>19.286999999999999</v>
          </cell>
          <cell r="IP151">
            <v>51.311999999999998</v>
          </cell>
          <cell r="IQ151">
            <v>44.911999999999999</v>
          </cell>
          <cell r="IR151">
            <v>16.178999999999998</v>
          </cell>
          <cell r="IS151">
            <v>9.7360000000000007</v>
          </cell>
          <cell r="IT151">
            <v>20.341000000000001</v>
          </cell>
          <cell r="IU151">
            <v>20.536999999999999</v>
          </cell>
          <cell r="IV151">
            <v>6.3630000000000004</v>
          </cell>
          <cell r="IW151">
            <v>0.11</v>
          </cell>
          <cell r="IX151">
            <v>8.2379999999999995</v>
          </cell>
          <cell r="IY151">
            <v>37.375999999999998</v>
          </cell>
          <cell r="IZ151">
            <v>27.2</v>
          </cell>
          <cell r="JA151">
            <v>14.494</v>
          </cell>
          <cell r="JB151">
            <v>17.516999999999999</v>
          </cell>
          <cell r="JC151">
            <v>26.553000000000001</v>
          </cell>
          <cell r="JD151">
            <v>44.293999999999997</v>
          </cell>
          <cell r="JE151">
            <v>11.476000000000001</v>
          </cell>
          <cell r="JF151">
            <v>17.312999999999999</v>
          </cell>
          <cell r="JG151">
            <v>60.945999999999998</v>
          </cell>
          <cell r="JH151">
            <v>69.206000000000003</v>
          </cell>
          <cell r="JI151">
            <v>7.827</v>
          </cell>
          <cell r="JJ151">
            <v>5.9459999999999997</v>
          </cell>
          <cell r="JK151">
            <v>60.192999999999998</v>
          </cell>
          <cell r="JL151">
            <v>40.661000000000001</v>
          </cell>
          <cell r="JM151">
            <v>38.68</v>
          </cell>
          <cell r="JN151">
            <v>31.805</v>
          </cell>
          <cell r="JO151">
            <v>13.109</v>
          </cell>
          <cell r="JP151">
            <v>12.747</v>
          </cell>
          <cell r="JQ151">
            <v>11.238</v>
          </cell>
          <cell r="JR151">
            <v>13.472</v>
          </cell>
          <cell r="JS151">
            <v>27.824999999999999</v>
          </cell>
          <cell r="JT151">
            <v>6.9260000000000002</v>
          </cell>
          <cell r="JU151">
            <v>4.7489999999999997</v>
          </cell>
          <cell r="JV151">
            <v>8.1000000000000003E-2</v>
          </cell>
          <cell r="JW151">
            <v>62.298999999999999</v>
          </cell>
          <cell r="JX151">
            <v>72.36</v>
          </cell>
          <cell r="JY151">
            <v>33.917999999999999</v>
          </cell>
          <cell r="JZ151">
            <v>9.6229999999999993</v>
          </cell>
          <cell r="KA151">
            <v>10.481</v>
          </cell>
          <cell r="KB151">
            <v>5.7080000000000002</v>
          </cell>
          <cell r="KC151">
            <v>5.3419999999999996</v>
          </cell>
          <cell r="KD151">
            <v>9.3870000000000005</v>
          </cell>
          <cell r="KE151">
            <v>8.0530000000000008</v>
          </cell>
          <cell r="KF151">
            <v>3.9649999999999999</v>
          </cell>
          <cell r="KG151">
            <v>0.377</v>
          </cell>
          <cell r="KH151">
            <v>0.79200000000000004</v>
          </cell>
          <cell r="KI151">
            <v>20.742000000000001</v>
          </cell>
          <cell r="KJ151">
            <v>25.064</v>
          </cell>
          <cell r="KK151">
            <v>11.435</v>
          </cell>
          <cell r="KL151">
            <v>15.164999999999999</v>
          </cell>
          <cell r="KM151">
            <v>15.827999999999999</v>
          </cell>
          <cell r="KN151">
            <v>17.236999999999998</v>
          </cell>
          <cell r="KO151">
            <v>9.0950000000000006</v>
          </cell>
          <cell r="KP151">
            <v>27.245000000000001</v>
          </cell>
          <cell r="KQ151">
            <v>13.817</v>
          </cell>
          <cell r="KR151">
            <v>16.206</v>
          </cell>
          <cell r="KS151">
            <v>1.048</v>
          </cell>
          <cell r="KT151">
            <v>0.45300000000000001</v>
          </cell>
          <cell r="KU151">
            <v>0.35399999999999998</v>
          </cell>
          <cell r="KV151">
            <v>5.2930000000000001</v>
          </cell>
          <cell r="KW151">
            <v>3.5720000000000001</v>
          </cell>
          <cell r="KX151">
            <v>1.044</v>
          </cell>
          <cell r="KY151">
            <v>16.966000000000001</v>
          </cell>
          <cell r="KZ151">
            <v>35.332000000000001</v>
          </cell>
          <cell r="LA151">
            <v>19.074999999999999</v>
          </cell>
          <cell r="LB151">
            <v>5.6989999999999998</v>
          </cell>
          <cell r="LC151">
            <v>12.16</v>
          </cell>
          <cell r="LD151">
            <v>22.09</v>
          </cell>
          <cell r="LE151">
            <v>3.2639999999999998</v>
          </cell>
          <cell r="LF151">
            <v>0.57999999999999996</v>
          </cell>
          <cell r="LG151">
            <v>2.88</v>
          </cell>
          <cell r="LH151">
            <v>7.274</v>
          </cell>
          <cell r="LI151">
            <v>3.3149999999999999</v>
          </cell>
          <cell r="LJ151">
            <v>50.015999999999998</v>
          </cell>
          <cell r="LK151">
            <v>17.059000000000001</v>
          </cell>
          <cell r="LL151">
            <v>115.148</v>
          </cell>
          <cell r="LM151">
            <v>21.75</v>
          </cell>
          <cell r="LN151">
            <v>8.3450000000000006</v>
          </cell>
          <cell r="LO151">
            <v>22.677</v>
          </cell>
          <cell r="LP151">
            <v>50.680999999999997</v>
          </cell>
          <cell r="LQ151">
            <v>37.918999999999997</v>
          </cell>
          <cell r="LR151">
            <v>7.1999999999999995E-2</v>
          </cell>
          <cell r="LS151">
            <v>0.55300000000000005</v>
          </cell>
          <cell r="LT151">
            <v>21.271999999999998</v>
          </cell>
          <cell r="LU151">
            <v>20.747</v>
          </cell>
          <cell r="LV151">
            <v>2.1429999999999998</v>
          </cell>
          <cell r="LW151">
            <v>30.898</v>
          </cell>
          <cell r="LX151">
            <v>44.938000000000002</v>
          </cell>
          <cell r="LY151">
            <v>71.180999999999997</v>
          </cell>
          <cell r="LZ151">
            <v>72.105000000000004</v>
          </cell>
          <cell r="MA151">
            <v>58.945</v>
          </cell>
          <cell r="MB151">
            <v>7.2709999999999999</v>
          </cell>
          <cell r="MC151">
            <v>0.38600000000000001</v>
          </cell>
          <cell r="MD151">
            <v>9.7970000000000006</v>
          </cell>
          <cell r="ME151">
            <v>95.613</v>
          </cell>
          <cell r="MF151">
            <v>5.4539999999999997</v>
          </cell>
          <cell r="MG151">
            <v>4.0869999999999997</v>
          </cell>
          <cell r="MH151">
            <v>0.24099999999999999</v>
          </cell>
          <cell r="MI151">
            <v>0.42599999999999999</v>
          </cell>
          <cell r="MJ151">
            <v>6.6669999999999998</v>
          </cell>
          <cell r="MK151">
            <v>17.477</v>
          </cell>
          <cell r="ML151">
            <v>69.13</v>
          </cell>
          <cell r="MM151">
            <v>86.951999999999998</v>
          </cell>
          <cell r="MN151">
            <v>79.438000000000002</v>
          </cell>
          <cell r="MO151">
            <v>0.192</v>
          </cell>
          <cell r="MP151">
            <v>4.8209999999999997</v>
          </cell>
          <cell r="MQ151">
            <v>14.454000000000001</v>
          </cell>
          <cell r="MR151">
            <v>9.4459999999999997</v>
          </cell>
          <cell r="MS151">
            <v>24.393000000000001</v>
          </cell>
          <cell r="MT151">
            <v>66.281999999999996</v>
          </cell>
          <cell r="MU151">
            <v>127.30200000000001</v>
          </cell>
          <cell r="MV151">
            <v>107.39400000000001</v>
          </cell>
          <cell r="MW151">
            <v>143.434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9.1999999999999998E-2</v>
          </cell>
          <cell r="V156">
            <v>4.5669999999999993</v>
          </cell>
          <cell r="W156">
            <v>2.9410000000000003</v>
          </cell>
          <cell r="X156">
            <v>1.7</v>
          </cell>
          <cell r="Y156">
            <v>0.40699999999999997</v>
          </cell>
          <cell r="Z156">
            <v>0.14899999999999999</v>
          </cell>
          <cell r="AA156">
            <v>0.68299999999999994</v>
          </cell>
          <cell r="AB156">
            <v>5.1999999999999998E-2</v>
          </cell>
          <cell r="AC156">
            <v>9.4E-2</v>
          </cell>
          <cell r="AD156">
            <v>5.9000000000000004E-2</v>
          </cell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</row>
        <row r="164">
          <cell r="B164">
            <v>0</v>
          </cell>
          <cell r="C164">
            <v>0</v>
          </cell>
          <cell r="D164">
            <v>0</v>
          </cell>
          <cell r="E164">
            <v>18.153000000000002</v>
          </cell>
          <cell r="F164">
            <v>27.3</v>
          </cell>
          <cell r="G164">
            <v>19.324000000000002</v>
          </cell>
          <cell r="H164">
            <v>30.238</v>
          </cell>
          <cell r="I164">
            <v>5.5980000000000016</v>
          </cell>
          <cell r="J164">
            <v>9.4849999999999994</v>
          </cell>
          <cell r="K164">
            <v>0.36900000000000005</v>
          </cell>
          <cell r="L164">
            <v>57.091999999999999</v>
          </cell>
          <cell r="M164">
            <v>18.436000000000003</v>
          </cell>
          <cell r="N164">
            <v>22.509</v>
          </cell>
          <cell r="O164">
            <v>27.168000000000003</v>
          </cell>
          <cell r="P164">
            <v>0.20899999999999999</v>
          </cell>
          <cell r="Q164">
            <v>13.54</v>
          </cell>
          <cell r="R164">
            <v>23.364999999999998</v>
          </cell>
          <cell r="S164">
            <v>51.234999999999985</v>
          </cell>
          <cell r="T164">
            <v>17.109000000000005</v>
          </cell>
          <cell r="U164">
            <v>1.0839999999999999</v>
          </cell>
          <cell r="V164">
            <v>149.96600000000001</v>
          </cell>
          <cell r="W164">
            <v>55.08</v>
          </cell>
          <cell r="X164">
            <v>64.322999999999993</v>
          </cell>
          <cell r="Y164">
            <v>56.048999999999992</v>
          </cell>
          <cell r="Z164">
            <v>38.484000000000009</v>
          </cell>
          <cell r="AA164">
            <v>3.4149999999999996</v>
          </cell>
          <cell r="AB164">
            <v>13.11</v>
          </cell>
          <cell r="AC164">
            <v>66.63600000000001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3.0000000000000002E-2</v>
          </cell>
          <cell r="F165">
            <v>2.7E-2</v>
          </cell>
          <cell r="G165">
            <v>3.0000000000000001E-3</v>
          </cell>
          <cell r="H165">
            <v>0.14099999999999999</v>
          </cell>
          <cell r="I165">
            <v>0.57400000000000007</v>
          </cell>
          <cell r="J165">
            <v>0.16900000000000001</v>
          </cell>
          <cell r="K165">
            <v>0.05</v>
          </cell>
          <cell r="L165">
            <v>0</v>
          </cell>
          <cell r="M165">
            <v>5.6000000000000001E-2</v>
          </cell>
          <cell r="N165">
            <v>4.0000000000000001E-3</v>
          </cell>
          <cell r="O165">
            <v>0.29200000000000004</v>
          </cell>
          <cell r="P165">
            <v>1.0999999999999999E-2</v>
          </cell>
          <cell r="Q165">
            <v>0.188</v>
          </cell>
          <cell r="R165">
            <v>0.439</v>
          </cell>
          <cell r="S165">
            <v>0.38600000000000001</v>
          </cell>
          <cell r="T165">
            <v>0.17700000000000002</v>
          </cell>
          <cell r="U165">
            <v>0.11499999999999999</v>
          </cell>
          <cell r="V165">
            <v>0.11099999999999999</v>
          </cell>
          <cell r="W165">
            <v>0.51800000000000002</v>
          </cell>
          <cell r="X165">
            <v>0.217</v>
          </cell>
          <cell r="Y165">
            <v>4.4999999999999998E-2</v>
          </cell>
          <cell r="Z165">
            <v>1.9000000000000003E-2</v>
          </cell>
          <cell r="AA165">
            <v>0.28100000000000003</v>
          </cell>
          <cell r="AB165">
            <v>0.29400000000000004</v>
          </cell>
          <cell r="AC165">
            <v>0.19800000000000001</v>
          </cell>
          <cell r="AD165">
            <v>7.0000000000000007E-2</v>
          </cell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</row>
        <row r="184">
          <cell r="B184">
            <v>0</v>
          </cell>
          <cell r="C184">
            <v>0</v>
          </cell>
          <cell r="D184">
            <v>0</v>
          </cell>
          <cell r="E184">
            <v>1E-3</v>
          </cell>
          <cell r="F184">
            <v>0</v>
          </cell>
          <cell r="G184">
            <v>0</v>
          </cell>
          <cell r="H184">
            <v>1.4999999999999999E-2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8.6999999999999994E-2</v>
          </cell>
          <cell r="N184">
            <v>2E-3</v>
          </cell>
          <cell r="O184">
            <v>0.124</v>
          </cell>
          <cell r="P184">
            <v>6.9000000000000006E-2</v>
          </cell>
          <cell r="Q184">
            <v>0</v>
          </cell>
          <cell r="R184">
            <v>4.4000000000000004E-2</v>
          </cell>
          <cell r="S184">
            <v>4.1999999999999996E-2</v>
          </cell>
          <cell r="T184">
            <v>0.127</v>
          </cell>
          <cell r="U184">
            <v>2.5999999999999999E-2</v>
          </cell>
          <cell r="V184">
            <v>0.27599999999999997</v>
          </cell>
          <cell r="W184">
            <v>0.13100000000000001</v>
          </cell>
          <cell r="X184">
            <v>0.97899999999999987</v>
          </cell>
          <cell r="Y184">
            <v>2.2039999999999997</v>
          </cell>
          <cell r="Z184">
            <v>19.634999999999998</v>
          </cell>
          <cell r="AA184">
            <v>1.1020000000000001</v>
          </cell>
          <cell r="AB184">
            <v>1.151</v>
          </cell>
          <cell r="AC184">
            <v>0.65700000000000003</v>
          </cell>
          <cell r="AD184">
            <v>7.6589999999999998</v>
          </cell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</row>
        <row r="207">
          <cell r="B207">
            <v>0</v>
          </cell>
          <cell r="C207">
            <v>0</v>
          </cell>
          <cell r="D207">
            <v>0</v>
          </cell>
          <cell r="E207">
            <v>18.091000000000001</v>
          </cell>
          <cell r="F207">
            <v>27.207999999999998</v>
          </cell>
          <cell r="G207">
            <v>19.262</v>
          </cell>
          <cell r="H207">
            <v>29.923000000000002</v>
          </cell>
          <cell r="I207">
            <v>4.9780000000000006</v>
          </cell>
          <cell r="J207">
            <v>9.2999999999999989</v>
          </cell>
          <cell r="K207">
            <v>0.28700000000000003</v>
          </cell>
          <cell r="L207">
            <v>57.039000000000001</v>
          </cell>
          <cell r="M207">
            <v>18.245000000000001</v>
          </cell>
          <cell r="N207">
            <v>22.442999999999998</v>
          </cell>
          <cell r="O207">
            <v>26.685000000000002</v>
          </cell>
          <cell r="P207">
            <v>6.0999999999999999E-2</v>
          </cell>
          <cell r="Q207">
            <v>13.321999999999999</v>
          </cell>
          <cell r="R207">
            <v>0.20300000000000001</v>
          </cell>
          <cell r="S207">
            <v>1.8000000000000002E-2</v>
          </cell>
          <cell r="T207">
            <v>16.124000000000002</v>
          </cell>
          <cell r="U207">
            <v>7.0000000000000007E-2</v>
          </cell>
          <cell r="V207">
            <v>26.452000000000005</v>
          </cell>
          <cell r="W207">
            <v>23.063999999999997</v>
          </cell>
          <cell r="X207">
            <v>14.603999999999997</v>
          </cell>
          <cell r="Y207">
            <v>0.29199999999999998</v>
          </cell>
          <cell r="Z207">
            <v>16.939999999999998</v>
          </cell>
          <cell r="AA207">
            <v>0.49199999999999999</v>
          </cell>
          <cell r="AB207">
            <v>9.0310000000000006</v>
          </cell>
          <cell r="AC207">
            <v>63.590999999999994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2.9999999999999995E-2</v>
          </cell>
          <cell r="F219">
            <v>1E-3</v>
          </cell>
          <cell r="G219">
            <v>2.4E-2</v>
          </cell>
          <cell r="H219">
            <v>2.5000000000000001E-2</v>
          </cell>
          <cell r="I219">
            <v>1E-3</v>
          </cell>
          <cell r="J219">
            <v>0</v>
          </cell>
          <cell r="K219">
            <v>0</v>
          </cell>
          <cell r="L219">
            <v>4.0000000000000001E-3</v>
          </cell>
          <cell r="M219">
            <v>1E-3</v>
          </cell>
          <cell r="N219">
            <v>1.7999999999999999E-2</v>
          </cell>
          <cell r="O219">
            <v>2.7E-2</v>
          </cell>
          <cell r="P219">
            <v>1E-3</v>
          </cell>
          <cell r="Q219">
            <v>1E-3</v>
          </cell>
          <cell r="R219">
            <v>22.616</v>
          </cell>
          <cell r="S219">
            <v>50.624999999999993</v>
          </cell>
          <cell r="T219">
            <v>0.57400000000000007</v>
          </cell>
          <cell r="U219">
            <v>0.71600000000000008</v>
          </cell>
          <cell r="V219">
            <v>122.78999999999999</v>
          </cell>
          <cell r="W219">
            <v>30.571999999999996</v>
          </cell>
          <cell r="X219">
            <v>48.003</v>
          </cell>
          <cell r="Y219">
            <v>53.131999999999991</v>
          </cell>
          <cell r="Z219">
            <v>0.42300000000000004</v>
          </cell>
          <cell r="AA219">
            <v>0.36899999999999999</v>
          </cell>
          <cell r="AB219">
            <v>0.64000000000000012</v>
          </cell>
          <cell r="AC219">
            <v>0.97799999999999998</v>
          </cell>
          <cell r="AD219">
            <v>0.57203300000000001</v>
          </cell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7.4999999999999997E-2</v>
          </cell>
          <cell r="I225">
            <v>3.0000000000000001E-3</v>
          </cell>
          <cell r="J225">
            <v>2E-3</v>
          </cell>
          <cell r="K225">
            <v>1E-3</v>
          </cell>
          <cell r="L225">
            <v>7.0000000000000001E-3</v>
          </cell>
          <cell r="M225">
            <v>0</v>
          </cell>
          <cell r="N225">
            <v>0</v>
          </cell>
          <cell r="O225">
            <v>0</v>
          </cell>
          <cell r="P225">
            <v>1.7999999999999999E-2</v>
          </cell>
          <cell r="Q225">
            <v>2E-3</v>
          </cell>
          <cell r="R225">
            <v>1.2E-2</v>
          </cell>
          <cell r="S225">
            <v>4.0000000000000001E-3</v>
          </cell>
          <cell r="T225">
            <v>2.1999999999999999E-2</v>
          </cell>
          <cell r="U225">
            <v>2.8000000000000001E-2</v>
          </cell>
          <cell r="V225">
            <v>0.20900000000000002</v>
          </cell>
          <cell r="W225">
            <v>0.68800000000000006</v>
          </cell>
          <cell r="X225">
            <v>0.20200000000000001</v>
          </cell>
          <cell r="Y225">
            <v>0.10200000000000001</v>
          </cell>
          <cell r="Z225">
            <v>3.9000000000000007E-2</v>
          </cell>
          <cell r="AA225">
            <v>2.6000000000000002E-2</v>
          </cell>
          <cell r="AB225">
            <v>0.13600000000000001</v>
          </cell>
          <cell r="AC225">
            <v>0.39300000000000002</v>
          </cell>
          <cell r="AD225">
            <v>0.22015999999999999</v>
          </cell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</row>
        <row r="231">
          <cell r="B231">
            <v>0</v>
          </cell>
          <cell r="C231">
            <v>0</v>
          </cell>
          <cell r="D231">
            <v>0</v>
          </cell>
          <cell r="E231">
            <v>37.536000000000001</v>
          </cell>
          <cell r="F231">
            <v>22.643000000000001</v>
          </cell>
          <cell r="G231">
            <v>0.54700000000000004</v>
          </cell>
          <cell r="H231">
            <v>9.3480000000000008</v>
          </cell>
          <cell r="I231">
            <v>0.43200000000000005</v>
          </cell>
          <cell r="J231">
            <v>0.19900000000000004</v>
          </cell>
          <cell r="K231">
            <v>0.19</v>
          </cell>
          <cell r="L231">
            <v>0.93099999999999994</v>
          </cell>
          <cell r="M231">
            <v>4.01</v>
          </cell>
          <cell r="N231">
            <v>1.3880000000000001</v>
          </cell>
          <cell r="O231">
            <v>0.624</v>
          </cell>
          <cell r="P231">
            <v>0.57700000000000007</v>
          </cell>
          <cell r="Q231">
            <v>0.70099999999999996</v>
          </cell>
          <cell r="R231">
            <v>0.31000000000000005</v>
          </cell>
          <cell r="S231">
            <v>0.70300000000000007</v>
          </cell>
          <cell r="T231">
            <v>3.9319999999999995</v>
          </cell>
          <cell r="U231">
            <v>3.3459999999999996</v>
          </cell>
          <cell r="V231">
            <v>14.143000000000002</v>
          </cell>
          <cell r="W231">
            <v>22.439</v>
          </cell>
          <cell r="X231">
            <v>26.3</v>
          </cell>
          <cell r="Y231">
            <v>29.983000000000004</v>
          </cell>
          <cell r="Z231">
            <v>36.467999999999996</v>
          </cell>
          <cell r="AA231">
            <v>51.065000000000005</v>
          </cell>
          <cell r="AB231">
            <v>152.542</v>
          </cell>
          <cell r="AC231">
            <v>138.25400000000002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5.3000000000000005E-2</v>
          </cell>
          <cell r="F234">
            <v>0.02</v>
          </cell>
          <cell r="G234">
            <v>3.7999999999999999E-2</v>
          </cell>
          <cell r="H234">
            <v>4.2000000000000003E-2</v>
          </cell>
          <cell r="I234">
            <v>2.9000000000000001E-2</v>
          </cell>
          <cell r="J234">
            <v>7.0000000000000001E-3</v>
          </cell>
          <cell r="K234">
            <v>4.0000000000000001E-3</v>
          </cell>
          <cell r="L234">
            <v>2E-3</v>
          </cell>
          <cell r="M234">
            <v>4.0000000000000001E-3</v>
          </cell>
          <cell r="N234">
            <v>6.4000000000000001E-2</v>
          </cell>
          <cell r="O234">
            <v>3.6000000000000004E-2</v>
          </cell>
          <cell r="P234">
            <v>7.1999999999999995E-2</v>
          </cell>
          <cell r="Q234">
            <v>1.2999999999999999E-2</v>
          </cell>
          <cell r="R234">
            <v>4.0000000000000001E-3</v>
          </cell>
          <cell r="S234">
            <v>2.2000000000000002E-2</v>
          </cell>
          <cell r="T234">
            <v>0.02</v>
          </cell>
          <cell r="U234">
            <v>3.8000000000000006E-2</v>
          </cell>
          <cell r="V234">
            <v>2.4E-2</v>
          </cell>
          <cell r="W234">
            <v>2.5000000000000001E-2</v>
          </cell>
          <cell r="X234">
            <v>0.16399999999999998</v>
          </cell>
          <cell r="Y234">
            <v>7.3999999999999996E-2</v>
          </cell>
          <cell r="Z234">
            <v>3.5000000000000003E-2</v>
          </cell>
          <cell r="AA234">
            <v>0.25800000000000001</v>
          </cell>
          <cell r="AB234">
            <v>0.155</v>
          </cell>
          <cell r="AC234">
            <v>2E-3</v>
          </cell>
          <cell r="AD234">
            <v>7.6999999999999985E-2</v>
          </cell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</row>
        <row r="241">
          <cell r="B241">
            <v>0</v>
          </cell>
          <cell r="C241">
            <v>0</v>
          </cell>
          <cell r="D241">
            <v>0</v>
          </cell>
          <cell r="E241">
            <v>3.0000000000000001E-3</v>
          </cell>
          <cell r="F241">
            <v>1.5000000000000003E-2</v>
          </cell>
          <cell r="G241">
            <v>2.6000000000000009E-2</v>
          </cell>
          <cell r="H241">
            <v>1.5000000000000001E-2</v>
          </cell>
          <cell r="I241">
            <v>1.3000000000000001E-2</v>
          </cell>
          <cell r="J241">
            <v>1.2E-2</v>
          </cell>
          <cell r="K241">
            <v>7.0000000000000001E-3</v>
          </cell>
          <cell r="L241">
            <v>2.7E-2</v>
          </cell>
          <cell r="M241">
            <v>0</v>
          </cell>
          <cell r="N241">
            <v>0</v>
          </cell>
          <cell r="O241">
            <v>0</v>
          </cell>
          <cell r="P241">
            <v>4.0000000000000001E-3</v>
          </cell>
          <cell r="Q241">
            <v>7.0000000000000001E-3</v>
          </cell>
          <cell r="R241">
            <v>1.2000000000000002E-2</v>
          </cell>
          <cell r="S241">
            <v>2.4000000000000004E-2</v>
          </cell>
          <cell r="T241">
            <v>2.1000000000000001E-2</v>
          </cell>
          <cell r="U241">
            <v>0.01</v>
          </cell>
          <cell r="V241">
            <v>0.22500000000000001</v>
          </cell>
          <cell r="W241">
            <v>0.79199999999999993</v>
          </cell>
          <cell r="X241">
            <v>0.60599999999999998</v>
          </cell>
          <cell r="Y241">
            <v>0.80699999999999994</v>
          </cell>
          <cell r="Z241">
            <v>0.90600000000000003</v>
          </cell>
          <cell r="AA241">
            <v>1.8670000000000002</v>
          </cell>
          <cell r="AB241">
            <v>4.1820000000000004</v>
          </cell>
          <cell r="AC241">
            <v>4.2270000000000003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9.0570000000000004</v>
          </cell>
          <cell r="I243">
            <v>2E-3</v>
          </cell>
          <cell r="J243">
            <v>1E-3</v>
          </cell>
          <cell r="K243">
            <v>2.3E-2</v>
          </cell>
          <cell r="L243">
            <v>1.3000000000000001E-2</v>
          </cell>
          <cell r="M243">
            <v>8.1000000000000003E-2</v>
          </cell>
          <cell r="N243">
            <v>1E-3</v>
          </cell>
          <cell r="O243">
            <v>0</v>
          </cell>
          <cell r="P243">
            <v>5.0000000000000001E-3</v>
          </cell>
          <cell r="Q243">
            <v>0.188</v>
          </cell>
          <cell r="R243">
            <v>4.0000000000000001E-3</v>
          </cell>
          <cell r="S243">
            <v>2E-3</v>
          </cell>
          <cell r="T243">
            <v>0.46900000000000003</v>
          </cell>
          <cell r="U243">
            <v>0</v>
          </cell>
          <cell r="V243">
            <v>3.1829999999999998</v>
          </cell>
          <cell r="W243">
            <v>4.2170000000000005</v>
          </cell>
          <cell r="X243">
            <v>3.5979999999999999</v>
          </cell>
          <cell r="Y243">
            <v>4.9370000000000012</v>
          </cell>
          <cell r="Z243">
            <v>5.3800000000000008</v>
          </cell>
          <cell r="AA243">
            <v>5.512999999999999</v>
          </cell>
          <cell r="AB243">
            <v>11.921000000000001</v>
          </cell>
          <cell r="AC243">
            <v>18.72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1E-3</v>
          </cell>
          <cell r="F245">
            <v>1E-3</v>
          </cell>
          <cell r="G245">
            <v>2E-3</v>
          </cell>
          <cell r="H245">
            <v>2E-3</v>
          </cell>
          <cell r="I245">
            <v>1.4999999999999999E-2</v>
          </cell>
          <cell r="J245">
            <v>0</v>
          </cell>
          <cell r="K245">
            <v>1E-3</v>
          </cell>
          <cell r="L245">
            <v>1E-3</v>
          </cell>
          <cell r="M245">
            <v>0</v>
          </cell>
          <cell r="N245">
            <v>1.3000000000000001E-2</v>
          </cell>
          <cell r="O245">
            <v>1.6E-2</v>
          </cell>
          <cell r="P245">
            <v>3.0000000000000001E-3</v>
          </cell>
          <cell r="Q245">
            <v>4.0000000000000001E-3</v>
          </cell>
          <cell r="R245">
            <v>3.0000000000000001E-3</v>
          </cell>
          <cell r="S245">
            <v>8.0000000000000002E-3</v>
          </cell>
          <cell r="T245">
            <v>1.9000000000000003E-2</v>
          </cell>
          <cell r="U245">
            <v>3.2000000000000001E-2</v>
          </cell>
          <cell r="V245">
            <v>7.0000000000000001E-3</v>
          </cell>
          <cell r="W245">
            <v>0.03</v>
          </cell>
          <cell r="X245">
            <v>0.11699999999999999</v>
          </cell>
          <cell r="Y245">
            <v>0.19599999999999998</v>
          </cell>
          <cell r="Z245">
            <v>0.34100000000000003</v>
          </cell>
          <cell r="AA245">
            <v>0.47499999999999998</v>
          </cell>
          <cell r="AB245">
            <v>1.3080000000000001</v>
          </cell>
          <cell r="AC245">
            <v>0.92000000000000015</v>
          </cell>
          <cell r="AD245">
            <v>0.54700000000000004</v>
          </cell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1E-3</v>
          </cell>
          <cell r="J246">
            <v>1E-3</v>
          </cell>
          <cell r="K246">
            <v>0</v>
          </cell>
          <cell r="L246">
            <v>0</v>
          </cell>
          <cell r="M246">
            <v>4.8000000000000001E-2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1E-3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1.9E-2</v>
          </cell>
          <cell r="AB246">
            <v>0.189</v>
          </cell>
          <cell r="AC246">
            <v>0.41900000000000004</v>
          </cell>
          <cell r="AD246">
            <v>0.61499999999999999</v>
          </cell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2E-3</v>
          </cell>
          <cell r="G248">
            <v>1.2000000000000004E-2</v>
          </cell>
          <cell r="H248">
            <v>1.3999999999999999E-2</v>
          </cell>
          <cell r="I248">
            <v>3.0000000000000002E-2</v>
          </cell>
          <cell r="J248">
            <v>1.3000000000000001E-2</v>
          </cell>
          <cell r="K248">
            <v>0.01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0.14499999999999999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2E-3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0.30000000000000004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1E-3</v>
          </cell>
          <cell r="W250">
            <v>0</v>
          </cell>
          <cell r="X250">
            <v>1.2E-2</v>
          </cell>
          <cell r="Y250">
            <v>3.0000000000000001E-3</v>
          </cell>
          <cell r="Z250">
            <v>4.0000000000000001E-3</v>
          </cell>
          <cell r="AA250">
            <v>1.0999999999999999E-2</v>
          </cell>
          <cell r="AB250">
            <v>7.5999999999999998E-2</v>
          </cell>
          <cell r="AC250">
            <v>2.4E-2</v>
          </cell>
          <cell r="AD250">
            <v>4.8000000000000001E-2</v>
          </cell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</row>
        <row r="266">
          <cell r="B266">
            <v>0</v>
          </cell>
          <cell r="C266">
            <v>0</v>
          </cell>
          <cell r="D266">
            <v>0</v>
          </cell>
          <cell r="E266">
            <v>37.299999999999997</v>
          </cell>
          <cell r="F266">
            <v>22.5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2.5000000000000001E-2</v>
          </cell>
          <cell r="N266">
            <v>5.0000000000000001E-3</v>
          </cell>
          <cell r="O266">
            <v>0</v>
          </cell>
          <cell r="P266">
            <v>1E-3</v>
          </cell>
          <cell r="Q266">
            <v>0</v>
          </cell>
          <cell r="R266">
            <v>1E-3</v>
          </cell>
          <cell r="S266">
            <v>0</v>
          </cell>
          <cell r="T266">
            <v>2E-3</v>
          </cell>
          <cell r="U266">
            <v>0</v>
          </cell>
          <cell r="V266">
            <v>1E-3</v>
          </cell>
          <cell r="W266">
            <v>2.6000000000000002E-2</v>
          </cell>
          <cell r="X266">
            <v>0.05</v>
          </cell>
          <cell r="Y266">
            <v>1.56</v>
          </cell>
          <cell r="Z266">
            <v>2.5369999999999999</v>
          </cell>
          <cell r="AA266">
            <v>4.2390000000000008</v>
          </cell>
          <cell r="AB266">
            <v>2.6480000000000001</v>
          </cell>
          <cell r="AC266">
            <v>5.2720000000000002</v>
          </cell>
          <cell r="AD266">
            <v>4.6999999999999993</v>
          </cell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4.0000000000000001E-3</v>
          </cell>
          <cell r="G274">
            <v>4.0000000000000001E-3</v>
          </cell>
          <cell r="H274">
            <v>3.0000000000000001E-3</v>
          </cell>
          <cell r="I274">
            <v>2E-3</v>
          </cell>
          <cell r="J274">
            <v>4.0000000000000001E-3</v>
          </cell>
          <cell r="K274">
            <v>0</v>
          </cell>
          <cell r="L274">
            <v>1E-3</v>
          </cell>
          <cell r="M274">
            <v>0</v>
          </cell>
          <cell r="N274">
            <v>0</v>
          </cell>
          <cell r="O274">
            <v>5.0000000000000001E-3</v>
          </cell>
          <cell r="P274">
            <v>5.0000000000000001E-3</v>
          </cell>
          <cell r="Q274">
            <v>4.0000000000000001E-3</v>
          </cell>
          <cell r="R274">
            <v>9.0000000000000011E-3</v>
          </cell>
          <cell r="S274">
            <v>8.0000000000000002E-3</v>
          </cell>
          <cell r="T274">
            <v>1.1000000000000001E-2</v>
          </cell>
          <cell r="U274">
            <v>1.5000000000000003E-2</v>
          </cell>
          <cell r="V274">
            <v>2.1999999999999999E-2</v>
          </cell>
          <cell r="W274">
            <v>1.5000000000000001E-2</v>
          </cell>
          <cell r="X274">
            <v>8.4000000000000005E-2</v>
          </cell>
          <cell r="Y274">
            <v>3.0000000000000006E-2</v>
          </cell>
          <cell r="Z274">
            <v>6.8000000000000005E-2</v>
          </cell>
          <cell r="AA274">
            <v>2.8999999999999998E-2</v>
          </cell>
          <cell r="AB274">
            <v>0.15500000000000003</v>
          </cell>
          <cell r="AC274">
            <v>0.59099999999999997</v>
          </cell>
          <cell r="AD274">
            <v>0.60799999999999998</v>
          </cell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</row>
        <row r="284">
          <cell r="B284">
            <v>0</v>
          </cell>
          <cell r="C284">
            <v>0</v>
          </cell>
          <cell r="D284">
            <v>0</v>
          </cell>
          <cell r="E284">
            <v>0.14199999999999999</v>
          </cell>
          <cell r="F284">
            <v>5.1999999999999998E-2</v>
          </cell>
          <cell r="G284">
            <v>0.38400000000000001</v>
          </cell>
          <cell r="H284">
            <v>0.15100000000000002</v>
          </cell>
          <cell r="I284">
            <v>0.26400000000000001</v>
          </cell>
          <cell r="J284">
            <v>7.3000000000000009E-2</v>
          </cell>
          <cell r="K284">
            <v>7.5999999999999998E-2</v>
          </cell>
          <cell r="L284">
            <v>0.85299999999999998</v>
          </cell>
          <cell r="M284">
            <v>3.0369999999999995</v>
          </cell>
          <cell r="N284">
            <v>0.56200000000000006</v>
          </cell>
          <cell r="O284">
            <v>0.503</v>
          </cell>
          <cell r="P284">
            <v>0.43</v>
          </cell>
          <cell r="Q284">
            <v>0.45899999999999996</v>
          </cell>
          <cell r="R284">
            <v>0.19</v>
          </cell>
          <cell r="S284">
            <v>0.53800000000000003</v>
          </cell>
          <cell r="T284">
            <v>3.3209999999999993</v>
          </cell>
          <cell r="U284">
            <v>3.2049999999999996</v>
          </cell>
          <cell r="V284">
            <v>10.611000000000002</v>
          </cell>
          <cell r="W284">
            <v>17.051000000000002</v>
          </cell>
          <cell r="X284">
            <v>21.573</v>
          </cell>
          <cell r="Y284">
            <v>22.029000000000003</v>
          </cell>
          <cell r="Z284">
            <v>26.859999999999996</v>
          </cell>
          <cell r="AA284">
            <v>38.379000000000005</v>
          </cell>
          <cell r="AB284">
            <v>130.38899999999998</v>
          </cell>
          <cell r="AC284">
            <v>105.959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1E-3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1E-3</v>
          </cell>
          <cell r="M286">
            <v>4.3999999999999997E-2</v>
          </cell>
          <cell r="N286">
            <v>0</v>
          </cell>
          <cell r="O286">
            <v>0</v>
          </cell>
          <cell r="P286">
            <v>6.0000000000000001E-3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0.16200000000000001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</row>
        <row r="290"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>
            <v>1.3149999999999999</v>
          </cell>
          <cell r="BT290">
            <v>1.3429999999999997</v>
          </cell>
          <cell r="BU290">
            <v>22.706000000000003</v>
          </cell>
          <cell r="BV290">
            <v>0.90700000000000003</v>
          </cell>
          <cell r="BW290">
            <v>34.113</v>
          </cell>
          <cell r="BX290">
            <v>4.6349999999999998</v>
          </cell>
          <cell r="BY290">
            <v>9.8339999999999996</v>
          </cell>
          <cell r="BZ290">
            <v>7.4989999999999997</v>
          </cell>
          <cell r="CA290">
            <v>17.499000000000002</v>
          </cell>
          <cell r="CB290">
            <v>2.4779999999999998</v>
          </cell>
          <cell r="CC290">
            <v>0.95500000000000007</v>
          </cell>
          <cell r="CD290">
            <v>26.596000000000004</v>
          </cell>
          <cell r="CE290">
            <v>12.638</v>
          </cell>
          <cell r="CF290">
            <v>1.2719999999999998</v>
          </cell>
          <cell r="CG290">
            <v>16.481000000000002</v>
          </cell>
          <cell r="CH290">
            <v>9.7690000000000001</v>
          </cell>
          <cell r="CI290">
            <v>0.57400000000000007</v>
          </cell>
          <cell r="CJ290">
            <v>0.75000000000000011</v>
          </cell>
          <cell r="CK290">
            <v>0.76200000000000023</v>
          </cell>
          <cell r="CL290">
            <v>5.8580000000000005</v>
          </cell>
          <cell r="CM290">
            <v>2.4849999999999994</v>
          </cell>
          <cell r="CN290">
            <v>1.4509999999999998</v>
          </cell>
          <cell r="CO290">
            <v>1.8370000000000002</v>
          </cell>
          <cell r="CP290">
            <v>1.9549999999999998</v>
          </cell>
          <cell r="CQ290">
            <v>8.4619999999999997</v>
          </cell>
          <cell r="CR290">
            <v>8.1259999999999994</v>
          </cell>
          <cell r="CS290">
            <v>6.3810000000000002</v>
          </cell>
          <cell r="CT290">
            <v>12.416</v>
          </cell>
          <cell r="CU290">
            <v>21.55</v>
          </cell>
          <cell r="CV290">
            <v>31.977</v>
          </cell>
          <cell r="CW290">
            <v>1.246</v>
          </cell>
          <cell r="CX290">
            <v>2.08</v>
          </cell>
          <cell r="CY290">
            <v>23.852</v>
          </cell>
          <cell r="CZ290">
            <v>60.177</v>
          </cell>
          <cell r="DA290">
            <v>39.749000000000002</v>
          </cell>
          <cell r="DB290">
            <v>9.9139999999999997</v>
          </cell>
          <cell r="DC290">
            <v>3.01</v>
          </cell>
          <cell r="DD290">
            <v>6.6669999999999998</v>
          </cell>
          <cell r="DE290">
            <v>3.2669999999999999</v>
          </cell>
          <cell r="DF290">
            <v>4.431</v>
          </cell>
          <cell r="DG290">
            <v>7.0140000000000002</v>
          </cell>
          <cell r="DH290">
            <v>5.8</v>
          </cell>
          <cell r="DI290">
            <v>11.766999999999999</v>
          </cell>
          <cell r="DJ290">
            <v>0.42099999999999999</v>
          </cell>
          <cell r="DK290">
            <v>9.0500000000000007</v>
          </cell>
          <cell r="DL290">
            <v>6.3710000000000004</v>
          </cell>
          <cell r="DM290">
            <v>5.2759999999999998</v>
          </cell>
          <cell r="DN290">
            <v>5.8879999999999999</v>
          </cell>
          <cell r="DO290">
            <v>7.7560000000000002</v>
          </cell>
          <cell r="DP290">
            <v>7.2960000000000003</v>
          </cell>
          <cell r="DQ290">
            <v>3.9689999999999999</v>
          </cell>
          <cell r="DR290">
            <v>3.3660000000000001</v>
          </cell>
          <cell r="DS290">
            <v>4.2430000000000003</v>
          </cell>
          <cell r="DT290">
            <v>7.3819999999999997</v>
          </cell>
          <cell r="DU290">
            <v>1.1830000000000001</v>
          </cell>
          <cell r="DV290">
            <v>0.49199999999999999</v>
          </cell>
          <cell r="DW290">
            <v>3.7429999999999999</v>
          </cell>
          <cell r="DX290">
            <v>15.768000000000001</v>
          </cell>
          <cell r="DY290">
            <v>33.771000000000001</v>
          </cell>
          <cell r="DZ290">
            <v>16.388999999999999</v>
          </cell>
          <cell r="EA290">
            <v>19.928999999999998</v>
          </cell>
          <cell r="EB290">
            <v>11.034999999999998</v>
          </cell>
          <cell r="EC290">
            <v>12.625999999999998</v>
          </cell>
          <cell r="ED290">
            <v>20.312000000000001</v>
          </cell>
          <cell r="EE290">
            <v>11.033999999999999</v>
          </cell>
          <cell r="EF290">
            <v>0.55200000000000005</v>
          </cell>
          <cell r="EG290">
            <v>0.39300000000000002</v>
          </cell>
          <cell r="EH290">
            <v>1.4899999999999998</v>
          </cell>
          <cell r="EI290">
            <v>6.3380000000000001</v>
          </cell>
          <cell r="EJ290">
            <v>29.297000000000004</v>
          </cell>
          <cell r="EK290">
            <v>12.952999999999999</v>
          </cell>
          <cell r="EL290">
            <v>5.2829999999999995</v>
          </cell>
          <cell r="EM290">
            <v>6.4120000000000008</v>
          </cell>
          <cell r="EN290">
            <v>4.5469999999999997</v>
          </cell>
          <cell r="EO290">
            <v>2.9990000000000001</v>
          </cell>
          <cell r="EP290">
            <v>3.6579999999999999</v>
          </cell>
          <cell r="EQ290">
            <v>6.2059999999999995</v>
          </cell>
          <cell r="ER290">
            <v>22.326999999999998</v>
          </cell>
          <cell r="ES290">
            <v>15.005000000000001</v>
          </cell>
          <cell r="ET290">
            <v>14.770999999999997</v>
          </cell>
          <cell r="EU290">
            <v>70.874000000000009</v>
          </cell>
          <cell r="EV290">
            <v>55.321000000000005</v>
          </cell>
          <cell r="EW290">
            <v>50.948</v>
          </cell>
          <cell r="EX290">
            <v>57.69700000000001</v>
          </cell>
          <cell r="EY290">
            <v>5.9529999999999994</v>
          </cell>
          <cell r="EZ290">
            <v>23.818999999999999</v>
          </cell>
          <cell r="FA290">
            <v>27.198</v>
          </cell>
          <cell r="FB290">
            <v>14.892999999999999</v>
          </cell>
          <cell r="FC290">
            <v>26.681999999999999</v>
          </cell>
          <cell r="FD290">
            <v>31.027000000000001</v>
          </cell>
          <cell r="FE290">
            <v>7.1159999999999997</v>
          </cell>
          <cell r="FF290">
            <v>23.367000000000001</v>
          </cell>
          <cell r="FG290">
            <v>68.700999999999993</v>
          </cell>
          <cell r="FH290">
            <v>65.536999999999992</v>
          </cell>
          <cell r="FI290">
            <v>27.030000000000005</v>
          </cell>
          <cell r="FJ290">
            <v>17.456</v>
          </cell>
          <cell r="FK290">
            <v>38.891999999999996</v>
          </cell>
          <cell r="FL290">
            <v>51.727999999999987</v>
          </cell>
          <cell r="FM290">
            <v>79.263000000000005</v>
          </cell>
          <cell r="FN290">
            <v>112.883</v>
          </cell>
          <cell r="FO290">
            <v>50.998999999999995</v>
          </cell>
          <cell r="FP290">
            <v>30.353999999999999</v>
          </cell>
          <cell r="FQ290">
            <v>35.128000000000007</v>
          </cell>
          <cell r="FR290">
            <v>7.456999999999999</v>
          </cell>
          <cell r="FS290">
            <v>21.002000000000002</v>
          </cell>
          <cell r="FT290">
            <v>17.094999999999999</v>
          </cell>
          <cell r="FU290">
            <v>19.582000000000001</v>
          </cell>
          <cell r="FV290">
            <v>21.712000000000003</v>
          </cell>
          <cell r="FW290">
            <v>14.255000000000001</v>
          </cell>
          <cell r="FX290">
            <v>31.879999999999995</v>
          </cell>
          <cell r="FY290">
            <v>52.47</v>
          </cell>
          <cell r="FZ290">
            <v>62.768000000000001</v>
          </cell>
          <cell r="GA290">
            <v>38.527000000000001</v>
          </cell>
          <cell r="GB290">
            <v>5.4209999999999994</v>
          </cell>
          <cell r="GC290">
            <v>30.922000000000001</v>
          </cell>
          <cell r="GD290">
            <v>0.89800000000000013</v>
          </cell>
          <cell r="GE290">
            <v>58.763999999999996</v>
          </cell>
          <cell r="GF290">
            <v>111.41100000000002</v>
          </cell>
          <cell r="GG290">
            <v>156.416</v>
          </cell>
          <cell r="GH290">
            <v>83.06</v>
          </cell>
          <cell r="GI290">
            <v>49.731000000000002</v>
          </cell>
          <cell r="GJ290">
            <v>64.26400000000001</v>
          </cell>
          <cell r="GK290">
            <v>68.224999999999994</v>
          </cell>
          <cell r="GL290">
            <v>102.83000000000001</v>
          </cell>
          <cell r="GM290">
            <v>79.396000000000001</v>
          </cell>
          <cell r="GN290">
            <v>15.457000000000001</v>
          </cell>
          <cell r="GO290">
            <v>2.9060000000000006</v>
          </cell>
          <cell r="GP290">
            <v>1.3850000000000002</v>
          </cell>
          <cell r="GQ290">
            <v>14.95</v>
          </cell>
          <cell r="GR290">
            <v>68.173999999999992</v>
          </cell>
          <cell r="GS290">
            <v>45.684999999999995</v>
          </cell>
          <cell r="GT290">
            <v>34.853000000000002</v>
          </cell>
          <cell r="GU290">
            <v>68.370999999999995</v>
          </cell>
          <cell r="GV290">
            <v>60.022000000000006</v>
          </cell>
          <cell r="GW290">
            <v>50.150999999999996</v>
          </cell>
          <cell r="GX290">
            <v>54.52600000000001</v>
          </cell>
          <cell r="GY290">
            <v>53.123999999999995</v>
          </cell>
          <cell r="GZ290">
            <v>43.094999999999992</v>
          </cell>
          <cell r="HA290">
            <v>3.1579999999999999</v>
          </cell>
          <cell r="HB290">
            <v>1.0469999999999999</v>
          </cell>
          <cell r="HC290">
            <v>28.247</v>
          </cell>
          <cell r="HD290">
            <v>64.694999999999993</v>
          </cell>
          <cell r="HE290">
            <v>32.411000000000001</v>
          </cell>
          <cell r="HF290">
            <v>22.686</v>
          </cell>
          <cell r="HG290">
            <v>25.621000000000006</v>
          </cell>
          <cell r="HH290">
            <v>39.092999999999996</v>
          </cell>
          <cell r="HI290">
            <v>26.79</v>
          </cell>
          <cell r="HJ290">
            <v>21.467000000000002</v>
          </cell>
          <cell r="HK290">
            <v>42.143999999999998</v>
          </cell>
          <cell r="HL290">
            <v>28.441000000000003</v>
          </cell>
          <cell r="HM290">
            <v>14.164999999999999</v>
          </cell>
          <cell r="HN290">
            <v>46.405000000000008</v>
          </cell>
          <cell r="HO290">
            <v>130.50900000000001</v>
          </cell>
          <cell r="HP290">
            <v>171.23400000000004</v>
          </cell>
          <cell r="HQ290">
            <v>75.283000000000015</v>
          </cell>
          <cell r="HR290">
            <v>52.632999999999996</v>
          </cell>
          <cell r="HS290">
            <v>25.914000000000001</v>
          </cell>
          <cell r="HT290">
            <v>43.702999999999996</v>
          </cell>
          <cell r="HU290">
            <v>76.36399999999999</v>
          </cell>
          <cell r="HV290">
            <v>53.439</v>
          </cell>
          <cell r="HW290">
            <v>13.831</v>
          </cell>
          <cell r="HX290">
            <v>16.201000000000004</v>
          </cell>
          <cell r="HY290">
            <v>2.2839999999999998</v>
          </cell>
          <cell r="HZ290">
            <v>3.6289999999999996</v>
          </cell>
          <cell r="IA290">
            <v>32.436</v>
          </cell>
          <cell r="IB290">
            <v>91.391000000000005</v>
          </cell>
          <cell r="IC290">
            <v>36.335000000000001</v>
          </cell>
          <cell r="ID290">
            <v>30.235000000000003</v>
          </cell>
          <cell r="IE290">
            <v>34.481000000000002</v>
          </cell>
          <cell r="IF290">
            <v>31.720999999999997</v>
          </cell>
          <cell r="IG290">
            <v>42.865000000000002</v>
          </cell>
          <cell r="IH290">
            <v>53.089000000000006</v>
          </cell>
          <cell r="II290">
            <v>82.414999999999992</v>
          </cell>
          <cell r="IJ290">
            <v>73.501000000000005</v>
          </cell>
          <cell r="IK290">
            <v>7.859</v>
          </cell>
          <cell r="IL290">
            <v>1.839</v>
          </cell>
          <cell r="IM290">
            <v>110.83499999999997</v>
          </cell>
          <cell r="IN290">
            <v>167.04300000000001</v>
          </cell>
          <cell r="IO290">
            <v>101.90799999999999</v>
          </cell>
          <cell r="IP290">
            <v>104.50099999999999</v>
          </cell>
          <cell r="IQ290">
            <v>54.211999999999996</v>
          </cell>
          <cell r="IR290">
            <v>27.032999999999998</v>
          </cell>
          <cell r="IS290">
            <v>22.219000000000001</v>
          </cell>
          <cell r="IT290">
            <v>23.865000000000002</v>
          </cell>
          <cell r="IU290">
            <v>24.429999999999996</v>
          </cell>
          <cell r="IV290">
            <v>11.767000000000001</v>
          </cell>
          <cell r="IW290">
            <v>3.2250000000000005</v>
          </cell>
          <cell r="IX290">
            <v>9.5749999999999993</v>
          </cell>
          <cell r="IY290">
            <v>46.039999999999992</v>
          </cell>
          <cell r="IZ290">
            <v>49.573999999999998</v>
          </cell>
          <cell r="JA290">
            <v>31.13</v>
          </cell>
          <cell r="JB290">
            <v>30.579000000000001</v>
          </cell>
          <cell r="JC290">
            <v>39.499000000000002</v>
          </cell>
          <cell r="JD290">
            <v>54.475999999999999</v>
          </cell>
          <cell r="JE290">
            <v>19.675999999999998</v>
          </cell>
          <cell r="JF290">
            <v>20.835999999999999</v>
          </cell>
          <cell r="JG290">
            <v>62.646999999999998</v>
          </cell>
          <cell r="JH290">
            <v>70.559000000000012</v>
          </cell>
          <cell r="JI290">
            <v>9.1219999999999981</v>
          </cell>
          <cell r="JJ290">
            <v>7.5359999999999996</v>
          </cell>
          <cell r="JK290">
            <v>125.23599999999999</v>
          </cell>
          <cell r="JL290">
            <v>237.77700000000002</v>
          </cell>
          <cell r="JM290">
            <v>87.314000000000007</v>
          </cell>
          <cell r="JN290">
            <v>106.57599999999998</v>
          </cell>
          <cell r="JO290">
            <v>24.660999999999998</v>
          </cell>
          <cell r="JP290">
            <v>55.088999999999999</v>
          </cell>
          <cell r="JQ290">
            <v>23.845000000000002</v>
          </cell>
          <cell r="JR290">
            <v>19.712</v>
          </cell>
          <cell r="JS290">
            <v>34.320000000000007</v>
          </cell>
          <cell r="JT290">
            <v>10.975999999999999</v>
          </cell>
          <cell r="JU290">
            <v>8.8259999999999987</v>
          </cell>
          <cell r="JV290">
            <v>2.4170000000000003</v>
          </cell>
          <cell r="JW290">
            <v>100.91799999999999</v>
          </cell>
          <cell r="JX290">
            <v>180.29700000000005</v>
          </cell>
          <cell r="JY290">
            <v>96.948999999999998</v>
          </cell>
          <cell r="JZ290">
            <v>93.790999999999997</v>
          </cell>
          <cell r="KA290">
            <v>20.507999999999999</v>
          </cell>
          <cell r="KB290">
            <v>14.91</v>
          </cell>
          <cell r="KC290">
            <v>16.84</v>
          </cell>
          <cell r="KD290">
            <v>17.039000000000001</v>
          </cell>
          <cell r="KE290">
            <v>12.530999999999999</v>
          </cell>
          <cell r="KF290">
            <v>7.8689999999999998</v>
          </cell>
          <cell r="KG290">
            <v>3.3040000000000003</v>
          </cell>
          <cell r="KH290">
            <v>3.9770000000000003</v>
          </cell>
          <cell r="KI290">
            <v>50.57</v>
          </cell>
          <cell r="KJ290">
            <v>73.474999999999994</v>
          </cell>
          <cell r="KK290">
            <v>25.535999999999998</v>
          </cell>
          <cell r="KL290">
            <v>38.244999999999997</v>
          </cell>
          <cell r="KM290">
            <v>27.411000000000001</v>
          </cell>
          <cell r="KN290">
            <v>47.26</v>
          </cell>
          <cell r="KO290">
            <v>45.488999999999997</v>
          </cell>
          <cell r="KP290">
            <v>36.152999999999999</v>
          </cell>
          <cell r="KQ290">
            <v>19.93</v>
          </cell>
          <cell r="KR290">
            <v>21.559000000000001</v>
          </cell>
          <cell r="KS290">
            <v>5.0569999999999995</v>
          </cell>
          <cell r="KT290">
            <v>5.5299999999999994</v>
          </cell>
          <cell r="KU290">
            <v>81.335000000000008</v>
          </cell>
          <cell r="KV290">
            <v>46.548000000000002</v>
          </cell>
          <cell r="KW290">
            <v>38.353000000000002</v>
          </cell>
          <cell r="KX290">
            <v>43.249999999999993</v>
          </cell>
          <cell r="KY290">
            <v>32.981000000000002</v>
          </cell>
          <cell r="KZ290">
            <v>53.036000000000001</v>
          </cell>
          <cell r="LA290">
            <v>37.098999999999997</v>
          </cell>
          <cell r="LB290">
            <v>18.14</v>
          </cell>
          <cell r="LC290">
            <v>19.783000000000001</v>
          </cell>
          <cell r="LD290">
            <v>26.763999999999999</v>
          </cell>
          <cell r="LE290">
            <v>7.8369999999999997</v>
          </cell>
          <cell r="LF290">
            <v>4.9720000000000004</v>
          </cell>
          <cell r="LG290">
            <v>28.038</v>
          </cell>
          <cell r="LH290">
            <v>94.658000000000001</v>
          </cell>
          <cell r="LI290">
            <v>46.226999999999997</v>
          </cell>
          <cell r="LJ290">
            <v>68.914000000000001</v>
          </cell>
          <cell r="LK290">
            <v>54.293999999999997</v>
          </cell>
          <cell r="LL290">
            <v>132.84</v>
          </cell>
          <cell r="LM290">
            <v>42.716999999999999</v>
          </cell>
          <cell r="LN290">
            <v>44.603000000000002</v>
          </cell>
          <cell r="LO290">
            <v>34.247999999999998</v>
          </cell>
          <cell r="LP290">
            <v>57.526000000000003</v>
          </cell>
          <cell r="LQ290">
            <v>44.04</v>
          </cell>
          <cell r="LR290">
            <v>5.976</v>
          </cell>
          <cell r="LS290">
            <v>12.468999999999999</v>
          </cell>
          <cell r="LT290">
            <v>34.926000000000002</v>
          </cell>
          <cell r="LU290">
            <v>36.472000000000001</v>
          </cell>
          <cell r="LV290">
            <v>16.864000000000001</v>
          </cell>
          <cell r="LW290">
            <v>55.161000000000001</v>
          </cell>
          <cell r="LX290">
            <v>63.889000000000003</v>
          </cell>
          <cell r="LY290">
            <v>89.935000000000002</v>
          </cell>
          <cell r="LZ290">
            <v>83.099000000000004</v>
          </cell>
          <cell r="MA290">
            <v>70.748000000000005</v>
          </cell>
          <cell r="MB290">
            <v>18.018000000000001</v>
          </cell>
          <cell r="MC290">
            <v>15032.079000000009</v>
          </cell>
          <cell r="MD290">
            <v>24660.541000000005</v>
          </cell>
          <cell r="ME290">
            <v>118502.84800000001</v>
          </cell>
          <cell r="MF290">
            <v>44052.32</v>
          </cell>
          <cell r="MG290">
            <v>42633.420000000006</v>
          </cell>
          <cell r="MH290">
            <v>28326.658000000014</v>
          </cell>
          <cell r="MI290">
            <v>33448.14</v>
          </cell>
          <cell r="MJ290">
            <v>32419.257999999991</v>
          </cell>
          <cell r="MK290">
            <v>36951.121999999988</v>
          </cell>
          <cell r="ML290">
            <v>55298.258999999984</v>
          </cell>
          <cell r="MM290">
            <v>64736.393999999978</v>
          </cell>
          <cell r="MN290">
            <v>65258.405999999966</v>
          </cell>
          <cell r="MO290">
            <v>20564.529999999984</v>
          </cell>
          <cell r="MP290">
            <v>16046.363000000003</v>
          </cell>
          <cell r="MQ290">
            <v>87953.596000000005</v>
          </cell>
          <cell r="MR290">
            <v>41887.562999999987</v>
          </cell>
          <cell r="MS290">
            <v>39903.590999999993</v>
          </cell>
          <cell r="MT290">
            <v>62922.34399999999</v>
          </cell>
          <cell r="MU290">
            <v>86638.504000000001</v>
          </cell>
          <cell r="MV290">
            <v>80311.397999999957</v>
          </cell>
          <cell r="MW290">
            <v>99632.34199999999</v>
          </cell>
          <cell r="MX290">
            <v>56590.40600000001</v>
          </cell>
          <cell r="MY290">
            <v>44404.573999999971</v>
          </cell>
          <cell r="MZ290">
            <v>32442.141000000011</v>
          </cell>
          <cell r="NA290">
            <v>17532.051000000007</v>
          </cell>
          <cell r="NB290">
            <v>15180.816000000003</v>
          </cell>
          <cell r="NC290">
            <v>45615.023000000008</v>
          </cell>
          <cell r="ND290">
            <v>47123.078000000009</v>
          </cell>
          <cell r="NE290">
            <v>51962.25299999999</v>
          </cell>
          <cell r="NF290">
            <v>33522.366000000002</v>
          </cell>
          <cell r="NG290">
            <v>31641.505000000001</v>
          </cell>
          <cell r="NH290">
            <v>68023.563000000024</v>
          </cell>
          <cell r="NI290">
            <v>29932.648999999976</v>
          </cell>
          <cell r="NJ290">
            <v>17446.744000000021</v>
          </cell>
          <cell r="NK290">
            <v>17280.528999999995</v>
          </cell>
          <cell r="NL290">
            <v>27031.002999999997</v>
          </cell>
          <cell r="NM290">
            <v>18518.536</v>
          </cell>
          <cell r="NN290">
            <v>13493.242000000004</v>
          </cell>
          <cell r="NO290">
            <v>39949.526999999995</v>
          </cell>
          <cell r="NP290">
            <v>22794.330999999995</v>
          </cell>
          <cell r="NQ290">
            <v>51653.570999999982</v>
          </cell>
          <cell r="NR290">
            <v>42133.41599999999</v>
          </cell>
          <cell r="NS290">
            <v>49936.107999999978</v>
          </cell>
          <cell r="NT290">
            <v>52345.335999999996</v>
          </cell>
          <cell r="NU290">
            <v>90589.679999999964</v>
          </cell>
          <cell r="NV290">
            <v>71234.966</v>
          </cell>
          <cell r="NW290">
            <v>94874.482000000004</v>
          </cell>
          <cell r="NX290">
            <v>24371.746999999996</v>
          </cell>
          <cell r="NZ290">
            <v>18971.507000000009</v>
          </cell>
          <cell r="OA290">
            <v>52344.536000000015</v>
          </cell>
          <cell r="OB290">
            <v>81060.436000000002</v>
          </cell>
          <cell r="OC290">
            <v>30143.258000000002</v>
          </cell>
          <cell r="OD290">
            <v>29914.925000000021</v>
          </cell>
          <cell r="OE290">
            <v>67609.344000000026</v>
          </cell>
          <cell r="OF290">
            <v>76057.66</v>
          </cell>
          <cell r="OG290">
            <v>24291.01999999999</v>
          </cell>
          <cell r="OH290">
            <v>29856.045000000002</v>
          </cell>
          <cell r="OI290">
            <v>22305.007999999994</v>
          </cell>
          <cell r="OJ290">
            <v>16864.439999999999</v>
          </cell>
          <cell r="OK290">
            <v>18094.334999999992</v>
          </cell>
          <cell r="OL290">
            <v>22334.65400000001</v>
          </cell>
          <cell r="OM290">
            <v>28505.301000000014</v>
          </cell>
          <cell r="ON290">
            <v>25253.893000000011</v>
          </cell>
          <cell r="OO290">
            <v>19395.868000000013</v>
          </cell>
          <cell r="OP290">
            <v>47793.296000000009</v>
          </cell>
          <cell r="OQ290">
            <v>75339.196000000025</v>
          </cell>
        </row>
      </sheetData>
      <sheetData sheetId="9">
        <row r="290">
          <cell r="BS290">
            <v>138.93700000000001</v>
          </cell>
          <cell r="BT290">
            <v>77.271999999999991</v>
          </cell>
          <cell r="BU290">
            <v>98.574999999999989</v>
          </cell>
          <cell r="BV290">
            <v>215.601</v>
          </cell>
          <cell r="BW290">
            <v>222.584</v>
          </cell>
          <cell r="BX290">
            <v>188.411</v>
          </cell>
          <cell r="BY290">
            <v>118.54899999999999</v>
          </cell>
          <cell r="BZ290">
            <v>123.271</v>
          </cell>
          <cell r="CA290">
            <v>106.04600000000001</v>
          </cell>
          <cell r="CB290">
            <v>116.268</v>
          </cell>
          <cell r="CC290">
            <v>130.982</v>
          </cell>
          <cell r="CD290">
            <v>165.434</v>
          </cell>
          <cell r="CE290">
            <v>120.17599999999999</v>
          </cell>
          <cell r="CF290">
            <v>158.529</v>
          </cell>
          <cell r="CG290">
            <v>77.891999999999996</v>
          </cell>
          <cell r="CH290">
            <v>167.501</v>
          </cell>
          <cell r="CI290">
            <v>219.10300000000001</v>
          </cell>
          <cell r="CJ290">
            <v>160.59899999999999</v>
          </cell>
          <cell r="CK290">
            <v>171.99199999999999</v>
          </cell>
          <cell r="CL290">
            <v>190.79599999999999</v>
          </cell>
          <cell r="CM290">
            <v>131.75700000000001</v>
          </cell>
          <cell r="CN290">
            <v>99.84</v>
          </cell>
          <cell r="CO290">
            <v>112.10299999999999</v>
          </cell>
          <cell r="CP290">
            <v>51.506</v>
          </cell>
          <cell r="CQ290">
            <v>108.45700000000001</v>
          </cell>
          <cell r="CR290">
            <v>99.332999999999998</v>
          </cell>
          <cell r="CS290">
            <v>173.10399999999998</v>
          </cell>
          <cell r="CT290">
            <v>240.30400000000003</v>
          </cell>
          <cell r="CU290">
            <v>264.87</v>
          </cell>
          <cell r="CV290">
            <v>254.04599999999999</v>
          </cell>
          <cell r="CW290">
            <v>205.89099999999999</v>
          </cell>
          <cell r="CX290">
            <v>217.28200000000001</v>
          </cell>
          <cell r="CY290">
            <v>150.041</v>
          </cell>
          <cell r="CZ290">
            <v>131.249</v>
          </cell>
          <cell r="DA290">
            <v>134.595</v>
          </cell>
          <cell r="DB290">
            <v>193.51</v>
          </cell>
          <cell r="DC290">
            <v>62.686</v>
          </cell>
          <cell r="DD290">
            <v>87.244</v>
          </cell>
          <cell r="DE290">
            <v>161.41200000000001</v>
          </cell>
          <cell r="DF290">
            <v>222.83699999999999</v>
          </cell>
          <cell r="DG290">
            <v>222.67099999999999</v>
          </cell>
          <cell r="DH290">
            <v>164.208</v>
          </cell>
          <cell r="DI290">
            <v>122.14000000000001</v>
          </cell>
          <cell r="DJ290">
            <v>147.238</v>
          </cell>
          <cell r="DK290">
            <v>90.414000000000001</v>
          </cell>
          <cell r="DL290">
            <v>172.89699999999999</v>
          </cell>
          <cell r="DM290">
            <v>180.49900000000002</v>
          </cell>
          <cell r="DN290">
            <v>121.22200000000001</v>
          </cell>
          <cell r="DO290">
            <v>157.80199999999999</v>
          </cell>
          <cell r="DP290">
            <v>190.56700000000001</v>
          </cell>
          <cell r="DQ290">
            <v>185.96800000000002</v>
          </cell>
          <cell r="DR290">
            <v>117.03300000000002</v>
          </cell>
          <cell r="DS290">
            <v>169.05600000000001</v>
          </cell>
          <cell r="DT290">
            <v>154.51400000000001</v>
          </cell>
          <cell r="DU290">
            <v>123.22399999999999</v>
          </cell>
          <cell r="DV290">
            <v>99.372</v>
          </cell>
          <cell r="DW290">
            <v>46.665999999999997</v>
          </cell>
          <cell r="DX290">
            <v>108.04600000000001</v>
          </cell>
          <cell r="DY290">
            <v>153.303</v>
          </cell>
          <cell r="DZ290">
            <v>77.762</v>
          </cell>
          <cell r="EA290">
            <v>155.93699999999998</v>
          </cell>
          <cell r="EB290">
            <v>83.555999999999983</v>
          </cell>
          <cell r="EC290">
            <v>104.68700000000001</v>
          </cell>
          <cell r="ED290">
            <v>169.88200000000001</v>
          </cell>
          <cell r="EE290">
            <v>159.696</v>
          </cell>
          <cell r="EF290">
            <v>158.93400000000003</v>
          </cell>
          <cell r="EG290">
            <v>108.952</v>
          </cell>
          <cell r="EH290">
            <v>137.21199999999999</v>
          </cell>
          <cell r="EI290">
            <v>51.977000000000004</v>
          </cell>
          <cell r="EJ290">
            <v>82.794999999999987</v>
          </cell>
          <cell r="EK290">
            <v>80.143000000000001</v>
          </cell>
          <cell r="EL290">
            <v>101.357</v>
          </cell>
          <cell r="EM290">
            <v>137.81</v>
          </cell>
          <cell r="EN290">
            <v>158.922</v>
          </cell>
          <cell r="EO290">
            <v>165.63600000000002</v>
          </cell>
          <cell r="EP290">
            <v>185.12400000000002</v>
          </cell>
          <cell r="EQ290">
            <v>187.84399999999999</v>
          </cell>
          <cell r="ER290">
            <v>175.29999999999998</v>
          </cell>
          <cell r="ES290">
            <v>185.93899999999999</v>
          </cell>
          <cell r="ET290">
            <v>115.80199999999999</v>
          </cell>
          <cell r="EU290">
            <v>79.022999999999996</v>
          </cell>
          <cell r="EV290">
            <v>115.30499999999999</v>
          </cell>
          <cell r="EW290">
            <v>152.07599999999999</v>
          </cell>
          <cell r="EX290">
            <v>161.745</v>
          </cell>
          <cell r="EY290">
            <v>164.71600000000001</v>
          </cell>
          <cell r="EZ290">
            <v>184.32099999999997</v>
          </cell>
          <cell r="FA290">
            <v>123.33700000000002</v>
          </cell>
          <cell r="FB290">
            <v>174.30599999999998</v>
          </cell>
          <cell r="FC290">
            <v>216.83600000000001</v>
          </cell>
          <cell r="FD290">
            <v>181.512</v>
          </cell>
          <cell r="FE290">
            <v>109.443</v>
          </cell>
          <cell r="FF290">
            <v>99.700999999999993</v>
          </cell>
          <cell r="FG290">
            <v>76.855000000000004</v>
          </cell>
          <cell r="FH290">
            <v>105.03400000000001</v>
          </cell>
          <cell r="FI290">
            <v>124.66900000000001</v>
          </cell>
          <cell r="FJ290">
            <v>89.661000000000001</v>
          </cell>
          <cell r="FK290">
            <v>130.458</v>
          </cell>
          <cell r="FL290">
            <v>139.73099999999999</v>
          </cell>
          <cell r="FM290">
            <v>132.67599999999999</v>
          </cell>
          <cell r="FN290">
            <v>179.72899999999998</v>
          </cell>
          <cell r="FO290">
            <v>181.619</v>
          </cell>
          <cell r="FP290">
            <v>136.327</v>
          </cell>
          <cell r="FQ290">
            <v>161.85500000000002</v>
          </cell>
          <cell r="FR290">
            <v>126.99299999999999</v>
          </cell>
          <cell r="FS290">
            <v>122.6</v>
          </cell>
          <cell r="FT290">
            <v>122.25800000000001</v>
          </cell>
          <cell r="FU290">
            <v>162.68200000000002</v>
          </cell>
          <cell r="FV290">
            <v>144.32999999999998</v>
          </cell>
          <cell r="FW290">
            <v>136.14699999999999</v>
          </cell>
          <cell r="FX290">
            <v>151.18</v>
          </cell>
          <cell r="FY290">
            <v>187.018</v>
          </cell>
          <cell r="FZ290">
            <v>186.70700000000002</v>
          </cell>
          <cell r="GA290">
            <v>235.28899999999999</v>
          </cell>
          <cell r="GB290">
            <v>213.55799999999999</v>
          </cell>
          <cell r="GC290">
            <v>117.64699999999999</v>
          </cell>
          <cell r="GD290">
            <v>168.51400000000001</v>
          </cell>
          <cell r="GE290">
            <v>81.94</v>
          </cell>
          <cell r="GF290">
            <v>109.78200000000001</v>
          </cell>
          <cell r="GG290">
            <v>128.77199999999999</v>
          </cell>
          <cell r="GH290">
            <v>141.03400000000002</v>
          </cell>
          <cell r="GI290">
            <v>135.733</v>
          </cell>
          <cell r="GJ290">
            <v>157.79900000000001</v>
          </cell>
          <cell r="GK290">
            <v>191.76499999999999</v>
          </cell>
          <cell r="GL290">
            <v>165.834</v>
          </cell>
          <cell r="GM290">
            <v>253.81800000000001</v>
          </cell>
          <cell r="GN290">
            <v>190.32300000000001</v>
          </cell>
          <cell r="GO290">
            <v>95.512</v>
          </cell>
          <cell r="GP290">
            <v>136.99700000000001</v>
          </cell>
          <cell r="GQ290">
            <v>63.916000000000004</v>
          </cell>
          <cell r="GR290">
            <v>97.972000000000008</v>
          </cell>
          <cell r="GS290">
            <v>107.227</v>
          </cell>
          <cell r="GT290">
            <v>121.767</v>
          </cell>
          <cell r="GU290">
            <v>109.286</v>
          </cell>
          <cell r="GV290">
            <v>129.85899999999998</v>
          </cell>
          <cell r="GW290">
            <v>119.852</v>
          </cell>
          <cell r="GX290">
            <v>177.34299999999999</v>
          </cell>
          <cell r="GY290">
            <v>193.17000000000002</v>
          </cell>
          <cell r="GZ290">
            <v>127.07400000000001</v>
          </cell>
          <cell r="HA290">
            <v>131.708</v>
          </cell>
          <cell r="HB290">
            <v>126.75</v>
          </cell>
          <cell r="HC290">
            <v>109.55500000000001</v>
          </cell>
          <cell r="HD290">
            <v>119.761</v>
          </cell>
          <cell r="HE290">
            <v>132.98099999999999</v>
          </cell>
          <cell r="HF290">
            <v>215.55100000000002</v>
          </cell>
          <cell r="HG290">
            <v>183.88800000000001</v>
          </cell>
          <cell r="HH290">
            <v>175.95899999999997</v>
          </cell>
          <cell r="HI290">
            <v>246.19800000000004</v>
          </cell>
          <cell r="HJ290">
            <v>258.35500000000002</v>
          </cell>
          <cell r="HK290">
            <v>263.67</v>
          </cell>
          <cell r="HL290">
            <v>281.29700000000003</v>
          </cell>
          <cell r="HM290">
            <v>281.31200000000001</v>
          </cell>
          <cell r="HN290">
            <v>218.01</v>
          </cell>
          <cell r="HO290">
            <v>134.44</v>
          </cell>
          <cell r="HP290">
            <v>173.56800000000004</v>
          </cell>
          <cell r="HQ290">
            <v>237.01199999999997</v>
          </cell>
          <cell r="HR290">
            <v>194.33500000000001</v>
          </cell>
          <cell r="HS290">
            <v>175.191</v>
          </cell>
          <cell r="HT290">
            <v>161.93299999999999</v>
          </cell>
          <cell r="HU290">
            <v>175.00500000000002</v>
          </cell>
          <cell r="HV290">
            <v>150.19500000000002</v>
          </cell>
          <cell r="HW290">
            <v>165.19</v>
          </cell>
          <cell r="HX290">
            <v>171</v>
          </cell>
          <cell r="HY290">
            <v>164.7</v>
          </cell>
          <cell r="HZ290">
            <v>121.98099999999999</v>
          </cell>
          <cell r="IA290">
            <v>133.989</v>
          </cell>
          <cell r="IB290">
            <v>148.16300000000001</v>
          </cell>
          <cell r="IC290">
            <v>216.38799999999998</v>
          </cell>
          <cell r="ID290">
            <v>171.05799999999999</v>
          </cell>
          <cell r="IE290">
            <v>203.702</v>
          </cell>
          <cell r="IF290">
            <v>178.66600000000003</v>
          </cell>
          <cell r="IG290">
            <v>214.26400000000001</v>
          </cell>
          <cell r="IH290">
            <v>239.70300000000003</v>
          </cell>
          <cell r="II290">
            <v>221.82900000000004</v>
          </cell>
          <cell r="IJ290">
            <v>186.86199999999999</v>
          </cell>
          <cell r="IK290">
            <v>184.63899999999995</v>
          </cell>
          <cell r="IL290">
            <v>171.22800000000001</v>
          </cell>
          <cell r="IM290">
            <v>135.88900000000001</v>
          </cell>
          <cell r="IN290">
            <v>187.79600000000002</v>
          </cell>
          <cell r="IO290">
            <v>240.101</v>
          </cell>
          <cell r="IP290">
            <v>279.613</v>
          </cell>
          <cell r="IQ290">
            <v>258.23600000000005</v>
          </cell>
          <cell r="IR290">
            <v>256.31099999999998</v>
          </cell>
          <cell r="IS290">
            <v>294.012</v>
          </cell>
          <cell r="IT290">
            <v>391.202</v>
          </cell>
          <cell r="IU290">
            <v>505.85399999999998</v>
          </cell>
          <cell r="IV290">
            <v>465.23899999999998</v>
          </cell>
          <cell r="IW290">
            <v>464.65899999999999</v>
          </cell>
          <cell r="IX290">
            <v>265.13200000000001</v>
          </cell>
          <cell r="IY290">
            <v>248.12299999999999</v>
          </cell>
          <cell r="IZ290">
            <v>288.63900000000001</v>
          </cell>
          <cell r="JA290">
            <v>337.42699999999996</v>
          </cell>
          <cell r="JB290">
            <v>358.57400000000001</v>
          </cell>
          <cell r="JC290">
            <v>376.67499999999995</v>
          </cell>
          <cell r="JD290">
            <v>293.36899999999997</v>
          </cell>
          <cell r="JE290">
            <v>220.959</v>
          </cell>
          <cell r="JF290">
            <v>342.96700000000004</v>
          </cell>
          <cell r="JG290">
            <v>310.00600000000003</v>
          </cell>
          <cell r="JH290">
            <v>186.458</v>
          </cell>
          <cell r="JI290">
            <v>170.00300000000004</v>
          </cell>
          <cell r="JJ290">
            <v>88.587000000000003</v>
          </cell>
          <cell r="JK290">
            <v>57.143999999999991</v>
          </cell>
          <cell r="JL290">
            <v>204.85599999999999</v>
          </cell>
          <cell r="JM290">
            <v>237.05100000000002</v>
          </cell>
          <cell r="JN290">
            <v>317.11199999999997</v>
          </cell>
          <cell r="JO290">
            <v>332.71199999999999</v>
          </cell>
          <cell r="JP290">
            <v>271.27199999999999</v>
          </cell>
          <cell r="JQ290">
            <v>387.05399999999997</v>
          </cell>
          <cell r="JR290">
            <v>374.98200000000003</v>
          </cell>
          <cell r="JS290">
            <v>368.03300000000002</v>
          </cell>
          <cell r="JT290">
            <v>311.83999999999997</v>
          </cell>
          <cell r="JU290">
            <v>260.95799999999997</v>
          </cell>
          <cell r="JV290">
            <v>169.53399999999999</v>
          </cell>
          <cell r="JW290">
            <v>133.05199999999999</v>
          </cell>
          <cell r="JX290">
            <v>233.858</v>
          </cell>
          <cell r="JY290">
            <v>246.72900000000001</v>
          </cell>
          <cell r="JZ290">
            <v>352.89499999999998</v>
          </cell>
          <cell r="KA290">
            <v>290.68899999999996</v>
          </cell>
          <cell r="KB290">
            <v>352.483</v>
          </cell>
          <cell r="KC290">
            <v>303.97899999999998</v>
          </cell>
          <cell r="KD290">
            <v>337.565</v>
          </cell>
          <cell r="KE290">
            <v>307.98599999999999</v>
          </cell>
          <cell r="KF290">
            <v>239.39</v>
          </cell>
          <cell r="KG290">
            <v>250.45500000000001</v>
          </cell>
          <cell r="KH290">
            <v>125.30000000000001</v>
          </cell>
          <cell r="KI290">
            <v>168.363</v>
          </cell>
          <cell r="KJ290">
            <v>197.23000000000002</v>
          </cell>
          <cell r="KK290">
            <v>271.97999999999996</v>
          </cell>
          <cell r="KL290">
            <v>337.89300000000003</v>
          </cell>
          <cell r="KM290">
            <v>276.12800000000004</v>
          </cell>
          <cell r="KN290">
            <v>294.52699999999999</v>
          </cell>
          <cell r="KO290">
            <v>346.29</v>
          </cell>
          <cell r="KP290">
            <v>286.61700000000002</v>
          </cell>
          <cell r="KQ290">
            <v>336.24599999999998</v>
          </cell>
          <cell r="KR290">
            <v>326.19400000000002</v>
          </cell>
          <cell r="KS290">
            <v>262.625</v>
          </cell>
          <cell r="KT290">
            <v>197.839</v>
          </cell>
          <cell r="KU290">
            <v>162.589</v>
          </cell>
          <cell r="KV290">
            <v>180.61</v>
          </cell>
          <cell r="KW290">
            <v>307.08500000000004</v>
          </cell>
          <cell r="KX290">
            <v>359.935</v>
          </cell>
          <cell r="KY290">
            <v>336.31200000000001</v>
          </cell>
          <cell r="KZ290">
            <v>303.70999999999998</v>
          </cell>
          <cell r="LA290">
            <v>442.78100000000001</v>
          </cell>
          <cell r="LB290">
            <v>362.63400000000001</v>
          </cell>
          <cell r="LC290">
            <v>419.09100000000001</v>
          </cell>
          <cell r="LD290">
            <v>348.55099999999999</v>
          </cell>
          <cell r="LE290">
            <v>329.15800000000002</v>
          </cell>
          <cell r="LF290">
            <v>226.32400000000001</v>
          </cell>
          <cell r="LG290">
            <v>151.83600000000001</v>
          </cell>
          <cell r="LH290">
            <v>249.36500000000001</v>
          </cell>
          <cell r="LI290">
            <v>360.05900000000003</v>
          </cell>
          <cell r="LJ290">
            <v>362.197</v>
          </cell>
          <cell r="LK290">
            <v>418.43099999999998</v>
          </cell>
          <cell r="LL290">
            <v>338.55900000000003</v>
          </cell>
          <cell r="LM290">
            <v>347.791</v>
          </cell>
          <cell r="LN290">
            <v>320.49</v>
          </cell>
          <cell r="LO290">
            <v>341.113</v>
          </cell>
          <cell r="LP290">
            <v>298.565</v>
          </cell>
          <cell r="LQ290">
            <v>203.06700000000001</v>
          </cell>
          <cell r="LR290">
            <v>169.09399999999999</v>
          </cell>
          <cell r="LS290">
            <v>105.28100000000001</v>
          </cell>
          <cell r="LT290">
            <v>260.13600000000002</v>
          </cell>
          <cell r="LU290">
            <v>344.16899999999998</v>
          </cell>
          <cell r="LV290">
            <v>282.74900000000002</v>
          </cell>
          <cell r="LW290">
            <v>390.49</v>
          </cell>
          <cell r="LX290">
            <v>323.99400000000003</v>
          </cell>
          <cell r="LY290">
            <v>348.66800000000001</v>
          </cell>
          <cell r="LZ290">
            <v>348.798</v>
          </cell>
          <cell r="MA290">
            <v>367.57799999999997</v>
          </cell>
          <cell r="MB290">
            <v>336.596</v>
          </cell>
          <cell r="MC290">
            <v>342593.826</v>
          </cell>
          <cell r="MD290">
            <v>155173.99000000002</v>
          </cell>
          <cell r="ME290">
            <v>144332.595</v>
          </cell>
          <cell r="MF290">
            <v>185799.78400000001</v>
          </cell>
          <cell r="MG290">
            <v>247506.02800000002</v>
          </cell>
          <cell r="MH290">
            <v>287193.02700000006</v>
          </cell>
          <cell r="MI290">
            <v>256992.05600000001</v>
          </cell>
          <cell r="MJ290">
            <v>257448.00799999997</v>
          </cell>
          <cell r="MK290">
            <v>287117.641</v>
          </cell>
          <cell r="ML290">
            <v>336630.33399999997</v>
          </cell>
          <cell r="MM290">
            <v>268955.70500000007</v>
          </cell>
          <cell r="MN290">
            <v>249021.82399999999</v>
          </cell>
          <cell r="MO290">
            <v>217495.11600000001</v>
          </cell>
          <cell r="MP290">
            <v>175652.94500000001</v>
          </cell>
          <cell r="MQ290">
            <v>119690.25400000002</v>
          </cell>
          <cell r="MR290">
            <v>169245.66299999997</v>
          </cell>
          <cell r="MS290">
            <v>228418.84399999995</v>
          </cell>
          <cell r="MT290">
            <v>281510.90900000004</v>
          </cell>
          <cell r="MU290">
            <v>252196.524</v>
          </cell>
          <cell r="MV290">
            <v>232306.99100000004</v>
          </cell>
          <cell r="MW290">
            <v>318190.03600000002</v>
          </cell>
          <cell r="MX290">
            <v>211485.96099999998</v>
          </cell>
          <cell r="MY290">
            <v>237183.01400000002</v>
          </cell>
          <cell r="MZ290">
            <v>230414.13999999998</v>
          </cell>
          <cell r="NA290">
            <v>192223.04699999999</v>
          </cell>
          <cell r="NB290">
            <v>135326.883</v>
          </cell>
          <cell r="NC290">
            <v>82926.658999999985</v>
          </cell>
          <cell r="ND290">
            <v>88733.796000000017</v>
          </cell>
          <cell r="NE290">
            <v>156473.391</v>
          </cell>
          <cell r="NF290">
            <v>206279.42099999997</v>
          </cell>
          <cell r="NG290">
            <v>248450.89800000007</v>
          </cell>
          <cell r="NH290">
            <v>302848.98100000003</v>
          </cell>
          <cell r="NI290">
            <v>252084.17600000001</v>
          </cell>
          <cell r="NJ290">
            <v>210222.65000000002</v>
          </cell>
          <cell r="NK290">
            <v>256797.58499999999</v>
          </cell>
          <cell r="NL290">
            <v>219491.65199999997</v>
          </cell>
          <cell r="NM290">
            <v>182680.85599999994</v>
          </cell>
          <cell r="NN290">
            <v>176421.99399999995</v>
          </cell>
          <cell r="NO290">
            <v>262671.43299999996</v>
          </cell>
          <cell r="NP290">
            <v>226370.02299999999</v>
          </cell>
          <cell r="NQ290">
            <v>197502.84200000003</v>
          </cell>
          <cell r="NR290">
            <v>220006.01500000001</v>
          </cell>
          <cell r="NS290">
            <v>281725.37800000003</v>
          </cell>
          <cell r="NT290">
            <v>201974.02899999995</v>
          </cell>
          <cell r="NU290">
            <v>273649.10000000003</v>
          </cell>
          <cell r="NV290">
            <v>207537.57700000002</v>
          </cell>
          <cell r="NW290">
            <v>276835.20600000001</v>
          </cell>
          <cell r="NX290">
            <v>243001.302</v>
          </cell>
          <cell r="NY290">
            <v>209425.41999999995</v>
          </cell>
          <cell r="NZ290">
            <v>257973.30900000001</v>
          </cell>
          <cell r="OA290">
            <v>154165.42600000001</v>
          </cell>
          <cell r="OB290">
            <v>204491.88499999998</v>
          </cell>
          <cell r="OC290">
            <v>226445.353</v>
          </cell>
          <cell r="OD290">
            <v>235930.25400000002</v>
          </cell>
          <cell r="OE290">
            <v>306266.99999999994</v>
          </cell>
          <cell r="OF290">
            <v>299973.82099999994</v>
          </cell>
          <cell r="OG290">
            <v>322994.57899999997</v>
          </cell>
          <cell r="OH290">
            <v>378464.13099999994</v>
          </cell>
          <cell r="OI290">
            <v>308550.71099999989</v>
          </cell>
          <cell r="OJ290">
            <v>343361.25400000002</v>
          </cell>
          <cell r="OK290">
            <v>140468.01200000005</v>
          </cell>
          <cell r="OL290">
            <v>246298.48699999996</v>
          </cell>
          <cell r="OM290">
            <v>143078.61800000002</v>
          </cell>
          <cell r="ON290">
            <v>260188.20199999999</v>
          </cell>
          <cell r="OO290">
            <v>245314.24800000002</v>
          </cell>
          <cell r="OP290">
            <v>187541.54899999997</v>
          </cell>
          <cell r="OQ290">
            <v>256515.53900000002</v>
          </cell>
        </row>
      </sheetData>
      <sheetData sheetId="10">
        <row r="37">
          <cell r="B37">
            <v>0</v>
          </cell>
          <cell r="C37">
            <v>0</v>
          </cell>
          <cell r="D37">
            <v>0</v>
          </cell>
          <cell r="E37">
            <v>0.27400000000000002</v>
          </cell>
          <cell r="F37">
            <v>1.298</v>
          </cell>
          <cell r="G37">
            <v>7.2210000000000001</v>
          </cell>
          <cell r="H37">
            <v>3.8779999999999997</v>
          </cell>
          <cell r="I37">
            <v>23.509</v>
          </cell>
          <cell r="J37">
            <v>8.0989999999999984</v>
          </cell>
          <cell r="K37">
            <v>22.577000000000002</v>
          </cell>
          <cell r="L37">
            <v>18.332000000000001</v>
          </cell>
          <cell r="M37">
            <v>11.817</v>
          </cell>
          <cell r="N37">
            <v>17.501000000000001</v>
          </cell>
          <cell r="O37">
            <v>24.137999999999998</v>
          </cell>
          <cell r="P37">
            <v>34.701000000000001</v>
          </cell>
          <cell r="Q37">
            <v>11.381</v>
          </cell>
          <cell r="R37">
            <v>18.184999999999999</v>
          </cell>
          <cell r="S37">
            <v>31.872999999999998</v>
          </cell>
          <cell r="T37">
            <v>24.524999999999999</v>
          </cell>
          <cell r="U37">
            <v>51.008000000000003</v>
          </cell>
          <cell r="V37">
            <v>42.234000000000002</v>
          </cell>
          <cell r="W37">
            <v>33.643000000000001</v>
          </cell>
          <cell r="X37">
            <v>35.942000000000007</v>
          </cell>
          <cell r="Y37">
            <v>33.655000000000001</v>
          </cell>
          <cell r="Z37">
            <v>35.692</v>
          </cell>
          <cell r="AA37">
            <v>44.552</v>
          </cell>
          <cell r="AB37">
            <v>70.274000000000001</v>
          </cell>
          <cell r="AC37">
            <v>92.039999999999992</v>
          </cell>
          <cell r="AD37">
            <v>94.799000000000007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4.3279999999999994</v>
          </cell>
          <cell r="F59">
            <v>1.35</v>
          </cell>
          <cell r="G59">
            <v>0</v>
          </cell>
          <cell r="H59">
            <v>0.13200000000000001</v>
          </cell>
          <cell r="I59">
            <v>5.4969999999999999</v>
          </cell>
          <cell r="J59">
            <v>0.122</v>
          </cell>
          <cell r="K59">
            <v>0</v>
          </cell>
          <cell r="L59">
            <v>0.01</v>
          </cell>
          <cell r="M59">
            <v>0.309</v>
          </cell>
          <cell r="N59">
            <v>6.782</v>
          </cell>
          <cell r="O59">
            <v>3.7889999999999997</v>
          </cell>
          <cell r="P59">
            <v>0</v>
          </cell>
          <cell r="Q59">
            <v>0</v>
          </cell>
          <cell r="R59">
            <v>0.11499999999999999</v>
          </cell>
          <cell r="S59">
            <v>0</v>
          </cell>
          <cell r="T59">
            <v>8.2000000000000003E-2</v>
          </cell>
          <cell r="U59">
            <v>0.04</v>
          </cell>
          <cell r="V59">
            <v>0.18</v>
          </cell>
          <cell r="W59">
            <v>0</v>
          </cell>
          <cell r="X59">
            <v>0</v>
          </cell>
          <cell r="Y59">
            <v>8.900000000000001E-2</v>
          </cell>
          <cell r="Z59">
            <v>0.23499999999999999</v>
          </cell>
          <cell r="AA59">
            <v>0</v>
          </cell>
          <cell r="AB59">
            <v>1.234</v>
          </cell>
          <cell r="AC59">
            <v>1E-3</v>
          </cell>
          <cell r="AD59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6.7549999999999999</v>
          </cell>
          <cell r="F74">
            <v>0</v>
          </cell>
          <cell r="G74">
            <v>94.490000000000009</v>
          </cell>
          <cell r="H74">
            <v>101.108</v>
          </cell>
          <cell r="I74">
            <v>45.253</v>
          </cell>
          <cell r="J74">
            <v>29.486000000000001</v>
          </cell>
          <cell r="K74">
            <v>20.118000000000002</v>
          </cell>
          <cell r="L74">
            <v>44.638000000000005</v>
          </cell>
          <cell r="M74">
            <v>135.38900000000001</v>
          </cell>
          <cell r="N74">
            <v>131.291</v>
          </cell>
          <cell r="O74">
            <v>96.608999999999995</v>
          </cell>
          <cell r="P74">
            <v>3.98</v>
          </cell>
          <cell r="Q74">
            <v>51.536000000000001</v>
          </cell>
          <cell r="R74">
            <v>51.519999999999996</v>
          </cell>
          <cell r="S74">
            <v>67.69</v>
          </cell>
          <cell r="T74">
            <v>63.664000000000001</v>
          </cell>
          <cell r="U74">
            <v>29.946999999999996</v>
          </cell>
          <cell r="V74">
            <v>49.796000000000006</v>
          </cell>
          <cell r="W74">
            <v>187.22700000000003</v>
          </cell>
          <cell r="X74">
            <v>125.58199999999999</v>
          </cell>
          <cell r="Y74">
            <v>174.72</v>
          </cell>
          <cell r="Z74">
            <v>281.05099999999999</v>
          </cell>
          <cell r="AA74">
            <v>263.09699999999998</v>
          </cell>
          <cell r="AB74">
            <v>265.505</v>
          </cell>
          <cell r="AC74">
            <v>416.66699999999997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5.1999999999999998E-2</v>
          </cell>
          <cell r="X88">
            <v>0</v>
          </cell>
          <cell r="Y88">
            <v>0.27700000000000002</v>
          </cell>
          <cell r="Z88">
            <v>0</v>
          </cell>
          <cell r="AA88">
            <v>0</v>
          </cell>
          <cell r="AB88">
            <v>0</v>
          </cell>
          <cell r="AC88">
            <v>264.94</v>
          </cell>
          <cell r="AD88">
            <v>454.61400000000003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0.626</v>
          </cell>
          <cell r="Z103">
            <v>0.71</v>
          </cell>
          <cell r="AA103">
            <v>5.0999999999999997E-2</v>
          </cell>
          <cell r="AB103">
            <v>4.0000000000000001E-3</v>
          </cell>
          <cell r="AC103">
            <v>0</v>
          </cell>
          <cell r="AD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4.8049999999999997</v>
          </cell>
          <cell r="F107">
            <v>0</v>
          </cell>
          <cell r="G107">
            <v>18.978999999999999</v>
          </cell>
          <cell r="H107">
            <v>20.696000000000002</v>
          </cell>
          <cell r="I107">
            <v>10.768999999999998</v>
          </cell>
          <cell r="J107">
            <v>13.381</v>
          </cell>
          <cell r="K107">
            <v>4.202</v>
          </cell>
          <cell r="L107">
            <v>15.702999999999999</v>
          </cell>
          <cell r="M107">
            <v>18.878999999999998</v>
          </cell>
          <cell r="N107">
            <v>2.1040000000000001</v>
          </cell>
          <cell r="O107">
            <v>2.4729999999999999</v>
          </cell>
          <cell r="P107">
            <v>0</v>
          </cell>
          <cell r="Q107">
            <v>3.3</v>
          </cell>
          <cell r="R107">
            <v>0</v>
          </cell>
          <cell r="S107">
            <v>0</v>
          </cell>
          <cell r="T107">
            <v>2.9990000000000001</v>
          </cell>
          <cell r="U107">
            <v>5.9740000000000002</v>
          </cell>
          <cell r="V107">
            <v>6.1749999999999998</v>
          </cell>
          <cell r="W107">
            <v>28.431999999999999</v>
          </cell>
          <cell r="X107">
            <v>32.315999999999995</v>
          </cell>
          <cell r="Y107">
            <v>73.667999999999992</v>
          </cell>
          <cell r="Z107">
            <v>88.013000000000005</v>
          </cell>
          <cell r="AA107">
            <v>76.548999999999992</v>
          </cell>
          <cell r="AB107">
            <v>59.073000000000008</v>
          </cell>
          <cell r="AC107">
            <v>41.536999999999999</v>
          </cell>
          <cell r="AD107">
            <v>126.021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0.50800000000000001</v>
          </cell>
          <cell r="S109">
            <v>1.996</v>
          </cell>
          <cell r="T109">
            <v>2.86</v>
          </cell>
          <cell r="U109">
            <v>0</v>
          </cell>
          <cell r="V109">
            <v>1.93</v>
          </cell>
          <cell r="W109">
            <v>0.75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2.1999999999999999E-2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0.01</v>
          </cell>
          <cell r="V112">
            <v>0</v>
          </cell>
          <cell r="W112">
            <v>0</v>
          </cell>
          <cell r="X112">
            <v>1.2999999999999999E-2</v>
          </cell>
          <cell r="Y112">
            <v>0.182</v>
          </cell>
          <cell r="Z112">
            <v>1.0169999999999999</v>
          </cell>
          <cell r="AA112">
            <v>0</v>
          </cell>
          <cell r="AB112">
            <v>1E-3</v>
          </cell>
          <cell r="AC112">
            <v>0</v>
          </cell>
          <cell r="AD112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52.75</v>
          </cell>
          <cell r="X140">
            <v>25.59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4.8259999999999996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2</v>
          </cell>
          <cell r="M146">
            <v>5.1229999999999993</v>
          </cell>
          <cell r="N146">
            <v>2.0579999999999998</v>
          </cell>
          <cell r="O146">
            <v>2.2269999999999999</v>
          </cell>
          <cell r="P146">
            <v>0</v>
          </cell>
          <cell r="Q146">
            <v>1.321</v>
          </cell>
          <cell r="R146">
            <v>7.2189999999999994</v>
          </cell>
          <cell r="S146">
            <v>3.1739999999999999</v>
          </cell>
          <cell r="T146">
            <v>6.9809999999999999</v>
          </cell>
          <cell r="U146">
            <v>0</v>
          </cell>
          <cell r="V146">
            <v>0</v>
          </cell>
          <cell r="W146">
            <v>3.0659999999999998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2.5000000000000001E-2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1E-3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1.95</v>
          </cell>
          <cell r="F151">
            <v>0</v>
          </cell>
          <cell r="G151">
            <v>70.685000000000002</v>
          </cell>
          <cell r="H151">
            <v>80.372</v>
          </cell>
          <cell r="I151">
            <v>34.463000000000001</v>
          </cell>
          <cell r="J151">
            <v>16.079000000000001</v>
          </cell>
          <cell r="K151">
            <v>15.894</v>
          </cell>
          <cell r="L151">
            <v>26.919</v>
          </cell>
          <cell r="M151">
            <v>111.36900000000001</v>
          </cell>
          <cell r="N151">
            <v>124.96</v>
          </cell>
          <cell r="O151">
            <v>91.908999999999992</v>
          </cell>
          <cell r="P151">
            <v>3.98</v>
          </cell>
          <cell r="Q151">
            <v>45.670999999999999</v>
          </cell>
          <cell r="R151">
            <v>39.245999999999995</v>
          </cell>
          <cell r="S151">
            <v>53.079999999999984</v>
          </cell>
          <cell r="T151">
            <v>41.215000000000003</v>
          </cell>
          <cell r="U151">
            <v>23.924999999999997</v>
          </cell>
          <cell r="V151">
            <v>36.779000000000003</v>
          </cell>
          <cell r="W151">
            <v>90.327000000000012</v>
          </cell>
          <cell r="X151">
            <v>62.350999999999992</v>
          </cell>
          <cell r="Y151">
            <v>91.535999999999987</v>
          </cell>
          <cell r="Z151">
            <v>173.78800000000001</v>
          </cell>
          <cell r="AA151">
            <v>177.31100000000001</v>
          </cell>
          <cell r="AB151">
            <v>182.86499999999998</v>
          </cell>
          <cell r="AC151">
            <v>101.22699999999999</v>
          </cell>
          <cell r="AD151">
            <v>52.161999999999999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1.036</v>
          </cell>
          <cell r="Y156">
            <v>1.1120000000000001</v>
          </cell>
          <cell r="Z156">
            <v>10.669</v>
          </cell>
          <cell r="AA156">
            <v>5.5730000000000004</v>
          </cell>
          <cell r="AB156">
            <v>10.603999999999999</v>
          </cell>
          <cell r="AC156">
            <v>8.2010000000000005</v>
          </cell>
          <cell r="AD156">
            <v>9.6660000000000004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1.5000000000000001E-2</v>
          </cell>
          <cell r="F164">
            <v>1.5680000000000001</v>
          </cell>
          <cell r="G164">
            <v>0.15399999999999997</v>
          </cell>
          <cell r="H164">
            <v>3.298</v>
          </cell>
          <cell r="I164">
            <v>19.220000000000002</v>
          </cell>
          <cell r="J164">
            <v>3.0979999999999999</v>
          </cell>
          <cell r="K164">
            <v>3.2210000000000001</v>
          </cell>
          <cell r="L164">
            <v>16.380000000000003</v>
          </cell>
          <cell r="M164">
            <v>5.9689999999999994</v>
          </cell>
          <cell r="N164">
            <v>10.875999999999999</v>
          </cell>
          <cell r="O164">
            <v>7.0350000000000001</v>
          </cell>
          <cell r="P164">
            <v>0.19100000000000003</v>
          </cell>
          <cell r="Q164">
            <v>8.2280000000000015</v>
          </cell>
          <cell r="R164">
            <v>7.0520000000000005</v>
          </cell>
          <cell r="S164">
            <v>25.700000000000003</v>
          </cell>
          <cell r="T164">
            <v>29.462000000000003</v>
          </cell>
          <cell r="U164">
            <v>37.996000000000002</v>
          </cell>
          <cell r="V164">
            <v>75.937999999999988</v>
          </cell>
          <cell r="W164">
            <v>78.417000000000002</v>
          </cell>
          <cell r="X164">
            <v>53.411000000000001</v>
          </cell>
          <cell r="Y164">
            <v>65.927999999999997</v>
          </cell>
          <cell r="Z164">
            <v>88.737000000000009</v>
          </cell>
          <cell r="AA164">
            <v>79.816000000000003</v>
          </cell>
          <cell r="AB164">
            <v>65.807999999999993</v>
          </cell>
          <cell r="AC164">
            <v>66.667000000000002</v>
          </cell>
          <cell r="AD164">
            <v>109.967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3.74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2.9329999999999998</v>
          </cell>
          <cell r="J184">
            <v>0</v>
          </cell>
          <cell r="K184">
            <v>3.113</v>
          </cell>
          <cell r="L184">
            <v>10.129</v>
          </cell>
          <cell r="M184">
            <v>3.1469999999999998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6.8130000000000006</v>
          </cell>
          <cell r="S184">
            <v>20</v>
          </cell>
          <cell r="T184">
            <v>21.287000000000003</v>
          </cell>
          <cell r="U184">
            <v>27.088000000000001</v>
          </cell>
          <cell r="V184">
            <v>18.152000000000001</v>
          </cell>
          <cell r="W184">
            <v>33.045999999999999</v>
          </cell>
          <cell r="X184">
            <v>26.466999999999999</v>
          </cell>
          <cell r="Y184">
            <v>24.23</v>
          </cell>
          <cell r="Z184">
            <v>11.620000000000001</v>
          </cell>
          <cell r="AA184">
            <v>16.713000000000001</v>
          </cell>
          <cell r="AB184">
            <v>26.419999999999998</v>
          </cell>
          <cell r="AC184">
            <v>14.398</v>
          </cell>
          <cell r="AD184">
            <v>4.2640000000000002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1.4570000000000001</v>
          </cell>
          <cell r="G207">
            <v>0</v>
          </cell>
          <cell r="H207">
            <v>3.1760000000000002</v>
          </cell>
          <cell r="I207">
            <v>16.185000000000002</v>
          </cell>
          <cell r="J207">
            <v>2.996</v>
          </cell>
          <cell r="K207">
            <v>0</v>
          </cell>
          <cell r="L207">
            <v>6.1460000000000008</v>
          </cell>
          <cell r="M207">
            <v>2.6909999999999998</v>
          </cell>
          <cell r="N207">
            <v>10.699</v>
          </cell>
          <cell r="O207">
            <v>3.1539999999999995</v>
          </cell>
          <cell r="P207">
            <v>8.9999999999999993E-3</v>
          </cell>
          <cell r="Q207">
            <v>8.0500000000000007</v>
          </cell>
          <cell r="R207">
            <v>7.6999999999999999E-2</v>
          </cell>
          <cell r="S207">
            <v>5.5179999999999998</v>
          </cell>
          <cell r="T207">
            <v>8.0169999999999995</v>
          </cell>
          <cell r="U207">
            <v>2.2000000000000002</v>
          </cell>
          <cell r="V207">
            <v>53.168999999999997</v>
          </cell>
          <cell r="W207">
            <v>39.491</v>
          </cell>
          <cell r="X207">
            <v>21.143000000000001</v>
          </cell>
          <cell r="Y207">
            <v>28.279000000000003</v>
          </cell>
          <cell r="Z207">
            <v>68.503</v>
          </cell>
          <cell r="AA207">
            <v>61.872</v>
          </cell>
          <cell r="AB207">
            <v>37.804000000000002</v>
          </cell>
          <cell r="AC207">
            <v>51.663000000000004</v>
          </cell>
          <cell r="AD207">
            <v>100.857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7.5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4.0030000000000001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1.65</v>
          </cell>
          <cell r="F231">
            <v>0</v>
          </cell>
          <cell r="G231">
            <v>0</v>
          </cell>
          <cell r="H231">
            <v>0</v>
          </cell>
          <cell r="I231">
            <v>1.4999999999999999E-2</v>
          </cell>
          <cell r="J231">
            <v>8.7999999999999995E-2</v>
          </cell>
          <cell r="K231">
            <v>0</v>
          </cell>
          <cell r="L231">
            <v>0.16899999999999998</v>
          </cell>
          <cell r="M231">
            <v>0</v>
          </cell>
          <cell r="N231">
            <v>2.4E-2</v>
          </cell>
          <cell r="O231">
            <v>0</v>
          </cell>
          <cell r="P231">
            <v>4.1000000000000002E-2</v>
          </cell>
          <cell r="Q231">
            <v>1.7889999999999999</v>
          </cell>
          <cell r="R231">
            <v>2E-3</v>
          </cell>
          <cell r="S231">
            <v>2.5000000000000001E-2</v>
          </cell>
          <cell r="T231">
            <v>4.0659999999999998</v>
          </cell>
          <cell r="U231">
            <v>3.9390000000000001</v>
          </cell>
          <cell r="V231">
            <v>4.9459999999999997</v>
          </cell>
          <cell r="W231">
            <v>3.1059999999999999</v>
          </cell>
          <cell r="X231">
            <v>0.20400000000000001</v>
          </cell>
          <cell r="Y231">
            <v>0.4</v>
          </cell>
          <cell r="Z231">
            <v>0.153</v>
          </cell>
          <cell r="AA231">
            <v>0.22499999999999998</v>
          </cell>
          <cell r="AB231">
            <v>9.4E-2</v>
          </cell>
          <cell r="AC231">
            <v>7.0999999999999994E-2</v>
          </cell>
          <cell r="AD231">
            <v>6.7000000000000004E-2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2E-3</v>
          </cell>
          <cell r="S243">
            <v>5.0000000000000001E-3</v>
          </cell>
          <cell r="T243">
            <v>0.01</v>
          </cell>
          <cell r="U243">
            <v>0.04</v>
          </cell>
          <cell r="V243">
            <v>1.0999999999999999E-2</v>
          </cell>
          <cell r="W243">
            <v>6.0000000000000001E-3</v>
          </cell>
          <cell r="X243">
            <v>0.11700000000000001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0.11799999999999999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0.05</v>
          </cell>
          <cell r="AC248">
            <v>0</v>
          </cell>
          <cell r="AD248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1.65</v>
          </cell>
          <cell r="F284">
            <v>0</v>
          </cell>
          <cell r="G284">
            <v>0</v>
          </cell>
          <cell r="H284">
            <v>0</v>
          </cell>
          <cell r="I284">
            <v>1.2999999999999999E-2</v>
          </cell>
          <cell r="J284">
            <v>0</v>
          </cell>
          <cell r="K284">
            <v>0</v>
          </cell>
          <cell r="L284">
            <v>0.14499999999999999</v>
          </cell>
          <cell r="M284">
            <v>0</v>
          </cell>
          <cell r="N284">
            <v>0</v>
          </cell>
          <cell r="O284">
            <v>0</v>
          </cell>
          <cell r="P284">
            <v>1.6E-2</v>
          </cell>
          <cell r="Q284">
            <v>0.20400000000000001</v>
          </cell>
          <cell r="R284">
            <v>0</v>
          </cell>
          <cell r="S284">
            <v>0.02</v>
          </cell>
          <cell r="T284">
            <v>4.056</v>
          </cell>
          <cell r="U284">
            <v>3.899</v>
          </cell>
          <cell r="V284">
            <v>4.9349999999999996</v>
          </cell>
          <cell r="W284">
            <v>2.9819999999999998</v>
          </cell>
          <cell r="X284">
            <v>8.7000000000000022E-2</v>
          </cell>
          <cell r="Y284">
            <v>0.4</v>
          </cell>
          <cell r="Z284">
            <v>0.153</v>
          </cell>
          <cell r="AA284">
            <v>0.22499999999999998</v>
          </cell>
          <cell r="AB284">
            <v>4.4000000000000004E-2</v>
          </cell>
          <cell r="AC284">
            <v>7.0999999999999994E-2</v>
          </cell>
          <cell r="AD284">
            <v>4.6000000000000006E-2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</row>
        <row r="290">
          <cell r="BS290">
            <v>0</v>
          </cell>
          <cell r="BT290">
            <v>2.3050000000000002</v>
          </cell>
          <cell r="BU290">
            <v>0</v>
          </cell>
          <cell r="BV290">
            <v>2.0699999999999998</v>
          </cell>
          <cell r="BW290">
            <v>2.65</v>
          </cell>
          <cell r="BX290">
            <v>0.83499999999999996</v>
          </cell>
          <cell r="BY290">
            <v>3.6599999999999997</v>
          </cell>
          <cell r="BZ290">
            <v>0</v>
          </cell>
          <cell r="CA290">
            <v>1.502</v>
          </cell>
          <cell r="CB290">
            <v>3.4999999999999996E-2</v>
          </cell>
          <cell r="CC290">
            <v>1E-3</v>
          </cell>
          <cell r="CD290">
            <v>0.17600000000000002</v>
          </cell>
          <cell r="CE290">
            <v>1.0999999999999999E-2</v>
          </cell>
          <cell r="CF290">
            <v>7.0000000000000001E-3</v>
          </cell>
          <cell r="CG290">
            <v>4.1000000000000002E-2</v>
          </cell>
          <cell r="CH290">
            <v>5.6000000000000001E-2</v>
          </cell>
          <cell r="CI290">
            <v>5.8000000000000003E-2</v>
          </cell>
          <cell r="CJ290">
            <v>1.794</v>
          </cell>
          <cell r="CK290">
            <v>0.34300000000000003</v>
          </cell>
          <cell r="CL290">
            <v>0.10999999999999999</v>
          </cell>
          <cell r="CM290">
            <v>1.6640000000000001</v>
          </cell>
          <cell r="CN290">
            <v>0.27600000000000002</v>
          </cell>
          <cell r="CO290">
            <v>0.86499999999999999</v>
          </cell>
          <cell r="CP290">
            <v>0.35300000000000004</v>
          </cell>
          <cell r="CQ290">
            <v>18.654</v>
          </cell>
          <cell r="CR290">
            <v>18.050999999999998</v>
          </cell>
          <cell r="CS290">
            <v>24.294</v>
          </cell>
          <cell r="CT290">
            <v>17.178000000000001</v>
          </cell>
          <cell r="CU290">
            <v>14.271000000000001</v>
          </cell>
          <cell r="CV290">
            <v>5.3140000000000001</v>
          </cell>
          <cell r="CW290">
            <v>0.623</v>
          </cell>
          <cell r="CX290">
            <v>0.98799999999999999</v>
          </cell>
          <cell r="CY290">
            <v>4.6859999999999999</v>
          </cell>
          <cell r="CZ290">
            <v>19.445</v>
          </cell>
          <cell r="DA290">
            <v>18.016999999999999</v>
          </cell>
          <cell r="DB290">
            <v>20.673999999999999</v>
          </cell>
          <cell r="DC290">
            <v>19.100999999999999</v>
          </cell>
          <cell r="DD290">
            <v>10.132999999999999</v>
          </cell>
          <cell r="DE290">
            <v>7.0019999999999998</v>
          </cell>
          <cell r="DF290">
            <v>4.8040000000000003</v>
          </cell>
          <cell r="DG290">
            <v>3.5049999999999999</v>
          </cell>
          <cell r="DH290">
            <v>0.36399999999999999</v>
          </cell>
          <cell r="DI290">
            <v>8.2000000000000003E-2</v>
          </cell>
          <cell r="DJ290">
            <v>0.223</v>
          </cell>
          <cell r="DK290">
            <v>5.9029999999999996</v>
          </cell>
          <cell r="DL290">
            <v>12.648</v>
          </cell>
          <cell r="DM290">
            <v>12.282</v>
          </cell>
          <cell r="DN290">
            <v>12.146000000000001</v>
          </cell>
          <cell r="DO290">
            <v>9.1210000000000004</v>
          </cell>
          <cell r="DP290">
            <v>6.2190000000000003</v>
          </cell>
          <cell r="DQ290">
            <v>3.4350000000000001</v>
          </cell>
          <cell r="DR290">
            <v>12.77</v>
          </cell>
          <cell r="DS290">
            <v>4.8120000000000003</v>
          </cell>
          <cell r="DT290">
            <v>13.537000000000001</v>
          </cell>
          <cell r="DU290">
            <v>4.6340000000000003</v>
          </cell>
          <cell r="DV290">
            <v>0.68700000000000006</v>
          </cell>
          <cell r="DW290">
            <v>3.6459999999999999</v>
          </cell>
          <cell r="DX290">
            <v>7.9550000000000001</v>
          </cell>
          <cell r="DY290">
            <v>3.6459999999999999</v>
          </cell>
          <cell r="DZ290">
            <v>2.9329999999999998</v>
          </cell>
          <cell r="EA290">
            <v>4.4000000000000004</v>
          </cell>
          <cell r="EB290">
            <v>0.96</v>
          </cell>
          <cell r="EC290">
            <v>5.84</v>
          </cell>
          <cell r="ED290">
            <v>8.6890000000000001</v>
          </cell>
          <cell r="EE290">
            <v>0.97099999999999997</v>
          </cell>
          <cell r="EF290">
            <v>3.0739999999999998</v>
          </cell>
          <cell r="EG290">
            <v>0.35899999999999999</v>
          </cell>
          <cell r="EH290">
            <v>0.22</v>
          </cell>
          <cell r="EI290">
            <v>2.0790000000000002</v>
          </cell>
          <cell r="EJ290">
            <v>2.1059999999999999</v>
          </cell>
          <cell r="EK290">
            <v>2.258</v>
          </cell>
          <cell r="EL290">
            <v>0.51100000000000001</v>
          </cell>
          <cell r="EM290">
            <v>5.4370000000000003</v>
          </cell>
          <cell r="EN290">
            <v>3.4009999999999998</v>
          </cell>
          <cell r="EO290">
            <v>3.0539999999999998</v>
          </cell>
          <cell r="EP290">
            <v>0.35199999999999998</v>
          </cell>
          <cell r="EQ290">
            <v>5.5839999999999996</v>
          </cell>
          <cell r="ER290">
            <v>4.9720000000000004</v>
          </cell>
          <cell r="ES290">
            <v>8.2959999999999994</v>
          </cell>
          <cell r="ET290">
            <v>7.3179999999999996</v>
          </cell>
          <cell r="EU290">
            <v>2.8319999999999999</v>
          </cell>
          <cell r="EV290">
            <v>8.6739999999999995</v>
          </cell>
          <cell r="EW290">
            <v>15.26</v>
          </cell>
          <cell r="EX290">
            <v>8.6150000000000002</v>
          </cell>
          <cell r="EY290">
            <v>3.726</v>
          </cell>
          <cell r="EZ290">
            <v>4.7510000000000003</v>
          </cell>
          <cell r="FA290">
            <v>6.7859999999999996</v>
          </cell>
          <cell r="FB290">
            <v>5.6710000000000003</v>
          </cell>
          <cell r="FC290">
            <v>14.909000000000001</v>
          </cell>
          <cell r="FD290">
            <v>3.052</v>
          </cell>
          <cell r="FE290">
            <v>2.0259999999999998</v>
          </cell>
          <cell r="FF290">
            <v>0.89100000000000001</v>
          </cell>
          <cell r="FG290">
            <v>5.1859999999999999</v>
          </cell>
          <cell r="FH290">
            <v>14.547000000000001</v>
          </cell>
          <cell r="FI290">
            <v>18.114000000000001</v>
          </cell>
          <cell r="FJ290">
            <v>21.988</v>
          </cell>
          <cell r="FK290">
            <v>24.466999999999999</v>
          </cell>
          <cell r="FL290">
            <v>4.641</v>
          </cell>
          <cell r="FM290">
            <v>12.798999999999999</v>
          </cell>
          <cell r="FN290">
            <v>15.276999999999999</v>
          </cell>
          <cell r="FO290">
            <v>15.477</v>
          </cell>
          <cell r="FP290">
            <v>12.177</v>
          </cell>
          <cell r="FQ290">
            <v>10.294</v>
          </cell>
          <cell r="FR290">
            <v>2.3380000000000001</v>
          </cell>
          <cell r="FS290">
            <v>1.518</v>
          </cell>
          <cell r="FT290">
            <v>18.271999999999998</v>
          </cell>
          <cell r="FU290">
            <v>24.498000000000001</v>
          </cell>
          <cell r="FV290">
            <v>18.399999999999999</v>
          </cell>
          <cell r="FW290">
            <v>16.178000000000001</v>
          </cell>
          <cell r="FX290">
            <v>32.566000000000003</v>
          </cell>
          <cell r="FY290">
            <v>14.443</v>
          </cell>
          <cell r="FZ290">
            <v>19.41</v>
          </cell>
          <cell r="GA290">
            <v>14.244</v>
          </cell>
          <cell r="GB290">
            <v>9.9039999999999999</v>
          </cell>
          <cell r="GC290">
            <v>8.0359999999999996</v>
          </cell>
          <cell r="GD290">
            <v>4.9649999999999999</v>
          </cell>
          <cell r="GE290">
            <v>8.6890000000000001</v>
          </cell>
          <cell r="GF290">
            <v>28.859000000000002</v>
          </cell>
          <cell r="GG290">
            <v>25.504999999999999</v>
          </cell>
          <cell r="GH290">
            <v>34.554000000000002</v>
          </cell>
          <cell r="GI290">
            <v>6.1280000000000001</v>
          </cell>
          <cell r="GJ290">
            <v>13.374000000000001</v>
          </cell>
          <cell r="GK290">
            <v>6.5860000000000003</v>
          </cell>
          <cell r="GL290">
            <v>5.0979999999999999</v>
          </cell>
          <cell r="GM290">
            <v>5.5910000000000002</v>
          </cell>
          <cell r="GN290">
            <v>4.8609999999999998</v>
          </cell>
          <cell r="GO290">
            <v>1.129</v>
          </cell>
          <cell r="GP290">
            <v>0.27400000000000002</v>
          </cell>
          <cell r="GQ290">
            <v>2.2330000000000001</v>
          </cell>
          <cell r="GR290">
            <v>8.657</v>
          </cell>
          <cell r="GS290">
            <v>3.9020000000000001</v>
          </cell>
          <cell r="GT290">
            <v>2.3130000000000002</v>
          </cell>
          <cell r="GU290">
            <v>3.7229999999999999</v>
          </cell>
          <cell r="GV290">
            <v>8.1080000000000005</v>
          </cell>
          <cell r="GW290">
            <v>4.2939999999999996</v>
          </cell>
          <cell r="GX290">
            <v>3.1760000000000002</v>
          </cell>
          <cell r="GY290">
            <v>1.7949999999999999</v>
          </cell>
          <cell r="GZ290">
            <v>1.911</v>
          </cell>
          <cell r="HA290">
            <v>0.59399999999999997</v>
          </cell>
          <cell r="HB290">
            <v>0.124</v>
          </cell>
          <cell r="HC290">
            <v>0.311</v>
          </cell>
          <cell r="HD290">
            <v>10.853</v>
          </cell>
          <cell r="HE290">
            <v>2.3889999999999998</v>
          </cell>
          <cell r="HF290">
            <v>11.593999999999999</v>
          </cell>
          <cell r="HG290">
            <v>6.4930000000000003</v>
          </cell>
          <cell r="HH290">
            <v>14.859</v>
          </cell>
          <cell r="HI290">
            <v>10.182</v>
          </cell>
          <cell r="HJ290">
            <v>7.4180000000000001</v>
          </cell>
          <cell r="HK290">
            <v>1.41</v>
          </cell>
          <cell r="HL290">
            <v>2.8</v>
          </cell>
          <cell r="HM290">
            <v>0.67700000000000005</v>
          </cell>
          <cell r="HN290">
            <v>0.60399999999999998</v>
          </cell>
          <cell r="HO290">
            <v>3.6509999999999998</v>
          </cell>
          <cell r="HP290">
            <v>6.6779999999999999</v>
          </cell>
          <cell r="HQ290">
            <v>7.5060000000000002</v>
          </cell>
          <cell r="HR290">
            <v>21.111000000000001</v>
          </cell>
          <cell r="HS290">
            <v>4.6230000000000002</v>
          </cell>
          <cell r="HT290">
            <v>3.6219999999999999</v>
          </cell>
          <cell r="HU290">
            <v>11.715</v>
          </cell>
          <cell r="HV290">
            <v>3.302</v>
          </cell>
          <cell r="HW290">
            <v>4.1580000000000004</v>
          </cell>
          <cell r="HX290">
            <v>5.4740000000000002</v>
          </cell>
          <cell r="HY290">
            <v>4.6950000000000003</v>
          </cell>
          <cell r="HZ290">
            <v>1.524</v>
          </cell>
          <cell r="IA290">
            <v>2.4620000000000002</v>
          </cell>
          <cell r="IB290">
            <v>10.303000000000001</v>
          </cell>
          <cell r="IC290">
            <v>23.765000000000001</v>
          </cell>
          <cell r="ID290">
            <v>17.004000000000001</v>
          </cell>
          <cell r="IE290">
            <v>9.7789999999999999</v>
          </cell>
          <cell r="IF290">
            <v>7.76</v>
          </cell>
          <cell r="IG290">
            <v>12.034000000000001</v>
          </cell>
          <cell r="IH290">
            <v>7.0979999999999999</v>
          </cell>
          <cell r="II290">
            <v>9.3320000000000007</v>
          </cell>
          <cell r="IJ290">
            <v>4.5759999999999996</v>
          </cell>
          <cell r="IK290">
            <v>2.9849999999999999</v>
          </cell>
          <cell r="IL290">
            <v>6.8920000000000003</v>
          </cell>
          <cell r="IM290">
            <v>13.757</v>
          </cell>
          <cell r="IN290">
            <v>12.477</v>
          </cell>
          <cell r="IO290">
            <v>14.632999999999999</v>
          </cell>
          <cell r="IP290">
            <v>31.734000000000002</v>
          </cell>
          <cell r="IQ290">
            <v>10.474</v>
          </cell>
          <cell r="IR290">
            <v>14.302</v>
          </cell>
          <cell r="IS290">
            <v>10.804</v>
          </cell>
          <cell r="IT290">
            <v>2.532</v>
          </cell>
          <cell r="IU290">
            <v>8.1750000000000007</v>
          </cell>
          <cell r="IV290">
            <v>8.4779999999999998</v>
          </cell>
          <cell r="IW290">
            <v>1.4390000000000001</v>
          </cell>
          <cell r="IX290">
            <v>0.94099999999999995</v>
          </cell>
          <cell r="IY290">
            <v>5.8049999999999997</v>
          </cell>
          <cell r="IZ290">
            <v>6.7770000000000001</v>
          </cell>
          <cell r="JA290">
            <v>1.7030000000000001</v>
          </cell>
          <cell r="JB290">
            <v>11.068</v>
          </cell>
          <cell r="JC290">
            <v>2.5670000000000002</v>
          </cell>
          <cell r="JD290">
            <v>11.24</v>
          </cell>
          <cell r="JE290">
            <v>12.895</v>
          </cell>
          <cell r="JF290">
            <v>8.4149999999999991</v>
          </cell>
          <cell r="JG290">
            <v>11.846</v>
          </cell>
          <cell r="JH290">
            <v>14.959</v>
          </cell>
          <cell r="JI290">
            <v>11.648999999999999</v>
          </cell>
          <cell r="JJ290">
            <v>4.1740000000000004</v>
          </cell>
          <cell r="JK290">
            <v>25.632000000000001</v>
          </cell>
          <cell r="JL290">
            <v>18.105</v>
          </cell>
          <cell r="JM290">
            <v>15.994</v>
          </cell>
          <cell r="JN290">
            <v>13.321999999999999</v>
          </cell>
          <cell r="JO290">
            <v>15.339</v>
          </cell>
          <cell r="JP290">
            <v>14.706</v>
          </cell>
          <cell r="JQ290">
            <v>6.8579999999999997</v>
          </cell>
          <cell r="JR290">
            <v>17.300999999999998</v>
          </cell>
          <cell r="JS290">
            <v>14.382</v>
          </cell>
          <cell r="JT290">
            <v>19.611999999999998</v>
          </cell>
          <cell r="JU290">
            <v>8.8379999999999992</v>
          </cell>
          <cell r="JV290">
            <v>3.012</v>
          </cell>
          <cell r="JW290">
            <v>25.614999999999998</v>
          </cell>
          <cell r="JX290">
            <v>32.121000000000002</v>
          </cell>
          <cell r="JY290">
            <v>50.987000000000002</v>
          </cell>
          <cell r="JZ290">
            <v>23.274000000000001</v>
          </cell>
          <cell r="KA290">
            <v>49.633000000000003</v>
          </cell>
          <cell r="KB290">
            <v>8.6850000000000005</v>
          </cell>
          <cell r="KC290">
            <v>9.0510000000000002</v>
          </cell>
          <cell r="KD290">
            <v>35.722999999999999</v>
          </cell>
          <cell r="KE290">
            <v>15.933</v>
          </cell>
          <cell r="KF290">
            <v>14.755000000000001</v>
          </cell>
          <cell r="KG290">
            <v>13.856</v>
          </cell>
          <cell r="KH290">
            <v>9.1010000000000009</v>
          </cell>
          <cell r="KI290">
            <v>39.268999999999998</v>
          </cell>
          <cell r="KJ290">
            <v>20.547999999999998</v>
          </cell>
          <cell r="KK290">
            <v>50.465000000000003</v>
          </cell>
          <cell r="KL290">
            <v>16.178000000000001</v>
          </cell>
          <cell r="KM290">
            <v>14.909000000000001</v>
          </cell>
          <cell r="KN290">
            <v>10.308999999999999</v>
          </cell>
          <cell r="KO290">
            <v>21.606999999999999</v>
          </cell>
          <cell r="KP290">
            <v>7.5819999999999999</v>
          </cell>
          <cell r="KQ290">
            <v>10.122</v>
          </cell>
          <cell r="KR290">
            <v>14.484</v>
          </cell>
          <cell r="KS290">
            <v>9.8550000000000004</v>
          </cell>
          <cell r="KT290">
            <v>19.233000000000001</v>
          </cell>
          <cell r="KU290">
            <v>19.84</v>
          </cell>
          <cell r="KV290">
            <v>34.642000000000003</v>
          </cell>
          <cell r="KW290">
            <v>31.884</v>
          </cell>
          <cell r="KX290">
            <v>6.9</v>
          </cell>
          <cell r="KY290">
            <v>30.568000000000001</v>
          </cell>
          <cell r="KZ290">
            <v>28.297000000000001</v>
          </cell>
          <cell r="LA290">
            <v>16.623000000000001</v>
          </cell>
          <cell r="LB290">
            <v>15.866</v>
          </cell>
          <cell r="LC290">
            <v>21.975000000000001</v>
          </cell>
          <cell r="LD290">
            <v>29.658000000000001</v>
          </cell>
          <cell r="LE290">
            <v>26.731999999999999</v>
          </cell>
          <cell r="LF290">
            <v>19.742000000000001</v>
          </cell>
          <cell r="LG290">
            <v>11.904999999999999</v>
          </cell>
          <cell r="LH290">
            <v>33.345999999999997</v>
          </cell>
          <cell r="LI290">
            <v>42.832999999999998</v>
          </cell>
          <cell r="LJ290">
            <v>28.907</v>
          </cell>
          <cell r="LK290">
            <v>37.106000000000002</v>
          </cell>
          <cell r="LL290">
            <v>32.875</v>
          </cell>
          <cell r="LM290">
            <v>26.26</v>
          </cell>
          <cell r="LN290">
            <v>41.978999999999999</v>
          </cell>
          <cell r="LO290">
            <v>63.892000000000003</v>
          </cell>
          <cell r="LP290">
            <v>39.012999999999998</v>
          </cell>
          <cell r="LQ290">
            <v>34.223999999999997</v>
          </cell>
          <cell r="LR290">
            <v>11.798999999999999</v>
          </cell>
          <cell r="LS290">
            <v>13.64</v>
          </cell>
          <cell r="LT290">
            <v>52.69</v>
          </cell>
          <cell r="LU290">
            <v>26.344000000000001</v>
          </cell>
          <cell r="LV290">
            <v>29.305</v>
          </cell>
          <cell r="LW290">
            <v>43.018999999999998</v>
          </cell>
          <cell r="LX290">
            <v>57.872</v>
          </cell>
          <cell r="LY290">
            <v>19.797000000000001</v>
          </cell>
          <cell r="LZ290">
            <v>12.675000000000001</v>
          </cell>
          <cell r="MA290">
            <v>25.251999999999999</v>
          </cell>
          <cell r="MB290">
            <v>25.683</v>
          </cell>
          <cell r="MC290">
            <v>28382.521999999994</v>
          </cell>
          <cell r="MD290">
            <v>18149.126</v>
          </cell>
          <cell r="ME290">
            <v>55342.395000000004</v>
          </cell>
          <cell r="MF290">
            <v>85082.528999999995</v>
          </cell>
          <cell r="MG290">
            <v>87972.488999999987</v>
          </cell>
          <cell r="MH290">
            <v>63042.698999999986</v>
          </cell>
          <cell r="MI290">
            <v>61675.457000000009</v>
          </cell>
          <cell r="MJ290">
            <v>45383.326999999997</v>
          </cell>
          <cell r="MK290">
            <v>50317.640000000007</v>
          </cell>
          <cell r="ML290">
            <v>37878.213000000003</v>
          </cell>
          <cell r="MM290">
            <v>33619.637000000002</v>
          </cell>
          <cell r="MN290">
            <v>34047.867000000006</v>
          </cell>
          <cell r="MO290">
            <v>22918.128000000001</v>
          </cell>
          <cell r="MP290">
            <v>27231.379999999997</v>
          </cell>
          <cell r="MQ290">
            <v>26006.167000000005</v>
          </cell>
          <cell r="MR290">
            <v>83129.255000000034</v>
          </cell>
          <cell r="MS290">
            <v>70570.282999999996</v>
          </cell>
          <cell r="MT290">
            <v>57721.81</v>
          </cell>
          <cell r="MU290">
            <v>54054.038</v>
          </cell>
          <cell r="MV290">
            <v>56606.93099999999</v>
          </cell>
          <cell r="MW290">
            <v>63506.283000000018</v>
          </cell>
          <cell r="MX290">
            <v>40733.68</v>
          </cell>
          <cell r="MY290">
            <v>81633.647000000012</v>
          </cell>
          <cell r="MZ290">
            <v>26285.38</v>
          </cell>
          <cell r="NA290">
            <v>72887.270000000019</v>
          </cell>
          <cell r="NB290">
            <v>62089.433999999994</v>
          </cell>
          <cell r="NC290">
            <v>27792.112000000001</v>
          </cell>
          <cell r="ND290">
            <v>108201.20899999999</v>
          </cell>
          <cell r="NE290">
            <v>65109.485999999997</v>
          </cell>
          <cell r="NF290">
            <v>85220.827999999965</v>
          </cell>
          <cell r="NG290">
            <v>30505.141999999996</v>
          </cell>
          <cell r="NH290">
            <v>99999.157000000021</v>
          </cell>
          <cell r="NI290">
            <v>82489.787999999986</v>
          </cell>
          <cell r="NJ290">
            <v>52765.987000000008</v>
          </cell>
          <cell r="NK290">
            <v>82532.39499999999</v>
          </cell>
          <cell r="NL290">
            <v>144913.53999999998</v>
          </cell>
          <cell r="NM290">
            <v>105151.516</v>
          </cell>
          <cell r="NN290">
            <v>22932.035</v>
          </cell>
          <cell r="NO290">
            <v>116834.30999999997</v>
          </cell>
          <cell r="NP290">
            <v>87824.763999999981</v>
          </cell>
          <cell r="NQ290">
            <v>91690.003000000026</v>
          </cell>
          <cell r="NR290">
            <v>95521.896999999997</v>
          </cell>
          <cell r="NS290">
            <v>91963.735999999975</v>
          </cell>
          <cell r="NT290">
            <v>70560.082000000009</v>
          </cell>
          <cell r="NU290">
            <v>96210.543999999994</v>
          </cell>
          <cell r="NV290">
            <v>62609.493999999992</v>
          </cell>
          <cell r="NW290">
            <v>90438.909</v>
          </cell>
          <cell r="NX290">
            <v>82808.060000000012</v>
          </cell>
          <cell r="NY290">
            <v>34326.551999999989</v>
          </cell>
          <cell r="NZ290">
            <v>86411.16399999999</v>
          </cell>
          <cell r="OA290">
            <v>113520.569</v>
          </cell>
          <cell r="OB290">
            <v>110746.242</v>
          </cell>
          <cell r="OC290">
            <v>128152.08699999997</v>
          </cell>
          <cell r="OD290">
            <v>124253.84799999998</v>
          </cell>
          <cell r="OE290">
            <v>89300.703999999998</v>
          </cell>
          <cell r="OF290">
            <v>45778.274000000005</v>
          </cell>
          <cell r="OG290">
            <v>116403.228</v>
          </cell>
          <cell r="OH290">
            <v>33711.228000000003</v>
          </cell>
          <cell r="OI290">
            <v>68045.41899999998</v>
          </cell>
          <cell r="OJ290">
            <v>30145.680999999997</v>
          </cell>
          <cell r="OK290">
            <v>109955.90000000002</v>
          </cell>
          <cell r="OL290">
            <v>58899.686000000002</v>
          </cell>
          <cell r="OM290">
            <v>40168.499000000003</v>
          </cell>
          <cell r="ON290">
            <v>96632.933000000005</v>
          </cell>
          <cell r="OO290">
            <v>57872.777999999991</v>
          </cell>
          <cell r="OP290">
            <v>48290.167000000009</v>
          </cell>
          <cell r="OQ290">
            <v>23501.545000000002</v>
          </cell>
        </row>
      </sheetData>
      <sheetData sheetId="11">
        <row r="70">
          <cell r="AE70">
            <v>1718.3469990000003</v>
          </cell>
        </row>
        <row r="290">
          <cell r="BT290">
            <v>1.359</v>
          </cell>
          <cell r="BU290">
            <v>0.62399999999999989</v>
          </cell>
          <cell r="BV290">
            <v>1.1460000000000001</v>
          </cell>
          <cell r="BW290">
            <v>0.70399999999999996</v>
          </cell>
          <cell r="BX290">
            <v>1.4570000000000001</v>
          </cell>
          <cell r="BY290">
            <v>4.7329999999999988</v>
          </cell>
          <cell r="BZ290">
            <v>10.329000000000001</v>
          </cell>
          <cell r="CA290">
            <v>8.6509999999999998</v>
          </cell>
          <cell r="CB290">
            <v>1.7970000000000002</v>
          </cell>
          <cell r="CC290">
            <v>2.246</v>
          </cell>
          <cell r="CD290">
            <v>2.2819999999999996</v>
          </cell>
          <cell r="CE290">
            <v>3.8010000000000002</v>
          </cell>
          <cell r="CF290">
            <v>3.4430000000000005</v>
          </cell>
          <cell r="CG290">
            <v>0.88700000000000001</v>
          </cell>
          <cell r="CH290">
            <v>1.3920000000000001</v>
          </cell>
          <cell r="CI290">
            <v>9.1359999999999992</v>
          </cell>
          <cell r="CJ290">
            <v>13.871</v>
          </cell>
          <cell r="CK290">
            <v>30.148</v>
          </cell>
          <cell r="CL290">
            <v>39.191000000000003</v>
          </cell>
          <cell r="CM290">
            <v>55.130999999999993</v>
          </cell>
          <cell r="CN290">
            <v>36.259</v>
          </cell>
          <cell r="CO290">
            <v>3.698</v>
          </cell>
          <cell r="CP290">
            <v>3.117</v>
          </cell>
          <cell r="CQ290">
            <v>2.8660000000000001</v>
          </cell>
          <cell r="CR290">
            <v>3.7410000000000001</v>
          </cell>
          <cell r="CS290">
            <v>2.782</v>
          </cell>
          <cell r="CT290">
            <v>2.8090000000000002</v>
          </cell>
          <cell r="CU290">
            <v>6.4349999999999996</v>
          </cell>
          <cell r="CV290">
            <v>10.220000000000001</v>
          </cell>
          <cell r="CW290">
            <v>9.4480000000000004</v>
          </cell>
          <cell r="CX290">
            <v>23.666</v>
          </cell>
          <cell r="CY290">
            <v>73.814999999999998</v>
          </cell>
          <cell r="CZ290">
            <v>78.468000000000004</v>
          </cell>
          <cell r="DA290">
            <v>23.143000000000001</v>
          </cell>
          <cell r="DB290">
            <v>11.962</v>
          </cell>
          <cell r="DC290">
            <v>6.2080000000000002</v>
          </cell>
          <cell r="DD290">
            <v>3.1509999999999998</v>
          </cell>
          <cell r="DE290">
            <v>5.0019999999999998</v>
          </cell>
          <cell r="DF290">
            <v>3.5710000000000002</v>
          </cell>
          <cell r="DG290">
            <v>5.141</v>
          </cell>
          <cell r="DH290">
            <v>7.6470000000000002</v>
          </cell>
          <cell r="DI290">
            <v>12.255000000000001</v>
          </cell>
          <cell r="DJ290">
            <v>18.178999999999998</v>
          </cell>
          <cell r="DK290">
            <v>33.573999999999998</v>
          </cell>
          <cell r="DL290">
            <v>14.907999999999999</v>
          </cell>
          <cell r="DM290">
            <v>23.776</v>
          </cell>
          <cell r="DN290">
            <v>34.305</v>
          </cell>
          <cell r="DO290">
            <v>20.106999999999999</v>
          </cell>
          <cell r="DP290">
            <v>27.387</v>
          </cell>
          <cell r="DQ290">
            <v>14.86</v>
          </cell>
          <cell r="DR290">
            <v>18.780999999999999</v>
          </cell>
          <cell r="DS290">
            <v>31.062000000000001</v>
          </cell>
          <cell r="DT290">
            <v>26.635000000000002</v>
          </cell>
          <cell r="DU290">
            <v>22.917999999999999</v>
          </cell>
          <cell r="DV290">
            <v>31.213999999999999</v>
          </cell>
          <cell r="DW290">
            <v>26.094999999999999</v>
          </cell>
          <cell r="DX290">
            <v>17.818000000000001</v>
          </cell>
          <cell r="DY290">
            <v>12.792999999999999</v>
          </cell>
          <cell r="DZ290">
            <v>27.957999999999998</v>
          </cell>
          <cell r="EA290">
            <v>14.54</v>
          </cell>
          <cell r="EB290">
            <v>38.996000000000002</v>
          </cell>
          <cell r="EC290">
            <v>44.061999999999998</v>
          </cell>
          <cell r="ED290">
            <v>72.623999999999995</v>
          </cell>
          <cell r="EE290">
            <v>93.438999999999993</v>
          </cell>
          <cell r="EF290">
            <v>84.813999999999993</v>
          </cell>
          <cell r="EG290">
            <v>117.002</v>
          </cell>
          <cell r="EH290">
            <v>85.358999999999995</v>
          </cell>
          <cell r="EI290">
            <v>61.067999999999998</v>
          </cell>
          <cell r="EJ290">
            <v>42.773000000000003</v>
          </cell>
          <cell r="EK290">
            <v>27.591999999999999</v>
          </cell>
          <cell r="EL290">
            <v>70.899000000000001</v>
          </cell>
          <cell r="EM290">
            <v>43.277000000000001</v>
          </cell>
          <cell r="EN290">
            <v>66.644999999999996</v>
          </cell>
          <cell r="EO290">
            <v>65.326999999999998</v>
          </cell>
          <cell r="EP290">
            <v>85.281999999999996</v>
          </cell>
          <cell r="EQ290">
            <v>66.674000000000007</v>
          </cell>
          <cell r="ER290">
            <v>94.953999999999994</v>
          </cell>
          <cell r="ES290">
            <v>63.098999999999997</v>
          </cell>
          <cell r="ET290">
            <v>72.412000000000006</v>
          </cell>
          <cell r="EU290">
            <v>53.445999999999998</v>
          </cell>
          <cell r="EV290">
            <v>32.286000000000001</v>
          </cell>
          <cell r="EW290">
            <v>28.161999999999999</v>
          </cell>
          <cell r="EX290">
            <v>20.939</v>
          </cell>
          <cell r="EY290">
            <v>15.446</v>
          </cell>
          <cell r="EZ290">
            <v>13.439</v>
          </cell>
          <cell r="FA290">
            <v>14.048</v>
          </cell>
          <cell r="FB290">
            <v>32.780999999999999</v>
          </cell>
          <cell r="FC290">
            <v>49.87</v>
          </cell>
          <cell r="FD290">
            <v>62.000999999999998</v>
          </cell>
          <cell r="FE290">
            <v>48.914000000000001</v>
          </cell>
          <cell r="FF290">
            <v>63.454999999999998</v>
          </cell>
          <cell r="FG290">
            <v>67.748999999999995</v>
          </cell>
          <cell r="FH290">
            <v>77.543999999999997</v>
          </cell>
          <cell r="FI290">
            <v>38.933</v>
          </cell>
          <cell r="FJ290">
            <v>65.915999999999997</v>
          </cell>
          <cell r="FK290">
            <v>69.649000000000001</v>
          </cell>
          <cell r="FL290">
            <v>55.36</v>
          </cell>
          <cell r="FM290">
            <v>59.936999999999998</v>
          </cell>
          <cell r="FN290">
            <v>82.658000000000001</v>
          </cell>
          <cell r="FO290">
            <v>102.51300000000001</v>
          </cell>
          <cell r="FP290">
            <v>113.732</v>
          </cell>
          <cell r="FQ290">
            <v>82.632000000000005</v>
          </cell>
          <cell r="FR290">
            <v>81.52</v>
          </cell>
          <cell r="FS290">
            <v>77.070999999999998</v>
          </cell>
          <cell r="FT290">
            <v>52.454000000000001</v>
          </cell>
          <cell r="FU290">
            <v>49.582000000000001</v>
          </cell>
          <cell r="FV290">
            <v>100.14100000000001</v>
          </cell>
          <cell r="FW290">
            <v>104.813</v>
          </cell>
          <cell r="FX290">
            <v>85.78</v>
          </cell>
          <cell r="FY290">
            <v>102.29600000000001</v>
          </cell>
          <cell r="FZ290">
            <v>151.18</v>
          </cell>
          <cell r="GA290">
            <v>104.658</v>
          </cell>
          <cell r="GB290">
            <v>117.562</v>
          </cell>
          <cell r="GC290">
            <v>139.45400000000001</v>
          </cell>
          <cell r="GD290">
            <v>113.187</v>
          </cell>
          <cell r="GE290">
            <v>116.096</v>
          </cell>
          <cell r="GF290">
            <v>76.7</v>
          </cell>
          <cell r="GG290">
            <v>81.775000000000006</v>
          </cell>
          <cell r="GH290">
            <v>100.861</v>
          </cell>
          <cell r="GI290">
            <v>134.05000000000001</v>
          </cell>
          <cell r="GJ290">
            <v>86.483999999999995</v>
          </cell>
          <cell r="GK290">
            <v>88.462999999999994</v>
          </cell>
          <cell r="GL290">
            <v>103.827</v>
          </cell>
          <cell r="GM290">
            <v>114.806</v>
          </cell>
          <cell r="GN290">
            <v>85.486999999999995</v>
          </cell>
          <cell r="GO290">
            <v>110.723</v>
          </cell>
          <cell r="GP290">
            <v>136.5</v>
          </cell>
          <cell r="GQ290">
            <v>85.384</v>
          </cell>
          <cell r="GR290">
            <v>91.43</v>
          </cell>
          <cell r="GS290">
            <v>118.809</v>
          </cell>
          <cell r="GT290">
            <v>123.32899999999999</v>
          </cell>
          <cell r="GU290">
            <v>89.715000000000003</v>
          </cell>
          <cell r="GV290">
            <v>112.4</v>
          </cell>
          <cell r="GW290">
            <v>75.736000000000004</v>
          </cell>
          <cell r="GX290">
            <v>91.596000000000004</v>
          </cell>
          <cell r="GY290">
            <v>92.638999999999996</v>
          </cell>
          <cell r="GZ290">
            <v>112.91800000000001</v>
          </cell>
          <cell r="HA290">
            <v>69.200999999999993</v>
          </cell>
          <cell r="HB290">
            <v>117.015</v>
          </cell>
          <cell r="HC290">
            <v>110.995</v>
          </cell>
          <cell r="HD290">
            <v>94.635000000000005</v>
          </cell>
          <cell r="HE290">
            <v>75.23</v>
          </cell>
          <cell r="HF290">
            <v>93.825999999999993</v>
          </cell>
          <cell r="HG290">
            <v>78.769000000000005</v>
          </cell>
          <cell r="HH290">
            <v>64.234999999999999</v>
          </cell>
          <cell r="HI290">
            <v>91.334999999999994</v>
          </cell>
          <cell r="HJ290">
            <v>82.941000000000003</v>
          </cell>
          <cell r="HK290">
            <v>93.289000000000001</v>
          </cell>
          <cell r="HL290">
            <v>87.355999999999995</v>
          </cell>
          <cell r="HM290">
            <v>107.113</v>
          </cell>
          <cell r="HN290">
            <v>114.25700000000001</v>
          </cell>
          <cell r="HO290">
            <v>85.884</v>
          </cell>
          <cell r="HP290">
            <v>85.757999999999996</v>
          </cell>
          <cell r="HQ290">
            <v>70.352000000000004</v>
          </cell>
          <cell r="HR290">
            <v>63.284999999999997</v>
          </cell>
          <cell r="HS290">
            <v>47.685000000000002</v>
          </cell>
          <cell r="HT290">
            <v>64.781999999999996</v>
          </cell>
          <cell r="HU290">
            <v>61.914999999999999</v>
          </cell>
          <cell r="HV290">
            <v>76.704999999999998</v>
          </cell>
          <cell r="HW290">
            <v>100.736</v>
          </cell>
          <cell r="HX290">
            <v>112.83199999999999</v>
          </cell>
          <cell r="HY290">
            <v>114.63500000000001</v>
          </cell>
          <cell r="HZ290">
            <v>113.764</v>
          </cell>
          <cell r="IA290">
            <v>79.623000000000005</v>
          </cell>
          <cell r="IB290">
            <v>62.33</v>
          </cell>
          <cell r="IC290">
            <v>43.89</v>
          </cell>
          <cell r="ID290">
            <v>75.418000000000006</v>
          </cell>
          <cell r="IE290">
            <v>65.600999999999999</v>
          </cell>
          <cell r="IF290">
            <v>62.423999999999999</v>
          </cell>
          <cell r="IG290">
            <v>54.625</v>
          </cell>
          <cell r="IH290">
            <v>83.206000000000003</v>
          </cell>
          <cell r="II290">
            <v>62.712000000000003</v>
          </cell>
          <cell r="IJ290">
            <v>77.055999999999997</v>
          </cell>
          <cell r="IK290">
            <v>103.441</v>
          </cell>
          <cell r="IL290">
            <v>82.813999999999993</v>
          </cell>
          <cell r="IM290">
            <v>68.831999999999994</v>
          </cell>
          <cell r="IN290">
            <v>36.591000000000001</v>
          </cell>
          <cell r="IO290">
            <v>32.401000000000003</v>
          </cell>
          <cell r="IP290">
            <v>59.173000000000002</v>
          </cell>
          <cell r="IQ290">
            <v>63.170999999999999</v>
          </cell>
          <cell r="IR290">
            <v>70.472999999999999</v>
          </cell>
          <cell r="IS290">
            <v>42.720999999999997</v>
          </cell>
          <cell r="IT290">
            <v>93.921999999999997</v>
          </cell>
          <cell r="IU290">
            <v>84.457999999999998</v>
          </cell>
          <cell r="IV290">
            <v>126.254</v>
          </cell>
          <cell r="IW290">
            <v>114.10599999999999</v>
          </cell>
          <cell r="IX290">
            <v>127.123</v>
          </cell>
          <cell r="IY290">
            <v>102.41</v>
          </cell>
          <cell r="IZ290">
            <v>75.528000000000006</v>
          </cell>
          <cell r="JA290">
            <v>67.483000000000004</v>
          </cell>
          <cell r="JB290">
            <v>95.558000000000007</v>
          </cell>
          <cell r="JC290">
            <v>59.383000000000003</v>
          </cell>
          <cell r="JD290">
            <v>102.705</v>
          </cell>
          <cell r="JE290">
            <v>104.42700000000001</v>
          </cell>
          <cell r="JF290">
            <v>82.36</v>
          </cell>
          <cell r="JG290">
            <v>84.623000000000005</v>
          </cell>
          <cell r="JH290">
            <v>99.774000000000001</v>
          </cell>
          <cell r="JI290">
            <v>48.64</v>
          </cell>
          <cell r="JJ290">
            <v>75.429000000000002</v>
          </cell>
          <cell r="JK290">
            <v>73.561000000000007</v>
          </cell>
          <cell r="JL290">
            <v>48.49</v>
          </cell>
          <cell r="JM290">
            <v>48.927999999999997</v>
          </cell>
          <cell r="JN290">
            <v>69.323999999999998</v>
          </cell>
          <cell r="JO290">
            <v>65.872</v>
          </cell>
          <cell r="JP290">
            <v>48.04</v>
          </cell>
          <cell r="JQ290">
            <v>56.185000000000002</v>
          </cell>
          <cell r="JR290">
            <v>74.346999999999994</v>
          </cell>
          <cell r="JS290">
            <v>59.972999999999999</v>
          </cell>
          <cell r="JT290">
            <v>104.379</v>
          </cell>
          <cell r="JU290">
            <v>133.92099999999999</v>
          </cell>
          <cell r="JV290">
            <v>181.15600000000001</v>
          </cell>
          <cell r="JW290">
            <v>95.522999999999996</v>
          </cell>
          <cell r="JX290">
            <v>101.729</v>
          </cell>
          <cell r="JY290">
            <v>62.988</v>
          </cell>
          <cell r="JZ290">
            <v>66.918000000000006</v>
          </cell>
          <cell r="KA290">
            <v>66.59</v>
          </cell>
          <cell r="KB290">
            <v>57.895000000000003</v>
          </cell>
          <cell r="KC290">
            <v>65.204999999999998</v>
          </cell>
          <cell r="KD290">
            <v>81.090999999999994</v>
          </cell>
          <cell r="KE290">
            <v>69.185000000000002</v>
          </cell>
          <cell r="KF290">
            <v>43.972000000000001</v>
          </cell>
          <cell r="KG290">
            <v>87.463999999999999</v>
          </cell>
          <cell r="KH290">
            <v>105.967</v>
          </cell>
          <cell r="KI290">
            <v>65.518000000000001</v>
          </cell>
          <cell r="KJ290">
            <v>52.197000000000003</v>
          </cell>
          <cell r="KK290">
            <v>47.456000000000003</v>
          </cell>
          <cell r="KL290">
            <v>110.664</v>
          </cell>
          <cell r="KM290">
            <v>112.08499999999999</v>
          </cell>
          <cell r="KN290">
            <v>99.253</v>
          </cell>
          <cell r="KO290">
            <v>104.88200000000001</v>
          </cell>
          <cell r="KP290">
            <v>151.697</v>
          </cell>
          <cell r="KQ290">
            <v>123.824</v>
          </cell>
          <cell r="KR290">
            <v>161.74700000000001</v>
          </cell>
          <cell r="KS290">
            <v>158.19</v>
          </cell>
          <cell r="KT290">
            <v>116.34099999999999</v>
          </cell>
          <cell r="KU290">
            <v>112.006</v>
          </cell>
          <cell r="KV290">
            <v>57.389000000000003</v>
          </cell>
          <cell r="KW290">
            <v>64.234999999999999</v>
          </cell>
          <cell r="KX290">
            <v>136.298</v>
          </cell>
          <cell r="KY290">
            <v>143.78399999999999</v>
          </cell>
          <cell r="KZ290">
            <v>137.25200000000001</v>
          </cell>
          <cell r="LA290">
            <v>167.65700000000001</v>
          </cell>
          <cell r="LB290">
            <v>134.10599999999999</v>
          </cell>
          <cell r="LC290">
            <v>120.52200000000001</v>
          </cell>
          <cell r="LD290">
            <v>200.012</v>
          </cell>
          <cell r="LE290">
            <v>285.43099999999998</v>
          </cell>
          <cell r="LF290">
            <v>204.88300000000001</v>
          </cell>
          <cell r="LG290">
            <v>118.959</v>
          </cell>
          <cell r="LH290">
            <v>106.874</v>
          </cell>
          <cell r="LI290">
            <v>168.24100000000001</v>
          </cell>
          <cell r="LJ290">
            <v>150.77799999999999</v>
          </cell>
          <cell r="LK290">
            <v>180.98500000000001</v>
          </cell>
          <cell r="LL290">
            <v>154.50299999999999</v>
          </cell>
          <cell r="LM290">
            <v>103.084</v>
          </cell>
          <cell r="LN290">
            <v>179.87</v>
          </cell>
          <cell r="LO290">
            <v>129.31200000000001</v>
          </cell>
          <cell r="LP290">
            <v>109.943</v>
          </cell>
          <cell r="LQ290">
            <v>143.84299999999999</v>
          </cell>
          <cell r="LR290">
            <v>131.59800000000001</v>
          </cell>
          <cell r="LS290">
            <v>88.384</v>
          </cell>
          <cell r="LT290">
            <v>82.14</v>
          </cell>
          <cell r="LU290">
            <v>120.858</v>
          </cell>
          <cell r="LV290">
            <v>154.79900000000001</v>
          </cell>
          <cell r="LW290">
            <v>138.94900000000001</v>
          </cell>
          <cell r="LX290">
            <v>251.607</v>
          </cell>
          <cell r="LY290">
            <v>138.08500000000001</v>
          </cell>
          <cell r="LZ290">
            <v>210.09</v>
          </cell>
          <cell r="MA290">
            <v>203.8</v>
          </cell>
          <cell r="MB290">
            <v>193.4</v>
          </cell>
          <cell r="MC290">
            <v>189.25800000000001</v>
          </cell>
          <cell r="MD290">
            <v>224936.179</v>
          </cell>
          <cell r="ME290">
            <v>94725.036000000007</v>
          </cell>
          <cell r="MF290">
            <v>89963.690999999992</v>
          </cell>
          <cell r="MG290">
            <v>161147.38699999996</v>
          </cell>
          <cell r="MH290">
            <v>173508.78700000001</v>
          </cell>
          <cell r="MI290">
            <v>267426.10499999998</v>
          </cell>
          <cell r="MJ290">
            <v>175735.12400000001</v>
          </cell>
          <cell r="MK290">
            <v>287449.74000000011</v>
          </cell>
          <cell r="ML290">
            <v>227909.549</v>
          </cell>
          <cell r="MM290">
            <v>299591.87</v>
          </cell>
          <cell r="MN290">
            <v>183930.02899999995</v>
          </cell>
          <cell r="MO290">
            <v>114323.899</v>
          </cell>
          <cell r="MP290">
            <v>234373.98499999999</v>
          </cell>
          <cell r="MQ290">
            <v>149256.20599999998</v>
          </cell>
          <cell r="MR290">
            <v>74299.35000000002</v>
          </cell>
          <cell r="MS290">
            <v>143444.58799999993</v>
          </cell>
          <cell r="MT290">
            <v>134609.32799999995</v>
          </cell>
          <cell r="MU290">
            <v>182466.80499999999</v>
          </cell>
          <cell r="MV290">
            <v>174289.30399999997</v>
          </cell>
          <cell r="MW290">
            <v>122430.69400000002</v>
          </cell>
          <cell r="MX290">
            <v>120438.07800000001</v>
          </cell>
          <cell r="MY290">
            <v>133862.74199999994</v>
          </cell>
          <cell r="MZ290">
            <v>81994.247000000018</v>
          </cell>
          <cell r="NA290">
            <v>136158.22399999993</v>
          </cell>
          <cell r="NB290">
            <v>135806.50099999999</v>
          </cell>
          <cell r="NC290">
            <v>126421.234</v>
          </cell>
          <cell r="ND290">
            <v>99741.051999999996</v>
          </cell>
          <cell r="NE290">
            <v>192188.011</v>
          </cell>
          <cell r="NF290">
            <v>178525.56999999989</v>
          </cell>
          <cell r="NG290">
            <v>199009.11400000003</v>
          </cell>
          <cell r="NH290">
            <v>252392.03599999991</v>
          </cell>
          <cell r="NI290">
            <v>190076.34099999999</v>
          </cell>
          <cell r="NJ290">
            <v>156340.16699999999</v>
          </cell>
          <cell r="NK290">
            <v>133603.07999999999</v>
          </cell>
          <cell r="NL290">
            <v>136616.63700000002</v>
          </cell>
          <cell r="NM290">
            <v>172399.04799999989</v>
          </cell>
          <cell r="NN290">
            <v>165830.67599999995</v>
          </cell>
          <cell r="NO290">
            <v>184567.90600000002</v>
          </cell>
          <cell r="NP290">
            <v>142379.37499999991</v>
          </cell>
          <cell r="NQ290">
            <v>203955.89899999998</v>
          </cell>
          <cell r="NR290">
            <v>207164.09000000008</v>
          </cell>
          <cell r="NS290">
            <v>192172.65099999995</v>
          </cell>
          <cell r="NT290">
            <v>147181.59899999999</v>
          </cell>
          <cell r="NU290">
            <v>114120.10200000001</v>
          </cell>
          <cell r="NV290">
            <v>148827.94</v>
          </cell>
          <cell r="NW290">
            <v>131254.58300000001</v>
          </cell>
          <cell r="NX290">
            <v>146008.65300000002</v>
          </cell>
          <cell r="NY290">
            <v>196949.02699999997</v>
          </cell>
          <cell r="NZ290">
            <v>176885.90300000005</v>
          </cell>
          <cell r="OA290">
            <v>253138.69699999999</v>
          </cell>
          <cell r="OB290">
            <v>179844.791</v>
          </cell>
          <cell r="OC290">
            <v>173393.32199999996</v>
          </cell>
          <cell r="OD290">
            <v>194342.68199999994</v>
          </cell>
          <cell r="OE290">
            <v>195028.37299999999</v>
          </cell>
          <cell r="OF290">
            <v>263147.73999999987</v>
          </cell>
          <cell r="OG290">
            <v>274434.79499999993</v>
          </cell>
          <cell r="OH290">
            <v>331422.42299999984</v>
          </cell>
          <cell r="OI290">
            <v>325883.97499999992</v>
          </cell>
          <cell r="OJ290">
            <v>300231.68799999997</v>
          </cell>
          <cell r="OK290">
            <v>294704.32500000001</v>
          </cell>
          <cell r="OL290">
            <v>233314.91599999991</v>
          </cell>
          <cell r="OM290">
            <v>194852.25000000003</v>
          </cell>
          <cell r="ON290">
            <v>185866.111</v>
          </cell>
          <cell r="OO290">
            <v>194180.18699999989</v>
          </cell>
          <cell r="OP290">
            <v>220088.63199999993</v>
          </cell>
          <cell r="OQ290">
            <v>208269.34799999994</v>
          </cell>
          <cell r="OR290">
            <v>232537.46799999991</v>
          </cell>
        </row>
      </sheetData>
      <sheetData sheetId="12">
        <row r="37">
          <cell r="B37">
            <v>0</v>
          </cell>
          <cell r="C37">
            <v>0</v>
          </cell>
          <cell r="D37">
            <v>0</v>
          </cell>
          <cell r="E37">
            <v>28.120999999999999</v>
          </cell>
          <cell r="F37">
            <v>36.421999999999997</v>
          </cell>
          <cell r="G37">
            <v>60.03</v>
          </cell>
          <cell r="H37">
            <v>80.913999999999987</v>
          </cell>
          <cell r="I37">
            <v>78.929000000000002</v>
          </cell>
          <cell r="J37">
            <v>54.257999999999996</v>
          </cell>
          <cell r="K37">
            <v>93.13</v>
          </cell>
          <cell r="L37">
            <v>89.910000000000011</v>
          </cell>
          <cell r="M37">
            <v>60.037999999999997</v>
          </cell>
          <cell r="N37">
            <v>59.685999999999993</v>
          </cell>
          <cell r="O37">
            <v>88.640000000000015</v>
          </cell>
          <cell r="P37">
            <v>77.802000000000007</v>
          </cell>
          <cell r="Q37">
            <v>75.13900000000001</v>
          </cell>
          <cell r="R37">
            <v>83.400999999999996</v>
          </cell>
          <cell r="S37">
            <v>103.82700000000003</v>
          </cell>
          <cell r="T37">
            <v>102.215</v>
          </cell>
          <cell r="U37">
            <v>106.241</v>
          </cell>
          <cell r="V37">
            <v>118.41900000000001</v>
          </cell>
          <cell r="W37">
            <v>121.345</v>
          </cell>
          <cell r="X37">
            <v>108.851</v>
          </cell>
          <cell r="Y37">
            <v>91.260000000000019</v>
          </cell>
          <cell r="Z37">
            <v>116.19100000000002</v>
          </cell>
          <cell r="AA37">
            <v>92.907000000000011</v>
          </cell>
          <cell r="AB37">
            <v>113.32399999999998</v>
          </cell>
          <cell r="AC37">
            <v>97.094000000000008</v>
          </cell>
          <cell r="AD37">
            <v>71.526229000000001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48.885000000000005</v>
          </cell>
          <cell r="F59">
            <v>61.776999999999994</v>
          </cell>
          <cell r="G59">
            <v>48.945</v>
          </cell>
          <cell r="H59">
            <v>11.293999999999997</v>
          </cell>
          <cell r="I59">
            <v>6.4769999999999994</v>
          </cell>
          <cell r="J59">
            <v>7.6470000000000002</v>
          </cell>
          <cell r="K59">
            <v>17.484000000000002</v>
          </cell>
          <cell r="L59">
            <v>35.004999999999995</v>
          </cell>
          <cell r="M59">
            <v>15.735999999999999</v>
          </cell>
          <cell r="N59">
            <v>9.4069999999999983</v>
          </cell>
          <cell r="O59">
            <v>3.032</v>
          </cell>
          <cell r="P59">
            <v>2.2029999999999998</v>
          </cell>
          <cell r="Q59">
            <v>2.0599999999999992</v>
          </cell>
          <cell r="R59">
            <v>0.70900000000000007</v>
          </cell>
          <cell r="S59">
            <v>0.49900000000000005</v>
          </cell>
          <cell r="T59">
            <v>0.8590000000000001</v>
          </cell>
          <cell r="U59">
            <v>0.63300000000000001</v>
          </cell>
          <cell r="V59">
            <v>0.504</v>
          </cell>
          <cell r="W59">
            <v>1</v>
          </cell>
          <cell r="X59">
            <v>0.53900000000000003</v>
          </cell>
          <cell r="Y59">
            <v>0.57799999999999996</v>
          </cell>
          <cell r="Z59">
            <v>0.88600000000000012</v>
          </cell>
          <cell r="AA59">
            <v>0.82899999999999996</v>
          </cell>
          <cell r="AB59">
            <v>0.6180000000000001</v>
          </cell>
          <cell r="AC59">
            <v>1.7640000000000002</v>
          </cell>
          <cell r="AD59">
            <v>0.9820000000000001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69.953000000000003</v>
          </cell>
          <cell r="F74">
            <v>44.057999999999993</v>
          </cell>
          <cell r="G74">
            <v>57.282999999999987</v>
          </cell>
          <cell r="H74">
            <v>56.774000000000001</v>
          </cell>
          <cell r="I74">
            <v>41.647000000000006</v>
          </cell>
          <cell r="J74">
            <v>20.553999999999998</v>
          </cell>
          <cell r="K74">
            <v>25.095000000000002</v>
          </cell>
          <cell r="L74">
            <v>45.957999999999998</v>
          </cell>
          <cell r="M74">
            <v>84.23</v>
          </cell>
          <cell r="N74">
            <v>44.328000000000003</v>
          </cell>
          <cell r="O74">
            <v>36.871000000000002</v>
          </cell>
          <cell r="P74">
            <v>20.262999999999998</v>
          </cell>
          <cell r="Q74">
            <v>29.45999999999999</v>
          </cell>
          <cell r="R74">
            <v>29.046999999999993</v>
          </cell>
          <cell r="S74">
            <v>32.984000000000009</v>
          </cell>
          <cell r="T74">
            <v>48.847999999999992</v>
          </cell>
          <cell r="U74">
            <v>47.446000000000005</v>
          </cell>
          <cell r="V74">
            <v>68.48</v>
          </cell>
          <cell r="W74">
            <v>117.00499999999998</v>
          </cell>
          <cell r="X74">
            <v>80.88000000000001</v>
          </cell>
          <cell r="Y74">
            <v>119.06799999999998</v>
          </cell>
          <cell r="Z74">
            <v>139.72299999999998</v>
          </cell>
          <cell r="AA74">
            <v>130.19100000000003</v>
          </cell>
          <cell r="AB74">
            <v>154.87699999999998</v>
          </cell>
          <cell r="AC74">
            <v>158.78899999999996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2.3579999999999997</v>
          </cell>
          <cell r="F88">
            <v>1.9E-2</v>
          </cell>
          <cell r="G88">
            <v>0</v>
          </cell>
          <cell r="H88">
            <v>4.0000000000000001E-3</v>
          </cell>
          <cell r="I88">
            <v>0</v>
          </cell>
          <cell r="J88">
            <v>1E-3</v>
          </cell>
          <cell r="K88">
            <v>1.2E-2</v>
          </cell>
          <cell r="L88">
            <v>8.4000000000000019E-2</v>
          </cell>
          <cell r="M88">
            <v>0.17399999999999999</v>
          </cell>
          <cell r="N88">
            <v>0.37600000000000006</v>
          </cell>
          <cell r="O88">
            <v>3.4000000000000002E-2</v>
          </cell>
          <cell r="P88">
            <v>5.5000000000000007E-2</v>
          </cell>
          <cell r="Q88">
            <v>0.20700000000000002</v>
          </cell>
          <cell r="R88">
            <v>1.6859999999999999</v>
          </cell>
          <cell r="S88">
            <v>3.3730000000000007</v>
          </cell>
          <cell r="T88">
            <v>1.34</v>
          </cell>
          <cell r="U88">
            <v>1.462</v>
          </cell>
          <cell r="V88">
            <v>3.5949999999999998</v>
          </cell>
          <cell r="W88">
            <v>4.9740000000000002</v>
          </cell>
          <cell r="X88">
            <v>6.573999999999999</v>
          </cell>
          <cell r="Y88">
            <v>5.4380000000000006</v>
          </cell>
          <cell r="Z88">
            <v>4.3330000000000002</v>
          </cell>
          <cell r="AA88">
            <v>7.2249999999999996</v>
          </cell>
          <cell r="AB88">
            <v>9.5620000000000012</v>
          </cell>
          <cell r="AC88">
            <v>10.839</v>
          </cell>
          <cell r="AD88">
            <v>1.9544299999999999</v>
          </cell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>
            <v>1.5049999999999999</v>
          </cell>
          <cell r="BT88">
            <v>0.85299999999999998</v>
          </cell>
          <cell r="BU88"/>
          <cell r="BV88"/>
          <cell r="BW88"/>
          <cell r="BX88"/>
          <cell r="BY88"/>
          <cell r="BZ88"/>
          <cell r="CA88"/>
          <cell r="CB88"/>
          <cell r="CC88">
            <v>1.9E-2</v>
          </cell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>
            <v>4.0000000000000001E-3</v>
          </cell>
          <cell r="DE88"/>
          <cell r="DF88"/>
          <cell r="DG88"/>
          <cell r="DH88"/>
          <cell r="DI88"/>
          <cell r="DJ88"/>
          <cell r="DK88"/>
          <cell r="DL88"/>
          <cell r="DM88"/>
          <cell r="DN88"/>
          <cell r="DO88"/>
          <cell r="DP88"/>
          <cell r="DQ88"/>
          <cell r="DR88"/>
          <cell r="DS88"/>
          <cell r="DT88"/>
          <cell r="DU88"/>
          <cell r="DV88"/>
          <cell r="DW88"/>
          <cell r="DX88"/>
          <cell r="DY88">
            <v>1E-3</v>
          </cell>
          <cell r="DZ88"/>
          <cell r="EA88"/>
          <cell r="EB88"/>
          <cell r="EC88"/>
          <cell r="ED88"/>
          <cell r="EE88"/>
          <cell r="EF88"/>
          <cell r="EG88"/>
          <cell r="EH88"/>
          <cell r="EI88"/>
          <cell r="EJ88"/>
          <cell r="EK88">
            <v>2E-3</v>
          </cell>
          <cell r="EL88"/>
          <cell r="EM88"/>
          <cell r="EN88">
            <v>1E-3</v>
          </cell>
          <cell r="EO88"/>
          <cell r="EP88">
            <v>1E-3</v>
          </cell>
          <cell r="EQ88">
            <v>1E-3</v>
          </cell>
          <cell r="ER88"/>
          <cell r="ES88"/>
          <cell r="ET88">
            <v>3.0000000000000001E-3</v>
          </cell>
          <cell r="EU88">
            <v>4.0000000000000001E-3</v>
          </cell>
          <cell r="EV88">
            <v>6.3E-2</v>
          </cell>
          <cell r="EW88"/>
          <cell r="EX88"/>
          <cell r="EY88">
            <v>0</v>
          </cell>
          <cell r="EZ88">
            <v>0</v>
          </cell>
          <cell r="FA88">
            <v>5.0000000000000001E-3</v>
          </cell>
          <cell r="FB88">
            <v>0</v>
          </cell>
          <cell r="FC88">
            <v>6.0000000000000001E-3</v>
          </cell>
          <cell r="FD88">
            <v>2E-3</v>
          </cell>
          <cell r="FE88">
            <v>8.0000000000000002E-3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1.2999999999999999E-2</v>
          </cell>
          <cell r="FO88">
            <v>7.8E-2</v>
          </cell>
          <cell r="FP88">
            <v>0</v>
          </cell>
          <cell r="FQ88">
            <v>0.01</v>
          </cell>
          <cell r="FR88">
            <v>7.2999999999999995E-2</v>
          </cell>
          <cell r="FS88">
            <v>0</v>
          </cell>
          <cell r="FT88">
            <v>7.4999999999999997E-2</v>
          </cell>
          <cell r="FU88">
            <v>1E-3</v>
          </cell>
          <cell r="FV88">
            <v>1E-3</v>
          </cell>
          <cell r="FW88">
            <v>6.4000000000000001E-2</v>
          </cell>
          <cell r="FX88">
            <v>0</v>
          </cell>
          <cell r="FY88">
            <v>6.0000000000000001E-3</v>
          </cell>
          <cell r="FZ88">
            <v>6.3E-2</v>
          </cell>
          <cell r="GA88">
            <v>0.06</v>
          </cell>
          <cell r="GB88">
            <v>8.3000000000000004E-2</v>
          </cell>
          <cell r="GC88">
            <v>3.0000000000000001E-3</v>
          </cell>
          <cell r="GD88">
            <v>1.7999999999999999E-2</v>
          </cell>
          <cell r="GE88">
            <v>2E-3</v>
          </cell>
          <cell r="GF88">
            <v>0</v>
          </cell>
          <cell r="GG88">
            <v>0</v>
          </cell>
          <cell r="GH88">
            <v>4.0000000000000001E-3</v>
          </cell>
          <cell r="GI88">
            <v>1E-3</v>
          </cell>
          <cell r="GJ88">
            <v>2E-3</v>
          </cell>
          <cell r="GK88">
            <v>3.0000000000000001E-3</v>
          </cell>
          <cell r="GL88">
            <v>2E-3</v>
          </cell>
          <cell r="GM88">
            <v>0</v>
          </cell>
          <cell r="GN88">
            <v>8.0000000000000002E-3</v>
          </cell>
          <cell r="GO88">
            <v>0</v>
          </cell>
          <cell r="GP88">
            <v>1.2E-2</v>
          </cell>
          <cell r="GQ88">
            <v>2E-3</v>
          </cell>
          <cell r="GR88">
            <v>5.0000000000000001E-3</v>
          </cell>
          <cell r="GS88">
            <v>2E-3</v>
          </cell>
          <cell r="GT88">
            <v>1E-3</v>
          </cell>
          <cell r="GU88">
            <v>1E-3</v>
          </cell>
          <cell r="GV88">
            <v>0</v>
          </cell>
          <cell r="GW88">
            <v>2E-3</v>
          </cell>
          <cell r="GX88">
            <v>3.0000000000000001E-3</v>
          </cell>
          <cell r="GY88">
            <v>2E-3</v>
          </cell>
          <cell r="GZ88">
            <v>8.0000000000000002E-3</v>
          </cell>
          <cell r="HA88">
            <v>1E-3</v>
          </cell>
          <cell r="HB88">
            <v>2.5999999999999999E-2</v>
          </cell>
          <cell r="HC88">
            <v>4.0000000000000001E-3</v>
          </cell>
          <cell r="HD88">
            <v>3.7999999999999999E-2</v>
          </cell>
          <cell r="HE88">
            <v>4.0000000000000001E-3</v>
          </cell>
          <cell r="HF88">
            <v>2E-3</v>
          </cell>
          <cell r="HG88">
            <v>2E-3</v>
          </cell>
          <cell r="HH88">
            <v>4.2999999999999997E-2</v>
          </cell>
          <cell r="HI88">
            <v>7.0000000000000001E-3</v>
          </cell>
          <cell r="HJ88">
            <v>0</v>
          </cell>
          <cell r="HK88">
            <v>4.1000000000000002E-2</v>
          </cell>
          <cell r="HL88">
            <v>2.4E-2</v>
          </cell>
          <cell r="HM88">
            <v>3.5000000000000003E-2</v>
          </cell>
          <cell r="HN88">
            <v>0.01</v>
          </cell>
          <cell r="HO88">
            <v>1E-3</v>
          </cell>
          <cell r="HP88">
            <v>2.1000000000000001E-2</v>
          </cell>
          <cell r="HQ88">
            <v>5.3999999999999999E-2</v>
          </cell>
          <cell r="HR88">
            <v>8.0000000000000002E-3</v>
          </cell>
          <cell r="HS88">
            <v>4.0000000000000001E-3</v>
          </cell>
          <cell r="HT88">
            <v>0.13100000000000001</v>
          </cell>
          <cell r="HU88">
            <v>0.29599999999999999</v>
          </cell>
          <cell r="HV88">
            <v>5.8999999999999997E-2</v>
          </cell>
          <cell r="HW88">
            <v>0.29699999999999999</v>
          </cell>
          <cell r="HX88">
            <v>8.3000000000000004E-2</v>
          </cell>
          <cell r="HY88">
            <v>0.67200000000000004</v>
          </cell>
          <cell r="HZ88">
            <v>0.05</v>
          </cell>
          <cell r="IA88">
            <v>1.0999999999999999E-2</v>
          </cell>
          <cell r="IB88">
            <v>0.104</v>
          </cell>
          <cell r="IC88">
            <v>0.36699999999999999</v>
          </cell>
          <cell r="ID88">
            <v>0.151</v>
          </cell>
          <cell r="IE88">
            <v>0.46500000000000002</v>
          </cell>
          <cell r="IF88">
            <v>8.9999999999999993E-3</v>
          </cell>
          <cell r="IG88">
            <v>0.76800000000000002</v>
          </cell>
          <cell r="IH88">
            <v>0.38100000000000001</v>
          </cell>
          <cell r="II88">
            <v>0.22800000000000001</v>
          </cell>
          <cell r="IJ88">
            <v>9.5000000000000001E-2</v>
          </cell>
          <cell r="IK88">
            <v>9.9000000000000005E-2</v>
          </cell>
          <cell r="IL88">
            <v>0.46500000000000002</v>
          </cell>
          <cell r="IM88">
            <v>0.24099999999999999</v>
          </cell>
          <cell r="IN88">
            <v>0.434</v>
          </cell>
          <cell r="IO88">
            <v>0.40600000000000003</v>
          </cell>
          <cell r="IP88">
            <v>0.114</v>
          </cell>
          <cell r="IQ88">
            <v>4.2000000000000003E-2</v>
          </cell>
          <cell r="IR88">
            <v>3.2000000000000001E-2</v>
          </cell>
          <cell r="IS88">
            <v>2.1999999999999999E-2</v>
          </cell>
          <cell r="IT88">
            <v>4.8000000000000001E-2</v>
          </cell>
          <cell r="IU88">
            <v>0.09</v>
          </cell>
          <cell r="IV88">
            <v>9.5000000000000001E-2</v>
          </cell>
          <cell r="IW88">
            <v>3.3000000000000002E-2</v>
          </cell>
          <cell r="IX88">
            <v>2.1999999999999999E-2</v>
          </cell>
          <cell r="IY88">
            <v>2E-3</v>
          </cell>
          <cell r="IZ88">
            <v>0.16300000000000001</v>
          </cell>
          <cell r="JA88">
            <v>0.08</v>
          </cell>
          <cell r="JB88">
            <v>2.5000000000000001E-2</v>
          </cell>
          <cell r="JC88">
            <v>4.7E-2</v>
          </cell>
          <cell r="JD88">
            <v>5.3999999999999999E-2</v>
          </cell>
          <cell r="JE88">
            <v>4.2999999999999997E-2</v>
          </cell>
          <cell r="JF88">
            <v>7.6999999999999999E-2</v>
          </cell>
          <cell r="JG88">
            <v>1.7000000000000001E-2</v>
          </cell>
          <cell r="JH88">
            <v>7.3999999999999996E-2</v>
          </cell>
          <cell r="JI88">
            <v>0.156</v>
          </cell>
          <cell r="JJ88">
            <v>0.62</v>
          </cell>
          <cell r="JK88">
            <v>0.106</v>
          </cell>
          <cell r="JL88">
            <v>0.104</v>
          </cell>
          <cell r="JM88">
            <v>0.47599999999999998</v>
          </cell>
          <cell r="JN88">
            <v>9.7000000000000003E-2</v>
          </cell>
          <cell r="JO88">
            <v>0.313</v>
          </cell>
          <cell r="JP88">
            <v>0.311</v>
          </cell>
          <cell r="JQ88">
            <v>0.26100000000000001</v>
          </cell>
          <cell r="JR88">
            <v>0.97</v>
          </cell>
          <cell r="JS88">
            <v>0.13</v>
          </cell>
          <cell r="JT88">
            <v>0.17299999999999999</v>
          </cell>
          <cell r="JU88">
            <v>0.439</v>
          </cell>
          <cell r="JV88">
            <v>0.15</v>
          </cell>
          <cell r="JW88">
            <v>0.17100000000000001</v>
          </cell>
          <cell r="JX88">
            <v>0.34</v>
          </cell>
          <cell r="JY88">
            <v>0.308</v>
          </cell>
          <cell r="JZ88">
            <v>0.28699999999999998</v>
          </cell>
          <cell r="KA88">
            <v>0.84399999999999997</v>
          </cell>
          <cell r="KB88">
            <v>0.152</v>
          </cell>
          <cell r="KC88">
            <v>0.45600000000000002</v>
          </cell>
          <cell r="KD88">
            <v>0.69299999999999995</v>
          </cell>
          <cell r="KE88">
            <v>0.38900000000000001</v>
          </cell>
          <cell r="KF88">
            <v>0.34200000000000003</v>
          </cell>
          <cell r="KG88">
            <v>0.39100000000000001</v>
          </cell>
          <cell r="KH88">
            <v>0.48399999999999999</v>
          </cell>
          <cell r="KI88">
            <v>0.28799999999999998</v>
          </cell>
          <cell r="KJ88">
            <v>0.52300000000000002</v>
          </cell>
          <cell r="KK88">
            <v>1.087</v>
          </cell>
          <cell r="KL88">
            <v>0.92800000000000005</v>
          </cell>
          <cell r="KM88">
            <v>0.158</v>
          </cell>
          <cell r="KN88">
            <v>0.34499999999999997</v>
          </cell>
          <cell r="KO88">
            <v>0.49399999999999999</v>
          </cell>
          <cell r="KP88">
            <v>0.26200000000000001</v>
          </cell>
          <cell r="KQ88">
            <v>0.56299999999999994</v>
          </cell>
          <cell r="KR88">
            <v>0.504</v>
          </cell>
          <cell r="KS88">
            <v>0.82799999999999996</v>
          </cell>
          <cell r="KT88">
            <v>0.39600000000000002</v>
          </cell>
          <cell r="KU88">
            <v>0.48599999999999999</v>
          </cell>
          <cell r="KV88">
            <v>0.52900000000000003</v>
          </cell>
          <cell r="KW88">
            <v>0.71799999999999997</v>
          </cell>
          <cell r="KX88">
            <v>0.191</v>
          </cell>
          <cell r="KY88">
            <v>0.69899999999999995</v>
          </cell>
          <cell r="KZ88">
            <v>0.378</v>
          </cell>
          <cell r="LA88">
            <v>0.57799999999999996</v>
          </cell>
          <cell r="LB88">
            <v>0.28499999999999998</v>
          </cell>
          <cell r="LC88">
            <v>0.23400000000000001</v>
          </cell>
          <cell r="LD88">
            <v>0.30599999999999999</v>
          </cell>
          <cell r="LE88">
            <v>0.88600000000000001</v>
          </cell>
          <cell r="LF88">
            <v>0.27100000000000002</v>
          </cell>
          <cell r="LG88">
            <v>0.36299999999999999</v>
          </cell>
          <cell r="LH88">
            <v>0.52700000000000002</v>
          </cell>
          <cell r="LI88">
            <v>0.57099999999999995</v>
          </cell>
          <cell r="LJ88">
            <v>0.317</v>
          </cell>
          <cell r="LK88">
            <v>0.126</v>
          </cell>
          <cell r="LL88">
            <v>0.27</v>
          </cell>
          <cell r="LM88">
            <v>0.35699999999999998</v>
          </cell>
          <cell r="LN88">
            <v>0.24</v>
          </cell>
          <cell r="LO88">
            <v>0.71499999999999997</v>
          </cell>
          <cell r="LP88">
            <v>0.36499999999999999</v>
          </cell>
          <cell r="LQ88">
            <v>0.45600000000000002</v>
          </cell>
          <cell r="LR88">
            <v>0.22800000000000001</v>
          </cell>
          <cell r="LS88">
            <v>0.161</v>
          </cell>
          <cell r="LT88">
            <v>0.51600000000000001</v>
          </cell>
          <cell r="LU88">
            <v>1.2450000000000001</v>
          </cell>
          <cell r="LV88">
            <v>1.9810000000000001</v>
          </cell>
          <cell r="LW88">
            <v>0.14399999999999999</v>
          </cell>
          <cell r="LX88">
            <v>0.39500000000000002</v>
          </cell>
          <cell r="LY88">
            <v>1.0880000000000001</v>
          </cell>
          <cell r="LZ88">
            <v>0.33700000000000002</v>
          </cell>
          <cell r="MA88">
            <v>0.45900000000000002</v>
          </cell>
          <cell r="MB88">
            <v>0.26500000000000001</v>
          </cell>
          <cell r="MC88">
            <v>0.317</v>
          </cell>
          <cell r="MD88">
            <v>0.188</v>
          </cell>
          <cell r="ME88">
            <v>0.28999999999999998</v>
          </cell>
          <cell r="MF88">
            <v>1.407</v>
          </cell>
          <cell r="MG88">
            <v>0.43099999999999999</v>
          </cell>
          <cell r="MH88">
            <v>0.253</v>
          </cell>
          <cell r="MI88">
            <v>0.59899999999999998</v>
          </cell>
          <cell r="MJ88">
            <v>0.71099999999999997</v>
          </cell>
          <cell r="MK88">
            <v>1.5189999999999999</v>
          </cell>
          <cell r="ML88">
            <v>0.42699999999999999</v>
          </cell>
          <cell r="MM88">
            <v>0.67200000000000004</v>
          </cell>
          <cell r="MN88">
            <v>0.85599999999999998</v>
          </cell>
          <cell r="MO88">
            <v>1.5960000000000001</v>
          </cell>
          <cell r="MP88">
            <v>0.72399999999999998</v>
          </cell>
          <cell r="MQ88">
            <v>0.36699999999999999</v>
          </cell>
          <cell r="MR88">
            <v>0.33200000000000002</v>
          </cell>
          <cell r="MS88">
            <v>1.274</v>
          </cell>
          <cell r="MT88">
            <v>1.732</v>
          </cell>
          <cell r="MU88">
            <v>2.1859999999999999</v>
          </cell>
          <cell r="MV88">
            <v>1.155</v>
          </cell>
          <cell r="MW88">
            <v>1.07</v>
          </cell>
          <cell r="MX88">
            <v>1.3160000000000001</v>
          </cell>
          <cell r="MY88">
            <v>0.247</v>
          </cell>
          <cell r="MZ88">
            <v>0.83699999999999997</v>
          </cell>
          <cell r="NA88">
            <v>0.40200000000000002</v>
          </cell>
          <cell r="NB88">
            <v>0.158</v>
          </cell>
          <cell r="NC88">
            <v>0.13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25.686</v>
          </cell>
          <cell r="F102">
            <v>10.205</v>
          </cell>
          <cell r="G102">
            <v>10.972999999999999</v>
          </cell>
          <cell r="H102">
            <v>1.7000000000000001E-2</v>
          </cell>
          <cell r="I102">
            <v>8.7000000000000008E-2</v>
          </cell>
          <cell r="J102">
            <v>6.0000000000000001E-3</v>
          </cell>
          <cell r="K102">
            <v>2.3E-2</v>
          </cell>
          <cell r="L102">
            <v>3.1E-2</v>
          </cell>
          <cell r="M102">
            <v>2.3999999999999997E-2</v>
          </cell>
          <cell r="N102">
            <v>3.5999999999999997E-2</v>
          </cell>
          <cell r="O102">
            <v>0.14799999999999999</v>
          </cell>
          <cell r="P102">
            <v>0.14100000000000001</v>
          </cell>
          <cell r="Q102">
            <v>6.7000000000000004E-2</v>
          </cell>
          <cell r="R102">
            <v>0.156</v>
          </cell>
          <cell r="S102">
            <v>2.2000000000000002E-2</v>
          </cell>
          <cell r="T102">
            <v>0.19900000000000001</v>
          </cell>
          <cell r="U102">
            <v>0.14000000000000001</v>
          </cell>
          <cell r="V102">
            <v>2.8000000000000004E-2</v>
          </cell>
          <cell r="W102">
            <v>3.1869999999999994</v>
          </cell>
          <cell r="X102">
            <v>0.16299999999999998</v>
          </cell>
          <cell r="Y102">
            <v>0.15500000000000003</v>
          </cell>
          <cell r="Z102">
            <v>0.13700000000000001</v>
          </cell>
          <cell r="AA102">
            <v>0.13500000000000004</v>
          </cell>
          <cell r="AB102">
            <v>30.087</v>
          </cell>
          <cell r="AC102">
            <v>17.82</v>
          </cell>
          <cell r="AD102">
            <v>49.219389</v>
          </cell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>
            <v>9.9969999999999999</v>
          </cell>
          <cell r="BT102">
            <v>12.689</v>
          </cell>
          <cell r="BU102"/>
          <cell r="BV102"/>
          <cell r="BW102">
            <v>2</v>
          </cell>
          <cell r="BX102">
            <v>1</v>
          </cell>
          <cell r="BY102"/>
          <cell r="BZ102"/>
          <cell r="CA102"/>
          <cell r="CB102"/>
          <cell r="CC102">
            <v>1.5449999999999999</v>
          </cell>
          <cell r="CD102"/>
          <cell r="CE102"/>
          <cell r="CF102"/>
          <cell r="CG102"/>
          <cell r="CH102">
            <v>0.111</v>
          </cell>
          <cell r="CI102"/>
          <cell r="CJ102"/>
          <cell r="CK102"/>
          <cell r="CL102"/>
          <cell r="CM102">
            <v>8.5489999999999995</v>
          </cell>
          <cell r="CN102">
            <v>3</v>
          </cell>
          <cell r="CO102">
            <v>7.9379999999999997</v>
          </cell>
          <cell r="CP102">
            <v>1.7999999999999999E-2</v>
          </cell>
          <cell r="CQ102"/>
          <cell r="CR102"/>
          <cell r="CS102"/>
          <cell r="CT102"/>
          <cell r="CU102"/>
          <cell r="CV102"/>
          <cell r="CW102"/>
          <cell r="CX102"/>
          <cell r="CY102">
            <v>1.7000000000000001E-2</v>
          </cell>
          <cell r="CZ102"/>
          <cell r="DA102"/>
          <cell r="DB102"/>
          <cell r="DC102"/>
          <cell r="DD102"/>
          <cell r="DE102">
            <v>1.7000000000000001E-2</v>
          </cell>
          <cell r="DF102"/>
          <cell r="DG102"/>
          <cell r="DH102"/>
          <cell r="DI102"/>
          <cell r="DJ102"/>
          <cell r="DK102"/>
          <cell r="DL102"/>
          <cell r="DM102">
            <v>1.9E-2</v>
          </cell>
          <cell r="DN102">
            <v>0.03</v>
          </cell>
          <cell r="DO102">
            <v>3.5000000000000003E-2</v>
          </cell>
          <cell r="DP102"/>
          <cell r="DQ102"/>
          <cell r="DR102">
            <v>1E-3</v>
          </cell>
          <cell r="DS102"/>
          <cell r="DT102">
            <v>1E-3</v>
          </cell>
          <cell r="DU102">
            <v>1E-3</v>
          </cell>
          <cell r="DV102"/>
          <cell r="DW102"/>
          <cell r="DX102"/>
          <cell r="DY102"/>
          <cell r="DZ102"/>
          <cell r="EA102"/>
          <cell r="EB102">
            <v>1E-3</v>
          </cell>
          <cell r="EC102"/>
          <cell r="ED102">
            <v>1E-3</v>
          </cell>
          <cell r="EE102">
            <v>4.0000000000000001E-3</v>
          </cell>
          <cell r="EF102"/>
          <cell r="EG102"/>
          <cell r="EH102"/>
          <cell r="EI102"/>
          <cell r="EJ102"/>
          <cell r="EK102"/>
          <cell r="EL102"/>
          <cell r="EM102"/>
          <cell r="EN102"/>
          <cell r="EO102"/>
          <cell r="EP102"/>
          <cell r="EQ102">
            <v>2.1000000000000001E-2</v>
          </cell>
          <cell r="ER102"/>
          <cell r="ES102">
            <v>2E-3</v>
          </cell>
          <cell r="ET102"/>
          <cell r="EU102"/>
          <cell r="EV102">
            <v>3.0000000000000001E-3</v>
          </cell>
          <cell r="EW102">
            <v>1E-3</v>
          </cell>
          <cell r="EX102">
            <v>2E-3</v>
          </cell>
          <cell r="EY102">
            <v>2E-3</v>
          </cell>
          <cell r="EZ102">
            <v>4.0000000000000001E-3</v>
          </cell>
          <cell r="FA102">
            <v>3.0000000000000001E-3</v>
          </cell>
          <cell r="FB102">
            <v>0</v>
          </cell>
          <cell r="FC102">
            <v>5.0000000000000001E-3</v>
          </cell>
          <cell r="FD102">
            <v>4.0000000000000001E-3</v>
          </cell>
          <cell r="FE102">
            <v>0</v>
          </cell>
          <cell r="FF102">
            <v>3.0000000000000001E-3</v>
          </cell>
          <cell r="FG102">
            <v>4.0000000000000001E-3</v>
          </cell>
          <cell r="FH102">
            <v>5.0000000000000001E-3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3.0000000000000001E-3</v>
          </cell>
          <cell r="FO102">
            <v>0</v>
          </cell>
          <cell r="FP102">
            <v>3.0000000000000001E-3</v>
          </cell>
          <cell r="FQ102">
            <v>3.0000000000000001E-3</v>
          </cell>
          <cell r="FR102">
            <v>6.0000000000000001E-3</v>
          </cell>
          <cell r="FS102">
            <v>4.0000000000000001E-3</v>
          </cell>
          <cell r="FT102">
            <v>0</v>
          </cell>
          <cell r="FU102">
            <v>0</v>
          </cell>
          <cell r="FV102">
            <v>4.0000000000000001E-3</v>
          </cell>
          <cell r="FW102">
            <v>2E-3</v>
          </cell>
          <cell r="FX102">
            <v>5.0000000000000001E-3</v>
          </cell>
          <cell r="FY102">
            <v>6.0000000000000001E-3</v>
          </cell>
          <cell r="FZ102">
            <v>0</v>
          </cell>
          <cell r="GA102">
            <v>1.0999999999999999E-2</v>
          </cell>
          <cell r="GB102">
            <v>0</v>
          </cell>
          <cell r="GC102">
            <v>3.0000000000000001E-3</v>
          </cell>
          <cell r="GD102">
            <v>5.0000000000000001E-3</v>
          </cell>
          <cell r="GE102">
            <v>0</v>
          </cell>
          <cell r="GF102">
            <v>4.0000000000000001E-3</v>
          </cell>
          <cell r="GG102">
            <v>0</v>
          </cell>
          <cell r="GH102">
            <v>0</v>
          </cell>
          <cell r="GI102">
            <v>7.0000000000000001E-3</v>
          </cell>
          <cell r="GJ102">
            <v>3.6999999999999998E-2</v>
          </cell>
          <cell r="GK102">
            <v>0</v>
          </cell>
          <cell r="GL102">
            <v>1.0999999999999999E-2</v>
          </cell>
          <cell r="GM102">
            <v>1.4999999999999999E-2</v>
          </cell>
          <cell r="GN102">
            <v>2.8000000000000001E-2</v>
          </cell>
          <cell r="GO102">
            <v>3.0000000000000001E-3</v>
          </cell>
          <cell r="GP102">
            <v>2.1999999999999999E-2</v>
          </cell>
          <cell r="GQ102">
            <v>2.1000000000000001E-2</v>
          </cell>
          <cell r="GR102">
            <v>2E-3</v>
          </cell>
          <cell r="GS102">
            <v>3.0000000000000001E-3</v>
          </cell>
          <cell r="GT102">
            <v>7.0000000000000001E-3</v>
          </cell>
          <cell r="GU102">
            <v>4.0000000000000001E-3</v>
          </cell>
          <cell r="GV102">
            <v>3.3000000000000002E-2</v>
          </cell>
          <cell r="GW102">
            <v>1.7999999999999999E-2</v>
          </cell>
          <cell r="GX102">
            <v>7.0000000000000001E-3</v>
          </cell>
          <cell r="GY102">
            <v>0</v>
          </cell>
          <cell r="GZ102">
            <v>4.1000000000000002E-2</v>
          </cell>
          <cell r="HA102">
            <v>0</v>
          </cell>
          <cell r="HB102">
            <v>8.0000000000000002E-3</v>
          </cell>
          <cell r="HC102">
            <v>1.7999999999999999E-2</v>
          </cell>
          <cell r="HD102">
            <v>0</v>
          </cell>
          <cell r="HE102">
            <v>0</v>
          </cell>
          <cell r="HF102">
            <v>0</v>
          </cell>
          <cell r="HG102">
            <v>2E-3</v>
          </cell>
          <cell r="HH102">
            <v>5.0000000000000001E-3</v>
          </cell>
          <cell r="HI102">
            <v>3.6999999999999998E-2</v>
          </cell>
          <cell r="HJ102">
            <v>0</v>
          </cell>
          <cell r="HK102">
            <v>0.01</v>
          </cell>
          <cell r="HL102">
            <v>2E-3</v>
          </cell>
          <cell r="HM102">
            <v>0</v>
          </cell>
          <cell r="HN102">
            <v>1.0999999999999999E-2</v>
          </cell>
          <cell r="HO102">
            <v>0</v>
          </cell>
          <cell r="HP102">
            <v>7.0000000000000001E-3</v>
          </cell>
          <cell r="HQ102">
            <v>0.01</v>
          </cell>
          <cell r="HR102">
            <v>2E-3</v>
          </cell>
          <cell r="HS102">
            <v>3.9E-2</v>
          </cell>
          <cell r="HT102">
            <v>7.0000000000000001E-3</v>
          </cell>
          <cell r="HU102">
            <v>2.1999999999999999E-2</v>
          </cell>
          <cell r="HV102">
            <v>2.1000000000000001E-2</v>
          </cell>
          <cell r="HW102">
            <v>4.4999999999999998E-2</v>
          </cell>
          <cell r="HX102">
            <v>1E-3</v>
          </cell>
          <cell r="HY102">
            <v>2E-3</v>
          </cell>
          <cell r="HZ102">
            <v>0</v>
          </cell>
          <cell r="IA102">
            <v>0</v>
          </cell>
          <cell r="IB102">
            <v>1E-3</v>
          </cell>
          <cell r="IC102">
            <v>6.0000000000000001E-3</v>
          </cell>
          <cell r="ID102">
            <v>6.0000000000000001E-3</v>
          </cell>
          <cell r="IE102">
            <v>4.0000000000000001E-3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  <cell r="IJ102">
            <v>4.0000000000000001E-3</v>
          </cell>
          <cell r="IK102">
            <v>1E-3</v>
          </cell>
          <cell r="IL102">
            <v>0</v>
          </cell>
          <cell r="IM102">
            <v>0</v>
          </cell>
          <cell r="IN102">
            <v>1.6E-2</v>
          </cell>
          <cell r="IO102">
            <v>0</v>
          </cell>
          <cell r="IP102">
            <v>0</v>
          </cell>
          <cell r="IQ102">
            <v>0</v>
          </cell>
          <cell r="IR102">
            <v>0</v>
          </cell>
          <cell r="IS102">
            <v>0</v>
          </cell>
          <cell r="IT102">
            <v>0</v>
          </cell>
          <cell r="IU102">
            <v>0.18</v>
          </cell>
          <cell r="IV102">
            <v>0</v>
          </cell>
          <cell r="IW102">
            <v>2E-3</v>
          </cell>
          <cell r="IX102">
            <v>0</v>
          </cell>
          <cell r="IY102">
            <v>1E-3</v>
          </cell>
          <cell r="IZ102">
            <v>0</v>
          </cell>
          <cell r="JA102">
            <v>6.0000000000000001E-3</v>
          </cell>
          <cell r="JB102">
            <v>1E-3</v>
          </cell>
          <cell r="JC102">
            <v>2E-3</v>
          </cell>
          <cell r="JD102">
            <v>2E-3</v>
          </cell>
          <cell r="JE102">
            <v>2E-3</v>
          </cell>
          <cell r="JF102">
            <v>2E-3</v>
          </cell>
          <cell r="JG102">
            <v>0</v>
          </cell>
          <cell r="JH102">
            <v>7.1999999999999995E-2</v>
          </cell>
          <cell r="JI102">
            <v>8.0000000000000002E-3</v>
          </cell>
          <cell r="JJ102">
            <v>1E-3</v>
          </cell>
          <cell r="JK102">
            <v>4.3999999999999997E-2</v>
          </cell>
          <cell r="JL102">
            <v>2E-3</v>
          </cell>
          <cell r="JM102">
            <v>0</v>
          </cell>
          <cell r="JN102">
            <v>3.0000000000000001E-3</v>
          </cell>
          <cell r="JO102">
            <v>1E-3</v>
          </cell>
          <cell r="JP102">
            <v>8.9999999999999993E-3</v>
          </cell>
          <cell r="JQ102">
            <v>1E-3</v>
          </cell>
          <cell r="JR102">
            <v>2E-3</v>
          </cell>
          <cell r="JS102">
            <v>1E-3</v>
          </cell>
          <cell r="JT102">
            <v>3.0000000000000001E-3</v>
          </cell>
          <cell r="JU102">
            <v>1E-3</v>
          </cell>
          <cell r="JV102">
            <v>0</v>
          </cell>
          <cell r="JW102">
            <v>5.0000000000000001E-3</v>
          </cell>
          <cell r="JX102">
            <v>3.0049999999999999</v>
          </cell>
          <cell r="JY102">
            <v>2.5999999999999999E-2</v>
          </cell>
          <cell r="JZ102">
            <v>4.8000000000000001E-2</v>
          </cell>
          <cell r="KA102">
            <v>1E-3</v>
          </cell>
          <cell r="KB102">
            <v>0</v>
          </cell>
          <cell r="KC102">
            <v>5.0000000000000001E-3</v>
          </cell>
          <cell r="KD102">
            <v>6.3E-2</v>
          </cell>
          <cell r="KE102">
            <v>2.9000000000000001E-2</v>
          </cell>
          <cell r="KF102">
            <v>5.0000000000000001E-3</v>
          </cell>
          <cell r="KG102">
            <v>3.0000000000000001E-3</v>
          </cell>
          <cell r="KH102">
            <v>1E-3</v>
          </cell>
          <cell r="KI102">
            <v>1E-3</v>
          </cell>
          <cell r="KJ102">
            <v>1E-3</v>
          </cell>
          <cell r="KK102">
            <v>0</v>
          </cell>
          <cell r="KL102">
            <v>1E-3</v>
          </cell>
          <cell r="KM102">
            <v>3.0000000000000001E-3</v>
          </cell>
          <cell r="KN102">
            <v>3.0000000000000001E-3</v>
          </cell>
          <cell r="KO102">
            <v>0</v>
          </cell>
          <cell r="KP102">
            <v>1.0999999999999999E-2</v>
          </cell>
          <cell r="KQ102">
            <v>0</v>
          </cell>
          <cell r="KR102">
            <v>7.0000000000000001E-3</v>
          </cell>
          <cell r="KS102">
            <v>8.9999999999999993E-3</v>
          </cell>
          <cell r="KT102">
            <v>5.0000000000000001E-3</v>
          </cell>
          <cell r="KU102">
            <v>0.123</v>
          </cell>
          <cell r="KV102">
            <v>1.4E-2</v>
          </cell>
          <cell r="KW102">
            <v>0.01</v>
          </cell>
          <cell r="KX102">
            <v>2.5999999999999999E-2</v>
          </cell>
          <cell r="KY102"/>
          <cell r="KZ102">
            <v>2.5000000000000001E-2</v>
          </cell>
          <cell r="LA102">
            <v>1.7999999999999999E-2</v>
          </cell>
          <cell r="LB102">
            <v>1.4999999999999999E-2</v>
          </cell>
          <cell r="LC102">
            <v>1.9E-2</v>
          </cell>
          <cell r="LD102">
            <v>1.6E-2</v>
          </cell>
          <cell r="LE102"/>
          <cell r="LF102">
            <v>5.0000000000000001E-3</v>
          </cell>
          <cell r="LG102">
            <v>7.0000000000000001E-3</v>
          </cell>
          <cell r="LH102">
            <v>0.02</v>
          </cell>
          <cell r="LI102">
            <v>6.0999999999999999E-2</v>
          </cell>
          <cell r="LJ102"/>
          <cell r="LK102">
            <v>8.0000000000000002E-3</v>
          </cell>
          <cell r="LL102">
            <v>1.7000000000000001E-2</v>
          </cell>
          <cell r="LM102">
            <v>8.9999999999999993E-3</v>
          </cell>
          <cell r="LN102"/>
          <cell r="LO102">
            <v>7.0000000000000001E-3</v>
          </cell>
          <cell r="LP102">
            <v>1.2999999999999999E-2</v>
          </cell>
          <cell r="LQ102"/>
          <cell r="LR102">
            <v>1E-3</v>
          </cell>
          <cell r="LS102">
            <v>1E-3</v>
          </cell>
          <cell r="LT102">
            <v>0.04</v>
          </cell>
          <cell r="LU102">
            <v>8.0000000000000002E-3</v>
          </cell>
          <cell r="LV102">
            <v>5.1999999999999998E-2</v>
          </cell>
          <cell r="LW102">
            <v>6.0000000000000001E-3</v>
          </cell>
          <cell r="LX102">
            <v>5.0000000000000001E-3</v>
          </cell>
          <cell r="LY102">
            <v>7.0000000000000001E-3</v>
          </cell>
          <cell r="LZ102">
            <v>3.0000000000000001E-3</v>
          </cell>
          <cell r="MA102"/>
          <cell r="MB102"/>
          <cell r="MC102">
            <v>6.0000000000000001E-3</v>
          </cell>
          <cell r="MD102">
            <v>2E-3</v>
          </cell>
          <cell r="ME102">
            <v>6.0000000000000001E-3</v>
          </cell>
          <cell r="MF102">
            <v>9</v>
          </cell>
          <cell r="MG102"/>
          <cell r="MH102">
            <v>2.1999999999999999E-2</v>
          </cell>
          <cell r="MI102"/>
          <cell r="MJ102"/>
          <cell r="MK102">
            <v>1E-3</v>
          </cell>
          <cell r="ML102">
            <v>1E-3</v>
          </cell>
          <cell r="MM102"/>
          <cell r="MN102"/>
          <cell r="MO102">
            <v>2.1999999999999999E-2</v>
          </cell>
          <cell r="MP102">
            <v>6.0259999999999998</v>
          </cell>
          <cell r="MQ102">
            <v>15.015000000000001</v>
          </cell>
          <cell r="MR102">
            <v>9.0009999999999994</v>
          </cell>
          <cell r="MS102"/>
          <cell r="MT102">
            <v>1E-3</v>
          </cell>
          <cell r="MU102">
            <v>0.24099999999999999</v>
          </cell>
          <cell r="MV102"/>
          <cell r="MW102">
            <v>8.0000000000000002E-3</v>
          </cell>
          <cell r="MX102">
            <v>0.156</v>
          </cell>
          <cell r="MY102">
            <v>1E-3</v>
          </cell>
          <cell r="MZ102"/>
          <cell r="NA102">
            <v>0.39400000000000002</v>
          </cell>
          <cell r="NB102">
            <v>1.2E-2</v>
          </cell>
          <cell r="NC102">
            <v>8.0060000000000002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3.6000000000000004E-2</v>
          </cell>
          <cell r="F103">
            <v>3.6000000000000004E-2</v>
          </cell>
          <cell r="G103">
            <v>3.6000000000000004E-2</v>
          </cell>
          <cell r="H103">
            <v>7.0999999999999994E-2</v>
          </cell>
          <cell r="I103">
            <v>8.1000000000000003E-2</v>
          </cell>
          <cell r="J103">
            <v>4.1000000000000002E-2</v>
          </cell>
          <cell r="K103">
            <v>9.1000000000000011E-2</v>
          </cell>
          <cell r="L103">
            <v>3.8999999999999993E-2</v>
          </cell>
          <cell r="M103">
            <v>7.8000000000000014E-2</v>
          </cell>
          <cell r="N103">
            <v>0.15300000000000002</v>
          </cell>
          <cell r="O103">
            <v>6.6000000000000017E-2</v>
          </cell>
          <cell r="P103">
            <v>0.26100000000000001</v>
          </cell>
          <cell r="Q103">
            <v>0.154</v>
          </cell>
          <cell r="R103">
            <v>0.18600000000000003</v>
          </cell>
          <cell r="S103">
            <v>0.20300000000000001</v>
          </cell>
          <cell r="T103">
            <v>0.64499999999999991</v>
          </cell>
          <cell r="U103">
            <v>0.45400000000000007</v>
          </cell>
          <cell r="V103">
            <v>1.135</v>
          </cell>
          <cell r="W103">
            <v>1.4999999999999998</v>
          </cell>
          <cell r="X103">
            <v>1.9239999999999999</v>
          </cell>
          <cell r="Y103">
            <v>1.0679999999999998</v>
          </cell>
          <cell r="Z103">
            <v>2.3830000000000005</v>
          </cell>
          <cell r="AA103">
            <v>3.0199999999999996</v>
          </cell>
          <cell r="AB103">
            <v>3.1030000000000002</v>
          </cell>
          <cell r="AC103">
            <v>2.8779999999999997</v>
          </cell>
          <cell r="AD103">
            <v>1.8729999999999998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2.5999999999999999E-2</v>
          </cell>
          <cell r="I104">
            <v>3.5999999999999997E-2</v>
          </cell>
          <cell r="J104">
            <v>3.7999999999999999E-2</v>
          </cell>
          <cell r="K104">
            <v>5.6999999999999995E-2</v>
          </cell>
          <cell r="L104">
            <v>4.0000000000000001E-3</v>
          </cell>
          <cell r="M104">
            <v>1.3000000000000001E-2</v>
          </cell>
          <cell r="N104">
            <v>0.15000000000000002</v>
          </cell>
          <cell r="O104">
            <v>0.58699999999999997</v>
          </cell>
          <cell r="P104">
            <v>0.01</v>
          </cell>
          <cell r="Q104">
            <v>0.84</v>
          </cell>
          <cell r="R104">
            <v>4.0000000000000001E-3</v>
          </cell>
          <cell r="S104">
            <v>9.0000000000000011E-3</v>
          </cell>
          <cell r="T104">
            <v>1.0639999999999998</v>
          </cell>
          <cell r="U104">
            <v>2E-3</v>
          </cell>
          <cell r="V104">
            <v>4.9000000000000002E-2</v>
          </cell>
          <cell r="W104">
            <v>0.15099999999999997</v>
          </cell>
          <cell r="X104">
            <v>9.8000000000000004E-2</v>
          </cell>
          <cell r="Y104">
            <v>3.7000000000000005E-2</v>
          </cell>
          <cell r="Z104">
            <v>14.024000000000001</v>
          </cell>
          <cell r="AA104">
            <v>5.8809999999999993</v>
          </cell>
          <cell r="AB104">
            <v>5.0000000000000001E-3</v>
          </cell>
          <cell r="AC104">
            <v>0</v>
          </cell>
          <cell r="AD104">
            <v>18.849000000000004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2.4440000000000004</v>
          </cell>
          <cell r="F107">
            <v>0.29600000000000004</v>
          </cell>
          <cell r="G107">
            <v>0.29300000000000004</v>
          </cell>
          <cell r="H107">
            <v>0.88400000000000001</v>
          </cell>
          <cell r="I107">
            <v>1.448</v>
          </cell>
          <cell r="J107">
            <v>0.58199999999999985</v>
          </cell>
          <cell r="K107">
            <v>2.0249999999999999</v>
          </cell>
          <cell r="L107">
            <v>0.16200000000000003</v>
          </cell>
          <cell r="M107">
            <v>0.253</v>
          </cell>
          <cell r="N107">
            <v>0.57400000000000007</v>
          </cell>
          <cell r="O107">
            <v>0.67800000000000005</v>
          </cell>
          <cell r="P107">
            <v>0.81200000000000028</v>
          </cell>
          <cell r="Q107">
            <v>1.8110000000000002</v>
          </cell>
          <cell r="R107">
            <v>2.7490000000000001</v>
          </cell>
          <cell r="S107">
            <v>2.3270000000000004</v>
          </cell>
          <cell r="T107">
            <v>3.7839999999999998</v>
          </cell>
          <cell r="U107">
            <v>3.9549999999999996</v>
          </cell>
          <cell r="V107">
            <v>5.3640000000000017</v>
          </cell>
          <cell r="W107">
            <v>7.4090000000000007</v>
          </cell>
          <cell r="X107">
            <v>6.9030000000000005</v>
          </cell>
          <cell r="Y107">
            <v>6.6769999999999996</v>
          </cell>
          <cell r="Z107">
            <v>7.2969999999999997</v>
          </cell>
          <cell r="AA107">
            <v>8.1110000000000007</v>
          </cell>
          <cell r="AB107">
            <v>9.1690000000000005</v>
          </cell>
          <cell r="AC107">
            <v>10.470000000000002</v>
          </cell>
          <cell r="AD107">
            <v>10.392813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0.15400000000000003</v>
          </cell>
          <cell r="F108">
            <v>0.13600000000000001</v>
          </cell>
          <cell r="G108">
            <v>0.873</v>
          </cell>
          <cell r="H108">
            <v>1.5009999999999999</v>
          </cell>
          <cell r="I108">
            <v>1.8129999999999995</v>
          </cell>
          <cell r="J108">
            <v>3.0039999999999991</v>
          </cell>
          <cell r="K108">
            <v>3.3350000000000004</v>
          </cell>
          <cell r="L108">
            <v>3.4529999999999994</v>
          </cell>
          <cell r="M108">
            <v>3.0599999999999996</v>
          </cell>
          <cell r="N108">
            <v>1.155</v>
          </cell>
          <cell r="O108">
            <v>2.294</v>
          </cell>
          <cell r="P108">
            <v>1.5199999999999996</v>
          </cell>
          <cell r="Q108">
            <v>1.3519999999999999</v>
          </cell>
          <cell r="R108">
            <v>1.8900000000000001</v>
          </cell>
          <cell r="S108">
            <v>1.8359999999999999</v>
          </cell>
          <cell r="T108">
            <v>3.0030000000000001</v>
          </cell>
          <cell r="U108">
            <v>2.0709999999999997</v>
          </cell>
          <cell r="V108">
            <v>2.3099999999999996</v>
          </cell>
          <cell r="W108">
            <v>4.7509999999999994</v>
          </cell>
          <cell r="X108">
            <v>5.6640000000000006</v>
          </cell>
          <cell r="Y108">
            <v>9.2349999999999994</v>
          </cell>
          <cell r="Z108">
            <v>11.91</v>
          </cell>
          <cell r="AA108">
            <v>20.279</v>
          </cell>
          <cell r="AB108">
            <v>16.452000000000002</v>
          </cell>
          <cell r="AC108">
            <v>9.1339999999999986</v>
          </cell>
          <cell r="AD108">
            <v>8.1890000000000001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0.35500000000000004</v>
          </cell>
          <cell r="F109">
            <v>1.0139999999999998</v>
          </cell>
          <cell r="G109">
            <v>0.249</v>
          </cell>
          <cell r="H109">
            <v>7.3490000000000002</v>
          </cell>
          <cell r="I109">
            <v>0.54200000000000004</v>
          </cell>
          <cell r="J109">
            <v>0.43700000000000006</v>
          </cell>
          <cell r="K109">
            <v>1.0920000000000001</v>
          </cell>
          <cell r="L109">
            <v>2.5999999999999999E-2</v>
          </cell>
          <cell r="M109">
            <v>4.0759999999999996</v>
          </cell>
          <cell r="N109">
            <v>2.5999999999999999E-2</v>
          </cell>
          <cell r="O109">
            <v>4.5999999999999999E-2</v>
          </cell>
          <cell r="P109">
            <v>3.5000000000000003E-2</v>
          </cell>
          <cell r="Q109">
            <v>2.1999999999999999E-2</v>
          </cell>
          <cell r="R109">
            <v>2.3E-2</v>
          </cell>
          <cell r="S109">
            <v>3.8000000000000006E-2</v>
          </cell>
          <cell r="T109">
            <v>8.4999999999999992E-2</v>
          </cell>
          <cell r="U109">
            <v>0.32199999999999995</v>
          </cell>
          <cell r="V109">
            <v>0.98399999999999999</v>
          </cell>
          <cell r="W109">
            <v>1.419</v>
          </cell>
          <cell r="X109">
            <v>1.143</v>
          </cell>
          <cell r="Y109">
            <v>2.141</v>
          </cell>
          <cell r="Z109">
            <v>1.175</v>
          </cell>
          <cell r="AA109">
            <v>0.76299999999999979</v>
          </cell>
          <cell r="AB109">
            <v>1.288</v>
          </cell>
          <cell r="AC109">
            <v>7.3000000000000009E-2</v>
          </cell>
          <cell r="AD109">
            <v>0.52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9.6000000000000002E-2</v>
          </cell>
          <cell r="F112">
            <v>4.1000000000000002E-2</v>
          </cell>
          <cell r="G112">
            <v>3.6999999999999998E-2</v>
          </cell>
          <cell r="H112">
            <v>6.2000000000000006E-2</v>
          </cell>
          <cell r="I112">
            <v>6.5000000000000002E-2</v>
          </cell>
          <cell r="J112">
            <v>0.20799999999999999</v>
          </cell>
          <cell r="K112">
            <v>0.26900000000000002</v>
          </cell>
          <cell r="L112">
            <v>0.215</v>
          </cell>
          <cell r="M112">
            <v>0.751</v>
          </cell>
          <cell r="N112">
            <v>2.484</v>
          </cell>
          <cell r="O112">
            <v>4.5720000000000001</v>
          </cell>
          <cell r="P112">
            <v>3.7439999999999998</v>
          </cell>
          <cell r="Q112">
            <v>1.4369999999999998</v>
          </cell>
          <cell r="R112">
            <v>5.4870000000000001</v>
          </cell>
          <cell r="S112">
            <v>6.1579999999999995</v>
          </cell>
          <cell r="T112">
            <v>8.6579999999999995</v>
          </cell>
          <cell r="U112">
            <v>8.4539999999999988</v>
          </cell>
          <cell r="V112">
            <v>7.6900000000000013</v>
          </cell>
          <cell r="W112">
            <v>12.071</v>
          </cell>
          <cell r="X112">
            <v>13.249000000000001</v>
          </cell>
          <cell r="Y112">
            <v>12.856999999999999</v>
          </cell>
          <cell r="Z112">
            <v>14.152999999999999</v>
          </cell>
          <cell r="AA112">
            <v>15.341000000000001</v>
          </cell>
          <cell r="AB112">
            <v>14.138999999999999</v>
          </cell>
          <cell r="AC112">
            <v>9.7410000000000014</v>
          </cell>
          <cell r="AD112">
            <v>10.216769999999999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1.4929999999999999</v>
          </cell>
          <cell r="F117">
            <v>3.0000000000000009E-2</v>
          </cell>
          <cell r="G117">
            <v>0.224</v>
          </cell>
          <cell r="H117">
            <v>0.11799999999999999</v>
          </cell>
          <cell r="I117">
            <v>0.20300000000000001</v>
          </cell>
          <cell r="J117">
            <v>0.18</v>
          </cell>
          <cell r="K117">
            <v>2.1139999999999999</v>
          </cell>
          <cell r="L117">
            <v>5.1000000000000004E-2</v>
          </cell>
          <cell r="M117">
            <v>0.23900000000000002</v>
          </cell>
          <cell r="N117">
            <v>1.232</v>
          </cell>
          <cell r="O117">
            <v>0.63200000000000012</v>
          </cell>
          <cell r="P117">
            <v>0.51400000000000001</v>
          </cell>
          <cell r="Q117">
            <v>0.41399999999999998</v>
          </cell>
          <cell r="R117">
            <v>2.234</v>
          </cell>
          <cell r="S117">
            <v>1.47</v>
          </cell>
          <cell r="T117">
            <v>0.40100000000000002</v>
          </cell>
          <cell r="U117">
            <v>1.099</v>
          </cell>
          <cell r="V117">
            <v>0.67500000000000016</v>
          </cell>
          <cell r="W117">
            <v>1.5349999999999997</v>
          </cell>
          <cell r="X117">
            <v>2.7770000000000006</v>
          </cell>
          <cell r="Y117">
            <v>3.5670000000000002</v>
          </cell>
          <cell r="Z117">
            <v>2.669</v>
          </cell>
          <cell r="AA117">
            <v>5.2200000000000006</v>
          </cell>
          <cell r="AB117">
            <v>5.383</v>
          </cell>
          <cell r="AC117">
            <v>17.164000000000001</v>
          </cell>
          <cell r="AD117">
            <v>14.952182000000002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2E-3</v>
          </cell>
          <cell r="F136">
            <v>0.02</v>
          </cell>
          <cell r="G136">
            <v>0</v>
          </cell>
          <cell r="H136">
            <v>0</v>
          </cell>
          <cell r="I136">
            <v>6.0000000000000001E-3</v>
          </cell>
          <cell r="J136">
            <v>1E-3</v>
          </cell>
          <cell r="K136">
            <v>4.0000000000000001E-3</v>
          </cell>
          <cell r="L136">
            <v>2E-3</v>
          </cell>
          <cell r="M136">
            <v>7.0000000000000001E-3</v>
          </cell>
          <cell r="N136"/>
          <cell r="O136">
            <v>3.1E-2</v>
          </cell>
          <cell r="P136">
            <v>0.59299999999999997</v>
          </cell>
          <cell r="Q136">
            <v>0.11799999999999999</v>
          </cell>
          <cell r="R136">
            <v>0.69100000000000006</v>
          </cell>
          <cell r="S136">
            <v>1.111</v>
          </cell>
          <cell r="T136">
            <v>1.726</v>
          </cell>
          <cell r="U136">
            <v>1.2729999999999999</v>
          </cell>
          <cell r="V136">
            <v>0.76400000000000012</v>
          </cell>
          <cell r="W136">
            <v>1.089</v>
          </cell>
          <cell r="X136">
            <v>0.84200000000000008</v>
          </cell>
          <cell r="Y136">
            <v>0.44600000000000006</v>
          </cell>
          <cell r="Z136">
            <v>0.56700000000000017</v>
          </cell>
          <cell r="AA136">
            <v>1.2239999999999998</v>
          </cell>
          <cell r="AB136">
            <v>2.738</v>
          </cell>
          <cell r="AC136">
            <v>0.93400000000000016</v>
          </cell>
          <cell r="AD136">
            <v>2.3510000000000004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0.10600000000000001</v>
          </cell>
          <cell r="F140">
            <v>0.27400000000000002</v>
          </cell>
          <cell r="G140">
            <v>0.20600000000000002</v>
          </cell>
          <cell r="H140">
            <v>2.3890000000000002</v>
          </cell>
          <cell r="I140">
            <v>1.577</v>
          </cell>
          <cell r="J140">
            <v>0.24</v>
          </cell>
          <cell r="K140">
            <v>0.125</v>
          </cell>
          <cell r="L140">
            <v>0.10900000000000001</v>
          </cell>
          <cell r="M140">
            <v>5.1889999999999983</v>
          </cell>
          <cell r="N140">
            <v>0.47400000000000003</v>
          </cell>
          <cell r="O140">
            <v>0.71499999999999997</v>
          </cell>
          <cell r="P140">
            <v>1.3210000000000002</v>
          </cell>
          <cell r="Q140">
            <v>1.4990000000000001</v>
          </cell>
          <cell r="R140">
            <v>1.8239999999999998</v>
          </cell>
          <cell r="S140">
            <v>2.7160000000000002</v>
          </cell>
          <cell r="T140">
            <v>2.1100000000000003</v>
          </cell>
          <cell r="U140">
            <v>1.7909999999999999</v>
          </cell>
          <cell r="V140">
            <v>1.9810000000000003</v>
          </cell>
          <cell r="W140">
            <v>1.3610000000000002</v>
          </cell>
          <cell r="X140">
            <v>1.2769999999999997</v>
          </cell>
          <cell r="Y140">
            <v>1.77</v>
          </cell>
          <cell r="Z140">
            <v>1.7870000000000001</v>
          </cell>
          <cell r="AA140">
            <v>0.83900000000000019</v>
          </cell>
          <cell r="AB140">
            <v>0.81300000000000006</v>
          </cell>
          <cell r="AC140">
            <v>6.7430000000000003</v>
          </cell>
          <cell r="AD140">
            <v>0.222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1.3519999999999999</v>
          </cell>
          <cell r="F146">
            <v>0.28700000000000003</v>
          </cell>
          <cell r="G146">
            <v>3.1819999999999999</v>
          </cell>
          <cell r="H146">
            <v>3.6510000000000002</v>
          </cell>
          <cell r="I146">
            <v>2.3600000000000003</v>
          </cell>
          <cell r="J146">
            <v>1.5880000000000001</v>
          </cell>
          <cell r="K146">
            <v>1.3080000000000003</v>
          </cell>
          <cell r="L146">
            <v>0.88400000000000012</v>
          </cell>
          <cell r="M146">
            <v>2.6079999999999997</v>
          </cell>
          <cell r="N146">
            <v>1.056</v>
          </cell>
          <cell r="O146">
            <v>0.51800000000000002</v>
          </cell>
          <cell r="P146">
            <v>0.24399999999999997</v>
          </cell>
          <cell r="Q146">
            <v>3.1979999999999995</v>
          </cell>
          <cell r="R146">
            <v>0.09</v>
          </cell>
          <cell r="S146">
            <v>7.6999999999999999E-2</v>
          </cell>
          <cell r="T146">
            <v>0.91000000000000014</v>
          </cell>
          <cell r="U146">
            <v>0.20200000000000001</v>
          </cell>
          <cell r="V146">
            <v>1.3590000000000002</v>
          </cell>
          <cell r="W146">
            <v>1.3439999999999999</v>
          </cell>
          <cell r="X146">
            <v>1.5590000000000002</v>
          </cell>
          <cell r="Y146">
            <v>3.3090000000000002</v>
          </cell>
          <cell r="Z146">
            <v>3.9420000000000002</v>
          </cell>
          <cell r="AA146">
            <v>4.3629999999999995</v>
          </cell>
          <cell r="AB146">
            <v>5.2249999999999996</v>
          </cell>
          <cell r="AC146">
            <v>3.8260000000000001</v>
          </cell>
          <cell r="AD146">
            <v>1.3240000000000001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5.2980000000000009</v>
          </cell>
          <cell r="F147">
            <v>1.5560000000000003</v>
          </cell>
          <cell r="G147">
            <v>2.1909999999999998</v>
          </cell>
          <cell r="H147">
            <v>3.6120000000000001</v>
          </cell>
          <cell r="I147">
            <v>2.5099999999999998</v>
          </cell>
          <cell r="J147">
            <v>0.7360000000000001</v>
          </cell>
          <cell r="K147">
            <v>1.8320000000000001</v>
          </cell>
          <cell r="L147">
            <v>0.34800000000000009</v>
          </cell>
          <cell r="M147">
            <v>0.88200000000000012</v>
          </cell>
          <cell r="N147">
            <v>0.26600000000000001</v>
          </cell>
          <cell r="O147">
            <v>0.36700000000000005</v>
          </cell>
          <cell r="P147">
            <v>0.39900000000000008</v>
          </cell>
          <cell r="Q147">
            <v>0.20899999999999999</v>
          </cell>
          <cell r="R147">
            <v>0.45800000000000002</v>
          </cell>
          <cell r="S147">
            <v>0.35300000000000004</v>
          </cell>
          <cell r="T147">
            <v>0.45500000000000002</v>
          </cell>
          <cell r="U147">
            <v>0.51899999999999991</v>
          </cell>
          <cell r="V147">
            <v>0.94599999999999984</v>
          </cell>
          <cell r="W147">
            <v>2.7849999999999993</v>
          </cell>
          <cell r="X147">
            <v>3.4929999999999999</v>
          </cell>
          <cell r="Y147">
            <v>3.8319999999999994</v>
          </cell>
          <cell r="Z147">
            <v>2.2990000000000004</v>
          </cell>
          <cell r="AA147">
            <v>1.7659999999999998</v>
          </cell>
          <cell r="AB147">
            <v>2.3140000000000001</v>
          </cell>
          <cell r="AC147">
            <v>2.6260000000000003</v>
          </cell>
          <cell r="AD147">
            <v>2.0501349999999996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0.08</v>
          </cell>
          <cell r="F148">
            <v>5.6000000000000001E-2</v>
          </cell>
          <cell r="G148">
            <v>5.6999999999999995E-2</v>
          </cell>
          <cell r="H148">
            <v>5.7000000000000009E-2</v>
          </cell>
          <cell r="I148">
            <v>7.3999999999999996E-2</v>
          </cell>
          <cell r="J148">
            <v>0.15400000000000003</v>
          </cell>
          <cell r="K148">
            <v>9.2000000000000012E-2</v>
          </cell>
          <cell r="L148">
            <v>0.21</v>
          </cell>
          <cell r="M148">
            <v>0.05</v>
          </cell>
          <cell r="N148">
            <v>0.08</v>
          </cell>
          <cell r="O148">
            <v>7.1000000000000008E-2</v>
          </cell>
          <cell r="P148">
            <v>8.2000000000000003E-2</v>
          </cell>
          <cell r="Q148">
            <v>0.20000000000000007</v>
          </cell>
          <cell r="R148">
            <v>0.214</v>
          </cell>
          <cell r="S148">
            <v>0.11599999999999999</v>
          </cell>
          <cell r="T148">
            <v>0.30400000000000005</v>
          </cell>
          <cell r="U148">
            <v>0.94900000000000007</v>
          </cell>
          <cell r="V148">
            <v>3.6659999999999999</v>
          </cell>
          <cell r="W148">
            <v>2.1519999999999997</v>
          </cell>
          <cell r="X148">
            <v>0.98</v>
          </cell>
          <cell r="Y148">
            <v>4.9800000000000004</v>
          </cell>
          <cell r="Z148">
            <v>2.8740000000000001</v>
          </cell>
          <cell r="AA148">
            <v>5.3409999999999993</v>
          </cell>
          <cell r="AB148">
            <v>1.8400000000000003</v>
          </cell>
          <cell r="AC148">
            <v>1.5020000000000002</v>
          </cell>
          <cell r="AD148">
            <v>0.64800400000000002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18.938000000000002</v>
          </cell>
          <cell r="F151">
            <v>17.492999999999999</v>
          </cell>
          <cell r="G151">
            <v>27.25</v>
          </cell>
          <cell r="H151">
            <v>23.536999999999999</v>
          </cell>
          <cell r="I151">
            <v>17.684999999999999</v>
          </cell>
          <cell r="J151">
            <v>4.0699999999999994</v>
          </cell>
          <cell r="K151">
            <v>5.2609999999999992</v>
          </cell>
          <cell r="L151">
            <v>24.808000000000003</v>
          </cell>
          <cell r="M151">
            <v>56.341000000000001</v>
          </cell>
          <cell r="N151">
            <v>24.164000000000001</v>
          </cell>
          <cell r="O151">
            <v>16.861999999999998</v>
          </cell>
          <cell r="P151">
            <v>2.794</v>
          </cell>
          <cell r="Q151">
            <v>5.5919999999999987</v>
          </cell>
          <cell r="R151">
            <v>0.187</v>
          </cell>
          <cell r="S151">
            <v>0.15300000000000002</v>
          </cell>
          <cell r="T151">
            <v>3.1049999999999995</v>
          </cell>
          <cell r="U151">
            <v>1.1369999999999993</v>
          </cell>
          <cell r="V151">
            <v>7.1910000000000007</v>
          </cell>
          <cell r="W151">
            <v>35.817000000000007</v>
          </cell>
          <cell r="X151">
            <v>5.5789999999999997</v>
          </cell>
          <cell r="Y151">
            <v>37.937999999999995</v>
          </cell>
          <cell r="Z151">
            <v>36.863999999999997</v>
          </cell>
          <cell r="AA151">
            <v>23.368000000000002</v>
          </cell>
          <cell r="AB151">
            <v>30.071000000000002</v>
          </cell>
          <cell r="AC151">
            <v>45.625999999999998</v>
          </cell>
          <cell r="AD151">
            <v>20.541959999999996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159.74400000000003</v>
          </cell>
          <cell r="F164">
            <v>105.63900000000002</v>
          </cell>
          <cell r="G164">
            <v>109.78300000000002</v>
          </cell>
          <cell r="H164">
            <v>67.665000000000006</v>
          </cell>
          <cell r="I164">
            <v>38</v>
          </cell>
          <cell r="J164">
            <v>13.847999999999995</v>
          </cell>
          <cell r="K164">
            <v>17.18</v>
          </cell>
          <cell r="L164">
            <v>41.52300000000001</v>
          </cell>
          <cell r="M164">
            <v>17.193999999999999</v>
          </cell>
          <cell r="N164">
            <v>5.9229999999999974</v>
          </cell>
          <cell r="O164">
            <v>4.5879999999999983</v>
          </cell>
          <cell r="P164">
            <v>6.2919999999999989</v>
          </cell>
          <cell r="Q164">
            <v>11.546000000000003</v>
          </cell>
          <cell r="R164">
            <v>25.248000000000005</v>
          </cell>
          <cell r="S164">
            <v>12.748000000000001</v>
          </cell>
          <cell r="T164">
            <v>34.227999999999994</v>
          </cell>
          <cell r="U164">
            <v>64.521999999999991</v>
          </cell>
          <cell r="V164">
            <v>157.09900000000002</v>
          </cell>
          <cell r="W164">
            <v>127.81400000000001</v>
          </cell>
          <cell r="X164">
            <v>134.27099999999999</v>
          </cell>
          <cell r="Y164">
            <v>206.64400000000001</v>
          </cell>
          <cell r="Z164">
            <v>218.494</v>
          </cell>
          <cell r="AA164">
            <v>215.11100000000002</v>
          </cell>
          <cell r="AB164">
            <v>279.572</v>
          </cell>
          <cell r="AC164">
            <v>158.06100000000001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93.222000000000008</v>
          </cell>
          <cell r="F165">
            <v>49.010000000000005</v>
          </cell>
          <cell r="G165">
            <v>80.89800000000001</v>
          </cell>
          <cell r="H165">
            <v>36.762</v>
          </cell>
          <cell r="I165">
            <v>22.7</v>
          </cell>
          <cell r="J165">
            <v>6.0340000000000007</v>
          </cell>
          <cell r="K165">
            <v>6.3920000000000003</v>
          </cell>
          <cell r="L165">
            <v>25.334000000000003</v>
          </cell>
          <cell r="M165">
            <v>2.48</v>
          </cell>
          <cell r="N165">
            <v>0.27100000000000002</v>
          </cell>
          <cell r="O165">
            <v>0.27700000000000002</v>
          </cell>
          <cell r="P165">
            <v>9.1000000000000011E-2</v>
          </cell>
          <cell r="Q165">
            <v>1.0999999999999999E-2</v>
          </cell>
          <cell r="R165">
            <v>6.1040000000000001</v>
          </cell>
          <cell r="S165">
            <v>0</v>
          </cell>
          <cell r="T165">
            <v>7.5999999999999998E-2</v>
          </cell>
          <cell r="U165">
            <v>1.4999999999999999E-2</v>
          </cell>
          <cell r="V165">
            <v>2.1999999999999999E-2</v>
          </cell>
          <cell r="W165">
            <v>0.02</v>
          </cell>
          <cell r="X165">
            <v>0</v>
          </cell>
          <cell r="Y165">
            <v>0</v>
          </cell>
          <cell r="Z165">
            <v>3.028</v>
          </cell>
          <cell r="AA165">
            <v>6.0000000000000001E-3</v>
          </cell>
          <cell r="AB165">
            <v>1.704</v>
          </cell>
          <cell r="AC165">
            <v>4.0000000000000001E-3</v>
          </cell>
          <cell r="AD165">
            <v>4.0000000000000001E-3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21.771999999999998</v>
          </cell>
          <cell r="F184">
            <v>16.114999999999998</v>
          </cell>
          <cell r="G184">
            <v>11.27</v>
          </cell>
          <cell r="H184">
            <v>13.363999999999999</v>
          </cell>
          <cell r="I184">
            <v>4.4790000000000001</v>
          </cell>
          <cell r="J184">
            <v>0.125</v>
          </cell>
          <cell r="K184">
            <v>2.379</v>
          </cell>
          <cell r="L184">
            <v>4.8119999999999994</v>
          </cell>
          <cell r="M184">
            <v>9.0499999999999989</v>
          </cell>
          <cell r="N184">
            <v>0.14400000000000002</v>
          </cell>
          <cell r="O184">
            <v>0.21299999999999999</v>
          </cell>
          <cell r="P184">
            <v>0.14699999999999999</v>
          </cell>
          <cell r="Q184">
            <v>0.11700000000000001</v>
          </cell>
          <cell r="R184">
            <v>0.313</v>
          </cell>
          <cell r="S184">
            <v>0.31999999999999995</v>
          </cell>
          <cell r="T184">
            <v>0.16700000000000001</v>
          </cell>
          <cell r="U184">
            <v>0.15200000000000002</v>
          </cell>
          <cell r="V184">
            <v>10.561000000000002</v>
          </cell>
          <cell r="W184">
            <v>5.2289999999999992</v>
          </cell>
          <cell r="X184">
            <v>0.44400000000000006</v>
          </cell>
          <cell r="Y184">
            <v>0.20700000000000002</v>
          </cell>
          <cell r="Z184">
            <v>0.14600000000000002</v>
          </cell>
          <cell r="AA184">
            <v>0.3630000000000001</v>
          </cell>
          <cell r="AB184">
            <v>0.15900000000000003</v>
          </cell>
          <cell r="AC184">
            <v>15.146999999999998</v>
          </cell>
          <cell r="AD184">
            <v>3.0679999999999996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31.220000000000002</v>
          </cell>
          <cell r="F207">
            <v>24.5</v>
          </cell>
          <cell r="G207">
            <v>5.4139999999999997</v>
          </cell>
          <cell r="H207">
            <v>9.5070000000000014</v>
          </cell>
          <cell r="I207">
            <v>1.4579999999999997</v>
          </cell>
          <cell r="J207">
            <v>0.17899999999999999</v>
          </cell>
          <cell r="K207">
            <v>1.0580000000000001</v>
          </cell>
          <cell r="L207">
            <v>1E-3</v>
          </cell>
          <cell r="M207">
            <v>1E-3</v>
          </cell>
          <cell r="N207">
            <v>1E-3</v>
          </cell>
          <cell r="O207">
            <v>0.155</v>
          </cell>
          <cell r="P207">
            <v>1.1669999999999998</v>
          </cell>
          <cell r="Q207">
            <v>3.41</v>
          </cell>
          <cell r="R207">
            <v>1.4910000000000001</v>
          </cell>
          <cell r="S207">
            <v>0.62000000000000011</v>
          </cell>
          <cell r="T207">
            <v>1.4829999999999999</v>
          </cell>
          <cell r="U207">
            <v>1.542</v>
          </cell>
          <cell r="V207">
            <v>4.2549999999999999</v>
          </cell>
          <cell r="W207">
            <v>20.001999999999999</v>
          </cell>
          <cell r="X207">
            <v>13.353999999999999</v>
          </cell>
          <cell r="Y207">
            <v>44.182000000000002</v>
          </cell>
          <cell r="Z207">
            <v>41.677</v>
          </cell>
          <cell r="AA207">
            <v>46.234999999999999</v>
          </cell>
          <cell r="AB207">
            <v>62.338999999999992</v>
          </cell>
          <cell r="AC207">
            <v>52.027999999999999</v>
          </cell>
          <cell r="AD207">
            <v>27.35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0.60499999999999998</v>
          </cell>
          <cell r="F219">
            <v>2E-3</v>
          </cell>
          <cell r="G219">
            <v>2.7000000000000003E-2</v>
          </cell>
          <cell r="H219">
            <v>1E-3</v>
          </cell>
          <cell r="I219">
            <v>8.0000000000000002E-3</v>
          </cell>
          <cell r="J219">
            <v>2E-3</v>
          </cell>
          <cell r="K219">
            <v>2.2000000000000002E-2</v>
          </cell>
          <cell r="L219">
            <v>4.8000000000000001E-2</v>
          </cell>
          <cell r="M219">
            <v>0.16300000000000001</v>
          </cell>
          <cell r="N219">
            <v>0.24299999999999999</v>
          </cell>
          <cell r="O219">
            <v>0.46099999999999997</v>
          </cell>
          <cell r="P219">
            <v>0.60899999999999999</v>
          </cell>
          <cell r="Q219">
            <v>0.98399999999999999</v>
          </cell>
          <cell r="R219">
            <v>5.3580000000000005</v>
          </cell>
          <cell r="S219">
            <v>0.22499999999999998</v>
          </cell>
          <cell r="T219">
            <v>21.389000000000003</v>
          </cell>
          <cell r="U219">
            <v>52.031999999999996</v>
          </cell>
          <cell r="V219">
            <v>128.018</v>
          </cell>
          <cell r="W219">
            <v>84.26600000000002</v>
          </cell>
          <cell r="X219">
            <v>104.13799999999999</v>
          </cell>
          <cell r="Y219">
            <v>129.41299999999998</v>
          </cell>
          <cell r="Z219">
            <v>147.91399999999999</v>
          </cell>
          <cell r="AA219">
            <v>154.37900000000002</v>
          </cell>
          <cell r="AB219">
            <v>195.18599999999998</v>
          </cell>
          <cell r="AC219">
            <v>65.111000000000004</v>
          </cell>
          <cell r="AD219">
            <v>155.06600000000003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6.4000000000000001E-2</v>
          </cell>
          <cell r="F225">
            <v>3.2000000000000001E-2</v>
          </cell>
          <cell r="G225">
            <v>2.1000000000000001E-2</v>
          </cell>
          <cell r="H225">
            <v>3.6000000000000004E-2</v>
          </cell>
          <cell r="I225">
            <v>6.2000000000000006E-2</v>
          </cell>
          <cell r="J225">
            <v>0.08</v>
          </cell>
          <cell r="K225">
            <v>9.7000000000000003E-2</v>
          </cell>
          <cell r="L225">
            <v>1.4849999999999999</v>
          </cell>
          <cell r="M225">
            <v>0.18100000000000002</v>
          </cell>
          <cell r="N225">
            <v>6.9000000000000006E-2</v>
          </cell>
          <cell r="O225">
            <v>0.16400000000000001</v>
          </cell>
          <cell r="P225">
            <v>1.0899999999999996</v>
          </cell>
          <cell r="Q225">
            <v>1.0820000000000001</v>
          </cell>
          <cell r="R225">
            <v>1.9249999999999996</v>
          </cell>
          <cell r="S225">
            <v>2.2739999999999996</v>
          </cell>
          <cell r="T225">
            <v>0.68600000000000017</v>
          </cell>
          <cell r="U225">
            <v>0.23100000000000001</v>
          </cell>
          <cell r="V225">
            <v>0.33600000000000008</v>
          </cell>
          <cell r="W225">
            <v>0.184</v>
          </cell>
          <cell r="X225">
            <v>9.9999999999999992E-2</v>
          </cell>
          <cell r="Y225">
            <v>6.9000000000000006E-2</v>
          </cell>
          <cell r="Z225">
            <v>0.39600000000000002</v>
          </cell>
          <cell r="AA225">
            <v>0.02</v>
          </cell>
          <cell r="AB225">
            <v>7.9000000000000015E-2</v>
          </cell>
          <cell r="AC225">
            <v>0.13400000000000001</v>
          </cell>
          <cell r="AD225">
            <v>1.6789200000000002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7.7380000000000013</v>
          </cell>
          <cell r="F231">
            <v>3.3609999999999993</v>
          </cell>
          <cell r="G231">
            <v>10.129000000000001</v>
          </cell>
          <cell r="H231">
            <v>20.755000000000003</v>
          </cell>
          <cell r="I231">
            <v>2.5449999999999995</v>
          </cell>
          <cell r="J231">
            <v>5.0049999999999999</v>
          </cell>
          <cell r="K231">
            <v>3.3380000000000001</v>
          </cell>
          <cell r="L231">
            <v>5.1029999999999989</v>
          </cell>
          <cell r="M231">
            <v>6.6419999999999995</v>
          </cell>
          <cell r="N231">
            <v>6.5029999999999992</v>
          </cell>
          <cell r="O231">
            <v>13.808</v>
          </cell>
          <cell r="P231">
            <v>6.0069999999999997</v>
          </cell>
          <cell r="Q231">
            <v>8.1150000000000002</v>
          </cell>
          <cell r="R231">
            <v>12.682000000000002</v>
          </cell>
          <cell r="S231">
            <v>13.328999999999999</v>
          </cell>
          <cell r="T231">
            <v>17.521999999999998</v>
          </cell>
          <cell r="U231">
            <v>18.944000000000003</v>
          </cell>
          <cell r="V231">
            <v>21.187999999999999</v>
          </cell>
          <cell r="W231">
            <v>41.725000000000001</v>
          </cell>
          <cell r="X231">
            <v>42.243000000000002</v>
          </cell>
          <cell r="Y231">
            <v>45.265000000000001</v>
          </cell>
          <cell r="Z231">
            <v>58.541999999999987</v>
          </cell>
          <cell r="AA231">
            <v>44.397999999999989</v>
          </cell>
          <cell r="AB231">
            <v>99.277000000000001</v>
          </cell>
          <cell r="AC231">
            <v>78.033000000000001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5.4000000000000006E-2</v>
          </cell>
          <cell r="H234">
            <v>0.10100000000000001</v>
          </cell>
          <cell r="I234">
            <v>0.05</v>
          </cell>
          <cell r="J234">
            <v>5.2999999999999999E-2</v>
          </cell>
          <cell r="K234">
            <v>0.125</v>
          </cell>
          <cell r="L234">
            <v>0.17699999999999999</v>
          </cell>
          <cell r="M234">
            <v>0</v>
          </cell>
          <cell r="N234">
            <v>4.0000000000000001E-3</v>
          </cell>
          <cell r="O234">
            <v>0</v>
          </cell>
          <cell r="P234">
            <v>6.0000000000000001E-3</v>
          </cell>
          <cell r="Q234">
            <v>1.2E-2</v>
          </cell>
          <cell r="R234">
            <v>1E-3</v>
          </cell>
          <cell r="S234">
            <v>0</v>
          </cell>
          <cell r="T234">
            <v>2E-3</v>
          </cell>
          <cell r="U234">
            <v>2E-3</v>
          </cell>
          <cell r="V234">
            <v>0</v>
          </cell>
          <cell r="W234">
            <v>2.1000000000000001E-2</v>
          </cell>
          <cell r="X234">
            <v>2.9000000000000001E-2</v>
          </cell>
          <cell r="Y234">
            <v>0</v>
          </cell>
          <cell r="Z234">
            <v>0</v>
          </cell>
          <cell r="AA234">
            <v>2E-3</v>
          </cell>
          <cell r="AB234">
            <v>0</v>
          </cell>
          <cell r="AC234">
            <v>0</v>
          </cell>
          <cell r="AD234">
            <v>3.0000000000000001E-3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2E-3</v>
          </cell>
          <cell r="F241">
            <v>8.0000000000000002E-3</v>
          </cell>
          <cell r="G241">
            <v>1.4999999999999999E-2</v>
          </cell>
          <cell r="H241">
            <v>5.0000000000000001E-3</v>
          </cell>
          <cell r="I241">
            <v>0</v>
          </cell>
          <cell r="J241">
            <v>0</v>
          </cell>
          <cell r="K241">
            <v>3.5000000000000003E-2</v>
          </cell>
          <cell r="L241">
            <v>7.2999999999999995E-2</v>
          </cell>
          <cell r="M241">
            <v>0.126</v>
          </cell>
          <cell r="N241">
            <v>0.44799999999999995</v>
          </cell>
          <cell r="O241">
            <v>0.44800000000000001</v>
          </cell>
          <cell r="P241">
            <v>0.502</v>
          </cell>
          <cell r="Q241">
            <v>6.5000000000000002E-2</v>
          </cell>
          <cell r="R241">
            <v>0.29900000000000004</v>
          </cell>
          <cell r="S241">
            <v>0.40599999999999997</v>
          </cell>
          <cell r="T241">
            <v>0.53999999999999992</v>
          </cell>
          <cell r="U241">
            <v>0.30199999999999999</v>
          </cell>
          <cell r="V241">
            <v>0.60299999999999998</v>
          </cell>
          <cell r="W241">
            <v>0.62000000000000011</v>
          </cell>
          <cell r="X241">
            <v>0.433</v>
          </cell>
          <cell r="Y241">
            <v>0.29200000000000004</v>
          </cell>
          <cell r="Z241">
            <v>0.65100000000000013</v>
          </cell>
          <cell r="AA241">
            <v>0.80800000000000005</v>
          </cell>
          <cell r="AB241">
            <v>1.3879999999999999</v>
          </cell>
          <cell r="AC241">
            <v>1.038</v>
          </cell>
          <cell r="AD241">
            <v>0.69302600000000003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2.0999999999999998E-2</v>
          </cell>
          <cell r="F243">
            <v>0.10700000000000001</v>
          </cell>
          <cell r="G243">
            <v>7.3000000000000009E-2</v>
          </cell>
          <cell r="H243">
            <v>7.4999999999999983E-2</v>
          </cell>
          <cell r="I243">
            <v>7.5999999999999998E-2</v>
          </cell>
          <cell r="J243">
            <v>6.5000000000000002E-2</v>
          </cell>
          <cell r="K243">
            <v>7.6999999999999999E-2</v>
          </cell>
          <cell r="L243">
            <v>7.9000000000000015E-2</v>
          </cell>
          <cell r="M243">
            <v>5.0999999999999997E-2</v>
          </cell>
          <cell r="N243">
            <v>0.14400000000000002</v>
          </cell>
          <cell r="O243">
            <v>0.72000000000000008</v>
          </cell>
          <cell r="P243">
            <v>0.29100000000000004</v>
          </cell>
          <cell r="Q243">
            <v>0.126</v>
          </cell>
          <cell r="R243">
            <v>0.18099999999999999</v>
          </cell>
          <cell r="S243">
            <v>0.22600000000000001</v>
          </cell>
          <cell r="T243">
            <v>0.17600000000000002</v>
          </cell>
          <cell r="U243">
            <v>0.30900000000000005</v>
          </cell>
          <cell r="V243">
            <v>0.51600000000000001</v>
          </cell>
          <cell r="W243">
            <v>0.71500000000000008</v>
          </cell>
          <cell r="X243">
            <v>0.98399999999999999</v>
          </cell>
          <cell r="Y243">
            <v>1.8620000000000001</v>
          </cell>
          <cell r="Z243">
            <v>2.367</v>
          </cell>
          <cell r="AA243">
            <v>3.1719999999999997</v>
          </cell>
          <cell r="AB243">
            <v>4.5280000000000005</v>
          </cell>
          <cell r="AC243">
            <v>3.3680000000000003</v>
          </cell>
          <cell r="AD243">
            <v>4.5425149999999999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5.0000000000000001E-3</v>
          </cell>
          <cell r="H245">
            <v>1.2E-2</v>
          </cell>
          <cell r="I245">
            <v>6.0000000000000001E-3</v>
          </cell>
          <cell r="J245">
            <v>1E-3</v>
          </cell>
          <cell r="K245">
            <v>3.7999999999999999E-2</v>
          </cell>
          <cell r="L245">
            <v>0</v>
          </cell>
          <cell r="M245">
            <v>4.0000000000000001E-3</v>
          </cell>
          <cell r="N245">
            <v>6.0000000000000001E-3</v>
          </cell>
          <cell r="O245">
            <v>0.12</v>
          </cell>
          <cell r="P245">
            <v>8.8999999999999996E-2</v>
          </cell>
          <cell r="Q245">
            <v>7.0999999999999994E-2</v>
          </cell>
          <cell r="R245">
            <v>0.20500000000000002</v>
          </cell>
          <cell r="S245">
            <v>0.122</v>
          </cell>
          <cell r="T245">
            <v>0.46200000000000008</v>
          </cell>
          <cell r="U245">
            <v>0.7390000000000001</v>
          </cell>
          <cell r="V245">
            <v>0.93300000000000016</v>
          </cell>
          <cell r="W245">
            <v>0.94500000000000006</v>
          </cell>
          <cell r="X245">
            <v>1.7310000000000001</v>
          </cell>
          <cell r="Y245">
            <v>1.5680000000000001</v>
          </cell>
          <cell r="Z245">
            <v>2.0929999999999995</v>
          </cell>
          <cell r="AA245">
            <v>1.7669999999999999</v>
          </cell>
          <cell r="AB245">
            <v>1.9780000000000002</v>
          </cell>
          <cell r="AC245">
            <v>1.2710000000000004</v>
          </cell>
          <cell r="AD245">
            <v>0.92300000000000004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0.02</v>
          </cell>
          <cell r="G246">
            <v>5.2000000000000005E-2</v>
          </cell>
          <cell r="H246">
            <v>4.0000000000000001E-3</v>
          </cell>
          <cell r="I246">
            <v>6.0000000000000001E-3</v>
          </cell>
          <cell r="J246">
            <v>1.0999999999999999E-2</v>
          </cell>
          <cell r="K246">
            <v>0</v>
          </cell>
          <cell r="L246">
            <v>6.6000000000000003E-2</v>
          </cell>
          <cell r="M246">
            <v>0.17899999999999999</v>
          </cell>
          <cell r="N246">
            <v>2.8999999999999998E-2</v>
          </cell>
          <cell r="O246">
            <v>5.0000000000000001E-3</v>
          </cell>
          <cell r="P246">
            <v>0.75</v>
          </cell>
          <cell r="Q246">
            <v>0.82799999999999996</v>
          </cell>
          <cell r="R246">
            <v>0.78899999999999992</v>
          </cell>
          <cell r="S246">
            <v>1.0950000000000002</v>
          </cell>
          <cell r="T246">
            <v>0.99299999999999999</v>
          </cell>
          <cell r="U246">
            <v>0.9860000000000001</v>
          </cell>
          <cell r="V246">
            <v>2.11</v>
          </cell>
          <cell r="W246">
            <v>3.7560000000000002</v>
          </cell>
          <cell r="X246">
            <v>4.1650000000000009</v>
          </cell>
          <cell r="Y246">
            <v>2.5519999999999996</v>
          </cell>
          <cell r="Z246">
            <v>3.7250000000000005</v>
          </cell>
          <cell r="AA246">
            <v>3.1510000000000007</v>
          </cell>
          <cell r="AB246">
            <v>3.3809999999999998</v>
          </cell>
          <cell r="AC246">
            <v>2.3129999999999997</v>
          </cell>
          <cell r="AD246">
            <v>0.72899999999999998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6.7149999999999999</v>
          </cell>
          <cell r="F248">
            <v>1.0729999999999997</v>
          </cell>
          <cell r="G248">
            <v>8.391</v>
          </cell>
          <cell r="H248">
            <v>18.933999999999997</v>
          </cell>
          <cell r="I248">
            <v>0.34299999999999997</v>
          </cell>
          <cell r="J248">
            <v>0.13200000000000001</v>
          </cell>
          <cell r="K248">
            <v>3.9E-2</v>
          </cell>
          <cell r="L248">
            <v>1.2E-2</v>
          </cell>
          <cell r="M248">
            <v>2E-3</v>
          </cell>
          <cell r="N248">
            <v>2E-3</v>
          </cell>
          <cell r="O248">
            <v>6.9000000000000006E-2</v>
          </cell>
          <cell r="P248">
            <v>0.107</v>
          </cell>
          <cell r="Q248">
            <v>0.40800000000000003</v>
          </cell>
          <cell r="R248">
            <v>2.7669999999999999</v>
          </cell>
          <cell r="S248">
            <v>0.96399999999999997</v>
          </cell>
          <cell r="T248">
            <v>1.327</v>
          </cell>
          <cell r="U248">
            <v>0.86199999999999999</v>
          </cell>
          <cell r="V248">
            <v>0.73100000000000009</v>
          </cell>
          <cell r="W248">
            <v>0.35400000000000004</v>
          </cell>
          <cell r="X248">
            <v>2.008</v>
          </cell>
          <cell r="Y248">
            <v>1.415</v>
          </cell>
          <cell r="Z248">
            <v>1.7</v>
          </cell>
          <cell r="AA248">
            <v>1.8679999999999999</v>
          </cell>
          <cell r="AB248">
            <v>0.372</v>
          </cell>
          <cell r="AC248">
            <v>2.1279999999999997</v>
          </cell>
          <cell r="AD248">
            <v>9.2806000000000013E-2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3.0000000000000001E-3</v>
          </cell>
          <cell r="F250">
            <v>0.121</v>
          </cell>
          <cell r="G250">
            <v>0.16200000000000001</v>
          </cell>
          <cell r="H250">
            <v>0.01</v>
          </cell>
          <cell r="I250">
            <v>2E-3</v>
          </cell>
          <cell r="J250">
            <v>0.01</v>
          </cell>
          <cell r="K250">
            <v>3.0000000000000001E-3</v>
          </cell>
          <cell r="L250">
            <v>9.0000000000000011E-3</v>
          </cell>
          <cell r="M250">
            <v>3.0000000000000002E-2</v>
          </cell>
          <cell r="N250">
            <v>2.5999999999999999E-2</v>
          </cell>
          <cell r="O250">
            <v>5.2999999999999999E-2</v>
          </cell>
          <cell r="P250">
            <v>5.7000000000000009E-2</v>
          </cell>
          <cell r="Q250">
            <v>6.0000000000000001E-3</v>
          </cell>
          <cell r="R250">
            <v>0.04</v>
          </cell>
          <cell r="S250">
            <v>2.1999999999999999E-2</v>
          </cell>
          <cell r="T250">
            <v>1.3000000000000001E-2</v>
          </cell>
          <cell r="U250">
            <v>3.1E-2</v>
          </cell>
          <cell r="V250">
            <v>3.9E-2</v>
          </cell>
          <cell r="W250">
            <v>0.15100000000000002</v>
          </cell>
          <cell r="X250">
            <v>8.0000000000000016E-2</v>
          </cell>
          <cell r="Y250">
            <v>0.193</v>
          </cell>
          <cell r="Z250">
            <v>0.19700000000000001</v>
          </cell>
          <cell r="AA250">
            <v>0.17900000000000002</v>
          </cell>
          <cell r="AB250">
            <v>0.22100000000000003</v>
          </cell>
          <cell r="AC250">
            <v>0.11000000000000001</v>
          </cell>
          <cell r="AD250">
            <v>0.10100000000000001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2.8000000000000001E-2</v>
          </cell>
          <cell r="H266">
            <v>3.0000000000000001E-3</v>
          </cell>
          <cell r="I266">
            <v>1.0999999999999999E-2</v>
          </cell>
          <cell r="J266">
            <v>1.6E-2</v>
          </cell>
          <cell r="K266">
            <v>2.2000000000000002E-2</v>
          </cell>
          <cell r="L266">
            <v>6.3E-2</v>
          </cell>
          <cell r="M266">
            <v>0</v>
          </cell>
          <cell r="N266">
            <v>0</v>
          </cell>
          <cell r="O266">
            <v>1.3699999999999999</v>
          </cell>
          <cell r="P266">
            <v>0.23100000000000001</v>
          </cell>
          <cell r="Q266">
            <v>0.10500000000000001</v>
          </cell>
          <cell r="R266">
            <v>0.73799999999999999</v>
          </cell>
          <cell r="S266">
            <v>0.99599999999999989</v>
          </cell>
          <cell r="T266">
            <v>1.528</v>
          </cell>
          <cell r="U266">
            <v>1.5020000000000002</v>
          </cell>
          <cell r="V266">
            <v>1.5629999999999999</v>
          </cell>
          <cell r="W266">
            <v>2.585</v>
          </cell>
          <cell r="X266">
            <v>3.2840000000000003</v>
          </cell>
          <cell r="Y266">
            <v>4.2709999999999999</v>
          </cell>
          <cell r="Z266">
            <v>5.492</v>
          </cell>
          <cell r="AA266">
            <v>3.976</v>
          </cell>
          <cell r="AB266">
            <v>8.3189999999999991</v>
          </cell>
          <cell r="AC266">
            <v>12.519</v>
          </cell>
          <cell r="AD266">
            <v>12.853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8.0000000000000002E-3</v>
          </cell>
          <cell r="G274">
            <v>1.3000000000000001E-2</v>
          </cell>
          <cell r="H274">
            <v>6.0000000000000001E-3</v>
          </cell>
          <cell r="I274">
            <v>1.6E-2</v>
          </cell>
          <cell r="J274">
            <v>1.8000000000000002E-2</v>
          </cell>
          <cell r="K274">
            <v>3.9E-2</v>
          </cell>
          <cell r="L274">
            <v>1.4E-2</v>
          </cell>
          <cell r="M274">
            <v>2.1000000000000001E-2</v>
          </cell>
          <cell r="N274">
            <v>1.0999999999999999E-2</v>
          </cell>
          <cell r="O274">
            <v>0.01</v>
          </cell>
          <cell r="P274">
            <v>8.9999999999999993E-3</v>
          </cell>
          <cell r="Q274">
            <v>1.3999999999999999E-2</v>
          </cell>
          <cell r="R274">
            <v>3.7999999999999999E-2</v>
          </cell>
          <cell r="S274">
            <v>1.9E-2</v>
          </cell>
          <cell r="T274">
            <v>7.1000000000000008E-2</v>
          </cell>
          <cell r="U274">
            <v>1.6E-2</v>
          </cell>
          <cell r="V274">
            <v>1.9999999999999997E-2</v>
          </cell>
          <cell r="W274">
            <v>0.16900000000000001</v>
          </cell>
          <cell r="X274">
            <v>0.52</v>
          </cell>
          <cell r="Y274">
            <v>9.4000000000000014E-2</v>
          </cell>
          <cell r="Z274">
            <v>0.13100000000000001</v>
          </cell>
          <cell r="AA274">
            <v>0.42600000000000005</v>
          </cell>
          <cell r="AB274">
            <v>0.44299999999999995</v>
          </cell>
          <cell r="AC274">
            <v>0.93900000000000006</v>
          </cell>
          <cell r="AD274">
            <v>0.75400000000000011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0.17100000000000001</v>
          </cell>
          <cell r="F284">
            <v>0.47100000000000009</v>
          </cell>
          <cell r="G284">
            <v>0.33100000000000007</v>
          </cell>
          <cell r="H284">
            <v>0.42500000000000004</v>
          </cell>
          <cell r="I284">
            <v>1.2309999999999999</v>
          </cell>
          <cell r="J284">
            <v>4.0819999999999999</v>
          </cell>
          <cell r="K284">
            <v>2.476</v>
          </cell>
          <cell r="L284">
            <v>1.401</v>
          </cell>
          <cell r="M284">
            <v>4.7469999999999999</v>
          </cell>
          <cell r="N284">
            <v>4.3230000000000004</v>
          </cell>
          <cell r="O284">
            <v>10.138000000000002</v>
          </cell>
          <cell r="P284">
            <v>3.387</v>
          </cell>
          <cell r="Q284">
            <v>4.6790000000000012</v>
          </cell>
          <cell r="R284">
            <v>6.0960000000000001</v>
          </cell>
          <cell r="S284">
            <v>8.0439999999999987</v>
          </cell>
          <cell r="T284">
            <v>9.8830000000000009</v>
          </cell>
          <cell r="U284">
            <v>12.261000000000001</v>
          </cell>
          <cell r="V284">
            <v>11.388999999999999</v>
          </cell>
          <cell r="W284">
            <v>27.851999999999997</v>
          </cell>
          <cell r="X284">
            <v>25.794</v>
          </cell>
          <cell r="Y284">
            <v>26.653999999999996</v>
          </cell>
          <cell r="Z284">
            <v>36.151999999999994</v>
          </cell>
          <cell r="AA284">
            <v>24.750999999999998</v>
          </cell>
          <cell r="AB284">
            <v>73.617999999999995</v>
          </cell>
          <cell r="AC284">
            <v>51.503</v>
          </cell>
          <cell r="AD284">
            <v>101.78770900000001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0.10100000000000001</v>
          </cell>
          <cell r="F286">
            <v>0.11700000000000001</v>
          </cell>
          <cell r="G286">
            <v>8.1000000000000003E-2</v>
          </cell>
          <cell r="H286">
            <v>0.109</v>
          </cell>
          <cell r="I286">
            <v>6.2E-2</v>
          </cell>
          <cell r="J286">
            <v>8.1000000000000003E-2</v>
          </cell>
          <cell r="K286">
            <v>5.6000000000000001E-2</v>
          </cell>
          <cell r="L286">
            <v>3.1E-2</v>
          </cell>
          <cell r="M286">
            <v>2E-3</v>
          </cell>
          <cell r="N286">
            <v>0</v>
          </cell>
          <cell r="O286">
            <v>3.2000000000000001E-2</v>
          </cell>
          <cell r="P286">
            <v>8.8999999999999996E-2</v>
          </cell>
          <cell r="Q286">
            <v>4.9000000000000002E-2</v>
          </cell>
          <cell r="R286">
            <v>0</v>
          </cell>
          <cell r="S286">
            <v>2.1999999999999999E-2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1E-3</v>
          </cell>
          <cell r="Y286">
            <v>0.26900000000000002</v>
          </cell>
          <cell r="Z286">
            <v>6.9000000000000006E-2</v>
          </cell>
          <cell r="AA286">
            <v>0.12000000000000001</v>
          </cell>
          <cell r="AB286">
            <v>1.105</v>
          </cell>
          <cell r="AC286">
            <v>0.62200000000000011</v>
          </cell>
          <cell r="AD286">
            <v>0.21300000000000002</v>
          </cell>
        </row>
        <row r="290"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>
            <v>51.699000000000005</v>
          </cell>
          <cell r="BT290">
            <v>53.335999999999999</v>
          </cell>
          <cell r="BU290">
            <v>58.904000000000011</v>
          </cell>
          <cell r="BV290">
            <v>39.405000000000001</v>
          </cell>
          <cell r="BW290">
            <v>20.687000000000001</v>
          </cell>
          <cell r="BX290">
            <v>15.518999999999998</v>
          </cell>
          <cell r="BY290">
            <v>20.745000000000001</v>
          </cell>
          <cell r="BZ290">
            <v>16.856999999999999</v>
          </cell>
          <cell r="CA290">
            <v>37.288999999999994</v>
          </cell>
          <cell r="CB290">
            <v>46.970999999999997</v>
          </cell>
          <cell r="CC290">
            <v>25.038999999999994</v>
          </cell>
          <cell r="CD290">
            <v>26.263000000000002</v>
          </cell>
          <cell r="CE290">
            <v>42.505999999999993</v>
          </cell>
          <cell r="CF290">
            <v>19.212</v>
          </cell>
          <cell r="CG290">
            <v>13.084999999999999</v>
          </cell>
          <cell r="CH290">
            <v>11.962999999999999</v>
          </cell>
          <cell r="CI290">
            <v>10.503</v>
          </cell>
          <cell r="CJ290">
            <v>7.4449999999999994</v>
          </cell>
          <cell r="CK290">
            <v>11.656000000000001</v>
          </cell>
          <cell r="CL290">
            <v>14.628</v>
          </cell>
          <cell r="CM290">
            <v>21.985999999999997</v>
          </cell>
          <cell r="CN290">
            <v>23.262999999999998</v>
          </cell>
          <cell r="CO290">
            <v>36.862000000000002</v>
          </cell>
          <cell r="CP290">
            <v>23.355000000000004</v>
          </cell>
          <cell r="CQ290">
            <v>27.952999999999999</v>
          </cell>
          <cell r="CR290">
            <v>25.196999999999999</v>
          </cell>
          <cell r="CS290">
            <v>26.117999999999999</v>
          </cell>
          <cell r="CT290">
            <v>21.1</v>
          </cell>
          <cell r="CU290">
            <v>15.923</v>
          </cell>
          <cell r="CV290">
            <v>29.010999999999999</v>
          </cell>
          <cell r="CW290">
            <v>21.135999999999999</v>
          </cell>
          <cell r="CX290">
            <v>21.152999999999999</v>
          </cell>
          <cell r="CY290">
            <v>18.901</v>
          </cell>
          <cell r="CZ290">
            <v>28.177</v>
          </cell>
          <cell r="DA290">
            <v>31.222999999999999</v>
          </cell>
          <cell r="DB290">
            <v>14.225</v>
          </cell>
          <cell r="DC290">
            <v>23.321999999999999</v>
          </cell>
          <cell r="DD290">
            <v>19.872</v>
          </cell>
          <cell r="DE290">
            <v>12.635999999999999</v>
          </cell>
          <cell r="DF290">
            <v>13.776999999999999</v>
          </cell>
          <cell r="DG290">
            <v>18.367000000000001</v>
          </cell>
          <cell r="DH290">
            <v>18.385999999999999</v>
          </cell>
          <cell r="DI290">
            <v>16.085000000000001</v>
          </cell>
          <cell r="DJ290">
            <v>17.766999999999999</v>
          </cell>
          <cell r="DK290">
            <v>27.093</v>
          </cell>
          <cell r="DL290">
            <v>24.143000000000001</v>
          </cell>
          <cell r="DM290">
            <v>22.556000000000001</v>
          </cell>
          <cell r="DN290">
            <v>20.850999999999999</v>
          </cell>
          <cell r="DO290">
            <v>17.309000000000001</v>
          </cell>
          <cell r="DP290">
            <v>10.512</v>
          </cell>
          <cell r="DQ290">
            <v>10.672000000000001</v>
          </cell>
          <cell r="DR290">
            <v>16.344000000000001</v>
          </cell>
          <cell r="DS290">
            <v>10.667999999999999</v>
          </cell>
          <cell r="DT290">
            <v>18.933</v>
          </cell>
          <cell r="DU290">
            <v>12.863</v>
          </cell>
          <cell r="DV290">
            <v>10.755000000000001</v>
          </cell>
          <cell r="DW290">
            <v>8.82</v>
          </cell>
          <cell r="DX290">
            <v>11.433</v>
          </cell>
          <cell r="DY290">
            <v>9.0559999999999992</v>
          </cell>
          <cell r="DZ290">
            <v>9.9719999999999995</v>
          </cell>
          <cell r="EA290">
            <v>7.4930000000000003</v>
          </cell>
          <cell r="EB290">
            <v>6.67</v>
          </cell>
          <cell r="EC290">
            <v>5.0490000000000004</v>
          </cell>
          <cell r="ED290">
            <v>6.2690000000000001</v>
          </cell>
          <cell r="EE290">
            <v>7.7439999999999998</v>
          </cell>
          <cell r="EF290">
            <v>11.151</v>
          </cell>
          <cell r="EG290">
            <v>7.726</v>
          </cell>
          <cell r="EH290">
            <v>8.9480000000000004</v>
          </cell>
          <cell r="EI290">
            <v>11.41</v>
          </cell>
          <cell r="EJ290">
            <v>13.148999999999999</v>
          </cell>
          <cell r="EK290">
            <v>11.948</v>
          </cell>
          <cell r="EL290">
            <v>13.558</v>
          </cell>
          <cell r="EM290">
            <v>10.228</v>
          </cell>
          <cell r="EN290">
            <v>10.63</v>
          </cell>
          <cell r="EO290">
            <v>8.9909999999999997</v>
          </cell>
          <cell r="EP290">
            <v>9.9770000000000003</v>
          </cell>
          <cell r="EQ290">
            <v>15.048999999999999</v>
          </cell>
          <cell r="ER290">
            <v>12.291</v>
          </cell>
          <cell r="ES290">
            <v>15.305999999999999</v>
          </cell>
          <cell r="ET290">
            <v>18.286999999999999</v>
          </cell>
          <cell r="EU290">
            <v>16.844000000000001</v>
          </cell>
          <cell r="EV290">
            <v>25.114000000000001</v>
          </cell>
          <cell r="EW290">
            <v>29.605</v>
          </cell>
          <cell r="EX290">
            <v>26.646000000000001</v>
          </cell>
          <cell r="EY290">
            <v>12.944000000000001</v>
          </cell>
          <cell r="EZ290">
            <v>13.412000000000001</v>
          </cell>
          <cell r="FA290">
            <v>16.123999999999999</v>
          </cell>
          <cell r="FB290">
            <v>18.558</v>
          </cell>
          <cell r="FC290">
            <v>20.085999999999999</v>
          </cell>
          <cell r="FD290">
            <v>13.581</v>
          </cell>
          <cell r="FE290">
            <v>16.206</v>
          </cell>
          <cell r="FF290">
            <v>8.5350000000000001</v>
          </cell>
          <cell r="FG290">
            <v>16.936</v>
          </cell>
          <cell r="FH290">
            <v>20.984999999999999</v>
          </cell>
          <cell r="FI290">
            <v>11.734</v>
          </cell>
          <cell r="FJ290">
            <v>13.727</v>
          </cell>
          <cell r="FK290">
            <v>15.206</v>
          </cell>
          <cell r="FL290">
            <v>11.89</v>
          </cell>
          <cell r="FM290">
            <v>18.744</v>
          </cell>
          <cell r="FN290">
            <v>9.5709999999999997</v>
          </cell>
          <cell r="FO290">
            <v>19.617000000000001</v>
          </cell>
          <cell r="FP290">
            <v>21.166</v>
          </cell>
          <cell r="FQ290">
            <v>22.655000000000001</v>
          </cell>
          <cell r="FR290">
            <v>11.035</v>
          </cell>
          <cell r="FS290">
            <v>10.798999999999999</v>
          </cell>
          <cell r="FT290">
            <v>12.031000000000001</v>
          </cell>
          <cell r="FU290">
            <v>10.815</v>
          </cell>
          <cell r="FV290">
            <v>12.42</v>
          </cell>
          <cell r="FW290">
            <v>7.1790000000000003</v>
          </cell>
          <cell r="FX290">
            <v>8.7850000000000001</v>
          </cell>
          <cell r="FY290">
            <v>12.945</v>
          </cell>
          <cell r="FZ290">
            <v>9.1739999999999995</v>
          </cell>
          <cell r="GA290">
            <v>16.015000000000001</v>
          </cell>
          <cell r="GB290">
            <v>15.019</v>
          </cell>
          <cell r="GC290">
            <v>14.369</v>
          </cell>
          <cell r="GD290">
            <v>5.7880000000000003</v>
          </cell>
          <cell r="GE290">
            <v>8.7070000000000007</v>
          </cell>
          <cell r="GF290">
            <v>11.22</v>
          </cell>
          <cell r="GG290">
            <v>11.176</v>
          </cell>
          <cell r="GH290">
            <v>10.122</v>
          </cell>
          <cell r="GI290">
            <v>11.012</v>
          </cell>
          <cell r="GJ290">
            <v>9.1349999999999998</v>
          </cell>
          <cell r="GK290">
            <v>10.497999999999999</v>
          </cell>
          <cell r="GL290">
            <v>10.242000000000001</v>
          </cell>
          <cell r="GM290">
            <v>18.501999999999999</v>
          </cell>
          <cell r="GN290">
            <v>17.338999999999999</v>
          </cell>
          <cell r="GO290">
            <v>16.227</v>
          </cell>
          <cell r="GP290">
            <v>12.29</v>
          </cell>
          <cell r="GQ290">
            <v>9.2949999999999999</v>
          </cell>
          <cell r="GR290">
            <v>9.2080000000000002</v>
          </cell>
          <cell r="GS290">
            <v>9.3369999999999997</v>
          </cell>
          <cell r="GT290">
            <v>7.992</v>
          </cell>
          <cell r="GU290">
            <v>9.6579999999999995</v>
          </cell>
          <cell r="GV290">
            <v>12.345000000000001</v>
          </cell>
          <cell r="GW290">
            <v>9.4870000000000001</v>
          </cell>
          <cell r="GX290">
            <v>11.727</v>
          </cell>
          <cell r="GY290">
            <v>6.7910000000000004</v>
          </cell>
          <cell r="GZ290">
            <v>8.7690000000000001</v>
          </cell>
          <cell r="HA290">
            <v>7.6669999999999998</v>
          </cell>
          <cell r="HB290">
            <v>8.0630000000000006</v>
          </cell>
          <cell r="HC290">
            <v>11.587999999999999</v>
          </cell>
          <cell r="HD290">
            <v>15.074999999999999</v>
          </cell>
          <cell r="HE290">
            <v>11.584</v>
          </cell>
          <cell r="HF290">
            <v>13.632</v>
          </cell>
          <cell r="HG290">
            <v>9.2889999999999997</v>
          </cell>
          <cell r="HH290">
            <v>8.6419999999999995</v>
          </cell>
          <cell r="HI290">
            <v>7.1020000000000003</v>
          </cell>
          <cell r="HJ290">
            <v>11.972</v>
          </cell>
          <cell r="HK290">
            <v>8.5139999999999993</v>
          </cell>
          <cell r="HL290">
            <v>11.016</v>
          </cell>
          <cell r="HM290">
            <v>8.2560000000000002</v>
          </cell>
          <cell r="HN290">
            <v>8.0150000000000006</v>
          </cell>
          <cell r="HO290">
            <v>13.257999999999999</v>
          </cell>
          <cell r="HP290">
            <v>13.51</v>
          </cell>
          <cell r="HQ290">
            <v>14.058</v>
          </cell>
          <cell r="HR290">
            <v>12.855</v>
          </cell>
          <cell r="HS290">
            <v>8.173</v>
          </cell>
          <cell r="HT290">
            <v>10.74</v>
          </cell>
          <cell r="HU290">
            <v>13.010999999999999</v>
          </cell>
          <cell r="HV290">
            <v>12.032999999999999</v>
          </cell>
          <cell r="HW290">
            <v>17.134</v>
          </cell>
          <cell r="HX290">
            <v>11.686</v>
          </cell>
          <cell r="HY290">
            <v>13.205</v>
          </cell>
          <cell r="HZ290">
            <v>11.205</v>
          </cell>
          <cell r="IA290">
            <v>13.568</v>
          </cell>
          <cell r="IB290">
            <v>14.831</v>
          </cell>
          <cell r="IC290">
            <v>14.302</v>
          </cell>
          <cell r="ID290">
            <v>13.183999999999999</v>
          </cell>
          <cell r="IE290">
            <v>12.946</v>
          </cell>
          <cell r="IF290">
            <v>13.381</v>
          </cell>
          <cell r="IG290">
            <v>13.528</v>
          </cell>
          <cell r="IH290">
            <v>13.837999999999999</v>
          </cell>
          <cell r="II290">
            <v>14.02</v>
          </cell>
          <cell r="IJ290">
            <v>11.98</v>
          </cell>
          <cell r="IK290">
            <v>14.618</v>
          </cell>
          <cell r="IL290">
            <v>12.538</v>
          </cell>
          <cell r="IM290">
            <v>14.308999999999999</v>
          </cell>
          <cell r="IN290">
            <v>18.102</v>
          </cell>
          <cell r="IO290">
            <v>17.109000000000002</v>
          </cell>
          <cell r="IP290">
            <v>14.471</v>
          </cell>
          <cell r="IQ290">
            <v>16.585000000000001</v>
          </cell>
          <cell r="IR290">
            <v>15.56</v>
          </cell>
          <cell r="IS290">
            <v>21.282</v>
          </cell>
          <cell r="IT290">
            <v>18.956</v>
          </cell>
          <cell r="IU290">
            <v>17.222999999999999</v>
          </cell>
          <cell r="IV290">
            <v>17.515999999999998</v>
          </cell>
          <cell r="IW290">
            <v>17.815000000000001</v>
          </cell>
          <cell r="IX290">
            <v>15.521000000000001</v>
          </cell>
          <cell r="IY290">
            <v>13.555</v>
          </cell>
          <cell r="IZ290">
            <v>16.207999999999998</v>
          </cell>
          <cell r="JA290">
            <v>15.973000000000001</v>
          </cell>
          <cell r="JB290">
            <v>12.932</v>
          </cell>
          <cell r="JC290">
            <v>16.559999999999999</v>
          </cell>
          <cell r="JD290">
            <v>18.032</v>
          </cell>
          <cell r="JE290">
            <v>16.376000000000001</v>
          </cell>
          <cell r="JF290">
            <v>21.111000000000001</v>
          </cell>
          <cell r="JG290">
            <v>31.696999999999999</v>
          </cell>
          <cell r="JH290">
            <v>24.649000000000001</v>
          </cell>
          <cell r="JI290">
            <v>21.655999999999999</v>
          </cell>
          <cell r="JJ290">
            <v>20.306999999999999</v>
          </cell>
          <cell r="JK290">
            <v>22.428000000000001</v>
          </cell>
          <cell r="JL290">
            <v>50.853000000000002</v>
          </cell>
          <cell r="JM290">
            <v>26.954000000000001</v>
          </cell>
          <cell r="JN290">
            <v>31.056000000000001</v>
          </cell>
          <cell r="JO290">
            <v>26.649000000000001</v>
          </cell>
          <cell r="JP290">
            <v>31.103000000000002</v>
          </cell>
          <cell r="JQ290">
            <v>32.201000000000001</v>
          </cell>
          <cell r="JR290">
            <v>24.518000000000001</v>
          </cell>
          <cell r="JS290">
            <v>32.320999999999998</v>
          </cell>
          <cell r="JT290">
            <v>15.789</v>
          </cell>
          <cell r="JU290">
            <v>23.233000000000001</v>
          </cell>
          <cell r="JV290">
            <v>14.263</v>
          </cell>
          <cell r="JW290">
            <v>56.917999999999999</v>
          </cell>
          <cell r="JX290">
            <v>77.126000000000005</v>
          </cell>
          <cell r="JY290">
            <v>31.710999999999999</v>
          </cell>
          <cell r="JZ290">
            <v>23.989000000000001</v>
          </cell>
          <cell r="KA290">
            <v>28.472999999999999</v>
          </cell>
          <cell r="KB290">
            <v>40.325000000000003</v>
          </cell>
          <cell r="KC290">
            <v>33.219000000000001</v>
          </cell>
          <cell r="KD290">
            <v>28.007000000000001</v>
          </cell>
          <cell r="KE290">
            <v>28.927</v>
          </cell>
          <cell r="KF290">
            <v>29.300999999999998</v>
          </cell>
          <cell r="KG290">
            <v>34.006999999999998</v>
          </cell>
          <cell r="KH290">
            <v>15.364000000000001</v>
          </cell>
          <cell r="KI290">
            <v>38.658999999999999</v>
          </cell>
          <cell r="KJ290">
            <v>45.317999999999998</v>
          </cell>
          <cell r="KK290">
            <v>32.715000000000003</v>
          </cell>
          <cell r="KL290">
            <v>21.693000000000001</v>
          </cell>
          <cell r="KM290">
            <v>37.887999999999998</v>
          </cell>
          <cell r="KN290">
            <v>21.094999999999999</v>
          </cell>
          <cell r="KO290">
            <v>37.595999999999997</v>
          </cell>
          <cell r="KP290">
            <v>30.446999999999999</v>
          </cell>
          <cell r="KQ290">
            <v>28.306999999999999</v>
          </cell>
          <cell r="KR290">
            <v>29.516999999999999</v>
          </cell>
          <cell r="KS290">
            <v>21.545999999999999</v>
          </cell>
          <cell r="KT290">
            <v>25.952999999999996</v>
          </cell>
          <cell r="KU290">
            <v>35.186999999999998</v>
          </cell>
          <cell r="KV290">
            <v>50.716999999999999</v>
          </cell>
          <cell r="KW290">
            <v>48.824999999999989</v>
          </cell>
          <cell r="KX290">
            <v>46.576999999999998</v>
          </cell>
          <cell r="KY290">
            <v>43.816000000000003</v>
          </cell>
          <cell r="KZ290">
            <v>43.526999999999994</v>
          </cell>
          <cell r="LA290">
            <v>39.994</v>
          </cell>
          <cell r="LB290">
            <v>26.904999999999998</v>
          </cell>
          <cell r="LC290">
            <v>26.09</v>
          </cell>
          <cell r="LD290">
            <v>45.768999999999998</v>
          </cell>
          <cell r="LE290">
            <v>24.020999999999997</v>
          </cell>
          <cell r="LF290">
            <v>27.475999999999999</v>
          </cell>
          <cell r="LG290">
            <v>39.74</v>
          </cell>
          <cell r="LH290">
            <v>60.398999999999994</v>
          </cell>
          <cell r="LI290">
            <v>52.865000000000009</v>
          </cell>
          <cell r="LJ290">
            <v>31.18</v>
          </cell>
          <cell r="LK290">
            <v>41.313999999999993</v>
          </cell>
          <cell r="LL290">
            <v>38.943999999999996</v>
          </cell>
          <cell r="LM290">
            <v>49.3</v>
          </cell>
          <cell r="LN290">
            <v>33.464999999999996</v>
          </cell>
          <cell r="LO290">
            <v>50.19</v>
          </cell>
          <cell r="LP290">
            <v>30.042999999999999</v>
          </cell>
          <cell r="LQ290">
            <v>46.416000000000004</v>
          </cell>
          <cell r="LR290">
            <v>53.010000000000005</v>
          </cell>
          <cell r="LS290">
            <v>46.84</v>
          </cell>
          <cell r="LT290">
            <v>37.975999999999999</v>
          </cell>
          <cell r="LU290">
            <v>57.378</v>
          </cell>
          <cell r="LV290">
            <v>30.288</v>
          </cell>
          <cell r="LW290">
            <v>60.022999999999996</v>
          </cell>
          <cell r="LX290">
            <v>31.54</v>
          </cell>
          <cell r="LY290">
            <v>58.521000000000008</v>
          </cell>
          <cell r="LZ290">
            <v>35.868000000000002</v>
          </cell>
          <cell r="MA290">
            <v>51.643000000000001</v>
          </cell>
          <cell r="MB290">
            <v>40.137000000000008</v>
          </cell>
          <cell r="MC290">
            <v>30340.907999999996</v>
          </cell>
          <cell r="MD290">
            <v>35619.040000000001</v>
          </cell>
          <cell r="ME290">
            <v>54576.108</v>
          </cell>
          <cell r="MF290">
            <v>85776.224999999962</v>
          </cell>
          <cell r="MG290">
            <v>53524.974000000002</v>
          </cell>
          <cell r="MH290">
            <v>53203.531999999963</v>
          </cell>
          <cell r="MI290">
            <v>92620.608000000037</v>
          </cell>
          <cell r="MJ290">
            <v>54954.368000000002</v>
          </cell>
          <cell r="MK290">
            <v>78555.612999999983</v>
          </cell>
          <cell r="ML290">
            <v>68954.748999999953</v>
          </cell>
          <cell r="MM290">
            <v>59307.520999999986</v>
          </cell>
          <cell r="MN290">
            <v>94729.69499999992</v>
          </cell>
          <cell r="MO290">
            <v>108708.78999999995</v>
          </cell>
          <cell r="MP290">
            <v>44278.680000000022</v>
          </cell>
          <cell r="MQ290">
            <v>68225.141999999993</v>
          </cell>
          <cell r="MR290">
            <v>62350.118000000031</v>
          </cell>
          <cell r="MS290">
            <v>56910.970999999969</v>
          </cell>
          <cell r="MT290">
            <v>67164.107000000004</v>
          </cell>
          <cell r="MU290">
            <v>36272.423000000003</v>
          </cell>
          <cell r="MV290">
            <v>58635.941999999974</v>
          </cell>
          <cell r="MW290">
            <v>58380.75599999995</v>
          </cell>
          <cell r="MX290">
            <v>48341.818999999967</v>
          </cell>
          <cell r="MY290">
            <v>41567.380999999994</v>
          </cell>
          <cell r="MZ290">
            <v>80892.596999999965</v>
          </cell>
          <cell r="NA290">
            <v>55865.762999999992</v>
          </cell>
          <cell r="NB290">
            <v>46107.46899999999</v>
          </cell>
          <cell r="NC290">
            <v>69141.968000000023</v>
          </cell>
          <cell r="ND290">
            <v>62550.430999999975</v>
          </cell>
          <cell r="NE290">
            <v>41944.978999999992</v>
          </cell>
          <cell r="NF290">
            <v>74602.598999999973</v>
          </cell>
          <cell r="NG290">
            <v>56904.146999999983</v>
          </cell>
          <cell r="NH290">
            <v>83296.197000000015</v>
          </cell>
          <cell r="NI290">
            <v>83871.969000000012</v>
          </cell>
          <cell r="NJ290">
            <v>58208.925999999992</v>
          </cell>
          <cell r="NK290">
            <v>73247.79200000003</v>
          </cell>
          <cell r="NL290">
            <v>57151.518999999986</v>
          </cell>
          <cell r="NM290">
            <v>72851.901000000027</v>
          </cell>
          <cell r="NN290">
            <v>98599.324000000008</v>
          </cell>
          <cell r="NO290">
            <v>75966.918000000063</v>
          </cell>
          <cell r="NP290">
            <v>49333.639999999978</v>
          </cell>
          <cell r="NQ290">
            <v>156339.845</v>
          </cell>
          <cell r="NR290">
            <v>125097.37199999996</v>
          </cell>
          <cell r="NS290">
            <v>130063.26500000009</v>
          </cell>
          <cell r="NT290">
            <v>80954.942000000025</v>
          </cell>
          <cell r="NU290">
            <v>90586.828000000023</v>
          </cell>
          <cell r="NV290">
            <v>90947.474999999977</v>
          </cell>
          <cell r="NW290">
            <v>131672.25299999991</v>
          </cell>
          <cell r="NX290">
            <v>121752.37699999996</v>
          </cell>
          <cell r="NY290">
            <v>79110.806999999986</v>
          </cell>
          <cell r="NZ290">
            <v>84114.555999999982</v>
          </cell>
          <cell r="OA290">
            <v>87857.130999999994</v>
          </cell>
          <cell r="OB290">
            <v>118147.08599999998</v>
          </cell>
          <cell r="OC290">
            <v>90973.443000000014</v>
          </cell>
          <cell r="OD290">
            <v>97016.259999999922</v>
          </cell>
          <cell r="OE290">
            <v>110963.39999999994</v>
          </cell>
          <cell r="OF290">
            <v>92425.96299999996</v>
          </cell>
          <cell r="OG290">
            <v>97594.142999999982</v>
          </cell>
          <cell r="OH290">
            <v>65644.473999999944</v>
          </cell>
          <cell r="OI290">
            <v>93793.730000000069</v>
          </cell>
          <cell r="OJ290">
            <v>44983.83499999997</v>
          </cell>
          <cell r="OK290">
            <v>50224.150999999911</v>
          </cell>
          <cell r="OL290">
            <v>59291.490999999944</v>
          </cell>
          <cell r="OM290">
            <v>59729.736999999986</v>
          </cell>
          <cell r="ON290">
            <v>73181.720999999932</v>
          </cell>
          <cell r="OO290">
            <v>48229.38900000001</v>
          </cell>
        </row>
      </sheetData>
      <sheetData sheetId="13">
        <row r="290">
          <cell r="CQ290">
            <v>371.46899999999999</v>
          </cell>
          <cell r="CR290">
            <v>152.68799999999999</v>
          </cell>
          <cell r="CS290">
            <v>141.583</v>
          </cell>
          <cell r="CT290">
            <v>314.97800000000001</v>
          </cell>
          <cell r="CU290">
            <v>330.524</v>
          </cell>
          <cell r="CV290">
            <v>160.39500000000001</v>
          </cell>
          <cell r="CW290">
            <v>89.350999999999999</v>
          </cell>
          <cell r="CX290">
            <v>98.498000000000005</v>
          </cell>
          <cell r="CY290">
            <v>27.373999999999999</v>
          </cell>
          <cell r="CZ290">
            <v>108.95699999999999</v>
          </cell>
          <cell r="DA290">
            <v>45.222999999999999</v>
          </cell>
          <cell r="DB290">
            <v>148.59</v>
          </cell>
          <cell r="DC290">
            <v>80.313000000000002</v>
          </cell>
          <cell r="DD290">
            <v>129.25200000000001</v>
          </cell>
          <cell r="DE290">
            <v>146.465</v>
          </cell>
          <cell r="DF290">
            <v>110.876</v>
          </cell>
          <cell r="DG290">
            <v>182.92599999999999</v>
          </cell>
          <cell r="DH290">
            <v>157.25299999999999</v>
          </cell>
          <cell r="DI290">
            <v>128.006</v>
          </cell>
          <cell r="DJ290">
            <v>80.08</v>
          </cell>
          <cell r="DK290">
            <v>68.051000000000002</v>
          </cell>
          <cell r="DL290">
            <v>57.685000000000002</v>
          </cell>
          <cell r="DM290">
            <v>193.49600000000001</v>
          </cell>
          <cell r="DN290">
            <v>268.81099999999998</v>
          </cell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>
            <v>0.06</v>
          </cell>
          <cell r="EB290">
            <v>2.5000000000000001E-4</v>
          </cell>
          <cell r="EC290">
            <v>0.21001400000000001</v>
          </cell>
          <cell r="ED290">
            <v>0.62880400000000003</v>
          </cell>
          <cell r="EE290">
            <v>4.5409999999999999E-3</v>
          </cell>
          <cell r="EF290"/>
          <cell r="EG290"/>
          <cell r="EH290"/>
          <cell r="EI290"/>
          <cell r="EJ290">
            <v>3.7399999999999998E-4</v>
          </cell>
          <cell r="EK290"/>
          <cell r="EL290"/>
          <cell r="EM290"/>
          <cell r="EN290">
            <v>9.3999999999999994E-5</v>
          </cell>
          <cell r="EO290">
            <v>0.37540699999999999</v>
          </cell>
          <cell r="EP290">
            <v>0.71931500000000004</v>
          </cell>
          <cell r="EQ290">
            <v>5.4605000000000001E-2</v>
          </cell>
          <cell r="ER290">
            <v>4.3E-3</v>
          </cell>
          <cell r="ES290">
            <v>4.8467999999999997E-2</v>
          </cell>
          <cell r="ET290">
            <v>1.8699999999999999E-4</v>
          </cell>
          <cell r="FG290"/>
          <cell r="FH290"/>
          <cell r="FI290">
            <v>0.88717999999999997</v>
          </cell>
          <cell r="FJ290">
            <v>2.2248410000000001</v>
          </cell>
          <cell r="FK290">
            <v>3.8170000000000003E-2</v>
          </cell>
          <cell r="FL290">
            <v>0.39838299999999999</v>
          </cell>
          <cell r="FM290">
            <v>0.88178900000000004</v>
          </cell>
          <cell r="FN290">
            <v>1.4510940000000001</v>
          </cell>
          <cell r="FO290">
            <v>0.16266900000000001</v>
          </cell>
          <cell r="FP290">
            <v>3.2200000000000002E-4</v>
          </cell>
          <cell r="FQ290">
            <v>8.8599999999999996E-4</v>
          </cell>
          <cell r="FR290">
            <v>5.9100000000000005E-4</v>
          </cell>
          <cell r="FS290">
            <v>5.0100000000000003E-4</v>
          </cell>
          <cell r="FT290">
            <v>3.28E-4</v>
          </cell>
          <cell r="FU290">
            <v>6.7500000000000004E-4</v>
          </cell>
          <cell r="FV290">
            <v>0.18614</v>
          </cell>
          <cell r="FW290">
            <v>3.6496000000000001E-2</v>
          </cell>
          <cell r="FX290">
            <v>0.80120199999999997</v>
          </cell>
          <cell r="FY290">
            <v>2.05124</v>
          </cell>
          <cell r="FZ290">
            <v>1.388069</v>
          </cell>
          <cell r="GA290">
            <v>0.12457</v>
          </cell>
          <cell r="GB290">
            <v>2.3879999999999999E-3</v>
          </cell>
          <cell r="GC290">
            <v>3.4200000000000002E-4</v>
          </cell>
          <cell r="GD290">
            <v>4.0700000000000003E-4</v>
          </cell>
          <cell r="GE290">
            <v>4.46E-4</v>
          </cell>
          <cell r="GF290"/>
          <cell r="GG290">
            <v>3.449E-2</v>
          </cell>
          <cell r="GH290">
            <v>1.0939999999999999E-3</v>
          </cell>
          <cell r="GI290">
            <v>0.28100999999999998</v>
          </cell>
          <cell r="GJ290">
            <v>1.3011159999999999</v>
          </cell>
          <cell r="GK290">
            <v>1.771997</v>
          </cell>
          <cell r="GL290">
            <v>2.2038690000000001</v>
          </cell>
          <cell r="GM290">
            <v>0.29713699999999998</v>
          </cell>
          <cell r="GN290">
            <v>1.7461999999999998E-2</v>
          </cell>
          <cell r="GO290">
            <v>3.3897999999999998E-2</v>
          </cell>
          <cell r="GP290">
            <v>2.0993000000000001E-2</v>
          </cell>
          <cell r="GQ290">
            <v>6.7400000000000001E-4</v>
          </cell>
          <cell r="GR290">
            <v>2.5140000000000002E-3</v>
          </cell>
          <cell r="GS290">
            <v>5.2691000000000002E-2</v>
          </cell>
          <cell r="GT290">
            <v>0.66676000000000002</v>
          </cell>
          <cell r="GU290">
            <v>0.45655699999999999</v>
          </cell>
          <cell r="GV290">
            <v>1.0489539999999999</v>
          </cell>
          <cell r="GW290">
            <v>2.4452929999999999</v>
          </cell>
          <cell r="GX290">
            <v>2.5046499999999998</v>
          </cell>
          <cell r="GY290">
            <v>0.23704600000000001</v>
          </cell>
          <cell r="GZ290">
            <v>0.30956899999999998</v>
          </cell>
          <cell r="HA290">
            <v>0.13513600000000001</v>
          </cell>
          <cell r="HB290">
            <v>2.0603E-2</v>
          </cell>
          <cell r="HC290">
            <v>3.1056E-2</v>
          </cell>
          <cell r="HD290">
            <v>6.5351999999999993E-2</v>
          </cell>
          <cell r="HE290">
            <v>1.5703000000000002E-2</v>
          </cell>
          <cell r="HF290">
            <v>0.52276400000000001</v>
          </cell>
          <cell r="HG290">
            <v>0.21517800000000001</v>
          </cell>
          <cell r="HH290">
            <v>0.88935600000000004</v>
          </cell>
          <cell r="HI290">
            <v>1.831183</v>
          </cell>
          <cell r="HJ290">
            <v>1.9464999999999999</v>
          </cell>
          <cell r="HK290">
            <v>8.0748E-2</v>
          </cell>
          <cell r="HL290">
            <v>2.8072E-2</v>
          </cell>
          <cell r="HM290">
            <v>6.5960000000000003E-3</v>
          </cell>
          <cell r="HN290"/>
          <cell r="HO290">
            <v>1.1E-5</v>
          </cell>
          <cell r="HP290">
            <v>1.5445E-2</v>
          </cell>
          <cell r="HQ290">
            <v>3.8052000000000002E-2</v>
          </cell>
          <cell r="HR290">
            <v>0.42757000000000001</v>
          </cell>
          <cell r="HS290">
            <v>0.27779399999999999</v>
          </cell>
          <cell r="HT290">
            <v>1.2840069999999999</v>
          </cell>
          <cell r="HU290">
            <v>1.874857</v>
          </cell>
          <cell r="HV290">
            <v>2.5464579999999999</v>
          </cell>
          <cell r="HW290">
            <v>0.16026699999999999</v>
          </cell>
          <cell r="HX290">
            <v>1.8873000000000001E-2</v>
          </cell>
          <cell r="HY290">
            <v>4.0015000000000002E-2</v>
          </cell>
          <cell r="HZ290">
            <v>8.2900000000000005E-3</v>
          </cell>
          <cell r="IA290">
            <v>1.8799999999999999E-4</v>
          </cell>
          <cell r="IB290"/>
          <cell r="IC290">
            <v>6.1990999999999997E-2</v>
          </cell>
          <cell r="ID290">
            <v>0.55435699999999999</v>
          </cell>
          <cell r="IE290">
            <v>1.052349</v>
          </cell>
          <cell r="IF290">
            <v>2.7672020000000002</v>
          </cell>
          <cell r="IG290">
            <v>3.2776130000000001</v>
          </cell>
          <cell r="IH290">
            <v>3.5471159999999999</v>
          </cell>
          <cell r="II290">
            <v>0.72426999999999997</v>
          </cell>
          <cell r="IJ290">
            <v>0.26494000000000001</v>
          </cell>
          <cell r="IK290"/>
          <cell r="IL290">
            <v>1.92E-4</v>
          </cell>
          <cell r="IM290">
            <v>1.3440000000000001E-2</v>
          </cell>
          <cell r="IN290"/>
          <cell r="IO290">
            <v>0.239595</v>
          </cell>
          <cell r="IP290">
            <v>1.4105129999999999</v>
          </cell>
          <cell r="IQ290">
            <v>1.246489</v>
          </cell>
          <cell r="IR290">
            <v>3.7390110000000001</v>
          </cell>
          <cell r="IS290">
            <v>5.3408340000000001</v>
          </cell>
          <cell r="IT290">
            <v>3.679497</v>
          </cell>
          <cell r="IU290">
            <v>0.90866999999999998</v>
          </cell>
          <cell r="IV290">
            <v>0.16447600000000001</v>
          </cell>
          <cell r="IW290">
            <v>7.3499999999999996E-2</v>
          </cell>
          <cell r="IX290"/>
          <cell r="IY290">
            <v>2.9045000000000001E-2</v>
          </cell>
          <cell r="IZ290"/>
          <cell r="JA290">
            <v>0.26458700000000002</v>
          </cell>
          <cell r="JB290">
            <v>2.2728139999999999</v>
          </cell>
          <cell r="JC290">
            <v>2.812595</v>
          </cell>
          <cell r="JD290">
            <v>5.3709189999999998</v>
          </cell>
          <cell r="JE290">
            <v>5.5475260000000004</v>
          </cell>
          <cell r="JF290">
            <v>3.1501269999999999</v>
          </cell>
          <cell r="JG290">
            <v>0.21034600000000001</v>
          </cell>
          <cell r="JH290">
            <v>1.5233E-2</v>
          </cell>
          <cell r="JI290">
            <v>3.9E-2</v>
          </cell>
          <cell r="JJ290">
            <v>3.7999999999999999E-2</v>
          </cell>
          <cell r="JK290">
            <v>6.0090999999999999E-2</v>
          </cell>
          <cell r="JL290">
            <v>7.9000000000000001E-2</v>
          </cell>
          <cell r="JM290">
            <v>0.79254400000000003</v>
          </cell>
          <cell r="JN290">
            <v>1.6547689999999999</v>
          </cell>
          <cell r="JO290">
            <v>2.0678930000000002</v>
          </cell>
          <cell r="JP290">
            <v>4.2830300000000001</v>
          </cell>
          <cell r="JQ290">
            <v>4.6114930000000003</v>
          </cell>
          <cell r="JR290">
            <v>1.656296</v>
          </cell>
          <cell r="JS290">
            <v>5.1846000000000003E-2</v>
          </cell>
          <cell r="JT290">
            <v>8.3825999999999998E-2</v>
          </cell>
          <cell r="JU290">
            <v>2.0032000000000001E-2</v>
          </cell>
          <cell r="JV290">
            <v>1.2999999999999999E-4</v>
          </cell>
          <cell r="JW290">
            <v>1.2853E-2</v>
          </cell>
          <cell r="JX290">
            <v>9.0204000000000006E-2</v>
          </cell>
          <cell r="JY290">
            <v>0.228857</v>
          </cell>
          <cell r="JZ290">
            <v>2.4216259999999998</v>
          </cell>
          <cell r="KA290">
            <v>1.9277029999999999</v>
          </cell>
          <cell r="KB290">
            <v>4.0979429999999999</v>
          </cell>
          <cell r="KC290">
            <v>3.5775709999999998</v>
          </cell>
          <cell r="KD290">
            <v>1.0354380000000001</v>
          </cell>
          <cell r="KE290">
            <v>9.5716999999999997E-2</v>
          </cell>
          <cell r="KF290">
            <v>0.48842099999999999</v>
          </cell>
          <cell r="KG290">
            <v>1.2602169999999999</v>
          </cell>
          <cell r="KH290">
            <v>0.18553900000000001</v>
          </cell>
          <cell r="KI290">
            <v>7.2999999999999999E-5</v>
          </cell>
          <cell r="KJ290">
            <v>2.1045000000000001E-2</v>
          </cell>
          <cell r="KK290">
            <v>0.36109599999999997</v>
          </cell>
          <cell r="KL290">
            <v>0.93943500000000002</v>
          </cell>
          <cell r="KM290">
            <v>4.1720410000000001</v>
          </cell>
          <cell r="KN290">
            <v>6.5542639999999999</v>
          </cell>
          <cell r="KO290">
            <v>6.9100390000000003</v>
          </cell>
          <cell r="KP290">
            <v>2.3685589999999999</v>
          </cell>
          <cell r="KQ290">
            <v>0.37012499999999998</v>
          </cell>
          <cell r="KR290">
            <v>1.1956E-2</v>
          </cell>
          <cell r="KS290">
            <v>5.5999999999999999E-5</v>
          </cell>
          <cell r="KT290">
            <v>1.0057999999999999E-2</v>
          </cell>
          <cell r="KU290">
            <v>0.142622</v>
          </cell>
          <cell r="KV290">
            <v>8.0409999999999995E-2</v>
          </cell>
          <cell r="KW290">
            <v>1.1907540000000001</v>
          </cell>
          <cell r="KX290">
            <v>2.4189180000000001</v>
          </cell>
          <cell r="KY290">
            <v>2.4643649999999999</v>
          </cell>
          <cell r="KZ290">
            <v>7.5780770000000004</v>
          </cell>
          <cell r="LA290">
            <v>7.581493</v>
          </cell>
          <cell r="LB290">
            <v>1.9649779999999999</v>
          </cell>
          <cell r="LC290">
            <v>6.4195000000000002E-2</v>
          </cell>
          <cell r="LD290">
            <v>2.7902E-2</v>
          </cell>
          <cell r="LE290">
            <v>7.9999999999999996E-6</v>
          </cell>
          <cell r="LF290"/>
          <cell r="LG290">
            <v>5.3039999999999997E-3</v>
          </cell>
          <cell r="LH290">
            <v>8.1449999999999995E-2</v>
          </cell>
          <cell r="LI290">
            <v>1.7909280000000001</v>
          </cell>
          <cell r="LJ290">
            <v>3.2707350000000002</v>
          </cell>
          <cell r="LK290">
            <v>3.670293</v>
          </cell>
          <cell r="LL290">
            <v>7.6519880000000002</v>
          </cell>
          <cell r="LM290">
            <v>7.358473</v>
          </cell>
          <cell r="LN290">
            <v>4.0357979999999998</v>
          </cell>
          <cell r="LO290">
            <v>1.923454</v>
          </cell>
          <cell r="LP290">
            <v>0.31418400000000002</v>
          </cell>
          <cell r="LQ290">
            <v>1.2455000000000001E-2</v>
          </cell>
          <cell r="LR290">
            <v>3.6068000000000003E-2</v>
          </cell>
          <cell r="LS290">
            <v>1E-3</v>
          </cell>
          <cell r="LT290">
            <v>0.34661999999999998</v>
          </cell>
          <cell r="LU290">
            <v>1.327102</v>
          </cell>
          <cell r="LV290">
            <v>3.2065199999999998</v>
          </cell>
          <cell r="LW290">
            <v>3.6423890000000001</v>
          </cell>
          <cell r="LX290">
            <v>5.8120050000000001</v>
          </cell>
          <cell r="LY290">
            <v>5.7428720000000002</v>
          </cell>
          <cell r="LZ290">
            <v>2.2632300000000001</v>
          </cell>
          <cell r="MA290">
            <v>9.4729999999999995E-2</v>
          </cell>
          <cell r="MB290">
            <v>0.121659</v>
          </cell>
          <cell r="MC290">
            <v>4.5446E-2</v>
          </cell>
          <cell r="MD290">
            <v>1.5192000000000001E-2</v>
          </cell>
          <cell r="ME290">
            <v>2.1904880000000002</v>
          </cell>
          <cell r="MF290">
            <v>3.0220229999999999</v>
          </cell>
          <cell r="MG290">
            <v>6.6765460000000001</v>
          </cell>
          <cell r="MH290">
            <v>3.3302429999999998</v>
          </cell>
          <cell r="MI290">
            <v>4.2188650000000001</v>
          </cell>
          <cell r="MJ290">
            <v>4.968089</v>
          </cell>
          <cell r="MK290">
            <v>4.549671</v>
          </cell>
          <cell r="ML290">
            <v>1.3966050000000001</v>
          </cell>
          <cell r="MM290">
            <v>5.4443999999999999E-2</v>
          </cell>
          <cell r="MN290">
            <v>0.111447</v>
          </cell>
          <cell r="MO290">
            <v>1.3447000000000001E-2</v>
          </cell>
          <cell r="MP290">
            <v>0.202319</v>
          </cell>
          <cell r="MQ290">
            <v>0.28572199999999998</v>
          </cell>
          <cell r="MR290">
            <v>0.38390299999999999</v>
          </cell>
          <cell r="MS290">
            <v>2.2106949999999999</v>
          </cell>
          <cell r="MT290">
            <v>2.5973220000000001</v>
          </cell>
          <cell r="MU290">
            <v>3.907</v>
          </cell>
          <cell r="MV290">
            <v>6.1159999999999997</v>
          </cell>
          <cell r="MW290">
            <v>6.5549999999999997</v>
          </cell>
          <cell r="MX290">
            <v>1.84</v>
          </cell>
          <cell r="MY290">
            <v>0.17100000000000001</v>
          </cell>
          <cell r="MZ290">
            <v>0.156</v>
          </cell>
          <cell r="NA290">
            <v>0.08</v>
          </cell>
          <cell r="NB290">
            <v>3.0000000000000001E-3</v>
          </cell>
          <cell r="NC290">
            <v>4.5999999999999999E-2</v>
          </cell>
          <cell r="ND290">
            <v>1.0489999999999999</v>
          </cell>
          <cell r="NE290">
            <v>1.3979999999999999</v>
          </cell>
          <cell r="NF290">
            <v>2.738</v>
          </cell>
          <cell r="NG290">
            <v>4.3680000000000003</v>
          </cell>
          <cell r="NH290">
            <v>5.7610000000000001</v>
          </cell>
          <cell r="NI290">
            <v>2.0790000000000002</v>
          </cell>
          <cell r="NJ290">
            <v>2.78</v>
          </cell>
          <cell r="NK290">
            <v>0.76</v>
          </cell>
          <cell r="NL290">
            <v>0.13100000000000001</v>
          </cell>
          <cell r="NM290">
            <v>2.1000000000000001E-2</v>
          </cell>
          <cell r="NN290">
            <v>7.0999999999999994E-2</v>
          </cell>
          <cell r="NO290">
            <v>0.38700000000000001</v>
          </cell>
          <cell r="NP290">
            <v>0.77900000000000003</v>
          </cell>
          <cell r="NQ290">
            <v>2.5619999999999998</v>
          </cell>
          <cell r="NR290">
            <v>3.0569999999999999</v>
          </cell>
          <cell r="NS290">
            <v>3.9380000000000002</v>
          </cell>
          <cell r="NT290">
            <v>6.117</v>
          </cell>
          <cell r="NU290">
            <v>5.3120000000000003</v>
          </cell>
          <cell r="NV290">
            <v>3.823</v>
          </cell>
          <cell r="NW290">
            <v>1.464</v>
          </cell>
          <cell r="NX290">
            <v>1.6040000000000001</v>
          </cell>
          <cell r="NY290">
            <v>0.91600000000000004</v>
          </cell>
          <cell r="NZ290">
            <v>1.075</v>
          </cell>
          <cell r="OA290">
            <v>0.71</v>
          </cell>
          <cell r="OB290">
            <v>0.38300000000000001</v>
          </cell>
          <cell r="OC290">
            <v>1.262</v>
          </cell>
          <cell r="OD290">
            <v>3.125</v>
          </cell>
          <cell r="OE290">
            <v>4.492</v>
          </cell>
          <cell r="OF290">
            <v>5.2569999999999997</v>
          </cell>
          <cell r="OG290">
            <v>3.2229999999999999</v>
          </cell>
        </row>
      </sheetData>
      <sheetData sheetId="14">
        <row r="4">
          <cell r="Z4">
            <v>30.812584000000001</v>
          </cell>
          <cell r="AA4">
            <v>26.869123000000002</v>
          </cell>
          <cell r="AB4">
            <v>27.195027</v>
          </cell>
          <cell r="AC4">
            <v>134.49693200000002</v>
          </cell>
          <cell r="AD4">
            <v>1189.0939999999998</v>
          </cell>
        </row>
        <row r="37">
          <cell r="Z37">
            <v>5.3999999999999999E-2</v>
          </cell>
          <cell r="AA37">
            <v>5.4913000000000003E-2</v>
          </cell>
          <cell r="AB37">
            <v>1.278E-2</v>
          </cell>
          <cell r="AC37">
            <v>1.0189999999999999E-2</v>
          </cell>
          <cell r="AD37">
            <v>5.1630000000000003</v>
          </cell>
        </row>
        <row r="59">
          <cell r="Z59">
            <v>1.2441579999999999</v>
          </cell>
          <cell r="AA59">
            <v>7.5531980000000001</v>
          </cell>
          <cell r="AB59">
            <v>4.5431559999999989</v>
          </cell>
          <cell r="AC59">
            <v>5.8419949999999989</v>
          </cell>
        </row>
        <row r="74">
          <cell r="Z74">
            <v>5.5835569999999999</v>
          </cell>
          <cell r="AA74">
            <v>67.174565999999999</v>
          </cell>
          <cell r="AB74">
            <v>19.007201999999999</v>
          </cell>
          <cell r="AC74">
            <v>90.547346000000005</v>
          </cell>
        </row>
        <row r="88">
          <cell r="Z88">
            <v>0</v>
          </cell>
          <cell r="AA88">
            <v>0.57140199999999997</v>
          </cell>
          <cell r="AB88">
            <v>1.6020749999999999</v>
          </cell>
          <cell r="AC88">
            <v>0.66595000000000004</v>
          </cell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K88"/>
          <cell r="DL88"/>
          <cell r="DM88"/>
          <cell r="DN88"/>
          <cell r="DO88"/>
          <cell r="DP88"/>
          <cell r="DQ88"/>
          <cell r="DR88"/>
          <cell r="DS88"/>
          <cell r="DT88"/>
          <cell r="DU88"/>
          <cell r="DV88"/>
          <cell r="DW88"/>
          <cell r="DX88"/>
          <cell r="DY88"/>
          <cell r="DZ88"/>
          <cell r="EA88"/>
          <cell r="EB88"/>
          <cell r="EC88"/>
          <cell r="ED88"/>
          <cell r="EE88"/>
          <cell r="EF88"/>
          <cell r="EG88"/>
          <cell r="EH88"/>
          <cell r="EI88"/>
          <cell r="EJ88"/>
          <cell r="EK88"/>
          <cell r="EL88"/>
          <cell r="EM88"/>
          <cell r="EN88"/>
          <cell r="EO88"/>
          <cell r="EP88"/>
          <cell r="EQ88"/>
          <cell r="ER88"/>
          <cell r="ES88"/>
          <cell r="ET88"/>
          <cell r="EU88"/>
          <cell r="EV88"/>
          <cell r="EW88"/>
          <cell r="EX88"/>
          <cell r="EY88"/>
          <cell r="EZ88"/>
          <cell r="FA88"/>
          <cell r="FB88"/>
          <cell r="FC88"/>
          <cell r="FD88"/>
          <cell r="FE88"/>
          <cell r="FF88"/>
          <cell r="FG88"/>
          <cell r="FH88"/>
          <cell r="FI88"/>
          <cell r="FJ88"/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/>
          <cell r="GE88"/>
          <cell r="GF88"/>
          <cell r="GG88"/>
          <cell r="GH88"/>
          <cell r="GI88"/>
          <cell r="GJ88"/>
          <cell r="GK88"/>
          <cell r="GL88"/>
          <cell r="GM88"/>
          <cell r="GN88"/>
          <cell r="GO88"/>
          <cell r="GP88"/>
          <cell r="GQ88"/>
          <cell r="GR88"/>
          <cell r="GS88"/>
          <cell r="GT88"/>
          <cell r="GU88"/>
          <cell r="GV88"/>
          <cell r="GW88"/>
          <cell r="GX88"/>
          <cell r="GY88"/>
          <cell r="GZ88"/>
          <cell r="HA88"/>
          <cell r="HB88"/>
          <cell r="HC88"/>
          <cell r="HD88"/>
          <cell r="HE88"/>
          <cell r="HF88"/>
          <cell r="HG88"/>
          <cell r="HH88"/>
          <cell r="HI88"/>
          <cell r="HJ88"/>
          <cell r="HK88"/>
          <cell r="HL88"/>
          <cell r="HM88"/>
          <cell r="HN88"/>
          <cell r="HO88"/>
          <cell r="HP88"/>
          <cell r="HQ88"/>
          <cell r="HR88"/>
          <cell r="HS88"/>
          <cell r="HT88"/>
          <cell r="HU88"/>
          <cell r="HV88"/>
          <cell r="HW88"/>
          <cell r="HX88"/>
          <cell r="HY88"/>
          <cell r="HZ88"/>
          <cell r="IA88"/>
          <cell r="IB88"/>
          <cell r="IC88"/>
          <cell r="ID88"/>
          <cell r="IE88"/>
          <cell r="IF88"/>
          <cell r="IG88"/>
          <cell r="IH88"/>
          <cell r="II88"/>
          <cell r="IJ88"/>
          <cell r="IK88"/>
          <cell r="IL88"/>
          <cell r="IM88"/>
          <cell r="IN88"/>
          <cell r="IO88"/>
          <cell r="IP88"/>
          <cell r="IQ88"/>
          <cell r="IR88"/>
          <cell r="IS88"/>
          <cell r="IT88"/>
          <cell r="IU88"/>
          <cell r="IV88"/>
          <cell r="IW88"/>
          <cell r="IX88"/>
          <cell r="IY88"/>
          <cell r="IZ88"/>
          <cell r="JA88"/>
          <cell r="JB88"/>
          <cell r="JC88"/>
          <cell r="JD88"/>
          <cell r="JE88"/>
          <cell r="JF88"/>
          <cell r="JG88"/>
          <cell r="JH88"/>
          <cell r="JI88"/>
          <cell r="JJ88"/>
          <cell r="JK88"/>
          <cell r="JL88"/>
          <cell r="JM88"/>
          <cell r="JN88"/>
          <cell r="JO88">
            <v>1.7000000000000001E-2</v>
          </cell>
          <cell r="JP88"/>
          <cell r="JQ88"/>
          <cell r="JR88"/>
          <cell r="JS88"/>
          <cell r="JT88"/>
          <cell r="JU88"/>
          <cell r="JV88"/>
          <cell r="JW88"/>
          <cell r="JX88"/>
          <cell r="JY88"/>
          <cell r="JZ88"/>
          <cell r="KA88"/>
          <cell r="KB88"/>
          <cell r="KC88"/>
          <cell r="KD88"/>
          <cell r="KE88"/>
          <cell r="KF88"/>
          <cell r="KG88"/>
          <cell r="KH88"/>
          <cell r="KI88"/>
          <cell r="KJ88"/>
          <cell r="KK88"/>
          <cell r="KL88"/>
          <cell r="KM88"/>
          <cell r="KN88"/>
          <cell r="KO88"/>
          <cell r="KP88"/>
          <cell r="KQ88"/>
          <cell r="KR88"/>
          <cell r="KS88"/>
          <cell r="KT88"/>
          <cell r="KU88"/>
          <cell r="KV88"/>
          <cell r="KW88"/>
          <cell r="KX88"/>
          <cell r="KY88"/>
          <cell r="KZ88"/>
          <cell r="LA88"/>
          <cell r="LB88"/>
          <cell r="LC88"/>
          <cell r="LD88"/>
          <cell r="LE88"/>
          <cell r="LF88"/>
          <cell r="LG88"/>
          <cell r="LH88"/>
          <cell r="LI88"/>
          <cell r="LJ88"/>
          <cell r="LK88"/>
          <cell r="LL88"/>
          <cell r="LM88"/>
          <cell r="LN88"/>
          <cell r="LO88"/>
          <cell r="LP88"/>
          <cell r="LQ88"/>
          <cell r="LR88"/>
          <cell r="LS88"/>
          <cell r="LT88"/>
          <cell r="LU88"/>
          <cell r="LV88"/>
          <cell r="LW88">
            <v>5.3999999999999999E-2</v>
          </cell>
          <cell r="LX88">
            <v>5.3999999999999999E-2</v>
          </cell>
          <cell r="LY88">
            <v>5.3999999999999999E-2</v>
          </cell>
          <cell r="LZ88">
            <v>2.8549999999999999E-2</v>
          </cell>
          <cell r="MA88">
            <v>0.25165199999999999</v>
          </cell>
          <cell r="MB88">
            <v>5.5024999999999998E-2</v>
          </cell>
          <cell r="MC88">
            <v>4.9175000000000003E-2</v>
          </cell>
          <cell r="MD88"/>
          <cell r="ME88">
            <v>2.5000000000000001E-2</v>
          </cell>
          <cell r="MF88">
            <v>0.16600000000000001</v>
          </cell>
          <cell r="MG88">
            <v>0.15504999999999999</v>
          </cell>
          <cell r="MH88">
            <v>0.114</v>
          </cell>
          <cell r="MI88">
            <v>0.14249999999999999</v>
          </cell>
          <cell r="MJ88"/>
          <cell r="MK88">
            <v>0.24399999999999999</v>
          </cell>
          <cell r="ML88">
            <v>2.8500000000000001E-2</v>
          </cell>
          <cell r="MM88">
            <v>0.34200000000000003</v>
          </cell>
          <cell r="MN88">
            <v>0.15352499999999999</v>
          </cell>
          <cell r="MO88"/>
          <cell r="MP88">
            <v>0.19950000000000001</v>
          </cell>
          <cell r="MQ88">
            <v>5.7000000000000002E-2</v>
          </cell>
          <cell r="MR88">
            <v>2.8500000000000001E-2</v>
          </cell>
          <cell r="MS88">
            <v>0.33684999999999998</v>
          </cell>
          <cell r="MT88">
            <v>0.1086</v>
          </cell>
          <cell r="MU88"/>
          <cell r="MV88">
            <v>5.1999999999999998E-2</v>
          </cell>
          <cell r="MW88" t="str">
            <v/>
          </cell>
          <cell r="MX88" t="str">
            <v/>
          </cell>
          <cell r="MY88" t="str">
            <v/>
          </cell>
        </row>
        <row r="103">
          <cell r="Z103">
            <v>4.5428999999999997E-2</v>
          </cell>
          <cell r="AA103">
            <v>0</v>
          </cell>
          <cell r="AB103">
            <v>0</v>
          </cell>
          <cell r="AC103">
            <v>4.2000000000000003E-2</v>
          </cell>
          <cell r="AD103">
            <v>0</v>
          </cell>
        </row>
        <row r="104">
          <cell r="Z104">
            <v>0.311</v>
          </cell>
          <cell r="AA104">
            <v>0.374</v>
          </cell>
          <cell r="AB104">
            <v>0.31699999999999995</v>
          </cell>
          <cell r="AC104">
            <v>0.14000000000000001</v>
          </cell>
          <cell r="AD104">
            <v>0.19600000000000001</v>
          </cell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</row>
        <row r="107">
          <cell r="Z107">
            <v>0</v>
          </cell>
          <cell r="AA107">
            <v>1.7849999999999999E-3</v>
          </cell>
          <cell r="AB107">
            <v>2.5538000000000002E-2</v>
          </cell>
          <cell r="AC107">
            <v>0</v>
          </cell>
          <cell r="AD107">
            <v>0.108</v>
          </cell>
        </row>
        <row r="108"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</row>
        <row r="109"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6.9000000000000006E-2</v>
          </cell>
        </row>
        <row r="112"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</row>
        <row r="117"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</row>
        <row r="136">
          <cell r="Z136">
            <v>0.38762499999999994</v>
          </cell>
          <cell r="AA136">
            <v>0.104</v>
          </cell>
          <cell r="AB136">
            <v>0</v>
          </cell>
          <cell r="AC136">
            <v>0</v>
          </cell>
          <cell r="AD136">
            <v>0</v>
          </cell>
        </row>
        <row r="140">
          <cell r="Z140">
            <v>0.14054499999999998</v>
          </cell>
          <cell r="AA140">
            <v>7.9500000000000001E-2</v>
          </cell>
          <cell r="AB140">
            <v>6.8010000000000001E-2</v>
          </cell>
          <cell r="AC140">
            <v>0</v>
          </cell>
          <cell r="AD140">
            <v>0</v>
          </cell>
        </row>
        <row r="146"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7"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</row>
        <row r="148">
          <cell r="Z148">
            <v>1.9699999999999999E-2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</row>
        <row r="151">
          <cell r="Z151">
            <v>1.9533200000000002</v>
          </cell>
          <cell r="AA151">
            <v>62.974142000000001</v>
          </cell>
          <cell r="AB151">
            <v>12.203803999999998</v>
          </cell>
          <cell r="AC151">
            <v>87.335018000000005</v>
          </cell>
          <cell r="AD151">
            <v>310.61599999999999</v>
          </cell>
          <cell r="AR151">
            <v>7</v>
          </cell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>
            <v>24</v>
          </cell>
          <cell r="BE151"/>
          <cell r="BF151"/>
          <cell r="BG151">
            <v>23</v>
          </cell>
          <cell r="BH151"/>
          <cell r="BI151"/>
          <cell r="BJ151"/>
          <cell r="BK151"/>
          <cell r="BL151"/>
          <cell r="BM151"/>
          <cell r="BN151"/>
          <cell r="BO151"/>
          <cell r="BP151">
            <v>46.9</v>
          </cell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>
            <v>89</v>
          </cell>
          <cell r="CC151"/>
          <cell r="CD151"/>
          <cell r="CE151">
            <v>48</v>
          </cell>
          <cell r="CF151"/>
          <cell r="CG151"/>
          <cell r="CH151"/>
          <cell r="CI151"/>
          <cell r="CJ151"/>
          <cell r="CK151"/>
          <cell r="CL151"/>
          <cell r="CM151"/>
          <cell r="CN151">
            <v>55</v>
          </cell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>
            <v>24</v>
          </cell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K151"/>
          <cell r="DL151">
            <v>44</v>
          </cell>
          <cell r="DM151"/>
          <cell r="DN151"/>
          <cell r="DO151"/>
          <cell r="DP151"/>
          <cell r="DQ151"/>
          <cell r="DR151"/>
          <cell r="DS151"/>
          <cell r="DT151"/>
          <cell r="DU151"/>
          <cell r="DV151"/>
          <cell r="DW151"/>
          <cell r="DX151">
            <v>82</v>
          </cell>
          <cell r="DY151"/>
          <cell r="DZ151">
            <v>15.29623</v>
          </cell>
          <cell r="EA151">
            <v>7.6508229999999999</v>
          </cell>
          <cell r="EB151"/>
          <cell r="EC151">
            <v>0.15651199999999998</v>
          </cell>
          <cell r="ED151">
            <v>8.0411699999999993</v>
          </cell>
          <cell r="EE151"/>
          <cell r="EF151"/>
          <cell r="EG151"/>
          <cell r="EH151"/>
          <cell r="EI151"/>
          <cell r="EJ151"/>
          <cell r="EK151"/>
          <cell r="EL151"/>
          <cell r="EM151"/>
          <cell r="EN151"/>
          <cell r="EO151"/>
          <cell r="EP151">
            <v>9.9420000000000002</v>
          </cell>
          <cell r="EQ151">
            <v>19.277999999999999</v>
          </cell>
          <cell r="ER151">
            <v>27.219000000000001</v>
          </cell>
          <cell r="ES151">
            <v>19.042999999999999</v>
          </cell>
          <cell r="ET151">
            <v>7.7750000000000004</v>
          </cell>
          <cell r="EU151"/>
          <cell r="EV151">
            <v>4.6159999999999997</v>
          </cell>
          <cell r="EW151">
            <v>29.690999999999999</v>
          </cell>
          <cell r="EX151">
            <v>16.140999999999998</v>
          </cell>
          <cell r="EY151">
            <v>17.873999999999999</v>
          </cell>
          <cell r="EZ151">
            <v>4.5810000000000004</v>
          </cell>
          <cell r="FA151">
            <v>27.556999999999999</v>
          </cell>
          <cell r="FB151">
            <v>32.978000000000002</v>
          </cell>
          <cell r="FC151">
            <v>7.9640000000000004</v>
          </cell>
          <cell r="FD151">
            <v>0.56999999999999995</v>
          </cell>
          <cell r="FE151">
            <v>3.169</v>
          </cell>
          <cell r="FF151">
            <v>1.9690000000000001</v>
          </cell>
          <cell r="FG151"/>
          <cell r="FH151"/>
          <cell r="FI151">
            <v>0.02</v>
          </cell>
          <cell r="FJ151"/>
          <cell r="FK151">
            <v>0.02</v>
          </cell>
          <cell r="FL151">
            <v>0.02</v>
          </cell>
          <cell r="FM151">
            <v>8.1000000000000003E-2</v>
          </cell>
          <cell r="FN151"/>
          <cell r="FO151"/>
          <cell r="FP151"/>
          <cell r="FQ151"/>
          <cell r="FR151"/>
          <cell r="FS151"/>
          <cell r="FT151">
            <v>0.12</v>
          </cell>
          <cell r="FU151">
            <v>8.9999999999999993E-3</v>
          </cell>
          <cell r="FV151">
            <v>0.02</v>
          </cell>
          <cell r="FW151"/>
          <cell r="FX151"/>
          <cell r="FY151"/>
          <cell r="FZ151"/>
          <cell r="GA151"/>
          <cell r="GB151"/>
          <cell r="GC151"/>
          <cell r="GD151">
            <v>4.548</v>
          </cell>
          <cell r="GE151">
            <v>2.1000000000000001E-2</v>
          </cell>
          <cell r="GF151">
            <v>8.4000000000000005E-2</v>
          </cell>
          <cell r="GG151"/>
          <cell r="GH151"/>
          <cell r="GI151"/>
          <cell r="GJ151"/>
          <cell r="GK151">
            <v>2.3039999999999998</v>
          </cell>
          <cell r="GL151">
            <v>2.5419999999999998</v>
          </cell>
          <cell r="GM151">
            <v>3.9060000000000001</v>
          </cell>
          <cell r="GN151">
            <v>4.1100000000000003</v>
          </cell>
          <cell r="GO151">
            <v>4.47</v>
          </cell>
          <cell r="GP151"/>
          <cell r="GQ151"/>
          <cell r="GR151">
            <v>0.121</v>
          </cell>
          <cell r="GS151"/>
          <cell r="GT151">
            <v>24.882000000000001</v>
          </cell>
          <cell r="GU151">
            <v>25.893999999999998</v>
          </cell>
          <cell r="GV151"/>
          <cell r="GW151">
            <v>2.5150000000000001</v>
          </cell>
          <cell r="GX151"/>
          <cell r="GY151"/>
          <cell r="GZ151"/>
          <cell r="HA151"/>
          <cell r="HB151"/>
          <cell r="HC151"/>
          <cell r="HD151"/>
          <cell r="HE151"/>
          <cell r="HF151">
            <v>3.23</v>
          </cell>
          <cell r="HG151">
            <v>13.061</v>
          </cell>
          <cell r="HH151">
            <v>4.5620000000000003</v>
          </cell>
          <cell r="HI151">
            <v>10.259</v>
          </cell>
          <cell r="HJ151">
            <v>3.8069999999999999</v>
          </cell>
          <cell r="HK151">
            <v>12.776999999999999</v>
          </cell>
          <cell r="HL151"/>
          <cell r="HM151">
            <v>60.395000000000003</v>
          </cell>
          <cell r="HN151">
            <v>19.565999999999999</v>
          </cell>
          <cell r="HO151">
            <v>1.5529999999999999</v>
          </cell>
          <cell r="HP151">
            <v>4.2000000000000003E-2</v>
          </cell>
          <cell r="HQ151">
            <v>0.438</v>
          </cell>
          <cell r="HR151">
            <v>3.7309999999999999</v>
          </cell>
          <cell r="HS151">
            <v>0.127</v>
          </cell>
          <cell r="HT151">
            <v>3.4630000000000001</v>
          </cell>
          <cell r="HU151">
            <v>0.157</v>
          </cell>
          <cell r="HV151">
            <v>33.408000000000001</v>
          </cell>
          <cell r="HW151">
            <v>65.906000000000006</v>
          </cell>
          <cell r="HX151">
            <v>63.244</v>
          </cell>
          <cell r="HY151">
            <v>65.933999999999997</v>
          </cell>
          <cell r="HZ151">
            <v>2.1539999999999999</v>
          </cell>
          <cell r="IA151">
            <v>0.125</v>
          </cell>
          <cell r="IB151">
            <v>0.128</v>
          </cell>
          <cell r="IC151">
            <v>4.3999999999999997E-2</v>
          </cell>
          <cell r="ID151">
            <v>12.656000000000001</v>
          </cell>
          <cell r="IE151">
            <v>31.942</v>
          </cell>
          <cell r="IF151">
            <v>41.36</v>
          </cell>
          <cell r="IG151">
            <v>45.085999999999999</v>
          </cell>
          <cell r="IH151">
            <v>36.920999999999999</v>
          </cell>
          <cell r="II151">
            <v>33.404000000000003</v>
          </cell>
          <cell r="IJ151">
            <v>9.0310000000000006</v>
          </cell>
          <cell r="IK151">
            <v>19.686</v>
          </cell>
          <cell r="IL151">
            <v>0.10299999999999999</v>
          </cell>
          <cell r="IM151">
            <v>0.06</v>
          </cell>
          <cell r="IN151">
            <v>0.94899999999999995</v>
          </cell>
          <cell r="IO151">
            <v>16.38</v>
          </cell>
          <cell r="IP151">
            <v>9.9410000000000007</v>
          </cell>
          <cell r="IQ151">
            <v>16.440999999999999</v>
          </cell>
          <cell r="IR151">
            <v>14.904</v>
          </cell>
          <cell r="IS151">
            <v>4.1980000000000004</v>
          </cell>
          <cell r="IT151">
            <v>25.850999999999999</v>
          </cell>
          <cell r="IU151">
            <v>31.97</v>
          </cell>
          <cell r="IV151">
            <v>42.561999999999998</v>
          </cell>
          <cell r="IW151">
            <v>34.796999999999997</v>
          </cell>
          <cell r="IX151">
            <v>0.02</v>
          </cell>
          <cell r="IY151">
            <v>1.66</v>
          </cell>
          <cell r="IZ151">
            <v>2.6789999999999998</v>
          </cell>
          <cell r="JA151">
            <v>14.083</v>
          </cell>
          <cell r="JB151">
            <v>15.16</v>
          </cell>
          <cell r="JC151">
            <v>16.061</v>
          </cell>
          <cell r="JD151">
            <v>8.468</v>
          </cell>
          <cell r="JE151">
            <v>16.155999999999999</v>
          </cell>
          <cell r="JF151">
            <v>10.343</v>
          </cell>
          <cell r="JG151">
            <v>0.23400000000000001</v>
          </cell>
          <cell r="JH151">
            <v>3.202</v>
          </cell>
          <cell r="JI151">
            <v>7.0000000000000007E-2</v>
          </cell>
          <cell r="JJ151">
            <v>9.2999999999999999E-2</v>
          </cell>
          <cell r="JK151">
            <v>5.7000000000000002E-2</v>
          </cell>
          <cell r="JL151">
            <v>0.111</v>
          </cell>
          <cell r="JM151">
            <v>0.34699999999999998</v>
          </cell>
          <cell r="JN151">
            <v>0.245</v>
          </cell>
          <cell r="JO151">
            <v>1.2E-2</v>
          </cell>
          <cell r="JP151">
            <v>2.4E-2</v>
          </cell>
          <cell r="JQ151">
            <v>2.1999999999999999E-2</v>
          </cell>
          <cell r="JR151"/>
          <cell r="JS151">
            <v>2.4169999999999998</v>
          </cell>
          <cell r="JT151">
            <v>8.5850000000000009</v>
          </cell>
          <cell r="JU151">
            <v>3.0129999999999999</v>
          </cell>
          <cell r="JV151">
            <v>0.105</v>
          </cell>
          <cell r="JW151"/>
          <cell r="JX151">
            <v>0.371</v>
          </cell>
          <cell r="JY151">
            <v>0.55400000000000005</v>
          </cell>
          <cell r="JZ151">
            <v>0.16900000000000001</v>
          </cell>
          <cell r="KA151">
            <v>0.13</v>
          </cell>
          <cell r="KB151">
            <v>0.10299999999999999</v>
          </cell>
          <cell r="KC151">
            <v>0.16900000000000001</v>
          </cell>
          <cell r="KD151">
            <v>0.126</v>
          </cell>
          <cell r="KE151"/>
          <cell r="KF151">
            <v>2.1000000000000001E-2</v>
          </cell>
          <cell r="KG151">
            <v>2.1999999999999999E-2</v>
          </cell>
          <cell r="KH151">
            <v>2.1000000000000001E-2</v>
          </cell>
          <cell r="KI151">
            <v>0.15</v>
          </cell>
          <cell r="KJ151">
            <v>0.41699999999999998</v>
          </cell>
          <cell r="KK151">
            <v>0.73</v>
          </cell>
          <cell r="KL151">
            <v>0.10299999999999999</v>
          </cell>
          <cell r="KM151">
            <v>4.2000000000000003E-2</v>
          </cell>
          <cell r="KN151">
            <v>0.16</v>
          </cell>
          <cell r="KO151">
            <v>0.28399999999999997</v>
          </cell>
          <cell r="KP151">
            <v>0.23499999999999999</v>
          </cell>
          <cell r="KQ151">
            <v>7.8330000000000002</v>
          </cell>
          <cell r="KR151">
            <v>5.8659999999999997</v>
          </cell>
          <cell r="KS151">
            <v>0.60399999999999998</v>
          </cell>
          <cell r="KT151">
            <v>0.22900000000000001</v>
          </cell>
          <cell r="KU151">
            <v>0.24199999999999999</v>
          </cell>
          <cell r="KV151">
            <v>0.312</v>
          </cell>
          <cell r="KW151">
            <v>17.292999999999999</v>
          </cell>
          <cell r="KX151">
            <v>3.319</v>
          </cell>
          <cell r="KY151">
            <v>0.56699999999999995</v>
          </cell>
          <cell r="KZ151">
            <v>0.14799999999999999</v>
          </cell>
          <cell r="LA151">
            <v>7.8639999999999999</v>
          </cell>
          <cell r="LB151">
            <v>13.115</v>
          </cell>
          <cell r="LC151">
            <v>0.32100000000000001</v>
          </cell>
          <cell r="LD151">
            <v>0.17599999999999999</v>
          </cell>
          <cell r="LE151">
            <v>6.7699999999999996E-2</v>
          </cell>
          <cell r="LF151"/>
          <cell r="LG151">
            <v>2.095E-2</v>
          </cell>
          <cell r="LH151">
            <v>0.40973999999999999</v>
          </cell>
          <cell r="LI151">
            <v>0.23799999999999999</v>
          </cell>
          <cell r="LJ151">
            <v>0.12058000000000001</v>
          </cell>
          <cell r="LK151">
            <v>0.112</v>
          </cell>
          <cell r="LL151">
            <v>0.15079999999999999</v>
          </cell>
          <cell r="LM151">
            <v>0.26800000000000002</v>
          </cell>
          <cell r="LN151">
            <v>0.17810000000000001</v>
          </cell>
          <cell r="LO151">
            <v>9.1999999999999998E-2</v>
          </cell>
          <cell r="LP151">
            <v>0.112</v>
          </cell>
          <cell r="LQ151">
            <v>9.11E-2</v>
          </cell>
          <cell r="LR151">
            <v>0.13600000000000001</v>
          </cell>
          <cell r="LS151">
            <v>4.4999999999999998E-2</v>
          </cell>
          <cell r="LT151">
            <v>0.17799999999999999</v>
          </cell>
          <cell r="LU151">
            <v>7.4067999999999996</v>
          </cell>
          <cell r="LV151">
            <v>7.49282</v>
          </cell>
          <cell r="LW151">
            <v>7.7272299999999996</v>
          </cell>
          <cell r="LX151">
            <v>8.8999999999999996E-2</v>
          </cell>
          <cell r="LY151">
            <v>13.027884999999999</v>
          </cell>
          <cell r="LZ151">
            <v>12.745901</v>
          </cell>
          <cell r="MA151">
            <v>13.889162000000001</v>
          </cell>
          <cell r="MB151">
            <v>0.32834400000000002</v>
          </cell>
          <cell r="MC151"/>
          <cell r="MD151">
            <v>4.3999999999999997E-2</v>
          </cell>
          <cell r="ME151">
            <v>4.4999999999999998E-2</v>
          </cell>
          <cell r="MF151">
            <v>6.9952E-2</v>
          </cell>
          <cell r="MG151">
            <v>0.15307999999999999</v>
          </cell>
          <cell r="MH151">
            <v>0.11</v>
          </cell>
          <cell r="MI151">
            <v>0.18516199999999999</v>
          </cell>
          <cell r="MJ151">
            <v>0.11544</v>
          </cell>
          <cell r="MK151">
            <v>0.11219999999999999</v>
          </cell>
          <cell r="ML151">
            <v>0.68289</v>
          </cell>
          <cell r="MM151">
            <v>3.2421530000000001</v>
          </cell>
          <cell r="MN151">
            <v>7.3419270000000001</v>
          </cell>
          <cell r="MO151">
            <v>0.14199999999999999</v>
          </cell>
          <cell r="MP151">
            <v>4.9000000000000002E-2</v>
          </cell>
          <cell r="MQ151"/>
          <cell r="MR151"/>
          <cell r="MS151"/>
          <cell r="MT151">
            <v>7.0805660000000001</v>
          </cell>
          <cell r="MU151">
            <v>22.744451999999999</v>
          </cell>
          <cell r="MV151">
            <v>21.161999999999999</v>
          </cell>
          <cell r="MW151">
            <v>35.783000000000001</v>
          </cell>
          <cell r="MX151">
            <v>0.13800000000000001</v>
          </cell>
          <cell r="MY151" t="str">
            <v/>
          </cell>
        </row>
        <row r="156"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</row>
        <row r="164">
          <cell r="Z164">
            <v>0.73540000000000005</v>
          </cell>
          <cell r="AA164">
            <v>0.61618300000000004</v>
          </cell>
          <cell r="AB164">
            <v>0.28659499999999999</v>
          </cell>
          <cell r="AC164">
            <v>2.7199999999999998E-2</v>
          </cell>
          <cell r="AD164">
            <v>0.20899999999999999</v>
          </cell>
        </row>
        <row r="165">
          <cell r="Z165">
            <v>9.6000000000000002E-2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84">
          <cell r="Z184">
            <v>0.5986800000000001</v>
          </cell>
          <cell r="AA184">
            <v>0.56418299999999999</v>
          </cell>
          <cell r="AB184">
            <v>0.24387500000000001</v>
          </cell>
          <cell r="AC184">
            <v>0</v>
          </cell>
          <cell r="AD184">
            <v>0.20899999999999999</v>
          </cell>
        </row>
        <row r="207"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</row>
        <row r="219"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</row>
        <row r="225"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</row>
        <row r="231">
          <cell r="Z231">
            <v>8.7655000000000011E-2</v>
          </cell>
          <cell r="AA231">
            <v>2.24654</v>
          </cell>
          <cell r="AB231">
            <v>2.04386</v>
          </cell>
          <cell r="AC231">
            <v>1.50406</v>
          </cell>
        </row>
        <row r="234"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41"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3">
          <cell r="Z243">
            <v>1.3755E-2</v>
          </cell>
          <cell r="AA243">
            <v>1.6750000000000001E-2</v>
          </cell>
          <cell r="AB243">
            <v>3.7499999999999999E-3</v>
          </cell>
          <cell r="AC243">
            <v>1.4999999999999999E-2</v>
          </cell>
          <cell r="AD243">
            <v>0</v>
          </cell>
        </row>
        <row r="245"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8"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50"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66">
          <cell r="Z266">
            <v>5.04E-2</v>
          </cell>
          <cell r="AA266">
            <v>0.2016</v>
          </cell>
          <cell r="AB266">
            <v>1.78162</v>
          </cell>
          <cell r="AC266">
            <v>0.39439999999999997</v>
          </cell>
          <cell r="AD266">
            <v>0</v>
          </cell>
        </row>
        <row r="274"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</row>
        <row r="284">
          <cell r="Z284">
            <v>2.35E-2</v>
          </cell>
          <cell r="AA284">
            <v>2.0281899999999999</v>
          </cell>
          <cell r="AB284">
            <v>0.25849</v>
          </cell>
          <cell r="AC284">
            <v>1.09466</v>
          </cell>
          <cell r="AD284">
            <v>8.2000000000000003E-2</v>
          </cell>
        </row>
        <row r="286"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</row>
        <row r="290">
          <cell r="AR290">
            <v>12.5</v>
          </cell>
          <cell r="AS290">
            <v>14.4</v>
          </cell>
          <cell r="AT290">
            <v>13.9</v>
          </cell>
          <cell r="AU290">
            <v>45.7</v>
          </cell>
          <cell r="AV290">
            <v>20.2</v>
          </cell>
          <cell r="AW290">
            <v>11.4</v>
          </cell>
          <cell r="AX290">
            <v>4.9000000000000004</v>
          </cell>
          <cell r="AY290">
            <v>0.7</v>
          </cell>
          <cell r="AZ290">
            <v>0.1</v>
          </cell>
          <cell r="BA290">
            <v>1.9</v>
          </cell>
          <cell r="BB290">
            <v>0.6</v>
          </cell>
          <cell r="BC290">
            <v>0.2</v>
          </cell>
          <cell r="BD290">
            <v>9.1999999999999993</v>
          </cell>
          <cell r="BE290">
            <v>8.5</v>
          </cell>
          <cell r="BF290">
            <v>5.5</v>
          </cell>
          <cell r="BG290">
            <v>62.5</v>
          </cell>
          <cell r="BH290">
            <v>68.3</v>
          </cell>
          <cell r="BI290">
            <v>45.7</v>
          </cell>
          <cell r="BJ290">
            <v>35.799999999999997</v>
          </cell>
          <cell r="BK290">
            <v>51.1</v>
          </cell>
          <cell r="BL290">
            <v>55.1</v>
          </cell>
          <cell r="BM290">
            <v>50.6</v>
          </cell>
          <cell r="BN290">
            <v>23.9</v>
          </cell>
          <cell r="BO290">
            <v>52.9</v>
          </cell>
          <cell r="BP290">
            <v>45.7</v>
          </cell>
          <cell r="BQ290">
            <v>34.200000000000003</v>
          </cell>
          <cell r="BR290">
            <v>61.7</v>
          </cell>
          <cell r="BS290">
            <v>329.8</v>
          </cell>
          <cell r="BT290">
            <v>180.2</v>
          </cell>
          <cell r="BU290">
            <v>217.1</v>
          </cell>
          <cell r="BV290">
            <v>133.69999999999999</v>
          </cell>
          <cell r="BW290">
            <v>61.9</v>
          </cell>
          <cell r="BX290">
            <v>36.9</v>
          </cell>
          <cell r="BY290">
            <v>23.5</v>
          </cell>
          <cell r="BZ290">
            <v>6.5</v>
          </cell>
          <cell r="CA290">
            <v>1.7</v>
          </cell>
          <cell r="CB290">
            <v>0.8</v>
          </cell>
          <cell r="CC290">
            <v>70</v>
          </cell>
          <cell r="CD290">
            <v>166.1</v>
          </cell>
          <cell r="CE290">
            <v>176</v>
          </cell>
          <cell r="CF290">
            <v>148.80000000000001</v>
          </cell>
          <cell r="CG290">
            <v>88.1</v>
          </cell>
          <cell r="CH290">
            <v>36.200000000000003</v>
          </cell>
          <cell r="CI290">
            <v>16</v>
          </cell>
          <cell r="CJ290">
            <v>11.9</v>
          </cell>
          <cell r="CK290">
            <v>0.4</v>
          </cell>
          <cell r="CL290">
            <v>0.1</v>
          </cell>
          <cell r="CM290">
            <v>0</v>
          </cell>
          <cell r="CN290">
            <v>15.5</v>
          </cell>
          <cell r="CO290">
            <v>108</v>
          </cell>
          <cell r="CP290">
            <v>120</v>
          </cell>
          <cell r="CQ290">
            <v>228</v>
          </cell>
          <cell r="CR290">
            <v>200</v>
          </cell>
          <cell r="CS290">
            <v>80</v>
          </cell>
          <cell r="CT290">
            <v>50</v>
          </cell>
          <cell r="CU290">
            <v>25</v>
          </cell>
          <cell r="CV290">
            <v>8</v>
          </cell>
          <cell r="CW290">
            <v>10</v>
          </cell>
          <cell r="CX290">
            <v>15</v>
          </cell>
          <cell r="CY290">
            <v>15</v>
          </cell>
          <cell r="CZ290">
            <v>15</v>
          </cell>
          <cell r="DA290">
            <v>16.909493000000001</v>
          </cell>
          <cell r="DB290">
            <v>27.558482999999999</v>
          </cell>
          <cell r="DC290">
            <v>33.729453999999997</v>
          </cell>
          <cell r="DD290">
            <v>32.104419999999998</v>
          </cell>
          <cell r="DE290">
            <v>50.616439000000007</v>
          </cell>
          <cell r="DF290">
            <v>39.355252000000007</v>
          </cell>
          <cell r="DG290">
            <v>51</v>
          </cell>
          <cell r="DH290">
            <v>31.550260999999999</v>
          </cell>
          <cell r="DI290">
            <v>61.7</v>
          </cell>
          <cell r="DJ290">
            <v>38.680970000000002</v>
          </cell>
          <cell r="DK290">
            <v>18.7</v>
          </cell>
          <cell r="DL290">
            <v>23.8</v>
          </cell>
          <cell r="DM290">
            <v>56.2</v>
          </cell>
          <cell r="DN290">
            <v>172.8</v>
          </cell>
          <cell r="DO290">
            <v>257.10000000000002</v>
          </cell>
          <cell r="DP290">
            <v>116.1</v>
          </cell>
          <cell r="DQ290">
            <v>104.9</v>
          </cell>
          <cell r="DR290">
            <v>157.19999999999999</v>
          </cell>
          <cell r="DS290">
            <v>86.6</v>
          </cell>
          <cell r="DT290">
            <v>24.6</v>
          </cell>
          <cell r="DU290">
            <v>29.3</v>
          </cell>
          <cell r="DV290">
            <v>1.7</v>
          </cell>
          <cell r="DW290">
            <v>10.5</v>
          </cell>
          <cell r="DX290">
            <v>0.3</v>
          </cell>
          <cell r="DY290">
            <v>20.957678999999995</v>
          </cell>
          <cell r="DZ290">
            <v>17.154117999999997</v>
          </cell>
          <cell r="EA290">
            <v>15.324408</v>
          </cell>
          <cell r="EB290">
            <v>4.6778050000000002</v>
          </cell>
          <cell r="EC290">
            <v>5.5315219999999998</v>
          </cell>
          <cell r="ED290">
            <v>16.586711000000005</v>
          </cell>
          <cell r="EE290">
            <v>0.46232300000000004</v>
          </cell>
          <cell r="EF290">
            <v>0.28329799999999999</v>
          </cell>
          <cell r="EG290">
            <v>0.300147</v>
          </cell>
          <cell r="EH290">
            <v>0.16303399999999998</v>
          </cell>
          <cell r="EI290">
            <v>3.9E-2</v>
          </cell>
          <cell r="EJ290">
            <v>0.14085</v>
          </cell>
          <cell r="EK290">
            <v>0.66900000000000004</v>
          </cell>
          <cell r="EL290">
            <v>6.0810000000000004</v>
          </cell>
          <cell r="EM290">
            <v>33.289000000000001</v>
          </cell>
          <cell r="EN290">
            <v>49.686</v>
          </cell>
          <cell r="EO290">
            <v>24.754999999999999</v>
          </cell>
          <cell r="EP290">
            <v>55.643000000000001</v>
          </cell>
          <cell r="EQ290">
            <v>60.591000000000001</v>
          </cell>
          <cell r="ER290">
            <v>66.38</v>
          </cell>
          <cell r="ES290">
            <v>20.23</v>
          </cell>
          <cell r="ET290">
            <v>13.263</v>
          </cell>
          <cell r="EU290">
            <v>4.8000000000000001E-2</v>
          </cell>
          <cell r="EV290">
            <v>7.6980000000000004</v>
          </cell>
          <cell r="EW290">
            <v>163.42099999999999</v>
          </cell>
          <cell r="EX290">
            <v>161.477</v>
          </cell>
          <cell r="EY290">
            <v>244.358</v>
          </cell>
          <cell r="EZ290">
            <v>56.323</v>
          </cell>
          <cell r="FA290">
            <v>89.76</v>
          </cell>
          <cell r="FB290">
            <v>85.417000000000002</v>
          </cell>
          <cell r="FC290">
            <v>61.122999999999998</v>
          </cell>
          <cell r="FD290">
            <v>20.795999999999999</v>
          </cell>
          <cell r="FE290">
            <v>25.260999999999999</v>
          </cell>
          <cell r="FF290">
            <v>6.06</v>
          </cell>
          <cell r="FG290">
            <v>5.9790000000000001</v>
          </cell>
          <cell r="FH290">
            <v>0.11</v>
          </cell>
          <cell r="FI290">
            <v>0.80800000000000005</v>
          </cell>
          <cell r="FJ290">
            <v>1.417</v>
          </cell>
          <cell r="FK290">
            <v>1.095</v>
          </cell>
          <cell r="FL290">
            <v>0.752</v>
          </cell>
          <cell r="FM290">
            <v>0.90100000000000002</v>
          </cell>
          <cell r="FN290">
            <v>0.88</v>
          </cell>
          <cell r="FO290">
            <v>4.4649999999999999</v>
          </cell>
          <cell r="FP290">
            <v>0.313</v>
          </cell>
          <cell r="FQ290">
            <v>0.63</v>
          </cell>
          <cell r="FR290">
            <v>7.8E-2</v>
          </cell>
          <cell r="FS290">
            <v>0.11</v>
          </cell>
          <cell r="FT290">
            <v>0.185</v>
          </cell>
          <cell r="FU290">
            <v>1.109</v>
          </cell>
          <cell r="FV290">
            <v>1.581</v>
          </cell>
          <cell r="FW290">
            <v>24.593</v>
          </cell>
          <cell r="FX290">
            <v>17.265000000000001</v>
          </cell>
          <cell r="FY290">
            <v>4.9770000000000003</v>
          </cell>
          <cell r="FZ290">
            <v>92.524000000000001</v>
          </cell>
          <cell r="GA290">
            <v>36.869</v>
          </cell>
          <cell r="GB290">
            <v>28.486999999999998</v>
          </cell>
          <cell r="GC290">
            <v>7.1029999999999998</v>
          </cell>
          <cell r="GD290">
            <v>5.0529999999999999</v>
          </cell>
          <cell r="GE290">
            <v>6.8000000000000005E-2</v>
          </cell>
          <cell r="GF290">
            <v>0.67100000000000004</v>
          </cell>
          <cell r="GG290">
            <v>6.7679999999999998</v>
          </cell>
          <cell r="GH290">
            <v>3.109</v>
          </cell>
          <cell r="GI290">
            <v>26.611000000000001</v>
          </cell>
          <cell r="GJ290">
            <v>5.4269999999999996</v>
          </cell>
          <cell r="GK290">
            <v>88.233999999999995</v>
          </cell>
          <cell r="GL290">
            <v>91.600999999999999</v>
          </cell>
          <cell r="GM290">
            <v>75.715999999999994</v>
          </cell>
          <cell r="GN290">
            <v>23.515000000000001</v>
          </cell>
          <cell r="GO290">
            <v>13.916</v>
          </cell>
          <cell r="GP290">
            <v>0.45900000000000002</v>
          </cell>
          <cell r="GQ290">
            <v>0.17599999999999999</v>
          </cell>
          <cell r="GR290">
            <v>2.21</v>
          </cell>
          <cell r="GS290">
            <v>4.3490000000000002</v>
          </cell>
          <cell r="GT290">
            <v>34.472999999999999</v>
          </cell>
          <cell r="GU290">
            <v>30.196000000000002</v>
          </cell>
          <cell r="GV290">
            <v>0.42799999999999999</v>
          </cell>
          <cell r="GW290">
            <v>3.0960000000000001</v>
          </cell>
          <cell r="GX290">
            <v>0.16</v>
          </cell>
          <cell r="GY290">
            <v>0.114</v>
          </cell>
          <cell r="GZ290">
            <v>0.12</v>
          </cell>
          <cell r="HA290">
            <v>6.3E-2</v>
          </cell>
          <cell r="HB290">
            <v>0.14799999999999999</v>
          </cell>
          <cell r="HC290">
            <v>0.06</v>
          </cell>
          <cell r="HD290">
            <v>0.38400000000000001</v>
          </cell>
          <cell r="HE290">
            <v>0.60299999999999998</v>
          </cell>
          <cell r="HF290">
            <v>36.338999999999999</v>
          </cell>
          <cell r="HG290">
            <v>55.652000000000001</v>
          </cell>
          <cell r="HH290">
            <v>75.980999999999995</v>
          </cell>
          <cell r="HI290">
            <v>148.95400000000001</v>
          </cell>
          <cell r="HJ290">
            <v>135.03800000000001</v>
          </cell>
          <cell r="HK290">
            <v>75.781999999999996</v>
          </cell>
          <cell r="HL290">
            <v>45.962000000000003</v>
          </cell>
          <cell r="HM290">
            <v>102.24299999999999</v>
          </cell>
          <cell r="HN290">
            <v>70.808999999999997</v>
          </cell>
          <cell r="HO290">
            <v>19.488</v>
          </cell>
          <cell r="HP290">
            <v>6.66</v>
          </cell>
          <cell r="HQ290">
            <v>18.271000000000001</v>
          </cell>
          <cell r="HR290">
            <v>18.459</v>
          </cell>
          <cell r="HS290">
            <v>10.145</v>
          </cell>
          <cell r="HT290">
            <v>9.0039999999999996</v>
          </cell>
          <cell r="HU290">
            <v>4.2300000000000004</v>
          </cell>
          <cell r="HV290">
            <v>43.323999999999998</v>
          </cell>
          <cell r="HW290">
            <v>74.528000000000006</v>
          </cell>
          <cell r="HX290">
            <v>87.253</v>
          </cell>
          <cell r="HY290">
            <v>71.301000000000002</v>
          </cell>
          <cell r="HZ290">
            <v>8.9090000000000007</v>
          </cell>
          <cell r="IA290">
            <v>1.3640000000000001</v>
          </cell>
          <cell r="IB290">
            <v>2.851</v>
          </cell>
          <cell r="IC290">
            <v>5.23</v>
          </cell>
          <cell r="ID290">
            <v>22.962</v>
          </cell>
          <cell r="IE290">
            <v>78.774000000000001</v>
          </cell>
          <cell r="IF290">
            <v>80.340999999999994</v>
          </cell>
          <cell r="IG290">
            <v>54.194000000000003</v>
          </cell>
          <cell r="IH290">
            <v>83.518000000000001</v>
          </cell>
          <cell r="II290">
            <v>68.831000000000003</v>
          </cell>
          <cell r="IJ290">
            <v>13.983000000000001</v>
          </cell>
          <cell r="IK290">
            <v>29.606999999999999</v>
          </cell>
          <cell r="IL290">
            <v>2.69</v>
          </cell>
          <cell r="IM290">
            <v>1.476</v>
          </cell>
          <cell r="IN290">
            <v>4.4059999999999997</v>
          </cell>
          <cell r="IO290">
            <v>26.401</v>
          </cell>
          <cell r="IP290">
            <v>19.614000000000001</v>
          </cell>
          <cell r="IQ290">
            <v>21.01</v>
          </cell>
          <cell r="IR290">
            <v>17.597000000000001</v>
          </cell>
          <cell r="IS290">
            <v>8.4819999999999993</v>
          </cell>
          <cell r="IT290">
            <v>30.045999999999999</v>
          </cell>
          <cell r="IU290">
            <v>34.045999999999999</v>
          </cell>
          <cell r="IV290">
            <v>45.360999999999997</v>
          </cell>
          <cell r="IW290">
            <v>42.113</v>
          </cell>
          <cell r="IX290">
            <v>30.61</v>
          </cell>
          <cell r="IY290">
            <v>2.4860000000000002</v>
          </cell>
          <cell r="IZ290">
            <v>5.8550000000000004</v>
          </cell>
          <cell r="JA290">
            <v>28.148</v>
          </cell>
          <cell r="JB290">
            <v>20.009</v>
          </cell>
          <cell r="JC290">
            <v>17.344000000000001</v>
          </cell>
          <cell r="JD290">
            <v>9.6349999999999998</v>
          </cell>
          <cell r="JE290">
            <v>19.526</v>
          </cell>
          <cell r="JF290">
            <v>14.629</v>
          </cell>
          <cell r="JG290">
            <v>3.9510000000000001</v>
          </cell>
          <cell r="JH290">
            <v>5.0279999999999996</v>
          </cell>
          <cell r="JI290">
            <v>1.772</v>
          </cell>
          <cell r="JJ290">
            <v>0.79</v>
          </cell>
          <cell r="JK290">
            <v>0.35099999999999998</v>
          </cell>
          <cell r="JL290">
            <v>3.0710000000000002</v>
          </cell>
          <cell r="JM290">
            <v>4.2709999999999999</v>
          </cell>
          <cell r="JN290">
            <v>4.3650000000000002</v>
          </cell>
          <cell r="JO290">
            <v>2.8479999999999999</v>
          </cell>
          <cell r="JP290">
            <v>3.0819999999999999</v>
          </cell>
          <cell r="JQ290">
            <v>2.4239999999999999</v>
          </cell>
          <cell r="JR290">
            <v>5.4290000000000003</v>
          </cell>
          <cell r="JS290">
            <v>24.024000000000001</v>
          </cell>
          <cell r="JT290">
            <v>12.747</v>
          </cell>
          <cell r="JU290">
            <v>5.5389999999999997</v>
          </cell>
          <cell r="JV290">
            <v>1.4730000000000001</v>
          </cell>
          <cell r="JW290">
            <v>0.438</v>
          </cell>
          <cell r="JX290">
            <v>3.9729999999999999</v>
          </cell>
          <cell r="JY290">
            <v>7.0590000000000002</v>
          </cell>
          <cell r="JZ290">
            <v>4.468</v>
          </cell>
          <cell r="KA290">
            <v>3.2410000000000001</v>
          </cell>
          <cell r="KB290">
            <v>0.92400000000000004</v>
          </cell>
          <cell r="KC290">
            <v>1.496</v>
          </cell>
          <cell r="KD290">
            <v>1.1339999999999999</v>
          </cell>
          <cell r="KE290">
            <v>20.120999999999999</v>
          </cell>
          <cell r="KF290">
            <v>0.51200000000000001</v>
          </cell>
          <cell r="KG290">
            <v>1.028</v>
          </cell>
          <cell r="KH290">
            <v>0.79500000000000004</v>
          </cell>
          <cell r="KI290">
            <v>0.61699999999999999</v>
          </cell>
          <cell r="KJ290">
            <v>1.3939999999999999</v>
          </cell>
          <cell r="KK290">
            <v>7.4480000000000004</v>
          </cell>
          <cell r="KL290">
            <v>7.0190000000000001</v>
          </cell>
          <cell r="KM290">
            <v>5.1580000000000004</v>
          </cell>
          <cell r="KN290">
            <v>1.5269999999999999</v>
          </cell>
          <cell r="KO290">
            <v>9.9049999999999994</v>
          </cell>
          <cell r="KP290">
            <v>3.7839999999999998</v>
          </cell>
          <cell r="KQ290">
            <v>11.755000000000001</v>
          </cell>
          <cell r="KR290">
            <v>28.327000000000002</v>
          </cell>
          <cell r="KS290">
            <v>3.1749999999999998</v>
          </cell>
          <cell r="KT290">
            <v>2.048</v>
          </cell>
          <cell r="KU290">
            <v>1.843</v>
          </cell>
          <cell r="KV290">
            <v>3.14</v>
          </cell>
          <cell r="KW290">
            <v>21.945</v>
          </cell>
          <cell r="KX290">
            <v>80.474000000000004</v>
          </cell>
          <cell r="KY290">
            <v>28.683</v>
          </cell>
          <cell r="KZ290">
            <v>3.9129999999999998</v>
          </cell>
          <cell r="LA290">
            <v>11.558999999999999</v>
          </cell>
          <cell r="LB290">
            <v>19.652000000000001</v>
          </cell>
          <cell r="LC290">
            <v>7.6749999999999998</v>
          </cell>
          <cell r="LD290">
            <v>5.6719999999999997</v>
          </cell>
          <cell r="LE290">
            <v>5.6199300000000001</v>
          </cell>
          <cell r="LF290">
            <v>1.596638</v>
          </cell>
          <cell r="LG290">
            <v>1.3282240000000001</v>
          </cell>
          <cell r="LH290">
            <v>2.342498</v>
          </cell>
          <cell r="LI290">
            <v>3.6245530000000001</v>
          </cell>
          <cell r="LJ290">
            <v>3.9076900000000001</v>
          </cell>
          <cell r="LK290">
            <v>6.3454090000000001</v>
          </cell>
          <cell r="LL290">
            <v>2.426177</v>
          </cell>
          <cell r="LM290">
            <v>4.1256930000000001</v>
          </cell>
          <cell r="LN290">
            <v>1.804559</v>
          </cell>
          <cell r="LO290">
            <v>3.7668599999999999</v>
          </cell>
          <cell r="LP290">
            <v>1.3949389999999999</v>
          </cell>
          <cell r="LQ290">
            <v>5.1454719999999998</v>
          </cell>
          <cell r="LR290">
            <v>2.0295109999999998</v>
          </cell>
          <cell r="LS290">
            <v>1.6069929999999999</v>
          </cell>
          <cell r="LT290">
            <v>2.6936110000000002</v>
          </cell>
          <cell r="LU290">
            <v>10.374822999999999</v>
          </cell>
          <cell r="LV290">
            <v>12.824946000000001</v>
          </cell>
          <cell r="LW290">
            <v>10.510565</v>
          </cell>
          <cell r="LX290">
            <v>2.6687340000000002</v>
          </cell>
          <cell r="LY290">
            <v>15.355582</v>
          </cell>
          <cell r="LZ290">
            <v>15.696630000000001</v>
          </cell>
          <cell r="MA290">
            <v>22.167211999999999</v>
          </cell>
          <cell r="MB290">
            <v>3.3707129999999998</v>
          </cell>
          <cell r="MC290">
            <v>3.906507</v>
          </cell>
          <cell r="MD290">
            <v>2.7432509999999999</v>
          </cell>
          <cell r="ME290">
            <v>2.221949</v>
          </cell>
          <cell r="MF290">
            <v>2.3712499999999999</v>
          </cell>
          <cell r="MG290">
            <v>2.750842</v>
          </cell>
          <cell r="MH290">
            <v>3.5670280000000001</v>
          </cell>
          <cell r="MI290">
            <v>5.4557510000000002</v>
          </cell>
          <cell r="MJ290">
            <v>5.1704780000000001</v>
          </cell>
          <cell r="MK290">
            <v>3.7207059999999998</v>
          </cell>
          <cell r="ML290">
            <v>3.6673460000000002</v>
          </cell>
          <cell r="MM290">
            <v>8.5206649999999993</v>
          </cell>
          <cell r="MN290">
            <v>9.9982690000000005</v>
          </cell>
          <cell r="MO290">
            <v>2.3118240000000001</v>
          </cell>
          <cell r="MP290">
            <v>3.3746710000000002</v>
          </cell>
          <cell r="MQ290">
            <v>2.18479</v>
          </cell>
          <cell r="MR290">
            <v>7.6473940000000002</v>
          </cell>
          <cell r="MS290">
            <v>69.183460999999994</v>
          </cell>
          <cell r="MT290">
            <v>37.906568999999998</v>
          </cell>
          <cell r="MU290">
            <v>34.214109000000001</v>
          </cell>
          <cell r="MV290">
            <v>24.85</v>
          </cell>
          <cell r="MW290">
            <v>39.097000000000001</v>
          </cell>
          <cell r="MX290">
            <v>3.883</v>
          </cell>
          <cell r="MY290">
            <v>3.9809999999999999</v>
          </cell>
          <cell r="MZ290">
            <v>8.0470000000000006</v>
          </cell>
          <cell r="NA290">
            <v>1.1859999999999999</v>
          </cell>
          <cell r="NB290">
            <v>0.90800000000000003</v>
          </cell>
          <cell r="NC290">
            <v>1.5269999999999999</v>
          </cell>
          <cell r="ND290">
            <v>5.0869999999999997</v>
          </cell>
          <cell r="NE290">
            <v>16.847999999999999</v>
          </cell>
          <cell r="NF290">
            <v>22.757999999999999</v>
          </cell>
          <cell r="NG290">
            <v>3.5150000000000001</v>
          </cell>
          <cell r="NH290">
            <v>3.7749999999999999</v>
          </cell>
          <cell r="NI290">
            <v>2.5670000000000002</v>
          </cell>
          <cell r="NJ290">
            <v>23.231000000000002</v>
          </cell>
          <cell r="NK290">
            <v>109.03700000000001</v>
          </cell>
          <cell r="NL290">
            <v>373.63099999999997</v>
          </cell>
          <cell r="NM290">
            <v>529.03200000000004</v>
          </cell>
          <cell r="NN290">
            <v>364.26799999999997</v>
          </cell>
          <cell r="NO290">
            <v>167.20400000000001</v>
          </cell>
          <cell r="NP290">
            <v>180.619</v>
          </cell>
          <cell r="NQ290">
            <v>307.75099999999998</v>
          </cell>
          <cell r="NR290">
            <v>397.88900000000001</v>
          </cell>
          <cell r="NS290">
            <v>295.10300000000001</v>
          </cell>
          <cell r="NT290">
            <v>193.744</v>
          </cell>
          <cell r="NU290">
            <v>165.27099999999999</v>
          </cell>
          <cell r="NV290">
            <v>198.75200000000001</v>
          </cell>
          <cell r="NW290">
            <v>38.835999999999999</v>
          </cell>
          <cell r="NX290">
            <v>45.764000000000003</v>
          </cell>
          <cell r="NY290">
            <v>16.346</v>
          </cell>
          <cell r="NZ290">
            <v>9.4860000000000007</v>
          </cell>
          <cell r="OA290">
            <v>5.6680000000000001</v>
          </cell>
          <cell r="OB290">
            <v>12.287000000000001</v>
          </cell>
          <cell r="OC290">
            <v>30.091999999999999</v>
          </cell>
          <cell r="OD290">
            <v>36.677</v>
          </cell>
          <cell r="OE290">
            <v>40.890999999999998</v>
          </cell>
          <cell r="OF290">
            <v>53.226999999999997</v>
          </cell>
          <cell r="OG290">
            <v>24.512</v>
          </cell>
          <cell r="OH290">
            <v>52.423999999999999</v>
          </cell>
        </row>
      </sheetData>
      <sheetData sheetId="15">
        <row r="290">
          <cell r="NO290">
            <v>0</v>
          </cell>
          <cell r="NP290">
            <v>0.06</v>
          </cell>
          <cell r="NQ290">
            <v>0</v>
          </cell>
          <cell r="NR290">
            <v>0</v>
          </cell>
          <cell r="NS290">
            <v>0.39900000000000002</v>
          </cell>
          <cell r="NT290">
            <v>4.5999999999999999E-2</v>
          </cell>
          <cell r="NU290">
            <v>0</v>
          </cell>
          <cell r="NV290">
            <v>0.377</v>
          </cell>
          <cell r="NW290">
            <v>1.671</v>
          </cell>
          <cell r="NX290">
            <v>5.2590000000000003</v>
          </cell>
          <cell r="NY290">
            <v>5.2839999999999998</v>
          </cell>
          <cell r="NZ290">
            <v>2.1999999999999999E-2</v>
          </cell>
          <cell r="OA290">
            <v>0.88700000000000001</v>
          </cell>
          <cell r="OB290">
            <v>2.133</v>
          </cell>
          <cell r="OC290">
            <v>3.0720000000000001</v>
          </cell>
          <cell r="OD290">
            <v>1.171</v>
          </cell>
          <cell r="OE290">
            <v>1.629</v>
          </cell>
          <cell r="OF290">
            <v>0.35299999999999998</v>
          </cell>
          <cell r="OG290">
            <v>0.93899999999999995</v>
          </cell>
        </row>
      </sheetData>
      <sheetData sheetId="16"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158.43099999999998</v>
          </cell>
          <cell r="K4">
            <v>428.78399999999999</v>
          </cell>
          <cell r="L4">
            <v>657.49099999999999</v>
          </cell>
          <cell r="M4">
            <v>391.73499999999996</v>
          </cell>
          <cell r="N4">
            <v>583.0139999999999</v>
          </cell>
          <cell r="O4">
            <v>679.48900000000003</v>
          </cell>
          <cell r="P4">
            <v>521.82799999999997</v>
          </cell>
          <cell r="Q4">
            <v>1252.125</v>
          </cell>
          <cell r="R4">
            <v>1415.3779999999997</v>
          </cell>
          <cell r="S4">
            <v>1680.7210000000002</v>
          </cell>
          <cell r="T4">
            <v>2726.3109999999992</v>
          </cell>
          <cell r="U4">
            <v>2053.8409999999999</v>
          </cell>
          <cell r="V4">
            <v>2375.7200000000003</v>
          </cell>
          <cell r="W4">
            <v>2089.259</v>
          </cell>
          <cell r="X4">
            <v>2145.5770000000002</v>
          </cell>
          <cell r="Y4">
            <v>2690.6610000000001</v>
          </cell>
          <cell r="Z4">
            <v>2320.018</v>
          </cell>
          <cell r="AA4">
            <v>1941.8150000000001</v>
          </cell>
          <cell r="AB4">
            <v>1419.0139999999999</v>
          </cell>
          <cell r="AC4">
            <v>1378.4440000000002</v>
          </cell>
          <cell r="AD4">
            <v>1182.098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51.814000000000007</v>
          </cell>
          <cell r="K37">
            <v>123.89400000000001</v>
          </cell>
          <cell r="L37">
            <v>108.09700000000001</v>
          </cell>
          <cell r="M37">
            <v>21.985999999999997</v>
          </cell>
          <cell r="N37">
            <v>7.1079999999999997</v>
          </cell>
          <cell r="O37">
            <v>12.013</v>
          </cell>
          <cell r="P37">
            <v>0</v>
          </cell>
          <cell r="Q37">
            <v>10.504999999999999</v>
          </cell>
          <cell r="R37">
            <v>11.609</v>
          </cell>
          <cell r="S37">
            <v>13.2</v>
          </cell>
          <cell r="T37">
            <v>37.055</v>
          </cell>
          <cell r="U37">
            <v>14.507999999999999</v>
          </cell>
          <cell r="V37">
            <v>26.421999999999997</v>
          </cell>
          <cell r="W37">
            <v>6.6</v>
          </cell>
          <cell r="X37">
            <v>2.0030000000000001</v>
          </cell>
          <cell r="Y37">
            <v>9.1670000000000016</v>
          </cell>
          <cell r="Z37">
            <v>0.17199999999999999</v>
          </cell>
          <cell r="AA37">
            <v>16.477999999999998</v>
          </cell>
          <cell r="AB37">
            <v>4.5380000000000003</v>
          </cell>
          <cell r="AC37">
            <v>11.923999999999999</v>
          </cell>
          <cell r="AD37">
            <v>4.1340000000000003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113.747</v>
          </cell>
          <cell r="K59">
            <v>181.08100000000002</v>
          </cell>
          <cell r="L59">
            <v>129.63400000000001</v>
          </cell>
          <cell r="M59">
            <v>226.24899999999997</v>
          </cell>
          <cell r="N59">
            <v>361.80400000000003</v>
          </cell>
          <cell r="O59">
            <v>365.81899999999996</v>
          </cell>
          <cell r="P59">
            <v>434.60200000000003</v>
          </cell>
          <cell r="Q59">
            <v>397.32600000000002</v>
          </cell>
          <cell r="R59">
            <v>397.71</v>
          </cell>
          <cell r="S59">
            <v>553.29300000000001</v>
          </cell>
          <cell r="T59">
            <v>604.70799999999997</v>
          </cell>
          <cell r="U59">
            <v>542.07799999999997</v>
          </cell>
          <cell r="V59">
            <v>582.96399999999994</v>
          </cell>
          <cell r="W59">
            <v>534.75599999999997</v>
          </cell>
          <cell r="X59">
            <v>499.86399999999992</v>
          </cell>
          <cell r="Y59">
            <v>552.84699999999998</v>
          </cell>
          <cell r="Z59">
            <v>543.6579999999999</v>
          </cell>
          <cell r="AA59">
            <v>412.28400000000005</v>
          </cell>
          <cell r="AB59">
            <v>360.78200000000004</v>
          </cell>
          <cell r="AC59">
            <v>243.76200000000009</v>
          </cell>
          <cell r="AD59">
            <v>105.63000000000001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33.147000000000006</v>
          </cell>
          <cell r="K74">
            <v>63.145999999999994</v>
          </cell>
          <cell r="L74">
            <v>142.42400000000001</v>
          </cell>
          <cell r="M74">
            <v>146.44400000000002</v>
          </cell>
          <cell r="N74">
            <v>288.65799999999996</v>
          </cell>
          <cell r="O74">
            <v>339.50300000000004</v>
          </cell>
          <cell r="P74">
            <v>194.46100000000001</v>
          </cell>
          <cell r="Q74">
            <v>437.85300000000007</v>
          </cell>
          <cell r="R74">
            <v>508.87599999999998</v>
          </cell>
          <cell r="S74">
            <v>558.21199999999999</v>
          </cell>
          <cell r="T74">
            <v>432.65599999999995</v>
          </cell>
          <cell r="U74">
            <v>264.262</v>
          </cell>
          <cell r="V74">
            <v>481.24499999999995</v>
          </cell>
          <cell r="W74">
            <v>497.90499999999997</v>
          </cell>
          <cell r="X74">
            <v>943.21799999999985</v>
          </cell>
          <cell r="Y74">
            <v>1202.2069999999999</v>
          </cell>
          <cell r="Z74">
            <v>994.47700000000009</v>
          </cell>
          <cell r="AA74">
            <v>2075.9630000000006</v>
          </cell>
          <cell r="AB74">
            <v>3005.9919999999997</v>
          </cell>
          <cell r="AC74">
            <v>2474.2179999999998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0.183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162.60400000000001</v>
          </cell>
          <cell r="AA88">
            <v>1116.7180000000003</v>
          </cell>
          <cell r="AB88">
            <v>2038.6199999999997</v>
          </cell>
          <cell r="AC88">
            <v>1931.953</v>
          </cell>
          <cell r="AD88">
            <v>1613.4240000000002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0.11</v>
          </cell>
          <cell r="W103">
            <v>0.65600000000000003</v>
          </cell>
          <cell r="X103">
            <v>0.43799999999999994</v>
          </cell>
          <cell r="Y103">
            <v>0.95599999999999996</v>
          </cell>
          <cell r="Z103">
            <v>18.331000000000003</v>
          </cell>
          <cell r="AA103">
            <v>9.8509999999999991</v>
          </cell>
          <cell r="AB103">
            <v>3.012</v>
          </cell>
          <cell r="AC103">
            <v>0</v>
          </cell>
          <cell r="AD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16.868000000000002</v>
          </cell>
          <cell r="K107">
            <v>41.349999999999994</v>
          </cell>
          <cell r="L107">
            <v>78.852000000000004</v>
          </cell>
          <cell r="M107">
            <v>97.502000000000024</v>
          </cell>
          <cell r="N107">
            <v>150.113</v>
          </cell>
          <cell r="O107">
            <v>193.90699999999998</v>
          </cell>
          <cell r="P107">
            <v>100.61999999999999</v>
          </cell>
          <cell r="Q107">
            <v>244.79500000000004</v>
          </cell>
          <cell r="R107">
            <v>240.42399999999998</v>
          </cell>
          <cell r="S107">
            <v>189.714</v>
          </cell>
          <cell r="T107">
            <v>189.48199999999997</v>
          </cell>
          <cell r="U107">
            <v>147.55200000000002</v>
          </cell>
          <cell r="V107">
            <v>200.017</v>
          </cell>
          <cell r="W107">
            <v>192.01599999999999</v>
          </cell>
          <cell r="X107">
            <v>175.87400000000002</v>
          </cell>
          <cell r="Y107">
            <v>161.89899999999997</v>
          </cell>
          <cell r="Z107">
            <v>134.78899999999999</v>
          </cell>
          <cell r="AA107">
            <v>115.467</v>
          </cell>
          <cell r="AB107">
            <v>120.16499999999999</v>
          </cell>
          <cell r="AC107">
            <v>118.80099999999999</v>
          </cell>
          <cell r="AD107">
            <v>32.302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2.1999999999999999E-2</v>
          </cell>
          <cell r="Z108">
            <v>0</v>
          </cell>
          <cell r="AA108">
            <v>0</v>
          </cell>
          <cell r="AB108">
            <v>0</v>
          </cell>
          <cell r="AC108">
            <v>3.0000000000000001E-3</v>
          </cell>
          <cell r="AD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0.314</v>
          </cell>
          <cell r="AB109">
            <v>0.17100000000000001</v>
          </cell>
          <cell r="AC109">
            <v>0</v>
          </cell>
          <cell r="AD109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2.5000000000000001E-2</v>
          </cell>
          <cell r="N112">
            <v>0</v>
          </cell>
          <cell r="O112">
            <v>0</v>
          </cell>
          <cell r="P112">
            <v>0</v>
          </cell>
          <cell r="Q112">
            <v>0.50900000000000001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0.42299999999999999</v>
          </cell>
          <cell r="X112">
            <v>1.7809999999999999</v>
          </cell>
          <cell r="Y112">
            <v>8.5960000000000001</v>
          </cell>
          <cell r="Z112">
            <v>10.885999999999999</v>
          </cell>
          <cell r="AA112">
            <v>2.3340000000000001</v>
          </cell>
          <cell r="AB112">
            <v>2.5030000000000001</v>
          </cell>
          <cell r="AC112">
            <v>0.33599999999999997</v>
          </cell>
          <cell r="AD112">
            <v>0.38400000000000001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6.3</v>
          </cell>
          <cell r="W117">
            <v>0</v>
          </cell>
          <cell r="X117">
            <v>7.5789999999999997</v>
          </cell>
          <cell r="Y117">
            <v>12.956999999999997</v>
          </cell>
          <cell r="Z117">
            <v>31.650000000000002</v>
          </cell>
          <cell r="AA117">
            <v>58.341999999999992</v>
          </cell>
          <cell r="AB117">
            <v>70.405000000000001</v>
          </cell>
          <cell r="AC117">
            <v>47.956000000000003</v>
          </cell>
          <cell r="AD117">
            <v>18.016999999999999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2.2109999999999999</v>
          </cell>
          <cell r="AA136">
            <v>2.4939999999999998</v>
          </cell>
          <cell r="AB136">
            <v>0</v>
          </cell>
          <cell r="AC136">
            <v>0.311</v>
          </cell>
          <cell r="AD136">
            <v>0.76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82.5</v>
          </cell>
          <cell r="Y140">
            <v>82.5</v>
          </cell>
          <cell r="Z140">
            <v>27.334</v>
          </cell>
          <cell r="AA140">
            <v>77.968000000000004</v>
          </cell>
          <cell r="AB140">
            <v>27.5</v>
          </cell>
          <cell r="AC140">
            <v>0</v>
          </cell>
          <cell r="AD140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0.53700000000000003</v>
          </cell>
          <cell r="M146">
            <v>4.2610000000000001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4.3159999999999998</v>
          </cell>
          <cell r="S146">
            <v>6.4219999999999997</v>
          </cell>
          <cell r="T146">
            <v>0</v>
          </cell>
          <cell r="U146">
            <v>0.42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0.7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2.577</v>
          </cell>
          <cell r="AB147">
            <v>0</v>
          </cell>
          <cell r="AC147">
            <v>0</v>
          </cell>
          <cell r="AD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1.4969999999999999</v>
          </cell>
          <cell r="R148">
            <v>0</v>
          </cell>
          <cell r="S148">
            <v>0</v>
          </cell>
          <cell r="T148">
            <v>1.04</v>
          </cell>
          <cell r="U148">
            <v>0</v>
          </cell>
          <cell r="V148">
            <v>2.7430000000000003</v>
          </cell>
          <cell r="W148">
            <v>9.0820000000000007</v>
          </cell>
          <cell r="X148">
            <v>60.448999999999998</v>
          </cell>
          <cell r="Y148">
            <v>95.646999999999991</v>
          </cell>
          <cell r="Z148">
            <v>125.03600000000002</v>
          </cell>
          <cell r="AA148">
            <v>107.24400000000001</v>
          </cell>
          <cell r="AB148">
            <v>88.081999999999994</v>
          </cell>
          <cell r="AC148">
            <v>42.432000000000009</v>
          </cell>
          <cell r="AD148">
            <v>19.161000000000001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16.279</v>
          </cell>
          <cell r="K151">
            <v>21.795999999999999</v>
          </cell>
          <cell r="L151">
            <v>63.034999999999997</v>
          </cell>
          <cell r="M151">
            <v>44.655999999999999</v>
          </cell>
          <cell r="N151">
            <v>138.33599999999998</v>
          </cell>
          <cell r="O151">
            <v>145.59600000000003</v>
          </cell>
          <cell r="P151">
            <v>93.841000000000022</v>
          </cell>
          <cell r="Q151">
            <v>191.05200000000002</v>
          </cell>
          <cell r="R151">
            <v>264.13599999999997</v>
          </cell>
          <cell r="S151">
            <v>356.00299999999999</v>
          </cell>
          <cell r="T151">
            <v>241.95100000000002</v>
          </cell>
          <cell r="U151">
            <v>115.97799999999999</v>
          </cell>
          <cell r="V151">
            <v>266.45</v>
          </cell>
          <cell r="W151">
            <v>280.41899999999998</v>
          </cell>
          <cell r="X151">
            <v>356.66999999999996</v>
          </cell>
          <cell r="Y151">
            <v>391.38799999999998</v>
          </cell>
          <cell r="Z151">
            <v>243.94399999999999</v>
          </cell>
          <cell r="AA151">
            <v>313.12500000000006</v>
          </cell>
          <cell r="AB151">
            <v>320.40600000000001</v>
          </cell>
          <cell r="AC151">
            <v>265.58099999999996</v>
          </cell>
          <cell r="AD151">
            <v>294.53399999999999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2.5430000000000001</v>
          </cell>
          <cell r="W156">
            <v>7.5139999999999993</v>
          </cell>
          <cell r="X156">
            <v>11.484999999999999</v>
          </cell>
          <cell r="Y156">
            <v>33.069000000000003</v>
          </cell>
          <cell r="Z156">
            <v>107.78100000000001</v>
          </cell>
          <cell r="AA156">
            <v>91.679999999999993</v>
          </cell>
          <cell r="AB156">
            <v>29.569000000000003</v>
          </cell>
          <cell r="AC156">
            <v>19.772000000000002</v>
          </cell>
          <cell r="AD156">
            <v>13.578000000000001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26.003999999999998</v>
          </cell>
          <cell r="K164">
            <v>48.328000000000003</v>
          </cell>
          <cell r="L164">
            <v>45.198999999999998</v>
          </cell>
          <cell r="M164">
            <v>82.1</v>
          </cell>
          <cell r="N164">
            <v>101.053</v>
          </cell>
          <cell r="O164">
            <v>112.80700000000002</v>
          </cell>
          <cell r="P164">
            <v>93.574000000000012</v>
          </cell>
          <cell r="Q164">
            <v>170.42100000000002</v>
          </cell>
          <cell r="R164">
            <v>182.12699999999998</v>
          </cell>
          <cell r="S164">
            <v>164.1</v>
          </cell>
          <cell r="T164">
            <v>123.41999999999999</v>
          </cell>
          <cell r="U164">
            <v>96.465999999999994</v>
          </cell>
          <cell r="V164">
            <v>221.63700000000003</v>
          </cell>
          <cell r="W164">
            <v>223.17499999999998</v>
          </cell>
          <cell r="X164">
            <v>252.84700000000001</v>
          </cell>
          <cell r="Y164">
            <v>370.70100000000002</v>
          </cell>
          <cell r="Z164">
            <v>317.59000000000003</v>
          </cell>
          <cell r="AA164">
            <v>341.05200000000002</v>
          </cell>
          <cell r="AB164">
            <v>374.52500000000003</v>
          </cell>
          <cell r="AC164">
            <v>257.08600000000001</v>
          </cell>
          <cell r="AD164">
            <v>135.41899999999998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3.8159999999999998</v>
          </cell>
          <cell r="S165">
            <v>4.2</v>
          </cell>
          <cell r="T165">
            <v>4.2430000000000003</v>
          </cell>
          <cell r="U165">
            <v>9.3290000000000006</v>
          </cell>
          <cell r="V165">
            <v>5.4950000000000001</v>
          </cell>
          <cell r="W165">
            <v>0</v>
          </cell>
          <cell r="X165">
            <v>0</v>
          </cell>
          <cell r="Y165">
            <v>15.792000000000002</v>
          </cell>
          <cell r="Z165">
            <v>11.593999999999999</v>
          </cell>
          <cell r="AA165">
            <v>22.965</v>
          </cell>
          <cell r="AB165">
            <v>13.579000000000001</v>
          </cell>
          <cell r="AC165">
            <v>0</v>
          </cell>
          <cell r="AD165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2.794</v>
          </cell>
          <cell r="L184">
            <v>7.1970000000000001</v>
          </cell>
          <cell r="M184">
            <v>3.6520000000000001</v>
          </cell>
          <cell r="N184">
            <v>0</v>
          </cell>
          <cell r="O184">
            <v>15.071999999999999</v>
          </cell>
          <cell r="P184">
            <v>0</v>
          </cell>
          <cell r="Q184">
            <v>10.094000000000001</v>
          </cell>
          <cell r="R184">
            <v>14.834</v>
          </cell>
          <cell r="S184">
            <v>32.084999999999994</v>
          </cell>
          <cell r="T184">
            <v>5.806</v>
          </cell>
          <cell r="U184">
            <v>9.5779999999999994</v>
          </cell>
          <cell r="V184">
            <v>37.017000000000003</v>
          </cell>
          <cell r="W184">
            <v>59.594999999999992</v>
          </cell>
          <cell r="X184">
            <v>50.155999999999999</v>
          </cell>
          <cell r="Y184">
            <v>72.128000000000014</v>
          </cell>
          <cell r="Z184">
            <v>101.729</v>
          </cell>
          <cell r="AA184">
            <v>64.84</v>
          </cell>
          <cell r="AB184">
            <v>72.837999999999994</v>
          </cell>
          <cell r="AC184">
            <v>50.474000000000004</v>
          </cell>
          <cell r="AD184">
            <v>69.087000000000003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26.003999999999998</v>
          </cell>
          <cell r="K207">
            <v>45.534000000000006</v>
          </cell>
          <cell r="L207">
            <v>38.001999999999995</v>
          </cell>
          <cell r="M207">
            <v>78.447999999999993</v>
          </cell>
          <cell r="N207">
            <v>101.053</v>
          </cell>
          <cell r="O207">
            <v>97.735000000000014</v>
          </cell>
          <cell r="P207">
            <v>93.574000000000012</v>
          </cell>
          <cell r="Q207">
            <v>160.32700000000003</v>
          </cell>
          <cell r="R207">
            <v>163.47699999999998</v>
          </cell>
          <cell r="S207">
            <v>127.815</v>
          </cell>
          <cell r="T207">
            <v>107.87199999999999</v>
          </cell>
          <cell r="U207">
            <v>77.558999999999997</v>
          </cell>
          <cell r="V207">
            <v>179.12500000000003</v>
          </cell>
          <cell r="W207">
            <v>162.559</v>
          </cell>
          <cell r="X207">
            <v>199.47800000000001</v>
          </cell>
          <cell r="Y207">
            <v>276.536</v>
          </cell>
          <cell r="Z207">
            <v>202.99600000000004</v>
          </cell>
          <cell r="AA207">
            <v>252.27500000000001</v>
          </cell>
          <cell r="AB207">
            <v>287.50100000000003</v>
          </cell>
          <cell r="AC207">
            <v>205.197</v>
          </cell>
          <cell r="AD207">
            <v>65.182999999999993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3.2130000000000001</v>
          </cell>
          <cell r="Y225">
            <v>6.05</v>
          </cell>
          <cell r="Z225">
            <v>0</v>
          </cell>
          <cell r="AA225">
            <v>0.97199999999999998</v>
          </cell>
          <cell r="AB225">
            <v>0</v>
          </cell>
          <cell r="AC225">
            <v>0.76400000000000001</v>
          </cell>
          <cell r="AD225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7.9749999999999996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2.0259999999999998</v>
          </cell>
          <cell r="Y231">
            <v>1.208</v>
          </cell>
          <cell r="Z231">
            <v>0</v>
          </cell>
          <cell r="AA231">
            <v>0.314</v>
          </cell>
          <cell r="AB231">
            <v>0</v>
          </cell>
          <cell r="AC231">
            <v>0</v>
          </cell>
          <cell r="AD231">
            <v>0.40799999999999997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1.208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2.8000000000000001E-2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0.40799999999999997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</row>
        <row r="290">
          <cell r="DA290">
            <v>41.308477000000025</v>
          </cell>
          <cell r="DB290">
            <v>34.590372999999985</v>
          </cell>
          <cell r="DC290">
            <v>40.042587000000005</v>
          </cell>
          <cell r="DD290">
            <v>26.3</v>
          </cell>
          <cell r="DE290">
            <v>30.4</v>
          </cell>
          <cell r="DF290">
            <v>34.4</v>
          </cell>
          <cell r="DG290">
            <v>25.9</v>
          </cell>
          <cell r="DH290">
            <v>26.2</v>
          </cell>
          <cell r="DI290">
            <v>25.3</v>
          </cell>
          <cell r="DJ290">
            <v>25.8</v>
          </cell>
          <cell r="DK290">
            <v>10.9</v>
          </cell>
          <cell r="DL290">
            <v>25.8</v>
          </cell>
          <cell r="DM290">
            <v>38.5</v>
          </cell>
          <cell r="DN290">
            <v>50</v>
          </cell>
          <cell r="DO290">
            <v>50.9</v>
          </cell>
          <cell r="DP290">
            <v>51.7</v>
          </cell>
          <cell r="DQ290">
            <v>36.299999999999997</v>
          </cell>
          <cell r="DR290">
            <v>45.8</v>
          </cell>
          <cell r="DS290">
            <v>31.6</v>
          </cell>
          <cell r="DT290">
            <v>23.6</v>
          </cell>
          <cell r="DU290">
            <v>34.299999999999997</v>
          </cell>
          <cell r="DV290">
            <v>34.4</v>
          </cell>
          <cell r="DW290">
            <v>20.6</v>
          </cell>
          <cell r="DX290">
            <v>17</v>
          </cell>
          <cell r="DY290">
            <v>64.900000000000006</v>
          </cell>
          <cell r="DZ290">
            <v>80.7</v>
          </cell>
          <cell r="EA290">
            <v>73.2</v>
          </cell>
          <cell r="EB290">
            <v>68.162000000000006</v>
          </cell>
          <cell r="EC290">
            <v>63.256999999999998</v>
          </cell>
          <cell r="ED290">
            <v>47.122</v>
          </cell>
          <cell r="EE290">
            <v>49.427999999999997</v>
          </cell>
          <cell r="EF290">
            <v>45.718000000000004</v>
          </cell>
          <cell r="EG290">
            <v>34.298999999999999</v>
          </cell>
          <cell r="EH290">
            <v>34.624000000000002</v>
          </cell>
          <cell r="EI290">
            <v>6.585</v>
          </cell>
          <cell r="EJ290">
            <v>33.945999999999998</v>
          </cell>
          <cell r="EK290">
            <v>80.094999999999999</v>
          </cell>
          <cell r="EL290">
            <v>72.256</v>
          </cell>
          <cell r="EM290">
            <v>82.638999999999996</v>
          </cell>
          <cell r="EN290">
            <v>91.063999999999993</v>
          </cell>
          <cell r="EO290">
            <v>92.346000000000004</v>
          </cell>
          <cell r="EP290">
            <v>100.86799999999999</v>
          </cell>
          <cell r="EQ290">
            <v>71.984999999999999</v>
          </cell>
          <cell r="ER290">
            <v>69.784000000000006</v>
          </cell>
          <cell r="ES290">
            <v>77.114999999999995</v>
          </cell>
          <cell r="ET290">
            <v>49.280999999999999</v>
          </cell>
          <cell r="EU290">
            <v>26.995999999999999</v>
          </cell>
          <cell r="EV290">
            <v>30.8</v>
          </cell>
          <cell r="EW290">
            <v>93.688999999999993</v>
          </cell>
          <cell r="EX290">
            <v>98.819000000000003</v>
          </cell>
          <cell r="EY290">
            <v>116.747</v>
          </cell>
          <cell r="EZ290">
            <v>98.156000000000006</v>
          </cell>
          <cell r="FA290">
            <v>86.289000000000001</v>
          </cell>
          <cell r="FB290">
            <v>101.762</v>
          </cell>
          <cell r="FC290">
            <v>97.906000000000006</v>
          </cell>
          <cell r="FD290">
            <v>111.67700000000001</v>
          </cell>
          <cell r="FE290">
            <v>110.794</v>
          </cell>
          <cell r="FF290">
            <v>82.754000000000005</v>
          </cell>
          <cell r="FG290">
            <v>59.771999999999998</v>
          </cell>
          <cell r="FH290">
            <v>32.457999999999998</v>
          </cell>
          <cell r="FI290">
            <v>71.594999999999999</v>
          </cell>
          <cell r="FJ290">
            <v>95.685000000000002</v>
          </cell>
          <cell r="FK290">
            <v>91.024000000000001</v>
          </cell>
          <cell r="FL290">
            <v>85.308999999999997</v>
          </cell>
          <cell r="FM290">
            <v>71.010999999999996</v>
          </cell>
          <cell r="FN290">
            <v>98.76</v>
          </cell>
          <cell r="FO290">
            <v>86.582999999999998</v>
          </cell>
          <cell r="FP290">
            <v>76.334000000000003</v>
          </cell>
          <cell r="FQ290">
            <v>72.322000000000003</v>
          </cell>
          <cell r="FR290">
            <v>48.423000000000002</v>
          </cell>
          <cell r="FS290">
            <v>32.003999999999998</v>
          </cell>
          <cell r="FT290">
            <v>39.463000000000001</v>
          </cell>
          <cell r="FU290">
            <v>99.289000000000001</v>
          </cell>
          <cell r="FV290">
            <v>118.006</v>
          </cell>
          <cell r="FW290">
            <v>119.764</v>
          </cell>
          <cell r="FX290">
            <v>100.313</v>
          </cell>
          <cell r="FY290">
            <v>111.749</v>
          </cell>
          <cell r="FZ290">
            <v>133.36099999999999</v>
          </cell>
          <cell r="GA290">
            <v>135.47900000000001</v>
          </cell>
          <cell r="GB290">
            <v>140.01900000000001</v>
          </cell>
          <cell r="GC290">
            <v>122.73</v>
          </cell>
          <cell r="GD290">
            <v>119.35</v>
          </cell>
          <cell r="GE290">
            <v>97.216999999999999</v>
          </cell>
          <cell r="GF290">
            <v>44.353999999999999</v>
          </cell>
          <cell r="GG290">
            <v>122.80200000000001</v>
          </cell>
          <cell r="GH290">
            <v>139.35</v>
          </cell>
          <cell r="GI290">
            <v>133.578</v>
          </cell>
          <cell r="GJ290">
            <v>155.35499999999999</v>
          </cell>
          <cell r="GK290">
            <v>130.96199999999999</v>
          </cell>
          <cell r="GL290">
            <v>143.76499999999999</v>
          </cell>
          <cell r="GM290">
            <v>138.78100000000001</v>
          </cell>
          <cell r="GN290">
            <v>161.99199999999999</v>
          </cell>
          <cell r="GO290">
            <v>112.628</v>
          </cell>
          <cell r="GP290">
            <v>107.43600000000001</v>
          </cell>
          <cell r="GQ290">
            <v>92.174999999999997</v>
          </cell>
          <cell r="GR290">
            <v>70.811999999999998</v>
          </cell>
          <cell r="GS290">
            <v>111.518</v>
          </cell>
          <cell r="GT290">
            <v>182.636</v>
          </cell>
          <cell r="GU290">
            <v>147.23500000000001</v>
          </cell>
          <cell r="GV290">
            <v>149.78899999999999</v>
          </cell>
          <cell r="GW290">
            <v>150.673</v>
          </cell>
          <cell r="GX290">
            <v>111.381</v>
          </cell>
          <cell r="GY290">
            <v>97.730999999999995</v>
          </cell>
          <cell r="GZ290">
            <v>73.02</v>
          </cell>
          <cell r="HA290">
            <v>56.366999999999997</v>
          </cell>
          <cell r="HB290">
            <v>82.691999999999993</v>
          </cell>
          <cell r="HC290">
            <v>38.953000000000003</v>
          </cell>
          <cell r="HD290">
            <v>42.469000000000001</v>
          </cell>
          <cell r="HE290">
            <v>142.434</v>
          </cell>
          <cell r="HF290">
            <v>171.18299999999999</v>
          </cell>
          <cell r="HG290">
            <v>178.923</v>
          </cell>
          <cell r="HH290">
            <v>192.24</v>
          </cell>
          <cell r="HI290">
            <v>199.19499999999999</v>
          </cell>
          <cell r="HJ290">
            <v>230.494</v>
          </cell>
          <cell r="HK290">
            <v>234.072</v>
          </cell>
          <cell r="HL290">
            <v>225.62899999999999</v>
          </cell>
          <cell r="HM290">
            <v>224.05600000000001</v>
          </cell>
          <cell r="HN290">
            <v>198.75899999999999</v>
          </cell>
          <cell r="HO290">
            <v>169.81</v>
          </cell>
          <cell r="HP290">
            <v>101.43899999999999</v>
          </cell>
          <cell r="HQ290">
            <v>195.221</v>
          </cell>
          <cell r="HR290">
            <v>256.38099999999997</v>
          </cell>
          <cell r="HS290">
            <v>248.27500000000001</v>
          </cell>
          <cell r="HT290">
            <v>197.38900000000001</v>
          </cell>
          <cell r="HU290">
            <v>200.29300000000001</v>
          </cell>
          <cell r="HV290">
            <v>267.76900000000001</v>
          </cell>
          <cell r="HW290">
            <v>218.22200000000001</v>
          </cell>
          <cell r="HX290">
            <v>230.648</v>
          </cell>
          <cell r="HY290">
            <v>240.886</v>
          </cell>
          <cell r="HZ290">
            <v>225.072</v>
          </cell>
          <cell r="IA290">
            <v>133.904</v>
          </cell>
          <cell r="IB290">
            <v>101.64</v>
          </cell>
          <cell r="IC290">
            <v>238.977</v>
          </cell>
          <cell r="ID290">
            <v>324.834</v>
          </cell>
          <cell r="IE290">
            <v>269.68799999999999</v>
          </cell>
          <cell r="IF290">
            <v>288.72300000000001</v>
          </cell>
          <cell r="IG290">
            <v>313.36799999999999</v>
          </cell>
          <cell r="IH290">
            <v>321.55599999999998</v>
          </cell>
          <cell r="II290">
            <v>284.45400000000001</v>
          </cell>
          <cell r="IJ290">
            <v>248.203</v>
          </cell>
          <cell r="IK290">
            <v>235.702</v>
          </cell>
          <cell r="IL290">
            <v>176.261</v>
          </cell>
          <cell r="IM290">
            <v>123.93300000000001</v>
          </cell>
          <cell r="IN290">
            <v>143.833</v>
          </cell>
          <cell r="IO290">
            <v>288.58699999999999</v>
          </cell>
          <cell r="IP290">
            <v>323.56900000000002</v>
          </cell>
          <cell r="IQ290">
            <v>336.55399999999997</v>
          </cell>
          <cell r="IR290">
            <v>361.202</v>
          </cell>
          <cell r="IS290">
            <v>328.90199999999999</v>
          </cell>
          <cell r="IT290">
            <v>360.76600000000002</v>
          </cell>
          <cell r="IU290">
            <v>381.625</v>
          </cell>
          <cell r="IV290">
            <v>417.43700000000001</v>
          </cell>
          <cell r="IW290">
            <v>336.85599999999999</v>
          </cell>
          <cell r="IX290">
            <v>359.67899999999997</v>
          </cell>
          <cell r="IY290">
            <v>198.458</v>
          </cell>
          <cell r="IZ290">
            <v>230.517</v>
          </cell>
          <cell r="JA290">
            <v>383.065</v>
          </cell>
          <cell r="JB290">
            <v>373.536</v>
          </cell>
          <cell r="JC290">
            <v>365.339</v>
          </cell>
          <cell r="JD290">
            <v>370.613</v>
          </cell>
          <cell r="JE290">
            <v>318.49</v>
          </cell>
          <cell r="JF290">
            <v>270.64400000000001</v>
          </cell>
          <cell r="JG290">
            <v>276.77</v>
          </cell>
          <cell r="JH290">
            <v>170.297</v>
          </cell>
          <cell r="JI290">
            <v>127.88</v>
          </cell>
          <cell r="JJ290">
            <v>133.761</v>
          </cell>
          <cell r="JK290">
            <v>31.529</v>
          </cell>
          <cell r="JL290">
            <v>149.22999999999999</v>
          </cell>
          <cell r="JM290">
            <v>288.18099999999998</v>
          </cell>
          <cell r="JN290">
            <v>306.40100000000001</v>
          </cell>
          <cell r="JO290">
            <v>354.20600000000002</v>
          </cell>
          <cell r="JP290">
            <v>330.30900000000003</v>
          </cell>
          <cell r="JQ290">
            <v>271.41199999999998</v>
          </cell>
          <cell r="JR290">
            <v>359.142</v>
          </cell>
          <cell r="JS290">
            <v>374.16399999999999</v>
          </cell>
          <cell r="JT290">
            <v>331.90499999999997</v>
          </cell>
          <cell r="JU290">
            <v>312.42500000000001</v>
          </cell>
          <cell r="JV290">
            <v>393.72199999999998</v>
          </cell>
          <cell r="JW290">
            <v>176.90199999999999</v>
          </cell>
          <cell r="JX290">
            <v>189.21</v>
          </cell>
          <cell r="JY290">
            <v>294.57600000000002</v>
          </cell>
          <cell r="JZ290">
            <v>334.06200000000001</v>
          </cell>
          <cell r="KA290">
            <v>423.58600000000001</v>
          </cell>
          <cell r="KB290">
            <v>302.50200000000001</v>
          </cell>
          <cell r="KC290">
            <v>335.04899999999998</v>
          </cell>
          <cell r="KD290">
            <v>306.25099999999998</v>
          </cell>
          <cell r="KE290">
            <v>328.11399999999998</v>
          </cell>
          <cell r="KF290">
            <v>269.48099999999999</v>
          </cell>
          <cell r="KG290">
            <v>265.31900000000002</v>
          </cell>
          <cell r="KH290">
            <v>245.35900000000001</v>
          </cell>
          <cell r="KI290">
            <v>100.443</v>
          </cell>
          <cell r="KJ290">
            <v>146.95099999999999</v>
          </cell>
          <cell r="KK290">
            <v>359.68</v>
          </cell>
          <cell r="KL290">
            <v>386.79500000000002</v>
          </cell>
          <cell r="KM290">
            <v>450.33600000000001</v>
          </cell>
          <cell r="KN290">
            <v>213.512</v>
          </cell>
          <cell r="KO290">
            <v>376.226</v>
          </cell>
          <cell r="KP290">
            <v>384.88200000000001</v>
          </cell>
          <cell r="KQ290">
            <v>328.69299999999998</v>
          </cell>
          <cell r="KR290">
            <v>418.36200000000002</v>
          </cell>
          <cell r="KS290">
            <v>382.44400000000002</v>
          </cell>
          <cell r="KT290">
            <v>274.42399999999998</v>
          </cell>
          <cell r="KU290">
            <v>94.998999999999995</v>
          </cell>
          <cell r="KV290">
            <v>175.172</v>
          </cell>
          <cell r="KW290">
            <v>353.87</v>
          </cell>
          <cell r="KX290">
            <v>514.78200000000004</v>
          </cell>
          <cell r="KY290">
            <v>466.69099999999997</v>
          </cell>
          <cell r="KZ290">
            <v>434.13</v>
          </cell>
          <cell r="LA290">
            <v>451.51499999999999</v>
          </cell>
          <cell r="LB290">
            <v>484.81</v>
          </cell>
          <cell r="LC290">
            <v>470.21699999999998</v>
          </cell>
          <cell r="LD290">
            <v>460.78500000000003</v>
          </cell>
          <cell r="LE290">
            <v>392.00200000000001</v>
          </cell>
          <cell r="LF290">
            <v>385.94200000000001</v>
          </cell>
          <cell r="LG290">
            <v>217.245</v>
          </cell>
          <cell r="LH290">
            <v>194.803</v>
          </cell>
          <cell r="LI290">
            <v>369.88799999999998</v>
          </cell>
          <cell r="LJ290">
            <v>527.93700000000001</v>
          </cell>
          <cell r="LK290">
            <v>413.44400000000002</v>
          </cell>
          <cell r="LL290">
            <v>478.041</v>
          </cell>
          <cell r="LM290">
            <v>385.17200000000003</v>
          </cell>
          <cell r="LN290">
            <v>358.42599999999999</v>
          </cell>
          <cell r="LO290">
            <v>487.86200000000002</v>
          </cell>
          <cell r="LP290">
            <v>376.41199999999998</v>
          </cell>
          <cell r="LQ290">
            <v>312.142</v>
          </cell>
          <cell r="LR290">
            <v>224.33699999999999</v>
          </cell>
          <cell r="LS290">
            <v>109.733</v>
          </cell>
          <cell r="LT290">
            <v>132.52099999999999</v>
          </cell>
          <cell r="LU290">
            <v>307.52999999999997</v>
          </cell>
          <cell r="LV290">
            <v>538.25900000000001</v>
          </cell>
          <cell r="LW290">
            <v>596.39700000000005</v>
          </cell>
          <cell r="LX290">
            <v>501.3</v>
          </cell>
          <cell r="LY290">
            <v>404.94900000000001</v>
          </cell>
          <cell r="LZ290">
            <v>456.69600000000003</v>
          </cell>
          <cell r="MA290">
            <v>404.67599999999999</v>
          </cell>
          <cell r="MB290">
            <v>526.93100000000004</v>
          </cell>
          <cell r="MC290">
            <v>310.90300000000002</v>
          </cell>
          <cell r="MD290">
            <v>347.07900000000001</v>
          </cell>
          <cell r="ME290">
            <v>280.33199999999999</v>
          </cell>
          <cell r="MF290">
            <v>112.854</v>
          </cell>
          <cell r="MG290">
            <v>406.87599999999998</v>
          </cell>
          <cell r="MH290">
            <v>530.21299999999997</v>
          </cell>
          <cell r="MI290">
            <v>485.42599999999999</v>
          </cell>
          <cell r="MJ290">
            <v>665.82899999999995</v>
          </cell>
          <cell r="MK290">
            <v>493.57299999999998</v>
          </cell>
          <cell r="ML290">
            <v>574.99400000000003</v>
          </cell>
          <cell r="MM290">
            <v>366.98700000000002</v>
          </cell>
          <cell r="MN290">
            <v>526.14599999999996</v>
          </cell>
          <cell r="MO290">
            <v>378.58300000000003</v>
          </cell>
          <cell r="MP290">
            <v>468.98599999999999</v>
          </cell>
          <cell r="MQ290">
            <v>171.215</v>
          </cell>
          <cell r="MR290">
            <v>96.022999999999996</v>
          </cell>
          <cell r="MS290">
            <v>479.572</v>
          </cell>
          <cell r="MT290">
            <v>505.89800000000002</v>
          </cell>
          <cell r="MU290">
            <v>631.26700000000005</v>
          </cell>
          <cell r="MV290">
            <v>287.339</v>
          </cell>
          <cell r="MW290">
            <v>441.36500000000001</v>
          </cell>
          <cell r="MX290">
            <v>400.34500000000003</v>
          </cell>
          <cell r="MY290">
            <v>471.96699999999998</v>
          </cell>
          <cell r="MZ290">
            <v>434.29300000000001</v>
          </cell>
          <cell r="NA290">
            <v>257.22500000000002</v>
          </cell>
          <cell r="NB290">
            <v>228.477</v>
          </cell>
          <cell r="NC290">
            <v>162.01499999999999</v>
          </cell>
          <cell r="ND290">
            <v>65.671000000000006</v>
          </cell>
          <cell r="NE290">
            <v>409.28300000000002</v>
          </cell>
          <cell r="NF290">
            <v>516.34299999999996</v>
          </cell>
          <cell r="NG290">
            <v>453.22199999999998</v>
          </cell>
          <cell r="NH290">
            <v>620.68700000000001</v>
          </cell>
          <cell r="NI290">
            <v>420.14699999999999</v>
          </cell>
          <cell r="NJ290">
            <v>62.122</v>
          </cell>
          <cell r="NK290">
            <v>47.298999999999999</v>
          </cell>
          <cell r="NL290">
            <v>99.522000000000006</v>
          </cell>
          <cell r="NM290">
            <v>111.467</v>
          </cell>
          <cell r="NN290">
            <v>152.65799999999999</v>
          </cell>
          <cell r="NO290">
            <v>281.75200000000001</v>
          </cell>
          <cell r="NP290">
            <v>344.04700000000003</v>
          </cell>
          <cell r="NQ290">
            <v>365.71</v>
          </cell>
          <cell r="NR290">
            <v>291.66699999999997</v>
          </cell>
          <cell r="NS290">
            <v>447.44099999999997</v>
          </cell>
          <cell r="NT290">
            <v>290.74700000000001</v>
          </cell>
          <cell r="NU290">
            <v>344.74</v>
          </cell>
          <cell r="NV290">
            <v>371.67599999999999</v>
          </cell>
          <cell r="NW290">
            <v>232.60900000000001</v>
          </cell>
          <cell r="NX290">
            <v>388.28300000000002</v>
          </cell>
          <cell r="NY290">
            <v>380.27800000000002</v>
          </cell>
          <cell r="NZ290">
            <v>257.99</v>
          </cell>
          <cell r="OA290">
            <v>256.803</v>
          </cell>
          <cell r="OB290">
            <v>279.875</v>
          </cell>
          <cell r="OC290">
            <v>358.00900000000001</v>
          </cell>
          <cell r="OD290">
            <v>355.61399999999998</v>
          </cell>
          <cell r="OE290">
            <v>386.21300000000002</v>
          </cell>
          <cell r="OF290">
            <v>532.03300000000002</v>
          </cell>
          <cell r="OG290">
            <v>491.01299999999998</v>
          </cell>
          <cell r="OH290">
            <v>398.363</v>
          </cell>
        </row>
      </sheetData>
      <sheetData sheetId="17">
        <row r="290">
          <cell r="NE290">
            <v>1E-3</v>
          </cell>
          <cell r="NF290">
            <v>4.0000000000000001E-3</v>
          </cell>
          <cell r="NG290">
            <v>4.0000000000000001E-3</v>
          </cell>
          <cell r="NH290">
            <v>0</v>
          </cell>
          <cell r="NI290">
            <v>3.0000000000000001E-3</v>
          </cell>
          <cell r="NJ290">
            <v>0</v>
          </cell>
          <cell r="NK290">
            <v>0.90500000000000003</v>
          </cell>
          <cell r="NL290">
            <v>2.1000000000000001E-2</v>
          </cell>
          <cell r="NM290">
            <v>9.2999999999999999E-2</v>
          </cell>
          <cell r="NN290">
            <v>0</v>
          </cell>
          <cell r="NO290">
            <v>2.4E-2</v>
          </cell>
          <cell r="NP290">
            <v>1.7999999999999999E-2</v>
          </cell>
          <cell r="NQ290">
            <v>1E-3</v>
          </cell>
          <cell r="NR290">
            <v>1.7000000000000001E-2</v>
          </cell>
          <cell r="NS290">
            <v>0</v>
          </cell>
          <cell r="NT290">
            <v>1E-3</v>
          </cell>
          <cell r="NU290">
            <v>3.9E-2</v>
          </cell>
          <cell r="NV290">
            <v>7.1999999999999995E-2</v>
          </cell>
          <cell r="NW290">
            <v>0.11899999999999999</v>
          </cell>
          <cell r="NX290">
            <v>0.31</v>
          </cell>
          <cell r="NY290">
            <v>0</v>
          </cell>
          <cell r="NZ290">
            <v>0.04</v>
          </cell>
          <cell r="OA290">
            <v>2.1000000000000001E-2</v>
          </cell>
          <cell r="OB290">
            <v>0</v>
          </cell>
          <cell r="OC290">
            <v>0.438</v>
          </cell>
          <cell r="OD290">
            <v>0</v>
          </cell>
          <cell r="OE290">
            <v>1.9E-2</v>
          </cell>
          <cell r="OF290">
            <v>2.5000000000000001E-2</v>
          </cell>
          <cell r="OG290">
            <v>3.4E-5</v>
          </cell>
        </row>
      </sheetData>
      <sheetData sheetId="18">
        <row r="2">
          <cell r="Y2" t="str">
            <v>2016/17</v>
          </cell>
          <cell r="Z2" t="str">
            <v>2017/18</v>
          </cell>
          <cell r="AA2" t="str">
            <v>2018/19</v>
          </cell>
          <cell r="AB2" t="str">
            <v>2019/20</v>
          </cell>
          <cell r="AC2" t="str">
            <v>2020/21</v>
          </cell>
          <cell r="AD2" t="str">
            <v>2021/22</v>
          </cell>
          <cell r="AE2" t="str">
            <v>2022/23</v>
          </cell>
        </row>
        <row r="4">
          <cell r="B4">
            <v>0</v>
          </cell>
          <cell r="C4">
            <v>1.7</v>
          </cell>
          <cell r="D4">
            <v>10.100000000000001</v>
          </cell>
          <cell r="E4">
            <v>8</v>
          </cell>
          <cell r="F4">
            <v>18.5</v>
          </cell>
          <cell r="G4">
            <v>25</v>
          </cell>
          <cell r="H4">
            <v>97</v>
          </cell>
          <cell r="I4">
            <v>137</v>
          </cell>
          <cell r="J4">
            <v>165.36007499999997</v>
          </cell>
          <cell r="K4">
            <v>274.75200000000001</v>
          </cell>
          <cell r="L4">
            <v>361.78199999999998</v>
          </cell>
          <cell r="M4">
            <v>259.69899999999996</v>
          </cell>
          <cell r="N4">
            <v>773.20500000000004</v>
          </cell>
          <cell r="O4">
            <v>910.57300000000009</v>
          </cell>
          <cell r="P4">
            <v>649.90800000000002</v>
          </cell>
          <cell r="Q4">
            <v>632.23900000000003</v>
          </cell>
          <cell r="R4">
            <v>702.01600000000008</v>
          </cell>
          <cell r="S4">
            <v>614.78500000000008</v>
          </cell>
          <cell r="T4">
            <v>573.14499999999998</v>
          </cell>
          <cell r="U4">
            <v>513.76900000000001</v>
          </cell>
          <cell r="V4">
            <v>711.44499999999994</v>
          </cell>
          <cell r="W4">
            <v>587.89499999999998</v>
          </cell>
          <cell r="X4">
            <v>1385.9010000000001</v>
          </cell>
          <cell r="Y4">
            <v>1710.7615379999995</v>
          </cell>
          <cell r="Z4">
            <v>1291.8806880000002</v>
          </cell>
          <cell r="AA4">
            <v>1833.7583139999997</v>
          </cell>
          <cell r="AB4">
            <v>2164.0545040000006</v>
          </cell>
          <cell r="AC4">
            <v>1563.839858</v>
          </cell>
          <cell r="AD4">
            <v>2014.1000000000001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5</v>
          </cell>
          <cell r="H37">
            <v>3</v>
          </cell>
          <cell r="I37">
            <v>14</v>
          </cell>
          <cell r="J37">
            <v>89.417851999999996</v>
          </cell>
          <cell r="K37">
            <v>312.28700000000003</v>
          </cell>
          <cell r="L37">
            <v>249.21699999999993</v>
          </cell>
          <cell r="M37">
            <v>91.62700000000001</v>
          </cell>
          <cell r="N37">
            <v>49.457000000000008</v>
          </cell>
          <cell r="O37">
            <v>10.821000000000002</v>
          </cell>
          <cell r="P37">
            <v>24.396000000000001</v>
          </cell>
          <cell r="Q37">
            <v>8.8179999999999996</v>
          </cell>
          <cell r="R37">
            <v>15.945</v>
          </cell>
          <cell r="S37">
            <v>14.144</v>
          </cell>
          <cell r="T37">
            <v>8.7779999999999987</v>
          </cell>
          <cell r="U37">
            <v>23.085999999999999</v>
          </cell>
          <cell r="V37">
            <v>14.995999999999999</v>
          </cell>
          <cell r="W37">
            <v>8.4479999999999986</v>
          </cell>
          <cell r="X37">
            <v>8.5129999999999999</v>
          </cell>
          <cell r="Y37">
            <v>28.373045000000001</v>
          </cell>
          <cell r="Z37">
            <v>8.8994159999999987</v>
          </cell>
          <cell r="AA37">
            <v>8.2756050000000005</v>
          </cell>
          <cell r="AB37">
            <v>19.587924999999998</v>
          </cell>
          <cell r="AC37">
            <v>28.457414999999997</v>
          </cell>
          <cell r="AD37">
            <v>33.113</v>
          </cell>
        </row>
        <row r="59">
          <cell r="B59">
            <v>0</v>
          </cell>
          <cell r="C59">
            <v>69.399999999999991</v>
          </cell>
          <cell r="D59">
            <v>114.7</v>
          </cell>
          <cell r="E59">
            <v>47.5</v>
          </cell>
          <cell r="F59">
            <v>109.5</v>
          </cell>
          <cell r="G59">
            <v>109</v>
          </cell>
          <cell r="H59">
            <v>170</v>
          </cell>
          <cell r="I59">
            <v>154</v>
          </cell>
          <cell r="J59">
            <v>139.52919590000005</v>
          </cell>
          <cell r="K59">
            <v>190.18100000000001</v>
          </cell>
          <cell r="L59">
            <v>148.52399999999997</v>
          </cell>
          <cell r="M59">
            <v>148.29299999999998</v>
          </cell>
          <cell r="N59">
            <v>174.78699999999998</v>
          </cell>
          <cell r="O59">
            <v>218.99299999999999</v>
          </cell>
          <cell r="P59">
            <v>218.23099999999997</v>
          </cell>
          <cell r="Q59">
            <v>182.512</v>
          </cell>
          <cell r="R59">
            <v>258.26300000000003</v>
          </cell>
          <cell r="S59">
            <v>375.68299999999994</v>
          </cell>
          <cell r="T59">
            <v>151.43299999999999</v>
          </cell>
          <cell r="U59">
            <v>158.22199999999998</v>
          </cell>
          <cell r="V59">
            <v>110.794</v>
          </cell>
          <cell r="W59">
            <v>77.605999999999995</v>
          </cell>
          <cell r="X59">
            <v>66.325999999999993</v>
          </cell>
          <cell r="Y59">
            <v>43.234694999999995</v>
          </cell>
          <cell r="Z59">
            <v>36.620531000000007</v>
          </cell>
          <cell r="AA59">
            <v>30.722424999999994</v>
          </cell>
          <cell r="AB59">
            <v>26.466594000000004</v>
          </cell>
          <cell r="AC59">
            <v>22.497758999999999</v>
          </cell>
          <cell r="AD59">
            <v>32.191000000000003</v>
          </cell>
        </row>
        <row r="74">
          <cell r="B74">
            <v>0</v>
          </cell>
          <cell r="C74">
            <v>27</v>
          </cell>
          <cell r="D74">
            <v>73</v>
          </cell>
          <cell r="E74">
            <v>72</v>
          </cell>
          <cell r="F74">
            <v>44.7</v>
          </cell>
          <cell r="G74">
            <v>51</v>
          </cell>
          <cell r="H74">
            <v>70.7</v>
          </cell>
          <cell r="I74">
            <v>119.3</v>
          </cell>
          <cell r="J74">
            <v>24.526695150000002</v>
          </cell>
          <cell r="K74">
            <v>47.052</v>
          </cell>
          <cell r="L74">
            <v>25.338999999999999</v>
          </cell>
          <cell r="M74">
            <v>120.49699999999999</v>
          </cell>
          <cell r="N74">
            <v>423.49599999999998</v>
          </cell>
          <cell r="O74">
            <v>347.75900000000001</v>
          </cell>
          <cell r="P74">
            <v>265.61</v>
          </cell>
          <cell r="Q74">
            <v>982.69799999999987</v>
          </cell>
          <cell r="R74">
            <v>1001.3979999999999</v>
          </cell>
          <cell r="S74">
            <v>1305.2470000000001</v>
          </cell>
          <cell r="T74">
            <v>1967.9530000000002</v>
          </cell>
          <cell r="U74">
            <v>1923.819</v>
          </cell>
          <cell r="V74">
            <v>2898.9950000000008</v>
          </cell>
          <cell r="W74">
            <v>2777.9849999999997</v>
          </cell>
          <cell r="X74">
            <v>2872.6000000000004</v>
          </cell>
          <cell r="Y74">
            <v>3706.4492840000012</v>
          </cell>
          <cell r="Z74">
            <v>3766.3257150000009</v>
          </cell>
          <cell r="AA74">
            <v>3946.4773820000005</v>
          </cell>
          <cell r="AB74">
            <v>4153.5582989999994</v>
          </cell>
          <cell r="AC74">
            <v>3398.2099349999994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7.9000000000000001E-2</v>
          </cell>
          <cell r="R88">
            <v>36.212000000000003</v>
          </cell>
          <cell r="S88">
            <v>12.704000000000001</v>
          </cell>
          <cell r="T88">
            <v>94.818000000000012</v>
          </cell>
          <cell r="U88">
            <v>290.72000000000003</v>
          </cell>
          <cell r="V88">
            <v>500.76999999999992</v>
          </cell>
          <cell r="W88">
            <v>466.61400000000003</v>
          </cell>
          <cell r="X88">
            <v>627.16300000000001</v>
          </cell>
          <cell r="Y88">
            <v>632.48590299999978</v>
          </cell>
          <cell r="Z88">
            <v>425.91852999999992</v>
          </cell>
          <cell r="AA88">
            <v>810.16551900000002</v>
          </cell>
          <cell r="AB88">
            <v>1062.8663529999999</v>
          </cell>
          <cell r="AC88">
            <v>977.20782699999995</v>
          </cell>
          <cell r="AD88">
            <v>375.29900000000004</v>
          </cell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K88"/>
          <cell r="DL88"/>
          <cell r="DM88"/>
          <cell r="DN88"/>
          <cell r="DO88"/>
          <cell r="DP88"/>
          <cell r="DQ88"/>
          <cell r="DR88"/>
          <cell r="DS88"/>
          <cell r="DT88"/>
          <cell r="DU88"/>
          <cell r="DV88"/>
          <cell r="DW88"/>
          <cell r="DX88"/>
          <cell r="DY88"/>
          <cell r="DZ88"/>
          <cell r="EA88"/>
          <cell r="EB88"/>
          <cell r="EC88"/>
          <cell r="ED88"/>
          <cell r="EE88"/>
          <cell r="EF88"/>
          <cell r="EG88"/>
          <cell r="EH88"/>
          <cell r="EI88"/>
          <cell r="EJ88"/>
          <cell r="EK88"/>
          <cell r="EL88"/>
          <cell r="EM88"/>
          <cell r="EN88"/>
          <cell r="EO88"/>
          <cell r="EP88"/>
          <cell r="EQ88"/>
          <cell r="ER88"/>
          <cell r="ES88"/>
          <cell r="ET88"/>
          <cell r="EU88"/>
          <cell r="EV88"/>
          <cell r="EW88"/>
          <cell r="EX88"/>
          <cell r="EY88"/>
          <cell r="EZ88"/>
          <cell r="FA88"/>
          <cell r="FB88"/>
          <cell r="FC88"/>
          <cell r="FD88"/>
          <cell r="FE88"/>
          <cell r="FF88"/>
          <cell r="FG88"/>
          <cell r="FH88"/>
          <cell r="FI88"/>
          <cell r="FJ88"/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/>
          <cell r="GE88"/>
          <cell r="GF88"/>
          <cell r="GG88"/>
          <cell r="GH88"/>
          <cell r="GI88"/>
          <cell r="GJ88"/>
          <cell r="GK88"/>
          <cell r="GL88"/>
          <cell r="GM88"/>
          <cell r="GN88"/>
          <cell r="GO88"/>
          <cell r="GP88"/>
          <cell r="GQ88"/>
          <cell r="GR88"/>
          <cell r="GS88"/>
          <cell r="GT88"/>
          <cell r="GU88"/>
          <cell r="GV88"/>
          <cell r="GW88"/>
          <cell r="GX88"/>
          <cell r="GY88"/>
          <cell r="GZ88"/>
          <cell r="HA88"/>
          <cell r="HB88"/>
          <cell r="HC88"/>
          <cell r="HD88"/>
          <cell r="HE88"/>
          <cell r="HF88"/>
          <cell r="HG88"/>
          <cell r="HH88"/>
          <cell r="HI88"/>
          <cell r="HJ88">
            <v>2.7E-2</v>
          </cell>
          <cell r="HK88"/>
          <cell r="HL88">
            <v>2.5999999999999999E-2</v>
          </cell>
          <cell r="HM88"/>
          <cell r="HN88"/>
          <cell r="HO88">
            <v>2.5999999999999999E-2</v>
          </cell>
          <cell r="HP88"/>
          <cell r="HQ88">
            <v>2.1000000000000001E-2</v>
          </cell>
          <cell r="HR88"/>
          <cell r="HS88">
            <v>2.1000000000000001E-2</v>
          </cell>
          <cell r="HT88">
            <v>0.38700000000000001</v>
          </cell>
          <cell r="HU88">
            <v>1.085</v>
          </cell>
          <cell r="HV88">
            <v>1.0640000000000001</v>
          </cell>
          <cell r="HW88">
            <v>0.84899999999999998</v>
          </cell>
          <cell r="HX88">
            <v>0.30399999999999999</v>
          </cell>
          <cell r="HY88">
            <v>18.48</v>
          </cell>
          <cell r="HZ88">
            <v>11.932</v>
          </cell>
          <cell r="IA88">
            <v>2.069</v>
          </cell>
          <cell r="IB88"/>
          <cell r="IC88"/>
          <cell r="ID88">
            <v>0.56299999999999994</v>
          </cell>
          <cell r="IE88">
            <v>0.98099999999999998</v>
          </cell>
          <cell r="IF88"/>
          <cell r="IG88">
            <v>0.52900000000000003</v>
          </cell>
          <cell r="IH88">
            <v>1.0269999999999999</v>
          </cell>
          <cell r="II88">
            <v>2.585</v>
          </cell>
          <cell r="IJ88">
            <v>3.133</v>
          </cell>
          <cell r="IK88"/>
          <cell r="IL88">
            <v>1.296</v>
          </cell>
          <cell r="IM88">
            <v>0.22</v>
          </cell>
          <cell r="IN88">
            <v>2.37</v>
          </cell>
          <cell r="IO88">
            <v>27.594000000000001</v>
          </cell>
          <cell r="IP88">
            <v>16.763000000000002</v>
          </cell>
          <cell r="IQ88">
            <v>28.616</v>
          </cell>
          <cell r="IR88">
            <v>6.4000000000000001E-2</v>
          </cell>
          <cell r="IS88">
            <v>1.51</v>
          </cell>
          <cell r="IT88">
            <v>3.4769999999999999</v>
          </cell>
          <cell r="IU88">
            <v>1.998</v>
          </cell>
          <cell r="IV88">
            <v>2.6520000000000001</v>
          </cell>
          <cell r="IW88">
            <v>5.117</v>
          </cell>
          <cell r="IX88">
            <v>4.4740000000000002</v>
          </cell>
          <cell r="IY88">
            <v>2.1139999999999999</v>
          </cell>
          <cell r="IZ88">
            <v>0.439</v>
          </cell>
          <cell r="JA88">
            <v>28.776</v>
          </cell>
          <cell r="JB88">
            <v>6.1219999999999999</v>
          </cell>
          <cell r="JC88">
            <v>2.794</v>
          </cell>
          <cell r="JD88">
            <v>4.8659999999999997</v>
          </cell>
          <cell r="JE88">
            <v>57.759</v>
          </cell>
          <cell r="JF88">
            <v>39.268999999999998</v>
          </cell>
          <cell r="JG88">
            <v>31.067</v>
          </cell>
          <cell r="JH88">
            <v>33.228999999999999</v>
          </cell>
          <cell r="JI88">
            <v>75.286000000000001</v>
          </cell>
          <cell r="JJ88">
            <v>6.8620000000000001</v>
          </cell>
          <cell r="JK88">
            <v>1.101</v>
          </cell>
          <cell r="JL88">
            <v>3.589</v>
          </cell>
          <cell r="JM88">
            <v>105.09</v>
          </cell>
          <cell r="JN88">
            <v>49.984999999999999</v>
          </cell>
          <cell r="JO88">
            <v>26.88</v>
          </cell>
          <cell r="JP88">
            <v>26.852</v>
          </cell>
          <cell r="JQ88">
            <v>16.372</v>
          </cell>
          <cell r="JR88">
            <v>94.930999999999997</v>
          </cell>
          <cell r="JS88">
            <v>59.05</v>
          </cell>
          <cell r="JT88">
            <v>101.58799999999999</v>
          </cell>
          <cell r="JU88">
            <v>10.442</v>
          </cell>
          <cell r="JV88">
            <v>4.4359999999999999</v>
          </cell>
          <cell r="JW88">
            <v>1.4970000000000001</v>
          </cell>
          <cell r="JX88">
            <v>3.6469999999999998</v>
          </cell>
          <cell r="JY88">
            <v>9.7910000000000004</v>
          </cell>
          <cell r="JZ88">
            <v>37.225999999999999</v>
          </cell>
          <cell r="KA88">
            <v>34.656999999999996</v>
          </cell>
          <cell r="KB88">
            <v>87.78</v>
          </cell>
          <cell r="KC88">
            <v>22.692</v>
          </cell>
          <cell r="KD88">
            <v>95.765000000000001</v>
          </cell>
          <cell r="KE88">
            <v>71.06</v>
          </cell>
          <cell r="KF88">
            <v>13.493</v>
          </cell>
          <cell r="KG88">
            <v>38.762</v>
          </cell>
          <cell r="KH88">
            <v>2.7090000000000001</v>
          </cell>
          <cell r="KI88">
            <v>33.884</v>
          </cell>
          <cell r="KJ88">
            <v>18.795000000000002</v>
          </cell>
          <cell r="KK88">
            <v>52.851999999999997</v>
          </cell>
          <cell r="KL88">
            <v>78.703000000000003</v>
          </cell>
          <cell r="KM88">
            <v>62.564</v>
          </cell>
          <cell r="KN88">
            <v>58.277000000000001</v>
          </cell>
          <cell r="KO88">
            <v>17.18</v>
          </cell>
          <cell r="KP88">
            <v>64.105000000000004</v>
          </cell>
          <cell r="KQ88">
            <v>64.84</v>
          </cell>
          <cell r="KR88">
            <v>44.195999999999998</v>
          </cell>
          <cell r="KS88">
            <v>55.722000000000001</v>
          </cell>
          <cell r="KT88">
            <v>65.668999999999997</v>
          </cell>
          <cell r="KU88">
            <v>34.651000000000003</v>
          </cell>
          <cell r="KV88">
            <v>28.404</v>
          </cell>
          <cell r="KW88">
            <v>112.91800000000001</v>
          </cell>
          <cell r="KX88">
            <v>42.856000000000002</v>
          </cell>
          <cell r="KY88">
            <v>44.552999999999997</v>
          </cell>
          <cell r="KZ88">
            <v>8.8659999999999997</v>
          </cell>
          <cell r="LA88">
            <v>58.228999999999999</v>
          </cell>
          <cell r="LB88">
            <v>88.950999999999993</v>
          </cell>
          <cell r="LC88">
            <v>41.77</v>
          </cell>
          <cell r="LD88">
            <v>34.454999999999998</v>
          </cell>
          <cell r="LE88">
            <v>38.448929</v>
          </cell>
          <cell r="LF88">
            <v>39.614857000000001</v>
          </cell>
          <cell r="LG88">
            <v>48.772039999999997</v>
          </cell>
          <cell r="LH88">
            <v>73.052076999999997</v>
          </cell>
          <cell r="LI88">
            <v>94.070449999999994</v>
          </cell>
          <cell r="LJ88">
            <v>29.848236</v>
          </cell>
          <cell r="LK88">
            <v>60.297916999999998</v>
          </cell>
          <cell r="LL88">
            <v>0.76675499999999996</v>
          </cell>
          <cell r="LM88">
            <v>2.475994</v>
          </cell>
          <cell r="LN88">
            <v>57.44435</v>
          </cell>
          <cell r="LO88">
            <v>53.396073999999999</v>
          </cell>
          <cell r="LP88">
            <v>22.366931999999998</v>
          </cell>
          <cell r="LQ88">
            <v>19.941402</v>
          </cell>
          <cell r="LR88">
            <v>60.085579000000003</v>
          </cell>
          <cell r="LS88">
            <v>7.5845659999999997</v>
          </cell>
          <cell r="LT88">
            <v>17.640274999999999</v>
          </cell>
          <cell r="LU88">
            <v>66.495491999999999</v>
          </cell>
          <cell r="LV88">
            <v>87.396906000000001</v>
          </cell>
          <cell r="LW88">
            <v>71.043998999999999</v>
          </cell>
          <cell r="LX88">
            <v>55.92259</v>
          </cell>
          <cell r="LY88">
            <v>2.8750599999999999</v>
          </cell>
          <cell r="LZ88">
            <v>102.670367</v>
          </cell>
          <cell r="MA88">
            <v>79.750660999999994</v>
          </cell>
          <cell r="MB88">
            <v>98.734819000000002</v>
          </cell>
          <cell r="MC88">
            <v>70.420598999999996</v>
          </cell>
          <cell r="MD88">
            <v>56.155945000000003</v>
          </cell>
          <cell r="ME88">
            <v>91.183012000000005</v>
          </cell>
          <cell r="MF88">
            <v>27.516069000000002</v>
          </cell>
          <cell r="MG88">
            <v>140.78252499999999</v>
          </cell>
          <cell r="MH88">
            <v>86.061801000000003</v>
          </cell>
          <cell r="MI88">
            <v>55.235084999999998</v>
          </cell>
          <cell r="MJ88">
            <v>84.807394000000002</v>
          </cell>
          <cell r="MK88">
            <v>9.5312959999999993</v>
          </cell>
          <cell r="ML88">
            <v>131.19849600000001</v>
          </cell>
          <cell r="MM88">
            <v>89.693644000000006</v>
          </cell>
          <cell r="MN88">
            <v>121.70476499999999</v>
          </cell>
          <cell r="MO88">
            <v>89.428617000000003</v>
          </cell>
          <cell r="MP88">
            <v>101.927986</v>
          </cell>
          <cell r="MQ88">
            <v>51.732469999999999</v>
          </cell>
          <cell r="MR88">
            <v>100.76227400000001</v>
          </cell>
          <cell r="MS88">
            <v>89.610418999999993</v>
          </cell>
          <cell r="MT88">
            <v>313.15110800000002</v>
          </cell>
          <cell r="MU88">
            <v>71.077299999999994</v>
          </cell>
          <cell r="MV88">
            <v>126.91</v>
          </cell>
          <cell r="MW88">
            <v>81.825999999999993</v>
          </cell>
          <cell r="MX88">
            <v>58.439</v>
          </cell>
          <cell r="MY88">
            <v>37.558</v>
          </cell>
          <cell r="MZ88">
            <v>77.67</v>
          </cell>
          <cell r="NA88">
            <v>54.433999999999997</v>
          </cell>
          <cell r="NB88">
            <v>48.701999999999998</v>
          </cell>
          <cell r="NC88">
            <v>4.8000000000000001E-2</v>
          </cell>
          <cell r="ND88">
            <v>17.782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2.5</v>
          </cell>
          <cell r="G102">
            <v>19</v>
          </cell>
          <cell r="H102">
            <v>17</v>
          </cell>
          <cell r="I102">
            <v>35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53.184999999999995</v>
          </cell>
          <cell r="P102">
            <v>0</v>
          </cell>
          <cell r="Q102">
            <v>472.32899999999995</v>
          </cell>
          <cell r="R102">
            <v>565.81200000000001</v>
          </cell>
          <cell r="S102">
            <v>744.60299999999984</v>
          </cell>
          <cell r="T102">
            <v>1167.8610000000001</v>
          </cell>
          <cell r="U102">
            <v>925.90499999999997</v>
          </cell>
          <cell r="V102">
            <v>1594.5250000000001</v>
          </cell>
          <cell r="W102">
            <v>1481.855</v>
          </cell>
          <cell r="X102">
            <v>1431.9349999999997</v>
          </cell>
          <cell r="Y102">
            <v>2047.3992430000001</v>
          </cell>
          <cell r="Z102">
            <v>2452.0814289999998</v>
          </cell>
          <cell r="AA102">
            <v>2187.2600839999996</v>
          </cell>
          <cell r="AB102">
            <v>1883.7230569999997</v>
          </cell>
          <cell r="AC102">
            <v>1570.301471</v>
          </cell>
          <cell r="AD102">
            <v>1047.296</v>
          </cell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>
            <v>2.5</v>
          </cell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>
            <v>19</v>
          </cell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K102"/>
          <cell r="DL102">
            <v>17</v>
          </cell>
          <cell r="DM102"/>
          <cell r="DN102"/>
          <cell r="DO102"/>
          <cell r="DP102"/>
          <cell r="DQ102"/>
          <cell r="DR102"/>
          <cell r="DS102"/>
          <cell r="DT102"/>
          <cell r="DU102"/>
          <cell r="DV102"/>
          <cell r="DW102"/>
          <cell r="DX102">
            <v>35</v>
          </cell>
          <cell r="DY102"/>
          <cell r="DZ102"/>
          <cell r="EA102"/>
          <cell r="EB102"/>
          <cell r="EC102"/>
          <cell r="ED102"/>
          <cell r="EE102"/>
          <cell r="EF102"/>
          <cell r="EG102"/>
          <cell r="EH102"/>
          <cell r="EI102"/>
          <cell r="EJ102"/>
          <cell r="EK102"/>
          <cell r="EL102"/>
          <cell r="EM102"/>
          <cell r="EN102"/>
          <cell r="EO102"/>
          <cell r="EP102"/>
          <cell r="EQ102"/>
          <cell r="ER102"/>
          <cell r="ES102"/>
          <cell r="ET102"/>
          <cell r="EU102"/>
          <cell r="EV102"/>
          <cell r="EW102"/>
          <cell r="EX102"/>
          <cell r="EY102"/>
          <cell r="EZ102"/>
          <cell r="FA102"/>
          <cell r="FB102"/>
          <cell r="FC102"/>
          <cell r="FD102"/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>
            <v>11.5</v>
          </cell>
          <cell r="GJ102">
            <v>17</v>
          </cell>
          <cell r="GK102">
            <v>3</v>
          </cell>
          <cell r="GL102">
            <v>0.32300000000000001</v>
          </cell>
          <cell r="GM102">
            <v>3.5</v>
          </cell>
          <cell r="GN102">
            <v>12.061999999999999</v>
          </cell>
          <cell r="GO102">
            <v>5.8</v>
          </cell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>
            <v>10.8</v>
          </cell>
          <cell r="HG102">
            <v>47.561999999999998</v>
          </cell>
          <cell r="HH102">
            <v>81.614999999999995</v>
          </cell>
          <cell r="HI102">
            <v>24.77</v>
          </cell>
          <cell r="HJ102">
            <v>54.058999999999997</v>
          </cell>
          <cell r="HK102">
            <v>53.216999999999999</v>
          </cell>
          <cell r="HL102">
            <v>88.248000000000005</v>
          </cell>
          <cell r="HM102">
            <v>25.719000000000001</v>
          </cell>
          <cell r="HN102">
            <v>25.5</v>
          </cell>
          <cell r="HO102">
            <v>16.765000000000001</v>
          </cell>
          <cell r="HP102">
            <v>44.073999999999998</v>
          </cell>
          <cell r="HQ102">
            <v>37.313000000000002</v>
          </cell>
          <cell r="HR102">
            <v>19.454999999999998</v>
          </cell>
          <cell r="HS102">
            <v>51.991999999999997</v>
          </cell>
          <cell r="HT102">
            <v>53.845999999999997</v>
          </cell>
          <cell r="HU102">
            <v>60.451000000000001</v>
          </cell>
          <cell r="HV102">
            <v>52.636000000000003</v>
          </cell>
          <cell r="HW102">
            <v>32.816000000000003</v>
          </cell>
          <cell r="HX102">
            <v>31.678000000000001</v>
          </cell>
          <cell r="HY102">
            <v>58.131</v>
          </cell>
          <cell r="HZ102">
            <v>86.381</v>
          </cell>
          <cell r="IA102">
            <v>69.242999999999995</v>
          </cell>
          <cell r="IB102">
            <v>11.87</v>
          </cell>
          <cell r="IC102">
            <v>54.786999999999999</v>
          </cell>
          <cell r="ID102">
            <v>63.048000000000002</v>
          </cell>
          <cell r="IE102">
            <v>93.06</v>
          </cell>
          <cell r="IF102">
            <v>55.639000000000003</v>
          </cell>
          <cell r="IG102">
            <v>54.957000000000001</v>
          </cell>
          <cell r="IH102">
            <v>97.88</v>
          </cell>
          <cell r="II102">
            <v>51.74</v>
          </cell>
          <cell r="IJ102">
            <v>50.5</v>
          </cell>
          <cell r="IK102">
            <v>69.227000000000004</v>
          </cell>
          <cell r="IL102">
            <v>42.164999999999999</v>
          </cell>
          <cell r="IM102">
            <v>72.438999999999993</v>
          </cell>
          <cell r="IN102">
            <v>39.161000000000001</v>
          </cell>
          <cell r="IO102">
            <v>82.765000000000001</v>
          </cell>
          <cell r="IP102">
            <v>87.885000000000005</v>
          </cell>
          <cell r="IQ102">
            <v>108.669</v>
          </cell>
          <cell r="IR102">
            <v>98.686000000000007</v>
          </cell>
          <cell r="IS102">
            <v>83.725999999999999</v>
          </cell>
          <cell r="IT102">
            <v>143.77199999999999</v>
          </cell>
          <cell r="IU102">
            <v>138.53399999999999</v>
          </cell>
          <cell r="IV102">
            <v>135.066</v>
          </cell>
          <cell r="IW102">
            <v>64.168999999999997</v>
          </cell>
          <cell r="IX102">
            <v>36.771999999999998</v>
          </cell>
          <cell r="IY102">
            <v>97.896000000000001</v>
          </cell>
          <cell r="IZ102">
            <v>89.921000000000006</v>
          </cell>
          <cell r="JA102">
            <v>42</v>
          </cell>
          <cell r="JB102">
            <v>68</v>
          </cell>
          <cell r="JC102">
            <v>133.34399999999999</v>
          </cell>
          <cell r="JD102">
            <v>94.203999999999994</v>
          </cell>
          <cell r="JE102">
            <v>121.005</v>
          </cell>
          <cell r="JF102">
            <v>43.872</v>
          </cell>
          <cell r="JG102">
            <v>57</v>
          </cell>
          <cell r="JH102">
            <v>137.53700000000001</v>
          </cell>
          <cell r="JI102">
            <v>60.039000000000001</v>
          </cell>
          <cell r="JJ102">
            <v>44.960999999999999</v>
          </cell>
          <cell r="JK102">
            <v>37.65</v>
          </cell>
          <cell r="JL102">
            <v>86.293000000000006</v>
          </cell>
          <cell r="JM102">
            <v>130.02500000000001</v>
          </cell>
          <cell r="JN102">
            <v>135.53700000000001</v>
          </cell>
          <cell r="JO102">
            <v>127.913</v>
          </cell>
          <cell r="JP102">
            <v>86.548000000000002</v>
          </cell>
          <cell r="JQ102">
            <v>93.881</v>
          </cell>
          <cell r="JR102">
            <v>129.12899999999999</v>
          </cell>
          <cell r="JS102">
            <v>231.768</v>
          </cell>
          <cell r="JT102">
            <v>145.999</v>
          </cell>
          <cell r="JU102">
            <v>163.84399999999999</v>
          </cell>
          <cell r="JV102">
            <v>99.995000000000005</v>
          </cell>
          <cell r="JW102">
            <v>144.22800000000001</v>
          </cell>
          <cell r="JX102">
            <v>105.658</v>
          </cell>
          <cell r="JY102">
            <v>189.22900000000001</v>
          </cell>
          <cell r="JZ102">
            <v>202.738</v>
          </cell>
          <cell r="KA102">
            <v>109.729</v>
          </cell>
          <cell r="KB102">
            <v>95.186999999999998</v>
          </cell>
          <cell r="KC102">
            <v>134.559</v>
          </cell>
          <cell r="KD102">
            <v>134.40799999999999</v>
          </cell>
          <cell r="KE102">
            <v>150.43</v>
          </cell>
          <cell r="KF102">
            <v>126.29600000000001</v>
          </cell>
          <cell r="KG102">
            <v>103.952</v>
          </cell>
          <cell r="KH102">
            <v>112.277</v>
          </cell>
          <cell r="KI102">
            <v>56.643000000000001</v>
          </cell>
          <cell r="KJ102">
            <v>66.406999999999996</v>
          </cell>
          <cell r="KK102">
            <v>193.52199999999999</v>
          </cell>
          <cell r="KL102">
            <v>55.692999999999998</v>
          </cell>
          <cell r="KM102">
            <v>162.792</v>
          </cell>
          <cell r="KN102">
            <v>88.909000000000006</v>
          </cell>
          <cell r="KO102">
            <v>114.96599999999999</v>
          </cell>
          <cell r="KP102">
            <v>158.142</v>
          </cell>
          <cell r="KQ102">
            <v>111.188</v>
          </cell>
          <cell r="KR102">
            <v>113.146</v>
          </cell>
          <cell r="KS102">
            <v>126.446</v>
          </cell>
          <cell r="KT102">
            <v>97.483000000000004</v>
          </cell>
          <cell r="KU102">
            <v>126.764</v>
          </cell>
          <cell r="KV102">
            <v>82.884</v>
          </cell>
          <cell r="KW102">
            <v>123.51900000000001</v>
          </cell>
          <cell r="KX102">
            <v>175.34800000000001</v>
          </cell>
          <cell r="KY102">
            <v>216.1</v>
          </cell>
          <cell r="KZ102">
            <v>183.53800000000001</v>
          </cell>
          <cell r="LA102">
            <v>195.316</v>
          </cell>
          <cell r="LB102">
            <v>252.62799999999999</v>
          </cell>
          <cell r="LC102">
            <v>181.55199999999999</v>
          </cell>
          <cell r="LD102">
            <v>122.363</v>
          </cell>
          <cell r="LE102">
            <v>154.71495400000001</v>
          </cell>
          <cell r="LF102">
            <v>188.94992300000001</v>
          </cell>
          <cell r="LG102">
            <v>158.307007</v>
          </cell>
          <cell r="LH102">
            <v>95.063359000000005</v>
          </cell>
          <cell r="LI102">
            <v>238.74087</v>
          </cell>
          <cell r="LJ102">
            <v>200.65535</v>
          </cell>
          <cell r="LK102">
            <v>183.744945</v>
          </cell>
          <cell r="LL102">
            <v>211.422316</v>
          </cell>
          <cell r="LM102">
            <v>224.242446</v>
          </cell>
          <cell r="LN102">
            <v>252.374709</v>
          </cell>
          <cell r="LO102">
            <v>320.23988000000003</v>
          </cell>
          <cell r="LP102">
            <v>219.01287400000001</v>
          </cell>
          <cell r="LQ102">
            <v>161.809957</v>
          </cell>
          <cell r="LR102">
            <v>172.40218999999999</v>
          </cell>
          <cell r="LS102">
            <v>172.33175800000001</v>
          </cell>
          <cell r="LT102">
            <v>95.104134000000002</v>
          </cell>
          <cell r="LU102">
            <v>161.233057</v>
          </cell>
          <cell r="LV102">
            <v>198.893182</v>
          </cell>
          <cell r="LW102">
            <v>270.38316800000001</v>
          </cell>
          <cell r="LX102">
            <v>197.92618999999999</v>
          </cell>
          <cell r="LY102">
            <v>282.62779699999999</v>
          </cell>
          <cell r="LZ102">
            <v>284.51422300000002</v>
          </cell>
          <cell r="MA102">
            <v>124.79025799999999</v>
          </cell>
          <cell r="MB102">
            <v>149.18912</v>
          </cell>
          <cell r="MC102">
            <v>105.011341</v>
          </cell>
          <cell r="MD102">
            <v>194.285979</v>
          </cell>
          <cell r="ME102">
            <v>92.821734000000006</v>
          </cell>
          <cell r="MF102">
            <v>125.584035</v>
          </cell>
          <cell r="MG102">
            <v>164.804293</v>
          </cell>
          <cell r="MH102">
            <v>202.73004399999999</v>
          </cell>
          <cell r="MI102">
            <v>204.80767800000001</v>
          </cell>
          <cell r="MJ102">
            <v>150.61715799999999</v>
          </cell>
          <cell r="MK102">
            <v>227.84993</v>
          </cell>
          <cell r="ML102">
            <v>145.196755</v>
          </cell>
          <cell r="MM102">
            <v>81.685267999999994</v>
          </cell>
          <cell r="MN102">
            <v>150.95411799999999</v>
          </cell>
          <cell r="MO102">
            <v>228.369528</v>
          </cell>
          <cell r="MP102">
            <v>159.073778</v>
          </cell>
          <cell r="MQ102">
            <v>78.461135999999996</v>
          </cell>
          <cell r="MR102">
            <v>89.173371000000003</v>
          </cell>
          <cell r="MS102">
            <v>202.87394599999999</v>
          </cell>
          <cell r="MT102">
            <v>174.688322</v>
          </cell>
          <cell r="MU102">
            <v>235.86020300000001</v>
          </cell>
          <cell r="MV102">
            <v>113.102</v>
          </cell>
          <cell r="MW102">
            <v>146.33199999999999</v>
          </cell>
          <cell r="MX102">
            <v>127.203</v>
          </cell>
          <cell r="MY102">
            <v>122.744</v>
          </cell>
          <cell r="MZ102">
            <v>173.98099999999999</v>
          </cell>
          <cell r="NA102">
            <v>64.507000000000005</v>
          </cell>
          <cell r="NB102">
            <v>52.395000000000003</v>
          </cell>
          <cell r="NC102">
            <v>64.087000000000003</v>
          </cell>
          <cell r="ND102">
            <v>92.528000000000006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0.26270000000000004</v>
          </cell>
          <cell r="Z103">
            <v>0.79504200000000003</v>
          </cell>
          <cell r="AA103">
            <v>1.00136</v>
          </cell>
          <cell r="AB103">
            <v>0.91755999999999993</v>
          </cell>
          <cell r="AC103">
            <v>0.35241999999999996</v>
          </cell>
          <cell r="AD103">
            <v>2.1999999999999999E-2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1.95</v>
          </cell>
          <cell r="L104">
            <v>0</v>
          </cell>
          <cell r="M104">
            <v>32.308999999999997</v>
          </cell>
          <cell r="N104">
            <v>85.098000000000013</v>
          </cell>
          <cell r="O104">
            <v>123.736</v>
          </cell>
          <cell r="P104">
            <v>13</v>
          </cell>
          <cell r="Q104">
            <v>121.599</v>
          </cell>
          <cell r="R104">
            <v>112.91100000000002</v>
          </cell>
          <cell r="S104">
            <v>33.584000000000003</v>
          </cell>
          <cell r="T104">
            <v>233.39400000000001</v>
          </cell>
          <cell r="U104">
            <v>160.49</v>
          </cell>
          <cell r="V104">
            <v>260.346</v>
          </cell>
          <cell r="W104">
            <v>259.99099999999999</v>
          </cell>
          <cell r="X104">
            <v>167.05799999999999</v>
          </cell>
          <cell r="Y104">
            <v>337.23199999999997</v>
          </cell>
          <cell r="Z104">
            <v>143.79351</v>
          </cell>
          <cell r="AA104">
            <v>41.928061</v>
          </cell>
          <cell r="AB104">
            <v>30</v>
          </cell>
          <cell r="AC104">
            <v>32.099999999999994</v>
          </cell>
          <cell r="AD104">
            <v>47.903999999999996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2.2762150000000002E-2</v>
          </cell>
          <cell r="K107">
            <v>1.3999999999999999E-2</v>
          </cell>
          <cell r="L107">
            <v>4.2999999999999997E-2</v>
          </cell>
          <cell r="M107">
            <v>4.8999999999999995E-2</v>
          </cell>
          <cell r="N107">
            <v>1.1000000000000001E-2</v>
          </cell>
          <cell r="O107">
            <v>4.7329999999999997</v>
          </cell>
          <cell r="P107">
            <v>2.1259999999999999</v>
          </cell>
          <cell r="Q107">
            <v>2.5349999999999997</v>
          </cell>
          <cell r="R107">
            <v>3.8699999999999997</v>
          </cell>
          <cell r="S107">
            <v>5.2509999999999994</v>
          </cell>
          <cell r="T107">
            <v>6.512999999999999</v>
          </cell>
          <cell r="U107">
            <v>7.1109999999999998</v>
          </cell>
          <cell r="V107">
            <v>6.7040000000000006</v>
          </cell>
          <cell r="W107">
            <v>5.76</v>
          </cell>
          <cell r="X107">
            <v>3.8409999999999997</v>
          </cell>
          <cell r="Y107">
            <v>10.204736</v>
          </cell>
          <cell r="Z107">
            <v>10.229556999999998</v>
          </cell>
          <cell r="AA107">
            <v>24.312587000000001</v>
          </cell>
          <cell r="AB107">
            <v>22.120822</v>
          </cell>
          <cell r="AC107">
            <v>17.578556000000003</v>
          </cell>
          <cell r="AD107">
            <v>23.836999999999996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0.64600000000000002</v>
          </cell>
          <cell r="V108">
            <v>0.38800000000000001</v>
          </cell>
          <cell r="W108">
            <v>0</v>
          </cell>
          <cell r="X108">
            <v>0</v>
          </cell>
          <cell r="Y108">
            <v>0.151445</v>
          </cell>
          <cell r="Z108">
            <v>0.28353899999999999</v>
          </cell>
          <cell r="AA108">
            <v>2.1113159999999995</v>
          </cell>
          <cell r="AB108">
            <v>5.0581900000000006</v>
          </cell>
          <cell r="AC108">
            <v>3.5452339999999998</v>
          </cell>
          <cell r="AD108">
            <v>1.8450000000000002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2.65</v>
          </cell>
          <cell r="L109">
            <v>1</v>
          </cell>
          <cell r="M109">
            <v>5.75</v>
          </cell>
          <cell r="N109">
            <v>14.5</v>
          </cell>
          <cell r="O109">
            <v>0.5</v>
          </cell>
          <cell r="P109">
            <v>7.0870000000000006</v>
          </cell>
          <cell r="Q109">
            <v>3.4750000000000001</v>
          </cell>
          <cell r="R109">
            <v>1.992</v>
          </cell>
          <cell r="S109">
            <v>4.8499999999999996</v>
          </cell>
          <cell r="T109">
            <v>1.2490000000000001</v>
          </cell>
          <cell r="U109">
            <v>3.2560000000000002</v>
          </cell>
          <cell r="V109">
            <v>14.42</v>
          </cell>
          <cell r="W109">
            <v>30.048999999999996</v>
          </cell>
          <cell r="X109">
            <v>20.215000000000003</v>
          </cell>
          <cell r="Y109">
            <v>23.989755999999996</v>
          </cell>
          <cell r="Z109">
            <v>32.821981000000001</v>
          </cell>
          <cell r="AA109">
            <v>43.429839000000001</v>
          </cell>
          <cell r="AB109">
            <v>38.822535999999999</v>
          </cell>
          <cell r="AC109">
            <v>23.719291000000002</v>
          </cell>
          <cell r="AD109">
            <v>20.274000000000001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2E-3</v>
          </cell>
          <cell r="O112">
            <v>0.02</v>
          </cell>
          <cell r="P112">
            <v>0</v>
          </cell>
          <cell r="Q112">
            <v>0.442</v>
          </cell>
          <cell r="R112">
            <v>7.6999999999999999E-2</v>
          </cell>
          <cell r="S112">
            <v>3.0000000000000001E-3</v>
          </cell>
          <cell r="T112">
            <v>7.1000000000000008E-2</v>
          </cell>
          <cell r="U112">
            <v>0.11</v>
          </cell>
          <cell r="V112">
            <v>3.4079999999999999</v>
          </cell>
          <cell r="W112">
            <v>1.8129999999999999</v>
          </cell>
          <cell r="X112">
            <v>1.0420000000000003</v>
          </cell>
          <cell r="Y112">
            <v>1.2155050000000001</v>
          </cell>
          <cell r="Z112">
            <v>5.4119999999999999</v>
          </cell>
          <cell r="AA112">
            <v>8.0810120000000012</v>
          </cell>
          <cell r="AB112">
            <v>7.8378539999999992</v>
          </cell>
          <cell r="AC112">
            <v>17.531269999999999</v>
          </cell>
          <cell r="AD112">
            <v>10.02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20.262999999999998</v>
          </cell>
          <cell r="R117">
            <v>4.3999999999999997E-2</v>
          </cell>
          <cell r="S117">
            <v>7</v>
          </cell>
          <cell r="T117">
            <v>13.971999999999998</v>
          </cell>
          <cell r="U117">
            <v>52.420000000000009</v>
          </cell>
          <cell r="V117">
            <v>89.311999999999998</v>
          </cell>
          <cell r="W117">
            <v>116.276</v>
          </cell>
          <cell r="X117">
            <v>124.58299999999998</v>
          </cell>
          <cell r="Y117">
            <v>117.61648900000002</v>
          </cell>
          <cell r="Z117">
            <v>88.282176000000007</v>
          </cell>
          <cell r="AA117">
            <v>70.667346000000009</v>
          </cell>
          <cell r="AB117">
            <v>88.005199000000019</v>
          </cell>
          <cell r="AC117">
            <v>83.112189999999984</v>
          </cell>
          <cell r="AD117">
            <v>67.03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2.5999999999999999E-2</v>
          </cell>
          <cell r="X136">
            <v>0</v>
          </cell>
          <cell r="Y136">
            <v>0.33260200000000001</v>
          </cell>
          <cell r="Z136">
            <v>1.634498</v>
          </cell>
          <cell r="AA136">
            <v>3.9312890000000005</v>
          </cell>
          <cell r="AB136">
            <v>3.0718039999999998</v>
          </cell>
          <cell r="AC136">
            <v>2.4419819999999999</v>
          </cell>
          <cell r="AD136">
            <v>1.5179999999999998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3.778</v>
          </cell>
          <cell r="L140">
            <v>2</v>
          </cell>
          <cell r="M140">
            <v>24.372999999999998</v>
          </cell>
          <cell r="N140">
            <v>37.912999999999997</v>
          </cell>
          <cell r="O140">
            <v>37.286999999999999</v>
          </cell>
          <cell r="P140">
            <v>30.073</v>
          </cell>
          <cell r="Q140">
            <v>41.029000000000003</v>
          </cell>
          <cell r="R140">
            <v>36.183999999999997</v>
          </cell>
          <cell r="S140">
            <v>61.733999999999995</v>
          </cell>
          <cell r="T140">
            <v>57.996999999999993</v>
          </cell>
          <cell r="U140">
            <v>69.361999999999995</v>
          </cell>
          <cell r="V140">
            <v>72.058999999999997</v>
          </cell>
          <cell r="W140">
            <v>72.460999999999999</v>
          </cell>
          <cell r="X140">
            <v>66.272999999999996</v>
          </cell>
          <cell r="Y140">
            <v>58.466434000000007</v>
          </cell>
          <cell r="Z140">
            <v>42.945352</v>
          </cell>
          <cell r="AA140">
            <v>34.030669000000003</v>
          </cell>
          <cell r="AB140">
            <v>80.482318000000006</v>
          </cell>
          <cell r="AC140">
            <v>81.294623000000001</v>
          </cell>
          <cell r="AD140">
            <v>56.031999999999989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5.9830000000000005</v>
          </cell>
          <cell r="L146">
            <v>8.2919999999999998</v>
          </cell>
          <cell r="M146">
            <v>7.4460000000000006</v>
          </cell>
          <cell r="N146">
            <v>25.606999999999999</v>
          </cell>
          <cell r="O146">
            <v>9.4</v>
          </cell>
          <cell r="P146">
            <v>24.470000000000002</v>
          </cell>
          <cell r="Q146">
            <v>46.004000000000005</v>
          </cell>
          <cell r="R146">
            <v>38.75</v>
          </cell>
          <cell r="S146">
            <v>66.724999999999994</v>
          </cell>
          <cell r="T146">
            <v>56.527999999999999</v>
          </cell>
          <cell r="U146">
            <v>22.061000000000003</v>
          </cell>
          <cell r="V146">
            <v>35.975000000000001</v>
          </cell>
          <cell r="W146">
            <v>16.233000000000001</v>
          </cell>
          <cell r="X146">
            <v>8.197000000000001</v>
          </cell>
          <cell r="Y146">
            <v>0.11899999999999999</v>
          </cell>
          <cell r="Z146">
            <v>0.88371</v>
          </cell>
          <cell r="AA146">
            <v>1.59856</v>
          </cell>
          <cell r="AB146">
            <v>0</v>
          </cell>
          <cell r="AC146">
            <v>0.41799999999999998</v>
          </cell>
          <cell r="AD146">
            <v>1.9319999999999999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9.5269999999999992</v>
          </cell>
          <cell r="W147">
            <v>12.751000000000001</v>
          </cell>
          <cell r="X147">
            <v>7.988999999999999</v>
          </cell>
          <cell r="Y147">
            <v>11.615689999999999</v>
          </cell>
          <cell r="Z147">
            <v>12.592945</v>
          </cell>
          <cell r="AA147">
            <v>14.581325</v>
          </cell>
          <cell r="AB147">
            <v>11.200990000000001</v>
          </cell>
          <cell r="AC147">
            <v>17.437324999999998</v>
          </cell>
          <cell r="AD147">
            <v>11.831999999999999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8.9999999999999993E-3</v>
          </cell>
          <cell r="W148">
            <v>0.217</v>
          </cell>
          <cell r="X148">
            <v>0.52400000000000002</v>
          </cell>
          <cell r="Y148">
            <v>0.33263999999999999</v>
          </cell>
          <cell r="Z148">
            <v>0.74690000000000001</v>
          </cell>
          <cell r="AA148">
            <v>7.4203600000000014</v>
          </cell>
          <cell r="AB148">
            <v>13.394845</v>
          </cell>
          <cell r="AC148">
            <v>4.8435150000000009</v>
          </cell>
          <cell r="AD148">
            <v>6.6369999999999996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20</v>
          </cell>
          <cell r="F151">
            <v>30.5</v>
          </cell>
          <cell r="G151">
            <v>24</v>
          </cell>
          <cell r="H151">
            <v>44</v>
          </cell>
          <cell r="I151">
            <v>82</v>
          </cell>
          <cell r="J151">
            <v>23.503933000000004</v>
          </cell>
          <cell r="K151">
            <v>32.677</v>
          </cell>
          <cell r="L151">
            <v>13.284999999999998</v>
          </cell>
          <cell r="M151">
            <v>47.498999999999995</v>
          </cell>
          <cell r="N151">
            <v>178.28299999999999</v>
          </cell>
          <cell r="O151">
            <v>33.11</v>
          </cell>
          <cell r="P151">
            <v>158.184</v>
          </cell>
          <cell r="Q151">
            <v>220.79399999999998</v>
          </cell>
          <cell r="R151">
            <v>127.62499999999997</v>
          </cell>
          <cell r="S151">
            <v>308.85199999999998</v>
          </cell>
          <cell r="T151">
            <v>225.62900000000002</v>
          </cell>
          <cell r="U151">
            <v>294.05199999999996</v>
          </cell>
          <cell r="V151">
            <v>128.358</v>
          </cell>
          <cell r="W151">
            <v>155.53899999999999</v>
          </cell>
          <cell r="X151">
            <v>190.161</v>
          </cell>
          <cell r="Y151">
            <v>176.70532600000001</v>
          </cell>
          <cell r="Z151">
            <v>62.631351000000002</v>
          </cell>
          <cell r="AA151">
            <v>37.051042000000002</v>
          </cell>
          <cell r="AB151">
            <v>80.001492999999982</v>
          </cell>
          <cell r="AC151">
            <v>49.616075000000002</v>
          </cell>
          <cell r="AD151">
            <v>453.036</v>
          </cell>
        </row>
        <row r="164">
          <cell r="B164">
            <v>0</v>
          </cell>
          <cell r="C164">
            <v>20.7</v>
          </cell>
          <cell r="D164">
            <v>71.099999999999994</v>
          </cell>
          <cell r="E164">
            <v>37</v>
          </cell>
          <cell r="F164">
            <v>6.5</v>
          </cell>
          <cell r="G164">
            <v>17</v>
          </cell>
          <cell r="H164">
            <v>100</v>
          </cell>
          <cell r="I164">
            <v>128</v>
          </cell>
          <cell r="J164">
            <v>23.890276999999998</v>
          </cell>
          <cell r="K164">
            <v>67.831000000000003</v>
          </cell>
          <cell r="L164">
            <v>101.27500000000001</v>
          </cell>
          <cell r="M164">
            <v>35.155999999999999</v>
          </cell>
          <cell r="N164">
            <v>164.93300000000002</v>
          </cell>
          <cell r="O164">
            <v>337.916</v>
          </cell>
          <cell r="P164">
            <v>137.05200000000002</v>
          </cell>
          <cell r="Q164">
            <v>369.19600000000003</v>
          </cell>
          <cell r="R164">
            <v>572.37700000000007</v>
          </cell>
          <cell r="S164">
            <v>336.10699999999997</v>
          </cell>
          <cell r="T164">
            <v>744.10800000000006</v>
          </cell>
          <cell r="U164">
            <v>468.53099999999989</v>
          </cell>
          <cell r="V164">
            <v>579.26</v>
          </cell>
          <cell r="W164">
            <v>275.77600000000001</v>
          </cell>
          <cell r="X164">
            <v>258.55800000000011</v>
          </cell>
          <cell r="Y164">
            <v>362.43507499999993</v>
          </cell>
          <cell r="Z164">
            <v>173.72902199999999</v>
          </cell>
          <cell r="AA164">
            <v>196.30314899999999</v>
          </cell>
          <cell r="AB164">
            <v>375.46291600000001</v>
          </cell>
          <cell r="AC164">
            <v>182.51122100000003</v>
          </cell>
          <cell r="AD164">
            <v>169.69603000000004</v>
          </cell>
        </row>
        <row r="165">
          <cell r="B165">
            <v>0</v>
          </cell>
          <cell r="C165">
            <v>2.7</v>
          </cell>
          <cell r="D165">
            <v>26</v>
          </cell>
          <cell r="E165">
            <v>16</v>
          </cell>
          <cell r="F165">
            <v>1.5</v>
          </cell>
          <cell r="G165">
            <v>10</v>
          </cell>
          <cell r="H165">
            <v>53</v>
          </cell>
          <cell r="I165">
            <v>84</v>
          </cell>
          <cell r="J165">
            <v>12.35</v>
          </cell>
          <cell r="K165">
            <v>41.981000000000002</v>
          </cell>
          <cell r="L165">
            <v>58.067000000000007</v>
          </cell>
          <cell r="M165">
            <v>9.3659999999999997</v>
          </cell>
          <cell r="N165">
            <v>31.669</v>
          </cell>
          <cell r="O165">
            <v>124.872</v>
          </cell>
          <cell r="P165">
            <v>14.059999999999999</v>
          </cell>
          <cell r="Q165">
            <v>106.27499999999998</v>
          </cell>
          <cell r="R165">
            <v>144.08600000000001</v>
          </cell>
          <cell r="S165">
            <v>34.351999999999997</v>
          </cell>
          <cell r="T165">
            <v>220.30100000000002</v>
          </cell>
          <cell r="U165">
            <v>47.8</v>
          </cell>
          <cell r="V165">
            <v>99.795999999999978</v>
          </cell>
          <cell r="W165">
            <v>66.999999999999986</v>
          </cell>
          <cell r="X165">
            <v>51.399999999999991</v>
          </cell>
          <cell r="Y165">
            <v>69.099999999999994</v>
          </cell>
          <cell r="Z165">
            <v>4.3</v>
          </cell>
          <cell r="AA165">
            <v>17.373888999999998</v>
          </cell>
          <cell r="AB165">
            <v>13.25</v>
          </cell>
          <cell r="AC165">
            <v>2</v>
          </cell>
          <cell r="AD165">
            <v>6.5</v>
          </cell>
        </row>
        <row r="184">
          <cell r="B184">
            <v>0</v>
          </cell>
          <cell r="C184">
            <v>18</v>
          </cell>
          <cell r="D184">
            <v>45.1</v>
          </cell>
          <cell r="E184">
            <v>21</v>
          </cell>
          <cell r="F184">
            <v>5</v>
          </cell>
          <cell r="G184">
            <v>7</v>
          </cell>
          <cell r="H184">
            <v>36</v>
          </cell>
          <cell r="I184">
            <v>38</v>
          </cell>
          <cell r="J184">
            <v>9.1402770000000011</v>
          </cell>
          <cell r="K184">
            <v>22.849999999999998</v>
          </cell>
          <cell r="L184">
            <v>43.207000000000001</v>
          </cell>
          <cell r="M184">
            <v>21.19</v>
          </cell>
          <cell r="N184">
            <v>121.72800000000001</v>
          </cell>
          <cell r="O184">
            <v>192.78399999999999</v>
          </cell>
          <cell r="P184">
            <v>95.043000000000006</v>
          </cell>
          <cell r="Q184">
            <v>236.892</v>
          </cell>
          <cell r="R184">
            <v>356.34700000000004</v>
          </cell>
          <cell r="S184">
            <v>210.53199999999998</v>
          </cell>
          <cell r="T184">
            <v>433.57200000000006</v>
          </cell>
          <cell r="U184">
            <v>354.60299999999995</v>
          </cell>
          <cell r="V184">
            <v>327.28899999999999</v>
          </cell>
          <cell r="W184">
            <v>110.15</v>
          </cell>
          <cell r="X184">
            <v>116.35500000000002</v>
          </cell>
          <cell r="Y184">
            <v>183.44318699999999</v>
          </cell>
          <cell r="Z184">
            <v>71.160304999999994</v>
          </cell>
          <cell r="AA184">
            <v>50.881381999999988</v>
          </cell>
          <cell r="AB184">
            <v>126.792017</v>
          </cell>
          <cell r="AC184">
            <v>48.271765000000002</v>
          </cell>
          <cell r="AD184">
            <v>51.031000000000006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11</v>
          </cell>
          <cell r="I207">
            <v>6</v>
          </cell>
          <cell r="J207">
            <v>0</v>
          </cell>
          <cell r="K207">
            <v>3</v>
          </cell>
          <cell r="L207">
            <v>0</v>
          </cell>
          <cell r="M207">
            <v>4.5999999999999996</v>
          </cell>
          <cell r="N207">
            <v>3</v>
          </cell>
          <cell r="O207">
            <v>6.3</v>
          </cell>
          <cell r="P207">
            <v>14.542</v>
          </cell>
          <cell r="Q207">
            <v>4.3</v>
          </cell>
          <cell r="R207">
            <v>12.3</v>
          </cell>
          <cell r="S207">
            <v>11.91</v>
          </cell>
          <cell r="T207">
            <v>4.5</v>
          </cell>
          <cell r="U207">
            <v>24.45</v>
          </cell>
          <cell r="V207">
            <v>29.207999999999998</v>
          </cell>
          <cell r="W207">
            <v>6.758</v>
          </cell>
          <cell r="X207">
            <v>19.475999999999999</v>
          </cell>
          <cell r="Y207">
            <v>25.430000000000003</v>
          </cell>
          <cell r="Z207">
            <v>2.2000600000000001</v>
          </cell>
          <cell r="AA207">
            <v>2.70459</v>
          </cell>
          <cell r="AB207">
            <v>1.1530790000000002</v>
          </cell>
          <cell r="AC207">
            <v>2.2181199999999999</v>
          </cell>
          <cell r="AD207">
            <v>7.2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6.923</v>
          </cell>
          <cell r="S219">
            <v>29.3</v>
          </cell>
          <cell r="T219">
            <v>27.538</v>
          </cell>
          <cell r="U219">
            <v>22.875</v>
          </cell>
          <cell r="V219">
            <v>19.577999999999999</v>
          </cell>
          <cell r="W219">
            <v>5</v>
          </cell>
          <cell r="X219">
            <v>0.74099999999999999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0.24</v>
          </cell>
          <cell r="AD219">
            <v>12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3.0369999999999999</v>
          </cell>
          <cell r="O225">
            <v>3</v>
          </cell>
          <cell r="P225">
            <v>0.5</v>
          </cell>
          <cell r="Q225">
            <v>7.7469999999999999</v>
          </cell>
          <cell r="R225">
            <v>9.86</v>
          </cell>
          <cell r="S225">
            <v>2.0150000000000001</v>
          </cell>
          <cell r="T225">
            <v>4.92</v>
          </cell>
          <cell r="U225">
            <v>2</v>
          </cell>
          <cell r="V225">
            <v>14.8</v>
          </cell>
          <cell r="W225">
            <v>8.5</v>
          </cell>
          <cell r="X225">
            <v>9.0180000000000007</v>
          </cell>
          <cell r="Y225">
            <v>10.96</v>
          </cell>
          <cell r="Z225">
            <v>2.3716999999999998E-2</v>
          </cell>
          <cell r="AA225">
            <v>0</v>
          </cell>
          <cell r="AB225">
            <v>0</v>
          </cell>
          <cell r="AC225">
            <v>0</v>
          </cell>
          <cell r="AD225">
            <v>17.567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3</v>
          </cell>
          <cell r="H231">
            <v>9</v>
          </cell>
          <cell r="I231">
            <v>9</v>
          </cell>
          <cell r="J231">
            <v>3.2443785000000003</v>
          </cell>
          <cell r="K231">
            <v>15.051999999999998</v>
          </cell>
          <cell r="L231">
            <v>85.759</v>
          </cell>
          <cell r="M231">
            <v>1.3879999999999999</v>
          </cell>
          <cell r="N231">
            <v>0.34500000000000008</v>
          </cell>
          <cell r="O231">
            <v>0.34700000000000003</v>
          </cell>
          <cell r="P231">
            <v>41.664999999999999</v>
          </cell>
          <cell r="Q231">
            <v>19.765999999999998</v>
          </cell>
          <cell r="R231">
            <v>0.40500000000000003</v>
          </cell>
          <cell r="S231">
            <v>5.2350000000000003</v>
          </cell>
          <cell r="T231">
            <v>14.568</v>
          </cell>
          <cell r="U231">
            <v>28.864999999999995</v>
          </cell>
          <cell r="V231">
            <v>7.0520000000000005</v>
          </cell>
          <cell r="W231">
            <v>12.77</v>
          </cell>
          <cell r="X231">
            <v>16.328000000000003</v>
          </cell>
          <cell r="Y231">
            <v>27.107044999999999</v>
          </cell>
          <cell r="Z231">
            <v>28.480226000000005</v>
          </cell>
          <cell r="AA231">
            <v>39.154234000000002</v>
          </cell>
          <cell r="AB231">
            <v>84.453163000000004</v>
          </cell>
          <cell r="AC231">
            <v>50.947891999999996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0.60499999999999998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0.11984</v>
          </cell>
          <cell r="AC241">
            <v>0</v>
          </cell>
          <cell r="AD241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2.3973000000000001E-2</v>
          </cell>
          <cell r="K243">
            <v>2.0999999999999998E-2</v>
          </cell>
          <cell r="L243">
            <v>3.5999999999999997E-2</v>
          </cell>
          <cell r="M243">
            <v>3.4000000000000002E-2</v>
          </cell>
          <cell r="N243">
            <v>2.9000000000000005E-2</v>
          </cell>
          <cell r="O243">
            <v>4.9000000000000002E-2</v>
          </cell>
          <cell r="P243">
            <v>2.1999999999999999E-2</v>
          </cell>
          <cell r="Q243">
            <v>17.718</v>
          </cell>
          <cell r="R243">
            <v>0.10199999999999999</v>
          </cell>
          <cell r="S243">
            <v>0.10900000000000001</v>
          </cell>
          <cell r="T243">
            <v>0.14599999999999999</v>
          </cell>
          <cell r="U243">
            <v>0.06</v>
          </cell>
          <cell r="V243">
            <v>9.1000000000000011E-2</v>
          </cell>
          <cell r="W243">
            <v>0.13500000000000001</v>
          </cell>
          <cell r="X243">
            <v>0.55700000000000005</v>
          </cell>
          <cell r="Y243">
            <v>1.5370509999999999</v>
          </cell>
          <cell r="Z243">
            <v>1.1495839999999999</v>
          </cell>
          <cell r="AA243">
            <v>1.8486339999999999</v>
          </cell>
          <cell r="AB243">
            <v>2.3855920000000004</v>
          </cell>
          <cell r="AC243">
            <v>2.4457619999999998</v>
          </cell>
          <cell r="AD243">
            <v>5.1479999999999997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0.40763300000000002</v>
          </cell>
          <cell r="AA245">
            <v>5.0063999999999997E-2</v>
          </cell>
          <cell r="AB245">
            <v>0</v>
          </cell>
          <cell r="AC245">
            <v>0.10343899999999999</v>
          </cell>
          <cell r="A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0.28499999999999998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0.89346000000000003</v>
          </cell>
          <cell r="AC248">
            <v>0</v>
          </cell>
          <cell r="AD248">
            <v>1E-3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0.19800000000000001</v>
          </cell>
          <cell r="W250">
            <v>0.111</v>
          </cell>
          <cell r="X250">
            <v>0</v>
          </cell>
          <cell r="Y250">
            <v>0.153</v>
          </cell>
          <cell r="Z250">
            <v>0</v>
          </cell>
          <cell r="AA250">
            <v>0.61728000000000005</v>
          </cell>
          <cell r="AB250">
            <v>0</v>
          </cell>
          <cell r="AC250">
            <v>0.49759999999999999</v>
          </cell>
          <cell r="AD250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0.39700000000000002</v>
          </cell>
          <cell r="Z266">
            <v>2.196E-2</v>
          </cell>
          <cell r="AA266">
            <v>1.518</v>
          </cell>
          <cell r="AB266">
            <v>2.5349149999999998</v>
          </cell>
          <cell r="AC266">
            <v>2.3902800000000002</v>
          </cell>
          <cell r="AD266">
            <v>1.8029999999999999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1.3475510000000002</v>
          </cell>
          <cell r="AA274">
            <v>0.611174</v>
          </cell>
          <cell r="AB274">
            <v>4.0551819999999994</v>
          </cell>
          <cell r="AC274">
            <v>1.4363619999999999</v>
          </cell>
          <cell r="AD274">
            <v>1.6230000000000002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3</v>
          </cell>
          <cell r="H284">
            <v>9</v>
          </cell>
          <cell r="I284">
            <v>9</v>
          </cell>
          <cell r="J284">
            <v>3.2204055000000005</v>
          </cell>
          <cell r="K284">
            <v>15.030999999999997</v>
          </cell>
          <cell r="L284">
            <v>13.547000000000001</v>
          </cell>
          <cell r="M284">
            <v>0.24000000000000005</v>
          </cell>
          <cell r="N284">
            <v>0.31600000000000006</v>
          </cell>
          <cell r="O284">
            <v>0.29800000000000004</v>
          </cell>
          <cell r="P284">
            <v>6.9999999999999993E-2</v>
          </cell>
          <cell r="Q284">
            <v>0.25</v>
          </cell>
          <cell r="R284">
            <v>0.215</v>
          </cell>
          <cell r="S284">
            <v>0.58500000000000008</v>
          </cell>
          <cell r="T284">
            <v>1.042</v>
          </cell>
          <cell r="U284">
            <v>1.226</v>
          </cell>
          <cell r="V284">
            <v>5.4770000000000003</v>
          </cell>
          <cell r="W284">
            <v>5.0670000000000011</v>
          </cell>
          <cell r="X284">
            <v>3.3670000000000004</v>
          </cell>
          <cell r="Y284">
            <v>16.209572999999999</v>
          </cell>
          <cell r="Z284">
            <v>16.607160000000004</v>
          </cell>
          <cell r="AA284">
            <v>17.779401000000004</v>
          </cell>
          <cell r="AB284">
            <v>53.156925000000001</v>
          </cell>
          <cell r="AC284">
            <v>33.793322000000003</v>
          </cell>
          <cell r="AD284">
            <v>42.201999999999991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2.4E-2</v>
          </cell>
          <cell r="Y286">
            <v>1.6459170000000003</v>
          </cell>
          <cell r="Z286">
            <v>0.91449399999999992</v>
          </cell>
          <cell r="AA286">
            <v>4.9440349999999995</v>
          </cell>
          <cell r="AB286">
            <v>6.7440740000000003</v>
          </cell>
          <cell r="AC286">
            <v>0.75023200000000023</v>
          </cell>
          <cell r="AD286">
            <v>7.9000000000000001E-2</v>
          </cell>
        </row>
        <row r="290">
          <cell r="AG290">
            <v>10.6</v>
          </cell>
          <cell r="AH290">
            <v>7.5</v>
          </cell>
          <cell r="AI290">
            <v>13.7</v>
          </cell>
          <cell r="AJ290">
            <v>28.9</v>
          </cell>
          <cell r="AK290">
            <v>12.2</v>
          </cell>
          <cell r="AL290">
            <v>17.2</v>
          </cell>
          <cell r="AM290">
            <v>24.3</v>
          </cell>
          <cell r="AN290">
            <v>18.600000000000001</v>
          </cell>
          <cell r="AO290">
            <v>17.8</v>
          </cell>
          <cell r="AP290">
            <v>17.100000000000001</v>
          </cell>
          <cell r="AQ290">
            <v>22.8</v>
          </cell>
          <cell r="AR290">
            <v>28.1</v>
          </cell>
          <cell r="AS290">
            <v>17.7</v>
          </cell>
          <cell r="AT290">
            <v>24.1</v>
          </cell>
          <cell r="AU290">
            <v>16.7</v>
          </cell>
          <cell r="AV290">
            <v>10.9</v>
          </cell>
          <cell r="AW290">
            <v>10.7</v>
          </cell>
          <cell r="AX290">
            <v>17.399999999999999</v>
          </cell>
          <cell r="AY290">
            <v>8</v>
          </cell>
          <cell r="AZ290">
            <v>15.1</v>
          </cell>
          <cell r="BA290">
            <v>12.9</v>
          </cell>
          <cell r="BB290">
            <v>13.5</v>
          </cell>
          <cell r="BC290">
            <v>23.9</v>
          </cell>
          <cell r="BD290">
            <v>12.3</v>
          </cell>
          <cell r="BE290">
            <v>16.3</v>
          </cell>
          <cell r="BF290">
            <v>29.2</v>
          </cell>
          <cell r="BG290">
            <v>25.8</v>
          </cell>
          <cell r="BH290">
            <v>29</v>
          </cell>
          <cell r="BI290">
            <v>29</v>
          </cell>
          <cell r="BJ290">
            <v>26</v>
          </cell>
          <cell r="BK290">
            <v>19</v>
          </cell>
          <cell r="BL290">
            <v>20.7</v>
          </cell>
          <cell r="BM290">
            <v>24.7</v>
          </cell>
          <cell r="BN290">
            <v>10.7</v>
          </cell>
          <cell r="BO290">
            <v>22.8</v>
          </cell>
          <cell r="BP290">
            <v>15.7</v>
          </cell>
          <cell r="BQ290">
            <v>17.600000000000001</v>
          </cell>
          <cell r="BR290">
            <v>26.4</v>
          </cell>
          <cell r="BS290">
            <v>28.1</v>
          </cell>
          <cell r="BT290">
            <v>17.100000000000001</v>
          </cell>
          <cell r="BU290">
            <v>23.9</v>
          </cell>
          <cell r="BV290">
            <v>14.9</v>
          </cell>
          <cell r="BW290">
            <v>14.4</v>
          </cell>
          <cell r="BX290">
            <v>10.7</v>
          </cell>
          <cell r="BY290">
            <v>5.9</v>
          </cell>
          <cell r="BZ290">
            <v>1.9</v>
          </cell>
          <cell r="CA290">
            <v>2.2000000000000002</v>
          </cell>
          <cell r="CB290">
            <v>1.5</v>
          </cell>
          <cell r="CC290">
            <v>17.5</v>
          </cell>
          <cell r="CD290">
            <v>33.6</v>
          </cell>
          <cell r="CE290">
            <v>43.6</v>
          </cell>
          <cell r="CF290">
            <v>26</v>
          </cell>
          <cell r="CG290">
            <v>18.2</v>
          </cell>
          <cell r="CH290">
            <v>13.4</v>
          </cell>
          <cell r="CI290">
            <v>2.2999999999999998</v>
          </cell>
          <cell r="CJ290">
            <v>2.9</v>
          </cell>
          <cell r="CK290">
            <v>2.5</v>
          </cell>
          <cell r="CL290">
            <v>6.4</v>
          </cell>
          <cell r="CM290">
            <v>6.4</v>
          </cell>
          <cell r="CN290">
            <v>6.4</v>
          </cell>
          <cell r="CO290">
            <v>15</v>
          </cell>
          <cell r="CP290">
            <v>15</v>
          </cell>
          <cell r="CQ290">
            <v>46</v>
          </cell>
          <cell r="CR290">
            <v>15</v>
          </cell>
          <cell r="CS290">
            <v>15</v>
          </cell>
          <cell r="CT290">
            <v>15</v>
          </cell>
          <cell r="CU290">
            <v>15</v>
          </cell>
          <cell r="CV290">
            <v>8</v>
          </cell>
          <cell r="CW290">
            <v>15</v>
          </cell>
          <cell r="CX290">
            <v>15</v>
          </cell>
          <cell r="CY290">
            <v>15</v>
          </cell>
          <cell r="CZ290">
            <v>21</v>
          </cell>
          <cell r="DA290">
            <v>18.831002499999997</v>
          </cell>
          <cell r="DB290">
            <v>38.272650999999996</v>
          </cell>
          <cell r="DC290">
            <v>30.701353509999997</v>
          </cell>
          <cell r="DD290">
            <v>29.4</v>
          </cell>
          <cell r="DE290">
            <v>50.3</v>
          </cell>
          <cell r="DF290">
            <v>36.200000000000003</v>
          </cell>
          <cell r="DG290">
            <v>30.6</v>
          </cell>
          <cell r="DH290">
            <v>28.5</v>
          </cell>
          <cell r="DI290">
            <v>51.3</v>
          </cell>
          <cell r="DJ290">
            <v>52.6</v>
          </cell>
          <cell r="DK290">
            <v>40.200000000000003</v>
          </cell>
          <cell r="DL290">
            <v>42.8</v>
          </cell>
          <cell r="DM290">
            <v>56</v>
          </cell>
          <cell r="DN290">
            <v>75.099999999999994</v>
          </cell>
          <cell r="DO290">
            <v>90.4</v>
          </cell>
          <cell r="DP290">
            <v>61.1</v>
          </cell>
          <cell r="DQ290">
            <v>63.5</v>
          </cell>
          <cell r="DR290">
            <v>51.4</v>
          </cell>
          <cell r="DS290">
            <v>28.1</v>
          </cell>
          <cell r="DT290">
            <v>22.1</v>
          </cell>
          <cell r="DU290">
            <v>37.799999999999997</v>
          </cell>
          <cell r="DV290">
            <v>35.299999999999997</v>
          </cell>
          <cell r="DW290">
            <v>24.1</v>
          </cell>
          <cell r="DX290">
            <v>16.399999999999999</v>
          </cell>
          <cell r="DY290">
            <v>50.3</v>
          </cell>
          <cell r="DZ290">
            <v>47.669477000000001</v>
          </cell>
          <cell r="EA290">
            <v>35.5119872</v>
          </cell>
          <cell r="EB290">
            <v>35.562013499999999</v>
          </cell>
          <cell r="EC290">
            <v>27.251011500000001</v>
          </cell>
          <cell r="ED290">
            <v>49.874612649999996</v>
          </cell>
          <cell r="EE290">
            <v>41.326000000000001</v>
          </cell>
          <cell r="EF290">
            <v>33.131</v>
          </cell>
          <cell r="EG290">
            <v>29.664999999999999</v>
          </cell>
          <cell r="EH290">
            <v>36.664000000000001</v>
          </cell>
          <cell r="EI290">
            <v>22.021999999999998</v>
          </cell>
          <cell r="EJ290">
            <v>37.023000000000003</v>
          </cell>
          <cell r="EK290">
            <v>85.304000000000002</v>
          </cell>
          <cell r="EL290">
            <v>75.3</v>
          </cell>
          <cell r="EM290">
            <v>93.031999999999996</v>
          </cell>
          <cell r="EN290">
            <v>76.394999999999996</v>
          </cell>
          <cell r="EO290">
            <v>69.561999999999998</v>
          </cell>
          <cell r="EP290">
            <v>97.436000000000007</v>
          </cell>
          <cell r="EQ290">
            <v>100.86</v>
          </cell>
          <cell r="ER290">
            <v>94.347999999999999</v>
          </cell>
          <cell r="ES290">
            <v>76.277000000000001</v>
          </cell>
          <cell r="ET290">
            <v>64.959000000000003</v>
          </cell>
          <cell r="EU290">
            <v>40.981999999999999</v>
          </cell>
          <cell r="EV290">
            <v>32.715000000000003</v>
          </cell>
          <cell r="EW290">
            <v>94.885000000000005</v>
          </cell>
          <cell r="EX290">
            <v>82.816000000000003</v>
          </cell>
          <cell r="EY290">
            <v>92.948999999999998</v>
          </cell>
          <cell r="EZ290">
            <v>67.051000000000002</v>
          </cell>
          <cell r="FA290">
            <v>67.221999999999994</v>
          </cell>
          <cell r="FB290">
            <v>105.078</v>
          </cell>
          <cell r="FC290">
            <v>102.76900000000001</v>
          </cell>
          <cell r="FD290">
            <v>69.835999999999999</v>
          </cell>
          <cell r="FE290">
            <v>106.31</v>
          </cell>
          <cell r="FF290">
            <v>79.394999999999996</v>
          </cell>
          <cell r="FG290">
            <v>77.554000000000002</v>
          </cell>
          <cell r="FH290">
            <v>26.024999999999999</v>
          </cell>
          <cell r="FI290">
            <v>54.412999999999997</v>
          </cell>
          <cell r="FJ290">
            <v>47.856000000000002</v>
          </cell>
          <cell r="FK290">
            <v>65.724999999999994</v>
          </cell>
          <cell r="FL290">
            <v>74.537000000000006</v>
          </cell>
          <cell r="FM290">
            <v>46.591000000000001</v>
          </cell>
          <cell r="FN290">
            <v>60.488</v>
          </cell>
          <cell r="FO290">
            <v>61.981999999999999</v>
          </cell>
          <cell r="FP290">
            <v>50.91</v>
          </cell>
          <cell r="FQ290">
            <v>68.117000000000004</v>
          </cell>
          <cell r="FR290">
            <v>44.56</v>
          </cell>
          <cell r="FS290">
            <v>40.557000000000002</v>
          </cell>
          <cell r="FT290">
            <v>40.924999999999997</v>
          </cell>
          <cell r="FU290">
            <v>106.84399999999999</v>
          </cell>
          <cell r="FV290">
            <v>122.02</v>
          </cell>
          <cell r="FW290">
            <v>134.60400000000001</v>
          </cell>
          <cell r="FX290">
            <v>125.322</v>
          </cell>
          <cell r="FY290">
            <v>132.30000000000001</v>
          </cell>
          <cell r="FZ290">
            <v>163.93299999999999</v>
          </cell>
          <cell r="GA290">
            <v>139.684</v>
          </cell>
          <cell r="GB290">
            <v>166.666</v>
          </cell>
          <cell r="GC290">
            <v>163.964</v>
          </cell>
          <cell r="GD290">
            <v>109.245</v>
          </cell>
          <cell r="GE290">
            <v>108.705</v>
          </cell>
          <cell r="GF290">
            <v>112.93899999999999</v>
          </cell>
          <cell r="GG290">
            <v>114.271</v>
          </cell>
          <cell r="GH290">
            <v>149.25700000000001</v>
          </cell>
          <cell r="GI290">
            <v>142.53399999999999</v>
          </cell>
          <cell r="GJ290">
            <v>147.88200000000001</v>
          </cell>
          <cell r="GK290">
            <v>170.99299999999999</v>
          </cell>
          <cell r="GL290">
            <v>192.965</v>
          </cell>
          <cell r="GM290">
            <v>186.655</v>
          </cell>
          <cell r="GN290">
            <v>197.642</v>
          </cell>
          <cell r="GO290">
            <v>199.5</v>
          </cell>
          <cell r="GP290">
            <v>153.71799999999999</v>
          </cell>
          <cell r="GQ290">
            <v>98.667000000000002</v>
          </cell>
          <cell r="GR290">
            <v>72.317999999999998</v>
          </cell>
          <cell r="GS290">
            <v>137.30500000000001</v>
          </cell>
          <cell r="GT290">
            <v>170.81399999999999</v>
          </cell>
          <cell r="GU290">
            <v>194.78100000000001</v>
          </cell>
          <cell r="GV290">
            <v>115.402</v>
          </cell>
          <cell r="GW290">
            <v>177.71600000000001</v>
          </cell>
          <cell r="GX290">
            <v>115.15900000000001</v>
          </cell>
          <cell r="GY290">
            <v>14.031000000000001</v>
          </cell>
          <cell r="GZ290">
            <v>56.164999999999999</v>
          </cell>
          <cell r="HA290">
            <v>95.971999999999994</v>
          </cell>
          <cell r="HB290">
            <v>94.212000000000003</v>
          </cell>
          <cell r="HC290">
            <v>81.866</v>
          </cell>
          <cell r="HD290">
            <v>83.444000000000003</v>
          </cell>
          <cell r="HE290">
            <v>141.13999999999999</v>
          </cell>
          <cell r="HF290">
            <v>163.18100000000001</v>
          </cell>
          <cell r="HG290">
            <v>201.27</v>
          </cell>
          <cell r="HH290">
            <v>193.81200000000001</v>
          </cell>
          <cell r="HI290">
            <v>159.38200000000001</v>
          </cell>
          <cell r="HJ290">
            <v>202.91</v>
          </cell>
          <cell r="HK290">
            <v>178.48099999999999</v>
          </cell>
          <cell r="HL290">
            <v>228.85300000000001</v>
          </cell>
          <cell r="HM290">
            <v>208.54499999999999</v>
          </cell>
          <cell r="HN290">
            <v>188.488</v>
          </cell>
          <cell r="HO290">
            <v>148.876</v>
          </cell>
          <cell r="HP290">
            <v>180.28200000000001</v>
          </cell>
          <cell r="HQ290">
            <v>194.083</v>
          </cell>
          <cell r="HR290">
            <v>181.01300000000001</v>
          </cell>
          <cell r="HS290">
            <v>269.11700000000002</v>
          </cell>
          <cell r="HT290">
            <v>156.26300000000001</v>
          </cell>
          <cell r="HU290">
            <v>216.43100000000001</v>
          </cell>
          <cell r="HV290">
            <v>198.571</v>
          </cell>
          <cell r="HW290">
            <v>263.15199999999999</v>
          </cell>
          <cell r="HX290">
            <v>235.53399999999999</v>
          </cell>
          <cell r="HY290">
            <v>277.29300000000001</v>
          </cell>
          <cell r="HZ290">
            <v>262.702</v>
          </cell>
          <cell r="IA290">
            <v>210.33199999999999</v>
          </cell>
          <cell r="IB290">
            <v>85.932000000000002</v>
          </cell>
          <cell r="IC290">
            <v>219.69800000000001</v>
          </cell>
          <cell r="ID290">
            <v>257.85700000000003</v>
          </cell>
          <cell r="IE290">
            <v>317.69400000000002</v>
          </cell>
          <cell r="IF290">
            <v>265.88900000000001</v>
          </cell>
          <cell r="IG290">
            <v>199.3</v>
          </cell>
          <cell r="IH290">
            <v>310.226</v>
          </cell>
          <cell r="II290">
            <v>205.798</v>
          </cell>
          <cell r="IJ290">
            <v>273.73399999999998</v>
          </cell>
          <cell r="IK290">
            <v>216.61500000000001</v>
          </cell>
          <cell r="IL290">
            <v>146.33099999999999</v>
          </cell>
          <cell r="IM290">
            <v>153.001</v>
          </cell>
          <cell r="IN290">
            <v>85.07</v>
          </cell>
          <cell r="IO290">
            <v>269.363</v>
          </cell>
          <cell r="IP290">
            <v>295.84399999999999</v>
          </cell>
          <cell r="IQ290">
            <v>262.17200000000003</v>
          </cell>
          <cell r="IR290">
            <v>249.78200000000001</v>
          </cell>
          <cell r="IS290">
            <v>258.50700000000001</v>
          </cell>
          <cell r="IT290">
            <v>283.44400000000002</v>
          </cell>
          <cell r="IU290">
            <v>342.995</v>
          </cell>
          <cell r="IV290">
            <v>349.202</v>
          </cell>
          <cell r="IW290">
            <v>285.435</v>
          </cell>
          <cell r="IX290">
            <v>238.61</v>
          </cell>
          <cell r="IY290">
            <v>342.57799999999997</v>
          </cell>
          <cell r="IZ290">
            <v>282.05</v>
          </cell>
          <cell r="JA290">
            <v>376.88799999999998</v>
          </cell>
          <cell r="JB290">
            <v>294.96800000000002</v>
          </cell>
          <cell r="JC290">
            <v>309.56099999999998</v>
          </cell>
          <cell r="JD290">
            <v>277.13200000000001</v>
          </cell>
          <cell r="JE290">
            <v>281.84100000000001</v>
          </cell>
          <cell r="JF290">
            <v>230.02099999999999</v>
          </cell>
          <cell r="JG290">
            <v>205.83199999999999</v>
          </cell>
          <cell r="JH290">
            <v>298.98500000000001</v>
          </cell>
          <cell r="JI290">
            <v>284.55900000000003</v>
          </cell>
          <cell r="JJ290">
            <v>181.321</v>
          </cell>
          <cell r="JK290">
            <v>222.24199999999999</v>
          </cell>
          <cell r="JL290">
            <v>152.94800000000001</v>
          </cell>
          <cell r="JM290">
            <v>388.91500000000002</v>
          </cell>
          <cell r="JN290">
            <v>349.87700000000001</v>
          </cell>
          <cell r="JO290">
            <v>335.74799999999999</v>
          </cell>
          <cell r="JP290">
            <v>293.55099999999999</v>
          </cell>
          <cell r="JQ290">
            <v>266.25599999999997</v>
          </cell>
          <cell r="JR290">
            <v>377.97399999999999</v>
          </cell>
          <cell r="JS290">
            <v>483.06099999999998</v>
          </cell>
          <cell r="JT290">
            <v>510.57</v>
          </cell>
          <cell r="JU290">
            <v>379.92399999999998</v>
          </cell>
          <cell r="JV290">
            <v>333.709</v>
          </cell>
          <cell r="JW290">
            <v>308.43099999999998</v>
          </cell>
          <cell r="JX290">
            <v>294.52699999999999</v>
          </cell>
          <cell r="JY290">
            <v>383.82</v>
          </cell>
          <cell r="JZ290">
            <v>383.24099999999999</v>
          </cell>
          <cell r="KA290">
            <v>327.02499999999998</v>
          </cell>
          <cell r="KB290">
            <v>314.255</v>
          </cell>
          <cell r="KC290">
            <v>315.12400000000002</v>
          </cell>
          <cell r="KD290">
            <v>402.29</v>
          </cell>
          <cell r="KE290">
            <v>326.58499999999998</v>
          </cell>
          <cell r="KF290">
            <v>265.036</v>
          </cell>
          <cell r="KG290">
            <v>348.43299999999999</v>
          </cell>
          <cell r="KH290">
            <v>288.08800000000002</v>
          </cell>
          <cell r="KI290">
            <v>223.21299999999999</v>
          </cell>
          <cell r="KJ290">
            <v>163.363</v>
          </cell>
          <cell r="KK290">
            <v>408.01799999999997</v>
          </cell>
          <cell r="KL290">
            <v>372.56599999999997</v>
          </cell>
          <cell r="KM290">
            <v>511.60300000000001</v>
          </cell>
          <cell r="KN290">
            <v>348.10500000000002</v>
          </cell>
          <cell r="KO290">
            <v>392.84</v>
          </cell>
          <cell r="KP290">
            <v>429.41699999999997</v>
          </cell>
          <cell r="KQ290">
            <v>418.00700000000001</v>
          </cell>
          <cell r="KR290">
            <v>384.06900000000002</v>
          </cell>
          <cell r="KS290">
            <v>444.43900000000002</v>
          </cell>
          <cell r="KT290">
            <v>366.56099999999998</v>
          </cell>
          <cell r="KU290">
            <v>260.89299999999997</v>
          </cell>
          <cell r="KV290">
            <v>271.71600000000001</v>
          </cell>
          <cell r="KW290">
            <v>434.27600000000001</v>
          </cell>
          <cell r="KX290">
            <v>535.56700000000001</v>
          </cell>
          <cell r="KY290">
            <v>556.76</v>
          </cell>
          <cell r="KZ290">
            <v>465.10500000000002</v>
          </cell>
          <cell r="LA290">
            <v>441.65499999999997</v>
          </cell>
          <cell r="LB290">
            <v>683.72699999999998</v>
          </cell>
          <cell r="LC290">
            <v>575.14599999999996</v>
          </cell>
          <cell r="LD290">
            <v>473.55099999999999</v>
          </cell>
          <cell r="LE290">
            <v>509.02368100000001</v>
          </cell>
          <cell r="LF290">
            <v>509.740838</v>
          </cell>
          <cell r="LG290">
            <v>394.31798900000001</v>
          </cell>
          <cell r="LH290">
            <v>309.86417399999999</v>
          </cell>
          <cell r="LI290">
            <v>536.49101800000005</v>
          </cell>
          <cell r="LJ290">
            <v>455.57198499999998</v>
          </cell>
          <cell r="LK290">
            <v>411.92444899999998</v>
          </cell>
          <cell r="LL290">
            <v>419.98776600000002</v>
          </cell>
          <cell r="LM290">
            <v>431.85909800000002</v>
          </cell>
          <cell r="LN290">
            <v>561.99392799999998</v>
          </cell>
          <cell r="LO290">
            <v>582.19029999999998</v>
          </cell>
          <cell r="LP290">
            <v>439.99590599999999</v>
          </cell>
          <cell r="LQ290">
            <v>435.64423399999998</v>
          </cell>
          <cell r="LR290">
            <v>401.65140200000002</v>
          </cell>
          <cell r="LS290">
            <v>354.58790299999998</v>
          </cell>
          <cell r="LT290">
            <v>250.357708</v>
          </cell>
          <cell r="LU290">
            <v>541.94789500000002</v>
          </cell>
          <cell r="LV290">
            <v>574.68983400000002</v>
          </cell>
          <cell r="LW290">
            <v>592.58125500000006</v>
          </cell>
          <cell r="LX290">
            <v>495.611041</v>
          </cell>
          <cell r="LY290">
            <v>560.73932500000001</v>
          </cell>
          <cell r="LZ290">
            <v>632.04292699999996</v>
          </cell>
          <cell r="MA290">
            <v>499.44492700000001</v>
          </cell>
          <cell r="MB290">
            <v>585.67283299999997</v>
          </cell>
          <cell r="MC290">
            <v>466.907061</v>
          </cell>
          <cell r="MD290">
            <v>554.06293500000004</v>
          </cell>
          <cell r="ME290">
            <v>309.31541900000002</v>
          </cell>
          <cell r="MF290">
            <v>228.07961299999999</v>
          </cell>
          <cell r="MG290">
            <v>564.71206099999995</v>
          </cell>
          <cell r="MH290">
            <v>627.29700400000002</v>
          </cell>
          <cell r="MI290">
            <v>583.417914</v>
          </cell>
          <cell r="MJ290">
            <v>581.46817999999996</v>
          </cell>
          <cell r="MK290">
            <v>627.29554299999995</v>
          </cell>
          <cell r="ML290">
            <v>608.09788900000001</v>
          </cell>
          <cell r="MM290">
            <v>716.83196299999997</v>
          </cell>
          <cell r="MN290">
            <v>639.42643599999997</v>
          </cell>
          <cell r="MO290">
            <v>587.80798900000002</v>
          </cell>
          <cell r="MP290">
            <v>592.60404100000005</v>
          </cell>
          <cell r="MQ290">
            <v>329.16028599999999</v>
          </cell>
          <cell r="MR290">
            <v>303.88007299999998</v>
          </cell>
          <cell r="MS290">
            <v>524.80828799999995</v>
          </cell>
          <cell r="MT290">
            <v>756.06630500000006</v>
          </cell>
          <cell r="MU290">
            <v>593.51115300000004</v>
          </cell>
          <cell r="MV290">
            <v>481.53</v>
          </cell>
          <cell r="MW290">
            <v>484.36099999999999</v>
          </cell>
          <cell r="MX290">
            <v>380.91899999999998</v>
          </cell>
          <cell r="MY290">
            <v>391.10899999999998</v>
          </cell>
          <cell r="MZ290">
            <v>502.38400000000001</v>
          </cell>
          <cell r="NA290">
            <v>325.024</v>
          </cell>
          <cell r="NB290">
            <v>328.00400000000002</v>
          </cell>
          <cell r="NC290">
            <v>201.81200000000001</v>
          </cell>
          <cell r="ND290">
            <v>277.05399999999997</v>
          </cell>
          <cell r="NE290">
            <v>433.59</v>
          </cell>
          <cell r="NF290">
            <v>638.76300000000003</v>
          </cell>
          <cell r="NG290">
            <v>689.88599999999997</v>
          </cell>
          <cell r="NH290">
            <v>609.952</v>
          </cell>
          <cell r="NI290">
            <v>419.16</v>
          </cell>
          <cell r="NJ290">
            <v>117.768</v>
          </cell>
          <cell r="NK290">
            <v>151.19900000000001</v>
          </cell>
          <cell r="NL290">
            <v>190.191</v>
          </cell>
          <cell r="NM290">
            <v>279.44299999999998</v>
          </cell>
          <cell r="NN290">
            <v>277.75200000000001</v>
          </cell>
          <cell r="NO290">
            <v>365.476</v>
          </cell>
          <cell r="NP290">
            <v>506.24</v>
          </cell>
          <cell r="NQ290">
            <v>450.952</v>
          </cell>
          <cell r="NR290">
            <v>482.64299999999997</v>
          </cell>
          <cell r="NS290">
            <v>439.56900000000002</v>
          </cell>
          <cell r="NT290">
            <v>393.13499999999999</v>
          </cell>
          <cell r="NU290">
            <v>406.041</v>
          </cell>
          <cell r="NV290">
            <v>524.005</v>
          </cell>
          <cell r="NW290">
            <v>541.649</v>
          </cell>
          <cell r="NX290">
            <v>452.83300000000003</v>
          </cell>
          <cell r="NY290">
            <v>475.71699999999998</v>
          </cell>
          <cell r="NZ290">
            <v>502.65600000000001</v>
          </cell>
        </row>
        <row r="296">
          <cell r="A296" t="str">
            <v>EU</v>
          </cell>
          <cell r="Y296">
            <v>1710.7615379999995</v>
          </cell>
          <cell r="Z296">
            <v>1291.8806880000002</v>
          </cell>
          <cell r="AA296">
            <v>1833.7583139999997</v>
          </cell>
          <cell r="AB296">
            <v>2164.0545040000006</v>
          </cell>
          <cell r="AC296">
            <v>1563.839858</v>
          </cell>
          <cell r="AD296">
            <v>2014.1000000000001</v>
          </cell>
          <cell r="AE296">
            <v>661.21899999999994</v>
          </cell>
        </row>
        <row r="297">
          <cell r="A297" t="str">
            <v>Other Europe</v>
          </cell>
          <cell r="Y297">
            <v>28.373045000000001</v>
          </cell>
          <cell r="Z297">
            <v>8.8994159999999987</v>
          </cell>
          <cell r="AA297">
            <v>8.2756050000000005</v>
          </cell>
          <cell r="AB297">
            <v>19.587924999999998</v>
          </cell>
          <cell r="AC297">
            <v>28.457414999999997</v>
          </cell>
          <cell r="AD297">
            <v>33.113</v>
          </cell>
          <cell r="AE297">
            <v>57.563000000000002</v>
          </cell>
        </row>
        <row r="298">
          <cell r="A298" t="str">
            <v>FSU</v>
          </cell>
          <cell r="Y298">
            <v>43.234694999999995</v>
          </cell>
          <cell r="Z298">
            <v>36.620531000000007</v>
          </cell>
          <cell r="AA298">
            <v>30.722424999999994</v>
          </cell>
          <cell r="AB298">
            <v>26.466594000000004</v>
          </cell>
          <cell r="AC298">
            <v>22.497758999999999</v>
          </cell>
          <cell r="AD298">
            <v>32.191000000000003</v>
          </cell>
          <cell r="AE298">
            <v>41.218999999999994</v>
          </cell>
        </row>
        <row r="299">
          <cell r="A299" t="str">
            <v>Asia</v>
          </cell>
          <cell r="Y299">
            <v>3706.4492840000012</v>
          </cell>
          <cell r="Z299">
            <v>3766.3257150000009</v>
          </cell>
          <cell r="AA299">
            <v>3946.4773820000005</v>
          </cell>
          <cell r="AB299">
            <v>4153.5582989999994</v>
          </cell>
          <cell r="AC299">
            <v>3398.2099349999994</v>
          </cell>
          <cell r="AD299">
            <v>2382.3111279999998</v>
          </cell>
          <cell r="AE299">
            <v>627.09400000000005</v>
          </cell>
        </row>
        <row r="300">
          <cell r="A300" t="str">
            <v>Africa</v>
          </cell>
          <cell r="Y300">
            <v>362.43507499999993</v>
          </cell>
          <cell r="Z300">
            <v>173.72902199999999</v>
          </cell>
          <cell r="AA300">
            <v>196.30314899999999</v>
          </cell>
          <cell r="AB300">
            <v>375.46291600000001</v>
          </cell>
          <cell r="AC300">
            <v>182.51122100000003</v>
          </cell>
          <cell r="AD300">
            <v>169.69603000000004</v>
          </cell>
          <cell r="AE300">
            <v>213.494</v>
          </cell>
        </row>
        <row r="301">
          <cell r="A301" t="str">
            <v>Western Hemisphere</v>
          </cell>
          <cell r="Y301">
            <v>27.107044999999999</v>
          </cell>
          <cell r="Z301">
            <v>28.480226000000005</v>
          </cell>
          <cell r="AA301">
            <v>39.154234000000002</v>
          </cell>
          <cell r="AB301">
            <v>84.453163000000004</v>
          </cell>
          <cell r="AC301">
            <v>50.947891999999996</v>
          </cell>
          <cell r="AD301">
            <v>55.70608099999999</v>
          </cell>
          <cell r="AE301">
            <v>120.95400000000001</v>
          </cell>
        </row>
      </sheetData>
      <sheetData sheetId="19">
        <row r="290">
          <cell r="BS290">
            <v>0.16500000000000001</v>
          </cell>
          <cell r="BT290">
            <v>0.746</v>
          </cell>
          <cell r="BU290">
            <v>0.997</v>
          </cell>
          <cell r="BV290">
            <v>0.99</v>
          </cell>
          <cell r="BW290">
            <v>0.71499999999999997</v>
          </cell>
          <cell r="BX290">
            <v>0.53100000000000003</v>
          </cell>
          <cell r="BY290">
            <v>0.371</v>
          </cell>
          <cell r="BZ290">
            <v>0.41899999999999998</v>
          </cell>
          <cell r="CA290">
            <v>0.56599999999999995</v>
          </cell>
          <cell r="CB290">
            <v>0.88500000000000001</v>
          </cell>
          <cell r="CC290">
            <v>1.0089999999999999</v>
          </cell>
          <cell r="CD290">
            <v>0.63200000000000001</v>
          </cell>
          <cell r="CE290">
            <v>0.46899999999999997</v>
          </cell>
          <cell r="CF290">
            <v>0.67300000000000004</v>
          </cell>
          <cell r="CG290">
            <v>0.97399999999999998</v>
          </cell>
          <cell r="CH290">
            <v>1.181</v>
          </cell>
          <cell r="CI290">
            <v>0.79700000000000004</v>
          </cell>
          <cell r="CJ290">
            <v>0.59399999999999997</v>
          </cell>
          <cell r="CK290">
            <v>0.377</v>
          </cell>
          <cell r="CL290">
            <v>0.32500000000000001</v>
          </cell>
          <cell r="CM290">
            <v>9.2999999999999999E-2</v>
          </cell>
          <cell r="CN290">
            <v>0.17599999999999999</v>
          </cell>
          <cell r="CO290">
            <v>0.30599999999999999</v>
          </cell>
          <cell r="CP290">
            <v>0.254</v>
          </cell>
          <cell r="CQ290">
            <v>0.11600000000000001</v>
          </cell>
          <cell r="CR290">
            <v>0.48299999999999998</v>
          </cell>
          <cell r="CS290">
            <v>1.879</v>
          </cell>
          <cell r="CT290">
            <v>4.8959999999999999</v>
          </cell>
          <cell r="CU290">
            <v>3.5259999999999998</v>
          </cell>
          <cell r="CV290">
            <v>4.0170000000000003</v>
          </cell>
          <cell r="CW290">
            <v>1.712</v>
          </cell>
          <cell r="CX290">
            <v>0.58799999999999997</v>
          </cell>
          <cell r="CY290">
            <v>0.29399999999999998</v>
          </cell>
          <cell r="CZ290">
            <v>0.47199999999999998</v>
          </cell>
          <cell r="DA290">
            <v>0.45400000000000001</v>
          </cell>
          <cell r="DB290">
            <v>0.96</v>
          </cell>
          <cell r="DC290">
            <v>0.379</v>
          </cell>
          <cell r="DD290">
            <v>1.0249999999999999</v>
          </cell>
          <cell r="DE290">
            <v>1.3109999999999999</v>
          </cell>
          <cell r="DF290">
            <v>1.29</v>
          </cell>
          <cell r="DG290">
            <v>0.81599999999999995</v>
          </cell>
          <cell r="DH290">
            <v>0.57499999999999996</v>
          </cell>
          <cell r="DI290">
            <v>0.39800000000000002</v>
          </cell>
          <cell r="DJ290">
            <v>0.39700000000000002</v>
          </cell>
          <cell r="DK290">
            <v>0.54900000000000004</v>
          </cell>
          <cell r="DL290">
            <v>0.34300000000000003</v>
          </cell>
          <cell r="DM290">
            <v>0.40699999999999997</v>
          </cell>
          <cell r="DN290">
            <v>0.65700000000000003</v>
          </cell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>
            <v>0.49270599999999998</v>
          </cell>
          <cell r="EB290">
            <v>0.72142799999999996</v>
          </cell>
          <cell r="EC290">
            <v>0.76026700000000003</v>
          </cell>
          <cell r="ED290">
            <v>1.491128</v>
          </cell>
          <cell r="EE290">
            <v>0.34402300000000002</v>
          </cell>
          <cell r="EF290">
            <v>0.22422700000000001</v>
          </cell>
          <cell r="EG290">
            <v>0.21384</v>
          </cell>
          <cell r="EH290">
            <v>0.26139800000000002</v>
          </cell>
          <cell r="EI290">
            <v>0.35505500000000001</v>
          </cell>
          <cell r="EJ290">
            <v>0.50495800000000002</v>
          </cell>
          <cell r="EK290">
            <v>0.36221199999999998</v>
          </cell>
          <cell r="EL290">
            <v>0.47548499999999999</v>
          </cell>
          <cell r="EM290">
            <v>0.41917599999999999</v>
          </cell>
          <cell r="EN290">
            <v>0.48761700000000002</v>
          </cell>
          <cell r="EO290">
            <v>1.2437279999999999</v>
          </cell>
          <cell r="EP290">
            <v>1.416472</v>
          </cell>
          <cell r="EQ290">
            <v>0.34558899999999998</v>
          </cell>
          <cell r="ER290">
            <v>0.30279899999999998</v>
          </cell>
          <cell r="ES290">
            <v>0.21155199999999999</v>
          </cell>
          <cell r="ET290">
            <v>0.32458700000000001</v>
          </cell>
          <cell r="EU290">
            <v>0.27768700000000002</v>
          </cell>
          <cell r="EV290">
            <v>0.496863</v>
          </cell>
          <cell r="EW290">
            <v>0.80880799999999997</v>
          </cell>
          <cell r="EX290">
            <v>0.45133299999999998</v>
          </cell>
          <cell r="EY290">
            <v>0.40349299999999999</v>
          </cell>
          <cell r="EZ290">
            <v>0.68985300000000005</v>
          </cell>
          <cell r="FA290">
            <v>1.6211530000000001</v>
          </cell>
          <cell r="FB290">
            <v>2.2613910000000002</v>
          </cell>
          <cell r="FC290">
            <v>0.77364299999999997</v>
          </cell>
          <cell r="FD290">
            <v>0.479296</v>
          </cell>
          <cell r="FE290">
            <v>0.24940100000000001</v>
          </cell>
          <cell r="FF290">
            <v>0.28809400000000002</v>
          </cell>
          <cell r="FG290">
            <v>0.40237299999999998</v>
          </cell>
          <cell r="FH290">
            <v>0.38823200000000002</v>
          </cell>
          <cell r="FI290">
            <v>0.54800499999999996</v>
          </cell>
          <cell r="FJ290">
            <v>0.66094299999999995</v>
          </cell>
          <cell r="FK290">
            <v>0.57797100000000001</v>
          </cell>
          <cell r="FL290">
            <v>0.90272200000000002</v>
          </cell>
          <cell r="FM290">
            <v>2.195195</v>
          </cell>
          <cell r="FN290">
            <v>3.4490530000000001</v>
          </cell>
          <cell r="FO290">
            <v>0.23541899999999999</v>
          </cell>
          <cell r="FP290">
            <v>0.237487</v>
          </cell>
          <cell r="FQ290">
            <v>0.13276099999999999</v>
          </cell>
          <cell r="FR290">
            <v>0.50474399999999997</v>
          </cell>
          <cell r="FS290">
            <v>0.38399499999999998</v>
          </cell>
          <cell r="FT290">
            <v>0.59249499999999999</v>
          </cell>
          <cell r="FU290">
            <v>0.52176999999999996</v>
          </cell>
          <cell r="FV290">
            <v>0.66265200000000002</v>
          </cell>
          <cell r="FW290">
            <v>0.89561299999999999</v>
          </cell>
          <cell r="FX290">
            <v>0.79493499999999995</v>
          </cell>
          <cell r="FY290">
            <v>3.2348509999999999</v>
          </cell>
          <cell r="FZ290">
            <v>2.4212989999999999</v>
          </cell>
          <cell r="GA290">
            <v>0.44523000000000001</v>
          </cell>
          <cell r="GB290">
            <v>0.18782299999999999</v>
          </cell>
          <cell r="GC290">
            <v>3.202804</v>
          </cell>
          <cell r="GD290">
            <v>0.22261600000000001</v>
          </cell>
          <cell r="GE290">
            <v>0.171102</v>
          </cell>
          <cell r="GF290">
            <v>0.45451399999999997</v>
          </cell>
          <cell r="GG290">
            <v>0.60383399999999998</v>
          </cell>
          <cell r="GH290">
            <v>1.2466109999999999</v>
          </cell>
          <cell r="GI290">
            <v>0.91963700000000004</v>
          </cell>
          <cell r="GJ290">
            <v>1.252769</v>
          </cell>
          <cell r="GK290">
            <v>2.3703970000000001</v>
          </cell>
          <cell r="GL290">
            <v>2.5278489999999998</v>
          </cell>
          <cell r="GM290">
            <v>0.32943600000000001</v>
          </cell>
          <cell r="GN290">
            <v>0.18071200000000001</v>
          </cell>
          <cell r="GO290">
            <v>0.14685999999999999</v>
          </cell>
          <cell r="GP290">
            <v>0.10302600000000001</v>
          </cell>
          <cell r="GQ290">
            <v>1.9897999999999999E-2</v>
          </cell>
          <cell r="GR290">
            <v>0.106978</v>
          </cell>
          <cell r="GS290">
            <v>0.33702500000000002</v>
          </cell>
          <cell r="GT290">
            <v>0.76495500000000005</v>
          </cell>
          <cell r="GU290">
            <v>0.79921900000000001</v>
          </cell>
          <cell r="GV290">
            <v>3.3857400000000002</v>
          </cell>
          <cell r="GW290">
            <v>3.8010709999999999</v>
          </cell>
          <cell r="GX290">
            <v>2.4608469999999998</v>
          </cell>
          <cell r="GY290">
            <v>0.32829999999999998</v>
          </cell>
          <cell r="GZ290">
            <v>0.23349600000000001</v>
          </cell>
          <cell r="HA290">
            <v>0.17290800000000001</v>
          </cell>
          <cell r="HB290">
            <v>8.48E-2</v>
          </cell>
          <cell r="HC290">
            <v>0.14482</v>
          </cell>
          <cell r="HD290">
            <v>0.246642</v>
          </cell>
          <cell r="HE290">
            <v>0.25741199999999997</v>
          </cell>
          <cell r="HF290">
            <v>0.80295399999999995</v>
          </cell>
          <cell r="HG290">
            <v>0.66070099999999998</v>
          </cell>
          <cell r="HH290">
            <v>2.7216610000000001</v>
          </cell>
          <cell r="HI290">
            <v>3.9137369999999998</v>
          </cell>
          <cell r="HJ290">
            <v>1.479646</v>
          </cell>
          <cell r="HK290">
            <v>0.350914</v>
          </cell>
          <cell r="HL290">
            <v>0.18778</v>
          </cell>
          <cell r="HM290">
            <v>0.39833299999999999</v>
          </cell>
          <cell r="HN290">
            <v>0.38639400000000002</v>
          </cell>
          <cell r="HO290">
            <v>0.281134</v>
          </cell>
          <cell r="HP290">
            <v>0.71696599999999999</v>
          </cell>
          <cell r="HQ290">
            <v>0.81551899999999999</v>
          </cell>
          <cell r="HR290">
            <v>0.79208000000000001</v>
          </cell>
          <cell r="HS290">
            <v>0.83515200000000001</v>
          </cell>
          <cell r="HT290">
            <v>1.6067419999999999</v>
          </cell>
          <cell r="HU290">
            <v>5.5486139999999997</v>
          </cell>
          <cell r="HV290">
            <v>4.6896899999999997</v>
          </cell>
          <cell r="HW290">
            <v>2.1108509999999998</v>
          </cell>
          <cell r="HX290">
            <v>1.6456980000000001</v>
          </cell>
          <cell r="HY290">
            <v>1.5727359999999999</v>
          </cell>
          <cell r="HZ290">
            <v>0.98810200000000004</v>
          </cell>
          <cell r="IA290">
            <v>0.74098399999999998</v>
          </cell>
          <cell r="IB290">
            <v>1.3048580000000001</v>
          </cell>
          <cell r="IC290">
            <v>2.9460600000000001</v>
          </cell>
          <cell r="ID290">
            <v>8.8279949999999996</v>
          </cell>
          <cell r="IE290">
            <v>3.5624989999999999</v>
          </cell>
          <cell r="IF290">
            <v>4.9433509999999998</v>
          </cell>
          <cell r="IG290">
            <v>7.6857309999999996</v>
          </cell>
          <cell r="IH290">
            <v>4.5016129999999999</v>
          </cell>
          <cell r="II290">
            <v>2.379861</v>
          </cell>
          <cell r="IJ290">
            <v>3.1029939999999998</v>
          </cell>
          <cell r="IK290">
            <v>1.449392</v>
          </cell>
          <cell r="IL290">
            <v>1.1331100000000001</v>
          </cell>
          <cell r="IM290">
            <v>0.47430600000000001</v>
          </cell>
          <cell r="IN290">
            <v>1.252867</v>
          </cell>
          <cell r="IO290">
            <v>1.6802189999999999</v>
          </cell>
          <cell r="IP290">
            <v>3.3921739999999998</v>
          </cell>
          <cell r="IQ290">
            <v>2.7574380000000001</v>
          </cell>
          <cell r="IR290">
            <v>3.8820420000000002</v>
          </cell>
          <cell r="IS290">
            <v>7.2506899999999996</v>
          </cell>
          <cell r="IT290">
            <v>3.896649</v>
          </cell>
          <cell r="IU290">
            <v>1.642334</v>
          </cell>
          <cell r="IV290">
            <v>0.69200499999999998</v>
          </cell>
          <cell r="IW290">
            <v>0.60377999999999998</v>
          </cell>
          <cell r="IX290">
            <v>1.3328390000000001</v>
          </cell>
          <cell r="IY290">
            <v>0.50981100000000001</v>
          </cell>
          <cell r="IZ290">
            <v>1.189894</v>
          </cell>
          <cell r="JA290">
            <v>1.7144980000000001</v>
          </cell>
          <cell r="JB290">
            <v>3.1288</v>
          </cell>
          <cell r="JC290">
            <v>3.3339780000000001</v>
          </cell>
          <cell r="JD290">
            <v>6.2379860000000003</v>
          </cell>
          <cell r="JE290">
            <v>6.0527990000000003</v>
          </cell>
          <cell r="JF290">
            <v>4.4752939999999999</v>
          </cell>
          <cell r="JG290">
            <v>0.37087100000000001</v>
          </cell>
          <cell r="JH290">
            <v>0.97408300000000003</v>
          </cell>
          <cell r="JI290">
            <v>0.44016300000000003</v>
          </cell>
          <cell r="JJ290">
            <v>0.62406600000000001</v>
          </cell>
          <cell r="JK290">
            <v>0.77020200000000005</v>
          </cell>
          <cell r="JL290">
            <v>1.5534520000000001</v>
          </cell>
          <cell r="JM290">
            <v>1.861504</v>
          </cell>
          <cell r="JN290">
            <v>3.7806250000000001</v>
          </cell>
          <cell r="JO290">
            <v>3.7060870000000001</v>
          </cell>
          <cell r="JP290">
            <v>7.5361099999999999</v>
          </cell>
          <cell r="JQ290">
            <v>8.6563199999999991</v>
          </cell>
          <cell r="JR290">
            <v>3.8834620000000002</v>
          </cell>
          <cell r="JS290">
            <v>1.4748699999999999</v>
          </cell>
          <cell r="JT290">
            <v>0.75061199999999995</v>
          </cell>
          <cell r="JU290">
            <v>0.56188800000000005</v>
          </cell>
          <cell r="JV290">
            <v>0.56930999999999998</v>
          </cell>
          <cell r="JW290">
            <v>0.55018500000000004</v>
          </cell>
          <cell r="JX290">
            <v>0.86005900000000002</v>
          </cell>
          <cell r="JY290">
            <v>0.96043199999999995</v>
          </cell>
          <cell r="JZ290">
            <v>3.7995990000000002</v>
          </cell>
          <cell r="KA290">
            <v>1.565958</v>
          </cell>
          <cell r="KB290">
            <v>3.6811980000000002</v>
          </cell>
          <cell r="KC290">
            <v>6.433586</v>
          </cell>
          <cell r="KD290">
            <v>3.542173</v>
          </cell>
          <cell r="KE290">
            <v>13.097599000000001</v>
          </cell>
          <cell r="KF290">
            <v>13.222970999999999</v>
          </cell>
          <cell r="KG290">
            <v>23.459444000000001</v>
          </cell>
          <cell r="KH290">
            <v>17.114250999999999</v>
          </cell>
          <cell r="KI290">
            <v>13.235067000000001</v>
          </cell>
          <cell r="KJ290">
            <v>9.3242119999999993</v>
          </cell>
          <cell r="KK290">
            <v>7.197025</v>
          </cell>
          <cell r="KL290">
            <v>13.596793</v>
          </cell>
          <cell r="KM290">
            <v>5.1649159999999998</v>
          </cell>
          <cell r="KN290">
            <v>17.473966000000001</v>
          </cell>
          <cell r="KO290">
            <v>19.068028000000002</v>
          </cell>
          <cell r="KP290">
            <v>12.127668999999999</v>
          </cell>
          <cell r="KQ290">
            <v>6.6891540000000003</v>
          </cell>
          <cell r="KR290">
            <v>6.4314179999999999</v>
          </cell>
          <cell r="KS290">
            <v>6.440849</v>
          </cell>
          <cell r="KT290">
            <v>4.2477220000000004</v>
          </cell>
          <cell r="KU290">
            <v>3.2671770000000002</v>
          </cell>
          <cell r="KV290">
            <v>1.6119209999999999</v>
          </cell>
          <cell r="KW290">
            <v>5.303223</v>
          </cell>
          <cell r="KX290">
            <v>6.2451369999999997</v>
          </cell>
          <cell r="KY290">
            <v>5.3660459999999999</v>
          </cell>
          <cell r="KZ290">
            <v>11.27894</v>
          </cell>
          <cell r="LA290">
            <v>14.803259000000001</v>
          </cell>
          <cell r="LB290">
            <v>15.736164</v>
          </cell>
          <cell r="LC290">
            <v>25.080290000000002</v>
          </cell>
          <cell r="LD290">
            <v>6.7650230000000002</v>
          </cell>
          <cell r="LE290">
            <v>8.2453140000000005</v>
          </cell>
          <cell r="LF290">
            <v>3.6280739999999998</v>
          </cell>
          <cell r="LG290">
            <v>2.2263250000000001</v>
          </cell>
          <cell r="LH290">
            <v>1.3682939999999999</v>
          </cell>
          <cell r="LI290">
            <v>2.8794749999999998</v>
          </cell>
          <cell r="LJ290">
            <v>8.312678</v>
          </cell>
          <cell r="LK290">
            <v>6.7687939999999998</v>
          </cell>
          <cell r="LL290">
            <v>8.3597660000000005</v>
          </cell>
          <cell r="LM290">
            <v>7.3814840000000004</v>
          </cell>
          <cell r="LN290">
            <v>2.613442</v>
          </cell>
          <cell r="LO290">
            <v>3.4313319999999998</v>
          </cell>
          <cell r="LP290">
            <v>2.5285980000000001</v>
          </cell>
          <cell r="LQ290">
            <v>3.9923E-2</v>
          </cell>
          <cell r="LR290">
            <v>0.64405900000000005</v>
          </cell>
          <cell r="LS290">
            <v>0.31849300000000003</v>
          </cell>
          <cell r="LT290">
            <v>1.495179</v>
          </cell>
          <cell r="LU290">
            <v>2.5721590000000001</v>
          </cell>
          <cell r="LV290">
            <v>4.8449980000000004</v>
          </cell>
          <cell r="LW290">
            <v>8.7454909999999995</v>
          </cell>
          <cell r="LX290">
            <v>8.0435999999999996</v>
          </cell>
          <cell r="LY290">
            <v>6.0210330000000001</v>
          </cell>
          <cell r="LZ290">
            <v>3.4977149999999999</v>
          </cell>
          <cell r="MA290">
            <v>4.0026089999999996</v>
          </cell>
          <cell r="MB290">
            <v>5.6208340000000003</v>
          </cell>
          <cell r="MC290">
            <v>3.9331269999999998</v>
          </cell>
          <cell r="MD290">
            <v>2.9170790000000002</v>
          </cell>
          <cell r="ME290">
            <v>0.41223900000000002</v>
          </cell>
          <cell r="MF290">
            <v>0.54757999999999996</v>
          </cell>
          <cell r="MG290">
            <v>2.4459379999999999</v>
          </cell>
          <cell r="MH290">
            <v>5.83955</v>
          </cell>
          <cell r="MI290">
            <v>8.3033140000000003</v>
          </cell>
          <cell r="MJ290">
            <v>8.9640419999999992</v>
          </cell>
          <cell r="MK290">
            <v>10.113187</v>
          </cell>
          <cell r="ML290">
            <v>7.467009</v>
          </cell>
          <cell r="MM290">
            <v>2.602903</v>
          </cell>
          <cell r="MN290">
            <v>2.4975900000000002</v>
          </cell>
          <cell r="MO290">
            <v>5.7248520000000003</v>
          </cell>
          <cell r="MP290">
            <v>1.57314</v>
          </cell>
          <cell r="MQ290">
            <v>1.7367250000000001</v>
          </cell>
          <cell r="MR290">
            <v>1.634307</v>
          </cell>
          <cell r="MS290">
            <v>4.9303030000000003</v>
          </cell>
          <cell r="MT290">
            <v>7.3754799999999996</v>
          </cell>
          <cell r="MU290">
            <v>26.233000000000001</v>
          </cell>
          <cell r="MV290">
            <v>8.1509999999999998</v>
          </cell>
          <cell r="MW290">
            <v>11.67</v>
          </cell>
          <cell r="MX290">
            <v>13.586</v>
          </cell>
          <cell r="MY290">
            <v>7.2590000000000003</v>
          </cell>
          <cell r="MZ290">
            <v>8.9719999999999995</v>
          </cell>
          <cell r="NA290">
            <v>4.4850000000000003</v>
          </cell>
          <cell r="NB290">
            <v>8.6240000000000006</v>
          </cell>
          <cell r="NC290">
            <v>5.7469999999999999</v>
          </cell>
          <cell r="ND290">
            <v>7.0789999999999997</v>
          </cell>
          <cell r="NE290">
            <v>3.8090000000000002</v>
          </cell>
          <cell r="NF290">
            <v>8.0679999999999996</v>
          </cell>
          <cell r="NG290">
            <v>5.5307170000000001</v>
          </cell>
        </row>
      </sheetData>
      <sheetData sheetId="20">
        <row r="4">
          <cell r="B4">
            <v>0</v>
          </cell>
          <cell r="C4">
            <v>0</v>
          </cell>
          <cell r="D4">
            <v>0</v>
          </cell>
          <cell r="E4">
            <v>267.42386200000004</v>
          </cell>
          <cell r="F4">
            <v>582.14834799999994</v>
          </cell>
          <cell r="G4">
            <v>492.249349</v>
          </cell>
          <cell r="H4">
            <v>515.13035400000001</v>
          </cell>
          <cell r="I4">
            <v>387.58348400000006</v>
          </cell>
          <cell r="J4">
            <v>8.5918799999999997</v>
          </cell>
          <cell r="K4">
            <v>71.004999999999995</v>
          </cell>
          <cell r="L4">
            <v>153.65499999999997</v>
          </cell>
          <cell r="M4">
            <v>8.1609999999999996</v>
          </cell>
          <cell r="N4">
            <v>194.68200000000002</v>
          </cell>
          <cell r="O4">
            <v>97.45</v>
          </cell>
          <cell r="P4">
            <v>5.7280000000000006</v>
          </cell>
          <cell r="Q4">
            <v>10.035</v>
          </cell>
          <cell r="R4">
            <v>0.01</v>
          </cell>
          <cell r="S4">
            <v>7.5999999999999998E-2</v>
          </cell>
          <cell r="T4">
            <v>36.979999999999997</v>
          </cell>
          <cell r="U4">
            <v>5.4559999999999995</v>
          </cell>
          <cell r="V4">
            <v>11.554</v>
          </cell>
          <cell r="W4">
            <v>1.2869999999999999</v>
          </cell>
          <cell r="X4">
            <v>7.7339999999999991</v>
          </cell>
          <cell r="Y4">
            <v>43.844000000000001</v>
          </cell>
          <cell r="Z4">
            <v>2.0906850000000001</v>
          </cell>
          <cell r="AA4">
            <v>13.435509000000003</v>
          </cell>
          <cell r="AB4">
            <v>469.46619499999997</v>
          </cell>
          <cell r="AC4">
            <v>282.24272200000001</v>
          </cell>
          <cell r="AD4">
            <v>2.20322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20.93205</v>
          </cell>
          <cell r="F37">
            <v>8.7296700000000005</v>
          </cell>
          <cell r="G37">
            <v>26.429939999999998</v>
          </cell>
          <cell r="H37">
            <v>10.417956</v>
          </cell>
          <cell r="I37">
            <v>5.2444499999999996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2.5529999999999999</v>
          </cell>
          <cell r="O37">
            <v>0</v>
          </cell>
          <cell r="P37">
            <v>0.04</v>
          </cell>
          <cell r="Q37">
            <v>0</v>
          </cell>
          <cell r="R37">
            <v>0</v>
          </cell>
          <cell r="S37">
            <v>0</v>
          </cell>
          <cell r="T37">
            <v>0.44700000000000001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0.02</v>
          </cell>
          <cell r="Z37">
            <v>3.5E-4</v>
          </cell>
          <cell r="AA37">
            <v>0</v>
          </cell>
          <cell r="AB37">
            <v>4.2000000000000003E-2</v>
          </cell>
          <cell r="AC37">
            <v>0</v>
          </cell>
          <cell r="AD37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3.2445259999999996</v>
          </cell>
          <cell r="F59">
            <v>8.228669</v>
          </cell>
          <cell r="G59">
            <v>4.0217090000000004</v>
          </cell>
          <cell r="H59">
            <v>21.849073999999998</v>
          </cell>
          <cell r="I59">
            <v>35.665827</v>
          </cell>
          <cell r="J59">
            <v>3.7706329999999992</v>
          </cell>
          <cell r="K59">
            <v>78.923000000000002</v>
          </cell>
          <cell r="L59">
            <v>23.985000000000003</v>
          </cell>
          <cell r="M59">
            <v>21.93</v>
          </cell>
          <cell r="N59">
            <v>78.115000000000009</v>
          </cell>
          <cell r="O59">
            <v>60.183999999999997</v>
          </cell>
          <cell r="P59">
            <v>28.273999999999997</v>
          </cell>
          <cell r="Q59">
            <v>91.090000000000032</v>
          </cell>
          <cell r="R59">
            <v>20.288999999999998</v>
          </cell>
          <cell r="S59">
            <v>9.4849999999999994</v>
          </cell>
          <cell r="T59">
            <v>15.472</v>
          </cell>
          <cell r="U59">
            <v>20.143000000000001</v>
          </cell>
          <cell r="V59">
            <v>43.288999999999994</v>
          </cell>
          <cell r="W59">
            <v>37.636000000000003</v>
          </cell>
          <cell r="X59">
            <v>54.424000000000007</v>
          </cell>
          <cell r="Y59">
            <v>64.197846000000013</v>
          </cell>
          <cell r="Z59">
            <v>57.949566000000004</v>
          </cell>
          <cell r="AA59">
            <v>114.700188</v>
          </cell>
          <cell r="AB59">
            <v>128.231246</v>
          </cell>
          <cell r="AC59">
            <v>62.335926000000008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128.512846</v>
          </cell>
          <cell r="F74">
            <v>294.72049200000004</v>
          </cell>
          <cell r="G74">
            <v>353.80149400000005</v>
          </cell>
          <cell r="H74">
            <v>297.9719310000001</v>
          </cell>
          <cell r="I74">
            <v>272.58005700000001</v>
          </cell>
          <cell r="J74">
            <v>5.5400600000000004</v>
          </cell>
          <cell r="K74">
            <v>33.894999999999996</v>
          </cell>
          <cell r="L74">
            <v>132.97800000000001</v>
          </cell>
          <cell r="M74">
            <v>14.870999999999999</v>
          </cell>
          <cell r="N74">
            <v>101.79299999999999</v>
          </cell>
          <cell r="O74">
            <v>0.11699999999999999</v>
          </cell>
          <cell r="P74">
            <v>2.7119999999999997</v>
          </cell>
          <cell r="Q74">
            <v>13.536</v>
          </cell>
          <cell r="R74">
            <v>5.3999999999999999E-2</v>
          </cell>
          <cell r="S74">
            <v>0</v>
          </cell>
          <cell r="T74">
            <v>278.63100000000003</v>
          </cell>
          <cell r="U74">
            <v>13.609</v>
          </cell>
          <cell r="V74">
            <v>80.372000000000014</v>
          </cell>
          <cell r="W74">
            <v>22.185000000000006</v>
          </cell>
          <cell r="X74">
            <v>41.721999999999994</v>
          </cell>
          <cell r="Y74">
            <v>258.07779499999998</v>
          </cell>
          <cell r="Z74">
            <v>36.777970000000003</v>
          </cell>
          <cell r="AA74">
            <v>222.76768900000002</v>
          </cell>
          <cell r="AB74">
            <v>631.27574600000003</v>
          </cell>
          <cell r="AC74">
            <v>230.00752199999997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4.8000000000000001E-2</v>
          </cell>
          <cell r="S88">
            <v>0</v>
          </cell>
          <cell r="T88">
            <v>0</v>
          </cell>
          <cell r="U88">
            <v>0</v>
          </cell>
          <cell r="V88">
            <v>4.7E-2</v>
          </cell>
          <cell r="W88">
            <v>0</v>
          </cell>
          <cell r="X88">
            <v>5.0000000000000001E-3</v>
          </cell>
          <cell r="Y88">
            <v>0.23200000000000001</v>
          </cell>
          <cell r="Z88">
            <v>2.3205750000000003</v>
          </cell>
          <cell r="AA88">
            <v>14.666532999999999</v>
          </cell>
          <cell r="AB88">
            <v>57.435666000000005</v>
          </cell>
          <cell r="AC88">
            <v>73.169354000000013</v>
          </cell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K88"/>
          <cell r="DL88"/>
          <cell r="DM88"/>
          <cell r="DN88"/>
          <cell r="DO88"/>
          <cell r="DP88"/>
          <cell r="DQ88"/>
          <cell r="DR88"/>
          <cell r="DS88"/>
          <cell r="DT88"/>
          <cell r="DU88"/>
          <cell r="DV88"/>
          <cell r="DW88"/>
          <cell r="DX88"/>
          <cell r="DY88"/>
          <cell r="DZ88"/>
          <cell r="EA88"/>
          <cell r="EB88"/>
          <cell r="EC88"/>
          <cell r="ED88"/>
          <cell r="EE88"/>
          <cell r="EF88"/>
          <cell r="EG88"/>
          <cell r="EH88"/>
          <cell r="EI88"/>
          <cell r="EJ88"/>
          <cell r="EK88"/>
          <cell r="EL88"/>
          <cell r="EM88"/>
          <cell r="EN88"/>
          <cell r="EO88"/>
          <cell r="EP88"/>
          <cell r="EQ88"/>
          <cell r="ER88"/>
          <cell r="ES88"/>
          <cell r="ET88"/>
          <cell r="EU88"/>
          <cell r="EV88"/>
          <cell r="EW88"/>
          <cell r="EX88"/>
          <cell r="EY88"/>
          <cell r="EZ88"/>
          <cell r="FA88"/>
          <cell r="FB88"/>
          <cell r="FC88"/>
          <cell r="FD88"/>
          <cell r="FE88"/>
          <cell r="FF88"/>
          <cell r="FG88"/>
          <cell r="FH88"/>
          <cell r="FI88"/>
          <cell r="FJ88"/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/>
          <cell r="GE88"/>
          <cell r="GF88"/>
          <cell r="GG88"/>
          <cell r="GH88"/>
          <cell r="GI88"/>
          <cell r="GJ88"/>
          <cell r="GK88"/>
          <cell r="GL88"/>
          <cell r="GM88"/>
          <cell r="GN88"/>
          <cell r="GO88"/>
          <cell r="GP88"/>
          <cell r="GQ88"/>
          <cell r="GR88"/>
          <cell r="GS88"/>
          <cell r="GT88"/>
          <cell r="GU88"/>
          <cell r="GV88"/>
          <cell r="GW88"/>
          <cell r="GX88"/>
          <cell r="GY88"/>
          <cell r="GZ88"/>
          <cell r="HA88"/>
          <cell r="HB88"/>
          <cell r="HC88"/>
          <cell r="HD88"/>
          <cell r="HE88"/>
          <cell r="HF88"/>
          <cell r="HG88"/>
          <cell r="HH88"/>
          <cell r="HI88"/>
          <cell r="HJ88"/>
          <cell r="HK88"/>
          <cell r="HL88"/>
          <cell r="HM88"/>
          <cell r="HN88"/>
          <cell r="HO88"/>
          <cell r="HP88"/>
          <cell r="HQ88"/>
          <cell r="HR88"/>
          <cell r="HS88"/>
          <cell r="HT88">
            <v>4.8000000000000001E-2</v>
          </cell>
          <cell r="HU88"/>
          <cell r="HV88"/>
          <cell r="HW88"/>
          <cell r="HX88"/>
          <cell r="HY88"/>
          <cell r="HZ88"/>
          <cell r="IA88"/>
          <cell r="IB88"/>
          <cell r="IC88"/>
          <cell r="ID88"/>
          <cell r="IE88"/>
          <cell r="IF88"/>
          <cell r="IG88"/>
          <cell r="IH88"/>
          <cell r="II88"/>
          <cell r="IJ88"/>
          <cell r="IK88"/>
          <cell r="IL88"/>
          <cell r="IM88"/>
          <cell r="IN88"/>
          <cell r="IO88"/>
          <cell r="IP88"/>
          <cell r="IQ88"/>
          <cell r="IR88"/>
          <cell r="IS88"/>
          <cell r="IT88"/>
          <cell r="IU88"/>
          <cell r="IV88"/>
          <cell r="IW88"/>
          <cell r="IX88"/>
          <cell r="IY88"/>
          <cell r="IZ88"/>
          <cell r="JA88"/>
          <cell r="JB88"/>
          <cell r="JC88"/>
          <cell r="JD88"/>
          <cell r="JE88"/>
          <cell r="JF88"/>
          <cell r="JG88"/>
          <cell r="JH88"/>
          <cell r="JI88"/>
          <cell r="JJ88"/>
          <cell r="JK88"/>
          <cell r="JL88"/>
          <cell r="JM88"/>
          <cell r="JN88"/>
          <cell r="JO88"/>
          <cell r="JP88"/>
          <cell r="JQ88"/>
          <cell r="JR88">
            <v>4.7E-2</v>
          </cell>
          <cell r="JS88"/>
          <cell r="JT88"/>
          <cell r="JU88"/>
          <cell r="JV88"/>
          <cell r="JW88"/>
          <cell r="JX88"/>
          <cell r="JY88"/>
          <cell r="JZ88"/>
          <cell r="KA88"/>
          <cell r="KB88"/>
          <cell r="KC88"/>
          <cell r="KD88"/>
          <cell r="KE88"/>
          <cell r="KF88"/>
          <cell r="KG88"/>
          <cell r="KH88"/>
          <cell r="KI88"/>
          <cell r="KJ88"/>
          <cell r="KK88"/>
          <cell r="KL88">
            <v>5.0000000000000001E-3</v>
          </cell>
          <cell r="KM88"/>
          <cell r="KN88"/>
          <cell r="KO88"/>
          <cell r="KP88"/>
          <cell r="KQ88"/>
          <cell r="KR88"/>
          <cell r="KS88"/>
          <cell r="KT88"/>
          <cell r="KU88"/>
          <cell r="KV88"/>
          <cell r="KW88"/>
          <cell r="KX88"/>
          <cell r="KY88">
            <v>0.01</v>
          </cell>
          <cell r="KZ88"/>
          <cell r="LA88"/>
          <cell r="LB88"/>
          <cell r="LC88"/>
          <cell r="LD88">
            <v>0.222</v>
          </cell>
          <cell r="LE88"/>
          <cell r="LF88"/>
          <cell r="LG88"/>
          <cell r="LH88">
            <v>2.002E-2</v>
          </cell>
          <cell r="LI88">
            <v>2.002E-2</v>
          </cell>
          <cell r="LJ88">
            <v>0.51846000000000003</v>
          </cell>
          <cell r="LK88">
            <v>0.38904</v>
          </cell>
          <cell r="LL88">
            <v>0.93553500000000001</v>
          </cell>
          <cell r="LM88">
            <v>0.32400000000000001</v>
          </cell>
          <cell r="LN88">
            <v>0.1135</v>
          </cell>
          <cell r="LO88"/>
          <cell r="LP88"/>
          <cell r="LQ88"/>
          <cell r="LR88"/>
          <cell r="LS88"/>
          <cell r="LT88"/>
          <cell r="LU88">
            <v>1.058829</v>
          </cell>
          <cell r="LV88">
            <v>3.40381</v>
          </cell>
          <cell r="LW88">
            <v>2.0482399999999998</v>
          </cell>
          <cell r="LX88">
            <v>1.473139</v>
          </cell>
          <cell r="LY88">
            <v>1.2010959999999999</v>
          </cell>
          <cell r="LZ88">
            <v>3.0355949999999998</v>
          </cell>
          <cell r="MA88">
            <v>2.005814</v>
          </cell>
          <cell r="MB88">
            <v>0.17901</v>
          </cell>
          <cell r="MC88">
            <v>0.26100000000000001</v>
          </cell>
          <cell r="MD88"/>
          <cell r="ME88">
            <v>2.1417600000000001</v>
          </cell>
          <cell r="MF88">
            <v>9.1641499999999994</v>
          </cell>
          <cell r="MG88">
            <v>19.626125999999999</v>
          </cell>
          <cell r="MH88">
            <v>16.893477000000001</v>
          </cell>
          <cell r="MI88">
            <v>3.47959</v>
          </cell>
          <cell r="MJ88">
            <v>2.4601799999999998</v>
          </cell>
          <cell r="MK88">
            <v>2.889583</v>
          </cell>
          <cell r="ML88">
            <v>0.65580000000000005</v>
          </cell>
          <cell r="MM88"/>
          <cell r="MN88"/>
          <cell r="MO88"/>
          <cell r="MP88">
            <v>0.125</v>
          </cell>
          <cell r="MQ88">
            <v>0.20652799999999999</v>
          </cell>
          <cell r="MR88">
            <v>5.3065800000000003</v>
          </cell>
          <cell r="MS88">
            <v>21.328924000000001</v>
          </cell>
          <cell r="MT88">
            <v>21.929321999999999</v>
          </cell>
          <cell r="MU88">
            <v>9.3680000000000003</v>
          </cell>
          <cell r="MV88">
            <v>1.627</v>
          </cell>
          <cell r="MW88">
            <v>9.6280000000000001</v>
          </cell>
          <cell r="MX88">
            <v>1.06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AA104">
            <v>0.18565000000000001</v>
          </cell>
          <cell r="AB104">
            <v>0</v>
          </cell>
          <cell r="AC104">
            <v>0</v>
          </cell>
          <cell r="AD104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4.7831000000000001</v>
          </cell>
          <cell r="F107">
            <v>23.510870000000001</v>
          </cell>
          <cell r="G107">
            <v>1.9156500000000001</v>
          </cell>
          <cell r="H107">
            <v>8.4494310000000006</v>
          </cell>
          <cell r="I107">
            <v>8.7130299999999998</v>
          </cell>
          <cell r="J107">
            <v>1.92916</v>
          </cell>
          <cell r="K107">
            <v>1.863</v>
          </cell>
          <cell r="L107">
            <v>2.2459999999999996</v>
          </cell>
          <cell r="M107">
            <v>3.649</v>
          </cell>
          <cell r="N107">
            <v>7.870000000000001</v>
          </cell>
          <cell r="O107">
            <v>6.3E-2</v>
          </cell>
          <cell r="P107">
            <v>4.9999999999999989E-2</v>
          </cell>
          <cell r="Q107">
            <v>2.2199999999999998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1E-3</v>
          </cell>
          <cell r="X107">
            <v>3.0000000000000001E-3</v>
          </cell>
          <cell r="Y107">
            <v>3.0000000000000001E-3</v>
          </cell>
          <cell r="Z107">
            <v>6.1399999999999996E-4</v>
          </cell>
          <cell r="AA107">
            <v>9.2394000000000004E-2</v>
          </cell>
          <cell r="AB107">
            <v>7.2902999999999996E-2</v>
          </cell>
          <cell r="AC107">
            <v>0</v>
          </cell>
          <cell r="AD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1.2E-2</v>
          </cell>
          <cell r="Z108">
            <v>0.05</v>
          </cell>
          <cell r="AA108">
            <v>0.05</v>
          </cell>
          <cell r="AB108">
            <v>0</v>
          </cell>
          <cell r="AC108">
            <v>4.0000000000000002E-4</v>
          </cell>
          <cell r="AD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1E-3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0.82540000000000002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1.7891440000000001</v>
          </cell>
          <cell r="I146">
            <v>12.986272</v>
          </cell>
          <cell r="J146">
            <v>0</v>
          </cell>
          <cell r="K146">
            <v>6.0350000000000001</v>
          </cell>
          <cell r="L146">
            <v>0</v>
          </cell>
          <cell r="M146">
            <v>0</v>
          </cell>
          <cell r="N146">
            <v>6.3769999999999998</v>
          </cell>
          <cell r="O146">
            <v>0</v>
          </cell>
          <cell r="P146">
            <v>2.6619999999999999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6.8999999999999999E-3</v>
          </cell>
          <cell r="AB147">
            <v>0</v>
          </cell>
          <cell r="AC147">
            <v>0</v>
          </cell>
          <cell r="AD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5.0150000000000004E-3</v>
          </cell>
          <cell r="AC148">
            <v>0</v>
          </cell>
          <cell r="AD148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121.54241400000001</v>
          </cell>
          <cell r="F151">
            <v>270.38422200000002</v>
          </cell>
          <cell r="G151">
            <v>343.11110900000006</v>
          </cell>
          <cell r="H151">
            <v>287.73335600000007</v>
          </cell>
          <cell r="I151">
            <v>250.88075499999999</v>
          </cell>
          <cell r="J151">
            <v>1.8099000000000001</v>
          </cell>
          <cell r="K151">
            <v>25.997</v>
          </cell>
          <cell r="L151">
            <v>124.773</v>
          </cell>
          <cell r="M151">
            <v>11.19</v>
          </cell>
          <cell r="N151">
            <v>87.524999999999991</v>
          </cell>
          <cell r="O151">
            <v>5.2999999999999999E-2</v>
          </cell>
          <cell r="P151">
            <v>0</v>
          </cell>
          <cell r="Q151">
            <v>9.8049999999999997</v>
          </cell>
          <cell r="R151">
            <v>0</v>
          </cell>
          <cell r="S151">
            <v>0</v>
          </cell>
          <cell r="T151">
            <v>276.97300000000001</v>
          </cell>
          <cell r="U151">
            <v>12.540000000000001</v>
          </cell>
          <cell r="V151">
            <v>74.483000000000004</v>
          </cell>
          <cell r="W151">
            <v>22.027000000000005</v>
          </cell>
          <cell r="X151">
            <v>34.262999999999998</v>
          </cell>
          <cell r="Y151">
            <v>229.17834400000001</v>
          </cell>
          <cell r="Z151">
            <v>20.824230000000004</v>
          </cell>
          <cell r="AA151">
            <v>207.481041</v>
          </cell>
          <cell r="AB151">
            <v>573.10862299999997</v>
          </cell>
          <cell r="AC151">
            <v>156.38361999999998</v>
          </cell>
          <cell r="AD151">
            <v>2.2666000000000002E-2</v>
          </cell>
          <cell r="BS151">
            <v>14.597340000000001</v>
          </cell>
          <cell r="BT151">
            <v>12.305</v>
          </cell>
          <cell r="BU151">
            <v>28.597083999999999</v>
          </cell>
          <cell r="BV151">
            <v>21.883626</v>
          </cell>
          <cell r="BW151">
            <v>12.974399999999999</v>
          </cell>
          <cell r="BX151">
            <v>8.8201809999999998</v>
          </cell>
          <cell r="BY151">
            <v>2.9413900000000002</v>
          </cell>
          <cell r="BZ151"/>
          <cell r="CA151">
            <v>19.423393000000001</v>
          </cell>
          <cell r="CB151">
            <v>47.652437999999997</v>
          </cell>
          <cell r="CC151">
            <v>60.047384999999998</v>
          </cell>
          <cell r="CD151">
            <v>41.557380999999999</v>
          </cell>
          <cell r="CE151">
            <v>17.796987999999999</v>
          </cell>
          <cell r="CF151">
            <v>12.867592999999999</v>
          </cell>
          <cell r="CG151">
            <v>20.063488</v>
          </cell>
          <cell r="CH151">
            <v>24.671724999999999</v>
          </cell>
          <cell r="CI151">
            <v>14.165778</v>
          </cell>
          <cell r="CJ151">
            <v>5.2625770000000003</v>
          </cell>
          <cell r="CK151">
            <v>6.8754759999999999</v>
          </cell>
          <cell r="CL151"/>
          <cell r="CM151">
            <v>17.795169999999999</v>
          </cell>
          <cell r="CN151">
            <v>148.87832700000001</v>
          </cell>
          <cell r="CO151">
            <v>78.980180000000004</v>
          </cell>
          <cell r="CP151">
            <v>47.471846999999997</v>
          </cell>
          <cell r="CQ151">
            <v>40.257919999999999</v>
          </cell>
          <cell r="CR151">
            <v>6.36036</v>
          </cell>
          <cell r="CS151">
            <v>3.1158549999999998</v>
          </cell>
          <cell r="CT151">
            <v>0.25145000000000001</v>
          </cell>
          <cell r="CU151"/>
          <cell r="CV151"/>
          <cell r="CW151"/>
          <cell r="CX151"/>
          <cell r="CY151"/>
          <cell r="CZ151">
            <v>6.0820160000000003</v>
          </cell>
          <cell r="DA151">
            <v>55.793872</v>
          </cell>
          <cell r="DB151">
            <v>28.84957</v>
          </cell>
          <cell r="DC151">
            <v>20.689468999999999</v>
          </cell>
          <cell r="DD151">
            <v>41.616022000000001</v>
          </cell>
          <cell r="DE151">
            <v>45.793480000000002</v>
          </cell>
          <cell r="DF151">
            <v>28.460864000000001</v>
          </cell>
          <cell r="DG151">
            <v>22.118805999999999</v>
          </cell>
          <cell r="DH151">
            <v>19.990425999999999</v>
          </cell>
          <cell r="DI151">
            <v>14.314069999999999</v>
          </cell>
          <cell r="DJ151">
            <v>4.0247609999999998</v>
          </cell>
          <cell r="DK151">
            <v>11.05664</v>
          </cell>
          <cell r="DL151">
            <v>65.996453000000002</v>
          </cell>
          <cell r="DM151">
            <v>89.903267</v>
          </cell>
          <cell r="DN151">
            <v>58.164098000000003</v>
          </cell>
          <cell r="DO151">
            <v>9.3665839999999996</v>
          </cell>
          <cell r="DP151">
            <v>16.393713000000002</v>
          </cell>
          <cell r="DQ151"/>
          <cell r="DR151"/>
          <cell r="DS151"/>
          <cell r="DT151"/>
          <cell r="DU151"/>
          <cell r="DV151"/>
          <cell r="DW151"/>
          <cell r="DX151"/>
          <cell r="DY151">
            <v>1.8099000000000001</v>
          </cell>
          <cell r="DZ151"/>
          <cell r="EA151"/>
          <cell r="EB151"/>
          <cell r="EC151"/>
          <cell r="ED151"/>
          <cell r="EE151"/>
          <cell r="EF151"/>
          <cell r="EG151"/>
          <cell r="EH151"/>
          <cell r="EI151"/>
          <cell r="EJ151">
            <v>3.7850000000000001</v>
          </cell>
          <cell r="EK151">
            <v>0.94899999999999995</v>
          </cell>
          <cell r="EL151"/>
          <cell r="EM151">
            <v>3.9540000000000002</v>
          </cell>
          <cell r="EN151"/>
          <cell r="EO151">
            <v>12.236000000000001</v>
          </cell>
          <cell r="EP151">
            <v>2.2410000000000001</v>
          </cell>
          <cell r="EQ151">
            <v>1.8</v>
          </cell>
          <cell r="ER151">
            <v>1.032</v>
          </cell>
          <cell r="ES151"/>
          <cell r="ET151"/>
          <cell r="EU151"/>
          <cell r="EV151">
            <v>16.878</v>
          </cell>
          <cell r="EW151">
            <v>39.302999999999997</v>
          </cell>
          <cell r="EX151">
            <v>29.664000000000001</v>
          </cell>
          <cell r="EY151">
            <v>14.473000000000001</v>
          </cell>
          <cell r="EZ151">
            <v>7.5919999999999996</v>
          </cell>
          <cell r="FA151">
            <v>5.1989999999999998</v>
          </cell>
          <cell r="FB151">
            <v>7.6639999999999997</v>
          </cell>
          <cell r="FC151"/>
          <cell r="FD151"/>
          <cell r="FE151">
            <v>4</v>
          </cell>
          <cell r="FF151"/>
          <cell r="FG151"/>
          <cell r="FH151"/>
          <cell r="FI151"/>
          <cell r="FJ151"/>
          <cell r="FK151"/>
          <cell r="FL151"/>
          <cell r="FM151"/>
          <cell r="FN151">
            <v>3.7349999999999999</v>
          </cell>
          <cell r="FO151">
            <v>7.4550000000000001</v>
          </cell>
          <cell r="FP151"/>
          <cell r="FQ151"/>
          <cell r="FR151"/>
          <cell r="FS151">
            <v>3.8239999999999998</v>
          </cell>
          <cell r="FT151">
            <v>11.763999999999999</v>
          </cell>
          <cell r="FU151">
            <v>9.2829999999999995</v>
          </cell>
          <cell r="FV151">
            <v>30.224</v>
          </cell>
          <cell r="FW151">
            <v>7.4249999999999998</v>
          </cell>
          <cell r="FX151"/>
          <cell r="FY151">
            <v>13.763999999999999</v>
          </cell>
          <cell r="FZ151">
            <v>9.6440000000000001</v>
          </cell>
          <cell r="GA151"/>
          <cell r="GB151">
            <v>1.597</v>
          </cell>
          <cell r="GC151"/>
          <cell r="GD151"/>
          <cell r="GE151"/>
          <cell r="GF151"/>
          <cell r="GG151"/>
          <cell r="GH151"/>
          <cell r="GI151"/>
          <cell r="GJ151"/>
          <cell r="GK151">
            <v>5.2999999999999999E-2</v>
          </cell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>
            <v>3.9390000000000001</v>
          </cell>
          <cell r="HF151">
            <v>5.8659999999999997</v>
          </cell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>
            <v>4.6980000000000004</v>
          </cell>
          <cell r="IO151">
            <v>22.712</v>
          </cell>
          <cell r="IP151">
            <v>67.650000000000006</v>
          </cell>
          <cell r="IQ151">
            <v>18.684000000000001</v>
          </cell>
          <cell r="IR151">
            <v>4.5289999999999999</v>
          </cell>
          <cell r="IS151">
            <v>11.63</v>
          </cell>
          <cell r="IT151">
            <v>68.822999999999993</v>
          </cell>
          <cell r="IU151">
            <v>53.828000000000003</v>
          </cell>
          <cell r="IV151">
            <v>15.664</v>
          </cell>
          <cell r="IW151">
            <v>8.734</v>
          </cell>
          <cell r="IX151">
            <v>2.1000000000000001E-2</v>
          </cell>
          <cell r="IY151">
            <v>7.6630000000000003</v>
          </cell>
          <cell r="IZ151">
            <v>2.5310000000000001</v>
          </cell>
          <cell r="JA151"/>
          <cell r="JB151">
            <v>1.66</v>
          </cell>
          <cell r="JC151"/>
          <cell r="JD151"/>
          <cell r="JE151"/>
          <cell r="JF151"/>
          <cell r="JG151"/>
          <cell r="JH151">
            <v>0.34899999999999998</v>
          </cell>
          <cell r="JI151">
            <v>0.33700000000000002</v>
          </cell>
          <cell r="JJ151"/>
          <cell r="JK151"/>
          <cell r="JL151"/>
          <cell r="JM151">
            <v>18.780999999999999</v>
          </cell>
          <cell r="JN151">
            <v>15.452999999999999</v>
          </cell>
          <cell r="JO151">
            <v>8.5609999999999999</v>
          </cell>
          <cell r="JP151">
            <v>6.18</v>
          </cell>
          <cell r="JQ151">
            <v>9.4149999999999991</v>
          </cell>
          <cell r="JR151">
            <v>8.3789999999999996</v>
          </cell>
          <cell r="JS151">
            <v>6.0579999999999998</v>
          </cell>
          <cell r="JT151">
            <v>1.6559999999999999</v>
          </cell>
          <cell r="JU151"/>
          <cell r="JV151"/>
          <cell r="JW151"/>
          <cell r="JX151"/>
          <cell r="JY151"/>
          <cell r="JZ151">
            <v>4.03</v>
          </cell>
          <cell r="KA151">
            <v>4.5869999999999997</v>
          </cell>
          <cell r="KB151">
            <v>11.284000000000001</v>
          </cell>
          <cell r="KC151">
            <v>1.0900000000000001</v>
          </cell>
          <cell r="KD151">
            <v>1.036</v>
          </cell>
          <cell r="KE151"/>
          <cell r="KF151"/>
          <cell r="KG151"/>
          <cell r="KH151"/>
          <cell r="KI151"/>
          <cell r="KJ151"/>
          <cell r="KK151"/>
          <cell r="KL151">
            <v>1.151</v>
          </cell>
          <cell r="KM151">
            <v>0.54500000000000004</v>
          </cell>
          <cell r="KN151">
            <v>7.1020000000000003</v>
          </cell>
          <cell r="KO151">
            <v>0.80600000000000005</v>
          </cell>
          <cell r="KP151">
            <v>7.5519999999999996</v>
          </cell>
          <cell r="KQ151">
            <v>8.2029999999999994</v>
          </cell>
          <cell r="KR151">
            <v>8.9039999999999999</v>
          </cell>
          <cell r="KS151"/>
          <cell r="KT151"/>
          <cell r="KU151">
            <v>2.278</v>
          </cell>
          <cell r="KV151">
            <v>8.1989999999999998</v>
          </cell>
          <cell r="KW151">
            <v>21.474</v>
          </cell>
          <cell r="KX151">
            <v>16.036000000000001</v>
          </cell>
          <cell r="KY151">
            <v>4.2409999999999997</v>
          </cell>
          <cell r="KZ151">
            <v>13.680999999999999</v>
          </cell>
          <cell r="LA151">
            <v>33.573</v>
          </cell>
          <cell r="LB151">
            <v>45.18</v>
          </cell>
          <cell r="LC151">
            <v>66.491</v>
          </cell>
          <cell r="LD151">
            <v>17.779</v>
          </cell>
          <cell r="LE151">
            <v>1.512E-2</v>
          </cell>
          <cell r="LF151">
            <v>0.23122400000000001</v>
          </cell>
          <cell r="LG151">
            <v>0.25025999999999998</v>
          </cell>
          <cell r="LH151"/>
          <cell r="LI151">
            <v>15.76876</v>
          </cell>
          <cell r="LJ151">
            <v>3.8206600000000002</v>
          </cell>
          <cell r="LK151">
            <v>0.98355000000000004</v>
          </cell>
          <cell r="LL151">
            <v>1E-3</v>
          </cell>
          <cell r="LM151"/>
          <cell r="LN151"/>
          <cell r="LO151"/>
          <cell r="LP151"/>
          <cell r="LQ151"/>
          <cell r="LR151"/>
          <cell r="LS151"/>
          <cell r="LT151">
            <v>0.23183999999999999</v>
          </cell>
          <cell r="LU151"/>
          <cell r="LV151"/>
          <cell r="LW151"/>
          <cell r="LX151"/>
          <cell r="LY151">
            <v>7.9807899999999998</v>
          </cell>
          <cell r="LZ151">
            <v>20.432096999999999</v>
          </cell>
          <cell r="MA151">
            <v>55.890256000000001</v>
          </cell>
          <cell r="MB151">
            <v>99.757819999999995</v>
          </cell>
          <cell r="MC151">
            <v>23.188237999999998</v>
          </cell>
          <cell r="MD151"/>
          <cell r="ME151"/>
          <cell r="MF151">
            <v>36.660910000000001</v>
          </cell>
          <cell r="MG151">
            <v>26.971219999999999</v>
          </cell>
          <cell r="MH151">
            <v>80.180850000000007</v>
          </cell>
          <cell r="MI151">
            <v>81.135881999999995</v>
          </cell>
          <cell r="MJ151">
            <v>85.512023999999997</v>
          </cell>
          <cell r="MK151">
            <v>162.785293</v>
          </cell>
          <cell r="ML151">
            <v>55.262692999999999</v>
          </cell>
          <cell r="MM151">
            <v>37.063710999999998</v>
          </cell>
          <cell r="MN151">
            <v>7.5360399999999998</v>
          </cell>
          <cell r="MO151"/>
          <cell r="MP151"/>
          <cell r="MQ151">
            <v>8.6656399999999998</v>
          </cell>
          <cell r="MR151">
            <v>47.599857999999998</v>
          </cell>
          <cell r="MS151">
            <v>61.857627999999998</v>
          </cell>
          <cell r="MT151">
            <v>38.260489999999997</v>
          </cell>
          <cell r="MU151"/>
          <cell r="MV151"/>
          <cell r="MW151"/>
          <cell r="MX151">
            <v>3.9999999999999998E-6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0.96099999999999997</v>
          </cell>
          <cell r="W156">
            <v>1.7999999999999999E-2</v>
          </cell>
          <cell r="X156">
            <v>7.0999999999999994E-2</v>
          </cell>
          <cell r="Y156">
            <v>1.8000000000000002E-2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9.3802500000000002</v>
          </cell>
          <cell r="F164">
            <v>1.9319999999999999</v>
          </cell>
          <cell r="G164">
            <v>0</v>
          </cell>
          <cell r="H164">
            <v>0</v>
          </cell>
          <cell r="I164">
            <v>5.4165139999999994</v>
          </cell>
          <cell r="J164">
            <v>0</v>
          </cell>
          <cell r="K164">
            <v>1.6960000000000002</v>
          </cell>
          <cell r="L164">
            <v>0</v>
          </cell>
          <cell r="M164">
            <v>0</v>
          </cell>
          <cell r="N164">
            <v>18.352</v>
          </cell>
          <cell r="O164">
            <v>4.1100000000000003</v>
          </cell>
          <cell r="P164">
            <v>0</v>
          </cell>
          <cell r="Q164">
            <v>45.012999999999998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7.0000000000000001E-3</v>
          </cell>
          <cell r="X164">
            <v>0</v>
          </cell>
          <cell r="Y164">
            <v>0</v>
          </cell>
          <cell r="Z164">
            <v>0</v>
          </cell>
          <cell r="AA164">
            <v>0.41495999999999994</v>
          </cell>
          <cell r="AB164">
            <v>4.9634389999999993</v>
          </cell>
          <cell r="AC164">
            <v>6.6263800000000002</v>
          </cell>
          <cell r="AD164">
            <v>0.75226000000000004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1.9319999999999999</v>
          </cell>
          <cell r="G184">
            <v>0</v>
          </cell>
          <cell r="H184">
            <v>0</v>
          </cell>
          <cell r="I184">
            <v>5.4165139999999994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7.0000000000000001E-3</v>
          </cell>
          <cell r="X184">
            <v>0</v>
          </cell>
          <cell r="Y184">
            <v>0</v>
          </cell>
          <cell r="Z184">
            <v>0</v>
          </cell>
          <cell r="AA184">
            <v>0.41447999999999996</v>
          </cell>
          <cell r="AB184">
            <v>0</v>
          </cell>
          <cell r="AC184">
            <v>0</v>
          </cell>
          <cell r="AD184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9.3802500000000002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18.352</v>
          </cell>
          <cell r="O207">
            <v>4.1100000000000003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45.012999999999998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1.6960000000000002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27.437919000000001</v>
          </cell>
          <cell r="F231">
            <v>43.952057999999994</v>
          </cell>
          <cell r="G231">
            <v>21.516266000000002</v>
          </cell>
          <cell r="H231">
            <v>0</v>
          </cell>
          <cell r="I231">
            <v>1.55541</v>
          </cell>
          <cell r="J231">
            <v>1E-3</v>
          </cell>
          <cell r="K231">
            <v>0</v>
          </cell>
          <cell r="L231">
            <v>1E-3</v>
          </cell>
          <cell r="M231">
            <v>0</v>
          </cell>
          <cell r="N231">
            <v>2.1000000000000001E-2</v>
          </cell>
          <cell r="O231">
            <v>1E-3</v>
          </cell>
          <cell r="P231">
            <v>0</v>
          </cell>
          <cell r="Q231">
            <v>0.02</v>
          </cell>
          <cell r="R231">
            <v>0</v>
          </cell>
          <cell r="S231">
            <v>4.0000000000000001E-3</v>
          </cell>
          <cell r="T231">
            <v>0</v>
          </cell>
          <cell r="U231">
            <v>0.14399999999999999</v>
          </cell>
          <cell r="V231">
            <v>2.7E-2</v>
          </cell>
          <cell r="W231">
            <v>4.5999999999999999E-2</v>
          </cell>
          <cell r="X231">
            <v>2.4E-2</v>
          </cell>
          <cell r="Y231">
            <v>6.9000000000000006E-2</v>
          </cell>
          <cell r="Z231">
            <v>0.188307</v>
          </cell>
          <cell r="AA231">
            <v>0.21559999999999996</v>
          </cell>
          <cell r="AB231">
            <v>0.254</v>
          </cell>
          <cell r="AC231">
            <v>3.9175000000000001E-2</v>
          </cell>
          <cell r="AD231">
            <v>2.1000000000000001E-2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8.2581620000000004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1E-3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3.0699999999999998E-4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0.05</v>
          </cell>
          <cell r="AA266">
            <v>0</v>
          </cell>
          <cell r="AB266">
            <v>0.20799999999999999</v>
          </cell>
          <cell r="AC266">
            <v>0</v>
          </cell>
          <cell r="AD266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19.479829000000002</v>
          </cell>
          <cell r="F284">
            <v>25.746325999999996</v>
          </cell>
          <cell r="G284">
            <v>12.667566000000001</v>
          </cell>
          <cell r="H284">
            <v>0</v>
          </cell>
          <cell r="I284">
            <v>1.55541</v>
          </cell>
          <cell r="J284">
            <v>0</v>
          </cell>
          <cell r="K284">
            <v>0</v>
          </cell>
          <cell r="L284">
            <v>1E-3</v>
          </cell>
          <cell r="M284">
            <v>0</v>
          </cell>
          <cell r="N284">
            <v>2.1000000000000001E-2</v>
          </cell>
          <cell r="O284">
            <v>1E-3</v>
          </cell>
          <cell r="P284">
            <v>0</v>
          </cell>
          <cell r="Q284">
            <v>0.02</v>
          </cell>
          <cell r="R284">
            <v>0</v>
          </cell>
          <cell r="S284">
            <v>4.0000000000000001E-3</v>
          </cell>
          <cell r="T284">
            <v>0</v>
          </cell>
          <cell r="U284">
            <v>1.7999999999999999E-2</v>
          </cell>
          <cell r="V284">
            <v>2.7E-2</v>
          </cell>
          <cell r="W284">
            <v>4.5999999999999999E-2</v>
          </cell>
          <cell r="X284">
            <v>2.4E-2</v>
          </cell>
          <cell r="Y284">
            <v>6.9000000000000006E-2</v>
          </cell>
          <cell r="Z284">
            <v>0.13799999999999998</v>
          </cell>
          <cell r="AA284">
            <v>0.18119999999999997</v>
          </cell>
          <cell r="AB284">
            <v>4.5999999999999999E-2</v>
          </cell>
          <cell r="AC284">
            <v>2.1999999999999999E-2</v>
          </cell>
          <cell r="AD284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</row>
        <row r="290">
          <cell r="BC290">
            <v>2</v>
          </cell>
          <cell r="BD290">
            <v>61</v>
          </cell>
          <cell r="BE290">
            <v>114</v>
          </cell>
          <cell r="BF290">
            <v>155</v>
          </cell>
          <cell r="BG290">
            <v>116</v>
          </cell>
          <cell r="BH290">
            <v>111</v>
          </cell>
          <cell r="BI290">
            <v>140</v>
          </cell>
          <cell r="BJ290">
            <v>168</v>
          </cell>
          <cell r="BK290">
            <v>133</v>
          </cell>
          <cell r="BL290">
            <v>94</v>
          </cell>
          <cell r="BM290">
            <v>65</v>
          </cell>
          <cell r="BN290">
            <v>51</v>
          </cell>
          <cell r="BO290">
            <v>60</v>
          </cell>
          <cell r="BP290">
            <v>235</v>
          </cell>
          <cell r="BQ290">
            <v>316</v>
          </cell>
          <cell r="BR290">
            <v>216</v>
          </cell>
          <cell r="BS290">
            <v>142.97617600000001</v>
          </cell>
          <cell r="BT290">
            <v>74.153741999999994</v>
          </cell>
          <cell r="BU290">
            <v>99.815567000000001</v>
          </cell>
          <cell r="BV290">
            <v>67.385560999999996</v>
          </cell>
          <cell r="BW290">
            <v>24.497064999999999</v>
          </cell>
          <cell r="BX290">
            <v>11.108934</v>
          </cell>
          <cell r="BY290">
            <v>5.1324860000000001</v>
          </cell>
          <cell r="BZ290">
            <v>0</v>
          </cell>
          <cell r="CA290">
            <v>31.861922</v>
          </cell>
          <cell r="CB290">
            <v>135.67334399999999</v>
          </cell>
          <cell r="CC290">
            <v>237.727745</v>
          </cell>
          <cell r="CD290">
            <v>218.83521200000001</v>
          </cell>
          <cell r="CE290">
            <v>95.779572999999999</v>
          </cell>
          <cell r="CF290">
            <v>79.512466000000003</v>
          </cell>
          <cell r="CG290">
            <v>43.281413000000001</v>
          </cell>
          <cell r="CH290">
            <v>38.983021000000001</v>
          </cell>
          <cell r="CI290">
            <v>34.078111</v>
          </cell>
          <cell r="CJ290">
            <v>16.988274000000001</v>
          </cell>
          <cell r="CK290">
            <v>6.9174759999999997</v>
          </cell>
          <cell r="CL290">
            <v>7.2679999999999995E-2</v>
          </cell>
          <cell r="CM290">
            <v>27.668130000000001</v>
          </cell>
          <cell r="CN290">
            <v>288.52877599999999</v>
          </cell>
          <cell r="CO290">
            <v>276.18699299999997</v>
          </cell>
          <cell r="CP290">
            <v>199.242852</v>
          </cell>
          <cell r="CQ290">
            <v>86.712318999999994</v>
          </cell>
          <cell r="CR290">
            <v>13.267483</v>
          </cell>
          <cell r="CS290">
            <v>5.7908549999999996</v>
          </cell>
          <cell r="CT290">
            <v>0.27944999999999998</v>
          </cell>
          <cell r="CU290">
            <v>0.1305</v>
          </cell>
          <cell r="CV290">
            <v>5.8400000000000001E-2</v>
          </cell>
          <cell r="CW290">
            <v>0.153</v>
          </cell>
          <cell r="CX290">
            <v>0</v>
          </cell>
          <cell r="CY290">
            <v>0</v>
          </cell>
          <cell r="CZ290">
            <v>17.906452000000002</v>
          </cell>
          <cell r="DA290">
            <v>99.229028999999997</v>
          </cell>
          <cell r="DB290">
            <v>88.535425000000004</v>
          </cell>
          <cell r="DC290">
            <v>52.996431000000001</v>
          </cell>
          <cell r="DD290">
            <v>126.665989</v>
          </cell>
          <cell r="DE290">
            <v>111.97575399999999</v>
          </cell>
          <cell r="DF290">
            <v>103.912216</v>
          </cell>
          <cell r="DG290">
            <v>117.53833299999999</v>
          </cell>
          <cell r="DH290">
            <v>66.722898999999998</v>
          </cell>
          <cell r="DI290">
            <v>47.695962000000002</v>
          </cell>
          <cell r="DJ290">
            <v>14.059111</v>
          </cell>
          <cell r="DK290">
            <v>11.143368000000001</v>
          </cell>
          <cell r="DL290">
            <v>99.879821000000007</v>
          </cell>
          <cell r="DM290">
            <v>174.46945299999999</v>
          </cell>
          <cell r="DN290">
            <v>187.47681700000001</v>
          </cell>
          <cell r="DO290">
            <v>69.089813000000007</v>
          </cell>
          <cell r="DP290">
            <v>104.111175</v>
          </cell>
          <cell r="DQ290">
            <v>35.313966999999998</v>
          </cell>
          <cell r="DR290">
            <v>41.421241999999999</v>
          </cell>
          <cell r="DS290">
            <v>5.9562109999999997</v>
          </cell>
          <cell r="DT290">
            <v>0.466555</v>
          </cell>
          <cell r="DU290">
            <v>1.7319999999999999E-2</v>
          </cell>
          <cell r="DV290">
            <v>0</v>
          </cell>
          <cell r="DW290">
            <v>1.6603E-2</v>
          </cell>
          <cell r="DX290">
            <v>5.8516599999999999</v>
          </cell>
          <cell r="DY290">
            <v>3.6299000000000001</v>
          </cell>
          <cell r="DZ290">
            <v>3.8164099999999999</v>
          </cell>
          <cell r="EA290">
            <v>1.7290000000000001</v>
          </cell>
          <cell r="EB290">
            <v>2.81</v>
          </cell>
          <cell r="EC290">
            <v>1.4999999999999999E-2</v>
          </cell>
          <cell r="ED290">
            <v>3.1E-2</v>
          </cell>
          <cell r="EE290">
            <v>7.0000000000000001E-3</v>
          </cell>
          <cell r="EF290">
            <v>1.2E-2</v>
          </cell>
          <cell r="EG290">
            <v>1.2E-2</v>
          </cell>
          <cell r="EH290">
            <v>1E-3</v>
          </cell>
          <cell r="EI290">
            <v>0</v>
          </cell>
          <cell r="EJ290">
            <v>17.773</v>
          </cell>
          <cell r="EK290">
            <v>46.137</v>
          </cell>
          <cell r="EL290">
            <v>17.187000000000001</v>
          </cell>
          <cell r="EM290">
            <v>18.32</v>
          </cell>
          <cell r="EN290">
            <v>16.347000000000001</v>
          </cell>
          <cell r="EO290">
            <v>23.352</v>
          </cell>
          <cell r="EP290">
            <v>15.612</v>
          </cell>
          <cell r="EQ290">
            <v>29.47</v>
          </cell>
          <cell r="ER290">
            <v>1.29</v>
          </cell>
          <cell r="ES290">
            <v>6.7000000000000004E-2</v>
          </cell>
          <cell r="ET290">
            <v>0</v>
          </cell>
          <cell r="EU290">
            <v>0</v>
          </cell>
          <cell r="EV290">
            <v>24.116</v>
          </cell>
          <cell r="EW290">
            <v>78.028999999999996</v>
          </cell>
          <cell r="EX290">
            <v>85.363</v>
          </cell>
          <cell r="EY290">
            <v>43.198999999999998</v>
          </cell>
          <cell r="EZ290">
            <v>21.373999999999999</v>
          </cell>
          <cell r="FA290">
            <v>23.478000000000002</v>
          </cell>
          <cell r="FB290">
            <v>19.776</v>
          </cell>
          <cell r="FC290">
            <v>11.244999999999999</v>
          </cell>
          <cell r="FD290">
            <v>3.1E-2</v>
          </cell>
          <cell r="FE290">
            <v>4.0229999999999997</v>
          </cell>
          <cell r="FF290">
            <v>3.0499999999999999E-4</v>
          </cell>
          <cell r="FG290">
            <v>0.02</v>
          </cell>
          <cell r="FH290">
            <v>0.29799999999999999</v>
          </cell>
          <cell r="FI290">
            <v>0.16900000000000001</v>
          </cell>
          <cell r="FJ290">
            <v>0.84</v>
          </cell>
          <cell r="FK290">
            <v>0.108</v>
          </cell>
          <cell r="FL290">
            <v>0.27</v>
          </cell>
          <cell r="FM290">
            <v>0.32200000000000001</v>
          </cell>
          <cell r="FN290">
            <v>15.712999999999999</v>
          </cell>
          <cell r="FO290">
            <v>13.804</v>
          </cell>
          <cell r="FP290">
            <v>2.9670000000000001</v>
          </cell>
          <cell r="FQ290">
            <v>7.2610000000000001</v>
          </cell>
          <cell r="FR290">
            <v>3.27</v>
          </cell>
          <cell r="FS290">
            <v>15.586</v>
          </cell>
          <cell r="FT290">
            <v>35.616999999999997</v>
          </cell>
          <cell r="FU290">
            <v>85.978999999999999</v>
          </cell>
          <cell r="FV290">
            <v>103.864</v>
          </cell>
          <cell r="FW290">
            <v>22.902000000000001</v>
          </cell>
          <cell r="FX290">
            <v>9.3490000000000002</v>
          </cell>
          <cell r="FY290">
            <v>57.616999999999997</v>
          </cell>
          <cell r="FZ290">
            <v>30.722999999999999</v>
          </cell>
          <cell r="GA290">
            <v>16.678999999999998</v>
          </cell>
          <cell r="GB290">
            <v>5.97</v>
          </cell>
          <cell r="GC290">
            <v>5.1749999999999998</v>
          </cell>
          <cell r="GD290">
            <v>6.1909999999999998</v>
          </cell>
          <cell r="GE290">
            <v>4.1029999999999998</v>
          </cell>
          <cell r="GF290">
            <v>20.956</v>
          </cell>
          <cell r="GG290">
            <v>13.226000000000001</v>
          </cell>
          <cell r="GH290">
            <v>40.643000000000001</v>
          </cell>
          <cell r="GI290">
            <v>12.676</v>
          </cell>
          <cell r="GJ290">
            <v>17.393000000000001</v>
          </cell>
          <cell r="GK290">
            <v>21.92</v>
          </cell>
          <cell r="GL290">
            <v>14.811</v>
          </cell>
          <cell r="GM290">
            <v>4.8710000000000004</v>
          </cell>
          <cell r="GN290">
            <v>3.476</v>
          </cell>
          <cell r="GO290">
            <v>4.5590000000000002</v>
          </cell>
          <cell r="GP290">
            <v>3.4729999999999999</v>
          </cell>
          <cell r="GQ290">
            <v>3.609</v>
          </cell>
          <cell r="GR290">
            <v>1.4239999999999999</v>
          </cell>
          <cell r="GS290">
            <v>6.6980000000000004</v>
          </cell>
          <cell r="GT290">
            <v>4.407</v>
          </cell>
          <cell r="GU290">
            <v>1.671</v>
          </cell>
          <cell r="GV290">
            <v>2.78</v>
          </cell>
          <cell r="GW290">
            <v>2.7210000000000001</v>
          </cell>
          <cell r="GX290">
            <v>4.718</v>
          </cell>
          <cell r="GY290">
            <v>3.7090000000000001</v>
          </cell>
          <cell r="GZ290">
            <v>3.6429999999999998</v>
          </cell>
          <cell r="HA290">
            <v>1.0429999999999999</v>
          </cell>
          <cell r="HB290">
            <v>0.44700000000000001</v>
          </cell>
          <cell r="HC290">
            <v>0.38</v>
          </cell>
          <cell r="HD290">
            <v>0.85099999999999998</v>
          </cell>
          <cell r="HE290">
            <v>17.855</v>
          </cell>
          <cell r="HF290">
            <v>45.209000000000003</v>
          </cell>
          <cell r="HG290">
            <v>32.119</v>
          </cell>
          <cell r="HH290">
            <v>7.1829999999999998</v>
          </cell>
          <cell r="HI290">
            <v>31.523</v>
          </cell>
          <cell r="HJ290">
            <v>7.9809999999999999</v>
          </cell>
          <cell r="HK290">
            <v>1.333</v>
          </cell>
          <cell r="HL290">
            <v>4.3940000000000001</v>
          </cell>
          <cell r="HM290">
            <v>7.41</v>
          </cell>
          <cell r="HN290">
            <v>3.4529999999999998</v>
          </cell>
          <cell r="HO290">
            <v>2.109</v>
          </cell>
          <cell r="HP290">
            <v>4.157</v>
          </cell>
          <cell r="HQ290">
            <v>0.99399999999999999</v>
          </cell>
          <cell r="HR290">
            <v>0.41799999999999998</v>
          </cell>
          <cell r="HS290">
            <v>8.5999999999999993E-2</v>
          </cell>
          <cell r="HT290">
            <v>0.35</v>
          </cell>
          <cell r="HU290">
            <v>0.50700000000000001</v>
          </cell>
          <cell r="HV290">
            <v>0.38900000000000001</v>
          </cell>
          <cell r="HW290">
            <v>4.0679999999999996</v>
          </cell>
          <cell r="HX290">
            <v>3.1819999999999999</v>
          </cell>
          <cell r="HY290">
            <v>1.9179999999999999</v>
          </cell>
          <cell r="HZ290">
            <v>2.1749999999999998</v>
          </cell>
          <cell r="IA290">
            <v>0.24</v>
          </cell>
          <cell r="IB290">
            <v>0.89900000000000002</v>
          </cell>
          <cell r="IC290">
            <v>0.14499999999999999</v>
          </cell>
          <cell r="ID290">
            <v>0.51300000000000001</v>
          </cell>
          <cell r="IE290">
            <v>0.14299999999999999</v>
          </cell>
          <cell r="IF290">
            <v>2.1080000000000001</v>
          </cell>
          <cell r="IG290">
            <v>1.5620000000000001</v>
          </cell>
          <cell r="IH290">
            <v>1.262</v>
          </cell>
          <cell r="II290">
            <v>1.3380000000000001</v>
          </cell>
          <cell r="IJ290">
            <v>0.91800000000000004</v>
          </cell>
          <cell r="IK290">
            <v>0.438</v>
          </cell>
          <cell r="IL290">
            <v>0</v>
          </cell>
          <cell r="IM290">
            <v>3.3809999999999998</v>
          </cell>
          <cell r="IN290">
            <v>6.8689999999999998</v>
          </cell>
          <cell r="IO290">
            <v>24.873000000000001</v>
          </cell>
          <cell r="IP290">
            <v>72.721999999999994</v>
          </cell>
          <cell r="IQ290">
            <v>20.693999999999999</v>
          </cell>
          <cell r="IR290">
            <v>6.4009999999999998</v>
          </cell>
          <cell r="IS290">
            <v>13.768000000000001</v>
          </cell>
          <cell r="IT290">
            <v>71.644000000000005</v>
          </cell>
          <cell r="IU290">
            <v>69.605999999999995</v>
          </cell>
          <cell r="IV290">
            <v>31.524999999999999</v>
          </cell>
          <cell r="IW290">
            <v>9.6820000000000004</v>
          </cell>
          <cell r="IX290">
            <v>0.35599999999999998</v>
          </cell>
          <cell r="IY290">
            <v>8.69</v>
          </cell>
          <cell r="IZ290">
            <v>4.0890000000000004</v>
          </cell>
          <cell r="JA290">
            <v>2.4159999999999999</v>
          </cell>
          <cell r="JB290">
            <v>6.0739999999999998</v>
          </cell>
          <cell r="JC290">
            <v>1.363</v>
          </cell>
          <cell r="JD290">
            <v>2.706</v>
          </cell>
          <cell r="JE290">
            <v>1.8220000000000001</v>
          </cell>
          <cell r="JF290">
            <v>4.8369999999999997</v>
          </cell>
          <cell r="JG290">
            <v>2.8050000000000002</v>
          </cell>
          <cell r="JH290">
            <v>2.6520000000000001</v>
          </cell>
          <cell r="JI290">
            <v>1.474</v>
          </cell>
          <cell r="JJ290">
            <v>0.42299999999999999</v>
          </cell>
          <cell r="JK290">
            <v>5.8689999999999998</v>
          </cell>
          <cell r="JL290">
            <v>9.4499999999999993</v>
          </cell>
          <cell r="JM290">
            <v>24.954000000000001</v>
          </cell>
          <cell r="JN290">
            <v>21.609000000000002</v>
          </cell>
          <cell r="JO290">
            <v>13.688000000000001</v>
          </cell>
          <cell r="JP290">
            <v>12.89</v>
          </cell>
          <cell r="JQ290">
            <v>16.945</v>
          </cell>
          <cell r="JR290">
            <v>15.65</v>
          </cell>
          <cell r="JS290">
            <v>8.1110000000000007</v>
          </cell>
          <cell r="JT290">
            <v>2.8090000000000002</v>
          </cell>
          <cell r="JU290">
            <v>1.87</v>
          </cell>
          <cell r="JV290">
            <v>1.403</v>
          </cell>
          <cell r="JW290">
            <v>1.671</v>
          </cell>
          <cell r="JX290">
            <v>3.508</v>
          </cell>
          <cell r="JY290">
            <v>4.1109999999999998</v>
          </cell>
          <cell r="JZ290">
            <v>8.1649999999999991</v>
          </cell>
          <cell r="KA290">
            <v>8.4339999999999993</v>
          </cell>
          <cell r="KB290">
            <v>15.472</v>
          </cell>
          <cell r="KC290">
            <v>4.8209999999999997</v>
          </cell>
          <cell r="KD290">
            <v>4.9580000000000002</v>
          </cell>
          <cell r="KE290">
            <v>3.3010000000000002</v>
          </cell>
          <cell r="KF290">
            <v>2.883</v>
          </cell>
          <cell r="KG290">
            <v>2.4220000000000002</v>
          </cell>
          <cell r="KH290">
            <v>1.413</v>
          </cell>
          <cell r="KI290">
            <v>1.8480000000000001</v>
          </cell>
          <cell r="KJ290">
            <v>4.133</v>
          </cell>
          <cell r="KK290">
            <v>4.5170000000000003</v>
          </cell>
          <cell r="KL290">
            <v>7.2889999999999997</v>
          </cell>
          <cell r="KM290">
            <v>3.4969999999999999</v>
          </cell>
          <cell r="KN290">
            <v>14.278</v>
          </cell>
          <cell r="KO290">
            <v>12.097</v>
          </cell>
          <cell r="KP290">
            <v>22.81</v>
          </cell>
          <cell r="KQ290">
            <v>15.24</v>
          </cell>
          <cell r="KR290">
            <v>13.807</v>
          </cell>
          <cell r="KS290">
            <v>2.601</v>
          </cell>
          <cell r="KT290">
            <v>1.784</v>
          </cell>
          <cell r="KU290">
            <v>4.2910000000000004</v>
          </cell>
          <cell r="KV290">
            <v>20.126999999999999</v>
          </cell>
          <cell r="KW290">
            <v>52.396999999999998</v>
          </cell>
          <cell r="KX290">
            <v>23.593</v>
          </cell>
          <cell r="KY290">
            <v>16.577999999999999</v>
          </cell>
          <cell r="KZ290">
            <v>26.869</v>
          </cell>
          <cell r="LA290">
            <v>44.813000000000002</v>
          </cell>
          <cell r="LB290">
            <v>55.621000000000002</v>
          </cell>
          <cell r="LC290">
            <v>82.042000000000002</v>
          </cell>
          <cell r="LD290">
            <v>30.948</v>
          </cell>
          <cell r="LE290">
            <v>5.3081469999999999</v>
          </cell>
          <cell r="LF290">
            <v>4.8684940000000001</v>
          </cell>
          <cell r="LG290">
            <v>2.893313</v>
          </cell>
          <cell r="LH290">
            <v>6.8150500000000003</v>
          </cell>
          <cell r="LI290">
            <v>25.159330000000001</v>
          </cell>
          <cell r="LJ290">
            <v>11.718159</v>
          </cell>
          <cell r="LK290">
            <v>7.0252629999999998</v>
          </cell>
          <cell r="LL290">
            <v>9.5801660000000002</v>
          </cell>
          <cell r="LM290">
            <v>9.3605309999999999</v>
          </cell>
          <cell r="LN290">
            <v>8.5457590000000003</v>
          </cell>
          <cell r="LO290">
            <v>5.0428639999999998</v>
          </cell>
          <cell r="LP290">
            <v>2.3552840000000002</v>
          </cell>
          <cell r="LQ290">
            <v>3.2114630000000002</v>
          </cell>
          <cell r="LR290">
            <v>5.299696</v>
          </cell>
          <cell r="LS290">
            <v>5.2542450000000001</v>
          </cell>
          <cell r="LT290">
            <v>5.4915039999999999</v>
          </cell>
          <cell r="LU290">
            <v>12.719338</v>
          </cell>
          <cell r="LV290">
            <v>13.207148999999999</v>
          </cell>
          <cell r="LW290">
            <v>13.467264</v>
          </cell>
          <cell r="LX290">
            <v>20.619980999999999</v>
          </cell>
          <cell r="LY290">
            <v>25.43572</v>
          </cell>
          <cell r="LZ290">
            <v>42.782756999999997</v>
          </cell>
          <cell r="MA290">
            <v>66.933287000000007</v>
          </cell>
          <cell r="MB290">
            <v>109.181026</v>
          </cell>
          <cell r="MC290">
            <v>32.165042999999997</v>
          </cell>
          <cell r="MD290">
            <v>4.2766320000000002</v>
          </cell>
          <cell r="ME290">
            <v>6.920782</v>
          </cell>
          <cell r="MF290">
            <v>78.018624000000003</v>
          </cell>
          <cell r="MG290">
            <v>112.982304</v>
          </cell>
          <cell r="MH290">
            <v>194.565169</v>
          </cell>
          <cell r="MI290">
            <v>157.420163</v>
          </cell>
          <cell r="MJ290">
            <v>196.60848100000001</v>
          </cell>
          <cell r="MK290">
            <v>341.35654799999998</v>
          </cell>
          <cell r="ML290">
            <v>72.408006</v>
          </cell>
          <cell r="MM290">
            <v>61.230851000000001</v>
          </cell>
          <cell r="MN290">
            <v>9.619548</v>
          </cell>
          <cell r="MO290">
            <v>1.22011</v>
          </cell>
          <cell r="MP290">
            <v>2.02197</v>
          </cell>
          <cell r="MQ290">
            <v>32.678086</v>
          </cell>
          <cell r="MR290">
            <v>204.27940100000001</v>
          </cell>
          <cell r="MS290">
            <v>184.11587399999999</v>
          </cell>
          <cell r="MT290">
            <v>108.450047</v>
          </cell>
          <cell r="MU290">
            <v>11.907999999999999</v>
          </cell>
          <cell r="MV290">
            <v>5.85</v>
          </cell>
          <cell r="MW290">
            <v>15.069000000000001</v>
          </cell>
          <cell r="MX290">
            <v>5.1909999999999998</v>
          </cell>
          <cell r="MY290">
            <v>3.6</v>
          </cell>
          <cell r="MZ290">
            <v>3.056</v>
          </cell>
          <cell r="NA290">
            <v>5.867</v>
          </cell>
          <cell r="NB290">
            <v>1.3149999999999999</v>
          </cell>
          <cell r="NC290">
            <v>8.8849999999999998</v>
          </cell>
          <cell r="ND290">
            <v>20.422000000000001</v>
          </cell>
          <cell r="NE290">
            <v>31.545999999999999</v>
          </cell>
          <cell r="NF290">
            <v>70.478999999999999</v>
          </cell>
          <cell r="NG290">
            <v>20.479928000000001</v>
          </cell>
        </row>
      </sheetData>
      <sheetData sheetId="21">
        <row r="290"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1.4E-2</v>
          </cell>
          <cell r="BX290">
            <v>11.183</v>
          </cell>
          <cell r="BY290">
            <v>8.1340000000000003</v>
          </cell>
          <cell r="BZ290">
            <v>7.9560000000000004</v>
          </cell>
          <cell r="CA290">
            <v>4.1189999999999998</v>
          </cell>
          <cell r="CB290">
            <v>1.3620000000000001</v>
          </cell>
          <cell r="CC290">
            <v>5.0999999999999997E-2</v>
          </cell>
          <cell r="CD290">
            <v>0.16500000000000001</v>
          </cell>
          <cell r="CE290">
            <v>0.24299999999999999</v>
          </cell>
          <cell r="CF290">
            <v>0.47499999999999998</v>
          </cell>
          <cell r="CG290">
            <v>0.113</v>
          </cell>
          <cell r="CH290">
            <v>0.216</v>
          </cell>
          <cell r="CI290">
            <v>4.665</v>
          </cell>
          <cell r="CJ290">
            <v>0.156</v>
          </cell>
          <cell r="CK290">
            <v>6.6360000000000001</v>
          </cell>
          <cell r="CL290">
            <v>5.0490000000000004</v>
          </cell>
          <cell r="CM290">
            <v>0.20200000000000001</v>
          </cell>
          <cell r="CN290">
            <v>9.1999999999999998E-2</v>
          </cell>
          <cell r="CO290">
            <v>0.45400000000000001</v>
          </cell>
          <cell r="CP290">
            <v>0</v>
          </cell>
          <cell r="CQ290">
            <v>0</v>
          </cell>
          <cell r="CR290">
            <v>0.78800000000000003</v>
          </cell>
          <cell r="CS290">
            <v>1.427</v>
          </cell>
          <cell r="CT290">
            <v>0.90400000000000003</v>
          </cell>
          <cell r="CU290">
            <v>1.63</v>
          </cell>
          <cell r="CV290">
            <v>1.163</v>
          </cell>
          <cell r="CW290">
            <v>0.28599999999999998</v>
          </cell>
          <cell r="CX290">
            <v>0.88300000000000001</v>
          </cell>
          <cell r="CY290">
            <v>0</v>
          </cell>
          <cell r="CZ290">
            <v>1.286</v>
          </cell>
          <cell r="DA290">
            <v>1.589</v>
          </cell>
          <cell r="DB290">
            <v>0.35299999999999998</v>
          </cell>
          <cell r="DC290">
            <v>1.4E-2</v>
          </cell>
          <cell r="DD290">
            <v>0.44500000000000001</v>
          </cell>
          <cell r="DE290">
            <v>0</v>
          </cell>
          <cell r="DF290">
            <v>0</v>
          </cell>
          <cell r="DG290">
            <v>0.2</v>
          </cell>
          <cell r="DH290">
            <v>1.2090000000000001</v>
          </cell>
          <cell r="DI290">
            <v>0.27500000000000002</v>
          </cell>
          <cell r="DJ290">
            <v>0.29199999999999998</v>
          </cell>
          <cell r="DK290">
            <v>0.72</v>
          </cell>
          <cell r="DL290">
            <v>1.1599999999999999</v>
          </cell>
          <cell r="DM290">
            <v>0.69699999999999995</v>
          </cell>
          <cell r="DN290">
            <v>0.46100000000000002</v>
          </cell>
          <cell r="DO290">
            <v>0.35199999999999998</v>
          </cell>
          <cell r="DP290">
            <v>1.0109999999999999</v>
          </cell>
          <cell r="DQ290">
            <v>3.427</v>
          </cell>
          <cell r="DR290">
            <v>4.6890000000000001</v>
          </cell>
          <cell r="DS290">
            <v>3.1819999999999999</v>
          </cell>
          <cell r="DT290">
            <v>1.1499999999999999</v>
          </cell>
          <cell r="DU290">
            <v>1.706</v>
          </cell>
          <cell r="DV290">
            <v>0.42</v>
          </cell>
          <cell r="DW290">
            <v>0.04</v>
          </cell>
          <cell r="DX290">
            <v>2.2829999999999999</v>
          </cell>
          <cell r="DY290">
            <v>3.234</v>
          </cell>
          <cell r="DZ290">
            <v>7.8789999999999996</v>
          </cell>
          <cell r="EA290">
            <v>13.852</v>
          </cell>
          <cell r="EB290">
            <v>9.4429999999999996</v>
          </cell>
          <cell r="EC290">
            <v>8.3780000000000001</v>
          </cell>
          <cell r="ED290">
            <v>2.1429999999999998</v>
          </cell>
          <cell r="EE290">
            <v>4.9630000000000001</v>
          </cell>
          <cell r="EF290">
            <v>3.1520000000000001</v>
          </cell>
          <cell r="EG290">
            <v>5.0030000000000001</v>
          </cell>
          <cell r="EH290">
            <v>3.4180000000000001</v>
          </cell>
          <cell r="EI290">
            <v>0.83899999999999997</v>
          </cell>
          <cell r="EJ290">
            <v>1.1859999999999999</v>
          </cell>
          <cell r="EK290">
            <v>1.496</v>
          </cell>
          <cell r="EL290">
            <v>0.502</v>
          </cell>
          <cell r="EM290">
            <v>0.45600000000000002</v>
          </cell>
          <cell r="EN290">
            <v>0.70099999999999996</v>
          </cell>
          <cell r="EO290">
            <v>0.66200000000000003</v>
          </cell>
          <cell r="EP290">
            <v>1.552</v>
          </cell>
          <cell r="EQ290">
            <v>1.2470000000000001</v>
          </cell>
          <cell r="ER290">
            <v>1.9450000000000001</v>
          </cell>
          <cell r="ES290">
            <v>2.786</v>
          </cell>
          <cell r="ET290">
            <v>2.9279999999999999</v>
          </cell>
          <cell r="EU290">
            <v>2.1970000000000001</v>
          </cell>
          <cell r="EV290">
            <v>2.9540000000000002</v>
          </cell>
          <cell r="EW290">
            <v>2.2690000000000001</v>
          </cell>
          <cell r="EX290">
            <v>2.9119999999999999</v>
          </cell>
          <cell r="EY290">
            <v>3.2749999999999999</v>
          </cell>
          <cell r="EZ290">
            <v>4.4249999999999998</v>
          </cell>
          <cell r="FA290">
            <v>5.5970000000000004</v>
          </cell>
          <cell r="FB290">
            <v>6.8250000000000002</v>
          </cell>
          <cell r="FC290">
            <v>6.202</v>
          </cell>
          <cell r="FD290">
            <v>5.8929999999999998</v>
          </cell>
          <cell r="FE290">
            <v>2.7719999999999998</v>
          </cell>
          <cell r="FF290">
            <v>1.458</v>
          </cell>
          <cell r="FG290">
            <v>3.8540000000000001</v>
          </cell>
          <cell r="FH290">
            <v>4.4180000000000001</v>
          </cell>
          <cell r="FI290">
            <v>3.0430000000000001</v>
          </cell>
          <cell r="FJ290">
            <v>2.714</v>
          </cell>
          <cell r="FK290">
            <v>1.573</v>
          </cell>
          <cell r="FL290">
            <v>2.2040000000000002</v>
          </cell>
          <cell r="FM290">
            <v>3.3969999999999998</v>
          </cell>
          <cell r="FN290">
            <v>2.9180000000000001</v>
          </cell>
          <cell r="FO290">
            <v>3.2450000000000001</v>
          </cell>
          <cell r="FP290">
            <v>4.508</v>
          </cell>
          <cell r="FQ290">
            <v>3.0590000000000002</v>
          </cell>
          <cell r="FR290">
            <v>3.65</v>
          </cell>
          <cell r="FS290">
            <v>2.694</v>
          </cell>
          <cell r="FT290">
            <v>1.9390000000000001</v>
          </cell>
          <cell r="FU290">
            <v>3.738</v>
          </cell>
          <cell r="FV290">
            <v>4.5579999999999998</v>
          </cell>
          <cell r="FW290">
            <v>4.1000000000000002E-2</v>
          </cell>
          <cell r="FX290">
            <v>1.2529999999999999</v>
          </cell>
          <cell r="FY290">
            <v>4.04</v>
          </cell>
          <cell r="FZ290">
            <v>5.117</v>
          </cell>
          <cell r="GA290">
            <v>5.2670000000000003</v>
          </cell>
          <cell r="GB290">
            <v>2.2280000000000002</v>
          </cell>
          <cell r="GC290">
            <v>1.39</v>
          </cell>
          <cell r="GD290">
            <v>4.1539999999999999</v>
          </cell>
          <cell r="GE290">
            <v>2.6520000000000001</v>
          </cell>
          <cell r="GF290">
            <v>3.1709999999999998</v>
          </cell>
          <cell r="GG290">
            <v>3.2669999999999999</v>
          </cell>
          <cell r="GH290">
            <v>2.7280000000000002</v>
          </cell>
          <cell r="GI290">
            <v>2.2839999999999998</v>
          </cell>
          <cell r="GJ290">
            <v>1.4419999999999999</v>
          </cell>
          <cell r="GK290">
            <v>4.0389999999999997</v>
          </cell>
          <cell r="GL290">
            <v>1.806</v>
          </cell>
          <cell r="GM290">
            <v>0.434</v>
          </cell>
          <cell r="GN290">
            <v>2.3740000000000001</v>
          </cell>
          <cell r="GO290">
            <v>3.3359999999999999</v>
          </cell>
          <cell r="GP290">
            <v>2.3039999999999998</v>
          </cell>
          <cell r="GQ290">
            <v>0</v>
          </cell>
          <cell r="GR290">
            <v>0</v>
          </cell>
          <cell r="GS290">
            <v>0</v>
          </cell>
          <cell r="GT290">
            <v>1.3720000000000001</v>
          </cell>
          <cell r="GU290">
            <v>0.48799999999999999</v>
          </cell>
          <cell r="GV290">
            <v>0</v>
          </cell>
          <cell r="GW290">
            <v>0.47199999999999998</v>
          </cell>
          <cell r="GX290">
            <v>1.6259999999999999</v>
          </cell>
          <cell r="GY290">
            <v>2.4910000000000001</v>
          </cell>
          <cell r="GZ290">
            <v>6.9180000000000001</v>
          </cell>
          <cell r="HA290">
            <v>1.393</v>
          </cell>
          <cell r="HB290">
            <v>0</v>
          </cell>
          <cell r="HC290">
            <v>0</v>
          </cell>
          <cell r="HD290">
            <v>0.16400000000000001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0.28999999999999998</v>
          </cell>
          <cell r="HW290">
            <v>0.95899999999999996</v>
          </cell>
          <cell r="HX290">
            <v>0.76100000000000001</v>
          </cell>
          <cell r="HY290">
            <v>0</v>
          </cell>
          <cell r="HZ290">
            <v>0.186</v>
          </cell>
          <cell r="IA290">
            <v>0</v>
          </cell>
          <cell r="IB290">
            <v>0.49299999999999999</v>
          </cell>
          <cell r="IC290">
            <v>0.28299999999999997</v>
          </cell>
          <cell r="ID290">
            <v>0</v>
          </cell>
          <cell r="IE290">
            <v>0</v>
          </cell>
          <cell r="IF290">
            <v>1.466</v>
          </cell>
          <cell r="IG290">
            <v>3.3420000000000001</v>
          </cell>
          <cell r="IH290">
            <v>2.7669999999999999</v>
          </cell>
          <cell r="II290">
            <v>6.5190000000000001</v>
          </cell>
          <cell r="IJ290">
            <v>1.258</v>
          </cell>
          <cell r="IK290">
            <v>0.81299999999999994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0.04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0</v>
          </cell>
          <cell r="JN290">
            <v>0.18</v>
          </cell>
          <cell r="JO290">
            <v>0</v>
          </cell>
          <cell r="JP290">
            <v>0</v>
          </cell>
          <cell r="JQ290">
            <v>0</v>
          </cell>
          <cell r="JR290">
            <v>1.6379999999999999</v>
          </cell>
          <cell r="JS290">
            <v>2.407</v>
          </cell>
          <cell r="JT290">
            <v>1.504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4.1000000000000002E-2</v>
          </cell>
          <cell r="KB290">
            <v>7.6999999999999999E-2</v>
          </cell>
          <cell r="KC290">
            <v>0</v>
          </cell>
          <cell r="KD290">
            <v>0</v>
          </cell>
          <cell r="KE290">
            <v>6.0000000000000001E-3</v>
          </cell>
          <cell r="KF290">
            <v>1.069</v>
          </cell>
          <cell r="KG290">
            <v>0.98899999999999999</v>
          </cell>
          <cell r="KH290">
            <v>0.89800000000000002</v>
          </cell>
          <cell r="KI290">
            <v>0.66200000000000003</v>
          </cell>
          <cell r="KJ290">
            <v>7.3999999999999996E-2</v>
          </cell>
          <cell r="KK290">
            <v>0.104</v>
          </cell>
          <cell r="KL290">
            <v>0.21299999999999999</v>
          </cell>
          <cell r="KM290">
            <v>0</v>
          </cell>
          <cell r="KN290">
            <v>0</v>
          </cell>
          <cell r="KO290">
            <v>1E-3</v>
          </cell>
          <cell r="KP290">
            <v>2.1999999999999999E-2</v>
          </cell>
          <cell r="KQ290">
            <v>1E-3</v>
          </cell>
          <cell r="KR290">
            <v>1.4690000000000001</v>
          </cell>
          <cell r="KS290">
            <v>2.581</v>
          </cell>
          <cell r="KT290">
            <v>2.1030000000000002</v>
          </cell>
          <cell r="KU290">
            <v>0</v>
          </cell>
          <cell r="KV290">
            <v>0</v>
          </cell>
          <cell r="KW290">
            <v>0</v>
          </cell>
          <cell r="KX290">
            <v>2.1000000000000001E-2</v>
          </cell>
          <cell r="KY290">
            <v>7.4999999999999997E-2</v>
          </cell>
          <cell r="KZ290">
            <v>0.40400000000000003</v>
          </cell>
          <cell r="LA290">
            <v>1.159</v>
          </cell>
          <cell r="LB290">
            <v>1.653</v>
          </cell>
          <cell r="LC290">
            <v>1.4</v>
          </cell>
          <cell r="LD290">
            <v>1.554</v>
          </cell>
          <cell r="LE290">
            <v>2.3690000000000002</v>
          </cell>
          <cell r="LF290">
            <v>2.1619999999999999</v>
          </cell>
          <cell r="LG290">
            <v>0.61299999999999999</v>
          </cell>
          <cell r="LH290">
            <v>2.153</v>
          </cell>
          <cell r="LI290">
            <v>0.85699999999999998</v>
          </cell>
          <cell r="LJ290">
            <v>3.2890000000000001</v>
          </cell>
          <cell r="LK290">
            <v>5.7430000000000003</v>
          </cell>
          <cell r="LL290">
            <v>5.1100000000000003</v>
          </cell>
          <cell r="LM290">
            <v>4.4240000000000004</v>
          </cell>
          <cell r="LN290">
            <v>9.9819999999999993</v>
          </cell>
          <cell r="LO290">
            <v>4.226</v>
          </cell>
          <cell r="LP290">
            <v>1.92</v>
          </cell>
          <cell r="LQ290">
            <v>0.53700000000000003</v>
          </cell>
          <cell r="LR290">
            <v>0.72699999999999998</v>
          </cell>
          <cell r="LS290">
            <v>0.753</v>
          </cell>
          <cell r="LT290">
            <v>1.655</v>
          </cell>
          <cell r="LU290">
            <v>2.8839999999999999</v>
          </cell>
          <cell r="LV290">
            <v>9.6000000000000002E-2</v>
          </cell>
          <cell r="LW290">
            <v>0</v>
          </cell>
          <cell r="LX290">
            <v>0.32300000000000001</v>
          </cell>
          <cell r="LY290">
            <v>1.4</v>
          </cell>
          <cell r="LZ290">
            <v>0.44800000000000001</v>
          </cell>
          <cell r="MA290">
            <v>0.26100000000000001</v>
          </cell>
          <cell r="MB290">
            <v>0.17199999999999999</v>
          </cell>
          <cell r="MC290">
            <v>0.58699999999999997</v>
          </cell>
          <cell r="MD290">
            <v>1.0489999999999999</v>
          </cell>
          <cell r="ME290">
            <v>1.7989999999999999</v>
          </cell>
          <cell r="MF290">
            <v>0.252</v>
          </cell>
          <cell r="MG290">
            <v>0</v>
          </cell>
          <cell r="MH290">
            <v>0</v>
          </cell>
          <cell r="MI290">
            <v>0.106</v>
          </cell>
          <cell r="MJ290">
            <v>1.633</v>
          </cell>
          <cell r="MK290">
            <v>3.4889999999999999</v>
          </cell>
          <cell r="ML290">
            <v>1.605</v>
          </cell>
          <cell r="MM290">
            <v>3.6190000000000002</v>
          </cell>
          <cell r="MN290">
            <v>4.8360000000000003</v>
          </cell>
          <cell r="MO290">
            <v>2.121</v>
          </cell>
          <cell r="MP290">
            <v>1.014</v>
          </cell>
          <cell r="MQ290">
            <v>0.6</v>
          </cell>
          <cell r="MR290">
            <v>0.432</v>
          </cell>
          <cell r="MS290">
            <v>3.827</v>
          </cell>
          <cell r="MT290">
            <v>4.6440000000000001</v>
          </cell>
          <cell r="MU290">
            <v>1.7430000000000001</v>
          </cell>
          <cell r="MV290">
            <v>3.4790000000000001</v>
          </cell>
          <cell r="MW290">
            <v>2.2759999999999998</v>
          </cell>
          <cell r="MX290">
            <v>1.4450000000000001</v>
          </cell>
          <cell r="MY290">
            <v>1.8720000000000001</v>
          </cell>
          <cell r="MZ290">
            <v>1.329</v>
          </cell>
          <cell r="NA290">
            <v>0.11799999999999999</v>
          </cell>
          <cell r="NB290">
            <v>8.8999999999999996E-2</v>
          </cell>
          <cell r="NC290">
            <v>6.6000000000000003E-2</v>
          </cell>
          <cell r="ND290">
            <v>6.5000000000000002E-2</v>
          </cell>
          <cell r="NE290">
            <v>0.50600000000000001</v>
          </cell>
          <cell r="NF290">
            <v>0.628</v>
          </cell>
          <cell r="NG290">
            <v>0.93700000000000006</v>
          </cell>
        </row>
      </sheetData>
      <sheetData sheetId="22">
        <row r="4">
          <cell r="B4">
            <v>0</v>
          </cell>
          <cell r="C4">
            <v>0</v>
          </cell>
          <cell r="D4">
            <v>0</v>
          </cell>
          <cell r="E4">
            <v>1.8583670000000001</v>
          </cell>
          <cell r="F4">
            <v>11.549209999999999</v>
          </cell>
          <cell r="G4">
            <v>5.1427840000000007</v>
          </cell>
          <cell r="H4">
            <v>43.418790000000001</v>
          </cell>
          <cell r="I4">
            <v>110.27109700000001</v>
          </cell>
          <cell r="J4">
            <v>84.565382</v>
          </cell>
          <cell r="K4">
            <v>127.98629299999999</v>
          </cell>
          <cell r="L4">
            <v>200.47262700000002</v>
          </cell>
          <cell r="M4">
            <v>287.308042</v>
          </cell>
          <cell r="N4">
            <v>469.25900000000007</v>
          </cell>
          <cell r="O4">
            <v>439.23100000000011</v>
          </cell>
          <cell r="P4">
            <v>366.62799999999999</v>
          </cell>
          <cell r="Q4">
            <v>672.54799999999989</v>
          </cell>
          <cell r="R4">
            <v>446.375</v>
          </cell>
          <cell r="S4">
            <v>374.23899999999998</v>
          </cell>
          <cell r="T4">
            <v>1026.4970000000001</v>
          </cell>
          <cell r="U4">
            <v>907.48599999999999</v>
          </cell>
          <cell r="V4">
            <v>1039.1280000000002</v>
          </cell>
          <cell r="W4">
            <v>782.23699999999997</v>
          </cell>
          <cell r="X4">
            <v>675.08699999999999</v>
          </cell>
          <cell r="Y4">
            <v>539.01299999999992</v>
          </cell>
          <cell r="Z4">
            <v>530.9860000000001</v>
          </cell>
          <cell r="AA4">
            <v>890.17200000000003</v>
          </cell>
          <cell r="AB4">
            <v>1146.1130000000003</v>
          </cell>
          <cell r="AC4">
            <v>942.53899999999999</v>
          </cell>
          <cell r="AD4">
            <v>421.036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1.9990000000000001</v>
          </cell>
          <cell r="F37">
            <v>2.972</v>
          </cell>
          <cell r="G37">
            <v>0.70550000000000002</v>
          </cell>
          <cell r="H37">
            <v>0.53720000000000001</v>
          </cell>
          <cell r="I37">
            <v>14.67525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13.657999999999999</v>
          </cell>
          <cell r="Q37">
            <v>0</v>
          </cell>
          <cell r="R37">
            <v>0</v>
          </cell>
          <cell r="S37">
            <v>0</v>
          </cell>
          <cell r="T37">
            <v>3.5510000000000002</v>
          </cell>
          <cell r="U37">
            <v>10.007</v>
          </cell>
          <cell r="V37">
            <v>16.77</v>
          </cell>
          <cell r="W37">
            <v>16.91</v>
          </cell>
          <cell r="X37">
            <v>34.767000000000003</v>
          </cell>
          <cell r="Y37">
            <v>4.5730000000000004</v>
          </cell>
          <cell r="Z37">
            <v>14.073</v>
          </cell>
          <cell r="AA37">
            <v>21.973999999999997</v>
          </cell>
          <cell r="AB37">
            <v>53.954000000000001</v>
          </cell>
          <cell r="AC37">
            <v>36.462000000000003</v>
          </cell>
          <cell r="AD37">
            <v>7.7489999999999997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5.1000000000000004E-2</v>
          </cell>
          <cell r="F59">
            <v>8.2250000000000004E-2</v>
          </cell>
          <cell r="G59">
            <v>0.7881800000000001</v>
          </cell>
          <cell r="H59">
            <v>1.4300300000000001</v>
          </cell>
          <cell r="I59">
            <v>3.8891300000000002</v>
          </cell>
          <cell r="J59">
            <v>3.7135199999999995</v>
          </cell>
          <cell r="K59">
            <v>7.9230199999999993</v>
          </cell>
          <cell r="L59">
            <v>21.290179999999999</v>
          </cell>
          <cell r="M59">
            <v>16.721280000000004</v>
          </cell>
          <cell r="N59">
            <v>26.093</v>
          </cell>
          <cell r="O59">
            <v>40.316000000000003</v>
          </cell>
          <cell r="P59">
            <v>20.300999999999998</v>
          </cell>
          <cell r="Q59">
            <v>31.034000000000006</v>
          </cell>
          <cell r="R59">
            <v>21.993999999999996</v>
          </cell>
          <cell r="S59">
            <v>15.68</v>
          </cell>
          <cell r="T59">
            <v>42.290999999999997</v>
          </cell>
          <cell r="U59">
            <v>42.786000000000001</v>
          </cell>
          <cell r="V59">
            <v>45.934999999999995</v>
          </cell>
          <cell r="W59">
            <v>44.893000000000001</v>
          </cell>
          <cell r="X59">
            <v>65.167000000000002</v>
          </cell>
          <cell r="Y59">
            <v>194.13400000000001</v>
          </cell>
          <cell r="Z59">
            <v>156.88500000000002</v>
          </cell>
          <cell r="AA59">
            <v>242.45600000000002</v>
          </cell>
          <cell r="AB59">
            <v>272.85700000000003</v>
          </cell>
          <cell r="AC59">
            <v>302.43000000000006</v>
          </cell>
          <cell r="AD59">
            <v>131.417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0.45579900000000001</v>
          </cell>
          <cell r="F74">
            <v>6.6039999999999996E-3</v>
          </cell>
          <cell r="G74">
            <v>2.9087000000000001</v>
          </cell>
          <cell r="H74">
            <v>91.475096000000008</v>
          </cell>
          <cell r="I74">
            <v>74.305487999999997</v>
          </cell>
          <cell r="J74">
            <v>8.3913779999999996</v>
          </cell>
          <cell r="K74">
            <v>32.400392000000004</v>
          </cell>
          <cell r="L74">
            <v>220.76255200000003</v>
          </cell>
          <cell r="M74">
            <v>129.69134600000001</v>
          </cell>
          <cell r="N74">
            <v>217.93900000000002</v>
          </cell>
          <cell r="O74">
            <v>246.875</v>
          </cell>
          <cell r="P74">
            <v>182.428</v>
          </cell>
          <cell r="Q74">
            <v>168.72199999999998</v>
          </cell>
          <cell r="R74">
            <v>170.43299999999999</v>
          </cell>
          <cell r="S74">
            <v>151.98500000000001</v>
          </cell>
          <cell r="T74">
            <v>590.17299999999989</v>
          </cell>
          <cell r="U74">
            <v>377.24699999999996</v>
          </cell>
          <cell r="V74">
            <v>530.66300000000001</v>
          </cell>
          <cell r="W74">
            <v>420.70800000000003</v>
          </cell>
          <cell r="X74">
            <v>461.76200000000006</v>
          </cell>
          <cell r="Y74">
            <v>481.61799999999999</v>
          </cell>
          <cell r="Z74">
            <v>448.4729999999999</v>
          </cell>
          <cell r="AA74">
            <v>440.86399999999992</v>
          </cell>
          <cell r="AB74">
            <v>510.726</v>
          </cell>
          <cell r="AC74">
            <v>443.96300000000002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2.2149999999999999</v>
          </cell>
          <cell r="AC88">
            <v>6.58</v>
          </cell>
          <cell r="AD88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1.2999999999999999E-2</v>
          </cell>
          <cell r="O104">
            <v>0.221</v>
          </cell>
          <cell r="P104">
            <v>0</v>
          </cell>
          <cell r="Q104">
            <v>19.407999999999998</v>
          </cell>
          <cell r="R104">
            <v>38.710999999999999</v>
          </cell>
          <cell r="S104">
            <v>2.3330000000000002</v>
          </cell>
          <cell r="T104">
            <v>40.978999999999999</v>
          </cell>
          <cell r="U104">
            <v>3.391</v>
          </cell>
          <cell r="V104">
            <v>25.393999999999998</v>
          </cell>
          <cell r="W104">
            <v>0.21500000000000002</v>
          </cell>
          <cell r="X104">
            <v>31.625</v>
          </cell>
          <cell r="Y104">
            <v>6.7279999999999998</v>
          </cell>
          <cell r="Z104">
            <v>17.527999999999999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1.99</v>
          </cell>
          <cell r="H107">
            <v>21.519351</v>
          </cell>
          <cell r="I107">
            <v>20.537597999999999</v>
          </cell>
          <cell r="J107">
            <v>5.7405429999999997</v>
          </cell>
          <cell r="K107">
            <v>4.7800399999999996</v>
          </cell>
          <cell r="L107">
            <v>22.339988999999999</v>
          </cell>
          <cell r="M107">
            <v>25.426956000000001</v>
          </cell>
          <cell r="N107">
            <v>53.656000000000013</v>
          </cell>
          <cell r="O107">
            <v>41.552</v>
          </cell>
          <cell r="P107">
            <v>39.463999999999999</v>
          </cell>
          <cell r="Q107">
            <v>4.3650000000000002</v>
          </cell>
          <cell r="R107">
            <v>5.1310000000000002</v>
          </cell>
          <cell r="S107">
            <v>10.148</v>
          </cell>
          <cell r="T107">
            <v>65.78</v>
          </cell>
          <cell r="U107">
            <v>67.731999999999999</v>
          </cell>
          <cell r="V107">
            <v>49.792000000000002</v>
          </cell>
          <cell r="W107">
            <v>14.715</v>
          </cell>
          <cell r="X107">
            <v>9.3709999999999987</v>
          </cell>
          <cell r="Y107">
            <v>5.1319999999999997</v>
          </cell>
          <cell r="Z107">
            <v>0</v>
          </cell>
          <cell r="AA107">
            <v>4.59</v>
          </cell>
          <cell r="AB107">
            <v>9.3109999999999999</v>
          </cell>
          <cell r="AC107">
            <v>0</v>
          </cell>
          <cell r="AD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2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6.2929999999999993</v>
          </cell>
          <cell r="N146">
            <v>11.899999999999999</v>
          </cell>
          <cell r="O146">
            <v>27.396999999999998</v>
          </cell>
          <cell r="P146">
            <v>0</v>
          </cell>
          <cell r="Q146">
            <v>28.818999999999999</v>
          </cell>
          <cell r="R146">
            <v>5.5</v>
          </cell>
          <cell r="S146">
            <v>0</v>
          </cell>
          <cell r="T146">
            <v>8.6419999999999995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3.4489999999999998</v>
          </cell>
          <cell r="W148">
            <v>1.976</v>
          </cell>
          <cell r="X148">
            <v>1.4</v>
          </cell>
          <cell r="Y148">
            <v>2.4489999999999998</v>
          </cell>
          <cell r="Z148">
            <v>0.32400000000000001</v>
          </cell>
          <cell r="AA148">
            <v>0</v>
          </cell>
          <cell r="AB148">
            <v>1.5720000000000001</v>
          </cell>
          <cell r="AC148">
            <v>0</v>
          </cell>
          <cell r="AD148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0.45579900000000001</v>
          </cell>
          <cell r="F151">
            <v>6.6039999999999996E-3</v>
          </cell>
          <cell r="G151">
            <v>0.91869999999999996</v>
          </cell>
          <cell r="H151">
            <v>69.955745000000007</v>
          </cell>
          <cell r="I151">
            <v>53.767889999999994</v>
          </cell>
          <cell r="J151">
            <v>2.6508349999999998</v>
          </cell>
          <cell r="K151">
            <v>27.620352000000004</v>
          </cell>
          <cell r="L151">
            <v>198.42256300000003</v>
          </cell>
          <cell r="M151">
            <v>93.771390000000011</v>
          </cell>
          <cell r="N151">
            <v>142.154</v>
          </cell>
          <cell r="O151">
            <v>167.672</v>
          </cell>
          <cell r="P151">
            <v>140.10300000000001</v>
          </cell>
          <cell r="Q151">
            <v>113.708</v>
          </cell>
          <cell r="R151">
            <v>121.09099999999999</v>
          </cell>
          <cell r="S151">
            <v>137.50400000000002</v>
          </cell>
          <cell r="T151">
            <v>471.7589999999999</v>
          </cell>
          <cell r="U151">
            <v>306.12399999999997</v>
          </cell>
          <cell r="V151">
            <v>452.02800000000002</v>
          </cell>
          <cell r="W151">
            <v>401.45000000000005</v>
          </cell>
          <cell r="X151">
            <v>415.62100000000004</v>
          </cell>
          <cell r="Y151">
            <v>466.274</v>
          </cell>
          <cell r="Z151">
            <v>430.50099999999992</v>
          </cell>
          <cell r="AA151">
            <v>435.25999999999993</v>
          </cell>
          <cell r="AB151">
            <v>496.44400000000002</v>
          </cell>
          <cell r="AC151">
            <v>435.69400000000007</v>
          </cell>
          <cell r="AD151">
            <v>164.08500000000001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0.499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0.501</v>
          </cell>
          <cell r="AD156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0.58999000000000001</v>
          </cell>
          <cell r="L164">
            <v>94.748473000000004</v>
          </cell>
          <cell r="M164">
            <v>60.558350000000004</v>
          </cell>
          <cell r="N164">
            <v>95.998999999999995</v>
          </cell>
          <cell r="O164">
            <v>160.12200000000001</v>
          </cell>
          <cell r="P164">
            <v>62.14</v>
          </cell>
          <cell r="Q164">
            <v>99.408999999999992</v>
          </cell>
          <cell r="R164">
            <v>35.698</v>
          </cell>
          <cell r="S164">
            <v>30.594999999999999</v>
          </cell>
          <cell r="T164">
            <v>56.327999999999989</v>
          </cell>
          <cell r="U164">
            <v>42.473999999999997</v>
          </cell>
          <cell r="V164">
            <v>76.60499999999999</v>
          </cell>
          <cell r="W164">
            <v>29.693000000000001</v>
          </cell>
          <cell r="X164">
            <v>20.548000000000002</v>
          </cell>
          <cell r="Y164">
            <v>40.369</v>
          </cell>
          <cell r="Z164">
            <v>36.657000000000004</v>
          </cell>
          <cell r="AA164">
            <v>0</v>
          </cell>
          <cell r="AB164">
            <v>10.054</v>
          </cell>
          <cell r="AC164">
            <v>16.794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0.58999000000000001</v>
          </cell>
          <cell r="L184">
            <v>80.966007000000005</v>
          </cell>
          <cell r="M184">
            <v>45.608350000000002</v>
          </cell>
          <cell r="N184">
            <v>63.669000000000004</v>
          </cell>
          <cell r="O184">
            <v>44.216000000000001</v>
          </cell>
          <cell r="P184">
            <v>12.548</v>
          </cell>
          <cell r="Q184">
            <v>61.826000000000001</v>
          </cell>
          <cell r="R184">
            <v>21.346</v>
          </cell>
          <cell r="S184">
            <v>24.103999999999999</v>
          </cell>
          <cell r="T184">
            <v>56.327999999999989</v>
          </cell>
          <cell r="U184">
            <v>28.756999999999998</v>
          </cell>
          <cell r="V184">
            <v>59.567999999999998</v>
          </cell>
          <cell r="W184">
            <v>17.082000000000001</v>
          </cell>
          <cell r="X184">
            <v>20.548000000000002</v>
          </cell>
          <cell r="Y184">
            <v>40.369</v>
          </cell>
          <cell r="Z184">
            <v>36.657000000000004</v>
          </cell>
          <cell r="AA184">
            <v>0</v>
          </cell>
          <cell r="AB184">
            <v>10.054</v>
          </cell>
          <cell r="AC184">
            <v>16.794</v>
          </cell>
          <cell r="AD184">
            <v>6.0060000000000002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13.782465999999999</v>
          </cell>
          <cell r="M207">
            <v>14.95</v>
          </cell>
          <cell r="N207">
            <v>23.401</v>
          </cell>
          <cell r="O207">
            <v>108.145</v>
          </cell>
          <cell r="P207">
            <v>49.591999999999999</v>
          </cell>
          <cell r="Q207">
            <v>31.870999999999999</v>
          </cell>
          <cell r="R207">
            <v>14.352</v>
          </cell>
          <cell r="S207">
            <v>5.4870000000000001</v>
          </cell>
          <cell r="T207">
            <v>0</v>
          </cell>
          <cell r="U207">
            <v>13.717000000000001</v>
          </cell>
          <cell r="V207">
            <v>17.036999999999999</v>
          </cell>
          <cell r="W207">
            <v>12.611000000000001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3.1480000000000001</v>
          </cell>
          <cell r="W231">
            <v>0</v>
          </cell>
          <cell r="X231">
            <v>0</v>
          </cell>
          <cell r="Y231">
            <v>0.98899999999999999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0.98899999999999999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</row>
        <row r="290">
          <cell r="BS290">
            <v>1.0429999999999999</v>
          </cell>
          <cell r="BT290">
            <v>1.6227</v>
          </cell>
          <cell r="BU290">
            <v>1.2416670000000001</v>
          </cell>
          <cell r="BV290">
            <v>0.45679900000000001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1.4070499999999999</v>
          </cell>
          <cell r="CC290">
            <v>2.3750499999999999</v>
          </cell>
          <cell r="CD290">
            <v>7.2316039999999999</v>
          </cell>
          <cell r="CE290">
            <v>2.4582000000000002</v>
          </cell>
          <cell r="CF290">
            <v>0.49745</v>
          </cell>
          <cell r="CG290">
            <v>0.51685000000000003</v>
          </cell>
          <cell r="CH290">
            <v>0</v>
          </cell>
          <cell r="CI290">
            <v>0</v>
          </cell>
          <cell r="CJ290">
            <v>0.12386</v>
          </cell>
          <cell r="CK290">
            <v>0</v>
          </cell>
          <cell r="CL290">
            <v>0</v>
          </cell>
          <cell r="CM290">
            <v>0</v>
          </cell>
          <cell r="CN290">
            <v>1.1671</v>
          </cell>
          <cell r="CO290">
            <v>1.2919499999999999</v>
          </cell>
          <cell r="CP290">
            <v>0.82784999999999997</v>
          </cell>
          <cell r="CQ290">
            <v>0.80078000000000005</v>
          </cell>
          <cell r="CR290">
            <v>0.51049999999999995</v>
          </cell>
          <cell r="CS290">
            <v>5.0000000000000001E-3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4.9419839999999997</v>
          </cell>
          <cell r="CZ290">
            <v>3.1563439999999998</v>
          </cell>
          <cell r="DA290">
            <v>7.1200169999999998</v>
          </cell>
          <cell r="DB290">
            <v>16.340135</v>
          </cell>
          <cell r="DC290">
            <v>9.2861150000000006</v>
          </cell>
          <cell r="DD290">
            <v>15.034001999999999</v>
          </cell>
          <cell r="DE290">
            <v>17.769786</v>
          </cell>
          <cell r="DF290">
            <v>14.459213</v>
          </cell>
          <cell r="DG290">
            <v>10.034051</v>
          </cell>
          <cell r="DH290">
            <v>14.567028000000001</v>
          </cell>
          <cell r="DI290">
            <v>15.144645000000001</v>
          </cell>
          <cell r="DJ290">
            <v>1.5273540000000001</v>
          </cell>
          <cell r="DK290">
            <v>12.422426</v>
          </cell>
          <cell r="DL290">
            <v>20.404074999999999</v>
          </cell>
          <cell r="DM290">
            <v>21.446729000000001</v>
          </cell>
          <cell r="DN290">
            <v>38.556660000000001</v>
          </cell>
          <cell r="DO290">
            <v>37.391517999999998</v>
          </cell>
          <cell r="DP290">
            <v>22.002023000000001</v>
          </cell>
          <cell r="DQ290">
            <v>20.325873999999999</v>
          </cell>
          <cell r="DR290">
            <v>11.456357000000001</v>
          </cell>
          <cell r="DS290">
            <v>8.113899</v>
          </cell>
          <cell r="DT290">
            <v>8.0903960000000001</v>
          </cell>
          <cell r="DU290">
            <v>8.1613779999999991</v>
          </cell>
          <cell r="DV290">
            <v>0.13600000000000001</v>
          </cell>
          <cell r="DW290">
            <v>7.0560559999999999</v>
          </cell>
          <cell r="DX290">
            <v>8.3630019999999998</v>
          </cell>
          <cell r="DY290">
            <v>15.087837</v>
          </cell>
          <cell r="DZ290">
            <v>8.5732049999999997</v>
          </cell>
          <cell r="EA290">
            <v>5.3291979999999999</v>
          </cell>
          <cell r="EB290">
            <v>9.4256329999999995</v>
          </cell>
          <cell r="EC290">
            <v>0.36220000000000002</v>
          </cell>
          <cell r="ED290">
            <v>10.844295000000001</v>
          </cell>
          <cell r="EE290">
            <v>14.852916</v>
          </cell>
          <cell r="EF290">
            <v>3.9322590000000002</v>
          </cell>
          <cell r="EG290">
            <v>5.7277310000000003</v>
          </cell>
          <cell r="EH290">
            <v>8.6793890000000005</v>
          </cell>
          <cell r="EI290">
            <v>5.5636549999999998</v>
          </cell>
          <cell r="EJ290">
            <v>13.003080000000001</v>
          </cell>
          <cell r="EK290">
            <v>12.204886999999999</v>
          </cell>
          <cell r="EL290">
            <v>15.378413999999999</v>
          </cell>
          <cell r="EM290">
            <v>10.478590000000001</v>
          </cell>
          <cell r="EN290">
            <v>11.20664</v>
          </cell>
          <cell r="EO290">
            <v>16.827014999999999</v>
          </cell>
          <cell r="EP290">
            <v>17.978721</v>
          </cell>
          <cell r="EQ290">
            <v>19.682908000000001</v>
          </cell>
          <cell r="ER290">
            <v>15.264263</v>
          </cell>
          <cell r="ES290">
            <v>10.605626000000001</v>
          </cell>
          <cell r="ET290">
            <v>14.792192999999999</v>
          </cell>
          <cell r="EU290">
            <v>11.477358000000001</v>
          </cell>
          <cell r="EV290">
            <v>24.041129000000002</v>
          </cell>
          <cell r="EW290">
            <v>48.912132</v>
          </cell>
          <cell r="EX290">
            <v>59.324494000000001</v>
          </cell>
          <cell r="EY290">
            <v>61.733018999999999</v>
          </cell>
          <cell r="EZ290">
            <v>36.629102000000003</v>
          </cell>
          <cell r="FA290">
            <v>60.340252999999997</v>
          </cell>
          <cell r="FB290">
            <v>45.013894000000001</v>
          </cell>
          <cell r="FC290">
            <v>44.901370999999997</v>
          </cell>
          <cell r="FD290">
            <v>54.471653000000003</v>
          </cell>
          <cell r="FE290">
            <v>40.26587</v>
          </cell>
          <cell r="FF290">
            <v>36.247123999999999</v>
          </cell>
          <cell r="FG290">
            <v>25.433790999999999</v>
          </cell>
          <cell r="FH290">
            <v>21.533964000000001</v>
          </cell>
          <cell r="FI290">
            <v>22.837053999999998</v>
          </cell>
          <cell r="FJ290">
            <v>38.250999999999998</v>
          </cell>
          <cell r="FK290">
            <v>44.962000000000003</v>
          </cell>
          <cell r="FL290">
            <v>39.872</v>
          </cell>
          <cell r="FM290">
            <v>59.987000000000002</v>
          </cell>
          <cell r="FN290">
            <v>39.68</v>
          </cell>
          <cell r="FO290">
            <v>42.317</v>
          </cell>
          <cell r="FP290">
            <v>55.722999999999999</v>
          </cell>
          <cell r="FQ290">
            <v>45.317999999999998</v>
          </cell>
          <cell r="FR290">
            <v>43.073</v>
          </cell>
          <cell r="FS290">
            <v>40.725000000000001</v>
          </cell>
          <cell r="FT290">
            <v>52.448</v>
          </cell>
          <cell r="FU290">
            <v>74.436999999999998</v>
          </cell>
          <cell r="FV290">
            <v>95.531000000000006</v>
          </cell>
          <cell r="FW290">
            <v>68.088999999999999</v>
          </cell>
          <cell r="FX290">
            <v>17.616</v>
          </cell>
          <cell r="FY290">
            <v>74.959000000000003</v>
          </cell>
          <cell r="FZ290">
            <v>129.988</v>
          </cell>
          <cell r="GA290">
            <v>98.912000000000006</v>
          </cell>
          <cell r="GB290">
            <v>88.540999999999997</v>
          </cell>
          <cell r="GC290">
            <v>59.146999999999998</v>
          </cell>
          <cell r="GD290">
            <v>31.073</v>
          </cell>
          <cell r="GE290">
            <v>18.602</v>
          </cell>
          <cell r="GF290">
            <v>64.238</v>
          </cell>
          <cell r="GG290">
            <v>71.394999999999996</v>
          </cell>
          <cell r="GH290">
            <v>109.834</v>
          </cell>
          <cell r="GI290">
            <v>97.403999999999996</v>
          </cell>
          <cell r="GJ290">
            <v>110.307</v>
          </cell>
          <cell r="GK290">
            <v>110.902</v>
          </cell>
          <cell r="GL290">
            <v>102.556</v>
          </cell>
          <cell r="GM290">
            <v>96.281999999999996</v>
          </cell>
          <cell r="GN290">
            <v>38.716000000000001</v>
          </cell>
          <cell r="GO290">
            <v>23.875</v>
          </cell>
          <cell r="GP290">
            <v>21.460999999999999</v>
          </cell>
          <cell r="GQ290">
            <v>39.569000000000003</v>
          </cell>
          <cell r="GR290">
            <v>71.164000000000001</v>
          </cell>
          <cell r="GS290">
            <v>101.93300000000001</v>
          </cell>
          <cell r="GT290">
            <v>89.805999999999997</v>
          </cell>
          <cell r="GU290">
            <v>30.925000000000001</v>
          </cell>
          <cell r="GV290">
            <v>46.741</v>
          </cell>
          <cell r="GW290">
            <v>97.566000000000003</v>
          </cell>
          <cell r="GX290">
            <v>56.191000000000003</v>
          </cell>
          <cell r="GY290">
            <v>46.829000000000001</v>
          </cell>
          <cell r="GZ290">
            <v>50.904000000000003</v>
          </cell>
          <cell r="HA290">
            <v>22.164000000000001</v>
          </cell>
          <cell r="HB290">
            <v>11.708</v>
          </cell>
          <cell r="HC290">
            <v>19.221</v>
          </cell>
          <cell r="HD290">
            <v>65.94</v>
          </cell>
          <cell r="HE290">
            <v>65.834999999999994</v>
          </cell>
          <cell r="HF290">
            <v>94.015000000000001</v>
          </cell>
          <cell r="HG290">
            <v>82.366</v>
          </cell>
          <cell r="HH290">
            <v>80.828999999999994</v>
          </cell>
          <cell r="HI290">
            <v>98.988</v>
          </cell>
          <cell r="HJ290">
            <v>117.676</v>
          </cell>
          <cell r="HK290">
            <v>124.91200000000001</v>
          </cell>
          <cell r="HL290">
            <v>119.871</v>
          </cell>
          <cell r="HM290">
            <v>46.988</v>
          </cell>
          <cell r="HN290">
            <v>48.161000000000001</v>
          </cell>
          <cell r="HO290">
            <v>26.128</v>
          </cell>
          <cell r="HP290">
            <v>57.337000000000003</v>
          </cell>
          <cell r="HQ290">
            <v>109.039</v>
          </cell>
          <cell r="HR290">
            <v>135.39099999999999</v>
          </cell>
          <cell r="HS290">
            <v>61.61</v>
          </cell>
          <cell r="HT290">
            <v>59.485999999999997</v>
          </cell>
          <cell r="HU290">
            <v>55.165999999999997</v>
          </cell>
          <cell r="HV290">
            <v>22.321000000000002</v>
          </cell>
          <cell r="HW290">
            <v>42.777000000000001</v>
          </cell>
          <cell r="HX290">
            <v>46.536000000000001</v>
          </cell>
          <cell r="HY290">
            <v>30.776</v>
          </cell>
          <cell r="HZ290">
            <v>13.59</v>
          </cell>
          <cell r="IA290">
            <v>40.473999999999997</v>
          </cell>
          <cell r="IB290">
            <v>86.320999999999998</v>
          </cell>
          <cell r="IC290">
            <v>73.078999999999994</v>
          </cell>
          <cell r="ID290">
            <v>79.680999999999997</v>
          </cell>
          <cell r="IE290">
            <v>50.874000000000002</v>
          </cell>
          <cell r="IF290">
            <v>15.446999999999999</v>
          </cell>
          <cell r="IG290">
            <v>34.482999999999997</v>
          </cell>
          <cell r="IH290">
            <v>38.929000000000002</v>
          </cell>
          <cell r="II290">
            <v>23.821000000000002</v>
          </cell>
          <cell r="IJ290">
            <v>44.098999999999997</v>
          </cell>
          <cell r="IK290">
            <v>56.875</v>
          </cell>
          <cell r="IL290">
            <v>38.79</v>
          </cell>
          <cell r="IM290">
            <v>30.161999999999999</v>
          </cell>
          <cell r="IN290">
            <v>98.774000000000001</v>
          </cell>
          <cell r="IO290">
            <v>140.69200000000001</v>
          </cell>
          <cell r="IP290">
            <v>157.44200000000001</v>
          </cell>
          <cell r="IQ290">
            <v>126.127</v>
          </cell>
          <cell r="IR290">
            <v>49.249000000000002</v>
          </cell>
          <cell r="IS290">
            <v>78.67</v>
          </cell>
          <cell r="IT290">
            <v>242.792</v>
          </cell>
          <cell r="IU290">
            <v>314.25700000000001</v>
          </cell>
          <cell r="IV290">
            <v>212.12700000000001</v>
          </cell>
          <cell r="IW290">
            <v>136.99100000000001</v>
          </cell>
          <cell r="IX290">
            <v>93.697999999999993</v>
          </cell>
          <cell r="IY290">
            <v>68.293000000000006</v>
          </cell>
          <cell r="IZ290">
            <v>163.773</v>
          </cell>
          <cell r="JA290">
            <v>152.63999999999999</v>
          </cell>
          <cell r="JB290">
            <v>162.18299999999999</v>
          </cell>
          <cell r="JC290">
            <v>162.86099999999999</v>
          </cell>
          <cell r="JD290">
            <v>88.474000000000004</v>
          </cell>
          <cell r="JE290">
            <v>104.71599999999999</v>
          </cell>
          <cell r="JF290">
            <v>133.154</v>
          </cell>
          <cell r="JG290">
            <v>146.44499999999999</v>
          </cell>
          <cell r="JH290">
            <v>87.296000000000006</v>
          </cell>
          <cell r="JI290">
            <v>51.429000000000002</v>
          </cell>
          <cell r="JJ290">
            <v>47.79</v>
          </cell>
          <cell r="JK290">
            <v>79.236999999999995</v>
          </cell>
          <cell r="JL290">
            <v>147.87200000000001</v>
          </cell>
          <cell r="JM290">
            <v>191.095</v>
          </cell>
          <cell r="JN290">
            <v>177.31100000000001</v>
          </cell>
          <cell r="JO290">
            <v>154.78700000000001</v>
          </cell>
          <cell r="JP290">
            <v>159.66200000000001</v>
          </cell>
          <cell r="JQ290">
            <v>235.995</v>
          </cell>
          <cell r="JR290">
            <v>197.06</v>
          </cell>
          <cell r="JS290">
            <v>145.774</v>
          </cell>
          <cell r="JT290">
            <v>115.36199999999999</v>
          </cell>
          <cell r="JU290">
            <v>74.14</v>
          </cell>
          <cell r="JV290">
            <v>49.238999999999997</v>
          </cell>
          <cell r="JW290">
            <v>64.146000000000001</v>
          </cell>
          <cell r="JX290">
            <v>161.44800000000001</v>
          </cell>
          <cell r="JY290">
            <v>149.21299999999999</v>
          </cell>
          <cell r="JZ290">
            <v>175.87899999999999</v>
          </cell>
          <cell r="KA290">
            <v>145.74100000000001</v>
          </cell>
          <cell r="KB290">
            <v>213.22399999999999</v>
          </cell>
          <cell r="KC290">
            <v>165.29499999999999</v>
          </cell>
          <cell r="KD290">
            <v>133.41800000000001</v>
          </cell>
          <cell r="KE290">
            <v>75.783000000000001</v>
          </cell>
          <cell r="KF290">
            <v>33.826000000000001</v>
          </cell>
          <cell r="KG290">
            <v>7.4</v>
          </cell>
          <cell r="KH290">
            <v>7.2590000000000003</v>
          </cell>
          <cell r="KI290">
            <v>29.096</v>
          </cell>
          <cell r="KJ290">
            <v>89.706999999999994</v>
          </cell>
          <cell r="KK290">
            <v>178.14</v>
          </cell>
          <cell r="KL290">
            <v>174.65799999999999</v>
          </cell>
          <cell r="KM290">
            <v>114.28700000000001</v>
          </cell>
          <cell r="KN290">
            <v>172.97900000000001</v>
          </cell>
          <cell r="KO290">
            <v>124.018</v>
          </cell>
          <cell r="KP290">
            <v>80.796000000000006</v>
          </cell>
          <cell r="KQ290">
            <v>69.603999999999999</v>
          </cell>
          <cell r="KR290">
            <v>101.508</v>
          </cell>
          <cell r="KS290">
            <v>40.340000000000003</v>
          </cell>
          <cell r="KT290">
            <v>35.774999999999999</v>
          </cell>
          <cell r="KU290">
            <v>75.597999999999999</v>
          </cell>
          <cell r="KV290">
            <v>118.929</v>
          </cell>
          <cell r="KW290">
            <v>189.15199999999999</v>
          </cell>
          <cell r="KX290">
            <v>189.32300000000001</v>
          </cell>
          <cell r="KY290">
            <v>163.16999999999999</v>
          </cell>
          <cell r="KZ290">
            <v>108.127</v>
          </cell>
          <cell r="LA290">
            <v>143.56899999999999</v>
          </cell>
          <cell r="LB290">
            <v>111.239</v>
          </cell>
          <cell r="LC290">
            <v>91.816999999999993</v>
          </cell>
          <cell r="LD290">
            <v>37.463000000000001</v>
          </cell>
          <cell r="LE290">
            <v>30.282</v>
          </cell>
          <cell r="LF290">
            <v>40.542999999999999</v>
          </cell>
          <cell r="LG290">
            <v>37.082000000000001</v>
          </cell>
          <cell r="LH290">
            <v>93.95</v>
          </cell>
          <cell r="LI290">
            <v>151.71899999999999</v>
          </cell>
          <cell r="LJ290">
            <v>174.36699999999999</v>
          </cell>
          <cell r="LK290">
            <v>170.251</v>
          </cell>
          <cell r="LL290">
            <v>130.58199999999999</v>
          </cell>
          <cell r="LM290">
            <v>133.55699999999999</v>
          </cell>
          <cell r="LN290">
            <v>73.415000000000006</v>
          </cell>
          <cell r="LO290">
            <v>85.635999999999996</v>
          </cell>
          <cell r="LP290">
            <v>60.673000000000002</v>
          </cell>
          <cell r="LQ290">
            <v>36.581000000000003</v>
          </cell>
          <cell r="LR290">
            <v>47.435000000000002</v>
          </cell>
          <cell r="LS290">
            <v>28.908000000000001</v>
          </cell>
          <cell r="LT290">
            <v>103.363</v>
          </cell>
          <cell r="LU290">
            <v>152.095</v>
          </cell>
          <cell r="LV290">
            <v>137.16800000000001</v>
          </cell>
          <cell r="LW290">
            <v>190.369</v>
          </cell>
          <cell r="LX290">
            <v>170.23099999999999</v>
          </cell>
          <cell r="LY290">
            <v>161.958</v>
          </cell>
          <cell r="LZ290">
            <v>142.93600000000001</v>
          </cell>
          <cell r="MA290">
            <v>138.447</v>
          </cell>
          <cell r="MB290">
            <v>157.30500000000001</v>
          </cell>
          <cell r="MC290">
            <v>115.443</v>
          </cell>
          <cell r="MD290">
            <v>65.599999999999994</v>
          </cell>
          <cell r="ME290">
            <v>60.551000000000002</v>
          </cell>
          <cell r="MF290">
            <v>160.98699999999999</v>
          </cell>
          <cell r="MG290">
            <v>210.79599999999999</v>
          </cell>
          <cell r="MH290">
            <v>243.529</v>
          </cell>
          <cell r="MI290">
            <v>203.89699999999999</v>
          </cell>
          <cell r="MJ290">
            <v>178.809</v>
          </cell>
          <cell r="MK290">
            <v>196.636</v>
          </cell>
          <cell r="ML290">
            <v>255.75200000000001</v>
          </cell>
          <cell r="MM290">
            <v>146.81100000000001</v>
          </cell>
          <cell r="MN290">
            <v>187.96199999999999</v>
          </cell>
          <cell r="MO290">
            <v>124.69</v>
          </cell>
          <cell r="MP290">
            <v>57.38</v>
          </cell>
          <cell r="MQ290">
            <v>26.454999999999998</v>
          </cell>
          <cell r="MR290">
            <v>132.589</v>
          </cell>
          <cell r="MS290">
            <v>208.53399999999999</v>
          </cell>
          <cell r="MT290">
            <v>175.44</v>
          </cell>
          <cell r="MU290">
            <v>221.68</v>
          </cell>
          <cell r="MV290">
            <v>171.05</v>
          </cell>
          <cell r="MW290">
            <v>194.649</v>
          </cell>
          <cell r="MX290">
            <v>173.90700000000001</v>
          </cell>
          <cell r="MY290">
            <v>124.244</v>
          </cell>
          <cell r="MZ290">
            <v>143.77000000000001</v>
          </cell>
          <cell r="NA290">
            <v>87.367000000000004</v>
          </cell>
          <cell r="NB290">
            <v>84.087000000000003</v>
          </cell>
          <cell r="NC290">
            <v>26.942</v>
          </cell>
          <cell r="ND290">
            <v>139.196</v>
          </cell>
          <cell r="NE290">
            <v>155.83799999999999</v>
          </cell>
          <cell r="NF290">
            <v>188.727</v>
          </cell>
          <cell r="NG290">
            <v>246.91200000000001</v>
          </cell>
        </row>
      </sheetData>
      <sheetData sheetId="23">
        <row r="290">
          <cell r="BS290">
            <v>8.0470000000000006</v>
          </cell>
          <cell r="BT290">
            <v>10.558999999999999</v>
          </cell>
          <cell r="BU290">
            <v>13.002000000000001</v>
          </cell>
          <cell r="BV290">
            <v>18.571000000000002</v>
          </cell>
          <cell r="BW290">
            <v>11.54</v>
          </cell>
          <cell r="BX290">
            <v>27.673999999999999</v>
          </cell>
          <cell r="BY290">
            <v>29.05</v>
          </cell>
          <cell r="BZ290">
            <v>53.048000000000002</v>
          </cell>
          <cell r="CA290">
            <v>44.188000000000002</v>
          </cell>
          <cell r="CB290">
            <v>37.442999999999998</v>
          </cell>
          <cell r="CC290">
            <v>32.250999999999998</v>
          </cell>
          <cell r="CD290">
            <v>36.753999999999998</v>
          </cell>
          <cell r="CE290">
            <v>21.317</v>
          </cell>
          <cell r="CF290">
            <v>18.98</v>
          </cell>
          <cell r="CG290">
            <v>21.094000000000001</v>
          </cell>
          <cell r="CH290">
            <v>22.672999999999998</v>
          </cell>
          <cell r="CI290">
            <v>29.317</v>
          </cell>
          <cell r="CJ290">
            <v>23.905000000000001</v>
          </cell>
          <cell r="CK290">
            <v>30.911000000000001</v>
          </cell>
          <cell r="CL290">
            <v>19.571000000000002</v>
          </cell>
          <cell r="CM290">
            <v>9.0579999999999998</v>
          </cell>
          <cell r="CN290">
            <v>4.9009999999999998</v>
          </cell>
          <cell r="CO290">
            <v>14.833</v>
          </cell>
          <cell r="CP290">
            <v>14.59</v>
          </cell>
          <cell r="CQ290">
            <v>6.806</v>
          </cell>
          <cell r="CR290">
            <v>25.547000000000001</v>
          </cell>
          <cell r="CS290">
            <v>18.175999999999998</v>
          </cell>
          <cell r="CT290">
            <v>43.96</v>
          </cell>
          <cell r="CU290">
            <v>16.93</v>
          </cell>
          <cell r="CV290">
            <v>28.771999999999998</v>
          </cell>
          <cell r="CW290">
            <v>46.768000000000001</v>
          </cell>
          <cell r="CX290">
            <v>34.548999999999999</v>
          </cell>
          <cell r="CY290">
            <v>20.202999999999999</v>
          </cell>
          <cell r="CZ290">
            <v>18.181000000000001</v>
          </cell>
          <cell r="DA290">
            <v>22.484000000000002</v>
          </cell>
          <cell r="DB290">
            <v>17.495999999999999</v>
          </cell>
          <cell r="DC290">
            <v>7.7560000000000002</v>
          </cell>
          <cell r="DD290">
            <v>11.342000000000001</v>
          </cell>
          <cell r="DE290">
            <v>12.661</v>
          </cell>
          <cell r="DF290">
            <v>10.959</v>
          </cell>
          <cell r="DG290">
            <v>10.087</v>
          </cell>
          <cell r="DH290">
            <v>13.044</v>
          </cell>
          <cell r="DI290">
            <v>12.538</v>
          </cell>
          <cell r="DJ290">
            <v>13.028</v>
          </cell>
          <cell r="DK290">
            <v>18.103000000000002</v>
          </cell>
          <cell r="DL290">
            <v>12.358000000000001</v>
          </cell>
          <cell r="DM290">
            <v>12.208</v>
          </cell>
          <cell r="DN290">
            <v>15.442</v>
          </cell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>
            <v>18.751448</v>
          </cell>
          <cell r="EB290">
            <v>13.501268</v>
          </cell>
          <cell r="EC290">
            <v>12.061005</v>
          </cell>
          <cell r="ED290">
            <v>19.958902999999999</v>
          </cell>
          <cell r="EE290">
            <v>11.408668</v>
          </cell>
          <cell r="EF290">
            <v>12.418218</v>
          </cell>
          <cell r="EG290">
            <v>19.107975</v>
          </cell>
          <cell r="EH290">
            <v>11.694851999999999</v>
          </cell>
          <cell r="EI290">
            <v>15.120333</v>
          </cell>
          <cell r="EJ290">
            <v>16.261733</v>
          </cell>
          <cell r="EK290">
            <v>12.793561</v>
          </cell>
          <cell r="EL290">
            <v>16.425913000000001</v>
          </cell>
          <cell r="EM290">
            <v>12.847117000000001</v>
          </cell>
          <cell r="EN290">
            <v>10.646936999999999</v>
          </cell>
          <cell r="EO290">
            <v>16.622592000000001</v>
          </cell>
          <cell r="EP290">
            <v>6.5055810000000003</v>
          </cell>
          <cell r="EQ290">
            <v>10.124034</v>
          </cell>
          <cell r="ER290">
            <v>8.1710750000000001</v>
          </cell>
          <cell r="ES290">
            <v>20.299699</v>
          </cell>
          <cell r="ET290">
            <v>42.284509999999997</v>
          </cell>
          <cell r="EU290">
            <v>20.388314000000001</v>
          </cell>
          <cell r="EV290">
            <v>19.677430000000001</v>
          </cell>
          <cell r="EW290">
            <v>12.355363000000001</v>
          </cell>
          <cell r="EX290">
            <v>6.1230169999999999</v>
          </cell>
          <cell r="EY290">
            <v>10.315795</v>
          </cell>
          <cell r="EZ290">
            <v>11.025251000000001</v>
          </cell>
          <cell r="FA290">
            <v>15.274702</v>
          </cell>
          <cell r="FB290">
            <v>16.86957</v>
          </cell>
          <cell r="FC290">
            <v>12.531931999999999</v>
          </cell>
          <cell r="FD290">
            <v>13.551333</v>
          </cell>
          <cell r="FE290">
            <v>17.536686</v>
          </cell>
          <cell r="FF290">
            <v>15.00642</v>
          </cell>
          <cell r="FG290">
            <v>14.795909</v>
          </cell>
          <cell r="FH290">
            <v>11.639063</v>
          </cell>
          <cell r="FI290">
            <v>9.8850280000000001</v>
          </cell>
          <cell r="FJ290">
            <v>11.796806999999999</v>
          </cell>
          <cell r="FK290">
            <v>9.8033870000000007</v>
          </cell>
          <cell r="FL290">
            <v>13.465697</v>
          </cell>
          <cell r="FM290">
            <v>13.546925999999999</v>
          </cell>
          <cell r="FN290">
            <v>10.024061</v>
          </cell>
          <cell r="FO290">
            <v>14.3117</v>
          </cell>
          <cell r="FP290">
            <v>10.241496</v>
          </cell>
          <cell r="FQ290">
            <v>6.3093320000000004</v>
          </cell>
          <cell r="FR290">
            <v>10.620818</v>
          </cell>
          <cell r="FS290">
            <v>15.120569</v>
          </cell>
          <cell r="FT290">
            <v>8.1944680000000005</v>
          </cell>
          <cell r="FU290">
            <v>10.629738</v>
          </cell>
          <cell r="FV290">
            <v>10.502348</v>
          </cell>
          <cell r="FW290">
            <v>13.957338999999999</v>
          </cell>
          <cell r="FX290">
            <v>8.8889589999999998</v>
          </cell>
          <cell r="FY290">
            <v>8.7075530000000008</v>
          </cell>
          <cell r="FZ290">
            <v>7.6744890000000003</v>
          </cell>
          <cell r="GA290">
            <v>8.1152040000000003</v>
          </cell>
          <cell r="GB290">
            <v>7.9550029999999996</v>
          </cell>
          <cell r="GC290">
            <v>8.6584450000000004</v>
          </cell>
          <cell r="GD290">
            <v>6.4611390000000002</v>
          </cell>
          <cell r="GE290">
            <v>5.3549249999999997</v>
          </cell>
          <cell r="GF290">
            <v>8.5401240000000005</v>
          </cell>
          <cell r="GG290">
            <v>9.0007640000000002</v>
          </cell>
          <cell r="GH290">
            <v>10.059881000000001</v>
          </cell>
          <cell r="GI290">
            <v>7.1575769999999999</v>
          </cell>
          <cell r="GJ290">
            <v>5.9884579999999996</v>
          </cell>
          <cell r="GK290">
            <v>9.7090169999999993</v>
          </cell>
          <cell r="GL290">
            <v>7.9638540000000004</v>
          </cell>
          <cell r="GM290">
            <v>5.5655659999999996</v>
          </cell>
          <cell r="GN290">
            <v>10.152053</v>
          </cell>
          <cell r="GO290">
            <v>19.847669</v>
          </cell>
          <cell r="GP290">
            <v>15.911218</v>
          </cell>
          <cell r="GQ290">
            <v>13.639238000000001</v>
          </cell>
          <cell r="GR290">
            <v>15.226621</v>
          </cell>
          <cell r="GS290">
            <v>8.967212</v>
          </cell>
          <cell r="GT290">
            <v>10.57663</v>
          </cell>
          <cell r="GU290">
            <v>7.6508089999999997</v>
          </cell>
          <cell r="GV290">
            <v>9.6423369999999995</v>
          </cell>
          <cell r="GW290">
            <v>19.275324999999999</v>
          </cell>
          <cell r="GX290">
            <v>3.399073</v>
          </cell>
          <cell r="GY290">
            <v>20.579886999999999</v>
          </cell>
          <cell r="GZ290">
            <v>14.691008999999999</v>
          </cell>
          <cell r="HA290">
            <v>19.714513</v>
          </cell>
          <cell r="HB290">
            <v>3.0524040000000001</v>
          </cell>
          <cell r="HC290">
            <v>1.3683890000000001</v>
          </cell>
          <cell r="HD290">
            <v>5.5078560000000003</v>
          </cell>
          <cell r="HE290">
            <v>4.7414519999999998</v>
          </cell>
          <cell r="HF290">
            <v>0.55176400000000003</v>
          </cell>
          <cell r="HG290">
            <v>1.97051</v>
          </cell>
          <cell r="HH290">
            <v>4.3297280000000002</v>
          </cell>
          <cell r="HI290">
            <v>4.5404590000000002</v>
          </cell>
          <cell r="HJ290">
            <v>8.7179999999999994E-2</v>
          </cell>
          <cell r="HK290">
            <v>1.7042010000000001</v>
          </cell>
          <cell r="HL290">
            <v>0.19653899999999999</v>
          </cell>
          <cell r="HM290">
            <v>1.299161</v>
          </cell>
          <cell r="HN290">
            <v>6.0419369999999999</v>
          </cell>
          <cell r="HO290">
            <v>9.4260169999999999</v>
          </cell>
          <cell r="HP290">
            <v>7.6440609999999998</v>
          </cell>
          <cell r="HQ290">
            <v>3.8457499999999998</v>
          </cell>
          <cell r="HR290">
            <v>2.7313809999999998</v>
          </cell>
          <cell r="HS290">
            <v>1.567105</v>
          </cell>
          <cell r="HT290">
            <v>5.1684840000000003</v>
          </cell>
          <cell r="HU290">
            <v>2.4753539999999998</v>
          </cell>
          <cell r="HV290">
            <v>4.8599379999999996</v>
          </cell>
          <cell r="HW290">
            <v>2.2464219999999999</v>
          </cell>
          <cell r="HX290">
            <v>2.245193</v>
          </cell>
          <cell r="HY290">
            <v>14.000272000000001</v>
          </cell>
          <cell r="HZ290">
            <v>8.7496310000000008</v>
          </cell>
          <cell r="IA290">
            <v>11.337035999999999</v>
          </cell>
          <cell r="IB290">
            <v>7.8350359999999997</v>
          </cell>
          <cell r="IC290">
            <v>31.561323000000002</v>
          </cell>
          <cell r="ID290">
            <v>22.647662</v>
          </cell>
          <cell r="IE290">
            <v>14.072618</v>
          </cell>
          <cell r="IF290">
            <v>23.851300999999999</v>
          </cell>
          <cell r="IG290">
            <v>22.854424999999999</v>
          </cell>
          <cell r="IH290">
            <v>15.18267</v>
          </cell>
          <cell r="II290">
            <v>3.3694280000000001</v>
          </cell>
          <cell r="IJ290">
            <v>6.2060380000000004</v>
          </cell>
          <cell r="IK290">
            <v>0.55527000000000004</v>
          </cell>
          <cell r="IL290">
            <v>1.5404910000000001</v>
          </cell>
          <cell r="IM290">
            <v>1.6929050000000001</v>
          </cell>
          <cell r="IN290">
            <v>0.43928699999999998</v>
          </cell>
          <cell r="IO290">
            <v>3.6887810000000001</v>
          </cell>
          <cell r="IP290">
            <v>1.024621</v>
          </cell>
          <cell r="IQ290">
            <v>0.22675000000000001</v>
          </cell>
          <cell r="IR290">
            <v>0.47149200000000002</v>
          </cell>
          <cell r="IS290">
            <v>0.276472</v>
          </cell>
          <cell r="IT290">
            <v>2.3584209999999999</v>
          </cell>
          <cell r="IU290">
            <v>0.20367499999999999</v>
          </cell>
          <cell r="IV290">
            <v>1.9528460000000001</v>
          </cell>
          <cell r="IW290">
            <v>0.59712100000000001</v>
          </cell>
          <cell r="IX290">
            <v>1.1675450000000001</v>
          </cell>
          <cell r="IY290">
            <v>6.1978020000000003</v>
          </cell>
          <cell r="IZ290">
            <v>2.823731</v>
          </cell>
          <cell r="JA290">
            <v>0.408827</v>
          </cell>
          <cell r="JB290">
            <v>0.60307599999999995</v>
          </cell>
          <cell r="JC290">
            <v>5.0807999999999999E-2</v>
          </cell>
          <cell r="JD290">
            <v>0.29945300000000002</v>
          </cell>
          <cell r="JE290">
            <v>0.30709999999999998</v>
          </cell>
          <cell r="JF290">
            <v>1.8798299999999999</v>
          </cell>
          <cell r="JG290">
            <v>2.719036</v>
          </cell>
          <cell r="JH290">
            <v>2.7335240000000001</v>
          </cell>
          <cell r="JI290">
            <v>3.0755590000000002</v>
          </cell>
          <cell r="JJ290">
            <v>2.423867</v>
          </cell>
          <cell r="JK290">
            <v>0.228295</v>
          </cell>
          <cell r="JL290">
            <v>3.4708679999999998</v>
          </cell>
          <cell r="JM290">
            <v>0.41253899999999999</v>
          </cell>
          <cell r="JN290">
            <v>0.46559099999999998</v>
          </cell>
          <cell r="JO290">
            <v>0.15176799999999999</v>
          </cell>
          <cell r="JP290">
            <v>9.7459000000000004E-2</v>
          </cell>
          <cell r="JQ290">
            <v>0.15376899999999999</v>
          </cell>
          <cell r="JR290">
            <v>0.22095200000000001</v>
          </cell>
          <cell r="JS290">
            <v>0.218111</v>
          </cell>
          <cell r="JT290">
            <v>0.24363099999999999</v>
          </cell>
          <cell r="JU290">
            <v>2.8536350000000001</v>
          </cell>
          <cell r="JV290">
            <v>3.9679880000000001</v>
          </cell>
          <cell r="JW290">
            <v>0.15445600000000001</v>
          </cell>
          <cell r="JX290">
            <v>0.17505399999999999</v>
          </cell>
          <cell r="JY290">
            <v>0.14063999999999999</v>
          </cell>
          <cell r="JZ290">
            <v>0.34489500000000001</v>
          </cell>
          <cell r="KA290">
            <v>0.10608099999999999</v>
          </cell>
          <cell r="KB290">
            <v>0.16849</v>
          </cell>
          <cell r="KC290">
            <v>0.134687</v>
          </cell>
          <cell r="KD290">
            <v>0.37026900000000001</v>
          </cell>
          <cell r="KE290">
            <v>0.32403599999999999</v>
          </cell>
          <cell r="KF290">
            <v>0.30601099999999998</v>
          </cell>
          <cell r="KG290">
            <v>0.72012600000000004</v>
          </cell>
          <cell r="KH290">
            <v>0.18122199999999999</v>
          </cell>
          <cell r="KI290">
            <v>0.13611599999999999</v>
          </cell>
          <cell r="KJ290">
            <v>0.44298500000000002</v>
          </cell>
          <cell r="KK290">
            <v>0.24987899999999999</v>
          </cell>
          <cell r="KL290">
            <v>0.14523</v>
          </cell>
          <cell r="KM290">
            <v>9.2578999999999995E-2</v>
          </cell>
          <cell r="KN290">
            <v>0.124585</v>
          </cell>
          <cell r="KO290">
            <v>0.294574</v>
          </cell>
          <cell r="KP290">
            <v>0.36954999999999999</v>
          </cell>
          <cell r="KQ290">
            <v>0.105681</v>
          </cell>
          <cell r="KR290">
            <v>0.38232899999999997</v>
          </cell>
          <cell r="KS290">
            <v>0.52591100000000002</v>
          </cell>
          <cell r="KT290">
            <v>0.29089199999999998</v>
          </cell>
          <cell r="KU290">
            <v>0.66932199999999997</v>
          </cell>
          <cell r="KV290">
            <v>1.089655</v>
          </cell>
          <cell r="KW290">
            <v>1.272043</v>
          </cell>
          <cell r="KX290">
            <v>0.622448</v>
          </cell>
          <cell r="KY290">
            <v>0.70087200000000005</v>
          </cell>
          <cell r="KZ290">
            <v>1.015873</v>
          </cell>
          <cell r="LA290">
            <v>1.370865</v>
          </cell>
          <cell r="LB290">
            <v>1.8731580000000001</v>
          </cell>
          <cell r="LC290">
            <v>1.4998830000000001</v>
          </cell>
          <cell r="LD290">
            <v>2.5526680000000002</v>
          </cell>
          <cell r="LE290">
            <v>2.6372550000000001</v>
          </cell>
          <cell r="LF290">
            <v>2.3873530000000001</v>
          </cell>
          <cell r="LG290">
            <v>2.0062169999999999</v>
          </cell>
          <cell r="LH290">
            <v>3.18994</v>
          </cell>
          <cell r="LI290">
            <v>2.6504639999999999</v>
          </cell>
          <cell r="LJ290">
            <v>3.643777</v>
          </cell>
          <cell r="LK290">
            <v>0.850553</v>
          </cell>
          <cell r="LL290">
            <v>3.5191089999999998</v>
          </cell>
          <cell r="LM290">
            <v>4.269107</v>
          </cell>
          <cell r="LN290">
            <v>2.9723090000000001</v>
          </cell>
          <cell r="LO290">
            <v>2.0317189999999998</v>
          </cell>
          <cell r="LP290">
            <v>1.4988459999999999</v>
          </cell>
          <cell r="LQ290">
            <v>1.9299599999999999</v>
          </cell>
          <cell r="LR290">
            <v>0.97689499999999996</v>
          </cell>
          <cell r="LS290">
            <v>1.402954</v>
          </cell>
          <cell r="LT290">
            <v>2.4607890000000001</v>
          </cell>
          <cell r="LU290">
            <v>2.930707</v>
          </cell>
          <cell r="LV290">
            <v>0.81913100000000005</v>
          </cell>
          <cell r="LW290">
            <v>0.48084100000000002</v>
          </cell>
          <cell r="LX290">
            <v>0.15345</v>
          </cell>
          <cell r="LY290">
            <v>0.19842299999999999</v>
          </cell>
          <cell r="LZ290">
            <v>0.31705299999999997</v>
          </cell>
          <cell r="MA290">
            <v>0.31989600000000001</v>
          </cell>
          <cell r="MB290">
            <v>0.15267900000000001</v>
          </cell>
          <cell r="MC290">
            <v>0.18010499999999999</v>
          </cell>
          <cell r="MD290">
            <v>0.23938100000000001</v>
          </cell>
          <cell r="ME290">
            <v>4.6809999999999997E-2</v>
          </cell>
          <cell r="MF290">
            <v>4.5170000000000002E-2</v>
          </cell>
          <cell r="MG290">
            <v>7.1859999999999993E-2</v>
          </cell>
          <cell r="MH290">
            <v>7.5949000000000003E-2</v>
          </cell>
          <cell r="MI290">
            <v>4.8582E-2</v>
          </cell>
          <cell r="MJ290">
            <v>9.2885999999999996E-2</v>
          </cell>
          <cell r="MK290">
            <v>2.3460000000000002E-2</v>
          </cell>
          <cell r="ML290">
            <v>2.5203E-2</v>
          </cell>
          <cell r="MM290">
            <v>0.117093</v>
          </cell>
          <cell r="MN290">
            <v>0.19597000000000001</v>
          </cell>
          <cell r="MO290">
            <v>7.3304999999999995E-2</v>
          </cell>
          <cell r="MP290">
            <v>0.10470500000000001</v>
          </cell>
          <cell r="MQ290">
            <v>0.16820199999999999</v>
          </cell>
          <cell r="MR290">
            <v>0.14796599999999999</v>
          </cell>
          <cell r="MS290">
            <v>8.9570999999999998E-2</v>
          </cell>
          <cell r="MT290">
            <v>5.4052000000000003E-2</v>
          </cell>
          <cell r="MU290">
            <v>0.161</v>
          </cell>
          <cell r="MV290">
            <v>7.1999999999999995E-2</v>
          </cell>
          <cell r="MW290">
            <v>0.104</v>
          </cell>
          <cell r="MX290">
            <v>8.4000000000000005E-2</v>
          </cell>
          <cell r="MY290">
            <v>3.6999999999999998E-2</v>
          </cell>
          <cell r="MZ290">
            <v>7.6999999999999999E-2</v>
          </cell>
          <cell r="NA290">
            <v>0.17599999999999999</v>
          </cell>
          <cell r="NB290">
            <v>0.17899999999999999</v>
          </cell>
          <cell r="NC290">
            <v>0.13500000000000001</v>
          </cell>
          <cell r="ND290">
            <v>7.9000000000000001E-2</v>
          </cell>
          <cell r="NE290">
            <v>3.2000000000000001E-2</v>
          </cell>
          <cell r="NF290">
            <v>0.04</v>
          </cell>
          <cell r="NG290">
            <v>9.0130000000000002E-3</v>
          </cell>
        </row>
      </sheetData>
      <sheetData sheetId="24">
        <row r="4">
          <cell r="B4">
            <v>0</v>
          </cell>
          <cell r="C4">
            <v>0</v>
          </cell>
          <cell r="D4">
            <v>0</v>
          </cell>
          <cell r="E4">
            <v>0.92208299999999999</v>
          </cell>
          <cell r="F4">
            <v>1.7131379999999998</v>
          </cell>
          <cell r="G4">
            <v>1.244658</v>
          </cell>
          <cell r="H4">
            <v>9.4766359999999992</v>
          </cell>
          <cell r="I4">
            <v>10.063794999999997</v>
          </cell>
          <cell r="J4">
            <v>8.0185770000000005</v>
          </cell>
          <cell r="K4">
            <v>37.719968000000001</v>
          </cell>
          <cell r="L4">
            <v>38.864387000000008</v>
          </cell>
          <cell r="M4">
            <v>102.61515800000001</v>
          </cell>
          <cell r="N4">
            <v>263.85399999999998</v>
          </cell>
          <cell r="O4">
            <v>275.52799999999996</v>
          </cell>
          <cell r="P4">
            <v>134.55500000000001</v>
          </cell>
          <cell r="Q4">
            <v>254.49900000000002</v>
          </cell>
          <cell r="R4">
            <v>89.867000000000004</v>
          </cell>
          <cell r="S4">
            <v>20.358999999999998</v>
          </cell>
          <cell r="T4">
            <v>224.16800000000001</v>
          </cell>
          <cell r="U4">
            <v>187.30599999999995</v>
          </cell>
          <cell r="V4">
            <v>83.947999999999993</v>
          </cell>
          <cell r="W4">
            <v>24.285000000000004</v>
          </cell>
          <cell r="X4">
            <v>22.183</v>
          </cell>
          <cell r="Y4">
            <v>3.7446770000000003</v>
          </cell>
          <cell r="Z4">
            <v>8.9521799999999985</v>
          </cell>
          <cell r="AA4">
            <v>18.442654000000001</v>
          </cell>
          <cell r="AB4">
            <v>20.032988000000003</v>
          </cell>
          <cell r="AC4">
            <v>22.629480999999998</v>
          </cell>
          <cell r="AD4">
            <v>88.99624399999999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2.1069999999999999E-3</v>
          </cell>
          <cell r="H37">
            <v>3.6343169999999998</v>
          </cell>
          <cell r="I37">
            <v>5.3725269999999998</v>
          </cell>
          <cell r="J37">
            <v>2.2530760000000001</v>
          </cell>
          <cell r="K37">
            <v>1.567636</v>
          </cell>
          <cell r="L37">
            <v>5.0603360000000004</v>
          </cell>
          <cell r="M37">
            <v>3.5369999999999999</v>
          </cell>
          <cell r="N37">
            <v>9.7449999999999974</v>
          </cell>
          <cell r="O37">
            <v>18.513999999999999</v>
          </cell>
          <cell r="P37">
            <v>5.7440000000000007</v>
          </cell>
          <cell r="Q37">
            <v>9.0990000000000002</v>
          </cell>
          <cell r="R37">
            <v>4.0070000000000006</v>
          </cell>
          <cell r="S37">
            <v>4.0000000000000001E-3</v>
          </cell>
          <cell r="T37">
            <v>0</v>
          </cell>
          <cell r="U37">
            <v>1.9289999999999998</v>
          </cell>
          <cell r="V37">
            <v>3.4450000000000003</v>
          </cell>
          <cell r="W37">
            <v>0.80700000000000005</v>
          </cell>
          <cell r="X37">
            <v>7.6129999999999995</v>
          </cell>
          <cell r="Y37">
            <v>16.087108000000001</v>
          </cell>
          <cell r="Z37">
            <v>17.497313000000002</v>
          </cell>
          <cell r="AA37">
            <v>8.4119899999999994</v>
          </cell>
          <cell r="AB37">
            <v>21.054562000000001</v>
          </cell>
          <cell r="AC37">
            <v>11.263733999999999</v>
          </cell>
          <cell r="AD37">
            <v>4.6215799999999998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12.066392</v>
          </cell>
          <cell r="F59">
            <v>20.226381999999997</v>
          </cell>
          <cell r="G59">
            <v>11.810479000000001</v>
          </cell>
          <cell r="H59">
            <v>48.03305300000001</v>
          </cell>
          <cell r="I59">
            <v>55.390698000000008</v>
          </cell>
          <cell r="J59">
            <v>22.382241999999998</v>
          </cell>
          <cell r="K59">
            <v>32.472595999999996</v>
          </cell>
          <cell r="L59">
            <v>25.567262999999997</v>
          </cell>
          <cell r="M59">
            <v>32.120533000000002</v>
          </cell>
          <cell r="N59">
            <v>65.733999999999995</v>
          </cell>
          <cell r="O59">
            <v>68.051000000000002</v>
          </cell>
          <cell r="P59">
            <v>106.48599999999999</v>
          </cell>
          <cell r="Q59">
            <v>155.36599999999999</v>
          </cell>
          <cell r="R59">
            <v>172.03299999999999</v>
          </cell>
          <cell r="S59">
            <v>103.72999999999999</v>
          </cell>
          <cell r="T59">
            <v>198.922</v>
          </cell>
          <cell r="U59">
            <v>277.67599999999999</v>
          </cell>
          <cell r="V59">
            <v>415.22199999999992</v>
          </cell>
          <cell r="W59">
            <v>455.75200000000001</v>
          </cell>
          <cell r="X59">
            <v>499.11800000000005</v>
          </cell>
          <cell r="Y59">
            <v>381.30119200000001</v>
          </cell>
          <cell r="Z59">
            <v>523.79797900000005</v>
          </cell>
          <cell r="AA59">
            <v>623.25894899999992</v>
          </cell>
          <cell r="AB59">
            <v>651.61561499999993</v>
          </cell>
          <cell r="AC59">
            <v>572.66913599999998</v>
          </cell>
          <cell r="AD59">
            <v>256.85327799999999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2.5975570000000001</v>
          </cell>
          <cell r="F74">
            <v>1.2131080000000001</v>
          </cell>
          <cell r="G74">
            <v>6.4288660000000002</v>
          </cell>
          <cell r="H74">
            <v>25.677698000000007</v>
          </cell>
          <cell r="I74">
            <v>5.1085539999999998</v>
          </cell>
          <cell r="J74">
            <v>1.0876810000000001</v>
          </cell>
          <cell r="K74">
            <v>14.328177</v>
          </cell>
          <cell r="L74">
            <v>18.033299</v>
          </cell>
          <cell r="M74">
            <v>71.537385999999998</v>
          </cell>
          <cell r="N74">
            <v>201.63300000000001</v>
          </cell>
          <cell r="O74">
            <v>187.83100000000002</v>
          </cell>
          <cell r="P74">
            <v>50.79</v>
          </cell>
          <cell r="Q74">
            <v>331.53399999999993</v>
          </cell>
          <cell r="R74">
            <v>175.93099999999998</v>
          </cell>
          <cell r="S74">
            <v>50.536000000000001</v>
          </cell>
          <cell r="T74">
            <v>648.447</v>
          </cell>
          <cell r="U74">
            <v>423.48700000000002</v>
          </cell>
          <cell r="V74">
            <v>831.53200000000004</v>
          </cell>
          <cell r="W74">
            <v>727.52800000000013</v>
          </cell>
          <cell r="X74">
            <v>854.971</v>
          </cell>
          <cell r="Y74">
            <v>1118.560199</v>
          </cell>
          <cell r="Z74">
            <v>1138.2492990000003</v>
          </cell>
          <cell r="AA74">
            <v>1774.0288899999998</v>
          </cell>
          <cell r="AB74">
            <v>2184.9858419999996</v>
          </cell>
          <cell r="AC74">
            <v>1761.7305850000005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1.5E-5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1.4E-2</v>
          </cell>
          <cell r="U88">
            <v>2.2169999999999996</v>
          </cell>
          <cell r="V88">
            <v>5.8719999999999999</v>
          </cell>
          <cell r="W88">
            <v>23.163999999999998</v>
          </cell>
          <cell r="X88">
            <v>134.48100000000002</v>
          </cell>
          <cell r="Y88">
            <v>126.514944</v>
          </cell>
          <cell r="Z88">
            <v>210.17816999999999</v>
          </cell>
          <cell r="AA88">
            <v>279.627093</v>
          </cell>
          <cell r="AB88">
            <v>741.88362700000005</v>
          </cell>
          <cell r="AC88">
            <v>421.78782500000005</v>
          </cell>
          <cell r="AD88">
            <v>108.808742</v>
          </cell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K88"/>
          <cell r="DL88">
            <v>1.5E-5</v>
          </cell>
          <cell r="DM88"/>
          <cell r="DN88"/>
          <cell r="DO88"/>
          <cell r="DP88"/>
          <cell r="DQ88"/>
          <cell r="DR88"/>
          <cell r="DS88"/>
          <cell r="DT88"/>
          <cell r="DU88"/>
          <cell r="DV88"/>
          <cell r="DW88"/>
          <cell r="DX88"/>
          <cell r="DY88"/>
          <cell r="DZ88"/>
          <cell r="EA88"/>
          <cell r="EB88"/>
          <cell r="EC88"/>
          <cell r="ED88"/>
          <cell r="EE88"/>
          <cell r="EF88"/>
          <cell r="EG88"/>
          <cell r="EH88"/>
          <cell r="EI88"/>
          <cell r="EJ88"/>
          <cell r="EK88"/>
          <cell r="EL88"/>
          <cell r="EM88"/>
          <cell r="EN88"/>
          <cell r="EO88"/>
          <cell r="EP88"/>
          <cell r="EQ88"/>
          <cell r="ER88"/>
          <cell r="ES88"/>
          <cell r="ET88"/>
          <cell r="EU88"/>
          <cell r="EV88"/>
          <cell r="EW88"/>
          <cell r="EX88"/>
          <cell r="EY88"/>
          <cell r="EZ88"/>
          <cell r="FA88"/>
          <cell r="FB88"/>
          <cell r="FC88"/>
          <cell r="FD88"/>
          <cell r="FE88"/>
          <cell r="FF88"/>
          <cell r="FG88"/>
          <cell r="FH88"/>
          <cell r="FI88"/>
          <cell r="FJ88"/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/>
          <cell r="GE88"/>
          <cell r="GF88"/>
          <cell r="GG88"/>
          <cell r="GH88"/>
          <cell r="GI88"/>
          <cell r="GJ88"/>
          <cell r="GK88"/>
          <cell r="GL88"/>
          <cell r="GM88"/>
          <cell r="GN88"/>
          <cell r="GO88"/>
          <cell r="GP88"/>
          <cell r="GQ88"/>
          <cell r="GR88"/>
          <cell r="GS88"/>
          <cell r="GT88"/>
          <cell r="GU88"/>
          <cell r="GV88"/>
          <cell r="GW88"/>
          <cell r="GX88"/>
          <cell r="GY88"/>
          <cell r="GZ88"/>
          <cell r="HA88"/>
          <cell r="HB88"/>
          <cell r="HC88"/>
          <cell r="HD88"/>
          <cell r="HE88"/>
          <cell r="HF88"/>
          <cell r="HG88"/>
          <cell r="HH88"/>
          <cell r="HI88"/>
          <cell r="HJ88"/>
          <cell r="HK88"/>
          <cell r="HL88"/>
          <cell r="HM88"/>
          <cell r="HN88"/>
          <cell r="HO88"/>
          <cell r="HP88"/>
          <cell r="HQ88"/>
          <cell r="HR88"/>
          <cell r="HS88"/>
          <cell r="HT88"/>
          <cell r="HU88"/>
          <cell r="HV88"/>
          <cell r="HW88"/>
          <cell r="HX88"/>
          <cell r="HY88"/>
          <cell r="HZ88"/>
          <cell r="IA88"/>
          <cell r="IB88"/>
          <cell r="IC88"/>
          <cell r="ID88"/>
          <cell r="IE88"/>
          <cell r="IF88"/>
          <cell r="IG88"/>
          <cell r="IH88"/>
          <cell r="II88"/>
          <cell r="IJ88"/>
          <cell r="IK88"/>
          <cell r="IL88"/>
          <cell r="IM88"/>
          <cell r="IN88"/>
          <cell r="IO88"/>
          <cell r="IP88"/>
          <cell r="IQ88">
            <v>1.4E-2</v>
          </cell>
          <cell r="IR88"/>
          <cell r="IS88"/>
          <cell r="IT88"/>
          <cell r="IU88"/>
          <cell r="IV88"/>
          <cell r="IW88"/>
          <cell r="IX88"/>
          <cell r="IY88"/>
          <cell r="IZ88">
            <v>2.5000000000000001E-2</v>
          </cell>
          <cell r="JA88"/>
          <cell r="JB88"/>
          <cell r="JC88">
            <v>1.4E-2</v>
          </cell>
          <cell r="JD88"/>
          <cell r="JE88"/>
          <cell r="JF88">
            <v>2.5999999999999999E-2</v>
          </cell>
          <cell r="JG88"/>
          <cell r="JH88">
            <v>0.61699999999999999</v>
          </cell>
          <cell r="JI88">
            <v>2.5999999999999999E-2</v>
          </cell>
          <cell r="JJ88">
            <v>1.5089999999999999</v>
          </cell>
          <cell r="JK88"/>
          <cell r="JL88">
            <v>0.996</v>
          </cell>
          <cell r="JM88">
            <v>0.97</v>
          </cell>
          <cell r="JN88">
            <v>4.4999999999999998E-2</v>
          </cell>
          <cell r="JO88">
            <v>0.02</v>
          </cell>
          <cell r="JP88">
            <v>2.5000000000000001E-2</v>
          </cell>
          <cell r="JQ88">
            <v>2.8000000000000001E-2</v>
          </cell>
          <cell r="JR88">
            <v>0.312</v>
          </cell>
          <cell r="JS88">
            <v>2.4009999999999998</v>
          </cell>
          <cell r="JT88">
            <v>8.1000000000000003E-2</v>
          </cell>
          <cell r="JU88">
            <v>0.13800000000000001</v>
          </cell>
          <cell r="JV88">
            <v>8.4000000000000005E-2</v>
          </cell>
          <cell r="JW88">
            <v>0.77200000000000002</v>
          </cell>
          <cell r="JX88">
            <v>0.115</v>
          </cell>
          <cell r="JY88">
            <v>2.6469999999999998</v>
          </cell>
          <cell r="JZ88">
            <v>3.38</v>
          </cell>
          <cell r="KA88">
            <v>0.41199999999999998</v>
          </cell>
          <cell r="KB88">
            <v>3.2360000000000002</v>
          </cell>
          <cell r="KC88">
            <v>1.621</v>
          </cell>
          <cell r="KD88">
            <v>3.2770000000000001</v>
          </cell>
          <cell r="KE88">
            <v>3.5840000000000001</v>
          </cell>
          <cell r="KF88">
            <v>0.76300000000000001</v>
          </cell>
          <cell r="KG88">
            <v>3.6560000000000001</v>
          </cell>
          <cell r="KH88">
            <v>0.25</v>
          </cell>
          <cell r="KI88">
            <v>0.223</v>
          </cell>
          <cell r="KJ88">
            <v>1.744</v>
          </cell>
          <cell r="KK88">
            <v>7.4809999999999999</v>
          </cell>
          <cell r="KL88">
            <v>18.484999999999999</v>
          </cell>
          <cell r="KM88">
            <v>11.706</v>
          </cell>
          <cell r="KN88">
            <v>23.956</v>
          </cell>
          <cell r="KO88">
            <v>14.077</v>
          </cell>
          <cell r="KP88">
            <v>21.893000000000001</v>
          </cell>
          <cell r="KQ88">
            <v>12.670999999999999</v>
          </cell>
          <cell r="KR88">
            <v>8.6750000000000007</v>
          </cell>
          <cell r="KS88">
            <v>7.6189999999999998</v>
          </cell>
          <cell r="KT88">
            <v>3.9950000000000001</v>
          </cell>
          <cell r="KU88">
            <v>2.1789999999999998</v>
          </cell>
          <cell r="KV88">
            <v>7.2990000000000004</v>
          </cell>
          <cell r="KW88">
            <v>8.2769999999999992</v>
          </cell>
          <cell r="KX88">
            <v>7.2320000000000002</v>
          </cell>
          <cell r="KY88">
            <v>14.297000000000001</v>
          </cell>
          <cell r="KZ88">
            <v>17.36</v>
          </cell>
          <cell r="LA88">
            <v>4.3109999999999999</v>
          </cell>
          <cell r="LB88">
            <v>12.74</v>
          </cell>
          <cell r="LC88">
            <v>3.161</v>
          </cell>
          <cell r="LD88">
            <v>15.409668999999999</v>
          </cell>
          <cell r="LE88">
            <v>2.6602440000000001</v>
          </cell>
          <cell r="LF88">
            <v>9.6829029999999996</v>
          </cell>
          <cell r="LG88">
            <v>24.085128000000001</v>
          </cell>
          <cell r="LH88">
            <v>3.8376670000000002</v>
          </cell>
          <cell r="LI88">
            <v>7.8374259999999998</v>
          </cell>
          <cell r="LJ88">
            <v>32.368347999999997</v>
          </cell>
          <cell r="LK88">
            <v>2.4994519999999998</v>
          </cell>
          <cell r="LL88">
            <v>30.609480000000001</v>
          </cell>
          <cell r="LM88">
            <v>17.762045000000001</v>
          </cell>
          <cell r="LN88">
            <v>1.7398439999999999</v>
          </cell>
          <cell r="LO88">
            <v>26.574925</v>
          </cell>
          <cell r="LP88">
            <v>36.713355</v>
          </cell>
          <cell r="LQ88">
            <v>4.2336689999999999</v>
          </cell>
          <cell r="LR88">
            <v>34.446356999999999</v>
          </cell>
          <cell r="LS88">
            <v>11.555602</v>
          </cell>
          <cell r="LT88">
            <v>3.182242</v>
          </cell>
          <cell r="LU88">
            <v>5.7413920000000003</v>
          </cell>
          <cell r="LV88">
            <v>27.527318000000001</v>
          </cell>
          <cell r="LW88">
            <v>8.1961119999999994</v>
          </cell>
          <cell r="LX88">
            <v>15.457433999999999</v>
          </cell>
          <cell r="LY88">
            <v>12.801622999999999</v>
          </cell>
          <cell r="LZ88">
            <v>30.480912</v>
          </cell>
          <cell r="MA88">
            <v>30.726984000000002</v>
          </cell>
          <cell r="MB88">
            <v>11.120998999999999</v>
          </cell>
          <cell r="MC88">
            <v>29.766155999999999</v>
          </cell>
          <cell r="MD88">
            <v>55.919711999999997</v>
          </cell>
          <cell r="ME88">
            <v>48.706209000000001</v>
          </cell>
          <cell r="MF88">
            <v>44.511986999999998</v>
          </cell>
          <cell r="MG88">
            <v>20.554193999999999</v>
          </cell>
          <cell r="MH88">
            <v>81.879011000000006</v>
          </cell>
          <cell r="MI88">
            <v>16.320573</v>
          </cell>
          <cell r="MJ88">
            <v>71.140647999999999</v>
          </cell>
          <cell r="MK88">
            <v>100.524024</v>
          </cell>
          <cell r="ML88">
            <v>64.654798</v>
          </cell>
          <cell r="MM88">
            <v>66.902749999999997</v>
          </cell>
          <cell r="MN88">
            <v>82.198121999999998</v>
          </cell>
          <cell r="MO88">
            <v>77.934293999999994</v>
          </cell>
          <cell r="MP88">
            <v>99.282826</v>
          </cell>
          <cell r="MQ88">
            <v>15.980399999999999</v>
          </cell>
          <cell r="MR88">
            <v>33.858013</v>
          </cell>
          <cell r="MS88">
            <v>81.196948000000006</v>
          </cell>
          <cell r="MT88">
            <v>60.270864000000003</v>
          </cell>
          <cell r="MU88">
            <v>37.749000000000002</v>
          </cell>
          <cell r="MV88">
            <v>18.911000000000001</v>
          </cell>
          <cell r="MW88">
            <v>111.306</v>
          </cell>
          <cell r="MX88">
            <v>49.784999999999997</v>
          </cell>
          <cell r="MY88">
            <v>6.6059999999999999</v>
          </cell>
          <cell r="MZ88">
            <v>7.8090000000000002</v>
          </cell>
          <cell r="NA88">
            <v>10.083</v>
          </cell>
          <cell r="NB88">
            <v>3.9630000000000001</v>
          </cell>
          <cell r="NC88">
            <v>0.25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1.9588499999999998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37.514000000000003</v>
          </cell>
          <cell r="P102">
            <v>0</v>
          </cell>
          <cell r="Q102">
            <v>60.337000000000003</v>
          </cell>
          <cell r="R102">
            <v>26.496000000000002</v>
          </cell>
          <cell r="S102">
            <v>0</v>
          </cell>
          <cell r="T102">
            <v>22.936</v>
          </cell>
          <cell r="U102">
            <v>0</v>
          </cell>
          <cell r="V102">
            <v>0</v>
          </cell>
          <cell r="W102">
            <v>0.248</v>
          </cell>
          <cell r="X102">
            <v>0.217</v>
          </cell>
          <cell r="Y102">
            <v>28.196404000000001</v>
          </cell>
          <cell r="Z102">
            <v>18.281071000000001</v>
          </cell>
          <cell r="AA102">
            <v>142.43678</v>
          </cell>
          <cell r="AB102">
            <v>482.73724399999998</v>
          </cell>
          <cell r="AC102">
            <v>261.878602</v>
          </cell>
          <cell r="AD102">
            <v>330.23236099999997</v>
          </cell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>
            <v>1.3062499999999999</v>
          </cell>
          <cell r="CQ102">
            <v>0.4199</v>
          </cell>
          <cell r="CR102">
            <v>0.23269999999999999</v>
          </cell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K102"/>
          <cell r="DL102"/>
          <cell r="DM102"/>
          <cell r="DN102"/>
          <cell r="DO102"/>
          <cell r="DP102"/>
          <cell r="DQ102"/>
          <cell r="DR102"/>
          <cell r="DS102"/>
          <cell r="DT102"/>
          <cell r="DU102"/>
          <cell r="DV102"/>
          <cell r="DW102"/>
          <cell r="DX102"/>
          <cell r="DY102"/>
          <cell r="DZ102"/>
          <cell r="EA102"/>
          <cell r="EB102"/>
          <cell r="EC102"/>
          <cell r="ED102"/>
          <cell r="EE102"/>
          <cell r="EF102"/>
          <cell r="EG102"/>
          <cell r="EH102"/>
          <cell r="EI102"/>
          <cell r="EJ102"/>
          <cell r="EK102"/>
          <cell r="EL102"/>
          <cell r="EM102"/>
          <cell r="EN102"/>
          <cell r="EO102"/>
          <cell r="EP102"/>
          <cell r="EQ102"/>
          <cell r="ER102"/>
          <cell r="ES102"/>
          <cell r="ET102"/>
          <cell r="EU102"/>
          <cell r="EV102"/>
          <cell r="EW102"/>
          <cell r="EX102"/>
          <cell r="EY102"/>
          <cell r="EZ102"/>
          <cell r="FA102"/>
          <cell r="FB102"/>
          <cell r="FC102"/>
          <cell r="FD102"/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>
            <v>25.696000000000002</v>
          </cell>
          <cell r="GI102"/>
          <cell r="GJ102"/>
          <cell r="GK102">
            <v>11.818</v>
          </cell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>
            <v>4.4210000000000003</v>
          </cell>
          <cell r="HF102">
            <v>18.88</v>
          </cell>
          <cell r="HG102">
            <v>12.275</v>
          </cell>
          <cell r="HH102"/>
          <cell r="HI102"/>
          <cell r="HJ102"/>
          <cell r="HK102"/>
          <cell r="HL102">
            <v>4.2009999999999996</v>
          </cell>
          <cell r="HM102">
            <v>10.521000000000001</v>
          </cell>
          <cell r="HN102">
            <v>10.039</v>
          </cell>
          <cell r="HO102"/>
          <cell r="HP102"/>
          <cell r="HQ102"/>
          <cell r="HR102">
            <v>3.4940000000000002</v>
          </cell>
          <cell r="HS102"/>
          <cell r="HT102">
            <v>13.984</v>
          </cell>
          <cell r="HU102"/>
          <cell r="HV102">
            <v>5.9409999999999998</v>
          </cell>
          <cell r="HW102"/>
          <cell r="HX102"/>
          <cell r="HY102"/>
          <cell r="HZ102"/>
          <cell r="IA102">
            <v>3.077</v>
          </cell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  <cell r="IO102"/>
          <cell r="IP102">
            <v>5.9050000000000002</v>
          </cell>
          <cell r="IQ102">
            <v>5.9130000000000003</v>
          </cell>
          <cell r="IR102"/>
          <cell r="IS102">
            <v>11.118</v>
          </cell>
          <cell r="IT102"/>
          <cell r="IU102"/>
          <cell r="IV102"/>
          <cell r="IW102"/>
          <cell r="IX102"/>
          <cell r="IY102"/>
          <cell r="IZ102"/>
          <cell r="JA102"/>
          <cell r="JB102"/>
          <cell r="JC102"/>
          <cell r="JD102"/>
          <cell r="JE102"/>
          <cell r="JF102"/>
          <cell r="JG102"/>
          <cell r="JH102"/>
          <cell r="JI102"/>
          <cell r="JJ102"/>
          <cell r="JK102"/>
          <cell r="JL102"/>
          <cell r="JM102"/>
          <cell r="JN102"/>
          <cell r="JO102"/>
          <cell r="JP102"/>
          <cell r="JQ102"/>
          <cell r="JR102"/>
          <cell r="JS102"/>
          <cell r="JT102"/>
          <cell r="JU102"/>
          <cell r="JV102"/>
          <cell r="JW102"/>
          <cell r="JX102"/>
          <cell r="JY102">
            <v>0.248</v>
          </cell>
          <cell r="JZ102"/>
          <cell r="KA102"/>
          <cell r="KB102"/>
          <cell r="KC102"/>
          <cell r="KD102"/>
          <cell r="KE102"/>
          <cell r="KF102"/>
          <cell r="KG102"/>
          <cell r="KH102"/>
          <cell r="KI102"/>
          <cell r="KJ102"/>
          <cell r="KK102"/>
          <cell r="KL102">
            <v>0.217</v>
          </cell>
          <cell r="KM102"/>
          <cell r="KN102"/>
          <cell r="KO102"/>
          <cell r="KP102"/>
          <cell r="KQ102"/>
          <cell r="KR102"/>
          <cell r="KS102"/>
          <cell r="KT102"/>
          <cell r="KU102"/>
          <cell r="KV102"/>
          <cell r="KW102"/>
          <cell r="KX102"/>
          <cell r="KY102">
            <v>5.7770000000000001</v>
          </cell>
          <cell r="KZ102">
            <v>5.43</v>
          </cell>
          <cell r="LA102">
            <v>16</v>
          </cell>
          <cell r="LB102"/>
          <cell r="LC102"/>
          <cell r="LD102"/>
          <cell r="LE102"/>
          <cell r="LF102">
            <v>0.98940399999999995</v>
          </cell>
          <cell r="LG102"/>
          <cell r="LH102"/>
          <cell r="LI102">
            <v>9.2802720000000001</v>
          </cell>
          <cell r="LJ102"/>
          <cell r="LK102"/>
          <cell r="LL102">
            <v>9.0007990000000007</v>
          </cell>
          <cell r="LM102"/>
          <cell r="LN102"/>
          <cell r="LO102"/>
          <cell r="LP102"/>
          <cell r="LQ102"/>
          <cell r="LR102"/>
          <cell r="LS102"/>
          <cell r="LT102"/>
          <cell r="LU102">
            <v>0.15214</v>
          </cell>
          <cell r="LV102">
            <v>7.3328300000000004</v>
          </cell>
          <cell r="LW102"/>
          <cell r="LX102">
            <v>6.15</v>
          </cell>
          <cell r="LY102">
            <v>17.591038999999999</v>
          </cell>
          <cell r="LZ102"/>
          <cell r="MA102"/>
          <cell r="MB102">
            <v>19.047692000000001</v>
          </cell>
          <cell r="MC102">
            <v>20</v>
          </cell>
          <cell r="MD102">
            <v>19</v>
          </cell>
          <cell r="ME102">
            <v>53.163079000000003</v>
          </cell>
          <cell r="MF102"/>
          <cell r="MG102">
            <v>59.333725000000001</v>
          </cell>
          <cell r="MH102">
            <v>46.229304999999997</v>
          </cell>
          <cell r="MI102">
            <v>81.814419000000001</v>
          </cell>
          <cell r="MJ102">
            <v>57.659605999999997</v>
          </cell>
          <cell r="MK102">
            <v>74.900451000000004</v>
          </cell>
          <cell r="ML102">
            <v>47.818022999999997</v>
          </cell>
          <cell r="MM102">
            <v>36.805739000000003</v>
          </cell>
          <cell r="MN102">
            <v>10.017265</v>
          </cell>
          <cell r="MO102">
            <v>19.057307999999999</v>
          </cell>
          <cell r="MP102">
            <v>38.911959000000003</v>
          </cell>
          <cell r="MQ102">
            <v>10.189444</v>
          </cell>
          <cell r="MR102">
            <v>18.899999999999999</v>
          </cell>
          <cell r="MS102">
            <v>8.1464510000000008</v>
          </cell>
          <cell r="MT102">
            <v>55.556151</v>
          </cell>
          <cell r="MU102"/>
          <cell r="MV102">
            <v>13</v>
          </cell>
          <cell r="MW102">
            <v>19.023</v>
          </cell>
          <cell r="MX102">
            <v>39.104999999999997</v>
          </cell>
          <cell r="MY102">
            <v>20.013999999999999</v>
          </cell>
          <cell r="MZ102"/>
          <cell r="NA102">
            <v>6</v>
          </cell>
          <cell r="NB102">
            <v>82.134</v>
          </cell>
          <cell r="NC102"/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4.2720000000000001E-2</v>
          </cell>
          <cell r="Z103">
            <v>0</v>
          </cell>
          <cell r="AA103">
            <v>0</v>
          </cell>
          <cell r="AB103">
            <v>0</v>
          </cell>
          <cell r="AC103">
            <v>2.5458999999999999E-2</v>
          </cell>
          <cell r="AD103">
            <v>0.63778000000000001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15.655999999999999</v>
          </cell>
          <cell r="O104">
            <v>80.28</v>
          </cell>
          <cell r="P104">
            <v>3.0070000000000001</v>
          </cell>
          <cell r="Q104">
            <v>35.704000000000001</v>
          </cell>
          <cell r="R104">
            <v>26.044999999999998</v>
          </cell>
          <cell r="S104">
            <v>0</v>
          </cell>
          <cell r="T104">
            <v>26.411000000000001</v>
          </cell>
          <cell r="U104">
            <v>18.820999999999998</v>
          </cell>
          <cell r="V104">
            <v>58.946999999999996</v>
          </cell>
          <cell r="W104">
            <v>41.298999999999999</v>
          </cell>
          <cell r="X104">
            <v>53.03</v>
          </cell>
          <cell r="Y104">
            <v>208.85631800000002</v>
          </cell>
          <cell r="Z104">
            <v>220.26260100000002</v>
          </cell>
          <cell r="AA104">
            <v>640.44982200000004</v>
          </cell>
          <cell r="AB104">
            <v>0</v>
          </cell>
          <cell r="AC104">
            <v>0</v>
          </cell>
          <cell r="AD104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2.5652000000000001E-2</v>
          </cell>
          <cell r="H107">
            <v>1.728E-2</v>
          </cell>
          <cell r="I107">
            <v>0.78155600000000003</v>
          </cell>
          <cell r="J107">
            <v>9.725000000000001E-3</v>
          </cell>
          <cell r="K107">
            <v>7.0479999999999996E-3</v>
          </cell>
          <cell r="L107">
            <v>5.9192000000000002E-2</v>
          </cell>
          <cell r="M107">
            <v>2.0599999999999996</v>
          </cell>
          <cell r="N107">
            <v>3.3839999999999999</v>
          </cell>
          <cell r="O107">
            <v>1.5579999999999998</v>
          </cell>
          <cell r="P107">
            <v>8.4999999999999992E-2</v>
          </cell>
          <cell r="Q107">
            <v>0.29700000000000004</v>
          </cell>
          <cell r="R107">
            <v>0.39299999999999996</v>
          </cell>
          <cell r="S107">
            <v>0.19400000000000001</v>
          </cell>
          <cell r="T107">
            <v>1.65</v>
          </cell>
          <cell r="U107">
            <v>2.6280000000000001</v>
          </cell>
          <cell r="V107">
            <v>4.7269999999999994</v>
          </cell>
          <cell r="W107">
            <v>3.2370000000000001</v>
          </cell>
          <cell r="X107">
            <v>3.0219999999999994</v>
          </cell>
          <cell r="Y107">
            <v>3.1866690000000002</v>
          </cell>
          <cell r="Z107">
            <v>7.2126049999999999</v>
          </cell>
          <cell r="AA107">
            <v>7.1391219999999995</v>
          </cell>
          <cell r="AB107">
            <v>13.687138999999998</v>
          </cell>
          <cell r="AC107">
            <v>7.3816100000000011</v>
          </cell>
          <cell r="AD107">
            <v>8.0997749999999993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1.4999999999999999E-2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5.1999999999999998E-2</v>
          </cell>
          <cell r="V108">
            <v>4.2999999999999997E-2</v>
          </cell>
          <cell r="W108">
            <v>0</v>
          </cell>
          <cell r="X108">
            <v>4.0000000000000001E-3</v>
          </cell>
          <cell r="Y108">
            <v>8.3900000000000001E-4</v>
          </cell>
          <cell r="Z108">
            <v>2.9E-5</v>
          </cell>
          <cell r="AA108">
            <v>0.105</v>
          </cell>
          <cell r="AB108">
            <v>1.1744490000000001</v>
          </cell>
          <cell r="AC108">
            <v>3.596282</v>
          </cell>
          <cell r="AD108">
            <v>5.7219319999999998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2.992</v>
          </cell>
          <cell r="N109">
            <v>3.0720000000000001</v>
          </cell>
          <cell r="O109">
            <v>3.71</v>
          </cell>
          <cell r="P109">
            <v>3.7210000000000001</v>
          </cell>
          <cell r="Q109">
            <v>3.9729999999999999</v>
          </cell>
          <cell r="R109">
            <v>0</v>
          </cell>
          <cell r="S109">
            <v>0</v>
          </cell>
          <cell r="T109">
            <v>1E-3</v>
          </cell>
          <cell r="U109">
            <v>0</v>
          </cell>
          <cell r="V109">
            <v>1.6679999999999999</v>
          </cell>
          <cell r="W109">
            <v>0.67799999999999994</v>
          </cell>
          <cell r="X109">
            <v>0.24099999999999999</v>
          </cell>
          <cell r="Y109">
            <v>0.10936700000000001</v>
          </cell>
          <cell r="Z109">
            <v>1.5786140000000002</v>
          </cell>
          <cell r="AA109">
            <v>0.43401000000000001</v>
          </cell>
          <cell r="AB109">
            <v>8.5299589999999998</v>
          </cell>
          <cell r="AC109">
            <v>3.2468319999999999</v>
          </cell>
          <cell r="AD109">
            <v>7.5504799999999994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2.8736999999999999E-2</v>
          </cell>
          <cell r="M112">
            <v>1.4E-2</v>
          </cell>
          <cell r="N112">
            <v>4.5999999999999999E-2</v>
          </cell>
          <cell r="O112">
            <v>0</v>
          </cell>
          <cell r="P112">
            <v>0</v>
          </cell>
          <cell r="Q112">
            <v>0.6</v>
          </cell>
          <cell r="R112">
            <v>0.55100000000000005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7.0000000000000001E-3</v>
          </cell>
          <cell r="X112">
            <v>0.60199999999999998</v>
          </cell>
          <cell r="Y112">
            <v>0</v>
          </cell>
          <cell r="Z112">
            <v>0</v>
          </cell>
          <cell r="AA112">
            <v>0.50523299999999993</v>
          </cell>
          <cell r="AB112">
            <v>3.3133070000000004</v>
          </cell>
          <cell r="AC112">
            <v>2.4880909999999998</v>
          </cell>
          <cell r="AD112">
            <v>2.2707459999999999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0.17599999999999999</v>
          </cell>
          <cell r="U117">
            <v>0</v>
          </cell>
          <cell r="V117">
            <v>0</v>
          </cell>
          <cell r="W117">
            <v>0.58599999999999997</v>
          </cell>
          <cell r="X117">
            <v>3.6779999999999999</v>
          </cell>
          <cell r="Y117">
            <v>10.883320000000001</v>
          </cell>
          <cell r="Z117">
            <v>4.95749</v>
          </cell>
          <cell r="AA117">
            <v>9.39297</v>
          </cell>
          <cell r="AB117">
            <v>27.417209999999997</v>
          </cell>
          <cell r="AC117">
            <v>20.650969</v>
          </cell>
          <cell r="AD117">
            <v>11.13672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2E-3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1.2184170000000001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3.1309999999999998</v>
          </cell>
          <cell r="R140">
            <v>6.9729999999999999</v>
          </cell>
          <cell r="S140">
            <v>11.010999999999999</v>
          </cell>
          <cell r="T140">
            <v>35.453000000000003</v>
          </cell>
          <cell r="U140">
            <v>12.295</v>
          </cell>
          <cell r="V140">
            <v>27.616</v>
          </cell>
          <cell r="W140">
            <v>35.528999999999996</v>
          </cell>
          <cell r="X140">
            <v>55.324999999999996</v>
          </cell>
          <cell r="Y140">
            <v>56</v>
          </cell>
          <cell r="Z140">
            <v>88.958779000000007</v>
          </cell>
          <cell r="AA140">
            <v>68.797201999999999</v>
          </cell>
          <cell r="AB140">
            <v>48</v>
          </cell>
          <cell r="AC140">
            <v>55.158000000000001</v>
          </cell>
          <cell r="AD140">
            <v>51.881266999999994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1.100363</v>
          </cell>
          <cell r="J146">
            <v>0.68219300000000005</v>
          </cell>
          <cell r="K146">
            <v>0</v>
          </cell>
          <cell r="L146">
            <v>3.7720980000000002</v>
          </cell>
          <cell r="M146">
            <v>7.7001579999999992</v>
          </cell>
          <cell r="N146">
            <v>18.380000000000003</v>
          </cell>
          <cell r="O146">
            <v>13.105</v>
          </cell>
          <cell r="P146">
            <v>10.504999999999999</v>
          </cell>
          <cell r="Q146">
            <v>48.116</v>
          </cell>
          <cell r="R146">
            <v>2.2280000000000002</v>
          </cell>
          <cell r="S146">
            <v>2.3119999999999998</v>
          </cell>
          <cell r="T146">
            <v>8.5730000000000004</v>
          </cell>
          <cell r="U146">
            <v>3.149</v>
          </cell>
          <cell r="V146">
            <v>4.3849999999999998</v>
          </cell>
          <cell r="W146">
            <v>0</v>
          </cell>
          <cell r="X146">
            <v>0</v>
          </cell>
          <cell r="Y146">
            <v>4.0097659999999999</v>
          </cell>
          <cell r="Z146">
            <v>14.258889999999999</v>
          </cell>
          <cell r="AA146">
            <v>46.822382999999995</v>
          </cell>
          <cell r="AB146">
            <v>0</v>
          </cell>
          <cell r="AC146">
            <v>0</v>
          </cell>
          <cell r="AD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1.4345E-2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0.26012799999999997</v>
          </cell>
          <cell r="AD148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2.0212110000000001</v>
          </cell>
          <cell r="F151">
            <v>1.15215</v>
          </cell>
          <cell r="G151">
            <v>4.4355700000000002</v>
          </cell>
          <cell r="H151">
            <v>25.324944000000006</v>
          </cell>
          <cell r="I151">
            <v>3.0184369999999996</v>
          </cell>
          <cell r="J151">
            <v>0.312162</v>
          </cell>
          <cell r="K151">
            <v>9.9821860000000004</v>
          </cell>
          <cell r="L151">
            <v>9.5973199999999999</v>
          </cell>
          <cell r="M151">
            <v>48.536390000000004</v>
          </cell>
          <cell r="N151">
            <v>120.854</v>
          </cell>
          <cell r="O151">
            <v>32.694000000000003</v>
          </cell>
          <cell r="P151">
            <v>28.544</v>
          </cell>
          <cell r="Q151">
            <v>159.61599999999999</v>
          </cell>
          <cell r="R151">
            <v>95.582999999999998</v>
          </cell>
          <cell r="S151">
            <v>22.375999999999998</v>
          </cell>
          <cell r="T151">
            <v>505.95500000000004</v>
          </cell>
          <cell r="U151">
            <v>348.62599999999998</v>
          </cell>
          <cell r="V151">
            <v>644.59</v>
          </cell>
          <cell r="W151">
            <v>567.73100000000011</v>
          </cell>
          <cell r="X151">
            <v>546.18700000000001</v>
          </cell>
          <cell r="Y151">
            <v>503.40383200000002</v>
          </cell>
          <cell r="Z151">
            <v>378.53263800000002</v>
          </cell>
          <cell r="AA151">
            <v>455.41466799999995</v>
          </cell>
          <cell r="AB151">
            <v>669.31877699999995</v>
          </cell>
          <cell r="AC151">
            <v>767.79106400000001</v>
          </cell>
          <cell r="AD151">
            <v>908.22801900000002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2.8455839999999997</v>
          </cell>
          <cell r="F164">
            <v>0</v>
          </cell>
          <cell r="G164">
            <v>6.9834069999999997</v>
          </cell>
          <cell r="H164">
            <v>111.644735</v>
          </cell>
          <cell r="I164">
            <v>48.205151000000001</v>
          </cell>
          <cell r="J164">
            <v>3.7715360000000002</v>
          </cell>
          <cell r="K164">
            <v>7.6820620000000002</v>
          </cell>
          <cell r="L164">
            <v>47.547357999999996</v>
          </cell>
          <cell r="M164">
            <v>18.026</v>
          </cell>
          <cell r="N164">
            <v>86.739000000000004</v>
          </cell>
          <cell r="O164">
            <v>150.92099999999999</v>
          </cell>
          <cell r="P164">
            <v>29.323999999999998</v>
          </cell>
          <cell r="Q164">
            <v>48.903000000000006</v>
          </cell>
          <cell r="R164">
            <v>59.888000000000005</v>
          </cell>
          <cell r="S164">
            <v>17.638000000000002</v>
          </cell>
          <cell r="T164">
            <v>355.07300000000004</v>
          </cell>
          <cell r="U164">
            <v>161.67699999999999</v>
          </cell>
          <cell r="V164">
            <v>477.08399999999995</v>
          </cell>
          <cell r="W164">
            <v>205.84199999999998</v>
          </cell>
          <cell r="X164">
            <v>226.14099999999996</v>
          </cell>
          <cell r="Y164">
            <v>479.64793000000003</v>
          </cell>
          <cell r="Z164">
            <v>568.76635099999987</v>
          </cell>
          <cell r="AA164">
            <v>344.96926500000001</v>
          </cell>
          <cell r="AB164">
            <v>366.46959200000015</v>
          </cell>
          <cell r="AC164">
            <v>230.38313700000003</v>
          </cell>
          <cell r="AD164">
            <v>270.85038700000001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2.0497529999999999</v>
          </cell>
          <cell r="H165">
            <v>57.4589</v>
          </cell>
          <cell r="I165">
            <v>27.691934999999997</v>
          </cell>
          <cell r="J165">
            <v>0</v>
          </cell>
          <cell r="K165">
            <v>3.0799609999999999</v>
          </cell>
          <cell r="L165">
            <v>39.262954999999998</v>
          </cell>
          <cell r="M165">
            <v>0</v>
          </cell>
          <cell r="N165">
            <v>18.511000000000003</v>
          </cell>
          <cell r="O165">
            <v>30.207999999999998</v>
          </cell>
          <cell r="P165">
            <v>0</v>
          </cell>
          <cell r="Q165">
            <v>10.028</v>
          </cell>
          <cell r="R165">
            <v>5.9859999999999998</v>
          </cell>
          <cell r="S165">
            <v>0</v>
          </cell>
          <cell r="T165">
            <v>8.3889999999999993</v>
          </cell>
          <cell r="U165">
            <v>0</v>
          </cell>
          <cell r="V165">
            <v>0</v>
          </cell>
          <cell r="W165">
            <v>0</v>
          </cell>
          <cell r="X165">
            <v>2.9249999999999998</v>
          </cell>
          <cell r="Y165">
            <v>42.960844999999999</v>
          </cell>
          <cell r="Z165">
            <v>39.107903999999998</v>
          </cell>
          <cell r="AA165">
            <v>30.384283999999997</v>
          </cell>
          <cell r="AB165">
            <v>32.740276999999999</v>
          </cell>
          <cell r="AC165">
            <v>23.670932000000001</v>
          </cell>
          <cell r="AD165">
            <v>4.1379999999999999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2.8455839999999997</v>
          </cell>
          <cell r="F184">
            <v>0</v>
          </cell>
          <cell r="G184">
            <v>4.9336539999999998</v>
          </cell>
          <cell r="H184">
            <v>48.474984999999997</v>
          </cell>
          <cell r="I184">
            <v>20.513190999999999</v>
          </cell>
          <cell r="J184">
            <v>3.7708300000000001</v>
          </cell>
          <cell r="K184">
            <v>4.6015230000000003</v>
          </cell>
          <cell r="L184">
            <v>8.2824849999999994</v>
          </cell>
          <cell r="M184">
            <v>18.026</v>
          </cell>
          <cell r="N184">
            <v>50.914000000000001</v>
          </cell>
          <cell r="O184">
            <v>102.30199999999999</v>
          </cell>
          <cell r="P184">
            <v>29.034999999999997</v>
          </cell>
          <cell r="Q184">
            <v>31.096</v>
          </cell>
          <cell r="R184">
            <v>36.121000000000002</v>
          </cell>
          <cell r="S184">
            <v>16.638000000000002</v>
          </cell>
          <cell r="T184">
            <v>298.91000000000003</v>
          </cell>
          <cell r="U184">
            <v>151.92099999999999</v>
          </cell>
          <cell r="V184">
            <v>440.78999999999996</v>
          </cell>
          <cell r="W184">
            <v>148.84300000000002</v>
          </cell>
          <cell r="X184">
            <v>167.82999999999998</v>
          </cell>
          <cell r="Y184">
            <v>332.134186</v>
          </cell>
          <cell r="Z184">
            <v>431.47783199999998</v>
          </cell>
          <cell r="AA184">
            <v>240.40772199999998</v>
          </cell>
          <cell r="AB184">
            <v>239.54390700000002</v>
          </cell>
          <cell r="AC184">
            <v>127.437591</v>
          </cell>
          <cell r="AD184">
            <v>182.893664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11.417999999999999</v>
          </cell>
          <cell r="O207">
            <v>18.298999999999999</v>
          </cell>
          <cell r="P207">
            <v>0</v>
          </cell>
          <cell r="Q207">
            <v>4.9909999999999997</v>
          </cell>
          <cell r="R207">
            <v>0</v>
          </cell>
          <cell r="S207">
            <v>0</v>
          </cell>
          <cell r="T207">
            <v>13.672000000000001</v>
          </cell>
          <cell r="U207">
            <v>8.6370000000000005</v>
          </cell>
          <cell r="V207">
            <v>8.3840000000000003</v>
          </cell>
          <cell r="W207">
            <v>5.2629999999999999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1.00136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12.013999999999999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5.7108499999999998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3.8580000000000001</v>
          </cell>
          <cell r="O225">
            <v>0</v>
          </cell>
          <cell r="P225">
            <v>0</v>
          </cell>
          <cell r="Q225">
            <v>2.0999999999999996</v>
          </cell>
          <cell r="R225">
            <v>0</v>
          </cell>
          <cell r="S225">
            <v>0</v>
          </cell>
          <cell r="T225">
            <v>2.601</v>
          </cell>
          <cell r="U225">
            <v>1.0009999999999999</v>
          </cell>
          <cell r="V225">
            <v>0</v>
          </cell>
          <cell r="W225">
            <v>0</v>
          </cell>
          <cell r="X225">
            <v>2</v>
          </cell>
          <cell r="Y225">
            <v>12.875</v>
          </cell>
          <cell r="Z225">
            <v>0</v>
          </cell>
          <cell r="AA225">
            <v>0</v>
          </cell>
          <cell r="AB225">
            <v>0.51060000000000005</v>
          </cell>
          <cell r="AC225">
            <v>0</v>
          </cell>
          <cell r="AD225">
            <v>0.5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1.5100000000000001E-4</v>
          </cell>
          <cell r="F231">
            <v>1.1449000000000001E-2</v>
          </cell>
          <cell r="G231">
            <v>7.9497999999999985E-2</v>
          </cell>
          <cell r="H231">
            <v>4.0163000000000004E-2</v>
          </cell>
          <cell r="I231">
            <v>7.4799000000000018E-2</v>
          </cell>
          <cell r="J231">
            <v>0.10603699999999999</v>
          </cell>
          <cell r="K231">
            <v>0.10785700000000001</v>
          </cell>
          <cell r="L231">
            <v>7.2097999999999995E-2</v>
          </cell>
          <cell r="M231">
            <v>0.106402</v>
          </cell>
          <cell r="N231">
            <v>0.19800000000000001</v>
          </cell>
          <cell r="O231">
            <v>0.60599999999999998</v>
          </cell>
          <cell r="P231">
            <v>0.39700000000000008</v>
          </cell>
          <cell r="Q231">
            <v>0.20700000000000002</v>
          </cell>
          <cell r="R231">
            <v>0.22800000000000004</v>
          </cell>
          <cell r="S231">
            <v>1.355</v>
          </cell>
          <cell r="T231">
            <v>0.27800000000000002</v>
          </cell>
          <cell r="U231">
            <v>0.17700000000000005</v>
          </cell>
          <cell r="V231">
            <v>0.27</v>
          </cell>
          <cell r="W231">
            <v>0.28100000000000003</v>
          </cell>
          <cell r="X231">
            <v>0.20400000000000001</v>
          </cell>
          <cell r="Y231">
            <v>0.38792299999999996</v>
          </cell>
          <cell r="Z231">
            <v>0.24128099999999997</v>
          </cell>
          <cell r="AA231">
            <v>0.85674700000000004</v>
          </cell>
          <cell r="AB231">
            <v>0.48058099999999992</v>
          </cell>
          <cell r="AC231">
            <v>0.91715499999999994</v>
          </cell>
          <cell r="AD231">
            <v>0.57839600000000002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4.1E-5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7.6860000000000001E-3</v>
          </cell>
          <cell r="I243">
            <v>1.7769999999999999E-3</v>
          </cell>
          <cell r="J243">
            <v>6.0400000000000002E-3</v>
          </cell>
          <cell r="K243">
            <v>1.1178E-2</v>
          </cell>
          <cell r="L243">
            <v>4.5040000000000002E-3</v>
          </cell>
          <cell r="M243">
            <v>9.4620000000000017E-3</v>
          </cell>
          <cell r="N243">
            <v>1.2000000000000004E-2</v>
          </cell>
          <cell r="O243">
            <v>1.2999999999999999E-2</v>
          </cell>
          <cell r="P243">
            <v>2.2000000000000002E-2</v>
          </cell>
          <cell r="Q243">
            <v>1.0000000000000002E-2</v>
          </cell>
          <cell r="R243">
            <v>9.0000000000000011E-3</v>
          </cell>
          <cell r="S243">
            <v>0.01</v>
          </cell>
          <cell r="T243">
            <v>3.0000000000000006E-2</v>
          </cell>
          <cell r="U243">
            <v>1.3000000000000001E-2</v>
          </cell>
          <cell r="V243">
            <v>5.4999999999999993E-2</v>
          </cell>
          <cell r="W243">
            <v>1.6E-2</v>
          </cell>
          <cell r="X243">
            <v>1.8000000000000002E-2</v>
          </cell>
          <cell r="Y243">
            <v>2.8122000000000001E-2</v>
          </cell>
          <cell r="Z243">
            <v>2.2755000000000004E-2</v>
          </cell>
          <cell r="AA243">
            <v>1.9165000000000001E-2</v>
          </cell>
          <cell r="AB243">
            <v>3.2726999999999999E-2</v>
          </cell>
          <cell r="AC243">
            <v>1.2259000000000003E-2</v>
          </cell>
          <cell r="AD243">
            <v>1.0710000000000001E-2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4.7360000000000006E-3</v>
          </cell>
          <cell r="I248">
            <v>9.6600000000000002E-3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1E-3</v>
          </cell>
          <cell r="P248">
            <v>0</v>
          </cell>
          <cell r="Q248">
            <v>0</v>
          </cell>
          <cell r="R248">
            <v>1E-3</v>
          </cell>
          <cell r="S248">
            <v>0</v>
          </cell>
          <cell r="T248">
            <v>1E-3</v>
          </cell>
          <cell r="U248">
            <v>0</v>
          </cell>
          <cell r="V248">
            <v>0</v>
          </cell>
          <cell r="W248">
            <v>0</v>
          </cell>
          <cell r="X248">
            <v>2E-3</v>
          </cell>
          <cell r="Y248">
            <v>1E-3</v>
          </cell>
          <cell r="Z248">
            <v>0</v>
          </cell>
          <cell r="AA248">
            <v>1.224E-3</v>
          </cell>
          <cell r="AB248">
            <v>0</v>
          </cell>
          <cell r="AC248">
            <v>0</v>
          </cell>
          <cell r="AD248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8.0000000000000002E-3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1.5100000000000001E-4</v>
          </cell>
          <cell r="F284">
            <v>1.1449000000000001E-2</v>
          </cell>
          <cell r="G284">
            <v>7.9497999999999985E-2</v>
          </cell>
          <cell r="H284">
            <v>2.7741000000000002E-2</v>
          </cell>
          <cell r="I284">
            <v>6.3362000000000016E-2</v>
          </cell>
          <cell r="J284">
            <v>9.9996999999999989E-2</v>
          </cell>
          <cell r="K284">
            <v>9.6679000000000001E-2</v>
          </cell>
          <cell r="L284">
            <v>6.7594000000000001E-2</v>
          </cell>
          <cell r="M284">
            <v>9.6939999999999998E-2</v>
          </cell>
          <cell r="N284">
            <v>0.186</v>
          </cell>
          <cell r="O284">
            <v>0.59199999999999997</v>
          </cell>
          <cell r="P284">
            <v>0.31800000000000006</v>
          </cell>
          <cell r="Q284">
            <v>0.19700000000000001</v>
          </cell>
          <cell r="R284">
            <v>0.21800000000000003</v>
          </cell>
          <cell r="S284">
            <v>8.500000000000002E-2</v>
          </cell>
          <cell r="T284">
            <v>0.22000000000000003</v>
          </cell>
          <cell r="U284">
            <v>0.16400000000000003</v>
          </cell>
          <cell r="V284">
            <v>0.21500000000000002</v>
          </cell>
          <cell r="W284">
            <v>0.26500000000000001</v>
          </cell>
          <cell r="X284">
            <v>0.184</v>
          </cell>
          <cell r="Y284">
            <v>0.18210999999999999</v>
          </cell>
          <cell r="Z284">
            <v>0.21852599999999997</v>
          </cell>
          <cell r="AA284">
            <v>0.25709300000000002</v>
          </cell>
          <cell r="AB284">
            <v>0.44781399999999993</v>
          </cell>
          <cell r="AC284">
            <v>0.161773</v>
          </cell>
          <cell r="AD284">
            <v>0.35667500000000002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4.9000000000000002E-2</v>
          </cell>
          <cell r="Z286">
            <v>0</v>
          </cell>
          <cell r="AA286">
            <v>0.387243</v>
          </cell>
          <cell r="AB286">
            <v>0</v>
          </cell>
          <cell r="AC286">
            <v>0</v>
          </cell>
          <cell r="AD286">
            <v>0</v>
          </cell>
        </row>
        <row r="290">
          <cell r="BS290">
            <v>2.9753250000000002</v>
          </cell>
          <cell r="BT290">
            <v>3.5593319999999999</v>
          </cell>
          <cell r="BU290">
            <v>2.3844189999999998</v>
          </cell>
          <cell r="BV290">
            <v>2.7628499999999998</v>
          </cell>
          <cell r="BW290">
            <v>3.0320520000000002</v>
          </cell>
          <cell r="BX290">
            <v>1.913751</v>
          </cell>
          <cell r="BY290">
            <v>0.802651</v>
          </cell>
          <cell r="BZ290">
            <v>0.46494400000000002</v>
          </cell>
          <cell r="CA290">
            <v>0.536443</v>
          </cell>
          <cell r="CB290">
            <v>1.907063</v>
          </cell>
          <cell r="CC290">
            <v>2.1860550000000001</v>
          </cell>
          <cell r="CD290">
            <v>3.2736010000000002</v>
          </cell>
          <cell r="CE290">
            <v>3.4355980000000002</v>
          </cell>
          <cell r="CF290">
            <v>1.74753</v>
          </cell>
          <cell r="CG290">
            <v>1.891087</v>
          </cell>
          <cell r="CH290">
            <v>1.6171660000000001</v>
          </cell>
          <cell r="CI290">
            <v>1.778448</v>
          </cell>
          <cell r="CJ290">
            <v>1.1772910000000001</v>
          </cell>
          <cell r="CK290">
            <v>1.206251</v>
          </cell>
          <cell r="CL290">
            <v>1.461454</v>
          </cell>
          <cell r="CM290">
            <v>1.482588</v>
          </cell>
          <cell r="CN290">
            <v>6.1691269999999996</v>
          </cell>
          <cell r="CO290">
            <v>3.1317970000000002</v>
          </cell>
          <cell r="CP290">
            <v>9.3869129999999998</v>
          </cell>
          <cell r="CQ290">
            <v>2.3650139999999999</v>
          </cell>
          <cell r="CR290">
            <v>0.82211100000000004</v>
          </cell>
          <cell r="CS290">
            <v>0.57048900000000002</v>
          </cell>
          <cell r="CT290">
            <v>0.576824</v>
          </cell>
          <cell r="CU290">
            <v>0.57740499999999995</v>
          </cell>
          <cell r="CV290">
            <v>0.48706700000000003</v>
          </cell>
          <cell r="CW290">
            <v>0.75376799999999999</v>
          </cell>
          <cell r="CX290">
            <v>0.79705899999999996</v>
          </cell>
          <cell r="CY290">
            <v>0.91144099999999995</v>
          </cell>
          <cell r="CZ290">
            <v>6.6017039999999998</v>
          </cell>
          <cell r="DA290">
            <v>5.7424619999999997</v>
          </cell>
          <cell r="DB290">
            <v>10.601800000000001</v>
          </cell>
          <cell r="DC290">
            <v>16.422888</v>
          </cell>
          <cell r="DD290">
            <v>20.496344000000001</v>
          </cell>
          <cell r="DE290">
            <v>36.953786999999998</v>
          </cell>
          <cell r="DF290">
            <v>32.768791999999998</v>
          </cell>
          <cell r="DG290">
            <v>20.946370999999999</v>
          </cell>
          <cell r="DH290">
            <v>16.769016000000001</v>
          </cell>
          <cell r="DI290">
            <v>11.284528</v>
          </cell>
          <cell r="DJ290">
            <v>12.780911</v>
          </cell>
          <cell r="DK290">
            <v>7.1379989999999998</v>
          </cell>
          <cell r="DL290">
            <v>5.5385999999999997</v>
          </cell>
          <cell r="DM290">
            <v>3.9697480000000001</v>
          </cell>
          <cell r="DN290">
            <v>9.6522640000000006</v>
          </cell>
          <cell r="DO290">
            <v>11.532731</v>
          </cell>
          <cell r="DP290">
            <v>20.446791000000001</v>
          </cell>
          <cell r="DQ290">
            <v>20.436394</v>
          </cell>
          <cell r="DR290">
            <v>19.515737000000001</v>
          </cell>
          <cell r="DS290">
            <v>9.1879530000000003</v>
          </cell>
          <cell r="DT290">
            <v>7.4031469999999997</v>
          </cell>
          <cell r="DU290">
            <v>10.937514999999999</v>
          </cell>
          <cell r="DV290">
            <v>5.2123549999999996</v>
          </cell>
          <cell r="DW290">
            <v>2.0726230000000001</v>
          </cell>
          <cell r="DX290">
            <v>2.5039549999999999</v>
          </cell>
          <cell r="DY290">
            <v>2.949824</v>
          </cell>
          <cell r="DZ290">
            <v>2.4707940000000002</v>
          </cell>
          <cell r="EA290">
            <v>2.3395090000000001</v>
          </cell>
          <cell r="EB290">
            <v>1.826962</v>
          </cell>
          <cell r="EC290">
            <v>2.683589</v>
          </cell>
          <cell r="ED290">
            <v>3.0979329999999998</v>
          </cell>
          <cell r="EE290">
            <v>1.8174269999999999</v>
          </cell>
          <cell r="EF290">
            <v>2.31453</v>
          </cell>
          <cell r="EG290">
            <v>4.5696880000000002</v>
          </cell>
          <cell r="EH290">
            <v>5.8788850000000004</v>
          </cell>
          <cell r="EI290">
            <v>8.539453</v>
          </cell>
          <cell r="EJ290">
            <v>8.9082740000000005</v>
          </cell>
          <cell r="EK290">
            <v>10.926143</v>
          </cell>
          <cell r="EL290">
            <v>21.329159000000001</v>
          </cell>
          <cell r="EM290">
            <v>12.617766</v>
          </cell>
          <cell r="EN290">
            <v>14.565524</v>
          </cell>
          <cell r="EO290">
            <v>10.02177</v>
          </cell>
          <cell r="EP290">
            <v>8.6986500000000007</v>
          </cell>
          <cell r="EQ290">
            <v>1.969069</v>
          </cell>
          <cell r="ER290">
            <v>2.9295049999999998</v>
          </cell>
          <cell r="ES290">
            <v>1.261487</v>
          </cell>
          <cell r="ET290">
            <v>1.3691949999999999</v>
          </cell>
          <cell r="EU290">
            <v>1.2788280000000001</v>
          </cell>
          <cell r="EV290">
            <v>2.1495169999999999</v>
          </cell>
          <cell r="EW290">
            <v>10.594804999999999</v>
          </cell>
          <cell r="EX290">
            <v>16.094083000000001</v>
          </cell>
          <cell r="EY290">
            <v>16.398164999999999</v>
          </cell>
          <cell r="EZ290">
            <v>20.781853000000002</v>
          </cell>
          <cell r="FA290">
            <v>31.607655000000001</v>
          </cell>
          <cell r="FB290">
            <v>15.573313000000001</v>
          </cell>
          <cell r="FC290">
            <v>11.544064000000001</v>
          </cell>
          <cell r="FD290">
            <v>5.7280189999999997</v>
          </cell>
          <cell r="FE290">
            <v>3.3873310000000001</v>
          </cell>
          <cell r="FF290">
            <v>1.1276949999999999</v>
          </cell>
          <cell r="FG290">
            <v>1.6565810000000001</v>
          </cell>
          <cell r="FH290">
            <v>8.2843809999999998</v>
          </cell>
          <cell r="FI290">
            <v>3.9151340000000001</v>
          </cell>
          <cell r="FJ290">
            <v>25.13</v>
          </cell>
          <cell r="FK290">
            <v>26.690999999999999</v>
          </cell>
          <cell r="FL290">
            <v>29.548999999999999</v>
          </cell>
          <cell r="FM290">
            <v>27.501999999999999</v>
          </cell>
          <cell r="FN290">
            <v>26.542999999999999</v>
          </cell>
          <cell r="FO290">
            <v>26.939</v>
          </cell>
          <cell r="FP290">
            <v>34.472999999999999</v>
          </cell>
          <cell r="FQ290">
            <v>12.022</v>
          </cell>
          <cell r="FR290">
            <v>2.9510000000000001</v>
          </cell>
          <cell r="FS290">
            <v>4.117</v>
          </cell>
          <cell r="FT290">
            <v>25.940999999999999</v>
          </cell>
          <cell r="FU290">
            <v>35.954999999999998</v>
          </cell>
          <cell r="FV290">
            <v>60.878</v>
          </cell>
          <cell r="FW290">
            <v>56.313000000000002</v>
          </cell>
          <cell r="FX290">
            <v>54.2</v>
          </cell>
          <cell r="FY290">
            <v>106.03100000000001</v>
          </cell>
          <cell r="FZ290">
            <v>93.936000000000007</v>
          </cell>
          <cell r="GA290">
            <v>69.679000000000002</v>
          </cell>
          <cell r="GB290">
            <v>42.372</v>
          </cell>
          <cell r="GC290">
            <v>39.287999999999997</v>
          </cell>
          <cell r="GD290">
            <v>27.177</v>
          </cell>
          <cell r="GE290">
            <v>16.245999999999999</v>
          </cell>
          <cell r="GF290">
            <v>16.577000000000002</v>
          </cell>
          <cell r="GG290">
            <v>44.048999999999999</v>
          </cell>
          <cell r="GH290">
            <v>118.89700000000001</v>
          </cell>
          <cell r="GI290">
            <v>76.676000000000002</v>
          </cell>
          <cell r="GJ290">
            <v>62.459000000000003</v>
          </cell>
          <cell r="GK290">
            <v>88.811999999999998</v>
          </cell>
          <cell r="GL290">
            <v>73.12</v>
          </cell>
          <cell r="GM290">
            <v>111.489</v>
          </cell>
          <cell r="GN290">
            <v>55.752000000000002</v>
          </cell>
          <cell r="GO290">
            <v>31.33</v>
          </cell>
          <cell r="GP290">
            <v>15.561</v>
          </cell>
          <cell r="GQ290">
            <v>6.7569999999999997</v>
          </cell>
          <cell r="GR290">
            <v>19.184999999999999</v>
          </cell>
          <cell r="GS290">
            <v>26.841000000000001</v>
          </cell>
          <cell r="GT290">
            <v>45.71</v>
          </cell>
          <cell r="GU290">
            <v>19.542000000000002</v>
          </cell>
          <cell r="GV290">
            <v>23.654</v>
          </cell>
          <cell r="GW290">
            <v>45.22</v>
          </cell>
          <cell r="GX290">
            <v>22.120999999999999</v>
          </cell>
          <cell r="GY290">
            <v>7.9059999999999997</v>
          </cell>
          <cell r="GZ290">
            <v>36.459000000000003</v>
          </cell>
          <cell r="HA290">
            <v>51.600999999999999</v>
          </cell>
          <cell r="HB290">
            <v>16.919</v>
          </cell>
          <cell r="HC290">
            <v>12.393000000000001</v>
          </cell>
          <cell r="HD290">
            <v>67.328000000000003</v>
          </cell>
          <cell r="HE290">
            <v>62.889000000000003</v>
          </cell>
          <cell r="HF290">
            <v>124.226</v>
          </cell>
          <cell r="HG290">
            <v>61.905000000000001</v>
          </cell>
          <cell r="HH290">
            <v>79.457999999999998</v>
          </cell>
          <cell r="HI290">
            <v>58.176000000000002</v>
          </cell>
          <cell r="HJ290">
            <v>50.421999999999997</v>
          </cell>
          <cell r="HK290">
            <v>71.210999999999999</v>
          </cell>
          <cell r="HL290">
            <v>99.161000000000001</v>
          </cell>
          <cell r="HM290">
            <v>75.045000000000002</v>
          </cell>
          <cell r="HN290">
            <v>39.996000000000002</v>
          </cell>
          <cell r="HO290">
            <v>10.94</v>
          </cell>
          <cell r="HP290">
            <v>22.795999999999999</v>
          </cell>
          <cell r="HQ290">
            <v>57.465000000000003</v>
          </cell>
          <cell r="HR290">
            <v>64.468000000000004</v>
          </cell>
          <cell r="HS290">
            <v>36.311999999999998</v>
          </cell>
          <cell r="HT290">
            <v>39.411000000000001</v>
          </cell>
          <cell r="HU290">
            <v>35.228000000000002</v>
          </cell>
          <cell r="HV290">
            <v>45.55</v>
          </cell>
          <cell r="HW290">
            <v>56.716999999999999</v>
          </cell>
          <cell r="HX290">
            <v>66.665000000000006</v>
          </cell>
          <cell r="HY290">
            <v>52.673000000000002</v>
          </cell>
          <cell r="HZ290">
            <v>15.917999999999999</v>
          </cell>
          <cell r="IA290">
            <v>9.6910000000000007</v>
          </cell>
          <cell r="IB290">
            <v>13.154</v>
          </cell>
          <cell r="IC290">
            <v>11.755000000000001</v>
          </cell>
          <cell r="ID290">
            <v>9.7420000000000009</v>
          </cell>
          <cell r="IE290">
            <v>2.8839999999999999</v>
          </cell>
          <cell r="IF290">
            <v>8.0449999999999999</v>
          </cell>
          <cell r="IG290">
            <v>12.366</v>
          </cell>
          <cell r="IH290">
            <v>11.222</v>
          </cell>
          <cell r="II290">
            <v>15.141999999999999</v>
          </cell>
          <cell r="IJ290">
            <v>22.475000000000001</v>
          </cell>
          <cell r="IK290">
            <v>32.619</v>
          </cell>
          <cell r="IL290">
            <v>31.18</v>
          </cell>
          <cell r="IM290">
            <v>24.286000000000001</v>
          </cell>
          <cell r="IN290">
            <v>65.212000000000003</v>
          </cell>
          <cell r="IO290">
            <v>140.30799999999999</v>
          </cell>
          <cell r="IP290">
            <v>126.88200000000001</v>
          </cell>
          <cell r="IQ290">
            <v>96.286000000000001</v>
          </cell>
          <cell r="IR290">
            <v>68.700999999999993</v>
          </cell>
          <cell r="IS290">
            <v>185.84299999999999</v>
          </cell>
          <cell r="IT290">
            <v>186.72900000000001</v>
          </cell>
          <cell r="IU290">
            <v>209.328</v>
          </cell>
          <cell r="IV290">
            <v>158.59700000000001</v>
          </cell>
          <cell r="IW290">
            <v>78.546999999999997</v>
          </cell>
          <cell r="IX290">
            <v>86.006</v>
          </cell>
          <cell r="IY290">
            <v>25.59</v>
          </cell>
          <cell r="IZ290">
            <v>60.295000000000002</v>
          </cell>
          <cell r="JA290">
            <v>71.364999999999995</v>
          </cell>
          <cell r="JB290">
            <v>92.146000000000001</v>
          </cell>
          <cell r="JC290">
            <v>116.018</v>
          </cell>
          <cell r="JD290">
            <v>109.726</v>
          </cell>
          <cell r="JE290">
            <v>140.316</v>
          </cell>
          <cell r="JF290">
            <v>91.444999999999993</v>
          </cell>
          <cell r="JG290">
            <v>137.28200000000001</v>
          </cell>
          <cell r="JH290">
            <v>71.781000000000006</v>
          </cell>
          <cell r="JI290">
            <v>56.39</v>
          </cell>
          <cell r="JJ290">
            <v>40.362000000000002</v>
          </cell>
          <cell r="JK290">
            <v>66.786000000000001</v>
          </cell>
          <cell r="JL290">
            <v>148.70500000000001</v>
          </cell>
          <cell r="JM290">
            <v>162.05199999999999</v>
          </cell>
          <cell r="JN290">
            <v>218.44200000000001</v>
          </cell>
          <cell r="JO290">
            <v>135.46199999999999</v>
          </cell>
          <cell r="JP290">
            <v>194.08199999999999</v>
          </cell>
          <cell r="JQ290">
            <v>208.90199999999999</v>
          </cell>
          <cell r="JR290">
            <v>211.44200000000001</v>
          </cell>
          <cell r="JS290">
            <v>143.125</v>
          </cell>
          <cell r="JT290">
            <v>141.47</v>
          </cell>
          <cell r="JU290">
            <v>91.417000000000002</v>
          </cell>
          <cell r="JV290">
            <v>77.721999999999994</v>
          </cell>
          <cell r="JW290">
            <v>80.134</v>
          </cell>
          <cell r="JX290">
            <v>110.184</v>
          </cell>
          <cell r="JY290">
            <v>111.005</v>
          </cell>
          <cell r="JZ290">
            <v>166.47300000000001</v>
          </cell>
          <cell r="KA290">
            <v>146.691</v>
          </cell>
          <cell r="KB290">
            <v>156.02000000000001</v>
          </cell>
          <cell r="KC290">
            <v>154.57599999999999</v>
          </cell>
          <cell r="KD290">
            <v>140.31700000000001</v>
          </cell>
          <cell r="KE290">
            <v>137.58500000000001</v>
          </cell>
          <cell r="KF290">
            <v>123.877</v>
          </cell>
          <cell r="KG290">
            <v>69.899000000000001</v>
          </cell>
          <cell r="KH290">
            <v>58.786000000000001</v>
          </cell>
          <cell r="KI290">
            <v>40.469000000000001</v>
          </cell>
          <cell r="KJ290">
            <v>99.082999999999998</v>
          </cell>
          <cell r="KK290">
            <v>129.03200000000001</v>
          </cell>
          <cell r="KL290">
            <v>189.11799999999999</v>
          </cell>
          <cell r="KM290">
            <v>141.03700000000001</v>
          </cell>
          <cell r="KN290">
            <v>168.66</v>
          </cell>
          <cell r="KO290">
            <v>186.87899999999999</v>
          </cell>
          <cell r="KP290">
            <v>165.94800000000001</v>
          </cell>
          <cell r="KQ290">
            <v>151.02699999999999</v>
          </cell>
          <cell r="KR290">
            <v>117.97799999999999</v>
          </cell>
          <cell r="KS290">
            <v>65.477000000000004</v>
          </cell>
          <cell r="KT290">
            <v>85.667000000000002</v>
          </cell>
          <cell r="KU290">
            <v>112.017</v>
          </cell>
          <cell r="KV290">
            <v>143.16800000000001</v>
          </cell>
          <cell r="KW290">
            <v>206.333</v>
          </cell>
          <cell r="KX290">
            <v>246.184</v>
          </cell>
          <cell r="KY290">
            <v>174.13399999999999</v>
          </cell>
          <cell r="KZ290">
            <v>140.27199999999999</v>
          </cell>
          <cell r="LA290">
            <v>267.96699999999998</v>
          </cell>
          <cell r="LB290">
            <v>167.13499999999999</v>
          </cell>
          <cell r="LC290">
            <v>248.143</v>
          </cell>
          <cell r="LD290">
            <v>225.57512299999999</v>
          </cell>
          <cell r="LE290">
            <v>116.740903</v>
          </cell>
          <cell r="LF290">
            <v>130.552933</v>
          </cell>
          <cell r="LG290">
            <v>157.26607000000001</v>
          </cell>
          <cell r="LH290">
            <v>176.90555800000001</v>
          </cell>
          <cell r="LI290">
            <v>253.66774899999999</v>
          </cell>
          <cell r="LJ290">
            <v>267.59295100000003</v>
          </cell>
          <cell r="LK290">
            <v>132.71797799999999</v>
          </cell>
          <cell r="LL290">
            <v>186.699544</v>
          </cell>
          <cell r="LM290">
            <v>192.12452400000001</v>
          </cell>
          <cell r="LN290">
            <v>234.58724900000001</v>
          </cell>
          <cell r="LO290">
            <v>210.12288599999999</v>
          </cell>
          <cell r="LP290">
            <v>203.332166</v>
          </cell>
          <cell r="LQ290">
            <v>162.92564899999999</v>
          </cell>
          <cell r="LR290">
            <v>129.028952</v>
          </cell>
          <cell r="LS290">
            <v>107.799302</v>
          </cell>
          <cell r="LT290">
            <v>106.295008</v>
          </cell>
          <cell r="LU290">
            <v>156.78211099999999</v>
          </cell>
          <cell r="LV290">
            <v>280.50517400000001</v>
          </cell>
          <cell r="LW290">
            <v>241.25272200000001</v>
          </cell>
          <cell r="LX290">
            <v>211.08287799999999</v>
          </cell>
          <cell r="LY290">
            <v>289.49947900000001</v>
          </cell>
          <cell r="LZ290">
            <v>243.88855000000001</v>
          </cell>
          <cell r="MA290">
            <v>319.95110699999998</v>
          </cell>
          <cell r="MB290">
            <v>212.35421199999999</v>
          </cell>
          <cell r="MC290">
            <v>220.716059</v>
          </cell>
          <cell r="MD290">
            <v>256.408995</v>
          </cell>
          <cell r="ME290">
            <v>231.23235299999999</v>
          </cell>
          <cell r="MF290">
            <v>211.739701</v>
          </cell>
          <cell r="MG290">
            <v>279.65392600000001</v>
          </cell>
          <cell r="MH290">
            <v>373.938244</v>
          </cell>
          <cell r="MI290">
            <v>250.97941</v>
          </cell>
          <cell r="MJ290">
            <v>253.05414099999999</v>
          </cell>
          <cell r="MK290">
            <v>414.829453</v>
          </cell>
          <cell r="ML290">
            <v>377.27478300000001</v>
          </cell>
          <cell r="MM290">
            <v>314.93348099999997</v>
          </cell>
          <cell r="MN290">
            <v>225.33621400000001</v>
          </cell>
          <cell r="MO290">
            <v>267.59289699999999</v>
          </cell>
          <cell r="MP290">
            <v>286.42162000000002</v>
          </cell>
          <cell r="MQ290">
            <v>92.147093999999996</v>
          </cell>
          <cell r="MR290">
            <v>160.000618</v>
          </cell>
          <cell r="MS290">
            <v>251.178011</v>
          </cell>
          <cell r="MT290">
            <v>313.10113000000001</v>
          </cell>
          <cell r="MU290">
            <v>298.3</v>
          </cell>
          <cell r="MV290">
            <v>296.58600000000001</v>
          </cell>
          <cell r="MW290">
            <v>494.80200000000002</v>
          </cell>
          <cell r="MX290">
            <v>374.90600000000001</v>
          </cell>
          <cell r="MY290">
            <v>175.85400000000001</v>
          </cell>
          <cell r="MZ290">
            <v>138.83000000000001</v>
          </cell>
          <cell r="NA290">
            <v>153.131</v>
          </cell>
          <cell r="NB290">
            <v>369.35599999999999</v>
          </cell>
          <cell r="NC290">
            <v>98.533000000000001</v>
          </cell>
          <cell r="ND290">
            <v>92.233000000000004</v>
          </cell>
          <cell r="NE290">
            <v>312.28500000000003</v>
          </cell>
          <cell r="NF290">
            <v>292.315</v>
          </cell>
          <cell r="NG290">
            <v>109.094891</v>
          </cell>
        </row>
      </sheetData>
      <sheetData sheetId="25">
        <row r="290">
          <cell r="CQ290"/>
          <cell r="CR290"/>
          <cell r="CS290">
            <v>1E-3</v>
          </cell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>
            <v>5.0000000000000001E-3</v>
          </cell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/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/>
          <cell r="GH290"/>
          <cell r="GI290"/>
          <cell r="GJ290">
            <v>0.57399999999999995</v>
          </cell>
          <cell r="GK290">
            <v>2.3E-2</v>
          </cell>
          <cell r="GL290">
            <v>0.36399999999999999</v>
          </cell>
          <cell r="GM290">
            <v>1.579</v>
          </cell>
          <cell r="GN290">
            <v>0.20699999999999999</v>
          </cell>
          <cell r="GO290">
            <v>2.0979999999999999</v>
          </cell>
          <cell r="GP290"/>
          <cell r="GQ290"/>
          <cell r="GR290"/>
          <cell r="GS290">
            <v>2.5999999999999999E-2</v>
          </cell>
          <cell r="GT290"/>
          <cell r="GU290"/>
          <cell r="GV290"/>
          <cell r="GW290"/>
          <cell r="GX290"/>
          <cell r="GY290"/>
          <cell r="GZ290"/>
          <cell r="HA290"/>
          <cell r="HB290"/>
          <cell r="HC290">
            <v>1.2E-2</v>
          </cell>
          <cell r="HD290">
            <v>0.05</v>
          </cell>
          <cell r="HE290">
            <v>1E-3</v>
          </cell>
          <cell r="HF290">
            <v>0.1</v>
          </cell>
          <cell r="HG290"/>
          <cell r="HH290">
            <v>1E-3</v>
          </cell>
          <cell r="HI290">
            <v>7.4999999999999997E-2</v>
          </cell>
          <cell r="HJ290"/>
          <cell r="HK290"/>
          <cell r="HL290"/>
          <cell r="HM290"/>
          <cell r="HN290">
            <v>0.15</v>
          </cell>
          <cell r="HO290">
            <v>0.126</v>
          </cell>
          <cell r="HP290"/>
          <cell r="HQ290"/>
          <cell r="HR290">
            <v>1E-3</v>
          </cell>
          <cell r="HS290"/>
          <cell r="HT290"/>
          <cell r="HU290"/>
          <cell r="HV290"/>
          <cell r="HW290"/>
          <cell r="HX290"/>
          <cell r="HY290"/>
          <cell r="HZ290"/>
          <cell r="IA290">
            <v>3.0000000000000001E-3</v>
          </cell>
          <cell r="IB290"/>
          <cell r="IC290"/>
          <cell r="ID290"/>
          <cell r="IE290"/>
          <cell r="IF290"/>
          <cell r="IG290"/>
          <cell r="IH290"/>
          <cell r="II290"/>
          <cell r="IJ290"/>
          <cell r="IK290"/>
          <cell r="IL290"/>
          <cell r="IM290"/>
          <cell r="IN290"/>
          <cell r="IO290"/>
          <cell r="IP290"/>
          <cell r="IQ290"/>
          <cell r="IR290">
            <v>3.0000000000000001E-3</v>
          </cell>
          <cell r="IS290"/>
          <cell r="IT290"/>
          <cell r="IU290"/>
          <cell r="IV290"/>
          <cell r="IW290">
            <v>0.109</v>
          </cell>
          <cell r="IX290">
            <v>0.1</v>
          </cell>
          <cell r="IY290">
            <v>0.15</v>
          </cell>
          <cell r="IZ290">
            <v>0.27500000000000002</v>
          </cell>
          <cell r="JA290">
            <v>0.128</v>
          </cell>
          <cell r="JB290">
            <v>0.497</v>
          </cell>
          <cell r="JC290">
            <v>0</v>
          </cell>
          <cell r="JD290">
            <v>0.1</v>
          </cell>
          <cell r="JE290">
            <v>0.05</v>
          </cell>
          <cell r="JF290">
            <v>0</v>
          </cell>
          <cell r="JG290">
            <v>0.156</v>
          </cell>
          <cell r="JH290">
            <v>0</v>
          </cell>
          <cell r="JI290">
            <v>0.193</v>
          </cell>
          <cell r="JJ290">
            <v>0.252</v>
          </cell>
          <cell r="JK290">
            <v>0.22700000000000001</v>
          </cell>
          <cell r="JL290">
            <v>0.154</v>
          </cell>
          <cell r="JM290">
            <v>5.2999999999999999E-2</v>
          </cell>
          <cell r="JN290">
            <v>0</v>
          </cell>
          <cell r="JO290">
            <v>0</v>
          </cell>
          <cell r="JP290">
            <v>5.1999999999999998E-2</v>
          </cell>
          <cell r="JQ290">
            <v>0</v>
          </cell>
          <cell r="JR290">
            <v>0</v>
          </cell>
          <cell r="JS290">
            <v>0.126</v>
          </cell>
          <cell r="JT290">
            <v>0.378</v>
          </cell>
          <cell r="JU290">
            <v>0</v>
          </cell>
          <cell r="JV290">
            <v>0.127</v>
          </cell>
          <cell r="JW290">
            <v>0.13500000000000001</v>
          </cell>
          <cell r="JX290">
            <v>0.127</v>
          </cell>
          <cell r="JY290">
            <v>0.111</v>
          </cell>
          <cell r="JZ290">
            <v>0.24099999999999999</v>
          </cell>
          <cell r="KA290">
            <v>0</v>
          </cell>
          <cell r="KB290">
            <v>0</v>
          </cell>
          <cell r="KC290">
            <v>0</v>
          </cell>
          <cell r="KD290">
            <v>0.52</v>
          </cell>
          <cell r="KE290">
            <v>0.22900000000000001</v>
          </cell>
          <cell r="KF290">
            <v>0</v>
          </cell>
          <cell r="KG290">
            <v>0.26</v>
          </cell>
          <cell r="KH290">
            <v>5.0000000000000001E-3</v>
          </cell>
          <cell r="KI290">
            <v>0</v>
          </cell>
          <cell r="KJ290">
            <v>0.36399999999999999</v>
          </cell>
          <cell r="KK290">
            <v>0.36899999999999999</v>
          </cell>
          <cell r="KL290">
            <v>0.22900000000000001</v>
          </cell>
          <cell r="KM290"/>
          <cell r="KN290">
            <v>7.0000000000000001E-3</v>
          </cell>
          <cell r="KO290"/>
          <cell r="KP290">
            <v>4.2999999999999997E-2</v>
          </cell>
          <cell r="KQ290">
            <v>0.318</v>
          </cell>
          <cell r="KR290">
            <v>0.20899999999999999</v>
          </cell>
          <cell r="KS290"/>
          <cell r="KT290">
            <v>0.1</v>
          </cell>
          <cell r="KU290">
            <v>0.13300000000000001</v>
          </cell>
          <cell r="KV290">
            <v>0.219</v>
          </cell>
          <cell r="KW290">
            <v>0.60099999999999998</v>
          </cell>
          <cell r="KX290">
            <v>9.2999999999999999E-2</v>
          </cell>
          <cell r="KY290">
            <v>0.29799999999999999</v>
          </cell>
          <cell r="KZ290">
            <v>0.184</v>
          </cell>
          <cell r="LA290">
            <v>0.34399999999999997</v>
          </cell>
          <cell r="LB290">
            <v>0.20200000000000001</v>
          </cell>
          <cell r="LC290">
            <v>5.7000000000000002E-2</v>
          </cell>
          <cell r="LD290">
            <v>0.108</v>
          </cell>
          <cell r="LE290">
            <v>4.2000000000000003E-2</v>
          </cell>
          <cell r="LF290">
            <v>6.6000000000000003E-2</v>
          </cell>
          <cell r="LG290">
            <v>7.0999999999999994E-2</v>
          </cell>
          <cell r="LH290">
            <v>9.0999999999999998E-2</v>
          </cell>
          <cell r="LI290">
            <v>5.1999999999999998E-2</v>
          </cell>
          <cell r="LJ290">
            <v>8.5000000000000006E-2</v>
          </cell>
          <cell r="LK290">
            <v>6.3E-2</v>
          </cell>
          <cell r="LL290">
            <v>7.8E-2</v>
          </cell>
          <cell r="LM290">
            <v>0.11700000000000001</v>
          </cell>
          <cell r="LN290">
            <v>0.16162000000000001</v>
          </cell>
          <cell r="LO290">
            <v>7.0000000000000001E-3</v>
          </cell>
          <cell r="LP290">
            <v>0.57299999999999995</v>
          </cell>
          <cell r="LQ290">
            <v>0.02</v>
          </cell>
          <cell r="LR290">
            <v>0.27354200000000001</v>
          </cell>
          <cell r="LS290">
            <v>8.5000000000000006E-2</v>
          </cell>
          <cell r="LT290">
            <v>0.20238900000000001</v>
          </cell>
          <cell r="LU290">
            <v>0.11</v>
          </cell>
          <cell r="LV290">
            <v>0.244195</v>
          </cell>
          <cell r="LW290">
            <v>0.17699999999999999</v>
          </cell>
          <cell r="LX290">
            <v>0.213285</v>
          </cell>
          <cell r="LY290">
            <v>0.2</v>
          </cell>
          <cell r="LZ290">
            <v>0.47506599999999999</v>
          </cell>
          <cell r="MA290">
            <v>0.107365</v>
          </cell>
          <cell r="MB290">
            <v>0.31500499999999998</v>
          </cell>
          <cell r="MC290">
            <v>0.27448299999999998</v>
          </cell>
          <cell r="MD290">
            <v>0.17599999999999999</v>
          </cell>
          <cell r="ME290">
            <v>6.7250000000000004E-2</v>
          </cell>
          <cell r="MF290">
            <v>0.18922</v>
          </cell>
          <cell r="MG290">
            <v>0.15037500000000001</v>
          </cell>
          <cell r="MH290">
            <v>0.21199999999999999</v>
          </cell>
          <cell r="MI290">
            <v>0.04</v>
          </cell>
          <cell r="MJ290">
            <v>0.46536</v>
          </cell>
          <cell r="MK290">
            <v>0.44956000000000002</v>
          </cell>
          <cell r="ML290">
            <v>0.161</v>
          </cell>
          <cell r="MM290">
            <v>0.35773500000000003</v>
          </cell>
          <cell r="MN290">
            <v>0.11600000000000001</v>
          </cell>
          <cell r="MO290">
            <v>0.54574</v>
          </cell>
          <cell r="MP290">
            <v>0.10299999999999999</v>
          </cell>
          <cell r="MQ290">
            <v>0.4</v>
          </cell>
          <cell r="MR290">
            <v>0.38500099999999998</v>
          </cell>
          <cell r="MS290">
            <v>0.157</v>
          </cell>
          <cell r="MT290">
            <v>0.314</v>
          </cell>
          <cell r="MU290">
            <v>0.221</v>
          </cell>
          <cell r="MV290">
            <v>0.13600000000000001</v>
          </cell>
          <cell r="MW290">
            <v>0.06</v>
          </cell>
          <cell r="MX290">
            <v>0.38800000000000001</v>
          </cell>
          <cell r="MY290">
            <v>0.218</v>
          </cell>
          <cell r="MZ290">
            <v>0.48699999999999999</v>
          </cell>
          <cell r="NA290">
            <v>0.28000000000000003</v>
          </cell>
          <cell r="NB290">
            <v>0.40200000000000002</v>
          </cell>
          <cell r="NC290">
            <v>0.19600000000000001</v>
          </cell>
          <cell r="ND290">
            <v>0.30399999999999999</v>
          </cell>
          <cell r="NE290">
            <v>6.9000000000000006E-2</v>
          </cell>
          <cell r="NF290">
            <v>7.5999999999999998E-2</v>
          </cell>
          <cell r="NG290">
            <v>0.36299999999999999</v>
          </cell>
          <cell r="NH290">
            <v>0.375</v>
          </cell>
        </row>
      </sheetData>
      <sheetData sheetId="26">
        <row r="290">
          <cell r="CQ290">
            <v>0.20699999999999999</v>
          </cell>
          <cell r="CR290">
            <v>0.34</v>
          </cell>
          <cell r="CS290">
            <v>0.186</v>
          </cell>
          <cell r="CT290">
            <v>0.219</v>
          </cell>
          <cell r="CU290">
            <v>0.108</v>
          </cell>
          <cell r="CV290">
            <v>8.8999999999999996E-2</v>
          </cell>
          <cell r="CW290">
            <v>0.309</v>
          </cell>
          <cell r="CX290">
            <v>7.0000000000000007E-2</v>
          </cell>
          <cell r="CY290">
            <v>0.17299999999999999</v>
          </cell>
          <cell r="CZ290">
            <v>0.30199999999999999</v>
          </cell>
          <cell r="DA290">
            <v>0.109</v>
          </cell>
          <cell r="DB290">
            <v>0.123</v>
          </cell>
          <cell r="DC290">
            <v>0.151</v>
          </cell>
          <cell r="DD290">
            <v>0.128</v>
          </cell>
          <cell r="DE290">
            <v>0.27300000000000002</v>
          </cell>
          <cell r="DF290">
            <v>7.2999999999999995E-2</v>
          </cell>
          <cell r="DG290">
            <v>8.6999999999999994E-2</v>
          </cell>
          <cell r="DH290">
            <v>0.109</v>
          </cell>
          <cell r="DI290">
            <v>0.03</v>
          </cell>
          <cell r="DJ290">
            <v>0.126</v>
          </cell>
          <cell r="DK290">
            <v>1.7999999999999999E-2</v>
          </cell>
          <cell r="DL290">
            <v>9.2999999999999999E-2</v>
          </cell>
          <cell r="DM290">
            <v>0.15</v>
          </cell>
          <cell r="DN290">
            <v>0.17599999999999999</v>
          </cell>
          <cell r="DO290">
            <v>3.6999999999999998E-2</v>
          </cell>
          <cell r="DP290">
            <v>8.3000000000000004E-2</v>
          </cell>
          <cell r="DQ290">
            <v>0.153</v>
          </cell>
          <cell r="DR290">
            <v>0.185</v>
          </cell>
          <cell r="DS290">
            <v>3.7999999999999999E-2</v>
          </cell>
          <cell r="DT290">
            <v>0.14499999999999999</v>
          </cell>
          <cell r="DU290">
            <v>3.6999999999999998E-2</v>
          </cell>
          <cell r="DV290">
            <v>1.9E-2</v>
          </cell>
          <cell r="DW290"/>
          <cell r="DX290"/>
          <cell r="DY290">
            <v>1.7999999999999999E-2</v>
          </cell>
          <cell r="DZ290">
            <v>3.5999999999999997E-2</v>
          </cell>
          <cell r="EA290">
            <v>0.25700000000000001</v>
          </cell>
          <cell r="EB290">
            <v>0.185</v>
          </cell>
          <cell r="EC290">
            <v>0.20799999999999999</v>
          </cell>
          <cell r="ED290">
            <v>0.159</v>
          </cell>
          <cell r="EE290">
            <v>0.111</v>
          </cell>
          <cell r="EF290">
            <v>0.14000000000000001</v>
          </cell>
          <cell r="EG290">
            <v>5.5E-2</v>
          </cell>
          <cell r="EH290">
            <v>0.105</v>
          </cell>
          <cell r="EI290">
            <v>0.02</v>
          </cell>
          <cell r="EJ290">
            <v>0.108</v>
          </cell>
          <cell r="EK290">
            <v>0.184</v>
          </cell>
          <cell r="EL290">
            <v>0.216</v>
          </cell>
          <cell r="EM290">
            <v>0.222</v>
          </cell>
          <cell r="EN290">
            <v>0.26</v>
          </cell>
          <cell r="EO290">
            <v>0.111</v>
          </cell>
          <cell r="EP290">
            <v>0.155</v>
          </cell>
          <cell r="EQ290">
            <v>0.33100000000000002</v>
          </cell>
          <cell r="ER290">
            <v>4.4999999999999998E-2</v>
          </cell>
          <cell r="ES290">
            <v>5.3999999999999999E-2</v>
          </cell>
          <cell r="ET290">
            <v>0.105</v>
          </cell>
          <cell r="EU290">
            <v>3.4000000000000002E-2</v>
          </cell>
          <cell r="EV290"/>
          <cell r="EW290">
            <v>3.9E-2</v>
          </cell>
          <cell r="EX290">
            <v>8.5999999999999993E-2</v>
          </cell>
          <cell r="EY290">
            <v>0.16600000000000001</v>
          </cell>
          <cell r="EZ290">
            <v>5.2999999999999999E-2</v>
          </cell>
          <cell r="FA290">
            <v>0.14599999999999999</v>
          </cell>
          <cell r="FB290">
            <v>0.157</v>
          </cell>
          <cell r="FC290">
            <v>0.14399999999999999</v>
          </cell>
          <cell r="FD290">
            <v>7.1999999999999995E-2</v>
          </cell>
          <cell r="FE290">
            <v>0.105</v>
          </cell>
          <cell r="FF290">
            <v>0.61199999999999999</v>
          </cell>
          <cell r="FG290">
            <v>0.19500000000000001</v>
          </cell>
          <cell r="FH290">
            <v>0.313</v>
          </cell>
          <cell r="FI290"/>
          <cell r="FJ290">
            <v>0.311</v>
          </cell>
          <cell r="FK290">
            <v>0.61199999999999999</v>
          </cell>
          <cell r="FL290">
            <v>0.52900000000000003</v>
          </cell>
          <cell r="FM290">
            <v>0.223</v>
          </cell>
          <cell r="FN290">
            <v>0.24</v>
          </cell>
          <cell r="FO290">
            <v>0.106</v>
          </cell>
          <cell r="FP290">
            <v>0.192</v>
          </cell>
          <cell r="FQ290">
            <v>0.24099999999999999</v>
          </cell>
          <cell r="FR290">
            <v>7.6999999999999999E-2</v>
          </cell>
          <cell r="FS290">
            <v>0.19</v>
          </cell>
          <cell r="FT290">
            <v>2.5000000000000001E-2</v>
          </cell>
          <cell r="FU290">
            <v>0.16600000000000001</v>
          </cell>
          <cell r="FV290">
            <v>0.17799999999999999</v>
          </cell>
          <cell r="FW290">
            <v>0.221</v>
          </cell>
          <cell r="FX290">
            <v>5.1999999999999998E-2</v>
          </cell>
          <cell r="FY290">
            <v>7.8E-2</v>
          </cell>
          <cell r="FZ290">
            <v>3.3000000000000002E-2</v>
          </cell>
          <cell r="GA290">
            <v>0.02</v>
          </cell>
          <cell r="GB290">
            <v>5.6000000000000001E-2</v>
          </cell>
          <cell r="GC290">
            <v>0.17399999999999999</v>
          </cell>
          <cell r="GD290">
            <v>6.4000000000000001E-2</v>
          </cell>
          <cell r="GE290">
            <v>9.1999999999999998E-2</v>
          </cell>
          <cell r="GF290">
            <v>0.28000000000000003</v>
          </cell>
          <cell r="GG290">
            <v>0.77600000000000002</v>
          </cell>
          <cell r="GH290">
            <v>0.14000000000000001</v>
          </cell>
          <cell r="GI290">
            <v>0.34499999999999997</v>
          </cell>
          <cell r="GJ290">
            <v>0.443</v>
          </cell>
          <cell r="GK290">
            <v>0.45</v>
          </cell>
          <cell r="GL290">
            <v>0.28799999999999998</v>
          </cell>
          <cell r="GM290">
            <v>0.24199999999999999</v>
          </cell>
          <cell r="GN290">
            <v>0.34599999999999997</v>
          </cell>
          <cell r="GO290">
            <v>0.154</v>
          </cell>
          <cell r="GP290">
            <v>0.16700000000000001</v>
          </cell>
          <cell r="GQ290">
            <v>3.6999999999999998E-2</v>
          </cell>
          <cell r="GR290">
            <v>0.439</v>
          </cell>
          <cell r="GS290">
            <v>0.30599999999999999</v>
          </cell>
          <cell r="GT290">
            <v>0.17599999999999999</v>
          </cell>
          <cell r="GU290">
            <v>0.14799999999999999</v>
          </cell>
          <cell r="GV290">
            <v>0.14299999999999999</v>
          </cell>
          <cell r="GW290">
            <v>0.105</v>
          </cell>
          <cell r="GX290">
            <v>0.34699999999999998</v>
          </cell>
          <cell r="GY290">
            <v>0.45600000000000002</v>
          </cell>
          <cell r="GZ290">
            <v>0.80500000000000005</v>
          </cell>
          <cell r="HA290">
            <v>0.65500000000000003</v>
          </cell>
          <cell r="HB290">
            <v>0.219</v>
          </cell>
          <cell r="HC290">
            <v>0.121</v>
          </cell>
          <cell r="HD290">
            <v>0.65900000000000003</v>
          </cell>
          <cell r="HE290">
            <v>0.25</v>
          </cell>
          <cell r="HF290">
            <v>7.8E-2</v>
          </cell>
          <cell r="HG290">
            <v>0.221</v>
          </cell>
          <cell r="HH290">
            <v>0.78900000000000003</v>
          </cell>
          <cell r="HI290">
            <v>1.4039999999999999</v>
          </cell>
          <cell r="HJ290">
            <v>0.35</v>
          </cell>
          <cell r="HK290">
            <v>0.52300000000000002</v>
          </cell>
          <cell r="HL290">
            <v>0.49099999999999999</v>
          </cell>
          <cell r="HM290">
            <v>0.375</v>
          </cell>
          <cell r="HN290">
            <v>0.41499999999999998</v>
          </cell>
          <cell r="HO290">
            <v>0.38600000000000001</v>
          </cell>
          <cell r="HP290">
            <v>0.25900000000000001</v>
          </cell>
          <cell r="HQ290">
            <v>0.26600000000000001</v>
          </cell>
          <cell r="HR290">
            <v>0.32300000000000001</v>
          </cell>
          <cell r="HS290">
            <v>0.38</v>
          </cell>
          <cell r="HT290">
            <v>0.48199999999999998</v>
          </cell>
          <cell r="HU290">
            <v>0.32700000000000001</v>
          </cell>
          <cell r="HV290">
            <v>0.377</v>
          </cell>
          <cell r="HW290">
            <v>0.46400000000000002</v>
          </cell>
          <cell r="HX290">
            <v>0.36799999999999999</v>
          </cell>
          <cell r="HY290">
            <v>0.39700000000000002</v>
          </cell>
          <cell r="HZ290">
            <v>0.20699999999999999</v>
          </cell>
          <cell r="IA290">
            <v>0.29599999999999999</v>
          </cell>
          <cell r="IB290">
            <v>0.378</v>
          </cell>
          <cell r="IC290">
            <v>0.215</v>
          </cell>
          <cell r="ID290">
            <v>0.32300000000000001</v>
          </cell>
          <cell r="IE290">
            <v>0.35099999999999998</v>
          </cell>
          <cell r="IF290">
            <v>0.61299999999999999</v>
          </cell>
          <cell r="IG290">
            <v>0.57299999999999995</v>
          </cell>
          <cell r="IH290">
            <v>0.51900000000000002</v>
          </cell>
          <cell r="II290">
            <v>0.23200000000000001</v>
          </cell>
          <cell r="IJ290">
            <v>0.68300000000000005</v>
          </cell>
          <cell r="IK290">
            <v>0.66</v>
          </cell>
          <cell r="IL290">
            <v>0.28899999999999998</v>
          </cell>
          <cell r="IM290">
            <v>0.67500000000000004</v>
          </cell>
          <cell r="IN290">
            <v>0.57599999999999996</v>
          </cell>
          <cell r="IO290">
            <v>0.4</v>
          </cell>
          <cell r="IP290">
            <v>0.47199999999999998</v>
          </cell>
          <cell r="IQ290">
            <v>0.49</v>
          </cell>
          <cell r="IR290">
            <v>7.4999999999999997E-2</v>
          </cell>
          <cell r="IS290">
            <v>0.111</v>
          </cell>
          <cell r="IT290">
            <v>0.13600000000000001</v>
          </cell>
          <cell r="IU290">
            <v>0.14599999999999999</v>
          </cell>
          <cell r="IV290">
            <v>0.66</v>
          </cell>
          <cell r="IW290">
            <v>0.434</v>
          </cell>
          <cell r="IX290">
            <v>0.52200000000000002</v>
          </cell>
          <cell r="IY290">
            <v>0.37</v>
          </cell>
          <cell r="IZ290">
            <v>0.312</v>
          </cell>
          <cell r="JA290">
            <v>0.34899999999999998</v>
          </cell>
          <cell r="JB290">
            <v>0.50800000000000001</v>
          </cell>
          <cell r="JC290">
            <v>0.436</v>
          </cell>
          <cell r="JD290">
            <v>0.52700000000000002</v>
          </cell>
          <cell r="JE290">
            <v>0.80900000000000005</v>
          </cell>
          <cell r="JF290">
            <v>0.22500000000000001</v>
          </cell>
          <cell r="JG290">
            <v>0.224</v>
          </cell>
          <cell r="JH290">
            <v>0.25</v>
          </cell>
          <cell r="JI290">
            <v>0.23699999999999999</v>
          </cell>
          <cell r="JJ290">
            <v>0.35399999999999998</v>
          </cell>
          <cell r="JK290">
            <v>0.32200000000000001</v>
          </cell>
          <cell r="JL290">
            <v>0.52500000000000002</v>
          </cell>
          <cell r="JM290">
            <v>0.27200000000000002</v>
          </cell>
          <cell r="JN290">
            <v>0.38100000000000001</v>
          </cell>
          <cell r="JO290">
            <v>0.26200000000000001</v>
          </cell>
          <cell r="JP290">
            <v>0.67</v>
          </cell>
          <cell r="JQ290">
            <v>0.36499999999999999</v>
          </cell>
          <cell r="JR290">
            <v>0.16800000000000001</v>
          </cell>
          <cell r="JS290">
            <v>0.27600000000000002</v>
          </cell>
          <cell r="JT290">
            <v>9.4E-2</v>
          </cell>
          <cell r="JU290">
            <v>0.371</v>
          </cell>
          <cell r="JV290">
            <v>0.11600000000000001</v>
          </cell>
          <cell r="JW290">
            <v>0.66700000000000004</v>
          </cell>
          <cell r="JX290">
            <v>0.91100000000000003</v>
          </cell>
          <cell r="JY290">
            <v>0.64400000000000002</v>
          </cell>
          <cell r="JZ290">
            <v>0.66200000000000003</v>
          </cell>
          <cell r="KA290">
            <v>0.65600000000000003</v>
          </cell>
          <cell r="KB290">
            <v>0.49</v>
          </cell>
          <cell r="KC290">
            <v>0.42399999999999999</v>
          </cell>
          <cell r="KD290">
            <v>0.23100000000000001</v>
          </cell>
          <cell r="KE290">
            <v>0.35699999999999998</v>
          </cell>
          <cell r="KF290">
            <v>0.40500000000000003</v>
          </cell>
          <cell r="KG290">
            <v>0.36499999999999999</v>
          </cell>
          <cell r="KH290">
            <v>1.0629999999999999</v>
          </cell>
          <cell r="KI290">
            <v>0.219</v>
          </cell>
          <cell r="KJ290">
            <v>0.214</v>
          </cell>
          <cell r="KK290">
            <v>0.26400000000000001</v>
          </cell>
          <cell r="KL290">
            <v>0.502</v>
          </cell>
          <cell r="KM290">
            <v>0.249</v>
          </cell>
          <cell r="KN290">
            <v>0.22700000000000001</v>
          </cell>
          <cell r="KO290">
            <v>0.193</v>
          </cell>
          <cell r="KP290">
            <v>0.13500000000000001</v>
          </cell>
          <cell r="KQ290">
            <v>0.17</v>
          </cell>
          <cell r="KR290">
            <v>0.53500000000000003</v>
          </cell>
          <cell r="KS290">
            <v>0.152</v>
          </cell>
          <cell r="KT290">
            <v>0.24299999999999999</v>
          </cell>
          <cell r="KU290">
            <v>0.16400000000000001</v>
          </cell>
          <cell r="KV290">
            <v>0.11600000000000001</v>
          </cell>
          <cell r="KW290">
            <v>0.19800000000000001</v>
          </cell>
          <cell r="KX290">
            <v>0.45500000000000002</v>
          </cell>
          <cell r="KY290">
            <v>8.2000000000000003E-2</v>
          </cell>
          <cell r="KZ290">
            <v>0.23699999999999999</v>
          </cell>
          <cell r="LA290">
            <v>0.16900000000000001</v>
          </cell>
          <cell r="LB290">
            <v>0.42699999999999999</v>
          </cell>
          <cell r="LC290">
            <v>0.51800000000000002</v>
          </cell>
          <cell r="LD290">
            <v>2.0350000000000001</v>
          </cell>
          <cell r="LE290">
            <v>0.53071000000000002</v>
          </cell>
          <cell r="LF290">
            <v>0.230127</v>
          </cell>
          <cell r="LG290">
            <v>0.23402600000000001</v>
          </cell>
          <cell r="LH290">
            <v>0.1164</v>
          </cell>
          <cell r="LI290">
            <v>0.44805</v>
          </cell>
          <cell r="LJ290">
            <v>0.35704999999999998</v>
          </cell>
          <cell r="LK290">
            <v>0.22900000000000001</v>
          </cell>
          <cell r="LL290">
            <v>0.29707499999999998</v>
          </cell>
          <cell r="LM290">
            <v>0.189415</v>
          </cell>
          <cell r="LN290">
            <v>5.7070000000000003E-2</v>
          </cell>
          <cell r="LO290">
            <v>0.30855399999999999</v>
          </cell>
          <cell r="LP290">
            <v>0.29484700000000003</v>
          </cell>
          <cell r="LQ290">
            <v>0.12502199999999999</v>
          </cell>
          <cell r="LR290">
            <v>0.15121000000000001</v>
          </cell>
          <cell r="LS290">
            <v>3.5357E-2</v>
          </cell>
          <cell r="LT290">
            <v>0.25536999999999999</v>
          </cell>
          <cell r="LU290">
            <v>0.43089899999999998</v>
          </cell>
          <cell r="LV290">
            <v>0.25106600000000001</v>
          </cell>
          <cell r="LW290">
            <v>0.21234500000000001</v>
          </cell>
          <cell r="LX290">
            <v>8.9609999999999995E-2</v>
          </cell>
          <cell r="LY290">
            <v>0.10829999999999999</v>
          </cell>
          <cell r="LZ290">
            <v>0.24221899999999999</v>
          </cell>
          <cell r="MA290">
            <v>0.171484</v>
          </cell>
          <cell r="MB290">
            <v>6.5402000000000002E-2</v>
          </cell>
          <cell r="MC290">
            <v>0.24049999999999999</v>
          </cell>
          <cell r="MD290">
            <v>7.6109999999999997E-2</v>
          </cell>
          <cell r="ME290">
            <v>7.7350000000000002E-2</v>
          </cell>
          <cell r="MF290">
            <v>5.1099999999999995E-4</v>
          </cell>
          <cell r="MG290">
            <v>2.9250000000000001E-3</v>
          </cell>
          <cell r="MH290">
            <v>0.12046</v>
          </cell>
          <cell r="MI290">
            <v>9.8099000000000006E-2</v>
          </cell>
          <cell r="MJ290">
            <v>0.10507</v>
          </cell>
          <cell r="MK290">
            <v>5.4100000000000003E-4</v>
          </cell>
          <cell r="ML290">
            <v>0.05</v>
          </cell>
          <cell r="MM290">
            <v>7.3832999999999996E-2</v>
          </cell>
          <cell r="MN290">
            <v>0.27246900000000002</v>
          </cell>
          <cell r="MO290">
            <v>0.16358600000000001</v>
          </cell>
          <cell r="MP290">
            <v>0.20300000000000001</v>
          </cell>
          <cell r="MQ290">
            <v>6.4889000000000002E-2</v>
          </cell>
          <cell r="MR290">
            <v>7.9459000000000002E-2</v>
          </cell>
          <cell r="MS290">
            <v>0.103031</v>
          </cell>
          <cell r="MT290">
            <v>9.4253000000000003E-2</v>
          </cell>
          <cell r="MU290">
            <v>5.8000000000000003E-2</v>
          </cell>
          <cell r="MV290">
            <v>4.3999999999999997E-2</v>
          </cell>
          <cell r="MW290">
            <v>0.129</v>
          </cell>
          <cell r="MX290">
            <v>0.11700000000000001</v>
          </cell>
          <cell r="MY290">
            <v>0.13</v>
          </cell>
          <cell r="MZ290">
            <v>4.1000000000000002E-2</v>
          </cell>
          <cell r="NA290">
            <v>0.14499999999999999</v>
          </cell>
          <cell r="NB290">
            <v>0.17399999999999999</v>
          </cell>
          <cell r="NC290">
            <v>0.125</v>
          </cell>
          <cell r="ND290">
            <v>0.21299999999999999</v>
          </cell>
          <cell r="NE290">
            <v>0.13400000000000001</v>
          </cell>
          <cell r="NF290">
            <v>0.154</v>
          </cell>
          <cell r="NG290">
            <v>9.0999999999999998E-2</v>
          </cell>
          <cell r="NH290">
            <v>2.7E-2</v>
          </cell>
        </row>
      </sheetData>
      <sheetData sheetId="27">
        <row r="290"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>
            <v>0.2</v>
          </cell>
          <cell r="EW290"/>
          <cell r="EX290"/>
          <cell r="EY290"/>
          <cell r="EZ290"/>
          <cell r="FA290"/>
          <cell r="FB290">
            <v>5.0000000000000001E-3</v>
          </cell>
          <cell r="FC290"/>
          <cell r="FD290"/>
          <cell r="FE290"/>
          <cell r="FF290">
            <v>0.19900000000000001</v>
          </cell>
          <cell r="FG290">
            <v>0.1</v>
          </cell>
          <cell r="FH290"/>
          <cell r="FI290"/>
          <cell r="FJ290"/>
          <cell r="FK290">
            <v>0.05</v>
          </cell>
          <cell r="FL290"/>
          <cell r="FM290"/>
          <cell r="FN290"/>
          <cell r="FO290">
            <v>7.8E-2</v>
          </cell>
          <cell r="FP290"/>
          <cell r="FQ290"/>
          <cell r="FR290">
            <v>7.8E-2</v>
          </cell>
          <cell r="FS290"/>
          <cell r="FT290">
            <v>6.9000000000000006E-2</v>
          </cell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>
            <v>3.4000000000000002E-2</v>
          </cell>
          <cell r="GG290"/>
          <cell r="GH290"/>
          <cell r="GI290"/>
          <cell r="GJ290"/>
          <cell r="GK290"/>
          <cell r="GL290"/>
          <cell r="GM290"/>
          <cell r="GN290"/>
          <cell r="GO290"/>
          <cell r="GP290"/>
          <cell r="GQ290"/>
          <cell r="GR290"/>
          <cell r="GS290"/>
          <cell r="GT290"/>
          <cell r="GU290"/>
          <cell r="GV290"/>
          <cell r="GW290"/>
          <cell r="GX290"/>
          <cell r="GY290"/>
          <cell r="GZ290"/>
          <cell r="HA290"/>
          <cell r="HB290"/>
          <cell r="HC290"/>
          <cell r="HD290"/>
          <cell r="HE290"/>
          <cell r="HF290">
            <v>6.6000000000000003E-2</v>
          </cell>
          <cell r="HG290"/>
          <cell r="HH290"/>
          <cell r="HI290">
            <v>3.9E-2</v>
          </cell>
          <cell r="HJ290"/>
          <cell r="HK290"/>
          <cell r="HL290"/>
          <cell r="HM290"/>
          <cell r="HN290">
            <v>8.6999999999999994E-2</v>
          </cell>
          <cell r="HO290"/>
          <cell r="HP290">
            <v>0.52500000000000002</v>
          </cell>
          <cell r="HQ290">
            <v>0.52500000000000002</v>
          </cell>
          <cell r="HR290">
            <v>0.52500000000000002</v>
          </cell>
          <cell r="HS290">
            <v>2.4929999999999999</v>
          </cell>
          <cell r="HT290">
            <v>0.56699999999999995</v>
          </cell>
          <cell r="HU290">
            <v>1.516</v>
          </cell>
          <cell r="HV290"/>
          <cell r="HW290">
            <v>1.3120000000000001</v>
          </cell>
          <cell r="HX290"/>
          <cell r="HY290">
            <v>1.327</v>
          </cell>
          <cell r="HZ290">
            <v>5.8999999999999997E-2</v>
          </cell>
          <cell r="IA290">
            <v>0.51500000000000001</v>
          </cell>
          <cell r="IB290">
            <v>0.42299999999999999</v>
          </cell>
          <cell r="IC290"/>
          <cell r="ID290"/>
          <cell r="IE290"/>
          <cell r="IF290"/>
          <cell r="IG290"/>
          <cell r="IH290"/>
          <cell r="II290"/>
          <cell r="IJ290"/>
          <cell r="IK290"/>
          <cell r="IL290"/>
          <cell r="IM290"/>
          <cell r="IN290"/>
          <cell r="IO290"/>
          <cell r="IP290"/>
          <cell r="IQ290"/>
          <cell r="IR290"/>
          <cell r="IS290">
            <v>0.84599999999999997</v>
          </cell>
          <cell r="IT290">
            <v>1.345</v>
          </cell>
          <cell r="IU290">
            <v>0.628</v>
          </cell>
          <cell r="IV290">
            <v>9.0999999999999998E-2</v>
          </cell>
          <cell r="IW290">
            <v>5.5129999999999999</v>
          </cell>
          <cell r="IX290">
            <v>3.839</v>
          </cell>
          <cell r="IY290">
            <v>11.725</v>
          </cell>
          <cell r="IZ290">
            <v>7.9939999999999998</v>
          </cell>
          <cell r="JA290">
            <v>7.9240000000000004</v>
          </cell>
          <cell r="JB290">
            <v>9.8420000000000005</v>
          </cell>
          <cell r="JC290">
            <v>6</v>
          </cell>
          <cell r="JD290">
            <v>8.4710000000000001</v>
          </cell>
          <cell r="JE290">
            <v>7.68</v>
          </cell>
          <cell r="JF290">
            <v>8.5280000000000005</v>
          </cell>
          <cell r="JG290">
            <v>7.3890000000000002</v>
          </cell>
          <cell r="JH290">
            <v>7.0640000000000001</v>
          </cell>
          <cell r="JI290">
            <v>5.3579999999999997</v>
          </cell>
          <cell r="JJ290">
            <v>10.669</v>
          </cell>
          <cell r="JK290">
            <v>9.8360000000000003</v>
          </cell>
          <cell r="JL290">
            <v>3.8010000000000002</v>
          </cell>
          <cell r="JM290">
            <v>1.5449999999999999</v>
          </cell>
          <cell r="JN290">
            <v>1.2809999999999999</v>
          </cell>
          <cell r="JO290">
            <v>2.02</v>
          </cell>
          <cell r="JP290">
            <v>3.766</v>
          </cell>
          <cell r="JQ290">
            <v>5.1749999999999998</v>
          </cell>
          <cell r="JR290">
            <v>1.6679999999999999</v>
          </cell>
          <cell r="JS290">
            <v>3.0249999999999999</v>
          </cell>
          <cell r="JT290">
            <v>1.901</v>
          </cell>
          <cell r="JU290">
            <v>4.3620000000000001</v>
          </cell>
          <cell r="JV290">
            <v>3.9620000000000002</v>
          </cell>
          <cell r="JW290">
            <v>8.4600000000000009</v>
          </cell>
          <cell r="JX290">
            <v>3.6469999999999998</v>
          </cell>
          <cell r="JY290">
            <v>5.8520000000000003</v>
          </cell>
          <cell r="JZ290">
            <v>5.0759999999999996</v>
          </cell>
          <cell r="KA290">
            <v>2.3050000000000002</v>
          </cell>
          <cell r="KB290">
            <v>1.071</v>
          </cell>
          <cell r="KC290">
            <v>1.1180000000000001</v>
          </cell>
          <cell r="KD290">
            <v>1.9350000000000001</v>
          </cell>
          <cell r="KE290">
            <v>1.383</v>
          </cell>
          <cell r="KF290">
            <v>2.6110000000000002</v>
          </cell>
          <cell r="KG290">
            <v>1.129</v>
          </cell>
          <cell r="KH290">
            <v>2.8780000000000001</v>
          </cell>
          <cell r="KI290">
            <v>2.83</v>
          </cell>
          <cell r="KJ290">
            <v>0.85399999999999998</v>
          </cell>
          <cell r="KK290">
            <v>0</v>
          </cell>
          <cell r="KL290">
            <v>1.927</v>
          </cell>
          <cell r="KM290">
            <v>5.9359999999999999</v>
          </cell>
          <cell r="KN290">
            <v>10.994999999999999</v>
          </cell>
          <cell r="KO290">
            <v>17.206</v>
          </cell>
          <cell r="KP290">
            <v>19.411999999999999</v>
          </cell>
          <cell r="KQ290">
            <v>22.173999999999999</v>
          </cell>
          <cell r="KR290">
            <v>47.732999999999997</v>
          </cell>
          <cell r="KS290">
            <v>41.725000000000001</v>
          </cell>
          <cell r="KT290">
            <v>10.51</v>
          </cell>
          <cell r="KU290">
            <v>5.8230000000000004</v>
          </cell>
          <cell r="KV290">
            <v>38.468000000000004</v>
          </cell>
          <cell r="KW290">
            <v>11.016999999999999</v>
          </cell>
          <cell r="KX290">
            <v>37.311</v>
          </cell>
          <cell r="KY290">
            <v>11.111000000000001</v>
          </cell>
          <cell r="KZ290">
            <v>35.704999999999998</v>
          </cell>
          <cell r="LA290">
            <v>4.819</v>
          </cell>
          <cell r="LB290">
            <v>33.024000000000001</v>
          </cell>
          <cell r="LC290">
            <v>38.292000000000002</v>
          </cell>
          <cell r="LD290">
            <v>33.552999999999997</v>
          </cell>
          <cell r="LE290">
            <v>2.64</v>
          </cell>
          <cell r="LF290">
            <v>29.850999999999999</v>
          </cell>
          <cell r="LG290">
            <v>29.739000000000001</v>
          </cell>
          <cell r="LH290">
            <v>0.90500000000000003</v>
          </cell>
          <cell r="LI290">
            <v>0.54900000000000004</v>
          </cell>
          <cell r="LJ290">
            <v>0</v>
          </cell>
          <cell r="LK290">
            <v>0.54700000000000004</v>
          </cell>
          <cell r="LL290">
            <v>0</v>
          </cell>
          <cell r="LM290">
            <v>25.931000000000001</v>
          </cell>
          <cell r="LN290">
            <v>29.692</v>
          </cell>
          <cell r="LO290">
            <v>13.548999999999999</v>
          </cell>
          <cell r="LP290">
            <v>44.405000000000001</v>
          </cell>
          <cell r="LQ290">
            <v>1.9790000000000001</v>
          </cell>
          <cell r="LR290">
            <v>2.8980000000000001</v>
          </cell>
          <cell r="LS290">
            <v>2.0739999999999998</v>
          </cell>
          <cell r="LT290">
            <v>0</v>
          </cell>
          <cell r="LU290">
            <v>2.3839999999999999</v>
          </cell>
          <cell r="LV290">
            <v>0.437</v>
          </cell>
          <cell r="LW290">
            <v>2.09</v>
          </cell>
          <cell r="LX290">
            <v>4.2629999999999999</v>
          </cell>
          <cell r="LY290">
            <v>32.021000000000001</v>
          </cell>
          <cell r="LZ290">
            <v>11.022</v>
          </cell>
          <cell r="MA290">
            <v>25.24</v>
          </cell>
          <cell r="MB290">
            <v>54.959000000000003</v>
          </cell>
          <cell r="MC290">
            <v>13.972</v>
          </cell>
          <cell r="MD290">
            <v>3.419</v>
          </cell>
          <cell r="ME290">
            <v>6.4820000000000002</v>
          </cell>
          <cell r="MF290">
            <v>1.2769999999999999</v>
          </cell>
          <cell r="MG290">
            <v>53.67</v>
          </cell>
          <cell r="MH290">
            <v>2.722</v>
          </cell>
          <cell r="MI290">
            <v>36.686</v>
          </cell>
          <cell r="MJ290">
            <v>74.578999999999994</v>
          </cell>
          <cell r="MK290">
            <v>90.722999999999999</v>
          </cell>
          <cell r="ML290">
            <v>40.542000000000002</v>
          </cell>
          <cell r="MM290">
            <v>3.3519999999999999</v>
          </cell>
          <cell r="MN290">
            <v>1.458</v>
          </cell>
          <cell r="MO290">
            <v>3.3959999999999999</v>
          </cell>
          <cell r="MP290">
            <v>29.965</v>
          </cell>
          <cell r="MQ290">
            <v>3.0470000000000002</v>
          </cell>
          <cell r="MR290">
            <v>0.58799999999999997</v>
          </cell>
          <cell r="MS290">
            <v>0</v>
          </cell>
          <cell r="MT290">
            <v>0.53300000000000003</v>
          </cell>
          <cell r="MU290">
            <v>0.76300000000000001</v>
          </cell>
          <cell r="MV290">
            <v>1.0529999999999999</v>
          </cell>
          <cell r="MW290">
            <v>1.036</v>
          </cell>
          <cell r="MX290">
            <v>0</v>
          </cell>
          <cell r="MY290">
            <v>0</v>
          </cell>
          <cell r="MZ290">
            <v>52.037999999999997</v>
          </cell>
          <cell r="NA290">
            <v>0.22700000000000001</v>
          </cell>
          <cell r="NB290">
            <v>0.99299999999999999</v>
          </cell>
          <cell r="NC290">
            <v>46.281999999999996</v>
          </cell>
          <cell r="ND290">
            <v>65.19</v>
          </cell>
          <cell r="NE290">
            <v>29.486999999999998</v>
          </cell>
          <cell r="NF290">
            <v>0</v>
          </cell>
          <cell r="NG290">
            <v>0</v>
          </cell>
          <cell r="NH290">
            <v>30.687000000000001</v>
          </cell>
        </row>
      </sheetData>
      <sheetData sheetId="28">
        <row r="290">
          <cell r="CQ290"/>
          <cell r="CR290"/>
          <cell r="CS290"/>
          <cell r="CT290">
            <v>1.012</v>
          </cell>
          <cell r="CU290">
            <v>0.79</v>
          </cell>
          <cell r="CV290">
            <v>1.5</v>
          </cell>
          <cell r="CW290">
            <v>0.14799999999999999</v>
          </cell>
          <cell r="CX290"/>
          <cell r="CY290">
            <v>1.1000000000000001</v>
          </cell>
          <cell r="CZ290"/>
          <cell r="DA290"/>
          <cell r="DB290"/>
          <cell r="DC290">
            <v>1.302</v>
          </cell>
          <cell r="DD290"/>
          <cell r="DE290">
            <v>0.106</v>
          </cell>
          <cell r="DF290">
            <v>1.0999999999999999E-2</v>
          </cell>
          <cell r="DG290"/>
          <cell r="DH290"/>
          <cell r="DI290"/>
          <cell r="DJ290"/>
          <cell r="DK290"/>
          <cell r="DL290"/>
          <cell r="DM290"/>
          <cell r="DN290"/>
          <cell r="DO290"/>
          <cell r="DP290">
            <v>1.486</v>
          </cell>
          <cell r="DQ290">
            <v>1.0900000000000001</v>
          </cell>
          <cell r="DR290"/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>
            <v>0.5</v>
          </cell>
          <cell r="EG290">
            <v>0.34</v>
          </cell>
          <cell r="EH290">
            <v>0.93700000000000006</v>
          </cell>
          <cell r="EI290">
            <v>0.56499999999999995</v>
          </cell>
          <cell r="EJ290"/>
          <cell r="EK290">
            <v>0.15</v>
          </cell>
          <cell r="EL290"/>
          <cell r="EM290">
            <v>2.3660000000000001</v>
          </cell>
          <cell r="EN290">
            <v>0.28499999999999998</v>
          </cell>
          <cell r="EO290">
            <v>0.50800000000000001</v>
          </cell>
          <cell r="EP290">
            <v>0.2</v>
          </cell>
          <cell r="EQ290">
            <v>0.26200000000000001</v>
          </cell>
          <cell r="ER290">
            <v>5.3999999999999999E-2</v>
          </cell>
          <cell r="ES290">
            <v>0.34100000000000003</v>
          </cell>
          <cell r="ET290">
            <v>0.6</v>
          </cell>
          <cell r="EU290">
            <v>1.333</v>
          </cell>
          <cell r="EV290">
            <v>1.2</v>
          </cell>
          <cell r="EW290">
            <v>7.0000000000000007E-2</v>
          </cell>
          <cell r="EX290">
            <v>1.198</v>
          </cell>
          <cell r="EY290">
            <v>0.40600000000000003</v>
          </cell>
          <cell r="EZ290">
            <v>0.65700000000000003</v>
          </cell>
          <cell r="FA290">
            <v>0.39600000000000002</v>
          </cell>
          <cell r="FB290">
            <v>0.97099999999999997</v>
          </cell>
          <cell r="FC290">
            <v>1.9930000000000001</v>
          </cell>
          <cell r="FD290">
            <v>1.7310000000000001</v>
          </cell>
          <cell r="FE290">
            <v>0.69599999999999995</v>
          </cell>
          <cell r="FF290">
            <v>2.5999999999999999E-2</v>
          </cell>
          <cell r="FG290">
            <v>4.8000000000000001E-2</v>
          </cell>
          <cell r="FH290">
            <v>0.41099999999999998</v>
          </cell>
          <cell r="FI290">
            <v>0.95699999999999996</v>
          </cell>
          <cell r="FJ290">
            <v>0.29699999999999999</v>
          </cell>
          <cell r="FK290">
            <v>4.1740000000000004</v>
          </cell>
          <cell r="FL290">
            <v>2.5409999999999999</v>
          </cell>
          <cell r="FM290">
            <v>1.2749999999999999</v>
          </cell>
          <cell r="FN290">
            <v>2.1419999999999999</v>
          </cell>
          <cell r="FO290">
            <v>2.73</v>
          </cell>
          <cell r="FP290">
            <v>1.55</v>
          </cell>
          <cell r="FQ290">
            <v>1.151</v>
          </cell>
          <cell r="FR290">
            <v>2.9790000000000001</v>
          </cell>
          <cell r="FS290">
            <v>5.0609999999999999</v>
          </cell>
          <cell r="FT290">
            <v>4.2839999999999998</v>
          </cell>
          <cell r="FU290">
            <v>5.7930000000000001</v>
          </cell>
          <cell r="FV290">
            <v>6.66</v>
          </cell>
          <cell r="FW290">
            <v>8.7650000000000006</v>
          </cell>
          <cell r="FX290">
            <v>4.5999999999999999E-2</v>
          </cell>
          <cell r="FY290">
            <v>0.33200000000000002</v>
          </cell>
          <cell r="FZ290">
            <v>0.05</v>
          </cell>
          <cell r="GA290">
            <v>0.152</v>
          </cell>
          <cell r="GB290">
            <v>0.32300000000000001</v>
          </cell>
          <cell r="GC290">
            <v>1.0449999999999999</v>
          </cell>
          <cell r="GD290">
            <v>0.70799999999999996</v>
          </cell>
          <cell r="GE290">
            <v>0.222</v>
          </cell>
          <cell r="GF290">
            <v>5.8000000000000003E-2</v>
          </cell>
          <cell r="GG290">
            <v>4.4999999999999998E-2</v>
          </cell>
          <cell r="GH290">
            <v>23.771000000000001</v>
          </cell>
          <cell r="GI290">
            <v>14.16</v>
          </cell>
          <cell r="GJ290">
            <v>12.97</v>
          </cell>
          <cell r="GK290">
            <v>46.326000000000001</v>
          </cell>
          <cell r="GL290">
            <v>2.1000000000000001E-2</v>
          </cell>
          <cell r="GM290">
            <v>9.2999999999999999E-2</v>
          </cell>
          <cell r="GN290">
            <v>20.152999999999999</v>
          </cell>
          <cell r="GO290">
            <v>14.13</v>
          </cell>
          <cell r="GP290">
            <v>0.159</v>
          </cell>
          <cell r="GQ290">
            <v>2.9089999999999998</v>
          </cell>
          <cell r="GR290">
            <v>7.4999999999999997E-2</v>
          </cell>
          <cell r="GS290">
            <v>0.14899999999999999</v>
          </cell>
          <cell r="GT290">
            <v>2.8260000000000001</v>
          </cell>
          <cell r="GU290">
            <v>0.877</v>
          </cell>
          <cell r="GV290">
            <v>0.67800000000000005</v>
          </cell>
          <cell r="GW290">
            <v>0.69599999999999995</v>
          </cell>
          <cell r="GX290">
            <v>0.39</v>
          </cell>
          <cell r="GY290">
            <v>0.126</v>
          </cell>
          <cell r="GZ290">
            <v>0.93500000000000005</v>
          </cell>
          <cell r="HA290">
            <v>1.161</v>
          </cell>
          <cell r="HB290">
            <v>0.63800000000000001</v>
          </cell>
          <cell r="HC290">
            <v>1.4790000000000001</v>
          </cell>
          <cell r="HD290">
            <v>0.53200000000000003</v>
          </cell>
          <cell r="HE290">
            <v>0.58699999999999997</v>
          </cell>
          <cell r="HF290">
            <v>0.58299999999999996</v>
          </cell>
          <cell r="HG290">
            <v>0.53100000000000003</v>
          </cell>
          <cell r="HH290">
            <v>5.5E-2</v>
          </cell>
          <cell r="HI290">
            <v>3.1E-2</v>
          </cell>
          <cell r="HJ290">
            <v>0.41599999999999998</v>
          </cell>
          <cell r="HK290">
            <v>0.95899999999999996</v>
          </cell>
          <cell r="HL290">
            <v>0.29499999999999998</v>
          </cell>
          <cell r="HM290">
            <v>0.56599999999999995</v>
          </cell>
          <cell r="HN290">
            <v>1.3420000000000001</v>
          </cell>
          <cell r="HO290">
            <v>8.7569999999999997</v>
          </cell>
          <cell r="HP290">
            <v>0.218</v>
          </cell>
          <cell r="HQ290">
            <v>0.45700000000000002</v>
          </cell>
          <cell r="HR290">
            <v>5.3999999999999999E-2</v>
          </cell>
          <cell r="HS290">
            <v>0.157</v>
          </cell>
          <cell r="HT290">
            <v>0.14199999999999999</v>
          </cell>
          <cell r="HU290">
            <v>1.34</v>
          </cell>
          <cell r="HV290">
            <v>0.24199999999999999</v>
          </cell>
          <cell r="HW290">
            <v>0.20699999999999999</v>
          </cell>
          <cell r="HX290">
            <v>0.35399999999999998</v>
          </cell>
          <cell r="HY290">
            <v>0.22800000000000001</v>
          </cell>
          <cell r="HZ290">
            <v>1.04</v>
          </cell>
          <cell r="IA290">
            <v>1.1040000000000001</v>
          </cell>
          <cell r="IB290">
            <v>0.59</v>
          </cell>
          <cell r="IC290">
            <v>0.28499999999999998</v>
          </cell>
          <cell r="ID290">
            <v>0.18099999999999999</v>
          </cell>
          <cell r="IE290">
            <v>0.153</v>
          </cell>
          <cell r="IF290">
            <v>0.36599999999999999</v>
          </cell>
          <cell r="IG290">
            <v>0.24299999999999999</v>
          </cell>
          <cell r="IH290">
            <v>0.26300000000000001</v>
          </cell>
          <cell r="II290">
            <v>0.11799999999999999</v>
          </cell>
          <cell r="IJ290">
            <v>0.377</v>
          </cell>
          <cell r="IK290">
            <v>0.65400000000000003</v>
          </cell>
          <cell r="IL290">
            <v>0.19700000000000001</v>
          </cell>
          <cell r="IM290">
            <v>0.35799999999999998</v>
          </cell>
          <cell r="IN290">
            <v>4.5999999999999999E-2</v>
          </cell>
          <cell r="IO290">
            <v>0.35299999999999998</v>
          </cell>
          <cell r="IP290">
            <v>3.1E-2</v>
          </cell>
          <cell r="IQ290">
            <v>0.96799999999999997</v>
          </cell>
          <cell r="IR290">
            <v>0.31900000000000001</v>
          </cell>
          <cell r="IS290">
            <v>7.0000000000000001E-3</v>
          </cell>
          <cell r="IT290">
            <v>0.28899999999999998</v>
          </cell>
          <cell r="IU290">
            <v>7.1999999999999995E-2</v>
          </cell>
          <cell r="IV290">
            <v>0.46700000000000003</v>
          </cell>
          <cell r="IW290">
            <v>0.57999999999999996</v>
          </cell>
          <cell r="IX290">
            <v>2.7160000000000002</v>
          </cell>
          <cell r="IY290">
            <v>0.14399999999999999</v>
          </cell>
          <cell r="IZ290">
            <v>0.40799999999999997</v>
          </cell>
          <cell r="JA290">
            <v>0.187</v>
          </cell>
          <cell r="JB290">
            <v>0.35699999999999998</v>
          </cell>
          <cell r="JC290">
            <v>0.47899999999999998</v>
          </cell>
          <cell r="JD290">
            <v>2.0649999999999999</v>
          </cell>
          <cell r="JE290">
            <v>0.622</v>
          </cell>
          <cell r="JF290">
            <v>0.90900000000000003</v>
          </cell>
          <cell r="JG290">
            <v>0.44500000000000001</v>
          </cell>
          <cell r="JH290">
            <v>0.68300000000000005</v>
          </cell>
          <cell r="JI290">
            <v>0.22500000000000001</v>
          </cell>
          <cell r="JJ290">
            <v>0.222</v>
          </cell>
          <cell r="JK290">
            <v>0.19700000000000001</v>
          </cell>
          <cell r="JL290">
            <v>1.9990000000000001</v>
          </cell>
          <cell r="JM290">
            <v>0.58799999999999997</v>
          </cell>
          <cell r="JN290">
            <v>0.48499999999999999</v>
          </cell>
          <cell r="JO290">
            <v>0.153</v>
          </cell>
          <cell r="JP290">
            <v>0.44900000000000001</v>
          </cell>
          <cell r="JQ290">
            <v>3.6999999999999998E-2</v>
          </cell>
          <cell r="JR290">
            <v>0.155</v>
          </cell>
          <cell r="JS290">
            <v>4.3999999999999997E-2</v>
          </cell>
          <cell r="JT290">
            <v>0.45800000000000002</v>
          </cell>
          <cell r="JU290">
            <v>0.88100000000000001</v>
          </cell>
          <cell r="JV290">
            <v>2.1230000000000002</v>
          </cell>
          <cell r="JW290">
            <v>0.443</v>
          </cell>
          <cell r="JX290">
            <v>0.161</v>
          </cell>
          <cell r="JY290">
            <v>0.52500000000000002</v>
          </cell>
          <cell r="JZ290">
            <v>0.439</v>
          </cell>
          <cell r="KA290">
            <v>0.33700000000000002</v>
          </cell>
          <cell r="KB290">
            <v>0.44700000000000001</v>
          </cell>
          <cell r="KC290">
            <v>0.25600000000000001</v>
          </cell>
          <cell r="KD290">
            <v>0.29399999999999998</v>
          </cell>
          <cell r="KE290">
            <v>0.183</v>
          </cell>
          <cell r="KF290">
            <v>0.60899999999999999</v>
          </cell>
          <cell r="KG290">
            <v>0.49</v>
          </cell>
          <cell r="KH290">
            <v>0.27200000000000002</v>
          </cell>
          <cell r="KI290">
            <v>0.155</v>
          </cell>
          <cell r="KJ290">
            <v>0.27800000000000002</v>
          </cell>
          <cell r="KK290">
            <v>0.115</v>
          </cell>
          <cell r="KL290">
            <v>0.53600000000000003</v>
          </cell>
          <cell r="KM290">
            <v>0.45600000000000002</v>
          </cell>
          <cell r="KN290">
            <v>1.276</v>
          </cell>
          <cell r="KO290">
            <v>0.23799999999999999</v>
          </cell>
          <cell r="KP290">
            <v>0.127</v>
          </cell>
          <cell r="KQ290">
            <v>0.254</v>
          </cell>
          <cell r="KR290">
            <v>0.29399999999999998</v>
          </cell>
          <cell r="KS290">
            <v>0.22900000000000001</v>
          </cell>
          <cell r="KT290">
            <v>0.28399999999999997</v>
          </cell>
          <cell r="KU290">
            <v>2E-3</v>
          </cell>
          <cell r="KV290">
            <v>0.109</v>
          </cell>
          <cell r="KW290">
            <v>0.35199999999999998</v>
          </cell>
          <cell r="KX290">
            <v>0.29099999999999998</v>
          </cell>
          <cell r="KY290">
            <v>4.5999999999999999E-2</v>
          </cell>
          <cell r="KZ290">
            <v>0.155</v>
          </cell>
          <cell r="LA290">
            <v>9.7000000000000003E-2</v>
          </cell>
          <cell r="LB290">
            <v>4.2000000000000003E-2</v>
          </cell>
          <cell r="LC290">
            <v>0.39800000000000002</v>
          </cell>
          <cell r="LD290">
            <v>0.16800000000000001</v>
          </cell>
          <cell r="LE290">
            <v>0.248</v>
          </cell>
          <cell r="LF290">
            <v>0.16800000000000001</v>
          </cell>
          <cell r="LG290">
            <v>0.14099999999999999</v>
          </cell>
          <cell r="LH290">
            <v>0.16800000000000001</v>
          </cell>
          <cell r="LI290">
            <v>0.26400000000000001</v>
          </cell>
          <cell r="LJ290">
            <v>7.9000000000000001E-2</v>
          </cell>
          <cell r="LK290">
            <v>0.153</v>
          </cell>
          <cell r="LL290">
            <v>0.57099999999999995</v>
          </cell>
          <cell r="LM290">
            <v>0.04</v>
          </cell>
          <cell r="LN290">
            <v>2.1000000000000001E-2</v>
          </cell>
          <cell r="LO290">
            <v>8.8999999999999996E-2</v>
          </cell>
          <cell r="LP290">
            <v>0.02</v>
          </cell>
          <cell r="LQ290">
            <v>0.01</v>
          </cell>
          <cell r="LR290">
            <v>2.1999999999999999E-2</v>
          </cell>
          <cell r="LS290">
            <v>0.109</v>
          </cell>
          <cell r="LT290">
            <v>0.222</v>
          </cell>
          <cell r="LU290">
            <v>8.3000000000000004E-2</v>
          </cell>
          <cell r="LV290">
            <v>4.3999999999999997E-2</v>
          </cell>
          <cell r="LW290">
            <v>0.124</v>
          </cell>
          <cell r="LX290">
            <v>0.05</v>
          </cell>
          <cell r="LY290">
            <v>0.27700000000000002</v>
          </cell>
          <cell r="LZ290">
            <v>5.7000000000000002E-2</v>
          </cell>
          <cell r="MA290">
            <v>2.4E-2</v>
          </cell>
          <cell r="MB290">
            <v>8.8999999999999996E-2</v>
          </cell>
          <cell r="MC290">
            <v>0.17699999999999999</v>
          </cell>
          <cell r="MD290">
            <v>0.13300000000000001</v>
          </cell>
          <cell r="ME290">
            <v>4.9000000000000002E-2</v>
          </cell>
          <cell r="MF290">
            <v>7.0999999999999994E-2</v>
          </cell>
          <cell r="MG290">
            <v>6.7000000000000004E-2</v>
          </cell>
          <cell r="MH290">
            <v>4.2000000000000003E-2</v>
          </cell>
          <cell r="MI290">
            <v>0.11</v>
          </cell>
          <cell r="MJ290">
            <v>6.7000000000000004E-2</v>
          </cell>
          <cell r="MK290">
            <v>0.20599999999999999</v>
          </cell>
          <cell r="ML290">
            <v>0</v>
          </cell>
          <cell r="MM290">
            <v>0</v>
          </cell>
          <cell r="MN290">
            <v>0</v>
          </cell>
          <cell r="MO290">
            <v>0</v>
          </cell>
          <cell r="MP290">
            <v>0.11799999999999999</v>
          </cell>
          <cell r="MQ290">
            <v>0.11700000000000001</v>
          </cell>
          <cell r="MR290">
            <v>4.3999999999999997E-2</v>
          </cell>
          <cell r="MS290">
            <v>0.13900000000000001</v>
          </cell>
          <cell r="MT290">
            <v>0.05</v>
          </cell>
          <cell r="MU290">
            <v>8.4000000000000005E-2</v>
          </cell>
          <cell r="MV290">
            <v>0.16</v>
          </cell>
          <cell r="MW290">
            <v>2.5999999999999999E-2</v>
          </cell>
          <cell r="MX290">
            <v>0</v>
          </cell>
          <cell r="MY290">
            <v>1E-3</v>
          </cell>
          <cell r="MZ290">
            <v>0.25900000000000001</v>
          </cell>
          <cell r="NA290">
            <v>0</v>
          </cell>
          <cell r="NB290">
            <v>0</v>
          </cell>
          <cell r="NC290">
            <v>0</v>
          </cell>
          <cell r="ND290">
            <v>3.5000000000000003E-2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</row>
      </sheetData>
      <sheetData sheetId="29">
        <row r="290">
          <cell r="CQ290">
            <v>26.8</v>
          </cell>
          <cell r="CR290">
            <v>13.592000000000001</v>
          </cell>
          <cell r="CS290">
            <v>5.4720000000000004</v>
          </cell>
          <cell r="CT290">
            <v>45.35</v>
          </cell>
          <cell r="CU290">
            <v>24.103999999999999</v>
          </cell>
          <cell r="CV290">
            <v>41.612000000000002</v>
          </cell>
          <cell r="CW290">
            <v>52.593000000000004</v>
          </cell>
          <cell r="CX290">
            <v>7.2679999999999998</v>
          </cell>
          <cell r="CY290">
            <v>18.824000000000002</v>
          </cell>
          <cell r="CZ290">
            <v>56.015999999999998</v>
          </cell>
          <cell r="DA290">
            <v>40.639000000000003</v>
          </cell>
          <cell r="DB290">
            <v>15.384</v>
          </cell>
          <cell r="DC290">
            <v>19.015999999999998</v>
          </cell>
          <cell r="DD290">
            <v>43.267000000000003</v>
          </cell>
          <cell r="DE290">
            <v>50.024000000000001</v>
          </cell>
          <cell r="DF290">
            <v>42.128999999999998</v>
          </cell>
          <cell r="DG290">
            <v>64.94</v>
          </cell>
          <cell r="DH290">
            <v>30.437000000000001</v>
          </cell>
          <cell r="DI290">
            <v>50.433999999999997</v>
          </cell>
          <cell r="DJ290">
            <v>68.12</v>
          </cell>
          <cell r="DK290">
            <v>22.186</v>
          </cell>
          <cell r="DL290">
            <v>51.805</v>
          </cell>
          <cell r="DM290">
            <v>42.15</v>
          </cell>
          <cell r="DN290">
            <v>42.468000000000004</v>
          </cell>
          <cell r="DO290">
            <v>54.445999999999998</v>
          </cell>
          <cell r="DP290">
            <v>48.500999999999998</v>
          </cell>
          <cell r="DQ290">
            <v>13.127000000000001</v>
          </cell>
          <cell r="DR290">
            <v>10.222</v>
          </cell>
          <cell r="DS290">
            <v>13.983000000000001</v>
          </cell>
          <cell r="DT290">
            <v>13.275</v>
          </cell>
          <cell r="DU290">
            <v>14.377000000000001</v>
          </cell>
          <cell r="DV290">
            <v>37.698</v>
          </cell>
          <cell r="DW290">
            <v>23.434000000000001</v>
          </cell>
          <cell r="DX290">
            <v>9.8350000000000009</v>
          </cell>
          <cell r="DY290">
            <v>7.3029999999999999</v>
          </cell>
          <cell r="DZ290">
            <v>2.3559999999999999</v>
          </cell>
          <cell r="EA290">
            <v>1.032</v>
          </cell>
          <cell r="EB290"/>
          <cell r="EC290"/>
          <cell r="ED290"/>
          <cell r="EE290">
            <v>1E-3</v>
          </cell>
          <cell r="EF290"/>
          <cell r="EG290"/>
          <cell r="EH290"/>
          <cell r="EI290">
            <v>8.9999999999999993E-3</v>
          </cell>
          <cell r="EJ290"/>
          <cell r="EK290"/>
          <cell r="EL290">
            <v>3.008</v>
          </cell>
          <cell r="EM290">
            <v>3.0219999999999998</v>
          </cell>
          <cell r="EN290">
            <v>3.286</v>
          </cell>
          <cell r="EO290">
            <v>28.091000000000001</v>
          </cell>
          <cell r="EP290"/>
          <cell r="EQ290">
            <v>1.8</v>
          </cell>
          <cell r="ER290">
            <v>0.91600000000000004</v>
          </cell>
          <cell r="ES290">
            <v>2.8359999999999999</v>
          </cell>
          <cell r="ET290">
            <v>19.309999999999999</v>
          </cell>
          <cell r="EU290">
            <v>9.3539999999999992</v>
          </cell>
          <cell r="EV290">
            <v>11.446</v>
          </cell>
          <cell r="EW290">
            <v>9.391</v>
          </cell>
          <cell r="EX290">
            <v>7.6539999999999999</v>
          </cell>
          <cell r="EY290">
            <v>15.86</v>
          </cell>
          <cell r="EZ290">
            <v>14.012</v>
          </cell>
          <cell r="FA290">
            <v>19.361999999999998</v>
          </cell>
          <cell r="FB290"/>
          <cell r="FC290">
            <v>5.2999999999999999E-2</v>
          </cell>
          <cell r="FD290">
            <v>8.9999999999999993E-3</v>
          </cell>
          <cell r="FE290"/>
          <cell r="FF290">
            <v>16.591000000000001</v>
          </cell>
          <cell r="FG290">
            <v>12.525</v>
          </cell>
          <cell r="FH290">
            <v>2.548</v>
          </cell>
          <cell r="FI290">
            <v>1.9790000000000001</v>
          </cell>
          <cell r="FJ290">
            <v>0.85399999999999998</v>
          </cell>
          <cell r="FK290">
            <v>0.75</v>
          </cell>
          <cell r="FL290">
            <v>2.0190000000000001</v>
          </cell>
          <cell r="FM290">
            <v>1</v>
          </cell>
          <cell r="FN290">
            <v>8.9999999999999993E-3</v>
          </cell>
          <cell r="FO290"/>
          <cell r="FP290"/>
          <cell r="FQ290"/>
          <cell r="FR290">
            <v>8.9999999999999993E-3</v>
          </cell>
          <cell r="FS290"/>
          <cell r="FT290">
            <v>3</v>
          </cell>
          <cell r="FU290">
            <v>9.0090000000000003</v>
          </cell>
          <cell r="FV290">
            <v>3.0089999999999999</v>
          </cell>
          <cell r="FW290">
            <v>31.495000000000001</v>
          </cell>
          <cell r="FX290">
            <v>14</v>
          </cell>
          <cell r="FY290">
            <v>6.5979999999999999</v>
          </cell>
          <cell r="FZ290">
            <v>8.5090000000000003</v>
          </cell>
          <cell r="GA290">
            <v>2</v>
          </cell>
          <cell r="GB290">
            <v>8.7569999999999997</v>
          </cell>
          <cell r="GC290">
            <v>3.5169999999999999</v>
          </cell>
          <cell r="GD290"/>
          <cell r="GE290">
            <v>2.2330000000000001</v>
          </cell>
          <cell r="GF290">
            <v>10.007999999999999</v>
          </cell>
          <cell r="GG290">
            <v>10.257999999999999</v>
          </cell>
          <cell r="GH290">
            <v>18.952000000000002</v>
          </cell>
          <cell r="GI290">
            <v>14</v>
          </cell>
          <cell r="GJ290">
            <v>33.933</v>
          </cell>
          <cell r="GK290">
            <v>29.282</v>
          </cell>
          <cell r="GL290">
            <v>3.7690000000000001</v>
          </cell>
          <cell r="GM290">
            <v>4.5279999999999996</v>
          </cell>
          <cell r="GN290">
            <v>37.305999999999997</v>
          </cell>
          <cell r="GO290">
            <v>11.708</v>
          </cell>
          <cell r="GP290">
            <v>27.484000000000002</v>
          </cell>
          <cell r="GQ290"/>
          <cell r="GR290">
            <v>2.016</v>
          </cell>
          <cell r="GS290"/>
          <cell r="GT290">
            <v>2E-3</v>
          </cell>
          <cell r="GU290">
            <v>1.2999999999999999E-2</v>
          </cell>
          <cell r="GV290">
            <v>0.39200000000000002</v>
          </cell>
          <cell r="GW290"/>
          <cell r="GX290"/>
          <cell r="GY290">
            <v>3.0049999999999999</v>
          </cell>
          <cell r="GZ290">
            <v>3.0000000000000001E-3</v>
          </cell>
          <cell r="HA290"/>
          <cell r="HB290">
            <v>1.573</v>
          </cell>
          <cell r="HC290">
            <v>15.699</v>
          </cell>
          <cell r="HD290">
            <v>10.792</v>
          </cell>
          <cell r="HE290">
            <v>7.0229999999999997</v>
          </cell>
          <cell r="HF290">
            <v>32.996000000000002</v>
          </cell>
          <cell r="HG290">
            <v>82.442999999999998</v>
          </cell>
          <cell r="HH290">
            <v>73.569999999999993</v>
          </cell>
          <cell r="HI290">
            <v>62.145000000000003</v>
          </cell>
          <cell r="HJ290">
            <v>62.088000000000001</v>
          </cell>
          <cell r="HK290">
            <v>48.420999999999999</v>
          </cell>
          <cell r="HL290">
            <v>82.066999999999993</v>
          </cell>
          <cell r="HM290">
            <v>23.001000000000001</v>
          </cell>
          <cell r="HN290">
            <v>27.13</v>
          </cell>
          <cell r="HO290">
            <v>43.143000000000001</v>
          </cell>
          <cell r="HP290">
            <v>31.300999999999998</v>
          </cell>
          <cell r="HQ290">
            <v>28.006</v>
          </cell>
          <cell r="HR290">
            <v>24.439</v>
          </cell>
          <cell r="HS290">
            <v>56.194000000000003</v>
          </cell>
          <cell r="HT290">
            <v>44.603999999999999</v>
          </cell>
          <cell r="HU290">
            <v>57.134</v>
          </cell>
          <cell r="HV290">
            <v>55.942999999999998</v>
          </cell>
          <cell r="HW290">
            <v>60.720999999999997</v>
          </cell>
          <cell r="HX290">
            <v>30.535</v>
          </cell>
          <cell r="HY290">
            <v>56.920999999999999</v>
          </cell>
          <cell r="HZ290">
            <v>62.267000000000003</v>
          </cell>
          <cell r="IA290">
            <v>59.889000000000003</v>
          </cell>
          <cell r="IB290">
            <v>27.483000000000001</v>
          </cell>
          <cell r="IC290">
            <v>44.377000000000002</v>
          </cell>
          <cell r="ID290">
            <v>42.996000000000002</v>
          </cell>
          <cell r="IE290">
            <v>97.051000000000002</v>
          </cell>
          <cell r="IF290">
            <v>37.478999999999999</v>
          </cell>
          <cell r="IG290">
            <v>41.780999999999999</v>
          </cell>
          <cell r="IH290">
            <v>81.040000000000006</v>
          </cell>
          <cell r="II290">
            <v>44.552999999999997</v>
          </cell>
          <cell r="IJ290">
            <v>29.501999999999999</v>
          </cell>
          <cell r="IK290">
            <v>90.063000000000002</v>
          </cell>
          <cell r="IL290">
            <v>58.313000000000002</v>
          </cell>
          <cell r="IM290">
            <v>40.796999999999997</v>
          </cell>
          <cell r="IN290">
            <v>46.881</v>
          </cell>
          <cell r="IO290">
            <v>76.167000000000002</v>
          </cell>
          <cell r="IP290">
            <v>69.478999999999999</v>
          </cell>
          <cell r="IQ290">
            <v>83.474999999999994</v>
          </cell>
          <cell r="IR290">
            <v>66.495000000000005</v>
          </cell>
          <cell r="IS290">
            <v>101.32</v>
          </cell>
          <cell r="IT290">
            <v>135.874</v>
          </cell>
          <cell r="IU290">
            <v>135.99199999999999</v>
          </cell>
          <cell r="IV290">
            <v>102.52</v>
          </cell>
          <cell r="IW290">
            <v>100.845</v>
          </cell>
          <cell r="IX290">
            <v>59.011000000000003</v>
          </cell>
          <cell r="IY290">
            <v>94.02</v>
          </cell>
          <cell r="IZ290">
            <v>82.418000000000006</v>
          </cell>
          <cell r="JA290">
            <v>54.311</v>
          </cell>
          <cell r="JB290">
            <v>57.030999999999999</v>
          </cell>
          <cell r="JC290">
            <v>147.411</v>
          </cell>
          <cell r="JD290">
            <v>78.134</v>
          </cell>
          <cell r="JE290">
            <v>102.503</v>
          </cell>
          <cell r="JF290">
            <v>80.912999999999997</v>
          </cell>
          <cell r="JG290">
            <v>50.305999999999997</v>
          </cell>
          <cell r="JH290">
            <v>121.371</v>
          </cell>
          <cell r="JI290">
            <v>64.22</v>
          </cell>
          <cell r="JJ290">
            <v>70.86</v>
          </cell>
          <cell r="JK290">
            <v>44.17</v>
          </cell>
          <cell r="JL290">
            <v>102.093</v>
          </cell>
          <cell r="JM290">
            <v>126.745</v>
          </cell>
          <cell r="JN290">
            <v>96.881</v>
          </cell>
          <cell r="JO290">
            <v>147.017</v>
          </cell>
          <cell r="JP290">
            <v>79.207999999999998</v>
          </cell>
          <cell r="JQ290">
            <v>102.032</v>
          </cell>
          <cell r="JR290">
            <v>133.173</v>
          </cell>
          <cell r="JS290">
            <v>209.82</v>
          </cell>
          <cell r="JT290">
            <v>145.62899999999999</v>
          </cell>
          <cell r="JU290">
            <v>138.43199999999999</v>
          </cell>
          <cell r="JV290">
            <v>123.956</v>
          </cell>
          <cell r="JW290">
            <v>110.776</v>
          </cell>
          <cell r="JX290">
            <v>111.488</v>
          </cell>
          <cell r="JY290">
            <v>202.43299999999999</v>
          </cell>
          <cell r="JZ290">
            <v>137.33799999999999</v>
          </cell>
          <cell r="KA290">
            <v>175.58500000000001</v>
          </cell>
          <cell r="KB290">
            <v>84.356999999999999</v>
          </cell>
          <cell r="KC290">
            <v>149.54900000000001</v>
          </cell>
          <cell r="KD290">
            <v>143.77199999999999</v>
          </cell>
          <cell r="KE290">
            <v>144.93299999999999</v>
          </cell>
          <cell r="KF290">
            <v>114.11</v>
          </cell>
          <cell r="KG290">
            <v>134.072</v>
          </cell>
          <cell r="KH290">
            <v>89.858999999999995</v>
          </cell>
          <cell r="KI290">
            <v>87.194000000000003</v>
          </cell>
          <cell r="KJ290">
            <v>103.292</v>
          </cell>
          <cell r="KK290">
            <v>174.792</v>
          </cell>
          <cell r="KL290">
            <v>109.967</v>
          </cell>
          <cell r="KM290">
            <v>108.953</v>
          </cell>
          <cell r="KN290">
            <v>112.059</v>
          </cell>
          <cell r="KO290">
            <v>170.06299999999999</v>
          </cell>
          <cell r="KP290">
            <v>79.55</v>
          </cell>
          <cell r="KQ290">
            <v>146.01599999999999</v>
          </cell>
          <cell r="KR290">
            <v>126.241</v>
          </cell>
          <cell r="KS290">
            <v>138.49100000000001</v>
          </cell>
          <cell r="KT290">
            <v>120.521</v>
          </cell>
          <cell r="KU290">
            <v>102.229</v>
          </cell>
          <cell r="KV290">
            <v>96.054000000000002</v>
          </cell>
          <cell r="KW290">
            <v>154.33099999999999</v>
          </cell>
          <cell r="KX290">
            <v>184.25399999999999</v>
          </cell>
          <cell r="KY290">
            <v>168.69800000000001</v>
          </cell>
          <cell r="KZ290">
            <v>210.738</v>
          </cell>
          <cell r="LA290">
            <v>224.87200000000001</v>
          </cell>
          <cell r="LB290">
            <v>238.67599999999999</v>
          </cell>
          <cell r="LC290">
            <v>171.302763</v>
          </cell>
          <cell r="LD290">
            <v>165.623874</v>
          </cell>
          <cell r="LE290">
            <v>187.18808999999999</v>
          </cell>
          <cell r="LF290">
            <v>151.31088199999999</v>
          </cell>
          <cell r="LG290">
            <v>197.927516</v>
          </cell>
          <cell r="LH290">
            <v>103.600567</v>
          </cell>
          <cell r="LI290">
            <v>200.065147</v>
          </cell>
          <cell r="LJ290">
            <v>244.47509099999999</v>
          </cell>
          <cell r="LK290">
            <v>162.948836</v>
          </cell>
          <cell r="LL290">
            <v>212.78407899999999</v>
          </cell>
          <cell r="LM290">
            <v>202.04320300000001</v>
          </cell>
          <cell r="LN290">
            <v>288.39589899999999</v>
          </cell>
          <cell r="LO290">
            <v>281.38460099999998</v>
          </cell>
          <cell r="LP290">
            <v>235.17783499999999</v>
          </cell>
          <cell r="LQ290">
            <v>169.223873</v>
          </cell>
          <cell r="LR290">
            <v>200.69258500000001</v>
          </cell>
          <cell r="LS290">
            <v>158.13998900000001</v>
          </cell>
          <cell r="LT290">
            <v>152.34730300000001</v>
          </cell>
          <cell r="LU290">
            <v>169.464202</v>
          </cell>
          <cell r="LV290">
            <v>189.865084</v>
          </cell>
          <cell r="LW290">
            <v>237.85204100000001</v>
          </cell>
          <cell r="LX290">
            <v>169.109949</v>
          </cell>
          <cell r="LY290">
            <v>326.15139499999998</v>
          </cell>
          <cell r="LZ290">
            <v>248.775013</v>
          </cell>
          <cell r="MA290">
            <v>134.85741200000001</v>
          </cell>
          <cell r="MB290">
            <v>163.14991599999999</v>
          </cell>
          <cell r="MC290">
            <v>206.254786</v>
          </cell>
          <cell r="MD290">
            <v>231.26852700000001</v>
          </cell>
          <cell r="ME290">
            <v>98.720477000000002</v>
          </cell>
          <cell r="MF290">
            <v>182.501102</v>
          </cell>
          <cell r="MG290">
            <v>243.477755</v>
          </cell>
          <cell r="MH290">
            <v>196.75517400000001</v>
          </cell>
          <cell r="MI290">
            <v>287.09436599999998</v>
          </cell>
          <cell r="MJ290">
            <v>234.05422300000001</v>
          </cell>
          <cell r="MK290">
            <v>277.51935900000001</v>
          </cell>
          <cell r="ML290">
            <v>231.42693700000001</v>
          </cell>
          <cell r="MM290">
            <v>170.64824200000001</v>
          </cell>
          <cell r="MN290">
            <v>232.255573</v>
          </cell>
          <cell r="MO290">
            <v>242.81457</v>
          </cell>
          <cell r="MP290">
            <v>148.07914099999999</v>
          </cell>
          <cell r="MQ290">
            <v>67.223140999999998</v>
          </cell>
          <cell r="MR290">
            <v>163.11808099999999</v>
          </cell>
          <cell r="MS290">
            <v>229.17121499999999</v>
          </cell>
          <cell r="MT290">
            <v>224.22250299999999</v>
          </cell>
          <cell r="MU290">
            <v>214.61500000000001</v>
          </cell>
          <cell r="MV290">
            <v>109.46899999999999</v>
          </cell>
          <cell r="MW290">
            <v>151.08099999999999</v>
          </cell>
          <cell r="MX290">
            <v>166.13300000000001</v>
          </cell>
          <cell r="MY290">
            <v>158.595</v>
          </cell>
          <cell r="MZ290">
            <v>202.13200000000001</v>
          </cell>
          <cell r="NA290">
            <v>69.808000000000007</v>
          </cell>
          <cell r="NB290">
            <v>86.838999999999999</v>
          </cell>
          <cell r="NC290">
            <v>182.81399999999999</v>
          </cell>
          <cell r="ND290">
            <v>140.875</v>
          </cell>
          <cell r="NE290">
            <v>125.73699999999999</v>
          </cell>
          <cell r="NF290">
            <v>240.44300000000001</v>
          </cell>
          <cell r="NG290">
            <v>291.69900000000001</v>
          </cell>
          <cell r="NH290">
            <v>145.26599999999999</v>
          </cell>
        </row>
      </sheetData>
      <sheetData sheetId="30">
        <row r="290">
          <cell r="CQ290">
            <v>2.8000000000000001E-2</v>
          </cell>
          <cell r="CR290"/>
          <cell r="CS290"/>
          <cell r="CT290"/>
          <cell r="CU290">
            <v>4.2999999999999997E-2</v>
          </cell>
          <cell r="CV290"/>
          <cell r="CW290"/>
          <cell r="CX290">
            <v>7.0000000000000001E-3</v>
          </cell>
          <cell r="CY290">
            <v>7.0000000000000001E-3</v>
          </cell>
          <cell r="CZ290"/>
          <cell r="DA290"/>
          <cell r="DB290">
            <v>1.2E-2</v>
          </cell>
          <cell r="DC290"/>
          <cell r="DD290"/>
          <cell r="DE290"/>
          <cell r="DF290"/>
          <cell r="DG290">
            <v>6.0000000000000001E-3</v>
          </cell>
          <cell r="DH290">
            <v>1.4999999999999999E-2</v>
          </cell>
          <cell r="DI290">
            <v>2E-3</v>
          </cell>
          <cell r="DJ290">
            <v>1.2999999999999999E-2</v>
          </cell>
          <cell r="DK290">
            <v>0.02</v>
          </cell>
          <cell r="DL290">
            <v>0.11899999999999999</v>
          </cell>
          <cell r="DM290">
            <v>1.4E-2</v>
          </cell>
          <cell r="DN290"/>
          <cell r="DO290">
            <v>0.02</v>
          </cell>
          <cell r="DP290">
            <v>4.1000000000000002E-2</v>
          </cell>
          <cell r="DQ290">
            <v>1.4E-2</v>
          </cell>
          <cell r="DR290">
            <v>4.1000000000000002E-2</v>
          </cell>
          <cell r="DS290">
            <v>2.1999999999999999E-2</v>
          </cell>
          <cell r="DT290">
            <v>1E-3</v>
          </cell>
          <cell r="DU290">
            <v>1.0999999999999999E-2</v>
          </cell>
          <cell r="DV290">
            <v>1.2999999999999999E-2</v>
          </cell>
          <cell r="DW290">
            <v>1.4999999999999999E-2</v>
          </cell>
          <cell r="DX290"/>
          <cell r="DY290">
            <v>0.20799999999999999</v>
          </cell>
          <cell r="DZ290">
            <v>2.0249999999999999</v>
          </cell>
          <cell r="EA290">
            <v>4.0000000000000001E-3</v>
          </cell>
          <cell r="EB290">
            <v>3.0000000000000001E-3</v>
          </cell>
          <cell r="EC290">
            <v>4.0000000000000001E-3</v>
          </cell>
          <cell r="ED290">
            <v>3.5999999999999997E-2</v>
          </cell>
          <cell r="EE290">
            <v>3.9E-2</v>
          </cell>
          <cell r="EF290">
            <v>1E-3</v>
          </cell>
          <cell r="EG290">
            <v>3.3000000000000002E-2</v>
          </cell>
          <cell r="EH290"/>
          <cell r="EI290"/>
          <cell r="EJ290">
            <v>1E-3</v>
          </cell>
          <cell r="EK290">
            <v>0.01</v>
          </cell>
          <cell r="EL290">
            <v>3.0000000000000001E-3</v>
          </cell>
          <cell r="EM290"/>
          <cell r="EN290"/>
          <cell r="EO290">
            <v>2E-3</v>
          </cell>
          <cell r="EP290">
            <v>1E-3</v>
          </cell>
          <cell r="EQ290"/>
          <cell r="ER290"/>
          <cell r="ES290">
            <v>0.23899999999999999</v>
          </cell>
          <cell r="ET290">
            <v>5.0000000000000001E-3</v>
          </cell>
          <cell r="EU290"/>
          <cell r="EV290"/>
          <cell r="EW290">
            <v>2.1999999999999999E-2</v>
          </cell>
          <cell r="EX290">
            <v>1E-3</v>
          </cell>
          <cell r="EY290">
            <v>2E-3</v>
          </cell>
          <cell r="EZ290">
            <v>3.2000000000000001E-2</v>
          </cell>
          <cell r="FA290">
            <v>7.0000000000000001E-3</v>
          </cell>
          <cell r="FB290">
            <v>0.05</v>
          </cell>
          <cell r="FC290">
            <v>7.0000000000000001E-3</v>
          </cell>
          <cell r="FD290">
            <v>7.0000000000000001E-3</v>
          </cell>
          <cell r="FE290">
            <v>0.01</v>
          </cell>
          <cell r="FF290">
            <v>7.0000000000000001E-3</v>
          </cell>
          <cell r="FG290">
            <v>3.0000000000000001E-3</v>
          </cell>
          <cell r="FH290">
            <v>0.08</v>
          </cell>
          <cell r="FI290">
            <v>3.0000000000000001E-3</v>
          </cell>
          <cell r="FJ290">
            <v>1.2999999999999999E-2</v>
          </cell>
          <cell r="FK290">
            <v>6.7000000000000004E-2</v>
          </cell>
          <cell r="FL290">
            <v>8.9999999999999993E-3</v>
          </cell>
          <cell r="FM290">
            <v>2.5000000000000001E-2</v>
          </cell>
          <cell r="FN290">
            <v>9.5000000000000001E-2</v>
          </cell>
          <cell r="FO290">
            <v>3.9E-2</v>
          </cell>
          <cell r="FP290">
            <v>1.4E-2</v>
          </cell>
          <cell r="FQ290">
            <v>0.29299999999999998</v>
          </cell>
          <cell r="FR290">
            <v>6.0000000000000001E-3</v>
          </cell>
          <cell r="FS290">
            <v>6.3E-2</v>
          </cell>
          <cell r="FT290">
            <v>0.14099999999999999</v>
          </cell>
          <cell r="FU290">
            <v>8.5000000000000006E-2</v>
          </cell>
          <cell r="FV290">
            <v>8.3000000000000004E-2</v>
          </cell>
          <cell r="FW290">
            <v>4.1000000000000002E-2</v>
          </cell>
          <cell r="FX290">
            <v>6.3E-2</v>
          </cell>
          <cell r="FY290">
            <v>1.357</v>
          </cell>
          <cell r="FZ290">
            <v>2.5870000000000002</v>
          </cell>
          <cell r="GA290">
            <v>0.28699999999999998</v>
          </cell>
          <cell r="GB290">
            <v>1.6080000000000001</v>
          </cell>
          <cell r="GC290">
            <v>0.97699999999999998</v>
          </cell>
          <cell r="GD290">
            <v>0.106</v>
          </cell>
          <cell r="GE290">
            <v>0.193</v>
          </cell>
          <cell r="GF290">
            <v>1.5049999999999999</v>
          </cell>
          <cell r="GG290">
            <v>0.104</v>
          </cell>
          <cell r="GH290">
            <v>0.105</v>
          </cell>
          <cell r="GI290">
            <v>5.7000000000000002E-2</v>
          </cell>
          <cell r="GJ290">
            <v>5.3999999999999999E-2</v>
          </cell>
          <cell r="GK290">
            <v>9.2999999999999999E-2</v>
          </cell>
          <cell r="GL290">
            <v>5.6000000000000001E-2</v>
          </cell>
          <cell r="GM290">
            <v>5.0999999999999997E-2</v>
          </cell>
          <cell r="GN290">
            <v>0.11899999999999999</v>
          </cell>
          <cell r="GO290">
            <v>0.112</v>
          </cell>
          <cell r="GP290">
            <v>6.7000000000000004E-2</v>
          </cell>
          <cell r="GQ290">
            <v>0.158</v>
          </cell>
          <cell r="GR290">
            <v>4.5549999999999997</v>
          </cell>
          <cell r="GS290">
            <v>0.93200000000000005</v>
          </cell>
          <cell r="GT290">
            <v>0.47799999999999998</v>
          </cell>
          <cell r="GU290">
            <v>0.59799999999999998</v>
          </cell>
          <cell r="GV290">
            <v>0.64600000000000002</v>
          </cell>
          <cell r="GW290">
            <v>2.9000000000000001E-2</v>
          </cell>
          <cell r="GX290">
            <v>2E-3</v>
          </cell>
          <cell r="GY290">
            <v>0.02</v>
          </cell>
          <cell r="GZ290">
            <v>1.6E-2</v>
          </cell>
          <cell r="HA290">
            <v>1E-3</v>
          </cell>
          <cell r="HB290"/>
          <cell r="HC290">
            <v>1E-3</v>
          </cell>
          <cell r="HD290">
            <v>1.6E-2</v>
          </cell>
          <cell r="HE290">
            <v>2E-3</v>
          </cell>
          <cell r="HF290">
            <v>1.6E-2</v>
          </cell>
          <cell r="HG290">
            <v>9.6000000000000002E-2</v>
          </cell>
          <cell r="HH290">
            <v>8.7999999999999995E-2</v>
          </cell>
          <cell r="HI290">
            <v>0.14099999999999999</v>
          </cell>
          <cell r="HJ290">
            <v>8.1000000000000003E-2</v>
          </cell>
          <cell r="HK290">
            <v>5.5E-2</v>
          </cell>
          <cell r="HL290">
            <v>0.129</v>
          </cell>
          <cell r="HM290">
            <v>7.4999999999999997E-2</v>
          </cell>
          <cell r="HN290">
            <v>7.9000000000000001E-2</v>
          </cell>
          <cell r="HO290">
            <v>8.2000000000000003E-2</v>
          </cell>
          <cell r="HP290">
            <v>0.114</v>
          </cell>
          <cell r="HQ290">
            <v>5.0999999999999997E-2</v>
          </cell>
          <cell r="HR290">
            <v>8.5999999999999993E-2</v>
          </cell>
          <cell r="HS290">
            <v>2.9000000000000001E-2</v>
          </cell>
          <cell r="HT290">
            <v>5.2999999999999999E-2</v>
          </cell>
          <cell r="HU290">
            <v>0.16200000000000001</v>
          </cell>
          <cell r="HV290">
            <v>7.0000000000000007E-2</v>
          </cell>
          <cell r="HW290">
            <v>0.13500000000000001</v>
          </cell>
          <cell r="HX290">
            <v>5.8000000000000003E-2</v>
          </cell>
          <cell r="HY290">
            <v>0.17599999999999999</v>
          </cell>
          <cell r="HZ290">
            <v>0.16800000000000001</v>
          </cell>
          <cell r="IA290">
            <v>7.5999999999999998E-2</v>
          </cell>
          <cell r="IB290">
            <v>0.16800000000000001</v>
          </cell>
          <cell r="IC290">
            <v>3.5000000000000003E-2</v>
          </cell>
          <cell r="ID290">
            <v>5.7000000000000002E-2</v>
          </cell>
          <cell r="IE290">
            <v>8.5000000000000006E-2</v>
          </cell>
          <cell r="IF290">
            <v>0.105</v>
          </cell>
          <cell r="IG290">
            <v>0.123</v>
          </cell>
          <cell r="IH290">
            <v>5.2999999999999999E-2</v>
          </cell>
          <cell r="II290">
            <v>0.14199999999999999</v>
          </cell>
          <cell r="IJ290">
            <v>0.22600000000000001</v>
          </cell>
          <cell r="IK290">
            <v>5.2999999999999999E-2</v>
          </cell>
          <cell r="IL290">
            <v>0.13800000000000001</v>
          </cell>
          <cell r="IM290">
            <v>0.223</v>
          </cell>
          <cell r="IN290">
            <v>0.14000000000000001</v>
          </cell>
          <cell r="IO290">
            <v>0.129</v>
          </cell>
          <cell r="IP290">
            <v>0.159</v>
          </cell>
          <cell r="IQ290">
            <v>8.7999999999999995E-2</v>
          </cell>
          <cell r="IR290">
            <v>0.105</v>
          </cell>
          <cell r="IS290">
            <v>0.20699999999999999</v>
          </cell>
          <cell r="IT290">
            <v>7.0999999999999994E-2</v>
          </cell>
          <cell r="IU290">
            <v>0.105</v>
          </cell>
          <cell r="IV290">
            <v>0.19600000000000001</v>
          </cell>
          <cell r="IW290">
            <v>0.16400000000000001</v>
          </cell>
          <cell r="IX290">
            <v>2.4E-2</v>
          </cell>
          <cell r="IY290">
            <v>3.0000000000000001E-3</v>
          </cell>
          <cell r="IZ290">
            <v>7.1999999999999995E-2</v>
          </cell>
          <cell r="JA290">
            <v>9.8000000000000004E-2</v>
          </cell>
          <cell r="JB290">
            <v>0.184</v>
          </cell>
          <cell r="JC290">
            <v>9.0999999999999998E-2</v>
          </cell>
          <cell r="JD290">
            <v>0.125</v>
          </cell>
          <cell r="JE290">
            <v>0.111</v>
          </cell>
          <cell r="JF290">
            <v>9.4E-2</v>
          </cell>
          <cell r="JG290">
            <v>0.11600000000000001</v>
          </cell>
          <cell r="JH290">
            <v>9.7000000000000003E-2</v>
          </cell>
          <cell r="JI290">
            <v>0.09</v>
          </cell>
          <cell r="JJ290">
            <v>3.3000000000000002E-2</v>
          </cell>
          <cell r="JK290">
            <v>7.0000000000000007E-2</v>
          </cell>
          <cell r="JL290">
            <v>0.09</v>
          </cell>
          <cell r="JM290">
            <v>0.11</v>
          </cell>
          <cell r="JN290">
            <v>0.17100000000000001</v>
          </cell>
          <cell r="JO290">
            <v>0.11700000000000001</v>
          </cell>
          <cell r="JP290">
            <v>0.36899999999999999</v>
          </cell>
          <cell r="JQ290">
            <v>0.23200000000000001</v>
          </cell>
          <cell r="JR290">
            <v>6.5000000000000002E-2</v>
          </cell>
          <cell r="JS290">
            <v>0.112</v>
          </cell>
          <cell r="JT290">
            <v>0.14000000000000001</v>
          </cell>
          <cell r="JU290">
            <v>0.11600000000000001</v>
          </cell>
          <cell r="JV290">
            <v>0.124</v>
          </cell>
          <cell r="JW290">
            <v>0.20300000000000001</v>
          </cell>
          <cell r="JX290">
            <v>0.11600000000000001</v>
          </cell>
          <cell r="JY290">
            <v>0.219</v>
          </cell>
          <cell r="JZ290">
            <v>0.219</v>
          </cell>
          <cell r="KA290">
            <v>0.30199999999999999</v>
          </cell>
          <cell r="KB290">
            <v>0.23300000000000001</v>
          </cell>
          <cell r="KC290">
            <v>0.76700000000000002</v>
          </cell>
          <cell r="KD290">
            <v>0.17899999999999999</v>
          </cell>
          <cell r="KE290">
            <v>0.40600000000000003</v>
          </cell>
          <cell r="KF290">
            <v>0.216</v>
          </cell>
          <cell r="KG290">
            <v>0.44600000000000001</v>
          </cell>
          <cell r="KH290">
            <v>0.222</v>
          </cell>
          <cell r="KI290">
            <v>0.184</v>
          </cell>
          <cell r="KJ290">
            <v>0.20100000000000001</v>
          </cell>
          <cell r="KK290">
            <v>0.192</v>
          </cell>
          <cell r="KL290">
            <v>0.57599999999999996</v>
          </cell>
          <cell r="KM290">
            <v>0.13200000000000001</v>
          </cell>
          <cell r="KN290">
            <v>0.24099999999999999</v>
          </cell>
          <cell r="KO290">
            <v>0.21199999999999999</v>
          </cell>
          <cell r="KP290">
            <v>8.7999999999999995E-2</v>
          </cell>
          <cell r="KQ290">
            <v>0.20799999999999999</v>
          </cell>
          <cell r="KR290">
            <v>0.17499999999999999</v>
          </cell>
          <cell r="KS290">
            <v>0.22</v>
          </cell>
          <cell r="KT290">
            <v>0.21299999999999999</v>
          </cell>
          <cell r="KU290">
            <v>0.32900000000000001</v>
          </cell>
          <cell r="KV290">
            <v>1E-3</v>
          </cell>
          <cell r="KW290">
            <v>0.246</v>
          </cell>
          <cell r="KX290">
            <v>0.217</v>
          </cell>
          <cell r="KY290">
            <v>9.6000000000000002E-2</v>
          </cell>
          <cell r="KZ290">
            <v>0.33400000000000002</v>
          </cell>
          <cell r="LA290">
            <v>0.29899999999999999</v>
          </cell>
          <cell r="LB290">
            <v>9.4E-2</v>
          </cell>
          <cell r="LC290">
            <v>0.37756800000000001</v>
          </cell>
          <cell r="LD290">
            <v>0.7581</v>
          </cell>
          <cell r="LE290">
            <v>0.26787699999999998</v>
          </cell>
          <cell r="LF290">
            <v>0.32593</v>
          </cell>
          <cell r="LG290">
            <v>0.24901200000000001</v>
          </cell>
          <cell r="LH290">
            <v>0.26658700000000002</v>
          </cell>
          <cell r="LI290">
            <v>0.35298400000000002</v>
          </cell>
          <cell r="LJ290">
            <v>0.184505</v>
          </cell>
          <cell r="LK290">
            <v>0.30413200000000001</v>
          </cell>
          <cell r="LL290">
            <v>0.27884799999999998</v>
          </cell>
          <cell r="LM290">
            <v>0.20988899999999999</v>
          </cell>
          <cell r="LN290">
            <v>0.57479100000000005</v>
          </cell>
          <cell r="LO290">
            <v>0.58071099999999998</v>
          </cell>
          <cell r="LP290">
            <v>0.26293699999999998</v>
          </cell>
          <cell r="LQ290">
            <v>0.18302599999999999</v>
          </cell>
          <cell r="LR290">
            <v>0.31847300000000001</v>
          </cell>
          <cell r="LS290">
            <v>0.31640600000000002</v>
          </cell>
          <cell r="LT290">
            <v>0.35407100000000002</v>
          </cell>
          <cell r="LU290">
            <v>0.46615899999999999</v>
          </cell>
          <cell r="LV290">
            <v>0.31189099999999997</v>
          </cell>
          <cell r="LW290">
            <v>0.60803099999999999</v>
          </cell>
          <cell r="LX290">
            <v>0.11806800000000001</v>
          </cell>
          <cell r="LY290">
            <v>0.29987999999999998</v>
          </cell>
          <cell r="LZ290">
            <v>0.33290399999999998</v>
          </cell>
          <cell r="MA290">
            <v>0.31403500000000001</v>
          </cell>
          <cell r="MB290">
            <v>0.20841000000000001</v>
          </cell>
          <cell r="MC290">
            <v>0.18104500000000001</v>
          </cell>
          <cell r="MD290">
            <v>0.26607399999999998</v>
          </cell>
          <cell r="ME290">
            <v>1.0224340000000001</v>
          </cell>
          <cell r="MF290">
            <v>0.29354000000000002</v>
          </cell>
          <cell r="MG290">
            <v>0.72075900000000004</v>
          </cell>
          <cell r="MH290">
            <v>0.16653000000000001</v>
          </cell>
          <cell r="MI290">
            <v>0.12828200000000001</v>
          </cell>
          <cell r="MJ290">
            <v>0.232846</v>
          </cell>
          <cell r="MK290">
            <v>0.24801300000000001</v>
          </cell>
          <cell r="ML290">
            <v>0.249776</v>
          </cell>
          <cell r="MM290">
            <v>0.33082</v>
          </cell>
          <cell r="MN290">
            <v>0.29347099999999998</v>
          </cell>
          <cell r="MO290">
            <v>0.45136500000000002</v>
          </cell>
          <cell r="MP290">
            <v>0.22752900000000001</v>
          </cell>
          <cell r="MQ290">
            <v>0.295628</v>
          </cell>
          <cell r="MR290">
            <v>1.1119380000000001</v>
          </cell>
          <cell r="MS290">
            <v>0.24738199999999999</v>
          </cell>
          <cell r="MT290">
            <v>0.25507800000000003</v>
          </cell>
          <cell r="MU290">
            <v>0.222</v>
          </cell>
          <cell r="MV290">
            <v>0.64400000000000002</v>
          </cell>
          <cell r="MW290">
            <v>0.13500000000000001</v>
          </cell>
          <cell r="MX290">
            <v>0.17299999999999999</v>
          </cell>
          <cell r="MY290">
            <v>0.317</v>
          </cell>
          <cell r="MZ290">
            <v>0.1</v>
          </cell>
          <cell r="NA290">
            <v>0.158</v>
          </cell>
          <cell r="NB290">
            <v>0.29399999999999998</v>
          </cell>
          <cell r="NC290">
            <v>0.379</v>
          </cell>
          <cell r="ND290">
            <v>0.28000000000000003</v>
          </cell>
          <cell r="NE290">
            <v>0.435</v>
          </cell>
          <cell r="NF290">
            <v>0.29899999999999999</v>
          </cell>
          <cell r="NG290">
            <v>4.242</v>
          </cell>
          <cell r="NH290">
            <v>1.198</v>
          </cell>
        </row>
      </sheetData>
      <sheetData sheetId="31">
        <row r="290">
          <cell r="AU290">
            <v>2.9937999999999999E-2</v>
          </cell>
          <cell r="AV290">
            <v>0</v>
          </cell>
          <cell r="AW290">
            <v>1E-3</v>
          </cell>
          <cell r="AX290">
            <v>0</v>
          </cell>
          <cell r="AY290">
            <v>0</v>
          </cell>
          <cell r="AZ290">
            <v>0.114621</v>
          </cell>
          <cell r="BA290">
            <v>0</v>
          </cell>
          <cell r="BB290">
            <v>7.8820000000000001E-2</v>
          </cell>
          <cell r="BC290">
            <v>9.4594999999999999E-2</v>
          </cell>
          <cell r="BD290">
            <v>0</v>
          </cell>
          <cell r="BE290">
            <v>0</v>
          </cell>
          <cell r="BF290">
            <v>5.9873999999999997E-2</v>
          </cell>
          <cell r="BG290">
            <v>6.0000000000000002E-5</v>
          </cell>
          <cell r="BH290">
            <v>0</v>
          </cell>
          <cell r="BI290">
            <v>0</v>
          </cell>
          <cell r="BJ290">
            <v>1.36E-4</v>
          </cell>
          <cell r="BK290">
            <v>5.8305999999999997E-2</v>
          </cell>
          <cell r="BL290">
            <v>0.19105</v>
          </cell>
          <cell r="BM290">
            <v>8.4470000000000003E-2</v>
          </cell>
          <cell r="BN290">
            <v>0.19197600000000001</v>
          </cell>
          <cell r="BO290">
            <v>0.115781</v>
          </cell>
          <cell r="BP290">
            <v>0.174202</v>
          </cell>
          <cell r="BQ290">
            <v>7.8780000000000003E-2</v>
          </cell>
          <cell r="BR290">
            <v>3.9909E-2</v>
          </cell>
          <cell r="BS290">
            <v>0.11860800000000001</v>
          </cell>
          <cell r="BT290">
            <v>5.8071999999999999E-2</v>
          </cell>
          <cell r="BU290">
            <v>0.13359599999999999</v>
          </cell>
          <cell r="BV290">
            <v>0.113903</v>
          </cell>
          <cell r="BW290">
            <v>9.0063000000000004E-2</v>
          </cell>
          <cell r="BX290">
            <v>0.31327199999999999</v>
          </cell>
          <cell r="BY290">
            <v>0.50150099999999997</v>
          </cell>
          <cell r="BZ290">
            <v>0.26865099999999997</v>
          </cell>
          <cell r="CA290">
            <v>0.246172</v>
          </cell>
          <cell r="CB290">
            <v>0.304923</v>
          </cell>
          <cell r="CC290">
            <v>0.39901999999999999</v>
          </cell>
          <cell r="CD290">
            <v>0.89410199999999995</v>
          </cell>
          <cell r="CE290">
            <v>0.57934399999999997</v>
          </cell>
          <cell r="CF290">
            <v>0.73467700000000002</v>
          </cell>
          <cell r="CG290">
            <v>0.70517200000000002</v>
          </cell>
          <cell r="CH290">
            <v>1.4485239999999999</v>
          </cell>
          <cell r="CI290">
            <v>0.86104000000000003</v>
          </cell>
          <cell r="CJ290">
            <v>0.74546800000000002</v>
          </cell>
          <cell r="CK290">
            <v>0.76891100000000001</v>
          </cell>
          <cell r="CL290">
            <v>0.99562099999999998</v>
          </cell>
          <cell r="CM290">
            <v>0.63424999999999998</v>
          </cell>
          <cell r="CN290">
            <v>0.397617</v>
          </cell>
          <cell r="CO290">
            <v>0.67330599999999996</v>
          </cell>
          <cell r="CP290">
            <v>2.2241179999999998</v>
          </cell>
          <cell r="CQ290">
            <v>2.6544880000000002</v>
          </cell>
          <cell r="CR290">
            <v>1.6994610000000001</v>
          </cell>
          <cell r="CS290">
            <v>2.1656650000000002</v>
          </cell>
          <cell r="CT290">
            <v>1.2143679999999999</v>
          </cell>
          <cell r="CU290">
            <v>1.1212470000000001</v>
          </cell>
          <cell r="CV290">
            <v>0.90964900000000004</v>
          </cell>
          <cell r="CW290">
            <v>0.25172299999999997</v>
          </cell>
          <cell r="CX290">
            <v>0.117396</v>
          </cell>
          <cell r="CY290">
            <v>0.140157</v>
          </cell>
          <cell r="CZ290">
            <v>0.35712899999999997</v>
          </cell>
          <cell r="DA290">
            <v>0.63186200000000003</v>
          </cell>
          <cell r="DB290">
            <v>0.97123599999999999</v>
          </cell>
          <cell r="DC290">
            <v>1.928285</v>
          </cell>
          <cell r="DD290">
            <v>2.078182</v>
          </cell>
          <cell r="DE290">
            <v>2.5563030000000002</v>
          </cell>
          <cell r="DF290">
            <v>0.57842499999999997</v>
          </cell>
          <cell r="DG290">
            <v>0.35132000000000002</v>
          </cell>
          <cell r="DH290">
            <v>0.45116400000000001</v>
          </cell>
          <cell r="DI290">
            <v>0.37837399999999999</v>
          </cell>
          <cell r="DJ290">
            <v>0.51403799999999999</v>
          </cell>
          <cell r="DK290">
            <v>4.5719999999999997E-2</v>
          </cell>
          <cell r="DL290">
            <v>0.20378099999999999</v>
          </cell>
          <cell r="DM290">
            <v>0.64195999999999998</v>
          </cell>
          <cell r="DN290">
            <v>2.0372340000000002</v>
          </cell>
          <cell r="DO290">
            <v>1.652234</v>
          </cell>
          <cell r="DP290">
            <v>0.52814300000000003</v>
          </cell>
          <cell r="DQ290">
            <v>0.35497600000000001</v>
          </cell>
          <cell r="DR290">
            <v>0.54674400000000001</v>
          </cell>
          <cell r="DS290">
            <v>0.104199</v>
          </cell>
          <cell r="DT290">
            <v>1.06E-4</v>
          </cell>
          <cell r="DU290">
            <v>2.0000000000000002E-5</v>
          </cell>
          <cell r="DV290">
            <v>2.5000000000000001E-4</v>
          </cell>
          <cell r="DW290">
            <v>0</v>
          </cell>
          <cell r="DX290">
            <v>2.0136000000000001E-2</v>
          </cell>
          <cell r="DY290">
            <v>0.44565900000000003</v>
          </cell>
          <cell r="DZ290">
            <v>0.26420300000000002</v>
          </cell>
          <cell r="EA290">
            <v>0.59235300000000002</v>
          </cell>
          <cell r="EB290">
            <v>0.44341399999999997</v>
          </cell>
          <cell r="EC290">
            <v>0.73396700000000004</v>
          </cell>
          <cell r="ED290">
            <v>0.192277</v>
          </cell>
          <cell r="EE290">
            <v>6.9505999999999998E-2</v>
          </cell>
          <cell r="EF290">
            <v>0.26871400000000001</v>
          </cell>
          <cell r="EG290">
            <v>0.164303</v>
          </cell>
          <cell r="EH290">
            <v>0.44003500000000001</v>
          </cell>
          <cell r="EI290">
            <v>0.30254700000000001</v>
          </cell>
          <cell r="EJ290">
            <v>0.140712</v>
          </cell>
          <cell r="EK290">
            <v>4.0924000000000002E-2</v>
          </cell>
          <cell r="EL290">
            <v>0.21757799999999999</v>
          </cell>
          <cell r="EM290">
            <v>0.47275200000000001</v>
          </cell>
          <cell r="EN290">
            <v>0.113244</v>
          </cell>
          <cell r="EO290">
            <v>0.24101900000000001</v>
          </cell>
          <cell r="EP290">
            <v>0.353412</v>
          </cell>
          <cell r="EQ290">
            <v>8.7690000000000004E-2</v>
          </cell>
          <cell r="ER290">
            <v>0</v>
          </cell>
          <cell r="ES290">
            <v>6.1235999999999999E-2</v>
          </cell>
          <cell r="ET290">
            <v>9.2230000000000003E-3</v>
          </cell>
          <cell r="EU290">
            <v>0</v>
          </cell>
          <cell r="EV290">
            <v>2.0417000000000001E-2</v>
          </cell>
          <cell r="EW290">
            <v>0.17515600000000001</v>
          </cell>
          <cell r="EX290">
            <v>7.2833999999999996E-2</v>
          </cell>
          <cell r="EY290">
            <v>0.147536</v>
          </cell>
          <cell r="EZ290">
            <v>0.196357</v>
          </cell>
          <cell r="FA290">
            <v>0.48093900000000001</v>
          </cell>
          <cell r="FB290">
            <v>0.24376800000000001</v>
          </cell>
          <cell r="FC290">
            <v>0.121505</v>
          </cell>
          <cell r="FD290">
            <v>6.5612000000000004E-2</v>
          </cell>
          <cell r="FE290">
            <v>7.0130000000000001E-3</v>
          </cell>
          <cell r="FF290">
            <v>1.9796999999999999E-2</v>
          </cell>
          <cell r="FG290">
            <v>1E-4</v>
          </cell>
          <cell r="FH290">
            <v>2.0000000000000002E-5</v>
          </cell>
          <cell r="FI290">
            <v>1.8148999999999998E-2</v>
          </cell>
          <cell r="FJ290">
            <v>0.29091</v>
          </cell>
          <cell r="FK290">
            <v>0.193049</v>
          </cell>
          <cell r="FL290">
            <v>6.1879000000000003E-2</v>
          </cell>
          <cell r="FM290">
            <v>0.27635900000000002</v>
          </cell>
          <cell r="FN290">
            <v>0.127275</v>
          </cell>
          <cell r="FO290">
            <v>2.5119999999999999E-3</v>
          </cell>
          <cell r="FP290">
            <v>4.6E-5</v>
          </cell>
          <cell r="FQ290">
            <v>3.1500000000000001E-4</v>
          </cell>
          <cell r="FR290">
            <v>1.9051999999999999E-2</v>
          </cell>
          <cell r="FS290">
            <v>4.4759999999999999E-3</v>
          </cell>
          <cell r="FT290">
            <v>2.0048E-2</v>
          </cell>
          <cell r="FU290">
            <v>1.11E-4</v>
          </cell>
          <cell r="FV290">
            <v>0.31900000000000001</v>
          </cell>
          <cell r="FW290">
            <v>0.122</v>
          </cell>
          <cell r="FX290">
            <v>0.49399999999999999</v>
          </cell>
          <cell r="FY290">
            <v>0.27100000000000002</v>
          </cell>
          <cell r="FZ290">
            <v>0.35</v>
          </cell>
          <cell r="GA290">
            <v>5.3999999999999999E-2</v>
          </cell>
          <cell r="GB290">
            <v>6.8000000000000005E-2</v>
          </cell>
          <cell r="GC290">
            <v>3.9E-2</v>
          </cell>
          <cell r="GD290">
            <v>1.9E-2</v>
          </cell>
          <cell r="GE290">
            <v>3.5000000000000003E-2</v>
          </cell>
          <cell r="GF290">
            <v>0.20399999999999999</v>
          </cell>
          <cell r="GG290">
            <v>0.49299999999999999</v>
          </cell>
          <cell r="GH290">
            <v>0.85199999999999998</v>
          </cell>
          <cell r="GI290">
            <v>1.0609999999999999</v>
          </cell>
          <cell r="GJ290">
            <v>1.52</v>
          </cell>
          <cell r="GK290">
            <v>1.3280000000000001</v>
          </cell>
          <cell r="GL290">
            <v>0.81699999999999995</v>
          </cell>
          <cell r="GM290">
            <v>0.112</v>
          </cell>
          <cell r="GN290">
            <v>0.11799999999999999</v>
          </cell>
          <cell r="GO290">
            <v>0.376</v>
          </cell>
          <cell r="GP290">
            <v>7.0000000000000007E-2</v>
          </cell>
          <cell r="GQ290">
            <v>7.0999999999999994E-2</v>
          </cell>
          <cell r="GR290">
            <v>1.7999999999999999E-2</v>
          </cell>
          <cell r="GS290">
            <v>1.7999999999999999E-2</v>
          </cell>
          <cell r="GT290">
            <v>0.187</v>
          </cell>
          <cell r="GU290">
            <v>2.3E-2</v>
          </cell>
          <cell r="GV290">
            <v>0.498</v>
          </cell>
          <cell r="GW290">
            <v>0.22700000000000001</v>
          </cell>
          <cell r="GX290">
            <v>0.24</v>
          </cell>
          <cell r="GY290">
            <v>6.8000000000000005E-2</v>
          </cell>
          <cell r="GZ290">
            <v>2E-3</v>
          </cell>
          <cell r="HA290">
            <v>1.7999999999999999E-2</v>
          </cell>
          <cell r="HB290">
            <v>1.7999999999999999E-2</v>
          </cell>
          <cell r="HC290">
            <v>1.7999999999999999E-2</v>
          </cell>
          <cell r="HD290">
            <v>0</v>
          </cell>
          <cell r="HE290">
            <v>7.2999999999999995E-2</v>
          </cell>
          <cell r="HF290">
            <v>0.65</v>
          </cell>
          <cell r="HG290">
            <v>0.158</v>
          </cell>
          <cell r="HH290">
            <v>0.47199999999999998</v>
          </cell>
          <cell r="HI290">
            <v>0.39700000000000002</v>
          </cell>
          <cell r="HJ290">
            <v>0.189</v>
          </cell>
          <cell r="HK290">
            <v>0.109</v>
          </cell>
          <cell r="HL290">
            <v>2.5000000000000001E-2</v>
          </cell>
          <cell r="HM290">
            <v>2.3E-2</v>
          </cell>
          <cell r="HN290">
            <v>0</v>
          </cell>
          <cell r="HO290">
            <v>1.4E-2</v>
          </cell>
          <cell r="HP290">
            <v>0</v>
          </cell>
          <cell r="HQ290">
            <v>0.32300000000000001</v>
          </cell>
          <cell r="HR290">
            <v>0.56499999999999995</v>
          </cell>
          <cell r="HS290">
            <v>1.51</v>
          </cell>
          <cell r="HT290">
            <v>1.198</v>
          </cell>
          <cell r="HU290">
            <v>1.137</v>
          </cell>
          <cell r="HV290">
            <v>1.78</v>
          </cell>
          <cell r="HW290">
            <v>0.38100000000000001</v>
          </cell>
          <cell r="HX290">
            <v>0.151</v>
          </cell>
          <cell r="HY290">
            <v>7.9000000000000001E-2</v>
          </cell>
          <cell r="HZ290">
            <v>1.7999999999999999E-2</v>
          </cell>
          <cell r="IA290">
            <v>0.11600000000000001</v>
          </cell>
          <cell r="IB290">
            <v>4.2000000000000003E-2</v>
          </cell>
          <cell r="IC290">
            <v>4.7E-2</v>
          </cell>
          <cell r="ID290">
            <v>0.77100000000000002</v>
          </cell>
          <cell r="IE290">
            <v>1.4359999999999999</v>
          </cell>
          <cell r="IF290">
            <v>0.222</v>
          </cell>
          <cell r="IG290">
            <v>0.90200000000000002</v>
          </cell>
          <cell r="IH290">
            <v>0.37</v>
          </cell>
          <cell r="II290">
            <v>0.13600000000000001</v>
          </cell>
          <cell r="IJ290">
            <v>4.5999999999999999E-2</v>
          </cell>
          <cell r="IK290">
            <v>1.7999999999999999E-2</v>
          </cell>
          <cell r="IL290">
            <v>3.5000000000000003E-2</v>
          </cell>
          <cell r="IM290">
            <v>0.13200000000000001</v>
          </cell>
          <cell r="IN290">
            <v>8.5000000000000006E-2</v>
          </cell>
          <cell r="IO290">
            <v>8.1000000000000003E-2</v>
          </cell>
          <cell r="IP290">
            <v>1.014</v>
          </cell>
          <cell r="IQ290">
            <v>0.75900000000000001</v>
          </cell>
          <cell r="IR290">
            <v>0.22500000000000001</v>
          </cell>
          <cell r="IS290">
            <v>0.24</v>
          </cell>
          <cell r="IT290">
            <v>0.46400000000000002</v>
          </cell>
          <cell r="IU290">
            <v>3.9E-2</v>
          </cell>
          <cell r="IV290">
            <v>0.129</v>
          </cell>
          <cell r="IW290">
            <v>2E-3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1.1180000000000001</v>
          </cell>
          <cell r="JC290">
            <v>0.105</v>
          </cell>
          <cell r="JD290">
            <v>0.108</v>
          </cell>
          <cell r="JE290">
            <v>7.0000000000000007E-2</v>
          </cell>
          <cell r="JF290">
            <v>0.125</v>
          </cell>
          <cell r="JG290">
            <v>6.2E-2</v>
          </cell>
          <cell r="JH290">
            <v>3.0000000000000001E-3</v>
          </cell>
          <cell r="JI290">
            <v>2E-3</v>
          </cell>
          <cell r="JJ290">
            <v>0</v>
          </cell>
          <cell r="JK290">
            <v>0.02</v>
          </cell>
          <cell r="JL290">
            <v>0.105</v>
          </cell>
          <cell r="JM290">
            <v>0.186</v>
          </cell>
          <cell r="JN290">
            <v>1.0429999999999999</v>
          </cell>
          <cell r="JO290">
            <v>3.93</v>
          </cell>
          <cell r="JP290">
            <v>8.75</v>
          </cell>
          <cell r="JQ290">
            <v>15.936</v>
          </cell>
          <cell r="JR290">
            <v>12.679</v>
          </cell>
          <cell r="JS290">
            <v>9.5939999999999994</v>
          </cell>
          <cell r="JT290">
            <v>2.9740000000000002</v>
          </cell>
          <cell r="JU290">
            <v>2.94</v>
          </cell>
          <cell r="JV290">
            <v>2.8809999999999998</v>
          </cell>
          <cell r="JW290">
            <v>0.214</v>
          </cell>
          <cell r="JX290">
            <v>0.13900000000000001</v>
          </cell>
          <cell r="JY290">
            <v>1.2529999999999999</v>
          </cell>
          <cell r="JZ290">
            <v>1.097</v>
          </cell>
          <cell r="KA290">
            <v>4.3109999999999999</v>
          </cell>
          <cell r="KB290">
            <v>6.2089999999999996</v>
          </cell>
          <cell r="KC290">
            <v>6.8730000000000002</v>
          </cell>
          <cell r="KD290">
            <v>9.3279999999999994</v>
          </cell>
          <cell r="KE290">
            <v>8.7840000000000007</v>
          </cell>
          <cell r="KF290">
            <v>5.1159999999999997</v>
          </cell>
          <cell r="KG290">
            <v>1.4710000000000001</v>
          </cell>
          <cell r="KH290">
            <v>1E-3</v>
          </cell>
          <cell r="KI290">
            <v>0</v>
          </cell>
          <cell r="KJ290">
            <v>0.621</v>
          </cell>
          <cell r="KK290">
            <v>7.1929999999999996</v>
          </cell>
          <cell r="KL290">
            <v>19.045999999999999</v>
          </cell>
          <cell r="KM290">
            <v>12.337999999999999</v>
          </cell>
          <cell r="KN290">
            <v>6.2539999999999996</v>
          </cell>
          <cell r="KO290">
            <v>7.2910000000000004</v>
          </cell>
          <cell r="KP290">
            <v>5.0670000000000002</v>
          </cell>
          <cell r="KQ290">
            <v>5.7149999999999999</v>
          </cell>
          <cell r="KR290">
            <v>7.3049999999999997</v>
          </cell>
          <cell r="KS290">
            <v>1.9470000000000001</v>
          </cell>
          <cell r="KT290">
            <v>1.238</v>
          </cell>
          <cell r="KU290">
            <v>0.39</v>
          </cell>
          <cell r="KV290">
            <v>4.8899999999999997</v>
          </cell>
          <cell r="KW290">
            <v>9.74</v>
          </cell>
          <cell r="KX290">
            <v>15.085000000000001</v>
          </cell>
          <cell r="KY290">
            <v>11.493</v>
          </cell>
          <cell r="KZ290">
            <v>10.786</v>
          </cell>
          <cell r="LA290">
            <v>17.231999999999999</v>
          </cell>
          <cell r="LB290">
            <v>4.585</v>
          </cell>
          <cell r="LC290">
            <v>4.2210000000000001</v>
          </cell>
          <cell r="LD290">
            <v>7.57</v>
          </cell>
          <cell r="LE290">
            <v>7.6870000000000003</v>
          </cell>
          <cell r="LF290">
            <v>7.7590000000000003</v>
          </cell>
          <cell r="LG290">
            <v>4.1239999999999997</v>
          </cell>
          <cell r="LH290">
            <v>5.9770000000000003</v>
          </cell>
          <cell r="LI290">
            <v>18.631</v>
          </cell>
          <cell r="LJ290">
            <v>21.914999999999999</v>
          </cell>
          <cell r="LK290">
            <v>25.157</v>
          </cell>
          <cell r="LL290">
            <v>16.649999999999999</v>
          </cell>
          <cell r="LM290">
            <v>11.223000000000001</v>
          </cell>
          <cell r="LN290">
            <v>9.7819839999999996</v>
          </cell>
          <cell r="LO290">
            <v>5.0937510000000001</v>
          </cell>
          <cell r="LP290">
            <v>1.732694</v>
          </cell>
          <cell r="LQ290">
            <v>1.0516529999999999</v>
          </cell>
          <cell r="LR290">
            <v>1.052616</v>
          </cell>
          <cell r="LS290">
            <v>0.514073</v>
          </cell>
          <cell r="LT290">
            <v>8.5709920000000004</v>
          </cell>
          <cell r="LU290">
            <v>19.092611000000002</v>
          </cell>
          <cell r="LV290">
            <v>39.091127999999998</v>
          </cell>
          <cell r="LW290">
            <v>40.220357</v>
          </cell>
          <cell r="LX290">
            <v>19.742464999999999</v>
          </cell>
          <cell r="LY290">
            <v>20.855170000000001</v>
          </cell>
          <cell r="LZ290">
            <v>17.804995000000002</v>
          </cell>
          <cell r="MA290">
            <v>17.427295000000001</v>
          </cell>
          <cell r="MB290">
            <v>17.928429999999999</v>
          </cell>
          <cell r="MC290">
            <v>13.855656</v>
          </cell>
          <cell r="MD290">
            <v>10.143872999999999</v>
          </cell>
          <cell r="ME290">
            <v>8.207281</v>
          </cell>
          <cell r="MF290">
            <v>15.490161000000001</v>
          </cell>
          <cell r="MG290">
            <v>44.242601000000001</v>
          </cell>
          <cell r="MH290">
            <v>76.629987999999997</v>
          </cell>
          <cell r="MI290">
            <v>35.635978999999999</v>
          </cell>
          <cell r="MJ290">
            <v>35.635978999999999</v>
          </cell>
          <cell r="MK290">
            <v>21.885860999999998</v>
          </cell>
          <cell r="ML290">
            <v>5.713794</v>
          </cell>
          <cell r="MM290">
            <v>1.9356310000000001</v>
          </cell>
          <cell r="MN290">
            <v>2.65822</v>
          </cell>
          <cell r="MO290">
            <v>3.2510460000000001</v>
          </cell>
          <cell r="MP290">
            <v>8.3053480000000004</v>
          </cell>
          <cell r="MQ290">
            <v>14.186007999999999</v>
          </cell>
          <cell r="MR290">
            <v>14.974231</v>
          </cell>
          <cell r="MS290">
            <v>22.477394</v>
          </cell>
          <cell r="MT290">
            <v>13.844139999999999</v>
          </cell>
          <cell r="MU290">
            <v>9.1890000000000001</v>
          </cell>
          <cell r="MV290">
            <v>18.788</v>
          </cell>
          <cell r="MW290">
            <v>10.031000000000001</v>
          </cell>
          <cell r="MX290">
            <v>16.905000000000001</v>
          </cell>
          <cell r="MY290">
            <v>12.923999999999999</v>
          </cell>
          <cell r="MZ290">
            <v>3.7730000000000001</v>
          </cell>
          <cell r="NA290">
            <v>3.3140000000000001</v>
          </cell>
          <cell r="NB290">
            <v>3.4020000000000001</v>
          </cell>
          <cell r="NC290">
            <v>7.641</v>
          </cell>
          <cell r="ND290">
            <v>5.09</v>
          </cell>
          <cell r="NE290">
            <v>6.359</v>
          </cell>
          <cell r="NF290">
            <v>12.635999999999999</v>
          </cell>
          <cell r="NG290">
            <v>16.878</v>
          </cell>
          <cell r="NH290">
            <v>8.5069999999999997</v>
          </cell>
          <cell r="NI290">
            <v>15.234</v>
          </cell>
        </row>
      </sheetData>
      <sheetData sheetId="32">
        <row r="290">
          <cell r="AU290">
            <v>1.971762</v>
          </cell>
          <cell r="AV290">
            <v>1.1124259999999999</v>
          </cell>
          <cell r="AW290">
            <v>1.066017</v>
          </cell>
          <cell r="AX290">
            <v>0.65969299999999997</v>
          </cell>
          <cell r="AY290">
            <v>0.88004000000000004</v>
          </cell>
          <cell r="AZ290">
            <v>1.362959</v>
          </cell>
          <cell r="BA290">
            <v>0.66657299999999997</v>
          </cell>
          <cell r="BB290">
            <v>0.44575700000000001</v>
          </cell>
          <cell r="BC290">
            <v>0.32669199999999998</v>
          </cell>
          <cell r="BD290">
            <v>0.52663199999999999</v>
          </cell>
          <cell r="BE290">
            <v>0.46039099999999999</v>
          </cell>
          <cell r="BF290">
            <v>1.032133</v>
          </cell>
          <cell r="BG290">
            <v>0.73406300000000002</v>
          </cell>
          <cell r="BH290">
            <v>1.0549470000000001</v>
          </cell>
          <cell r="BI290">
            <v>0.61836800000000003</v>
          </cell>
          <cell r="BJ290">
            <v>0.58877199999999996</v>
          </cell>
          <cell r="BK290">
            <v>0.96853500000000003</v>
          </cell>
          <cell r="BL290">
            <v>1.6720729999999999</v>
          </cell>
          <cell r="BM290">
            <v>1.259166</v>
          </cell>
          <cell r="BN290">
            <v>0.67932899999999996</v>
          </cell>
          <cell r="BO290">
            <v>1.753298</v>
          </cell>
          <cell r="BP290">
            <v>1.2031829999999999</v>
          </cell>
          <cell r="BQ290">
            <v>3.3826670000000001</v>
          </cell>
          <cell r="BR290">
            <v>5.150703</v>
          </cell>
          <cell r="BS290">
            <v>3.0917370000000002</v>
          </cell>
          <cell r="BT290">
            <v>1.6598189999999999</v>
          </cell>
          <cell r="BU290">
            <v>1.9883519999999999</v>
          </cell>
          <cell r="BV290">
            <v>1.4001220000000001</v>
          </cell>
          <cell r="BW290">
            <v>1.333582</v>
          </cell>
          <cell r="BX290">
            <v>2.0273279999999998</v>
          </cell>
          <cell r="BY290">
            <v>0.757158</v>
          </cell>
          <cell r="BZ290">
            <v>0.88930799999999999</v>
          </cell>
          <cell r="CA290">
            <v>0.28995900000000002</v>
          </cell>
          <cell r="CB290">
            <v>0.53033600000000003</v>
          </cell>
          <cell r="CC290">
            <v>0.74770599999999998</v>
          </cell>
          <cell r="CD290">
            <v>1.0958589999999999</v>
          </cell>
          <cell r="CE290">
            <v>0.56131799999999998</v>
          </cell>
          <cell r="CF290">
            <v>0.607159</v>
          </cell>
          <cell r="CG290">
            <v>0.61841699999999999</v>
          </cell>
          <cell r="CH290">
            <v>0.511799</v>
          </cell>
          <cell r="CI290">
            <v>0.51015699999999997</v>
          </cell>
          <cell r="CJ290">
            <v>0.54980399999999996</v>
          </cell>
          <cell r="CK290">
            <v>0.77529499999999996</v>
          </cell>
          <cell r="CL290">
            <v>0.66654999999999998</v>
          </cell>
          <cell r="CM290">
            <v>0.71605399999999997</v>
          </cell>
          <cell r="CN290">
            <v>0.47121800000000003</v>
          </cell>
          <cell r="CO290">
            <v>0.82338699999999998</v>
          </cell>
          <cell r="CP290">
            <v>1.7288399999999999</v>
          </cell>
          <cell r="CQ290">
            <v>1.4139250000000001</v>
          </cell>
          <cell r="CR290">
            <v>0.96449700000000005</v>
          </cell>
          <cell r="CS290">
            <v>1.1438349999999999</v>
          </cell>
          <cell r="CT290">
            <v>1.381332</v>
          </cell>
          <cell r="CU290">
            <v>1.620082</v>
          </cell>
          <cell r="CV290">
            <v>1.6464920000000001</v>
          </cell>
          <cell r="CW290">
            <v>2.1852909999999999</v>
          </cell>
          <cell r="CX290">
            <v>2.303944</v>
          </cell>
          <cell r="CY290">
            <v>2.7668240000000002</v>
          </cell>
          <cell r="CZ290">
            <v>3.9268200000000002</v>
          </cell>
          <cell r="DA290">
            <v>1.1423019999999999</v>
          </cell>
          <cell r="DB290">
            <v>2.4616189999999998</v>
          </cell>
          <cell r="DC290">
            <v>2.172736</v>
          </cell>
          <cell r="DD290">
            <v>1.627434</v>
          </cell>
          <cell r="DE290">
            <v>2.4706700000000001</v>
          </cell>
          <cell r="DF290">
            <v>2.722702</v>
          </cell>
          <cell r="DG290">
            <v>3.8405990000000001</v>
          </cell>
          <cell r="DH290">
            <v>5.6098619999999997</v>
          </cell>
          <cell r="DI290">
            <v>4.4979579999999997</v>
          </cell>
          <cell r="DJ290">
            <v>2.92787</v>
          </cell>
          <cell r="DK290">
            <v>1.9575750000000001</v>
          </cell>
          <cell r="DL290">
            <v>2.73325</v>
          </cell>
          <cell r="DM290">
            <v>3.0241530000000001</v>
          </cell>
          <cell r="DN290">
            <v>3.2377509999999998</v>
          </cell>
          <cell r="DO290">
            <v>2.5339330000000002</v>
          </cell>
          <cell r="DP290">
            <v>2.8820929999999998</v>
          </cell>
          <cell r="DQ290">
            <v>4.3616820000000001</v>
          </cell>
          <cell r="DR290">
            <v>4.1437970000000002</v>
          </cell>
          <cell r="DS290">
            <v>2.3190629999999999</v>
          </cell>
          <cell r="DT290">
            <v>2.5596719999999999</v>
          </cell>
          <cell r="DU290">
            <v>3.7830170000000001</v>
          </cell>
          <cell r="DV290">
            <v>2.7344430000000002</v>
          </cell>
          <cell r="DW290">
            <v>2.3883040000000002</v>
          </cell>
          <cell r="DX290">
            <v>2.9604379999999999</v>
          </cell>
          <cell r="DY290">
            <v>3.686026</v>
          </cell>
          <cell r="DZ290">
            <v>4.5315019999999997</v>
          </cell>
          <cell r="EA290">
            <v>3.425081</v>
          </cell>
          <cell r="EB290">
            <v>2.576549</v>
          </cell>
          <cell r="EC290">
            <v>2.2681550000000001</v>
          </cell>
          <cell r="ED290">
            <v>2.0706739999999999</v>
          </cell>
          <cell r="EE290">
            <v>1.75054</v>
          </cell>
          <cell r="EF290">
            <v>1.4453</v>
          </cell>
          <cell r="EG290">
            <v>1.4592830000000001</v>
          </cell>
          <cell r="EH290">
            <v>1.546373</v>
          </cell>
          <cell r="EI290">
            <v>1.873618</v>
          </cell>
          <cell r="EJ290">
            <v>1.7950410000000001</v>
          </cell>
          <cell r="EK290">
            <v>2.4008949999999998</v>
          </cell>
          <cell r="EL290">
            <v>6.0416160000000003</v>
          </cell>
          <cell r="EM290">
            <v>5.4843390000000003</v>
          </cell>
          <cell r="EN290">
            <v>5.3106090000000004</v>
          </cell>
          <cell r="EO290">
            <v>6.690105</v>
          </cell>
          <cell r="EP290">
            <v>6.4988939999999999</v>
          </cell>
          <cell r="EQ290">
            <v>6.1297769999999998</v>
          </cell>
          <cell r="ER290">
            <v>4.7236820000000002</v>
          </cell>
          <cell r="ES290">
            <v>5.2039470000000003</v>
          </cell>
          <cell r="ET290">
            <v>4.9997639999999999</v>
          </cell>
          <cell r="EU290">
            <v>5.5695059999999996</v>
          </cell>
          <cell r="EV290">
            <v>4.8645490000000002</v>
          </cell>
          <cell r="EW290">
            <v>5.001881</v>
          </cell>
          <cell r="EX290">
            <v>9.8504419999999993</v>
          </cell>
          <cell r="EY290">
            <v>6.6455729999999997</v>
          </cell>
          <cell r="EZ290">
            <v>6.704796</v>
          </cell>
          <cell r="FA290">
            <v>7.7891050000000002</v>
          </cell>
          <cell r="FB290">
            <v>6.8578409999999996</v>
          </cell>
          <cell r="FC290">
            <v>5.0040959999999997</v>
          </cell>
          <cell r="FD290">
            <v>5.5746729999999998</v>
          </cell>
          <cell r="FE290">
            <v>5.2250589999999999</v>
          </cell>
          <cell r="FF290">
            <v>4.8208820000000001</v>
          </cell>
          <cell r="FG290">
            <v>5.353866</v>
          </cell>
          <cell r="FH290">
            <v>3.8872390000000001</v>
          </cell>
          <cell r="FI290">
            <v>5.1643400000000002</v>
          </cell>
          <cell r="FJ290">
            <v>12.773633</v>
          </cell>
          <cell r="FK290">
            <v>14.679166</v>
          </cell>
          <cell r="FL290">
            <v>9.9765379999999997</v>
          </cell>
          <cell r="FM290">
            <v>13.623329999999999</v>
          </cell>
          <cell r="FN290">
            <v>14.083539999999999</v>
          </cell>
          <cell r="FO290">
            <v>11.674716999999999</v>
          </cell>
          <cell r="FP290">
            <v>9.9091269999999998</v>
          </cell>
          <cell r="FQ290">
            <v>6.4266430000000003</v>
          </cell>
          <cell r="FR290">
            <v>6.3061290000000003</v>
          </cell>
          <cell r="FS290">
            <v>5.6908110000000001</v>
          </cell>
          <cell r="FT290">
            <v>4.9008310000000002</v>
          </cell>
          <cell r="FU290">
            <v>5.9580000000000002</v>
          </cell>
          <cell r="FV290">
            <v>11.795</v>
          </cell>
          <cell r="FW290">
            <v>11.15</v>
          </cell>
          <cell r="FX290">
            <v>8.0530000000000008</v>
          </cell>
          <cell r="FY290">
            <v>12.116</v>
          </cell>
          <cell r="FZ290">
            <v>12.106999999999999</v>
          </cell>
          <cell r="GA290">
            <v>10.358000000000001</v>
          </cell>
          <cell r="GB290">
            <v>10.239000000000001</v>
          </cell>
          <cell r="GC290">
            <v>9.48</v>
          </cell>
          <cell r="GD290">
            <v>9.1530000000000005</v>
          </cell>
          <cell r="GE290">
            <v>8.1509999999999998</v>
          </cell>
          <cell r="GF290">
            <v>5.431</v>
          </cell>
          <cell r="GG290">
            <v>6.2549999999999999</v>
          </cell>
          <cell r="GH290">
            <v>8.5980000000000008</v>
          </cell>
          <cell r="GI290">
            <v>9.0559999999999992</v>
          </cell>
          <cell r="GJ290">
            <v>9.3629999999999995</v>
          </cell>
          <cell r="GK290">
            <v>8.9380000000000006</v>
          </cell>
          <cell r="GL290">
            <v>11.439</v>
          </cell>
          <cell r="GM290">
            <v>10.249000000000001</v>
          </cell>
          <cell r="GN290">
            <v>8.2759999999999998</v>
          </cell>
          <cell r="GO290">
            <v>7.9580000000000002</v>
          </cell>
          <cell r="GP290">
            <v>8.4130000000000003</v>
          </cell>
          <cell r="GQ290">
            <v>6.0869999999999997</v>
          </cell>
          <cell r="GR290">
            <v>5.0309999999999997</v>
          </cell>
          <cell r="GS290">
            <v>12.342000000000001</v>
          </cell>
          <cell r="GT290">
            <v>18.707000000000001</v>
          </cell>
          <cell r="GU290">
            <v>21.797999999999998</v>
          </cell>
          <cell r="GV290">
            <v>14.077</v>
          </cell>
          <cell r="GW290">
            <v>13.499000000000001</v>
          </cell>
          <cell r="GX290">
            <v>14.1</v>
          </cell>
          <cell r="GY290">
            <v>14.885</v>
          </cell>
          <cell r="GZ290">
            <v>10.077999999999999</v>
          </cell>
          <cell r="HA290">
            <v>8.468</v>
          </cell>
          <cell r="HB290">
            <v>6.1180000000000003</v>
          </cell>
          <cell r="HC290">
            <v>3.4809999999999999</v>
          </cell>
          <cell r="HD290">
            <v>4.9080000000000004</v>
          </cell>
          <cell r="HE290">
            <v>8.9819999999999993</v>
          </cell>
          <cell r="HF290">
            <v>12.349</v>
          </cell>
          <cell r="HG290">
            <v>14.957000000000001</v>
          </cell>
          <cell r="HH290">
            <v>8.8919999999999995</v>
          </cell>
          <cell r="HI290">
            <v>10.331</v>
          </cell>
          <cell r="HJ290">
            <v>10.837</v>
          </cell>
          <cell r="HK290">
            <v>10.624000000000001</v>
          </cell>
          <cell r="HL290">
            <v>9.1630000000000003</v>
          </cell>
          <cell r="HM290">
            <v>7.5960000000000001</v>
          </cell>
          <cell r="HN290">
            <v>5.5090000000000003</v>
          </cell>
          <cell r="HO290">
            <v>4.6369999999999996</v>
          </cell>
          <cell r="HP290">
            <v>7.7750000000000004</v>
          </cell>
          <cell r="HQ290">
            <v>13.468</v>
          </cell>
          <cell r="HR290">
            <v>18.190000000000001</v>
          </cell>
          <cell r="HS290">
            <v>21.617999999999999</v>
          </cell>
          <cell r="HT290">
            <v>12.045999999999999</v>
          </cell>
          <cell r="HU290">
            <v>10.612</v>
          </cell>
          <cell r="HV290">
            <v>9.8279999999999994</v>
          </cell>
          <cell r="HW290">
            <v>13.852</v>
          </cell>
          <cell r="HX290">
            <v>10.284000000000001</v>
          </cell>
          <cell r="HY290">
            <v>5.8710000000000004</v>
          </cell>
          <cell r="HZ290">
            <v>4.1779999999999999</v>
          </cell>
          <cell r="IA290">
            <v>4.266</v>
          </cell>
          <cell r="IB290">
            <v>8.4009999999999998</v>
          </cell>
          <cell r="IC290">
            <v>20.524999999999999</v>
          </cell>
          <cell r="ID290">
            <v>24.337</v>
          </cell>
          <cell r="IE290">
            <v>26.687000000000001</v>
          </cell>
          <cell r="IF290">
            <v>11.585000000000001</v>
          </cell>
          <cell r="IG290">
            <v>14.298999999999999</v>
          </cell>
          <cell r="IH290">
            <v>14.395</v>
          </cell>
          <cell r="II290">
            <v>11.215</v>
          </cell>
          <cell r="IJ290">
            <v>10.31</v>
          </cell>
          <cell r="IK290">
            <v>13.606</v>
          </cell>
          <cell r="IL290">
            <v>10.951000000000001</v>
          </cell>
          <cell r="IM290">
            <v>8.7040000000000006</v>
          </cell>
          <cell r="IN290">
            <v>9.1549999999999994</v>
          </cell>
          <cell r="IO290">
            <v>14.182</v>
          </cell>
          <cell r="IP290">
            <v>24.504000000000001</v>
          </cell>
          <cell r="IQ290">
            <v>29.059000000000001</v>
          </cell>
          <cell r="IR290">
            <v>18.872</v>
          </cell>
          <cell r="IS290">
            <v>23.363</v>
          </cell>
          <cell r="IT290">
            <v>16.116</v>
          </cell>
          <cell r="IU290">
            <v>12.675000000000001</v>
          </cell>
          <cell r="IV290">
            <v>11.366</v>
          </cell>
          <cell r="IW290">
            <v>9.3379999999999992</v>
          </cell>
          <cell r="IX290">
            <v>10.614000000000001</v>
          </cell>
          <cell r="IY290">
            <v>7.2409999999999997</v>
          </cell>
          <cell r="IZ290">
            <v>7.2359999999999998</v>
          </cell>
          <cell r="JA290">
            <v>19.257000000000001</v>
          </cell>
          <cell r="JB290">
            <v>19.085999999999999</v>
          </cell>
          <cell r="JC290">
            <v>23.777999999999999</v>
          </cell>
          <cell r="JD290">
            <v>12.648999999999999</v>
          </cell>
          <cell r="JE290">
            <v>7.6980000000000004</v>
          </cell>
          <cell r="JF290">
            <v>12.784000000000001</v>
          </cell>
          <cell r="JG290">
            <v>14.086</v>
          </cell>
          <cell r="JH290">
            <v>14.558999999999999</v>
          </cell>
          <cell r="JI290">
            <v>7.585</v>
          </cell>
          <cell r="JJ290">
            <v>10.467000000000001</v>
          </cell>
          <cell r="JK290">
            <v>8.8000000000000007</v>
          </cell>
          <cell r="JL290">
            <v>16.242999999999999</v>
          </cell>
          <cell r="JM290">
            <v>31.254999999999999</v>
          </cell>
          <cell r="JN290">
            <v>30.538</v>
          </cell>
          <cell r="JO290">
            <v>20.861999999999998</v>
          </cell>
          <cell r="JP290">
            <v>9.8160000000000007</v>
          </cell>
          <cell r="JQ290">
            <v>11.547000000000001</v>
          </cell>
          <cell r="JR290">
            <v>12.138999999999999</v>
          </cell>
          <cell r="JS290">
            <v>12.616</v>
          </cell>
          <cell r="JT290">
            <v>9.2040000000000006</v>
          </cell>
          <cell r="JU290">
            <v>7.3120000000000003</v>
          </cell>
          <cell r="JV290">
            <v>5.2169999999999996</v>
          </cell>
          <cell r="JW290">
            <v>6.4320000000000004</v>
          </cell>
          <cell r="JX290">
            <v>18.805</v>
          </cell>
          <cell r="JY290">
            <v>27.509</v>
          </cell>
          <cell r="JZ290">
            <v>34.348999999999997</v>
          </cell>
          <cell r="KA290">
            <v>30.68</v>
          </cell>
          <cell r="KB290">
            <v>23.222000000000001</v>
          </cell>
          <cell r="KC290">
            <v>19.283999999999999</v>
          </cell>
          <cell r="KD290">
            <v>24.36</v>
          </cell>
          <cell r="KE290">
            <v>18.978999999999999</v>
          </cell>
          <cell r="KF290">
            <v>16.064</v>
          </cell>
          <cell r="KG290">
            <v>12.237</v>
          </cell>
          <cell r="KH290">
            <v>8.2989999999999995</v>
          </cell>
          <cell r="KI290">
            <v>10.068</v>
          </cell>
          <cell r="KJ290">
            <v>21.655000000000001</v>
          </cell>
          <cell r="KK290">
            <v>27.509</v>
          </cell>
          <cell r="KL290">
            <v>39.746000000000002</v>
          </cell>
          <cell r="KM290">
            <v>42.167000000000002</v>
          </cell>
          <cell r="KN290">
            <v>29.88</v>
          </cell>
          <cell r="KO290">
            <v>28.13</v>
          </cell>
          <cell r="KP290">
            <v>25.202000000000002</v>
          </cell>
          <cell r="KQ290">
            <v>18.305</v>
          </cell>
          <cell r="KR290">
            <v>13.72</v>
          </cell>
          <cell r="KS290">
            <v>12.141</v>
          </cell>
          <cell r="KT290">
            <v>15.847</v>
          </cell>
          <cell r="KU290">
            <v>12.090999999999999</v>
          </cell>
          <cell r="KV290">
            <v>19.895</v>
          </cell>
          <cell r="KW290">
            <v>39.210999999999999</v>
          </cell>
          <cell r="KX290">
            <v>39.412999999999997</v>
          </cell>
          <cell r="KY290">
            <v>41.067999999999998</v>
          </cell>
          <cell r="KZ290">
            <v>26.087</v>
          </cell>
          <cell r="LA290">
            <v>37.241999999999997</v>
          </cell>
          <cell r="LB290">
            <v>41.418999999999997</v>
          </cell>
          <cell r="LC290">
            <v>28.323</v>
          </cell>
          <cell r="LD290">
            <v>25.207999999999998</v>
          </cell>
          <cell r="LE290">
            <v>22.914999999999999</v>
          </cell>
          <cell r="LF290">
            <v>25.673999999999999</v>
          </cell>
          <cell r="LG290">
            <v>18.091000000000001</v>
          </cell>
          <cell r="LH290">
            <v>37.232999999999997</v>
          </cell>
          <cell r="LI290">
            <v>46.469000000000001</v>
          </cell>
          <cell r="LJ290">
            <v>59.862000000000002</v>
          </cell>
          <cell r="LK290">
            <v>55.042000000000002</v>
          </cell>
          <cell r="LL290">
            <v>32.229999999999997</v>
          </cell>
          <cell r="LM290">
            <v>40.417000000000002</v>
          </cell>
          <cell r="LN290">
            <v>58.822401999999997</v>
          </cell>
          <cell r="LO290">
            <v>56.057265000000001</v>
          </cell>
          <cell r="LP290">
            <v>30.679973</v>
          </cell>
          <cell r="LQ290">
            <v>28.857317999999999</v>
          </cell>
          <cell r="LR290">
            <v>20.929839999999999</v>
          </cell>
          <cell r="LS290">
            <v>13.560454999999999</v>
          </cell>
          <cell r="LT290">
            <v>23.243528999999999</v>
          </cell>
          <cell r="LU290">
            <v>46.215012999999999</v>
          </cell>
          <cell r="LV290">
            <v>57.472026999999997</v>
          </cell>
          <cell r="LW290">
            <v>66.214851999999993</v>
          </cell>
          <cell r="LX290">
            <v>32.307825000000001</v>
          </cell>
          <cell r="LY290">
            <v>68.649726999999999</v>
          </cell>
          <cell r="LZ290">
            <v>60.159215000000003</v>
          </cell>
          <cell r="MA290">
            <v>40.435147999999998</v>
          </cell>
          <cell r="MB290">
            <v>28.364695999999999</v>
          </cell>
          <cell r="MC290">
            <v>13.343636</v>
          </cell>
          <cell r="MD290">
            <v>7.7686489999999999</v>
          </cell>
          <cell r="ME290">
            <v>8.2914399999999997</v>
          </cell>
          <cell r="MF290">
            <v>35.237240999999997</v>
          </cell>
          <cell r="MG290">
            <v>56.754741000000003</v>
          </cell>
          <cell r="MH290">
            <v>62.796005999999998</v>
          </cell>
          <cell r="MI290">
            <v>35.298974000000001</v>
          </cell>
          <cell r="MJ290">
            <v>35.298974000000001</v>
          </cell>
          <cell r="MK290">
            <v>70.970545000000001</v>
          </cell>
          <cell r="ML290">
            <v>58.042274999999997</v>
          </cell>
          <cell r="MM290">
            <v>56.325377000000003</v>
          </cell>
          <cell r="MN290">
            <v>30.610242</v>
          </cell>
          <cell r="MO290">
            <v>22.606570000000001</v>
          </cell>
          <cell r="MP290">
            <v>18.290759000000001</v>
          </cell>
          <cell r="MQ290">
            <v>17.861884</v>
          </cell>
          <cell r="MR290">
            <v>35.394838999999997</v>
          </cell>
          <cell r="MS290">
            <v>71.811143000000001</v>
          </cell>
          <cell r="MT290">
            <v>55.489488999999999</v>
          </cell>
          <cell r="MU290">
            <v>65.319000000000003</v>
          </cell>
          <cell r="MV290">
            <v>36.584000000000003</v>
          </cell>
          <cell r="MW290">
            <v>40.081000000000003</v>
          </cell>
          <cell r="MX290">
            <v>37.527000000000001</v>
          </cell>
          <cell r="MY290">
            <v>42.35</v>
          </cell>
          <cell r="MZ290">
            <v>32.030999999999999</v>
          </cell>
          <cell r="NA290">
            <v>20.056000000000001</v>
          </cell>
          <cell r="NB290">
            <v>16.899999999999999</v>
          </cell>
          <cell r="NC290">
            <v>21.81</v>
          </cell>
          <cell r="ND290">
            <v>22.373999999999999</v>
          </cell>
          <cell r="NE290">
            <v>39.511000000000003</v>
          </cell>
          <cell r="NF290">
            <v>52.469000000000001</v>
          </cell>
          <cell r="NG290">
            <v>59.49</v>
          </cell>
          <cell r="NH290">
            <v>36.911000000000001</v>
          </cell>
          <cell r="NI290">
            <v>42.762</v>
          </cell>
        </row>
      </sheetData>
      <sheetData sheetId="33">
        <row r="290"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5.1360000000000001</v>
          </cell>
          <cell r="CF290">
            <v>0</v>
          </cell>
          <cell r="CG290">
            <v>0</v>
          </cell>
          <cell r="CH290">
            <v>1.7874999999999999E-2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1.6896599999999999</v>
          </cell>
          <cell r="EO290">
            <v>1.81548</v>
          </cell>
          <cell r="EP290">
            <v>3.4921099999999998</v>
          </cell>
          <cell r="EQ290">
            <v>0.92747000000000002</v>
          </cell>
          <cell r="ER290">
            <v>1.7799400000000001</v>
          </cell>
          <cell r="ES290">
            <v>1.7270000000000001</v>
          </cell>
          <cell r="ET290">
            <v>1.2635799999999999</v>
          </cell>
          <cell r="EU290">
            <v>0.73677999999999999</v>
          </cell>
          <cell r="EV290">
            <v>0.46523999999999999</v>
          </cell>
          <cell r="EW290">
            <v>1.1592</v>
          </cell>
          <cell r="EX290">
            <v>0</v>
          </cell>
          <cell r="EY290">
            <v>1.26728</v>
          </cell>
          <cell r="EZ290">
            <v>3.0746600000000002</v>
          </cell>
          <cell r="FA290">
            <v>2.2421000000000002</v>
          </cell>
          <cell r="FB290">
            <v>1.4135200000000001</v>
          </cell>
          <cell r="FC290">
            <v>1.1557200000000001</v>
          </cell>
          <cell r="FD290">
            <v>1.3722399999999999</v>
          </cell>
          <cell r="FE290">
            <v>0.70704</v>
          </cell>
          <cell r="FF290">
            <v>0.67396</v>
          </cell>
          <cell r="FG290">
            <v>0.37546000000000002</v>
          </cell>
          <cell r="FH290">
            <v>0.86238000000000004</v>
          </cell>
          <cell r="FI290">
            <v>1.3856200000000001</v>
          </cell>
          <cell r="FJ290">
            <v>1.7009000000000001</v>
          </cell>
          <cell r="FK290">
            <v>1.4875400000000001</v>
          </cell>
          <cell r="FL290">
            <v>0.79801999999999995</v>
          </cell>
          <cell r="FM290">
            <v>0.85975999999999997</v>
          </cell>
          <cell r="FN290">
            <v>0.49822</v>
          </cell>
          <cell r="FO290">
            <v>0.50802999999999998</v>
          </cell>
          <cell r="FP290">
            <v>0.37486000000000003</v>
          </cell>
          <cell r="FQ290">
            <v>0.47595999999999999</v>
          </cell>
          <cell r="FR290">
            <v>0.38175999999999999</v>
          </cell>
          <cell r="FS290">
            <v>0.58962000000000003</v>
          </cell>
          <cell r="FT290">
            <v>0.19572000000000001</v>
          </cell>
          <cell r="FU290">
            <v>0.35499999999999998</v>
          </cell>
          <cell r="FV290">
            <v>0.92200000000000004</v>
          </cell>
          <cell r="FW290">
            <v>0.872</v>
          </cell>
          <cell r="FX290">
            <v>0.63400000000000001</v>
          </cell>
          <cell r="FY290">
            <v>1.581</v>
          </cell>
          <cell r="FZ290">
            <v>1.1539999999999999</v>
          </cell>
          <cell r="GA290">
            <v>1.1399999999999999</v>
          </cell>
          <cell r="GB290">
            <v>1.369</v>
          </cell>
          <cell r="GC290">
            <v>0.187</v>
          </cell>
          <cell r="GD290">
            <v>0.51900000000000002</v>
          </cell>
          <cell r="GE290">
            <v>0.14599999999999999</v>
          </cell>
          <cell r="GF290">
            <v>0.16300000000000001</v>
          </cell>
          <cell r="GG290">
            <v>0.85499999999999998</v>
          </cell>
          <cell r="GH290">
            <v>0.59699999999999998</v>
          </cell>
          <cell r="GI290">
            <v>0.71199999999999997</v>
          </cell>
          <cell r="GJ290">
            <v>1.0609999999999999</v>
          </cell>
          <cell r="GK290">
            <v>0.56200000000000006</v>
          </cell>
          <cell r="GL290">
            <v>0.23200000000000001</v>
          </cell>
          <cell r="GM290">
            <v>3.3000000000000002E-2</v>
          </cell>
          <cell r="GN290">
            <v>0</v>
          </cell>
          <cell r="GO290">
            <v>8.8999999999999996E-2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0.27900000000000003</v>
          </cell>
          <cell r="HT290">
            <v>0.36</v>
          </cell>
          <cell r="HU290">
            <v>0.35099999999999998</v>
          </cell>
          <cell r="HV290">
            <v>0.83</v>
          </cell>
          <cell r="HW290">
            <v>0.16500000000000001</v>
          </cell>
          <cell r="HX290">
            <v>0.36899999999999999</v>
          </cell>
          <cell r="HY290">
            <v>5.6000000000000001E-2</v>
          </cell>
          <cell r="HZ290">
            <v>0.29299999999999998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5.5E-2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0.40100000000000002</v>
          </cell>
          <cell r="JS290">
            <v>0.38600000000000001</v>
          </cell>
          <cell r="JT290">
            <v>0.12</v>
          </cell>
          <cell r="JU290">
            <v>0.6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8.1000000000000003E-2</v>
          </cell>
          <cell r="KA290">
            <v>0.13800000000000001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</v>
          </cell>
          <cell r="KO290">
            <v>0</v>
          </cell>
          <cell r="KP290">
            <v>0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0</v>
          </cell>
          <cell r="LH290">
            <v>0</v>
          </cell>
          <cell r="LI290">
            <v>1</v>
          </cell>
          <cell r="LJ290">
            <v>1.5609999999999999</v>
          </cell>
          <cell r="LK290">
            <v>2.2090000000000001</v>
          </cell>
          <cell r="LL290">
            <v>3.7650000000000001</v>
          </cell>
          <cell r="LM290">
            <v>14.263999999999999</v>
          </cell>
          <cell r="LN290">
            <v>32.633000000000003</v>
          </cell>
          <cell r="LO290">
            <v>72.457999999999998</v>
          </cell>
          <cell r="LP290">
            <v>30.449000000000002</v>
          </cell>
          <cell r="LQ290">
            <v>22.596</v>
          </cell>
          <cell r="LR290">
            <v>19.788</v>
          </cell>
          <cell r="LS290">
            <v>9.4909999999999997</v>
          </cell>
          <cell r="LT290">
            <v>4.1289999999999996</v>
          </cell>
          <cell r="LU290">
            <v>20.7</v>
          </cell>
          <cell r="LV290">
            <v>159.096</v>
          </cell>
          <cell r="LW290">
            <v>330.24299999999999</v>
          </cell>
          <cell r="LX290">
            <v>99.710999999999999</v>
          </cell>
          <cell r="LY290">
            <v>149.28800000000001</v>
          </cell>
          <cell r="LZ290">
            <v>6.2930000000000001</v>
          </cell>
          <cell r="MA290">
            <v>3.1190000000000002</v>
          </cell>
          <cell r="MB290">
            <v>114.499</v>
          </cell>
          <cell r="MC290">
            <v>61.656999999999996</v>
          </cell>
          <cell r="MD290">
            <v>144.874</v>
          </cell>
          <cell r="ME290">
            <v>181.911</v>
          </cell>
          <cell r="MF290">
            <v>5.32</v>
          </cell>
          <cell r="MG290">
            <v>120.56399999999999</v>
          </cell>
          <cell r="MH290">
            <v>228.81800000000001</v>
          </cell>
          <cell r="MI290">
            <v>192.87299999999999</v>
          </cell>
          <cell r="MJ290">
            <v>276.97000000000003</v>
          </cell>
          <cell r="MK290">
            <v>141.131</v>
          </cell>
          <cell r="ML290">
            <v>277.68599999999998</v>
          </cell>
          <cell r="MM290">
            <v>119.437</v>
          </cell>
          <cell r="MN290">
            <v>288.226</v>
          </cell>
          <cell r="MO290">
            <v>144.01300000000001</v>
          </cell>
          <cell r="MP290">
            <v>180.864</v>
          </cell>
          <cell r="MQ290">
            <v>76.906999999999996</v>
          </cell>
          <cell r="MR290">
            <v>79.95</v>
          </cell>
          <cell r="MS290">
            <v>186.57</v>
          </cell>
          <cell r="MT290">
            <v>224.19900000000001</v>
          </cell>
          <cell r="MU290">
            <v>327.66800000000001</v>
          </cell>
          <cell r="MV290">
            <v>71.965000000000003</v>
          </cell>
          <cell r="MW290">
            <v>210.346</v>
          </cell>
          <cell r="MX290">
            <v>275.601</v>
          </cell>
          <cell r="MY290">
            <v>139.56200000000001</v>
          </cell>
          <cell r="MZ290">
            <v>353.23500000000001</v>
          </cell>
          <cell r="NA290">
            <v>90.346999999999994</v>
          </cell>
          <cell r="NB290">
            <v>150.53200000000001</v>
          </cell>
          <cell r="NC290">
            <v>122.842</v>
          </cell>
          <cell r="ND290">
            <v>16.667999999999999</v>
          </cell>
          <cell r="NE290">
            <v>286.49900000000002</v>
          </cell>
          <cell r="NF290">
            <v>228.57499999999999</v>
          </cell>
          <cell r="NG290">
            <v>283.15699999999998</v>
          </cell>
          <cell r="NH290">
            <v>346.30200000000002</v>
          </cell>
          <cell r="NI290">
            <v>292.95499999999998</v>
          </cell>
        </row>
      </sheetData>
      <sheetData sheetId="34">
        <row r="290">
          <cell r="AU290">
            <v>2.5499999999999998</v>
          </cell>
          <cell r="AV290">
            <v>6.9599999999999995E-2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0.49664999999999998</v>
          </cell>
          <cell r="BB290">
            <v>0.20399999999999999</v>
          </cell>
          <cell r="BC290">
            <v>0</v>
          </cell>
          <cell r="BD290">
            <v>0</v>
          </cell>
          <cell r="BE290">
            <v>0.02</v>
          </cell>
          <cell r="BF290">
            <v>0</v>
          </cell>
          <cell r="BG290">
            <v>0.97355999999999998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1.8643000000000001</v>
          </cell>
          <cell r="BO290">
            <v>2.0880999999999998</v>
          </cell>
          <cell r="BP290">
            <v>2.6124000000000001</v>
          </cell>
          <cell r="BQ290">
            <v>0.6</v>
          </cell>
          <cell r="BR290">
            <v>0.65900000000000003</v>
          </cell>
          <cell r="BS290">
            <v>0</v>
          </cell>
          <cell r="BT290">
            <v>0</v>
          </cell>
          <cell r="BU290">
            <v>0</v>
          </cell>
          <cell r="BV290">
            <v>0.65847</v>
          </cell>
          <cell r="BW290">
            <v>0</v>
          </cell>
          <cell r="BX290">
            <v>0.65379200000000004</v>
          </cell>
          <cell r="BY290">
            <v>0.99864399999999998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2.234</v>
          </cell>
          <cell r="DG290">
            <v>1</v>
          </cell>
          <cell r="DH290">
            <v>4.0144399999999996</v>
          </cell>
          <cell r="DI290">
            <v>0.84913000000000005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0.02</v>
          </cell>
          <cell r="ED290">
            <v>0</v>
          </cell>
          <cell r="EE290">
            <v>0</v>
          </cell>
          <cell r="EF290">
            <v>0.06</v>
          </cell>
          <cell r="EG290">
            <v>0.06</v>
          </cell>
          <cell r="EH290">
            <v>0</v>
          </cell>
          <cell r="EI290">
            <v>2.1000000000000001E-2</v>
          </cell>
          <cell r="EJ290">
            <v>0</v>
          </cell>
          <cell r="EK290">
            <v>9.6140000000000003E-2</v>
          </cell>
          <cell r="EL290">
            <v>2.8800000000000002E-3</v>
          </cell>
          <cell r="EM290">
            <v>6.0999999999999999E-2</v>
          </cell>
          <cell r="EN290">
            <v>0</v>
          </cell>
          <cell r="EO290">
            <v>0</v>
          </cell>
          <cell r="EP290">
            <v>0.06</v>
          </cell>
          <cell r="EQ290">
            <v>0.30847999999999998</v>
          </cell>
          <cell r="ER290">
            <v>0</v>
          </cell>
          <cell r="ES290">
            <v>0</v>
          </cell>
          <cell r="ET290">
            <v>0</v>
          </cell>
          <cell r="EU290">
            <v>0.22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4.0000000000000001E-3</v>
          </cell>
          <cell r="FK290">
            <v>0</v>
          </cell>
          <cell r="FL290">
            <v>0</v>
          </cell>
          <cell r="FM290">
            <v>0</v>
          </cell>
          <cell r="FN290">
            <v>1.2E-2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1.7999999999999999E-2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1.7000000000000001E-2</v>
          </cell>
          <cell r="GE290">
            <v>1.7999999999999999E-2</v>
          </cell>
          <cell r="GF290">
            <v>0</v>
          </cell>
          <cell r="GG290">
            <v>1.2E-2</v>
          </cell>
          <cell r="GH290">
            <v>0</v>
          </cell>
          <cell r="GI290">
            <v>1.4E-2</v>
          </cell>
          <cell r="GJ290">
            <v>0</v>
          </cell>
          <cell r="GK290">
            <v>0.36699999999999999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6.0000000000000001E-3</v>
          </cell>
          <cell r="GR290">
            <v>0</v>
          </cell>
          <cell r="GS290">
            <v>0</v>
          </cell>
          <cell r="GT290">
            <v>1.2E-2</v>
          </cell>
          <cell r="GU290">
            <v>0</v>
          </cell>
          <cell r="GV290">
            <v>0</v>
          </cell>
          <cell r="GW290">
            <v>1.4950000000000001</v>
          </cell>
          <cell r="GX290">
            <v>0</v>
          </cell>
          <cell r="GY290">
            <v>3.2000000000000001E-2</v>
          </cell>
          <cell r="GZ290">
            <v>0.437</v>
          </cell>
          <cell r="HA290">
            <v>0.32200000000000001</v>
          </cell>
          <cell r="HB290">
            <v>0.152</v>
          </cell>
          <cell r="HC290">
            <v>0.29599999999999999</v>
          </cell>
          <cell r="HD290">
            <v>0.83299999999999996</v>
          </cell>
          <cell r="HE290">
            <v>1.1100000000000001</v>
          </cell>
          <cell r="HF290">
            <v>0.315</v>
          </cell>
          <cell r="HG290">
            <v>0</v>
          </cell>
          <cell r="HH290">
            <v>0.52700000000000002</v>
          </cell>
          <cell r="HI290">
            <v>0.52800000000000002</v>
          </cell>
          <cell r="HJ290">
            <v>0.51900000000000002</v>
          </cell>
          <cell r="HK290">
            <v>1.0720000000000001</v>
          </cell>
          <cell r="HL290">
            <v>0.27800000000000002</v>
          </cell>
          <cell r="HM290">
            <v>0.755</v>
          </cell>
          <cell r="HN290">
            <v>0.30099999999999999</v>
          </cell>
          <cell r="HO290">
            <v>7.6999999999999999E-2</v>
          </cell>
          <cell r="HP290">
            <v>0</v>
          </cell>
          <cell r="HQ290">
            <v>0</v>
          </cell>
          <cell r="HR290">
            <v>7.4999999999999997E-2</v>
          </cell>
          <cell r="HS290">
            <v>0.158</v>
          </cell>
          <cell r="HT290">
            <v>0</v>
          </cell>
          <cell r="HU290">
            <v>7.1999999999999995E-2</v>
          </cell>
          <cell r="HV290">
            <v>0</v>
          </cell>
          <cell r="HW290">
            <v>1.7999999999999999E-2</v>
          </cell>
          <cell r="HX290">
            <v>0</v>
          </cell>
          <cell r="HY290">
            <v>0.108</v>
          </cell>
          <cell r="HZ290">
            <v>0</v>
          </cell>
          <cell r="IA290">
            <v>1.7999999999999999E-2</v>
          </cell>
          <cell r="IB290">
            <v>0</v>
          </cell>
          <cell r="IC290">
            <v>0</v>
          </cell>
          <cell r="ID290">
            <v>0</v>
          </cell>
          <cell r="IE290">
            <v>0.11799999999999999</v>
          </cell>
          <cell r="IF290">
            <v>1.7999999999999999E-2</v>
          </cell>
          <cell r="IG290">
            <v>0.1</v>
          </cell>
          <cell r="IH290">
            <v>0.12</v>
          </cell>
          <cell r="II290">
            <v>0</v>
          </cell>
          <cell r="IJ290">
            <v>3.5999999999999997E-2</v>
          </cell>
          <cell r="IK290">
            <v>3.4000000000000002E-2</v>
          </cell>
          <cell r="IL290">
            <v>0</v>
          </cell>
          <cell r="IM290">
            <v>3.5999999999999997E-2</v>
          </cell>
          <cell r="IN290">
            <v>0.19800000000000001</v>
          </cell>
          <cell r="IO290">
            <v>0</v>
          </cell>
          <cell r="IP290">
            <v>7.0000000000000007E-2</v>
          </cell>
          <cell r="IQ290">
            <v>5.3999999999999999E-2</v>
          </cell>
          <cell r="IR290">
            <v>0</v>
          </cell>
          <cell r="IS290">
            <v>0.159</v>
          </cell>
          <cell r="IT290">
            <v>2.4E-2</v>
          </cell>
          <cell r="IU290">
            <v>1.2999999999999999E-2</v>
          </cell>
          <cell r="IV290">
            <v>0.124</v>
          </cell>
          <cell r="IW290">
            <v>3.5999999999999997E-2</v>
          </cell>
          <cell r="IX290">
            <v>3.3000000000000002E-2</v>
          </cell>
          <cell r="IY290">
            <v>5.2999999999999999E-2</v>
          </cell>
          <cell r="IZ290">
            <v>2.5999999999999999E-2</v>
          </cell>
          <cell r="JA290">
            <v>7.8E-2</v>
          </cell>
          <cell r="JB290">
            <v>0</v>
          </cell>
          <cell r="JC290">
            <v>3.3000000000000002E-2</v>
          </cell>
          <cell r="JD290">
            <v>0</v>
          </cell>
          <cell r="JE290">
            <v>0.14299999999999999</v>
          </cell>
          <cell r="JF290">
            <v>6.5000000000000002E-2</v>
          </cell>
          <cell r="JG290">
            <v>0.11600000000000001</v>
          </cell>
          <cell r="JH290">
            <v>7.1999999999999995E-2</v>
          </cell>
          <cell r="JI290">
            <v>0.10100000000000001</v>
          </cell>
          <cell r="JJ290">
            <v>0.17399999999999999</v>
          </cell>
          <cell r="JK290">
            <v>0.22</v>
          </cell>
          <cell r="JL290">
            <v>5.3999999999999999E-2</v>
          </cell>
          <cell r="JM290">
            <v>0.17199999999999999</v>
          </cell>
          <cell r="JN290">
            <v>7.9000000000000001E-2</v>
          </cell>
          <cell r="JO290">
            <v>0.108</v>
          </cell>
          <cell r="JP290">
            <v>0</v>
          </cell>
          <cell r="JQ290">
            <v>0.23400000000000001</v>
          </cell>
          <cell r="JR290">
            <v>0</v>
          </cell>
          <cell r="JS290">
            <v>0.14799999999999999</v>
          </cell>
          <cell r="JT290">
            <v>0.18</v>
          </cell>
          <cell r="JU290">
            <v>0.18</v>
          </cell>
          <cell r="JV290">
            <v>0.151</v>
          </cell>
          <cell r="JW290">
            <v>0.08</v>
          </cell>
          <cell r="JX290">
            <v>0.11899999999999999</v>
          </cell>
          <cell r="JY290">
            <v>0.10199999999999999</v>
          </cell>
          <cell r="JZ290">
            <v>0.187</v>
          </cell>
          <cell r="KA290">
            <v>8.5000000000000006E-2</v>
          </cell>
          <cell r="KB290">
            <v>0.13600000000000001</v>
          </cell>
          <cell r="KC290">
            <v>0</v>
          </cell>
          <cell r="KD290">
            <v>0.28199999999999997</v>
          </cell>
          <cell r="KE290">
            <v>1.5960000000000001</v>
          </cell>
          <cell r="KF290">
            <v>1.29</v>
          </cell>
          <cell r="KG290">
            <v>1.2170000000000001</v>
          </cell>
          <cell r="KH290">
            <v>2.548</v>
          </cell>
          <cell r="KI290">
            <v>2.1949999999999998</v>
          </cell>
          <cell r="KJ290">
            <v>2.8690000000000002</v>
          </cell>
          <cell r="KK290">
            <v>2.2930000000000001</v>
          </cell>
          <cell r="KL290">
            <v>3.2629999999999999</v>
          </cell>
          <cell r="KM290">
            <v>1.831</v>
          </cell>
          <cell r="KN290">
            <v>0.61799999999999999</v>
          </cell>
          <cell r="KO290">
            <v>0.92700000000000005</v>
          </cell>
          <cell r="KP290">
            <v>1.841</v>
          </cell>
          <cell r="KQ290">
            <v>3.3559999999999999</v>
          </cell>
          <cell r="KR290">
            <v>0.92700000000000005</v>
          </cell>
          <cell r="KS290">
            <v>1.1779999999999999</v>
          </cell>
          <cell r="KT290">
            <v>1.7789999999999999</v>
          </cell>
          <cell r="KU290">
            <v>2.4060000000000001</v>
          </cell>
          <cell r="KV290">
            <v>2.8250000000000002</v>
          </cell>
          <cell r="KW290">
            <v>2.9180000000000001</v>
          </cell>
          <cell r="KX290">
            <v>3.0750000000000002</v>
          </cell>
          <cell r="KY290">
            <v>1.431</v>
          </cell>
          <cell r="KZ290">
            <v>1.4370000000000001</v>
          </cell>
          <cell r="LA290">
            <v>2.99</v>
          </cell>
          <cell r="LB290">
            <v>3.2440000000000002</v>
          </cell>
          <cell r="LC290">
            <v>1.37</v>
          </cell>
          <cell r="LD290">
            <v>2.262</v>
          </cell>
          <cell r="LE290">
            <v>4.101</v>
          </cell>
          <cell r="LF290">
            <v>3.121</v>
          </cell>
          <cell r="LG290">
            <v>2.907</v>
          </cell>
          <cell r="LH290">
            <v>3.6669999999999998</v>
          </cell>
          <cell r="LI290">
            <v>2.8050000000000002</v>
          </cell>
          <cell r="LJ290">
            <v>3.383</v>
          </cell>
          <cell r="LK290">
            <v>2.407</v>
          </cell>
          <cell r="LL290">
            <v>3.4710000000000001</v>
          </cell>
          <cell r="LM290">
            <v>1.98</v>
          </cell>
          <cell r="LN290">
            <v>0.54700000000000004</v>
          </cell>
          <cell r="LO290">
            <v>0.86199999999999999</v>
          </cell>
          <cell r="LP290">
            <v>0.99399999999999999</v>
          </cell>
          <cell r="LQ290">
            <v>0.84699999999999998</v>
          </cell>
          <cell r="LR290">
            <v>0.70299999999999996</v>
          </cell>
          <cell r="LS290">
            <v>1.8360000000000001</v>
          </cell>
          <cell r="LT290">
            <v>0.76800000000000002</v>
          </cell>
          <cell r="LU290">
            <v>1.726</v>
          </cell>
          <cell r="LV290">
            <v>1.411</v>
          </cell>
          <cell r="LW290">
            <v>0</v>
          </cell>
          <cell r="LX290">
            <v>0.35699999999999998</v>
          </cell>
          <cell r="LY290">
            <v>1.2310000000000001</v>
          </cell>
          <cell r="LZ290">
            <v>0.81899999999999995</v>
          </cell>
          <cell r="MA290">
            <v>3.4319999999999999</v>
          </cell>
          <cell r="MB290">
            <v>0.83599999999999997</v>
          </cell>
          <cell r="MC290">
            <v>1.18</v>
          </cell>
          <cell r="MD290">
            <v>0.27</v>
          </cell>
          <cell r="ME290">
            <v>1.6180000000000001</v>
          </cell>
          <cell r="MF290">
            <v>1.056</v>
          </cell>
          <cell r="MG290">
            <v>0.58799999999999997</v>
          </cell>
          <cell r="MH290">
            <v>0.45700000000000002</v>
          </cell>
          <cell r="MI290">
            <v>1.42</v>
          </cell>
          <cell r="MJ290">
            <v>1.6E-2</v>
          </cell>
          <cell r="MK290">
            <v>2.488</v>
          </cell>
          <cell r="ML290">
            <v>0.60899999999999999</v>
          </cell>
          <cell r="MM290">
            <v>3.1240000000000001</v>
          </cell>
          <cell r="MN290">
            <v>1.4119999999999999</v>
          </cell>
          <cell r="MO290">
            <v>0.995</v>
          </cell>
          <cell r="MP290">
            <v>0.81200000000000006</v>
          </cell>
          <cell r="MQ290">
            <v>1.35</v>
          </cell>
          <cell r="MR290">
            <v>0.92400000000000004</v>
          </cell>
          <cell r="MS290">
            <v>0.59299999999999997</v>
          </cell>
          <cell r="MT290">
            <v>0.04</v>
          </cell>
          <cell r="MU290">
            <v>1.6E-2</v>
          </cell>
          <cell r="MV290">
            <v>0</v>
          </cell>
          <cell r="MW290">
            <v>2.0880000000000001</v>
          </cell>
          <cell r="MX290">
            <v>1.6E-2</v>
          </cell>
          <cell r="MY290">
            <v>0.94199999999999995</v>
          </cell>
          <cell r="MZ290">
            <v>8.2000000000000003E-2</v>
          </cell>
          <cell r="NA290">
            <v>0</v>
          </cell>
          <cell r="NB290">
            <v>0.30099999999999999</v>
          </cell>
          <cell r="NC290">
            <v>0</v>
          </cell>
          <cell r="ND290">
            <v>0.128</v>
          </cell>
          <cell r="NE290">
            <v>4.8000000000000001E-2</v>
          </cell>
          <cell r="NF290">
            <v>1.1100000000000001</v>
          </cell>
          <cell r="NG290">
            <v>3.2000000000000001E-2</v>
          </cell>
          <cell r="NH290">
            <v>3.4000000000000002E-2</v>
          </cell>
          <cell r="NI290">
            <v>6.4000000000000001E-2</v>
          </cell>
        </row>
      </sheetData>
      <sheetData sheetId="35">
        <row r="290">
          <cell r="AU290">
            <v>0</v>
          </cell>
          <cell r="AV290">
            <v>0</v>
          </cell>
          <cell r="AW290">
            <v>5.0000000000000002E-5</v>
          </cell>
          <cell r="AX290">
            <v>8.9999999999999998E-4</v>
          </cell>
          <cell r="AY290">
            <v>0</v>
          </cell>
          <cell r="AZ290">
            <v>6.7999999999999999E-5</v>
          </cell>
          <cell r="BA290">
            <v>7.43E-3</v>
          </cell>
          <cell r="BB290">
            <v>1.3000080000000001</v>
          </cell>
          <cell r="BC290">
            <v>0</v>
          </cell>
          <cell r="BD290">
            <v>0</v>
          </cell>
          <cell r="BE290">
            <v>9.3000000000000005E-4</v>
          </cell>
          <cell r="BF290">
            <v>0</v>
          </cell>
          <cell r="BG290">
            <v>1.98E-3</v>
          </cell>
          <cell r="BH290">
            <v>0</v>
          </cell>
          <cell r="BI290">
            <v>8.9999999999999998E-4</v>
          </cell>
          <cell r="BJ290">
            <v>6.0000309999999999</v>
          </cell>
          <cell r="BK290">
            <v>7.8999999999999996E-5</v>
          </cell>
          <cell r="BL290">
            <v>1.684E-3</v>
          </cell>
          <cell r="BM290">
            <v>1.737E-3</v>
          </cell>
          <cell r="BN290">
            <v>9.6500000000000004E-4</v>
          </cell>
          <cell r="BO290">
            <v>1.27E-4</v>
          </cell>
          <cell r="BP290">
            <v>2.2100000000000001E-4</v>
          </cell>
          <cell r="BQ290">
            <v>4.1399999999999998E-4</v>
          </cell>
          <cell r="BR290">
            <v>5.7010000000000003E-3</v>
          </cell>
          <cell r="BS290">
            <v>6.5860000000000002E-2</v>
          </cell>
          <cell r="BT290">
            <v>0</v>
          </cell>
          <cell r="BU290">
            <v>8.9999999999999998E-4</v>
          </cell>
          <cell r="BV290">
            <v>2.2567719999999998</v>
          </cell>
          <cell r="BW290">
            <v>0</v>
          </cell>
          <cell r="BX290">
            <v>1.4949E-2</v>
          </cell>
          <cell r="BY290">
            <v>3.6480000000000002E-3</v>
          </cell>
          <cell r="BZ290">
            <v>8.5000000000000006E-5</v>
          </cell>
          <cell r="CA290">
            <v>1.7253000000000001E-2</v>
          </cell>
          <cell r="CB290">
            <v>0</v>
          </cell>
          <cell r="CC290">
            <v>3.388E-2</v>
          </cell>
          <cell r="CD290">
            <v>2.5475999999999999E-2</v>
          </cell>
          <cell r="CE290">
            <v>0.232623</v>
          </cell>
          <cell r="CF290">
            <v>9.8001000000000005E-2</v>
          </cell>
          <cell r="CG290">
            <v>7.6548000000000005E-2</v>
          </cell>
          <cell r="CH290">
            <v>0</v>
          </cell>
          <cell r="CI290">
            <v>1.1748E-2</v>
          </cell>
          <cell r="CJ290">
            <v>0.151421</v>
          </cell>
          <cell r="CK290">
            <v>4.6843999999999997E-2</v>
          </cell>
          <cell r="CL290">
            <v>0</v>
          </cell>
          <cell r="CM290">
            <v>0</v>
          </cell>
          <cell r="CN290">
            <v>0</v>
          </cell>
          <cell r="CO290">
            <v>2.042E-3</v>
          </cell>
          <cell r="CP290">
            <v>9.5200000000000005E-4</v>
          </cell>
          <cell r="CQ290">
            <v>9.6888000000000002E-2</v>
          </cell>
          <cell r="CR290">
            <v>0.93947199999999997</v>
          </cell>
          <cell r="CS290">
            <v>0.14208699999999999</v>
          </cell>
          <cell r="CT290">
            <v>1.4519999999999999E-3</v>
          </cell>
          <cell r="CU290">
            <v>1.7663999999999999E-2</v>
          </cell>
          <cell r="CV290">
            <v>3.6600000000000001E-3</v>
          </cell>
          <cell r="CW290">
            <v>1.1850000000000001E-3</v>
          </cell>
          <cell r="CX290">
            <v>0</v>
          </cell>
          <cell r="CY290">
            <v>0</v>
          </cell>
          <cell r="CZ290">
            <v>6.7000000000000002E-5</v>
          </cell>
          <cell r="DA290">
            <v>3.1678999999999999E-2</v>
          </cell>
          <cell r="DB290">
            <v>5.8710000000000004E-3</v>
          </cell>
          <cell r="DC290">
            <v>4.1799999999999997E-3</v>
          </cell>
          <cell r="DD290">
            <v>0</v>
          </cell>
          <cell r="DE290">
            <v>1.8079000000000001E-2</v>
          </cell>
          <cell r="DF290">
            <v>2.1271000000000002E-2</v>
          </cell>
          <cell r="DG290">
            <v>5.1983000000000001E-2</v>
          </cell>
          <cell r="DH290">
            <v>1.8917E-2</v>
          </cell>
          <cell r="DI290">
            <v>0.51139100000000004</v>
          </cell>
          <cell r="DJ290">
            <v>1.5599999999999999E-2</v>
          </cell>
          <cell r="DK290">
            <v>2.0664999999999999E-2</v>
          </cell>
          <cell r="DL290">
            <v>6.2904000000000002E-2</v>
          </cell>
          <cell r="DM290">
            <v>1.6390999999999999E-2</v>
          </cell>
          <cell r="DN290">
            <v>1.95E-2</v>
          </cell>
          <cell r="DO290">
            <v>0.11554</v>
          </cell>
          <cell r="DP290">
            <v>1.5599999999999999E-2</v>
          </cell>
          <cell r="DQ290">
            <v>1.5636000000000001E-2</v>
          </cell>
          <cell r="DR290">
            <v>2.2290000000000001E-2</v>
          </cell>
          <cell r="DS290">
            <v>3.4669999999999999E-2</v>
          </cell>
          <cell r="DT290">
            <v>2.8465000000000001E-2</v>
          </cell>
          <cell r="DU290">
            <v>9.92E-3</v>
          </cell>
          <cell r="DV290">
            <v>3.3708000000000002E-2</v>
          </cell>
          <cell r="DW290">
            <v>8.1961999999999993E-2</v>
          </cell>
          <cell r="DX290">
            <v>4.6386999999999998E-2</v>
          </cell>
          <cell r="DY290">
            <v>0.18687999999999999</v>
          </cell>
          <cell r="DZ290">
            <v>4.84E-4</v>
          </cell>
          <cell r="EA290">
            <v>1.8679999999999999E-2</v>
          </cell>
          <cell r="EB290">
            <v>6.0000000000000002E-6</v>
          </cell>
          <cell r="EC290">
            <v>4.9865E-2</v>
          </cell>
          <cell r="ED290">
            <v>5.0212E-2</v>
          </cell>
          <cell r="EE290">
            <v>4.41E-2</v>
          </cell>
          <cell r="EF290">
            <v>2.3397000000000001E-2</v>
          </cell>
          <cell r="EG290">
            <v>3.6955000000000002E-2</v>
          </cell>
          <cell r="EH290">
            <v>3.1080000000000001E-3</v>
          </cell>
          <cell r="EI290">
            <v>4.3569999999999998E-2</v>
          </cell>
          <cell r="EJ290">
            <v>4.0750000000000001E-2</v>
          </cell>
          <cell r="EK290">
            <v>2.2766000000000002E-2</v>
          </cell>
          <cell r="EL290">
            <v>6.1876E-2</v>
          </cell>
          <cell r="EM290">
            <v>0.12548899999999999</v>
          </cell>
          <cell r="EN290">
            <v>3.2062050000000002</v>
          </cell>
          <cell r="EO290">
            <v>3.9994350000000001</v>
          </cell>
          <cell r="EP290">
            <v>1.6886999999999999E-2</v>
          </cell>
          <cell r="EQ290">
            <v>1.1453960000000001</v>
          </cell>
          <cell r="ER290">
            <v>5.9533000000000003E-2</v>
          </cell>
          <cell r="ES290">
            <v>7.2971999999999995E-2</v>
          </cell>
          <cell r="ET290">
            <v>0.146228</v>
          </cell>
          <cell r="EU290">
            <v>9.9927000000000002E-2</v>
          </cell>
          <cell r="EV290">
            <v>0.275177</v>
          </cell>
          <cell r="EW290">
            <v>11.231563</v>
          </cell>
          <cell r="EX290">
            <v>15.574750999999999</v>
          </cell>
          <cell r="EY290">
            <v>9.3032900000000005</v>
          </cell>
          <cell r="EZ290">
            <v>3.563415</v>
          </cell>
          <cell r="FA290">
            <v>0.14319000000000001</v>
          </cell>
          <cell r="FB290">
            <v>0.119585</v>
          </cell>
          <cell r="FC290">
            <v>2.6608079999999998</v>
          </cell>
          <cell r="FD290">
            <v>3.6253760000000002</v>
          </cell>
          <cell r="FE290">
            <v>2.4419E-2</v>
          </cell>
          <cell r="FF290">
            <v>0.37554199999999999</v>
          </cell>
          <cell r="FG290">
            <v>2.4165480000000001</v>
          </cell>
          <cell r="FH290">
            <v>6.7969000000000002E-2</v>
          </cell>
          <cell r="FI290">
            <v>1.8124999999999999E-2</v>
          </cell>
          <cell r="FJ290">
            <v>5.9385E-2</v>
          </cell>
          <cell r="FK290">
            <v>3.4849999999999999E-2</v>
          </cell>
          <cell r="FL290">
            <v>1.6559999999999998E-2</v>
          </cell>
          <cell r="FM290">
            <v>8.4737999999999994E-2</v>
          </cell>
          <cell r="FN290">
            <v>8.9862999999999998E-2</v>
          </cell>
          <cell r="FO290">
            <v>0.17180599999999999</v>
          </cell>
          <cell r="FP290">
            <v>0.24419399999999999</v>
          </cell>
          <cell r="FQ290">
            <v>3.8452E-2</v>
          </cell>
          <cell r="FR290">
            <v>7.5786000000000006E-2</v>
          </cell>
          <cell r="FS290">
            <v>3.4111000000000002E-2</v>
          </cell>
          <cell r="FT290">
            <v>2.3511000000000001E-2</v>
          </cell>
          <cell r="FU290">
            <v>0.189</v>
          </cell>
          <cell r="FV290">
            <v>0.19500000000000001</v>
          </cell>
          <cell r="FW290">
            <v>0.17299999999999999</v>
          </cell>
          <cell r="FX290">
            <v>8.2000000000000003E-2</v>
          </cell>
          <cell r="FY290">
            <v>1.7000000000000001E-2</v>
          </cell>
          <cell r="FZ290">
            <v>1.7000000000000001E-2</v>
          </cell>
          <cell r="GA290">
            <v>0.107</v>
          </cell>
          <cell r="GB290">
            <v>1.569</v>
          </cell>
          <cell r="GC290">
            <v>0.186</v>
          </cell>
          <cell r="GD290">
            <v>0.125</v>
          </cell>
          <cell r="GE290">
            <v>2.0270000000000001</v>
          </cell>
          <cell r="GF290">
            <v>2.024</v>
          </cell>
          <cell r="GG290">
            <v>2.5499999999999998</v>
          </cell>
          <cell r="GH290">
            <v>21.981000000000002</v>
          </cell>
          <cell r="GI290">
            <v>11.417999999999999</v>
          </cell>
          <cell r="GJ290">
            <v>5.851</v>
          </cell>
          <cell r="GK290">
            <v>6.78</v>
          </cell>
          <cell r="GL290">
            <v>20.646000000000001</v>
          </cell>
          <cell r="GM290">
            <v>10.147</v>
          </cell>
          <cell r="GN290">
            <v>0.17</v>
          </cell>
          <cell r="GO290">
            <v>0.112</v>
          </cell>
          <cell r="GP290">
            <v>6.0960000000000001</v>
          </cell>
          <cell r="GQ290">
            <v>6.1710000000000003</v>
          </cell>
          <cell r="GR290">
            <v>3.9E-2</v>
          </cell>
          <cell r="GS290">
            <v>7.0999999999999994E-2</v>
          </cell>
          <cell r="GT290">
            <v>1.115</v>
          </cell>
          <cell r="GU290">
            <v>6.6000000000000003E-2</v>
          </cell>
          <cell r="GV290">
            <v>7.1999999999999995E-2</v>
          </cell>
          <cell r="GW290">
            <v>3.7999999999999999E-2</v>
          </cell>
          <cell r="GX290">
            <v>0.126</v>
          </cell>
          <cell r="GY290">
            <v>1.6E-2</v>
          </cell>
          <cell r="GZ290">
            <v>4.3999999999999997E-2</v>
          </cell>
          <cell r="HA290">
            <v>2.5000000000000001E-2</v>
          </cell>
          <cell r="HB290">
            <v>6.0000000000000001E-3</v>
          </cell>
          <cell r="HC290">
            <v>0.11</v>
          </cell>
          <cell r="HD290">
            <v>3.5000000000000003E-2</v>
          </cell>
          <cell r="HE290">
            <v>8.5999999999999993E-2</v>
          </cell>
          <cell r="HF290">
            <v>5.0830000000000002</v>
          </cell>
          <cell r="HG290">
            <v>7.6999999999999999E-2</v>
          </cell>
          <cell r="HH290">
            <v>3.9750000000000001</v>
          </cell>
          <cell r="HI290">
            <v>4.351</v>
          </cell>
          <cell r="HJ290">
            <v>9.6929999999999996</v>
          </cell>
          <cell r="HK290">
            <v>12.864000000000001</v>
          </cell>
          <cell r="HL290">
            <v>31.706</v>
          </cell>
          <cell r="HM290">
            <v>21.936</v>
          </cell>
          <cell r="HN290">
            <v>23.510999999999999</v>
          </cell>
          <cell r="HO290">
            <v>11.451000000000001</v>
          </cell>
          <cell r="HP290">
            <v>18.026</v>
          </cell>
          <cell r="HQ290">
            <v>9.3179999999999996</v>
          </cell>
          <cell r="HR290">
            <v>5.8719999999999999</v>
          </cell>
          <cell r="HS290">
            <v>7.0119999999999996</v>
          </cell>
          <cell r="HT290">
            <v>18.861000000000001</v>
          </cell>
          <cell r="HU290">
            <v>2.4289999999999998</v>
          </cell>
          <cell r="HV290">
            <v>4.01</v>
          </cell>
          <cell r="HW290">
            <v>42.790999999999997</v>
          </cell>
          <cell r="HX290">
            <v>6.78</v>
          </cell>
          <cell r="HY290">
            <v>30.927</v>
          </cell>
          <cell r="HZ290">
            <v>22.155999999999999</v>
          </cell>
          <cell r="IA290">
            <v>0.53100000000000003</v>
          </cell>
          <cell r="IB290">
            <v>0.27</v>
          </cell>
          <cell r="IC290">
            <v>9.0999999999999998E-2</v>
          </cell>
          <cell r="ID290">
            <v>0.995</v>
          </cell>
          <cell r="IE290">
            <v>1.2809999999999999</v>
          </cell>
          <cell r="IF290">
            <v>1.0780000000000001</v>
          </cell>
          <cell r="IG290">
            <v>0.879</v>
          </cell>
          <cell r="IH290">
            <v>0.79300000000000004</v>
          </cell>
          <cell r="II290">
            <v>3.3889999999999998</v>
          </cell>
          <cell r="IJ290">
            <v>5.1059999999999999</v>
          </cell>
          <cell r="IK290">
            <v>6.6180000000000003</v>
          </cell>
          <cell r="IL290">
            <v>0.69599999999999995</v>
          </cell>
          <cell r="IM290">
            <v>1.9670000000000001</v>
          </cell>
          <cell r="IN290">
            <v>1.3089999999999999</v>
          </cell>
          <cell r="IO290">
            <v>1.855</v>
          </cell>
          <cell r="IP290">
            <v>47.017000000000003</v>
          </cell>
          <cell r="IQ290">
            <v>3.82</v>
          </cell>
          <cell r="IR290">
            <v>33.213999999999999</v>
          </cell>
          <cell r="IS290">
            <v>2.16</v>
          </cell>
          <cell r="IT290">
            <v>0.74099999999999999</v>
          </cell>
          <cell r="IU290">
            <v>3.9750000000000001</v>
          </cell>
          <cell r="IV290">
            <v>12.177</v>
          </cell>
          <cell r="IW290">
            <v>2.4049999999999998</v>
          </cell>
          <cell r="IX290">
            <v>6.1459999999999999</v>
          </cell>
          <cell r="IY290">
            <v>7.1680000000000001</v>
          </cell>
          <cell r="IZ290">
            <v>2.76</v>
          </cell>
          <cell r="JA290">
            <v>29.51</v>
          </cell>
          <cell r="JB290">
            <v>2.7189999999999999</v>
          </cell>
          <cell r="JC290">
            <v>4.93</v>
          </cell>
          <cell r="JD290">
            <v>7.5190000000000001</v>
          </cell>
          <cell r="JE290">
            <v>50.222999999999999</v>
          </cell>
          <cell r="JF290">
            <v>66.632999999999996</v>
          </cell>
          <cell r="JG290">
            <v>24.539000000000001</v>
          </cell>
          <cell r="JH290">
            <v>6.798</v>
          </cell>
          <cell r="JI290">
            <v>108.712</v>
          </cell>
          <cell r="JJ290">
            <v>52.475999999999999</v>
          </cell>
          <cell r="JK290">
            <v>5.4550000000000001</v>
          </cell>
          <cell r="JL290">
            <v>5.173</v>
          </cell>
          <cell r="JM290">
            <v>26.077999999999999</v>
          </cell>
          <cell r="JN290">
            <v>77.471999999999994</v>
          </cell>
          <cell r="JO290">
            <v>63.411999999999999</v>
          </cell>
          <cell r="JP290">
            <v>25.388000000000002</v>
          </cell>
          <cell r="JQ290">
            <v>28.882000000000001</v>
          </cell>
          <cell r="JR290">
            <v>35.228999999999999</v>
          </cell>
          <cell r="JS290">
            <v>88.677000000000007</v>
          </cell>
          <cell r="JT290">
            <v>81.909000000000006</v>
          </cell>
          <cell r="JU290">
            <v>58.555</v>
          </cell>
          <cell r="JV290">
            <v>34.527999999999999</v>
          </cell>
          <cell r="JW290">
            <v>5.3849999999999998</v>
          </cell>
          <cell r="JX290">
            <v>2.633</v>
          </cell>
          <cell r="JY290">
            <v>4.4189999999999996</v>
          </cell>
          <cell r="JZ290">
            <v>26.029</v>
          </cell>
          <cell r="KA290">
            <v>34.216000000000001</v>
          </cell>
          <cell r="KB290">
            <v>29.033999999999999</v>
          </cell>
          <cell r="KC290">
            <v>108.333</v>
          </cell>
          <cell r="KD290">
            <v>81.403999999999996</v>
          </cell>
          <cell r="KE290">
            <v>57.555999999999997</v>
          </cell>
          <cell r="KF290">
            <v>72.921000000000006</v>
          </cell>
          <cell r="KG290">
            <v>63.19</v>
          </cell>
          <cell r="KH290">
            <v>4.5650000000000004</v>
          </cell>
          <cell r="KI290">
            <v>49.640999999999998</v>
          </cell>
          <cell r="KJ290">
            <v>18.385000000000002</v>
          </cell>
          <cell r="KK290">
            <v>25.305</v>
          </cell>
          <cell r="KL290">
            <v>106.39100000000001</v>
          </cell>
          <cell r="KM290">
            <v>58.246000000000002</v>
          </cell>
          <cell r="KN290">
            <v>65.019000000000005</v>
          </cell>
          <cell r="KO290">
            <v>34.433999999999997</v>
          </cell>
          <cell r="KP290">
            <v>135.875</v>
          </cell>
          <cell r="KQ290">
            <v>90.796999999999997</v>
          </cell>
          <cell r="KR290">
            <v>85.367999999999995</v>
          </cell>
          <cell r="KS290">
            <v>72.893000000000001</v>
          </cell>
          <cell r="KT290">
            <v>106.288</v>
          </cell>
          <cell r="KU290">
            <v>75.522000000000006</v>
          </cell>
          <cell r="KV290">
            <v>20.504999999999999</v>
          </cell>
          <cell r="KW290">
            <v>53.783999999999999</v>
          </cell>
          <cell r="KX290">
            <v>148.625</v>
          </cell>
          <cell r="KY290">
            <v>33.828000000000003</v>
          </cell>
          <cell r="KZ290">
            <v>47.037999999999997</v>
          </cell>
          <cell r="LA290">
            <v>36.953000000000003</v>
          </cell>
          <cell r="LB290">
            <v>106.419</v>
          </cell>
          <cell r="LC290">
            <v>79.879000000000005</v>
          </cell>
          <cell r="LD290">
            <v>47.838999999999999</v>
          </cell>
          <cell r="LE290">
            <v>44.203000000000003</v>
          </cell>
          <cell r="LF290">
            <v>70.925073999999995</v>
          </cell>
          <cell r="LG290">
            <v>29.723835999999999</v>
          </cell>
          <cell r="LH290">
            <v>38.468795999999998</v>
          </cell>
          <cell r="LI290">
            <v>127.13846599999999</v>
          </cell>
          <cell r="LJ290">
            <v>82.799885000000003</v>
          </cell>
          <cell r="LK290">
            <v>92.116755999999995</v>
          </cell>
          <cell r="LL290">
            <v>45.173012999999997</v>
          </cell>
          <cell r="LM290">
            <v>5.1904659999999998</v>
          </cell>
          <cell r="LN290">
            <v>55.959074999999999</v>
          </cell>
          <cell r="LO290">
            <v>96.437887000000003</v>
          </cell>
          <cell r="LP290">
            <v>52.392695000000003</v>
          </cell>
          <cell r="LQ290">
            <v>39.656092999999998</v>
          </cell>
          <cell r="LR290">
            <v>88.936334000000002</v>
          </cell>
          <cell r="LS290">
            <v>60.287368000000001</v>
          </cell>
          <cell r="LT290">
            <v>18.235833</v>
          </cell>
          <cell r="LU290">
            <v>42.783413000000003</v>
          </cell>
          <cell r="LV290">
            <v>105.677339</v>
          </cell>
          <cell r="LW290">
            <v>97.451886000000002</v>
          </cell>
          <cell r="LX290">
            <v>48.621076000000002</v>
          </cell>
          <cell r="LY290">
            <v>58.005198</v>
          </cell>
          <cell r="LZ290">
            <v>118.86772999999999</v>
          </cell>
          <cell r="MA290">
            <v>75.621148000000005</v>
          </cell>
          <cell r="MB290">
            <v>147.116895</v>
          </cell>
          <cell r="MC290">
            <v>107.72737100000001</v>
          </cell>
          <cell r="MD290">
            <v>78.745281000000006</v>
          </cell>
          <cell r="ME290">
            <v>133.235175</v>
          </cell>
          <cell r="MF290">
            <v>76.996108000000007</v>
          </cell>
          <cell r="MG290">
            <v>158.24731700000001</v>
          </cell>
          <cell r="MH290">
            <v>128.28048899999999</v>
          </cell>
          <cell r="MI290">
            <v>109.14098199999999</v>
          </cell>
          <cell r="MJ290">
            <v>109.14098199999999</v>
          </cell>
          <cell r="MK290">
            <v>72.289733999999996</v>
          </cell>
          <cell r="ML290">
            <v>250.773539</v>
          </cell>
          <cell r="MM290">
            <v>166.01485700000001</v>
          </cell>
          <cell r="MN290">
            <v>203.71003899999999</v>
          </cell>
          <cell r="MO290">
            <v>202.36111099999999</v>
          </cell>
          <cell r="MP290">
            <v>141.63383899999999</v>
          </cell>
          <cell r="MQ290">
            <v>130.64948000000001</v>
          </cell>
          <cell r="MR290">
            <v>113.224493</v>
          </cell>
          <cell r="MS290">
            <v>123.04556599999999</v>
          </cell>
          <cell r="MT290">
            <v>331.76877999999999</v>
          </cell>
          <cell r="MU290">
            <v>225.958</v>
          </cell>
          <cell r="MV290">
            <v>136.947</v>
          </cell>
          <cell r="MW290">
            <v>138.18799999999999</v>
          </cell>
          <cell r="MX290">
            <v>189.61099999999999</v>
          </cell>
          <cell r="MY290">
            <v>125.581</v>
          </cell>
          <cell r="MZ290">
            <v>91.103999999999999</v>
          </cell>
          <cell r="NA290">
            <v>68.429000000000002</v>
          </cell>
          <cell r="NB290">
            <v>57.603999999999999</v>
          </cell>
          <cell r="NC290">
            <v>38.314</v>
          </cell>
          <cell r="ND290">
            <v>0.70599999999999996</v>
          </cell>
          <cell r="NE290">
            <v>32.231000000000002</v>
          </cell>
          <cell r="NF290">
            <v>178.42</v>
          </cell>
          <cell r="NG290">
            <v>112.726</v>
          </cell>
          <cell r="NH290">
            <v>48.938000000000002</v>
          </cell>
          <cell r="NI290">
            <v>48.524999999999999</v>
          </cell>
          <cell r="NJ290">
            <v>14.173999999999999</v>
          </cell>
          <cell r="NK290">
            <v>15.506</v>
          </cell>
          <cell r="NL290">
            <v>1.86</v>
          </cell>
          <cell r="NM290">
            <v>7.0856260000000004</v>
          </cell>
        </row>
      </sheetData>
      <sheetData sheetId="36">
        <row r="290">
          <cell r="AU290">
            <v>8.9990000000000001E-2</v>
          </cell>
          <cell r="AV290">
            <v>0.1</v>
          </cell>
          <cell r="AW290">
            <v>0</v>
          </cell>
          <cell r="AX290">
            <v>9.5600000000000004E-2</v>
          </cell>
          <cell r="AY290">
            <v>2.1080000000000002E-2</v>
          </cell>
          <cell r="AZ290">
            <v>0</v>
          </cell>
          <cell r="BA290">
            <v>1.5E-3</v>
          </cell>
          <cell r="BB290">
            <v>4.4999999999999999E-4</v>
          </cell>
          <cell r="BC290">
            <v>7.3599999999999999E-2</v>
          </cell>
          <cell r="BD290">
            <v>0.32700000000000001</v>
          </cell>
          <cell r="BE290">
            <v>6.4854999999999996E-2</v>
          </cell>
          <cell r="BF290">
            <v>0.42582799999999998</v>
          </cell>
          <cell r="BG290">
            <v>0.28020499999999998</v>
          </cell>
          <cell r="BH290">
            <v>0</v>
          </cell>
          <cell r="BI290">
            <v>1.1999999999999999E-3</v>
          </cell>
          <cell r="BJ290">
            <v>0</v>
          </cell>
          <cell r="BK290">
            <v>2.1344999999999999E-2</v>
          </cell>
          <cell r="BL290">
            <v>1.9000000000000001E-4</v>
          </cell>
          <cell r="BM290">
            <v>2.0000000000000001E-4</v>
          </cell>
          <cell r="BN290">
            <v>0</v>
          </cell>
          <cell r="BO290">
            <v>1.2370000000000001E-2</v>
          </cell>
          <cell r="BP290">
            <v>0.02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1.8E-5</v>
          </cell>
          <cell r="BV290">
            <v>0</v>
          </cell>
          <cell r="BW290">
            <v>7.0000000000000007E-2</v>
          </cell>
          <cell r="BX290">
            <v>2.0139999999999998</v>
          </cell>
          <cell r="BY290">
            <v>0</v>
          </cell>
          <cell r="BZ290">
            <v>2.5899999999999999E-3</v>
          </cell>
          <cell r="CA290">
            <v>0</v>
          </cell>
          <cell r="CB290">
            <v>0.04</v>
          </cell>
          <cell r="CC290">
            <v>1E-3</v>
          </cell>
          <cell r="CD290">
            <v>0</v>
          </cell>
          <cell r="CE290">
            <v>0</v>
          </cell>
          <cell r="CF290">
            <v>9.1787999999999995E-2</v>
          </cell>
          <cell r="CG290">
            <v>0.22159899999999999</v>
          </cell>
          <cell r="CH290">
            <v>0</v>
          </cell>
          <cell r="CI290">
            <v>0</v>
          </cell>
          <cell r="CJ290">
            <v>8.9999999999999998E-4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2.0000000000000002E-5</v>
          </cell>
          <cell r="CP290">
            <v>0</v>
          </cell>
          <cell r="CQ290">
            <v>0</v>
          </cell>
          <cell r="CR290">
            <v>0</v>
          </cell>
          <cell r="CS290">
            <v>3.0000000000000001E-5</v>
          </cell>
          <cell r="CT290">
            <v>0</v>
          </cell>
          <cell r="CU290">
            <v>0</v>
          </cell>
          <cell r="CV290">
            <v>1.9000000000000001E-5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5.3999999999999998E-5</v>
          </cell>
          <cell r="DC290">
            <v>0</v>
          </cell>
          <cell r="DD290">
            <v>0</v>
          </cell>
          <cell r="DE290">
            <v>2.0000000000000001E-4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4.4900000000000002E-2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4.4400000000000002E-2</v>
          </cell>
          <cell r="DR290">
            <v>0</v>
          </cell>
          <cell r="DS290">
            <v>5.9200000000000003E-2</v>
          </cell>
          <cell r="DT290">
            <v>0</v>
          </cell>
          <cell r="DU290">
            <v>0</v>
          </cell>
          <cell r="DV290">
            <v>7.3999999999999996E-2</v>
          </cell>
          <cell r="DW290">
            <v>0</v>
          </cell>
          <cell r="DX290">
            <v>0</v>
          </cell>
          <cell r="DY290">
            <v>5.9200000000000003E-2</v>
          </cell>
          <cell r="DZ290">
            <v>0</v>
          </cell>
          <cell r="EA290">
            <v>5.9200000000000003E-2</v>
          </cell>
          <cell r="EB290">
            <v>0.46428000000000003</v>
          </cell>
          <cell r="EC290">
            <v>5.586E-2</v>
          </cell>
          <cell r="ED290">
            <v>2.0140000000000002E-2</v>
          </cell>
          <cell r="EE290">
            <v>0</v>
          </cell>
          <cell r="EF290">
            <v>4.4639999999999999E-2</v>
          </cell>
          <cell r="EG290">
            <v>0</v>
          </cell>
          <cell r="EH290">
            <v>0</v>
          </cell>
          <cell r="EI290">
            <v>3.9219999999999998E-2</v>
          </cell>
          <cell r="EJ290">
            <v>0.12074</v>
          </cell>
          <cell r="EK290">
            <v>4.2199999999999998E-3</v>
          </cell>
          <cell r="EL290">
            <v>0</v>
          </cell>
          <cell r="EM290">
            <v>8.0890000000000004E-2</v>
          </cell>
          <cell r="EN290">
            <v>0</v>
          </cell>
          <cell r="EO290">
            <v>0.14188999999999999</v>
          </cell>
          <cell r="EP290">
            <v>6.5409999999999996E-2</v>
          </cell>
          <cell r="EQ290">
            <v>8.0199999999999994E-2</v>
          </cell>
          <cell r="ER290">
            <v>1.6E-2</v>
          </cell>
          <cell r="ES290">
            <v>0.119338</v>
          </cell>
          <cell r="ET290">
            <v>9.536E-2</v>
          </cell>
          <cell r="EU290">
            <v>0</v>
          </cell>
          <cell r="EV290">
            <v>0</v>
          </cell>
          <cell r="EW290">
            <v>1.1247999999999999E-2</v>
          </cell>
          <cell r="EX290">
            <v>0</v>
          </cell>
          <cell r="EY290">
            <v>0</v>
          </cell>
          <cell r="EZ290">
            <v>2.2799999999999999E-3</v>
          </cell>
          <cell r="FA290">
            <v>0</v>
          </cell>
          <cell r="FB290">
            <v>0</v>
          </cell>
          <cell r="FC290">
            <v>4.7999999999999996E-3</v>
          </cell>
          <cell r="FD290">
            <v>4.3E-3</v>
          </cell>
          <cell r="FE290">
            <v>0</v>
          </cell>
          <cell r="FF290">
            <v>1.8E-5</v>
          </cell>
          <cell r="FG290">
            <v>0</v>
          </cell>
          <cell r="FH290">
            <v>9.5E-4</v>
          </cell>
          <cell r="FI290">
            <v>0</v>
          </cell>
          <cell r="FJ290">
            <v>1.5200000000000001E-3</v>
          </cell>
          <cell r="FK290">
            <v>4.5199999999999997E-3</v>
          </cell>
          <cell r="FL290">
            <v>2.7359999999999999E-2</v>
          </cell>
          <cell r="FM290">
            <v>2.8879999999999999E-2</v>
          </cell>
          <cell r="FN290">
            <v>1.3679999999999999E-2</v>
          </cell>
          <cell r="FO290">
            <v>3.2699999999999999E-3</v>
          </cell>
          <cell r="FP290">
            <v>0</v>
          </cell>
          <cell r="FQ290">
            <v>7.4000000000000003E-3</v>
          </cell>
          <cell r="FR290">
            <v>8.0000000000000002E-3</v>
          </cell>
          <cell r="FS290">
            <v>0</v>
          </cell>
          <cell r="FT290">
            <v>1.017355</v>
          </cell>
          <cell r="FU290">
            <v>0</v>
          </cell>
          <cell r="FV290">
            <v>1.0999999999999999E-2</v>
          </cell>
          <cell r="FW290">
            <v>1.2999999999999999E-2</v>
          </cell>
          <cell r="FX290">
            <v>0</v>
          </cell>
          <cell r="FY290">
            <v>3.3000000000000002E-2</v>
          </cell>
          <cell r="FZ290">
            <v>2E-3</v>
          </cell>
          <cell r="GA290">
            <v>0</v>
          </cell>
          <cell r="GB290">
            <v>2.7E-2</v>
          </cell>
          <cell r="GC290">
            <v>2.5000000000000001E-2</v>
          </cell>
          <cell r="GD290">
            <v>7.0000000000000001E-3</v>
          </cell>
          <cell r="GE290">
            <v>0.126</v>
          </cell>
          <cell r="GF290">
            <v>3.6999999999999998E-2</v>
          </cell>
          <cell r="GG290">
            <v>3.0000000000000001E-3</v>
          </cell>
          <cell r="GH290">
            <v>0.01</v>
          </cell>
          <cell r="GI290">
            <v>1.4E-2</v>
          </cell>
          <cell r="GJ290">
            <v>0</v>
          </cell>
          <cell r="GK290">
            <v>0</v>
          </cell>
          <cell r="GL290">
            <v>1E-3</v>
          </cell>
          <cell r="GM290">
            <v>0</v>
          </cell>
          <cell r="GN290">
            <v>6.0000000000000001E-3</v>
          </cell>
          <cell r="GO290">
            <v>2E-3</v>
          </cell>
          <cell r="GP290">
            <v>0</v>
          </cell>
          <cell r="GQ290">
            <v>1E-3</v>
          </cell>
          <cell r="GR290">
            <v>5.0000000000000001E-3</v>
          </cell>
          <cell r="GS290">
            <v>6.0000000000000001E-3</v>
          </cell>
          <cell r="GT290">
            <v>2.4E-2</v>
          </cell>
          <cell r="GU290">
            <v>0.873</v>
          </cell>
          <cell r="GV290">
            <v>0.13</v>
          </cell>
          <cell r="GW290">
            <v>4.2000000000000003E-2</v>
          </cell>
          <cell r="GX290">
            <v>0</v>
          </cell>
          <cell r="GY290">
            <v>7.2999999999999995E-2</v>
          </cell>
          <cell r="GZ290">
            <v>0.12</v>
          </cell>
          <cell r="HA290">
            <v>0.50700000000000001</v>
          </cell>
          <cell r="HB290">
            <v>0.76100000000000001</v>
          </cell>
          <cell r="HC290">
            <v>0.318</v>
          </cell>
          <cell r="HD290">
            <v>0.371</v>
          </cell>
          <cell r="HE290">
            <v>0</v>
          </cell>
          <cell r="HF290">
            <v>0</v>
          </cell>
          <cell r="HG290">
            <v>8.0000000000000002E-3</v>
          </cell>
          <cell r="HH290">
            <v>0</v>
          </cell>
          <cell r="HI290">
            <v>1.4999999999999999E-2</v>
          </cell>
          <cell r="HJ290">
            <v>6.3E-2</v>
          </cell>
          <cell r="HK290">
            <v>0</v>
          </cell>
          <cell r="HL290">
            <v>0</v>
          </cell>
          <cell r="HM290">
            <v>7.0000000000000001E-3</v>
          </cell>
          <cell r="HN290">
            <v>6.0000000000000001E-3</v>
          </cell>
          <cell r="HO290">
            <v>8.2000000000000003E-2</v>
          </cell>
          <cell r="HP290">
            <v>6.0000000000000001E-3</v>
          </cell>
          <cell r="HQ290">
            <v>1.4E-2</v>
          </cell>
          <cell r="HR290">
            <v>9.7000000000000003E-2</v>
          </cell>
          <cell r="HS290">
            <v>1.0999999999999999E-2</v>
          </cell>
          <cell r="HT290">
            <v>3.0000000000000001E-3</v>
          </cell>
          <cell r="HU290">
            <v>1E-3</v>
          </cell>
          <cell r="HV290">
            <v>0</v>
          </cell>
          <cell r="HW290">
            <v>4.2000000000000003E-2</v>
          </cell>
          <cell r="HX290">
            <v>0</v>
          </cell>
          <cell r="HY290">
            <v>4.0000000000000001E-3</v>
          </cell>
          <cell r="HZ290">
            <v>0</v>
          </cell>
          <cell r="IA290">
            <v>1E-3</v>
          </cell>
          <cell r="IB290">
            <v>1E-3</v>
          </cell>
          <cell r="IC290">
            <v>1.0999999999999999E-2</v>
          </cell>
          <cell r="ID290">
            <v>1.6E-2</v>
          </cell>
          <cell r="IE290">
            <v>4.3999999999999997E-2</v>
          </cell>
          <cell r="IF290">
            <v>1.9E-2</v>
          </cell>
          <cell r="IG290">
            <v>0.10199999999999999</v>
          </cell>
          <cell r="IH290">
            <v>1.7000000000000001E-2</v>
          </cell>
          <cell r="II290">
            <v>0.104</v>
          </cell>
          <cell r="IJ290">
            <v>0.15</v>
          </cell>
          <cell r="IK290">
            <v>0.113</v>
          </cell>
          <cell r="IL290">
            <v>0.14499999999999999</v>
          </cell>
          <cell r="IM290">
            <v>0.12</v>
          </cell>
          <cell r="IN290">
            <v>0.123</v>
          </cell>
          <cell r="IO290">
            <v>0.115</v>
          </cell>
          <cell r="IP290">
            <v>0.108</v>
          </cell>
          <cell r="IQ290">
            <v>7.0000000000000001E-3</v>
          </cell>
          <cell r="IR290">
            <v>0.10299999999999999</v>
          </cell>
          <cell r="IS290">
            <v>0.12</v>
          </cell>
          <cell r="IT290">
            <v>0.104</v>
          </cell>
          <cell r="IU290">
            <v>0.123</v>
          </cell>
          <cell r="IV290">
            <v>0.182</v>
          </cell>
          <cell r="IW290">
            <v>1.0999999999999999E-2</v>
          </cell>
          <cell r="IX290">
            <v>0.11</v>
          </cell>
          <cell r="IY290">
            <v>0.113</v>
          </cell>
          <cell r="IZ290">
            <v>6.0000000000000001E-3</v>
          </cell>
          <cell r="JA290">
            <v>0.24199999999999999</v>
          </cell>
          <cell r="JB290">
            <v>6.9000000000000006E-2</v>
          </cell>
          <cell r="JC290">
            <v>0.105</v>
          </cell>
          <cell r="JD290">
            <v>0.114</v>
          </cell>
          <cell r="JE290">
            <v>0.16300000000000001</v>
          </cell>
          <cell r="JF290">
            <v>5.0000000000000001E-3</v>
          </cell>
          <cell r="JG290">
            <v>1.9E-2</v>
          </cell>
          <cell r="JH290">
            <v>4.0000000000000001E-3</v>
          </cell>
          <cell r="JI290">
            <v>0.158</v>
          </cell>
          <cell r="JJ290">
            <v>0.151</v>
          </cell>
          <cell r="JK290">
            <v>0.13400000000000001</v>
          </cell>
          <cell r="JL290">
            <v>0.159</v>
          </cell>
          <cell r="JM290">
            <v>0.126</v>
          </cell>
          <cell r="JN290">
            <v>0.16400000000000001</v>
          </cell>
          <cell r="JO290">
            <v>0.13</v>
          </cell>
          <cell r="JP290">
            <v>0.16</v>
          </cell>
          <cell r="JQ290">
            <v>8.0000000000000002E-3</v>
          </cell>
          <cell r="JR290">
            <v>0.13300000000000001</v>
          </cell>
          <cell r="JS290">
            <v>0.65200000000000002</v>
          </cell>
          <cell r="JT290">
            <v>0.13200000000000001</v>
          </cell>
          <cell r="JU290">
            <v>0.154</v>
          </cell>
          <cell r="JV290">
            <v>8.9999999999999993E-3</v>
          </cell>
          <cell r="JW290">
            <v>4.0000000000000001E-3</v>
          </cell>
          <cell r="JX290">
            <v>9.4E-2</v>
          </cell>
          <cell r="JY290">
            <v>5.5E-2</v>
          </cell>
          <cell r="JZ290">
            <v>0.20899999999999999</v>
          </cell>
          <cell r="KA290">
            <v>8.7999999999999995E-2</v>
          </cell>
          <cell r="KB290">
            <v>0.25800000000000001</v>
          </cell>
          <cell r="KC290">
            <v>0.04</v>
          </cell>
          <cell r="KD290">
            <v>1E-3</v>
          </cell>
          <cell r="KE290">
            <v>0.128</v>
          </cell>
          <cell r="KF290">
            <v>0.16800000000000001</v>
          </cell>
          <cell r="KG290">
            <v>0.13300000000000001</v>
          </cell>
          <cell r="KH290">
            <v>0.21099999999999999</v>
          </cell>
          <cell r="KI290">
            <v>0.25700000000000001</v>
          </cell>
          <cell r="KJ290">
            <v>1.7000000000000001E-2</v>
          </cell>
          <cell r="KK290">
            <v>2E-3</v>
          </cell>
          <cell r="KL290">
            <v>0.17699999999999999</v>
          </cell>
          <cell r="KM290">
            <v>0.17</v>
          </cell>
          <cell r="KN290">
            <v>0.123</v>
          </cell>
          <cell r="KO290">
            <v>6.0000000000000001E-3</v>
          </cell>
          <cell r="KP290">
            <v>0.188</v>
          </cell>
          <cell r="KQ290">
            <v>8.9999999999999993E-3</v>
          </cell>
          <cell r="KR290">
            <v>0.254</v>
          </cell>
          <cell r="KS290">
            <v>0.127</v>
          </cell>
          <cell r="KT290">
            <v>3.0000000000000001E-3</v>
          </cell>
          <cell r="KU290">
            <v>2E-3</v>
          </cell>
          <cell r="KV290">
            <v>3.0000000000000001E-3</v>
          </cell>
          <cell r="KW290">
            <v>1.4E-2</v>
          </cell>
          <cell r="KX290">
            <v>0.125</v>
          </cell>
          <cell r="KY290">
            <v>0.247</v>
          </cell>
          <cell r="KZ290">
            <v>1E-3</v>
          </cell>
          <cell r="LA290">
            <v>0.126</v>
          </cell>
          <cell r="LB290">
            <v>0.187</v>
          </cell>
          <cell r="LC290">
            <v>5.0000000000000001E-3</v>
          </cell>
          <cell r="LD290">
            <v>0.219</v>
          </cell>
          <cell r="LE290">
            <v>0.19</v>
          </cell>
          <cell r="LF290">
            <v>0.23902000000000001</v>
          </cell>
          <cell r="LG290">
            <v>0.169048</v>
          </cell>
          <cell r="LH290">
            <v>4.9910999999999997E-2</v>
          </cell>
          <cell r="LI290">
            <v>0.17143800000000001</v>
          </cell>
          <cell r="LJ290">
            <v>0.41975200000000001</v>
          </cell>
          <cell r="LK290">
            <v>3.6367999999999998E-2</v>
          </cell>
          <cell r="LL290">
            <v>0.243809</v>
          </cell>
          <cell r="LM290">
            <v>0.13297999999999999</v>
          </cell>
          <cell r="LN290">
            <v>0.12687000000000001</v>
          </cell>
          <cell r="LO290">
            <v>2.2672000000000001E-2</v>
          </cell>
          <cell r="LP290">
            <v>0.242975</v>
          </cell>
          <cell r="LQ290">
            <v>0.1978</v>
          </cell>
          <cell r="LR290">
            <v>2.0070000000000001E-3</v>
          </cell>
          <cell r="LS290">
            <v>0.54434000000000005</v>
          </cell>
          <cell r="LT290">
            <v>0.134683</v>
          </cell>
          <cell r="LU290">
            <v>0.21498300000000001</v>
          </cell>
          <cell r="LV290">
            <v>6.6975000000000007E-2</v>
          </cell>
          <cell r="LW290">
            <v>0.15679299999999999</v>
          </cell>
          <cell r="LX290">
            <v>4.8661999999999997E-2</v>
          </cell>
          <cell r="LY290">
            <v>0.47912399999999999</v>
          </cell>
          <cell r="LZ290">
            <v>0.16939899999999999</v>
          </cell>
          <cell r="MA290">
            <v>0.43900499999999998</v>
          </cell>
          <cell r="MB290">
            <v>0.10831499999999999</v>
          </cell>
          <cell r="MC290">
            <v>0.12789</v>
          </cell>
          <cell r="MD290">
            <v>0.19899700000000001</v>
          </cell>
          <cell r="ME290">
            <v>0.22897700000000001</v>
          </cell>
          <cell r="MF290">
            <v>0.38439299999999998</v>
          </cell>
          <cell r="MG290">
            <v>0.26899600000000001</v>
          </cell>
          <cell r="MH290">
            <v>0.49840800000000002</v>
          </cell>
          <cell r="MI290">
            <v>7.2607000000000005E-2</v>
          </cell>
          <cell r="MJ290">
            <v>7.2607000000000005E-2</v>
          </cell>
          <cell r="MK290">
            <v>0.274229</v>
          </cell>
          <cell r="ML290">
            <v>0.174065</v>
          </cell>
          <cell r="MM290">
            <v>0.188276</v>
          </cell>
          <cell r="MN290">
            <v>0.34442099999999998</v>
          </cell>
          <cell r="MO290">
            <v>0.418068</v>
          </cell>
          <cell r="MP290">
            <v>0.25826700000000002</v>
          </cell>
          <cell r="MQ290">
            <v>0.17574000000000001</v>
          </cell>
          <cell r="MR290">
            <v>0.29863000000000001</v>
          </cell>
          <cell r="MS290">
            <v>0.27554699999999999</v>
          </cell>
          <cell r="MT290">
            <v>0.47606300000000001</v>
          </cell>
          <cell r="MU290">
            <v>0.114</v>
          </cell>
          <cell r="MV290">
            <v>0.28999999999999998</v>
          </cell>
          <cell r="MW290">
            <v>0.38200000000000001</v>
          </cell>
          <cell r="MX290">
            <v>0.22</v>
          </cell>
          <cell r="MY290">
            <v>0.121</v>
          </cell>
          <cell r="MZ290">
            <v>9.2999999999999999E-2</v>
          </cell>
          <cell r="NA290">
            <v>0.114</v>
          </cell>
          <cell r="NB290">
            <v>0.17699999999999999</v>
          </cell>
          <cell r="NC290">
            <v>9.1999999999999998E-2</v>
          </cell>
          <cell r="ND290">
            <v>0.22800000000000001</v>
          </cell>
          <cell r="NE290">
            <v>0.26100000000000001</v>
          </cell>
          <cell r="NF290">
            <v>0.23799999999999999</v>
          </cell>
          <cell r="NG290">
            <v>0.183</v>
          </cell>
          <cell r="NH290">
            <v>0.13500000000000001</v>
          </cell>
          <cell r="NI290">
            <v>0.25700000000000001</v>
          </cell>
        </row>
      </sheetData>
      <sheetData sheetId="37">
        <row r="290">
          <cell r="AU290">
            <v>0.74299999999999999</v>
          </cell>
          <cell r="AV290">
            <v>0.84199999999999997</v>
          </cell>
          <cell r="AW290">
            <v>2.2029999999999998</v>
          </cell>
          <cell r="AX290">
            <v>0.80900000000000005</v>
          </cell>
          <cell r="AY290">
            <v>0.90200000000000002</v>
          </cell>
          <cell r="AZ290">
            <v>1.1279999999999999</v>
          </cell>
          <cell r="BA290">
            <v>0.71199999999999997</v>
          </cell>
          <cell r="BB290">
            <v>0.82599999999999996</v>
          </cell>
          <cell r="BC290">
            <v>0.74</v>
          </cell>
          <cell r="BD290">
            <v>0.92</v>
          </cell>
          <cell r="BE290">
            <v>1.206</v>
          </cell>
          <cell r="BF290">
            <v>1.1850000000000001</v>
          </cell>
          <cell r="BG290">
            <v>1.5009999999999999</v>
          </cell>
          <cell r="BH290">
            <v>1.0620000000000001</v>
          </cell>
          <cell r="BI290">
            <v>1.0469999999999999</v>
          </cell>
          <cell r="BJ290">
            <v>1.0049999999999999</v>
          </cell>
          <cell r="BK290">
            <v>0.88100000000000001</v>
          </cell>
          <cell r="BL290">
            <v>1.214</v>
          </cell>
          <cell r="BM290">
            <v>1.046</v>
          </cell>
          <cell r="BN290">
            <v>1.0549999999999999</v>
          </cell>
          <cell r="BO290">
            <v>0.83299999999999996</v>
          </cell>
          <cell r="BP290">
            <v>1.712</v>
          </cell>
          <cell r="BQ290">
            <v>1.0920000000000001</v>
          </cell>
          <cell r="BR290">
            <v>1.3740000000000001</v>
          </cell>
          <cell r="BS290">
            <v>0.91300000000000003</v>
          </cell>
          <cell r="BT290">
            <v>1.159</v>
          </cell>
          <cell r="BU290">
            <v>0.57699999999999996</v>
          </cell>
          <cell r="BV290">
            <v>0.63600000000000001</v>
          </cell>
          <cell r="BW290">
            <v>0.80100000000000005</v>
          </cell>
          <cell r="BX290">
            <v>1.349</v>
          </cell>
          <cell r="BY290">
            <v>0.95199999999999996</v>
          </cell>
          <cell r="BZ290">
            <v>1.107</v>
          </cell>
          <cell r="CA290">
            <v>0.746</v>
          </cell>
          <cell r="CB290">
            <v>0.80600000000000005</v>
          </cell>
          <cell r="CC290">
            <v>0.64100000000000001</v>
          </cell>
          <cell r="CD290">
            <v>0.81599999999999995</v>
          </cell>
          <cell r="CE290">
            <v>0.73199999999999998</v>
          </cell>
          <cell r="CF290">
            <v>0.79200000000000004</v>
          </cell>
          <cell r="CG290">
            <v>1.2110000000000001</v>
          </cell>
          <cell r="CH290">
            <v>2.077</v>
          </cell>
          <cell r="CI290">
            <v>1.004</v>
          </cell>
          <cell r="CJ290">
            <v>0.73699999999999999</v>
          </cell>
          <cell r="CK290">
            <v>1.149</v>
          </cell>
          <cell r="CL290">
            <v>1.5229999999999999</v>
          </cell>
          <cell r="CM290">
            <v>1.2010000000000001</v>
          </cell>
          <cell r="CN290">
            <v>1.244</v>
          </cell>
          <cell r="CO290">
            <v>0.85399999999999998</v>
          </cell>
          <cell r="CP290">
            <v>0.72199999999999998</v>
          </cell>
          <cell r="CQ290">
            <v>0.91700000000000004</v>
          </cell>
          <cell r="CR290">
            <v>0.69599999999999995</v>
          </cell>
          <cell r="CS290">
            <v>2.4550000000000001</v>
          </cell>
          <cell r="CT290">
            <v>3.008</v>
          </cell>
          <cell r="CU290">
            <v>1.0920000000000001</v>
          </cell>
          <cell r="CV290">
            <v>1.484</v>
          </cell>
          <cell r="CW290">
            <v>1.831</v>
          </cell>
          <cell r="CX290">
            <v>1.698</v>
          </cell>
          <cell r="CY290">
            <v>2.681</v>
          </cell>
          <cell r="CZ290">
            <v>1.6759999999999999</v>
          </cell>
          <cell r="DA290">
            <v>2.0259999999999998</v>
          </cell>
          <cell r="DB290">
            <v>1.3</v>
          </cell>
          <cell r="DC290">
            <v>1.266</v>
          </cell>
          <cell r="DD290">
            <v>1.075</v>
          </cell>
          <cell r="DE290">
            <v>1.234</v>
          </cell>
          <cell r="DF290">
            <v>1.6259999999999999</v>
          </cell>
          <cell r="DG290">
            <v>1.8560000000000001</v>
          </cell>
          <cell r="DH290">
            <v>1.349</v>
          </cell>
          <cell r="DI290">
            <v>1.1379999999999999</v>
          </cell>
          <cell r="DJ290">
            <v>1.093</v>
          </cell>
          <cell r="DK290">
            <v>0.93899999999999995</v>
          </cell>
          <cell r="DL290">
            <v>1.6830000000000001</v>
          </cell>
          <cell r="DM290">
            <v>1.522</v>
          </cell>
          <cell r="DN290">
            <v>1.587</v>
          </cell>
          <cell r="DO290">
            <v>1.746</v>
          </cell>
          <cell r="DP290">
            <v>1.081</v>
          </cell>
          <cell r="DQ290">
            <v>1.7470000000000001</v>
          </cell>
          <cell r="DR290">
            <v>3.1019999999999999</v>
          </cell>
          <cell r="DS290">
            <v>1.097</v>
          </cell>
          <cell r="DT290">
            <v>1.2929999999999999</v>
          </cell>
          <cell r="DU290">
            <v>0.94599999999999995</v>
          </cell>
          <cell r="DV290">
            <v>1.52</v>
          </cell>
          <cell r="DW290">
            <v>1.137</v>
          </cell>
          <cell r="DX290">
            <v>2.798</v>
          </cell>
          <cell r="DY290">
            <v>3.593</v>
          </cell>
          <cell r="DZ290">
            <v>1.84</v>
          </cell>
          <cell r="EA290">
            <v>3.43</v>
          </cell>
          <cell r="EB290">
            <v>2.4359999999999999</v>
          </cell>
          <cell r="EC290">
            <v>2.2559999999999998</v>
          </cell>
          <cell r="ED290">
            <v>2.5670000000000002</v>
          </cell>
          <cell r="EE290">
            <v>2.0590000000000002</v>
          </cell>
          <cell r="EF290">
            <v>3.5990000000000002</v>
          </cell>
          <cell r="EG290">
            <v>2.2450000000000001</v>
          </cell>
          <cell r="EH290">
            <v>1.667</v>
          </cell>
          <cell r="EI290">
            <v>1.696</v>
          </cell>
          <cell r="EJ290">
            <v>2.536</v>
          </cell>
          <cell r="EK290">
            <v>2.1890000000000001</v>
          </cell>
          <cell r="EL290">
            <v>1.4690000000000001</v>
          </cell>
          <cell r="EM290">
            <v>2.0680000000000001</v>
          </cell>
          <cell r="EN290">
            <v>1.7809999999999999</v>
          </cell>
          <cell r="EO290">
            <v>1.855</v>
          </cell>
          <cell r="EP290">
            <v>1.573</v>
          </cell>
          <cell r="EQ290">
            <v>1.5409999999999999</v>
          </cell>
          <cell r="ER290">
            <v>1.746</v>
          </cell>
          <cell r="ES290">
            <v>1.2929999999999999</v>
          </cell>
          <cell r="ET290">
            <v>1.9710000000000001</v>
          </cell>
          <cell r="EU290">
            <v>1.4339999999999999</v>
          </cell>
          <cell r="EV290">
            <v>1.8</v>
          </cell>
          <cell r="EW290">
            <v>1.514</v>
          </cell>
          <cell r="EX290">
            <v>1.4930000000000001</v>
          </cell>
          <cell r="EY290">
            <v>1.1279999999999999</v>
          </cell>
          <cell r="EZ290">
            <v>0.79600000000000004</v>
          </cell>
          <cell r="FA290">
            <v>1.1879999999999999</v>
          </cell>
          <cell r="FB290">
            <v>1.1359999999999999</v>
          </cell>
          <cell r="FC290">
            <v>0.78</v>
          </cell>
          <cell r="FD290">
            <v>0.755</v>
          </cell>
          <cell r="FE290">
            <v>1.708</v>
          </cell>
          <cell r="FF290">
            <v>0.88</v>
          </cell>
          <cell r="FG290">
            <v>0.73499999999999999</v>
          </cell>
          <cell r="FH290">
            <v>1.6180000000000001</v>
          </cell>
          <cell r="FI290">
            <v>4.0279999999999996</v>
          </cell>
          <cell r="FJ290">
            <v>4.7839999999999998</v>
          </cell>
          <cell r="FK290">
            <v>4.3460000000000001</v>
          </cell>
          <cell r="FL290">
            <v>3.9910000000000001</v>
          </cell>
          <cell r="FM290">
            <v>4.4219999999999997</v>
          </cell>
          <cell r="FN290">
            <v>3.0070000000000001</v>
          </cell>
          <cell r="FO290">
            <v>2.1970000000000001</v>
          </cell>
          <cell r="FP290">
            <v>3.2050000000000001</v>
          </cell>
          <cell r="FQ290">
            <v>1.792</v>
          </cell>
          <cell r="FR290">
            <v>2.2160000000000002</v>
          </cell>
          <cell r="FS290">
            <v>1.7370000000000001</v>
          </cell>
          <cell r="FT290">
            <v>3.157</v>
          </cell>
          <cell r="FU290">
            <v>3.2480000000000002</v>
          </cell>
          <cell r="FV290">
            <v>1.895</v>
          </cell>
          <cell r="FW290">
            <v>4.0330000000000004</v>
          </cell>
          <cell r="FX290">
            <v>2.0710000000000002</v>
          </cell>
          <cell r="FY290">
            <v>1.9419999999999999</v>
          </cell>
          <cell r="FZ290">
            <v>1.72</v>
          </cell>
          <cell r="GA290">
            <v>1.831</v>
          </cell>
          <cell r="GB290">
            <v>1.395</v>
          </cell>
          <cell r="GC290">
            <v>1.012</v>
          </cell>
          <cell r="GD290">
            <v>1.157</v>
          </cell>
          <cell r="GE290">
            <v>0.92</v>
          </cell>
          <cell r="GF290">
            <v>1.403</v>
          </cell>
          <cell r="GG290">
            <v>0.81599999999999995</v>
          </cell>
          <cell r="GH290">
            <v>1.0369999999999999</v>
          </cell>
          <cell r="GI290">
            <v>1.1890000000000001</v>
          </cell>
          <cell r="GJ290">
            <v>0.81499999999999995</v>
          </cell>
          <cell r="GK290">
            <v>1</v>
          </cell>
          <cell r="GL290">
            <v>0.97299999999999998</v>
          </cell>
          <cell r="GM290">
            <v>1.288</v>
          </cell>
          <cell r="GN290">
            <v>0.72599999999999998</v>
          </cell>
          <cell r="GO290">
            <v>0.61899999999999999</v>
          </cell>
          <cell r="GP290">
            <v>0.83</v>
          </cell>
          <cell r="GQ290">
            <v>1.163</v>
          </cell>
          <cell r="GR290">
            <v>2.2589999999999999</v>
          </cell>
          <cell r="GS290">
            <v>1.8109999999999999</v>
          </cell>
          <cell r="GT290">
            <v>1.556</v>
          </cell>
          <cell r="GU290">
            <v>1.9870000000000001</v>
          </cell>
          <cell r="GV290">
            <v>1.264</v>
          </cell>
          <cell r="GW290">
            <v>1.506</v>
          </cell>
          <cell r="GX290">
            <v>1.5229999999999999</v>
          </cell>
          <cell r="GY290">
            <v>1.302</v>
          </cell>
          <cell r="GZ290">
            <v>1.2070000000000001</v>
          </cell>
          <cell r="HA290">
            <v>1.1890000000000001</v>
          </cell>
          <cell r="HB290">
            <v>0.60399999999999998</v>
          </cell>
          <cell r="HC290">
            <v>1.55</v>
          </cell>
          <cell r="HD290">
            <v>1.502</v>
          </cell>
          <cell r="HE290">
            <v>1.66</v>
          </cell>
          <cell r="HF290">
            <v>1.379</v>
          </cell>
          <cell r="HG290">
            <v>1.2649999999999999</v>
          </cell>
          <cell r="HH290">
            <v>2.339</v>
          </cell>
          <cell r="HI290">
            <v>1.86</v>
          </cell>
          <cell r="HJ290">
            <v>1.601</v>
          </cell>
          <cell r="HK290">
            <v>1.7869999999999999</v>
          </cell>
          <cell r="HL290">
            <v>2.5419999999999998</v>
          </cell>
          <cell r="HM290">
            <v>2.2530000000000001</v>
          </cell>
          <cell r="HN290">
            <v>2.258</v>
          </cell>
          <cell r="HO290">
            <v>2.5190000000000001</v>
          </cell>
          <cell r="HP290">
            <v>2.2549999999999999</v>
          </cell>
          <cell r="HQ290">
            <v>3.1859999999999999</v>
          </cell>
          <cell r="HR290">
            <v>3.109</v>
          </cell>
          <cell r="HS290">
            <v>2.3079999999999998</v>
          </cell>
          <cell r="HT290">
            <v>1.5549999999999999</v>
          </cell>
          <cell r="HU290">
            <v>1.9470000000000001</v>
          </cell>
          <cell r="HV290">
            <v>1.5429999999999999</v>
          </cell>
          <cell r="HW290">
            <v>1.458</v>
          </cell>
          <cell r="HX290">
            <v>1.72</v>
          </cell>
          <cell r="HY290">
            <v>2.0990000000000002</v>
          </cell>
          <cell r="HZ290">
            <v>1.7370000000000001</v>
          </cell>
          <cell r="IA290">
            <v>1.5169999999999999</v>
          </cell>
          <cell r="IB290">
            <v>3.1819999999999999</v>
          </cell>
          <cell r="IC290">
            <v>3.8010000000000002</v>
          </cell>
          <cell r="ID290">
            <v>3.3359999999999999</v>
          </cell>
          <cell r="IE290">
            <v>3.4329999999999998</v>
          </cell>
          <cell r="IF290">
            <v>1.82</v>
          </cell>
          <cell r="IG290">
            <v>3.585</v>
          </cell>
          <cell r="IH290">
            <v>2.375</v>
          </cell>
          <cell r="II290">
            <v>2.1970000000000001</v>
          </cell>
          <cell r="IJ290">
            <v>2.9609999999999999</v>
          </cell>
          <cell r="IK290">
            <v>2.8809999999999998</v>
          </cell>
          <cell r="IL290">
            <v>2.056</v>
          </cell>
          <cell r="IM290">
            <v>1.8080000000000001</v>
          </cell>
          <cell r="IN290">
            <v>2.8980000000000001</v>
          </cell>
          <cell r="IO290">
            <v>2.7589999999999999</v>
          </cell>
          <cell r="IP290">
            <v>2.476</v>
          </cell>
          <cell r="IQ290">
            <v>2.843</v>
          </cell>
          <cell r="IR290">
            <v>2.74</v>
          </cell>
          <cell r="IS290">
            <v>3.2189999999999999</v>
          </cell>
          <cell r="IT290">
            <v>2.847</v>
          </cell>
          <cell r="IU290">
            <v>3.048</v>
          </cell>
          <cell r="IV290">
            <v>2.6869999999999998</v>
          </cell>
          <cell r="IW290">
            <v>3.86</v>
          </cell>
          <cell r="IX290">
            <v>3.0539999999999998</v>
          </cell>
          <cell r="IY290">
            <v>2.4609999999999999</v>
          </cell>
          <cell r="IZ290">
            <v>2.9049999999999998</v>
          </cell>
          <cell r="JA290">
            <v>2.504</v>
          </cell>
          <cell r="JB290">
            <v>1.466</v>
          </cell>
          <cell r="JC290">
            <v>2.371</v>
          </cell>
          <cell r="JD290">
            <v>1.972</v>
          </cell>
          <cell r="JE290">
            <v>2.476</v>
          </cell>
          <cell r="JF290">
            <v>2.0779999999999998</v>
          </cell>
          <cell r="JG290">
            <v>2.254</v>
          </cell>
          <cell r="JH290">
            <v>1.514</v>
          </cell>
          <cell r="JI290">
            <v>2.0609999999999999</v>
          </cell>
          <cell r="JJ290">
            <v>1.421</v>
          </cell>
          <cell r="JK290">
            <v>1.5249999999999999</v>
          </cell>
          <cell r="JL290">
            <v>1.881</v>
          </cell>
          <cell r="JM290">
            <v>2.0510000000000002</v>
          </cell>
          <cell r="JN290">
            <v>1.8460000000000001</v>
          </cell>
          <cell r="JO290">
            <v>2.15</v>
          </cell>
          <cell r="JP290">
            <v>2.3279999999999998</v>
          </cell>
          <cell r="JQ290">
            <v>3.097</v>
          </cell>
          <cell r="JR290">
            <v>2.4279999999999999</v>
          </cell>
          <cell r="JS290">
            <v>2.306</v>
          </cell>
          <cell r="JT290">
            <v>2.0819999999999999</v>
          </cell>
          <cell r="JU290">
            <v>2.2120000000000002</v>
          </cell>
          <cell r="JV290">
            <v>1.7969999999999999</v>
          </cell>
          <cell r="JW290">
            <v>2.69</v>
          </cell>
          <cell r="JX290">
            <v>1.857</v>
          </cell>
          <cell r="JY290">
            <v>2.847</v>
          </cell>
          <cell r="JZ290">
            <v>2.9460000000000002</v>
          </cell>
          <cell r="KA290">
            <v>2.5179999999999998</v>
          </cell>
          <cell r="KB290">
            <v>2.827</v>
          </cell>
          <cell r="KC290">
            <v>2.7269999999999999</v>
          </cell>
          <cell r="KD290">
            <v>2.4940000000000002</v>
          </cell>
          <cell r="KE290">
            <v>2.6160000000000001</v>
          </cell>
          <cell r="KF290">
            <v>2.504</v>
          </cell>
          <cell r="KG290">
            <v>2.5470000000000002</v>
          </cell>
          <cell r="KH290">
            <v>1.871</v>
          </cell>
          <cell r="KI290">
            <v>1.837</v>
          </cell>
          <cell r="KJ290">
            <v>2.1349999999999998</v>
          </cell>
          <cell r="KK290">
            <v>1.9330000000000001</v>
          </cell>
          <cell r="KL290">
            <v>1.681</v>
          </cell>
          <cell r="KM290">
            <v>1.6240000000000001</v>
          </cell>
          <cell r="KN290">
            <v>1.5229999999999999</v>
          </cell>
          <cell r="KO290">
            <v>1.762</v>
          </cell>
          <cell r="KP290">
            <v>1.5209999999999999</v>
          </cell>
          <cell r="KQ290">
            <v>1.4870000000000001</v>
          </cell>
          <cell r="KR290">
            <v>2.5369999999999999</v>
          </cell>
          <cell r="KS290">
            <v>2.5710000000000002</v>
          </cell>
          <cell r="KT290">
            <v>2.1709999999999998</v>
          </cell>
          <cell r="KU290">
            <v>3.3140000000000001</v>
          </cell>
          <cell r="KV290">
            <v>2.6179999999999999</v>
          </cell>
          <cell r="KW290">
            <v>4.0419999999999998</v>
          </cell>
          <cell r="KX290">
            <v>1.895</v>
          </cell>
          <cell r="KY290">
            <v>2.113</v>
          </cell>
          <cell r="KZ290">
            <v>2.0680000000000001</v>
          </cell>
          <cell r="LA290">
            <v>2.6240000000000001</v>
          </cell>
          <cell r="LB290">
            <v>1.7929999999999999</v>
          </cell>
          <cell r="LC290">
            <v>2.0459999999999998</v>
          </cell>
          <cell r="LD290">
            <v>3.0150000000000001</v>
          </cell>
          <cell r="LE290">
            <v>1.7909999999999999</v>
          </cell>
          <cell r="LF290">
            <v>2.0487169999999999</v>
          </cell>
          <cell r="LG290">
            <v>2.235744</v>
          </cell>
          <cell r="LH290">
            <v>1.8058339999999999</v>
          </cell>
          <cell r="LI290">
            <v>1.531029</v>
          </cell>
          <cell r="LJ290">
            <v>2.321612</v>
          </cell>
          <cell r="LK290">
            <v>1.4813460000000001</v>
          </cell>
          <cell r="LL290">
            <v>1.425114</v>
          </cell>
          <cell r="LM290">
            <v>1.7214309999999999</v>
          </cell>
          <cell r="LN290">
            <v>1.579383</v>
          </cell>
          <cell r="LO290">
            <v>1.866795</v>
          </cell>
          <cell r="LP290">
            <v>2.0613679999999999</v>
          </cell>
          <cell r="LQ290">
            <v>2.088616</v>
          </cell>
          <cell r="LR290">
            <v>2.019679</v>
          </cell>
          <cell r="LS290">
            <v>1.6956850000000001</v>
          </cell>
          <cell r="LT290">
            <v>2.2177560000000001</v>
          </cell>
          <cell r="LU290">
            <v>1.7147600000000001</v>
          </cell>
          <cell r="LV290">
            <v>1.5939140000000001</v>
          </cell>
          <cell r="LW290">
            <v>1.7078040000000001</v>
          </cell>
          <cell r="LX290">
            <v>0.93584800000000001</v>
          </cell>
          <cell r="LY290">
            <v>1.664436</v>
          </cell>
          <cell r="LZ290">
            <v>2.165845</v>
          </cell>
          <cell r="MA290">
            <v>2.1790090000000002</v>
          </cell>
          <cell r="MB290">
            <v>3.125308</v>
          </cell>
          <cell r="MC290">
            <v>2.649105</v>
          </cell>
          <cell r="MD290">
            <v>2.8754979999999999</v>
          </cell>
          <cell r="ME290">
            <v>2.335175</v>
          </cell>
          <cell r="MF290">
            <v>2.3718910000000002</v>
          </cell>
          <cell r="MG290">
            <v>1.5290870000000001</v>
          </cell>
          <cell r="MH290">
            <v>1.653302</v>
          </cell>
          <cell r="MI290">
            <v>1.791825</v>
          </cell>
          <cell r="MJ290">
            <v>1.506623</v>
          </cell>
          <cell r="MK290">
            <v>1.7116549999999999</v>
          </cell>
          <cell r="ML290">
            <v>2.362501</v>
          </cell>
          <cell r="MM290">
            <v>2.5812849999999998</v>
          </cell>
          <cell r="MN290">
            <v>3.0723889999999998</v>
          </cell>
          <cell r="MO290">
            <v>2.6379380000000001</v>
          </cell>
          <cell r="MP290">
            <v>2.1265960000000002</v>
          </cell>
          <cell r="MQ290">
            <v>2.8483960000000002</v>
          </cell>
          <cell r="MR290">
            <v>2.2808660000000001</v>
          </cell>
          <cell r="MS290">
            <v>2.3473250000000001</v>
          </cell>
          <cell r="MT290">
            <v>3.7292610000000002</v>
          </cell>
          <cell r="MU290">
            <v>3.1309999999999998</v>
          </cell>
          <cell r="MV290">
            <v>4.0979999999999999</v>
          </cell>
          <cell r="MW290">
            <v>4.5789999999999997</v>
          </cell>
          <cell r="MX290">
            <v>2.8620000000000001</v>
          </cell>
          <cell r="MY290">
            <v>2.4</v>
          </cell>
          <cell r="MZ290">
            <v>3.1749999999999998</v>
          </cell>
          <cell r="NA290">
            <v>2.7170000000000001</v>
          </cell>
          <cell r="NB290">
            <v>3.093</v>
          </cell>
          <cell r="NC290">
            <v>3.3</v>
          </cell>
          <cell r="ND290">
            <v>1.9790000000000001</v>
          </cell>
          <cell r="NE290">
            <v>3.5649999999999999</v>
          </cell>
          <cell r="NF290">
            <v>2.0099999999999998</v>
          </cell>
          <cell r="NG290">
            <v>1.8384199999999999</v>
          </cell>
          <cell r="NH290">
            <v>2.9016799999999998</v>
          </cell>
          <cell r="NI290">
            <v>2.836519</v>
          </cell>
        </row>
      </sheetData>
      <sheetData sheetId="38">
        <row r="290">
          <cell r="AU290">
            <v>6.1189999999999998</v>
          </cell>
          <cell r="AV290">
            <v>6.2720000000000002</v>
          </cell>
          <cell r="AW290">
            <v>4.617</v>
          </cell>
          <cell r="AX290">
            <v>3.9849999999999999</v>
          </cell>
          <cell r="AY290">
            <v>11.388999999999999</v>
          </cell>
          <cell r="AZ290">
            <v>20.326000000000001</v>
          </cell>
          <cell r="BA290">
            <v>7.2830000000000004</v>
          </cell>
          <cell r="BB290">
            <v>5.1870000000000003</v>
          </cell>
          <cell r="BC290">
            <v>1.472</v>
          </cell>
          <cell r="BD290">
            <v>2.8969999999999998</v>
          </cell>
          <cell r="BE290">
            <v>2.573</v>
          </cell>
          <cell r="BF290">
            <v>3.5960000000000001</v>
          </cell>
          <cell r="BG290">
            <v>2.476</v>
          </cell>
          <cell r="BH290">
            <v>2.25</v>
          </cell>
          <cell r="BI290">
            <v>4.9509999999999996</v>
          </cell>
          <cell r="BJ290">
            <v>2.0550000000000002</v>
          </cell>
          <cell r="BK290">
            <v>3.5350000000000001</v>
          </cell>
          <cell r="BL290">
            <v>2.4969999999999999</v>
          </cell>
          <cell r="BM290">
            <v>1.7549999999999999</v>
          </cell>
          <cell r="BN290">
            <v>0.80300000000000005</v>
          </cell>
          <cell r="BO290">
            <v>0.82199999999999995</v>
          </cell>
          <cell r="BP290">
            <v>2.8119999999999998</v>
          </cell>
          <cell r="BQ290">
            <v>1.64</v>
          </cell>
          <cell r="BR290">
            <v>2.6579999999999999</v>
          </cell>
          <cell r="BS290">
            <v>1.399</v>
          </cell>
          <cell r="BT290">
            <v>2.0510000000000002</v>
          </cell>
          <cell r="BU290">
            <v>1.8220000000000001</v>
          </cell>
          <cell r="BV290">
            <v>2.363</v>
          </cell>
          <cell r="BW290">
            <v>2.161</v>
          </cell>
          <cell r="BX290">
            <v>3.2309999999999999</v>
          </cell>
          <cell r="BY290">
            <v>2.0590000000000002</v>
          </cell>
          <cell r="BZ290">
            <v>2.0680000000000001</v>
          </cell>
          <cell r="CA290">
            <v>1.224</v>
          </cell>
          <cell r="CB290">
            <v>3.0019999999999998</v>
          </cell>
          <cell r="CC290">
            <v>3.5390000000000001</v>
          </cell>
          <cell r="CD290">
            <v>8.7029999999999994</v>
          </cell>
          <cell r="CE290">
            <v>2.839</v>
          </cell>
          <cell r="CF290">
            <v>3.8</v>
          </cell>
          <cell r="CG290">
            <v>4.7389999999999999</v>
          </cell>
          <cell r="CH290">
            <v>4.3860000000000001</v>
          </cell>
          <cell r="CI290">
            <v>2.5089999999999999</v>
          </cell>
          <cell r="CJ290">
            <v>5.7789999999999999</v>
          </cell>
          <cell r="CK290">
            <v>2.121</v>
          </cell>
          <cell r="CL290">
            <v>1.218</v>
          </cell>
          <cell r="CM290">
            <v>1.032</v>
          </cell>
          <cell r="CN290">
            <v>4.5410000000000004</v>
          </cell>
          <cell r="CO290">
            <v>6.141</v>
          </cell>
          <cell r="CP290">
            <v>6.8070000000000004</v>
          </cell>
          <cell r="CQ290">
            <v>6.258</v>
          </cell>
          <cell r="CR290">
            <v>3.6640000000000001</v>
          </cell>
          <cell r="CS290">
            <v>4.8789999999999996</v>
          </cell>
          <cell r="CT290">
            <v>2.8490000000000002</v>
          </cell>
          <cell r="CU290">
            <v>1.829</v>
          </cell>
          <cell r="CV290">
            <v>2.1419999999999999</v>
          </cell>
          <cell r="CW290">
            <v>1.9259999999999999</v>
          </cell>
          <cell r="CX290">
            <v>2.2869999999999999</v>
          </cell>
          <cell r="CY290">
            <v>2.266</v>
          </cell>
          <cell r="CZ290">
            <v>3.89</v>
          </cell>
          <cell r="DA290">
            <v>5.516</v>
          </cell>
          <cell r="DB290">
            <v>4.7430000000000003</v>
          </cell>
          <cell r="DC290">
            <v>6.2830000000000004</v>
          </cell>
          <cell r="DD290">
            <v>4.5780000000000003</v>
          </cell>
          <cell r="DE290">
            <v>4.2539999999999996</v>
          </cell>
          <cell r="DF290">
            <v>3.0089999999999999</v>
          </cell>
          <cell r="DG290">
            <v>3.7829999999999999</v>
          </cell>
          <cell r="DH290">
            <v>3.484</v>
          </cell>
          <cell r="DI290">
            <v>5.0449999999999999</v>
          </cell>
          <cell r="DJ290">
            <v>4.6609999999999996</v>
          </cell>
          <cell r="DK290">
            <v>3.4260000000000002</v>
          </cell>
          <cell r="DL290">
            <v>7.2309999999999999</v>
          </cell>
          <cell r="DM290">
            <v>10.074999999999999</v>
          </cell>
          <cell r="DN290">
            <v>6.234</v>
          </cell>
          <cell r="DO290">
            <v>6.4390000000000001</v>
          </cell>
          <cell r="DP290">
            <v>6.44</v>
          </cell>
          <cell r="DQ290">
            <v>6.77</v>
          </cell>
          <cell r="DR290">
            <v>5.766</v>
          </cell>
          <cell r="DS290">
            <v>5.3310000000000004</v>
          </cell>
          <cell r="DT290">
            <v>5.8360000000000003</v>
          </cell>
          <cell r="DU290">
            <v>9.3810000000000002</v>
          </cell>
          <cell r="DV290">
            <v>8.4749999999999996</v>
          </cell>
          <cell r="DW290">
            <v>5.2140000000000004</v>
          </cell>
          <cell r="DX290">
            <v>6.5949999999999998</v>
          </cell>
          <cell r="DY290">
            <v>12.256</v>
          </cell>
          <cell r="DZ290">
            <v>9.4719999999999995</v>
          </cell>
          <cell r="EA290">
            <v>9.0440000000000005</v>
          </cell>
          <cell r="EB290">
            <v>9.3840000000000003</v>
          </cell>
          <cell r="EC290">
            <v>7.8010000000000002</v>
          </cell>
          <cell r="ED290">
            <v>6.5330000000000004</v>
          </cell>
          <cell r="EE290">
            <v>4.5549999999999997</v>
          </cell>
          <cell r="EF290">
            <v>5.5229999999999997</v>
          </cell>
          <cell r="EG290">
            <v>7.2249999999999996</v>
          </cell>
          <cell r="EH290">
            <v>6.2850000000000001</v>
          </cell>
          <cell r="EI290">
            <v>2.8180000000000001</v>
          </cell>
          <cell r="EJ290">
            <v>8.7390000000000008</v>
          </cell>
          <cell r="EK290">
            <v>14.263999999999999</v>
          </cell>
          <cell r="EL290">
            <v>12.317</v>
          </cell>
          <cell r="EM290">
            <v>10.135</v>
          </cell>
          <cell r="EN290">
            <v>8.4540000000000006</v>
          </cell>
          <cell r="EO290">
            <v>9.9619999999999997</v>
          </cell>
          <cell r="EP290">
            <v>6.9859999999999998</v>
          </cell>
          <cell r="EQ290">
            <v>5.9180000000000001</v>
          </cell>
          <cell r="ER290">
            <v>8.7720000000000002</v>
          </cell>
          <cell r="ES290">
            <v>10.721</v>
          </cell>
          <cell r="ET290">
            <v>5.01</v>
          </cell>
          <cell r="EU290">
            <v>3.2050000000000001</v>
          </cell>
          <cell r="EV290">
            <v>12.949</v>
          </cell>
          <cell r="EW290">
            <v>10.054</v>
          </cell>
          <cell r="EX290">
            <v>9.8290000000000006</v>
          </cell>
          <cell r="EY290">
            <v>7.6630000000000003</v>
          </cell>
          <cell r="EZ290">
            <v>11.025</v>
          </cell>
          <cell r="FA290">
            <v>11.587999999999999</v>
          </cell>
          <cell r="FB290">
            <v>6.9530000000000003</v>
          </cell>
          <cell r="FC290">
            <v>5.0469999999999997</v>
          </cell>
          <cell r="FD290">
            <v>6.407</v>
          </cell>
          <cell r="FE290">
            <v>6.0780000000000003</v>
          </cell>
          <cell r="FF290">
            <v>4.0789999999999997</v>
          </cell>
          <cell r="FG290">
            <v>3.016</v>
          </cell>
          <cell r="FH290">
            <v>2.2000000000000002</v>
          </cell>
          <cell r="FI290">
            <v>3.5019999999999998</v>
          </cell>
          <cell r="FJ290">
            <v>3.8820000000000001</v>
          </cell>
          <cell r="FK290">
            <v>3.03</v>
          </cell>
          <cell r="FL290">
            <v>2.9369999999999998</v>
          </cell>
          <cell r="FM290">
            <v>3.1930000000000001</v>
          </cell>
          <cell r="FN290">
            <v>2.0489999999999999</v>
          </cell>
          <cell r="FO290">
            <v>1.022</v>
          </cell>
          <cell r="FP290">
            <v>1.637</v>
          </cell>
          <cell r="FQ290">
            <v>1.631</v>
          </cell>
          <cell r="FR290">
            <v>0.88</v>
          </cell>
          <cell r="FS290">
            <v>0.75900000000000001</v>
          </cell>
          <cell r="FT290">
            <v>3.3490000000000002</v>
          </cell>
          <cell r="FU290">
            <v>7.1189999999999998</v>
          </cell>
          <cell r="FV290">
            <v>6.1989999999999998</v>
          </cell>
          <cell r="FW290">
            <v>4.7960000000000003</v>
          </cell>
          <cell r="FX290">
            <v>4.2309999999999999</v>
          </cell>
          <cell r="FY290">
            <v>4.5090000000000003</v>
          </cell>
          <cell r="FZ290">
            <v>4.1150000000000002</v>
          </cell>
          <cell r="GA290">
            <v>3.3980000000000001</v>
          </cell>
          <cell r="GB290">
            <v>3.645</v>
          </cell>
          <cell r="GC290">
            <v>2.6920000000000002</v>
          </cell>
          <cell r="GD290">
            <v>4.2670000000000003</v>
          </cell>
          <cell r="GE290">
            <v>4.5709999999999997</v>
          </cell>
          <cell r="GF290">
            <v>7.4740000000000002</v>
          </cell>
          <cell r="GG290">
            <v>7.8120000000000003</v>
          </cell>
          <cell r="GH290">
            <v>7.3609999999999998</v>
          </cell>
          <cell r="GI290">
            <v>10.313000000000001</v>
          </cell>
          <cell r="GJ290">
            <v>12.75</v>
          </cell>
          <cell r="GK290">
            <v>14.188000000000001</v>
          </cell>
          <cell r="GL290">
            <v>14.289</v>
          </cell>
          <cell r="GM290">
            <v>10.932</v>
          </cell>
          <cell r="GN290">
            <v>12.098000000000001</v>
          </cell>
          <cell r="GO290">
            <v>14.946999999999999</v>
          </cell>
          <cell r="GP290">
            <v>11.129</v>
          </cell>
          <cell r="GQ290">
            <v>4.25</v>
          </cell>
          <cell r="GR290">
            <v>12.407999999999999</v>
          </cell>
          <cell r="GS290">
            <v>14.127000000000001</v>
          </cell>
          <cell r="GT290">
            <v>11.044</v>
          </cell>
          <cell r="GU290">
            <v>10.292999999999999</v>
          </cell>
          <cell r="GV290">
            <v>11.736000000000001</v>
          </cell>
          <cell r="GW290">
            <v>9.5760000000000005</v>
          </cell>
          <cell r="GX290">
            <v>7.8959999999999999</v>
          </cell>
          <cell r="GY290">
            <v>6.3070000000000004</v>
          </cell>
          <cell r="GZ290">
            <v>7.1369999999999996</v>
          </cell>
          <cell r="HA290">
            <v>5.7119999999999997</v>
          </cell>
          <cell r="HB290">
            <v>4.5570000000000004</v>
          </cell>
          <cell r="HC290">
            <v>2.907</v>
          </cell>
          <cell r="HD290">
            <v>8.6379999999999999</v>
          </cell>
          <cell r="HE290">
            <v>10.335000000000001</v>
          </cell>
          <cell r="HF290">
            <v>12.484</v>
          </cell>
          <cell r="HG290">
            <v>7.8739999999999997</v>
          </cell>
          <cell r="HH290">
            <v>8.5980000000000008</v>
          </cell>
          <cell r="HI290">
            <v>7.6929999999999996</v>
          </cell>
          <cell r="HJ290">
            <v>8.891</v>
          </cell>
          <cell r="HK290">
            <v>5.4470000000000001</v>
          </cell>
          <cell r="HL290">
            <v>5.8140000000000001</v>
          </cell>
          <cell r="HM290">
            <v>4.8689999999999998</v>
          </cell>
          <cell r="HN290">
            <v>3.0569999999999999</v>
          </cell>
          <cell r="HO290">
            <v>2.0910000000000002</v>
          </cell>
          <cell r="HP290">
            <v>3.0939999999999999</v>
          </cell>
          <cell r="HQ290">
            <v>8.32</v>
          </cell>
          <cell r="HR290">
            <v>5.0990000000000002</v>
          </cell>
          <cell r="HS290">
            <v>4.9889999999999999</v>
          </cell>
          <cell r="HT290">
            <v>3.4969999999999999</v>
          </cell>
          <cell r="HU290">
            <v>5.032</v>
          </cell>
          <cell r="HV290">
            <v>3.3090000000000002</v>
          </cell>
          <cell r="HW290">
            <v>4.0880000000000001</v>
          </cell>
          <cell r="HX290">
            <v>3.5739999999999998</v>
          </cell>
          <cell r="HY290">
            <v>2.891</v>
          </cell>
          <cell r="HZ290">
            <v>3.9580000000000002</v>
          </cell>
          <cell r="IA290">
            <v>3.008</v>
          </cell>
          <cell r="IB290">
            <v>2.5750000000000002</v>
          </cell>
          <cell r="IC290">
            <v>4.2530000000000001</v>
          </cell>
          <cell r="ID290">
            <v>4.3630000000000004</v>
          </cell>
          <cell r="IE290">
            <v>3.0590000000000002</v>
          </cell>
          <cell r="IF290">
            <v>5.3650000000000002</v>
          </cell>
          <cell r="IG290">
            <v>5.3319999999999999</v>
          </cell>
          <cell r="IH290">
            <v>4.468</v>
          </cell>
          <cell r="II290">
            <v>3.2959999999999998</v>
          </cell>
          <cell r="IJ290">
            <v>3.2069999999999999</v>
          </cell>
          <cell r="IK290">
            <v>2.819</v>
          </cell>
          <cell r="IL290">
            <v>3.375</v>
          </cell>
          <cell r="IM290">
            <v>3.0169999999999999</v>
          </cell>
          <cell r="IN290">
            <v>3.2959999999999998</v>
          </cell>
          <cell r="IO290">
            <v>2.62</v>
          </cell>
          <cell r="IP290">
            <v>2.992</v>
          </cell>
          <cell r="IQ290">
            <v>3.335</v>
          </cell>
          <cell r="IR290">
            <v>2.4359999999999999</v>
          </cell>
          <cell r="IS290">
            <v>1.855</v>
          </cell>
          <cell r="IT290">
            <v>1.855</v>
          </cell>
          <cell r="IU290">
            <v>2.734</v>
          </cell>
          <cell r="IV290">
            <v>3.3849999999999998</v>
          </cell>
          <cell r="IW290">
            <v>2.4430000000000001</v>
          </cell>
          <cell r="IX290">
            <v>1.294</v>
          </cell>
          <cell r="IY290">
            <v>1.43</v>
          </cell>
          <cell r="IZ290">
            <v>3.681</v>
          </cell>
          <cell r="JA290">
            <v>4.9779999999999998</v>
          </cell>
          <cell r="JB290">
            <v>3.3420000000000001</v>
          </cell>
          <cell r="JC290">
            <v>2.81</v>
          </cell>
          <cell r="JD290">
            <v>3.274</v>
          </cell>
          <cell r="JE290">
            <v>4.702</v>
          </cell>
          <cell r="JF290">
            <v>5.9450000000000003</v>
          </cell>
          <cell r="JG290">
            <v>4.5010000000000003</v>
          </cell>
          <cell r="JH290">
            <v>4.0010000000000003</v>
          </cell>
          <cell r="JI290">
            <v>3.7749999999999999</v>
          </cell>
          <cell r="JJ290">
            <v>3.9950000000000001</v>
          </cell>
          <cell r="JK290">
            <v>3.5449999999999999</v>
          </cell>
          <cell r="JL290">
            <v>3.01</v>
          </cell>
          <cell r="JM290">
            <v>4.2690000000000001</v>
          </cell>
          <cell r="JN290">
            <v>4.1239999999999997</v>
          </cell>
          <cell r="JO290">
            <v>3.738</v>
          </cell>
          <cell r="JP290">
            <v>4.8369999999999997</v>
          </cell>
          <cell r="JQ290">
            <v>4.9980000000000002</v>
          </cell>
          <cell r="JR290">
            <v>5.0839999999999996</v>
          </cell>
          <cell r="JS290">
            <v>4.2560000000000002</v>
          </cell>
          <cell r="JT290">
            <v>3.4670000000000001</v>
          </cell>
          <cell r="JU290">
            <v>3.403</v>
          </cell>
          <cell r="JV290">
            <v>2.0369999999999999</v>
          </cell>
          <cell r="JW290">
            <v>1.742</v>
          </cell>
          <cell r="JX290">
            <v>1.968</v>
          </cell>
          <cell r="JY290">
            <v>4.7919999999999998</v>
          </cell>
          <cell r="JZ290">
            <v>3.6840000000000002</v>
          </cell>
          <cell r="KA290">
            <v>2.58</v>
          </cell>
          <cell r="KB290">
            <v>3.6070000000000002</v>
          </cell>
          <cell r="KC290">
            <v>3.53</v>
          </cell>
          <cell r="KD290">
            <v>2.9289999999999998</v>
          </cell>
          <cell r="KE290">
            <v>2.17</v>
          </cell>
          <cell r="KF290">
            <v>2.4409999999999998</v>
          </cell>
          <cell r="KG290">
            <v>2.6819999999999999</v>
          </cell>
          <cell r="KH290">
            <v>3.468</v>
          </cell>
          <cell r="KI290">
            <v>2.6019999999999999</v>
          </cell>
          <cell r="KJ290">
            <v>2.3130000000000002</v>
          </cell>
          <cell r="KK290">
            <v>2.472</v>
          </cell>
          <cell r="KL290">
            <v>2.4740000000000002</v>
          </cell>
          <cell r="KM290">
            <v>2.5369999999999999</v>
          </cell>
          <cell r="KN290">
            <v>2.2919999999999998</v>
          </cell>
          <cell r="KO290">
            <v>2.4950000000000001</v>
          </cell>
          <cell r="KP290">
            <v>1.7010000000000001</v>
          </cell>
          <cell r="KQ290">
            <v>2.0329999999999999</v>
          </cell>
          <cell r="KR290">
            <v>2.367</v>
          </cell>
          <cell r="KS290">
            <v>1.823</v>
          </cell>
          <cell r="KT290">
            <v>2.1619999999999999</v>
          </cell>
          <cell r="KU290">
            <v>1.659</v>
          </cell>
          <cell r="KV290">
            <v>2.0369999999999999</v>
          </cell>
          <cell r="KW290">
            <v>1.911</v>
          </cell>
          <cell r="KX290">
            <v>1.552</v>
          </cell>
          <cell r="KY290">
            <v>1.3759999999999999</v>
          </cell>
          <cell r="KZ290">
            <v>1.2410000000000001</v>
          </cell>
          <cell r="LA290">
            <v>1.21</v>
          </cell>
          <cell r="LB290">
            <v>1.222</v>
          </cell>
          <cell r="LC290">
            <v>1.2350000000000001</v>
          </cell>
          <cell r="LD290">
            <v>0.98399999999999999</v>
          </cell>
          <cell r="LE290">
            <v>1.1990000000000001</v>
          </cell>
          <cell r="LF290">
            <v>1.764</v>
          </cell>
          <cell r="LG290">
            <v>1.5464279999999999</v>
          </cell>
          <cell r="LH290">
            <v>1.181403</v>
          </cell>
          <cell r="LI290">
            <v>0.91469800000000001</v>
          </cell>
          <cell r="LJ290">
            <v>1.981786</v>
          </cell>
          <cell r="LK290">
            <v>1.7452099999999999</v>
          </cell>
          <cell r="LL290">
            <v>1.0517030000000001</v>
          </cell>
          <cell r="LM290">
            <v>1.078435</v>
          </cell>
          <cell r="LN290">
            <v>0.79033900000000001</v>
          </cell>
          <cell r="LO290">
            <v>1.071682</v>
          </cell>
          <cell r="LP290">
            <v>1.591396</v>
          </cell>
          <cell r="LQ290">
            <v>2.712701</v>
          </cell>
          <cell r="LR290">
            <v>2.1912910000000001</v>
          </cell>
          <cell r="LS290">
            <v>1.5387219999999999</v>
          </cell>
          <cell r="LT290">
            <v>2.1238640000000002</v>
          </cell>
          <cell r="LU290">
            <v>2.515066</v>
          </cell>
          <cell r="LV290">
            <v>2.891785</v>
          </cell>
          <cell r="LW290">
            <v>2.3702869999999998</v>
          </cell>
          <cell r="LX290">
            <v>2.2042670000000002</v>
          </cell>
          <cell r="LY290">
            <v>2.3604889999999998</v>
          </cell>
          <cell r="LZ290">
            <v>2.1865709999999998</v>
          </cell>
          <cell r="MA290">
            <v>2.2286220000000001</v>
          </cell>
          <cell r="MB290">
            <v>2.3047970000000002</v>
          </cell>
          <cell r="MC290">
            <v>2.47384</v>
          </cell>
          <cell r="MD290">
            <v>2.090929</v>
          </cell>
          <cell r="ME290">
            <v>1.184178</v>
          </cell>
          <cell r="MF290">
            <v>2.8321390000000002</v>
          </cell>
          <cell r="MG290">
            <v>3.5183360000000001</v>
          </cell>
          <cell r="MH290">
            <v>3.3978160000000002</v>
          </cell>
          <cell r="MI290">
            <v>5.6451890000000002</v>
          </cell>
          <cell r="MJ290">
            <v>3.8842680000000001</v>
          </cell>
          <cell r="MK290">
            <v>3.3005599999999999</v>
          </cell>
          <cell r="ML290">
            <v>2.539183</v>
          </cell>
          <cell r="MM290">
            <v>2.620819</v>
          </cell>
          <cell r="MN290">
            <v>3.632924</v>
          </cell>
          <cell r="MO290">
            <v>2.9322149999999998</v>
          </cell>
          <cell r="MP290">
            <v>2.6442169999999998</v>
          </cell>
          <cell r="MQ290">
            <v>2.0998160000000001</v>
          </cell>
          <cell r="MR290">
            <v>6.4283479999999997</v>
          </cell>
          <cell r="MS290">
            <v>5.3081160000000001</v>
          </cell>
          <cell r="MT290">
            <v>5.3866719999999999</v>
          </cell>
          <cell r="MU290">
            <v>5.6909999999999998</v>
          </cell>
          <cell r="MV290">
            <v>4.8</v>
          </cell>
          <cell r="MW290">
            <v>5.7279999999999998</v>
          </cell>
          <cell r="MX290">
            <v>3.298</v>
          </cell>
          <cell r="MY290">
            <v>3.2970000000000002</v>
          </cell>
          <cell r="MZ290">
            <v>3.7759999999999998</v>
          </cell>
          <cell r="NA290">
            <v>2.8620000000000001</v>
          </cell>
          <cell r="NB290">
            <v>2.88</v>
          </cell>
          <cell r="NC290">
            <v>2.0539999999999998</v>
          </cell>
          <cell r="ND290">
            <v>5.0629999999999997</v>
          </cell>
          <cell r="NE290">
            <v>5.8460000000000001</v>
          </cell>
          <cell r="NF290">
            <v>4.7300000000000004</v>
          </cell>
          <cell r="NG290">
            <v>3.6992880000000001</v>
          </cell>
          <cell r="NH290">
            <v>2.9562349999999999</v>
          </cell>
          <cell r="NI290">
            <v>5.7325929999999996</v>
          </cell>
        </row>
      </sheetData>
      <sheetData sheetId="39">
        <row r="290">
          <cell r="AU290">
            <v>0</v>
          </cell>
          <cell r="AV290">
            <v>6.5000000000000002E-2</v>
          </cell>
          <cell r="AW290">
            <v>7.8E-2</v>
          </cell>
          <cell r="AX290">
            <v>3.2000000000000001E-2</v>
          </cell>
          <cell r="AY290">
            <v>9.2999999999999999E-2</v>
          </cell>
          <cell r="AZ290">
            <v>0.114</v>
          </cell>
          <cell r="BA290">
            <v>9.0999999999999998E-2</v>
          </cell>
          <cell r="BB290">
            <v>0.218</v>
          </cell>
          <cell r="BC290">
            <v>4.4999999999999998E-2</v>
          </cell>
          <cell r="BD290">
            <v>7.1999999999999995E-2</v>
          </cell>
          <cell r="BE290">
            <v>0.126</v>
          </cell>
          <cell r="BF290">
            <v>0</v>
          </cell>
          <cell r="BG290">
            <v>3.2000000000000001E-2</v>
          </cell>
          <cell r="BH290">
            <v>2.3E-2</v>
          </cell>
          <cell r="BI290">
            <v>1.2E-2</v>
          </cell>
          <cell r="BJ290">
            <v>5.5E-2</v>
          </cell>
          <cell r="BK290">
            <v>4.4999999999999998E-2</v>
          </cell>
          <cell r="BL290">
            <v>5.8999999999999997E-2</v>
          </cell>
          <cell r="BM290">
            <v>0</v>
          </cell>
          <cell r="BN290">
            <v>2.3E-2</v>
          </cell>
          <cell r="BO290">
            <v>1.9E-2</v>
          </cell>
          <cell r="BP290">
            <v>1E-3</v>
          </cell>
          <cell r="BQ290">
            <v>0</v>
          </cell>
          <cell r="BR290">
            <v>1E-3</v>
          </cell>
          <cell r="BS290">
            <v>4.8000000000000001E-2</v>
          </cell>
          <cell r="BT290">
            <v>3.3000000000000002E-2</v>
          </cell>
          <cell r="BU290">
            <v>1E-3</v>
          </cell>
          <cell r="BV290">
            <v>4.0000000000000001E-3</v>
          </cell>
          <cell r="BW290">
            <v>7.0999999999999994E-2</v>
          </cell>
          <cell r="BX290">
            <v>2E-3</v>
          </cell>
          <cell r="BY290">
            <v>5.8999999999999997E-2</v>
          </cell>
          <cell r="BZ290">
            <v>7.4999999999999997E-2</v>
          </cell>
          <cell r="CA290">
            <v>3.5999999999999997E-2</v>
          </cell>
          <cell r="CB290">
            <v>4.8000000000000001E-2</v>
          </cell>
          <cell r="CC290">
            <v>1E-3</v>
          </cell>
          <cell r="CD290">
            <v>1E-3</v>
          </cell>
          <cell r="CE290">
            <v>5.1360000000000001</v>
          </cell>
          <cell r="CF290">
            <v>0</v>
          </cell>
          <cell r="CG290">
            <v>4.0000000000000001E-3</v>
          </cell>
          <cell r="CH290">
            <v>1E-3</v>
          </cell>
          <cell r="CI290">
            <v>0.04</v>
          </cell>
          <cell r="CJ290">
            <v>1E-3</v>
          </cell>
          <cell r="CK290">
            <v>2E-3</v>
          </cell>
          <cell r="CL290">
            <v>3.0000000000000001E-3</v>
          </cell>
          <cell r="CM290">
            <v>1E-3</v>
          </cell>
          <cell r="CN290">
            <v>1E-3</v>
          </cell>
          <cell r="CO290">
            <v>0</v>
          </cell>
          <cell r="CP290">
            <v>0</v>
          </cell>
          <cell r="CQ290">
            <v>0</v>
          </cell>
          <cell r="CR290">
            <v>2.5999999999999999E-2</v>
          </cell>
          <cell r="CS290">
            <v>0</v>
          </cell>
          <cell r="CT290">
            <v>0</v>
          </cell>
          <cell r="CU290">
            <v>9.4E-2</v>
          </cell>
          <cell r="CV290">
            <v>0.187</v>
          </cell>
          <cell r="CW290">
            <v>0.27500000000000002</v>
          </cell>
          <cell r="CX290">
            <v>0.17299999999999999</v>
          </cell>
          <cell r="CY290">
            <v>8.2000000000000003E-2</v>
          </cell>
          <cell r="CZ290">
            <v>0.25900000000000001</v>
          </cell>
          <cell r="DA290">
            <v>0</v>
          </cell>
          <cell r="DB290">
            <v>9.1999999999999998E-2</v>
          </cell>
          <cell r="DC290">
            <v>0.26900000000000002</v>
          </cell>
          <cell r="DD290">
            <v>0.18</v>
          </cell>
          <cell r="DE290">
            <v>0.17799999999999999</v>
          </cell>
          <cell r="DF290">
            <v>0.17499999999999999</v>
          </cell>
          <cell r="DG290">
            <v>0.185</v>
          </cell>
          <cell r="DH290">
            <v>0.17899999999999999</v>
          </cell>
          <cell r="DI290">
            <v>0.17899999999999999</v>
          </cell>
          <cell r="DJ290">
            <v>9.0999999999999998E-2</v>
          </cell>
          <cell r="DK290">
            <v>0.17199999999999999</v>
          </cell>
          <cell r="DL290">
            <v>7.9000000000000001E-2</v>
          </cell>
          <cell r="DM290">
            <v>0.17599999999999999</v>
          </cell>
          <cell r="DN290">
            <v>0.182</v>
          </cell>
          <cell r="DO290">
            <v>8.6999999999999994E-2</v>
          </cell>
          <cell r="DP290">
            <v>0.11899999999999999</v>
          </cell>
          <cell r="DQ290">
            <v>0.17299999999999999</v>
          </cell>
          <cell r="DR290">
            <v>9.0999999999999998E-2</v>
          </cell>
          <cell r="DS290">
            <v>0.16600000000000001</v>
          </cell>
          <cell r="DT290">
            <v>0</v>
          </cell>
          <cell r="DU290">
            <v>0</v>
          </cell>
          <cell r="DV290">
            <v>9.0999999999999998E-2</v>
          </cell>
          <cell r="DW290">
            <v>0.25900000000000001</v>
          </cell>
          <cell r="DX290">
            <v>0.182</v>
          </cell>
          <cell r="DY290">
            <v>0.27200000000000002</v>
          </cell>
          <cell r="DZ290">
            <v>0</v>
          </cell>
          <cell r="EA290">
            <v>0.25</v>
          </cell>
          <cell r="EB290">
            <v>8.3000000000000004E-2</v>
          </cell>
          <cell r="EC290">
            <v>9.0999999999999998E-2</v>
          </cell>
          <cell r="ED290">
            <v>0.45300000000000001</v>
          </cell>
          <cell r="EE290">
            <v>0.16500000000000001</v>
          </cell>
          <cell r="EF290">
            <v>8.5000000000000006E-2</v>
          </cell>
          <cell r="EG290">
            <v>0</v>
          </cell>
          <cell r="EH290">
            <v>0.44400000000000001</v>
          </cell>
          <cell r="EI290">
            <v>0.14499999999999999</v>
          </cell>
          <cell r="EJ290">
            <v>0.13700000000000001</v>
          </cell>
          <cell r="EK290">
            <v>0.16500000000000001</v>
          </cell>
          <cell r="EL290">
            <v>0.20599999999999999</v>
          </cell>
          <cell r="EM290">
            <v>0.11700000000000001</v>
          </cell>
          <cell r="EN290">
            <v>0.23799999999999999</v>
          </cell>
          <cell r="EO290">
            <v>0.17799999999999999</v>
          </cell>
          <cell r="EP290">
            <v>8.4000000000000005E-2</v>
          </cell>
          <cell r="EQ290">
            <v>0.92747000000000002</v>
          </cell>
          <cell r="ER290">
            <v>0.28399999999999997</v>
          </cell>
          <cell r="ES290">
            <v>1.7270000000000001</v>
          </cell>
          <cell r="ET290">
            <v>0.09</v>
          </cell>
          <cell r="EU290">
            <v>0.28499999999999998</v>
          </cell>
          <cell r="EV290">
            <v>2E-3</v>
          </cell>
          <cell r="EW290">
            <v>1.1592</v>
          </cell>
          <cell r="EX290">
            <v>0</v>
          </cell>
          <cell r="EY290">
            <v>3.9E-2</v>
          </cell>
          <cell r="EZ290">
            <v>3.0746600000000002</v>
          </cell>
          <cell r="FA290">
            <v>2E-3</v>
          </cell>
          <cell r="FB290">
            <v>1.4135200000000001</v>
          </cell>
          <cell r="FC290">
            <v>1.1557200000000001</v>
          </cell>
          <cell r="FD290">
            <v>0.191</v>
          </cell>
          <cell r="FE290">
            <v>0.70704</v>
          </cell>
          <cell r="FF290">
            <v>0.67396</v>
          </cell>
          <cell r="FG290">
            <v>0.37546000000000002</v>
          </cell>
          <cell r="FH290">
            <v>0.86238000000000004</v>
          </cell>
          <cell r="FI290">
            <v>4.0000000000000001E-3</v>
          </cell>
          <cell r="FJ290">
            <v>8.9999999999999993E-3</v>
          </cell>
          <cell r="FK290">
            <v>1.4875400000000001</v>
          </cell>
          <cell r="FL290">
            <v>0.03</v>
          </cell>
          <cell r="FM290">
            <v>0.85975999999999997</v>
          </cell>
          <cell r="FN290">
            <v>0.49822</v>
          </cell>
          <cell r="FO290">
            <v>9.6000000000000002E-2</v>
          </cell>
          <cell r="FP290">
            <v>8.6999999999999994E-2</v>
          </cell>
          <cell r="FQ290">
            <v>0.47595999999999999</v>
          </cell>
          <cell r="FR290">
            <v>9.0999999999999998E-2</v>
          </cell>
          <cell r="FS290">
            <v>2E-3</v>
          </cell>
          <cell r="FT290">
            <v>0.19572000000000001</v>
          </cell>
          <cell r="FU290">
            <v>0.157</v>
          </cell>
          <cell r="FV290">
            <v>0.16900000000000001</v>
          </cell>
          <cell r="FW290">
            <v>0.23</v>
          </cell>
          <cell r="FX290">
            <v>0.184</v>
          </cell>
          <cell r="FY290">
            <v>0.105</v>
          </cell>
          <cell r="FZ290">
            <v>0.19</v>
          </cell>
          <cell r="GA290">
            <v>9.2999999999999999E-2</v>
          </cell>
          <cell r="GB290">
            <v>8.6999999999999994E-2</v>
          </cell>
          <cell r="GC290">
            <v>9.1999999999999998E-2</v>
          </cell>
          <cell r="GD290">
            <v>0.27800000000000002</v>
          </cell>
          <cell r="GE290">
            <v>9.5000000000000001E-2</v>
          </cell>
          <cell r="GF290">
            <v>0.187</v>
          </cell>
          <cell r="GG290">
            <v>0.187</v>
          </cell>
          <cell r="GH290">
            <v>9.1999999999999998E-2</v>
          </cell>
          <cell r="GI290">
            <v>0.16800000000000001</v>
          </cell>
          <cell r="GJ290">
            <v>0.187</v>
          </cell>
          <cell r="GK290">
            <v>0.17199999999999999</v>
          </cell>
          <cell r="GL290">
            <v>8.8999999999999996E-2</v>
          </cell>
          <cell r="GM290">
            <v>0.25900000000000001</v>
          </cell>
          <cell r="GN290">
            <v>0.26600000000000001</v>
          </cell>
          <cell r="GO290">
            <v>0.09</v>
          </cell>
          <cell r="GP290">
            <v>2.2280000000000002</v>
          </cell>
          <cell r="GQ290">
            <v>9.5000000000000001E-2</v>
          </cell>
          <cell r="GR290">
            <v>0.128</v>
          </cell>
          <cell r="GS290">
            <v>0.27100000000000002</v>
          </cell>
          <cell r="GT290">
            <v>0.09</v>
          </cell>
          <cell r="GU290">
            <v>0.185</v>
          </cell>
          <cell r="GV290">
            <v>8.4000000000000005E-2</v>
          </cell>
          <cell r="GW290">
            <v>8.7999999999999995E-2</v>
          </cell>
          <cell r="GX290">
            <v>0.26100000000000001</v>
          </cell>
          <cell r="GY290">
            <v>0.13400000000000001</v>
          </cell>
          <cell r="GZ290">
            <v>9.5000000000000001E-2</v>
          </cell>
          <cell r="HA290">
            <v>0.17799999999999999</v>
          </cell>
          <cell r="HB290">
            <v>0.19</v>
          </cell>
          <cell r="HC290">
            <v>9.5000000000000001E-2</v>
          </cell>
          <cell r="HD290">
            <v>0.19</v>
          </cell>
          <cell r="HE290">
            <v>9.4E-2</v>
          </cell>
          <cell r="HF290">
            <v>0.17899999999999999</v>
          </cell>
          <cell r="HG290">
            <v>0.182</v>
          </cell>
          <cell r="HH290">
            <v>0.17299999999999999</v>
          </cell>
          <cell r="HI290">
            <v>0.16900000000000001</v>
          </cell>
          <cell r="HJ290">
            <v>0.19700000000000001</v>
          </cell>
          <cell r="HK290">
            <v>9.2999999999999999E-2</v>
          </cell>
          <cell r="HL290">
            <v>0.184</v>
          </cell>
          <cell r="HM290">
            <v>0.33300000000000002</v>
          </cell>
          <cell r="HN290">
            <v>0.185</v>
          </cell>
          <cell r="HO290">
            <v>0.16</v>
          </cell>
          <cell r="HP290">
            <v>0.23799999999999999</v>
          </cell>
          <cell r="HQ290">
            <v>0.23300000000000001</v>
          </cell>
          <cell r="HR290">
            <v>0.26600000000000001</v>
          </cell>
          <cell r="HS290">
            <v>0.182</v>
          </cell>
          <cell r="HT290">
            <v>0.19500000000000001</v>
          </cell>
          <cell r="HU290">
            <v>9.5000000000000001E-2</v>
          </cell>
          <cell r="HV290">
            <v>0.159</v>
          </cell>
          <cell r="HW290">
            <v>0.18099999999999999</v>
          </cell>
          <cell r="HX290">
            <v>0.11899999999999999</v>
          </cell>
          <cell r="HY290">
            <v>0.16800000000000001</v>
          </cell>
          <cell r="HZ290">
            <v>8.8999999999999996E-2</v>
          </cell>
          <cell r="IA290">
            <v>0.246</v>
          </cell>
          <cell r="IB290">
            <v>9.5000000000000001E-2</v>
          </cell>
          <cell r="IC290">
            <v>0.27200000000000002</v>
          </cell>
          <cell r="ID290">
            <v>9.8000000000000004E-2</v>
          </cell>
          <cell r="IE290">
            <v>9.7000000000000003E-2</v>
          </cell>
          <cell r="IF290">
            <v>0.19500000000000001</v>
          </cell>
          <cell r="IG290">
            <v>9.1999999999999998E-2</v>
          </cell>
          <cell r="IH290">
            <v>0.191</v>
          </cell>
          <cell r="II290">
            <v>0.106</v>
          </cell>
          <cell r="IJ290">
            <v>0.09</v>
          </cell>
          <cell r="IK290">
            <v>9.8000000000000004E-2</v>
          </cell>
          <cell r="IL290">
            <v>0.09</v>
          </cell>
          <cell r="IM290">
            <v>0.09</v>
          </cell>
          <cell r="IN290">
            <v>0.104</v>
          </cell>
          <cell r="IO290">
            <v>9.1999999999999998E-2</v>
          </cell>
          <cell r="IP290">
            <v>0.189</v>
          </cell>
          <cell r="IQ290">
            <v>0.24099999999999999</v>
          </cell>
          <cell r="IR290">
            <v>0.1</v>
          </cell>
          <cell r="IS290">
            <v>0.2</v>
          </cell>
          <cell r="IT290">
            <v>0.29699999999999999</v>
          </cell>
          <cell r="IU290">
            <v>0.19600000000000001</v>
          </cell>
          <cell r="IV290">
            <v>0.1</v>
          </cell>
          <cell r="IW290">
            <v>0.20100000000000001</v>
          </cell>
          <cell r="IX290">
            <v>0.19900000000000001</v>
          </cell>
          <cell r="IY290">
            <v>9.8000000000000004E-2</v>
          </cell>
          <cell r="IZ290">
            <v>0.19500000000000001</v>
          </cell>
          <cell r="JA290">
            <v>0.20300000000000001</v>
          </cell>
          <cell r="JB290">
            <v>0.1</v>
          </cell>
          <cell r="JC290">
            <v>0.186</v>
          </cell>
          <cell r="JD290">
            <v>0.105</v>
          </cell>
          <cell r="JE290">
            <v>6.6000000000000003E-2</v>
          </cell>
          <cell r="JF290">
            <v>0.35599999999999998</v>
          </cell>
          <cell r="JG290">
            <v>0.20799999999999999</v>
          </cell>
          <cell r="JH290">
            <v>0.188</v>
          </cell>
          <cell r="JI290">
            <v>0.502</v>
          </cell>
          <cell r="JJ290">
            <v>0.23100000000000001</v>
          </cell>
          <cell r="JK290">
            <v>1.7999999999999999E-2</v>
          </cell>
          <cell r="JL290">
            <v>6.0999999999999999E-2</v>
          </cell>
          <cell r="JM290">
            <v>6.5000000000000002E-2</v>
          </cell>
          <cell r="JN290">
            <v>0.22900000000000001</v>
          </cell>
          <cell r="JO290">
            <v>0.14199999999999999</v>
          </cell>
          <cell r="JP290">
            <v>0.25600000000000001</v>
          </cell>
          <cell r="JQ290">
            <v>7.5999999999999998E-2</v>
          </cell>
          <cell r="JR290">
            <v>9.4E-2</v>
          </cell>
          <cell r="JS290">
            <v>0.314</v>
          </cell>
          <cell r="JT290">
            <v>0.217</v>
          </cell>
          <cell r="JU290">
            <v>0.309</v>
          </cell>
          <cell r="JV290">
            <v>0.129</v>
          </cell>
          <cell r="JW290">
            <v>5.0999999999999997E-2</v>
          </cell>
          <cell r="JX290">
            <v>0.122</v>
          </cell>
          <cell r="JY290">
            <v>0.24</v>
          </cell>
          <cell r="JZ290">
            <v>0.21099999999999999</v>
          </cell>
          <cell r="KA290">
            <v>8.5000000000000006E-2</v>
          </cell>
          <cell r="KB290">
            <v>0.17899999999999999</v>
          </cell>
          <cell r="KC290">
            <v>0.19900000000000001</v>
          </cell>
          <cell r="KD290">
            <v>0.186</v>
          </cell>
          <cell r="KE290">
            <v>0.121</v>
          </cell>
          <cell r="KF290">
            <v>0.33100000000000002</v>
          </cell>
          <cell r="KG290">
            <v>0.11899999999999999</v>
          </cell>
          <cell r="KH290">
            <v>0.17299999999999999</v>
          </cell>
          <cell r="KI290">
            <v>0.115</v>
          </cell>
          <cell r="KJ290">
            <v>0.39400000000000002</v>
          </cell>
          <cell r="KK290">
            <v>0.20399999999999999</v>
          </cell>
          <cell r="KL290">
            <v>0.23100000000000001</v>
          </cell>
          <cell r="KM290">
            <v>6.3E-2</v>
          </cell>
          <cell r="KN290">
            <v>0.434</v>
          </cell>
          <cell r="KO290">
            <v>0.157</v>
          </cell>
          <cell r="KP290">
            <v>0.218</v>
          </cell>
          <cell r="KQ290">
            <v>0.184</v>
          </cell>
          <cell r="KR290">
            <v>0.63600000000000001</v>
          </cell>
          <cell r="KS290">
            <v>0.20799999999999999</v>
          </cell>
          <cell r="KT290">
            <v>0.17699999999999999</v>
          </cell>
          <cell r="KU290">
            <v>0.223</v>
          </cell>
          <cell r="KV290">
            <v>0.182</v>
          </cell>
          <cell r="KW290">
            <v>5.7000000000000002E-2</v>
          </cell>
          <cell r="KX290">
            <v>0.248</v>
          </cell>
          <cell r="KY290">
            <v>0.124</v>
          </cell>
          <cell r="KZ290">
            <v>0.128</v>
          </cell>
          <cell r="LA290">
            <v>0.255</v>
          </cell>
          <cell r="LB290">
            <v>0.34399999999999997</v>
          </cell>
          <cell r="LC290">
            <v>6.0999999999999999E-2</v>
          </cell>
          <cell r="LD290">
            <v>0.379</v>
          </cell>
          <cell r="LE290">
            <v>0.128</v>
          </cell>
          <cell r="LF290">
            <v>0.129</v>
          </cell>
          <cell r="LG290">
            <v>0.254</v>
          </cell>
          <cell r="LH290">
            <v>0.121</v>
          </cell>
          <cell r="LI290">
            <v>0.55500000000000005</v>
          </cell>
          <cell r="LJ290">
            <v>6.4000000000000001E-2</v>
          </cell>
          <cell r="LK290">
            <v>0.221</v>
          </cell>
          <cell r="LL290">
            <v>7.1999999999999995E-2</v>
          </cell>
          <cell r="LM290">
            <v>0.26400000000000001</v>
          </cell>
          <cell r="LN290">
            <v>0.32600000000000001</v>
          </cell>
          <cell r="LO290">
            <v>0.314</v>
          </cell>
          <cell r="LP290">
            <v>0.307</v>
          </cell>
          <cell r="LQ290">
            <v>0.17299999999999999</v>
          </cell>
          <cell r="LR290">
            <v>0.20100000000000001</v>
          </cell>
          <cell r="LS290">
            <v>0.214</v>
          </cell>
          <cell r="LT290">
            <v>0.20499999999999999</v>
          </cell>
          <cell r="LU290">
            <v>0.22500000000000001</v>
          </cell>
          <cell r="LV290">
            <v>0.55300000000000005</v>
          </cell>
          <cell r="LW290">
            <v>0.70799999999999996</v>
          </cell>
          <cell r="LX290">
            <v>1.137</v>
          </cell>
          <cell r="LY290">
            <v>1.417</v>
          </cell>
          <cell r="LZ290">
            <v>0.88</v>
          </cell>
          <cell r="MA290">
            <v>1.9239999999999999</v>
          </cell>
          <cell r="MB290">
            <v>1.964</v>
          </cell>
          <cell r="MC290">
            <v>2.4980000000000002</v>
          </cell>
          <cell r="MD290">
            <v>1.976</v>
          </cell>
          <cell r="ME290">
            <v>1.294</v>
          </cell>
          <cell r="MF290">
            <v>0.94799999999999995</v>
          </cell>
          <cell r="MG290">
            <v>1.6080000000000001</v>
          </cell>
          <cell r="MH290">
            <v>1.8440000000000001</v>
          </cell>
          <cell r="MI290">
            <v>2.0819999999999999</v>
          </cell>
          <cell r="MJ290">
            <v>2.1349999999999998</v>
          </cell>
          <cell r="MK290">
            <v>2.7530000000000001</v>
          </cell>
          <cell r="ML290">
            <v>1.5389999999999999</v>
          </cell>
          <cell r="MM290">
            <v>1.7869999999999999</v>
          </cell>
          <cell r="MN290">
            <v>1.39</v>
          </cell>
          <cell r="MO290">
            <v>1.665</v>
          </cell>
          <cell r="MP290">
            <v>1.371</v>
          </cell>
          <cell r="MQ290">
            <v>1.0860000000000001</v>
          </cell>
          <cell r="MR290">
            <v>1.36</v>
          </cell>
          <cell r="MS290">
            <v>2.3929999999999998</v>
          </cell>
          <cell r="MT290">
            <v>2.9220000000000002</v>
          </cell>
          <cell r="MU290">
            <v>2.331</v>
          </cell>
          <cell r="MV290">
            <v>2.1</v>
          </cell>
          <cell r="MW290">
            <v>2.097</v>
          </cell>
          <cell r="MX290">
            <v>2.044</v>
          </cell>
          <cell r="MY290">
            <v>1.9159999999999999</v>
          </cell>
          <cell r="MZ290">
            <v>2.5779999999999998</v>
          </cell>
          <cell r="NA290">
            <v>1.55</v>
          </cell>
          <cell r="NB290">
            <v>1.9670000000000001</v>
          </cell>
          <cell r="NC290">
            <v>3.0630000000000002</v>
          </cell>
          <cell r="ND290">
            <v>2.2930000000000001</v>
          </cell>
          <cell r="NE290">
            <v>2.5830000000000002</v>
          </cell>
          <cell r="NF290">
            <v>1.875</v>
          </cell>
          <cell r="NG290">
            <v>1.7290000000000001</v>
          </cell>
          <cell r="NH290">
            <v>1.548</v>
          </cell>
          <cell r="NI290">
            <v>1.84</v>
          </cell>
        </row>
      </sheetData>
      <sheetData sheetId="40">
        <row r="290">
          <cell r="AU290"/>
          <cell r="AV290"/>
          <cell r="AW290"/>
          <cell r="AX290">
            <v>1.7000000000000001E-2</v>
          </cell>
          <cell r="AY290"/>
          <cell r="AZ290"/>
          <cell r="BA290"/>
          <cell r="BB290"/>
          <cell r="BC290"/>
          <cell r="BD290"/>
          <cell r="BE290"/>
          <cell r="BF290"/>
          <cell r="BG290">
            <v>1.286</v>
          </cell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>
            <v>8.0000000000000002E-3</v>
          </cell>
          <cell r="BV290"/>
          <cell r="BW290">
            <v>6.5000000000000002E-2</v>
          </cell>
          <cell r="BX290">
            <v>4.2000000000000003E-2</v>
          </cell>
          <cell r="BY290"/>
          <cell r="BZ290">
            <v>0.02</v>
          </cell>
          <cell r="CA290"/>
          <cell r="CB290">
            <v>0.02</v>
          </cell>
          <cell r="CC290">
            <v>1.7999999999999999E-2</v>
          </cell>
          <cell r="CD290"/>
          <cell r="CE290"/>
          <cell r="CF290">
            <v>1.9E-2</v>
          </cell>
          <cell r="CG290">
            <v>7.9000000000000001E-2</v>
          </cell>
          <cell r="CH290">
            <v>8.0000000000000002E-3</v>
          </cell>
          <cell r="CI290">
            <v>8.0000000000000002E-3</v>
          </cell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>
            <v>1E-3</v>
          </cell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K290"/>
          <cell r="DL290"/>
          <cell r="DM290"/>
          <cell r="DN290"/>
          <cell r="DO290"/>
          <cell r="DP290"/>
          <cell r="DQ290"/>
          <cell r="DR290"/>
          <cell r="DS290"/>
          <cell r="DT290">
            <v>2.4E-2</v>
          </cell>
          <cell r="DU290">
            <v>1.9E-2</v>
          </cell>
          <cell r="DV290"/>
          <cell r="DW290">
            <v>8.5999999999999993E-2</v>
          </cell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>
            <v>1.9E-2</v>
          </cell>
          <cell r="EJ290"/>
          <cell r="EK290"/>
          <cell r="EL290"/>
          <cell r="EM290"/>
          <cell r="EN290"/>
          <cell r="EO290">
            <v>2.4E-2</v>
          </cell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/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>
            <v>0.11</v>
          </cell>
          <cell r="FS290"/>
          <cell r="FT290"/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/>
          <cell r="GF290"/>
          <cell r="GG290"/>
          <cell r="GH290"/>
          <cell r="GI290"/>
          <cell r="GJ290"/>
          <cell r="GK290"/>
          <cell r="GL290"/>
          <cell r="GM290"/>
          <cell r="GN290"/>
          <cell r="GO290"/>
          <cell r="GP290">
            <v>3.879</v>
          </cell>
          <cell r="GQ290"/>
          <cell r="GR290"/>
          <cell r="GS290"/>
          <cell r="GT290"/>
          <cell r="GU290"/>
          <cell r="GV290"/>
          <cell r="GW290"/>
          <cell r="GX290"/>
          <cell r="GY290"/>
          <cell r="GZ290"/>
          <cell r="HA290"/>
          <cell r="HB290"/>
          <cell r="HC290"/>
          <cell r="HD290"/>
          <cell r="HE290"/>
          <cell r="HF290"/>
          <cell r="HG290"/>
          <cell r="HH290"/>
          <cell r="HI290"/>
          <cell r="HJ290"/>
          <cell r="HK290"/>
          <cell r="HL290"/>
          <cell r="HM290"/>
          <cell r="HN290"/>
          <cell r="HO290"/>
          <cell r="HP290"/>
          <cell r="HQ290"/>
          <cell r="HR290"/>
          <cell r="HS290"/>
          <cell r="HT290"/>
          <cell r="HU290"/>
          <cell r="HV290"/>
          <cell r="HW290"/>
          <cell r="HX290"/>
          <cell r="HY290"/>
          <cell r="HZ290"/>
          <cell r="IA290"/>
          <cell r="IB290"/>
          <cell r="IC290"/>
          <cell r="ID290"/>
          <cell r="IE290"/>
          <cell r="IF290"/>
          <cell r="IG290"/>
          <cell r="IH290"/>
          <cell r="II290"/>
          <cell r="IJ290"/>
          <cell r="IK290"/>
          <cell r="IL290"/>
          <cell r="IM290"/>
          <cell r="IN290"/>
          <cell r="IO290"/>
          <cell r="IP290"/>
          <cell r="IQ290"/>
          <cell r="IR290"/>
          <cell r="IS290"/>
          <cell r="IT290"/>
          <cell r="IU290"/>
          <cell r="IV290"/>
          <cell r="IW290"/>
          <cell r="IX290"/>
          <cell r="IY290"/>
          <cell r="IZ290"/>
          <cell r="JA290"/>
          <cell r="JB290"/>
          <cell r="JC290"/>
          <cell r="JD290"/>
          <cell r="JE290"/>
          <cell r="JF290"/>
          <cell r="JG290"/>
          <cell r="JH290"/>
          <cell r="JI290"/>
          <cell r="JJ290"/>
          <cell r="JK290">
            <v>0.24299999999999999</v>
          </cell>
          <cell r="JL290">
            <v>0.30399999999999999</v>
          </cell>
          <cell r="JM290">
            <v>7.6999999999999999E-2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/>
          <cell r="KM290"/>
          <cell r="KN290"/>
          <cell r="KO290">
            <v>0.219</v>
          </cell>
          <cell r="KP290"/>
          <cell r="KQ290">
            <v>9.9000000000000005E-2</v>
          </cell>
          <cell r="KR290">
            <v>0.30499999999999999</v>
          </cell>
          <cell r="KS290">
            <v>0.29599999999999999</v>
          </cell>
          <cell r="KT290">
            <v>0.29699999999999999</v>
          </cell>
          <cell r="KU290">
            <v>0.29699999999999999</v>
          </cell>
          <cell r="KV290">
            <v>0.94699999999999995</v>
          </cell>
          <cell r="KW290">
            <v>0.29599999999999999</v>
          </cell>
          <cell r="KX290">
            <v>0.307</v>
          </cell>
          <cell r="KY290">
            <v>0.24299999999999999</v>
          </cell>
          <cell r="KZ290">
            <v>0</v>
          </cell>
          <cell r="LA290">
            <v>0</v>
          </cell>
          <cell r="LB290">
            <v>0.02</v>
          </cell>
          <cell r="LC290">
            <v>0.02</v>
          </cell>
          <cell r="LD290">
            <v>0</v>
          </cell>
          <cell r="LE290">
            <v>0</v>
          </cell>
          <cell r="LF290">
            <v>0</v>
          </cell>
          <cell r="LG290">
            <v>0.31</v>
          </cell>
          <cell r="LH290">
            <v>0</v>
          </cell>
          <cell r="LI290">
            <v>0</v>
          </cell>
          <cell r="LJ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Q290">
            <v>0</v>
          </cell>
          <cell r="LR290">
            <v>0</v>
          </cell>
          <cell r="LS290">
            <v>0</v>
          </cell>
          <cell r="LT290">
            <v>0</v>
          </cell>
          <cell r="LU290">
            <v>0</v>
          </cell>
          <cell r="LV290">
            <v>0</v>
          </cell>
          <cell r="LW290">
            <v>0</v>
          </cell>
          <cell r="LX290">
            <v>0</v>
          </cell>
          <cell r="LY290">
            <v>0</v>
          </cell>
          <cell r="LZ290">
            <v>0</v>
          </cell>
          <cell r="MA290">
            <v>0</v>
          </cell>
          <cell r="MB290">
            <v>0</v>
          </cell>
          <cell r="MC290">
            <v>0</v>
          </cell>
          <cell r="MD290">
            <v>0</v>
          </cell>
          <cell r="ME290">
            <v>0</v>
          </cell>
          <cell r="MF290">
            <v>0</v>
          </cell>
          <cell r="MG290">
            <v>0</v>
          </cell>
          <cell r="MH290">
            <v>0</v>
          </cell>
          <cell r="MI290">
            <v>0</v>
          </cell>
          <cell r="MJ290">
            <v>0</v>
          </cell>
          <cell r="MK290">
            <v>0</v>
          </cell>
          <cell r="ML290">
            <v>0</v>
          </cell>
          <cell r="MM290">
            <v>0</v>
          </cell>
          <cell r="MN290">
            <v>0</v>
          </cell>
          <cell r="MO290">
            <v>0</v>
          </cell>
          <cell r="MP290">
            <v>0</v>
          </cell>
          <cell r="MQ290">
            <v>0</v>
          </cell>
          <cell r="MR290">
            <v>0</v>
          </cell>
          <cell r="MS290">
            <v>0</v>
          </cell>
          <cell r="MT290">
            <v>0</v>
          </cell>
          <cell r="MU290">
            <v>2.1999999999999999E-2</v>
          </cell>
          <cell r="MV290">
            <v>0.10299999999999999</v>
          </cell>
          <cell r="MW290">
            <v>0.10299999999999999</v>
          </cell>
          <cell r="MX290">
            <v>0</v>
          </cell>
          <cell r="MY290">
            <v>0</v>
          </cell>
          <cell r="MZ290">
            <v>0</v>
          </cell>
          <cell r="NA290">
            <v>3.0000000000000001E-3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</row>
      </sheetData>
      <sheetData sheetId="41">
        <row r="290">
          <cell r="AU290">
            <v>1.087</v>
          </cell>
          <cell r="AV290">
            <v>0.83299999999999996</v>
          </cell>
          <cell r="AW290">
            <v>0.80300000000000005</v>
          </cell>
          <cell r="AX290">
            <v>1.3759999999999999</v>
          </cell>
          <cell r="AY290">
            <v>1.08</v>
          </cell>
          <cell r="AZ290">
            <v>0.82899999999999996</v>
          </cell>
          <cell r="BA290">
            <v>0.66700000000000004</v>
          </cell>
          <cell r="BB290">
            <v>1.0529999999999999</v>
          </cell>
          <cell r="BC290">
            <v>1.163</v>
          </cell>
          <cell r="BD290">
            <v>1.232</v>
          </cell>
          <cell r="BE290">
            <v>1.54</v>
          </cell>
          <cell r="BF290">
            <v>1.0680000000000001</v>
          </cell>
          <cell r="BG290">
            <v>1.8340000000000001</v>
          </cell>
          <cell r="BH290">
            <v>1.5249999999999999</v>
          </cell>
          <cell r="BI290">
            <v>1.9370000000000001</v>
          </cell>
          <cell r="BJ290">
            <v>1.23</v>
          </cell>
          <cell r="BK290">
            <v>2.452</v>
          </cell>
          <cell r="BL290">
            <v>2.4289999999999998</v>
          </cell>
          <cell r="BM290">
            <v>1.619</v>
          </cell>
          <cell r="BN290">
            <v>1.512</v>
          </cell>
          <cell r="BO290">
            <v>1.5549999999999999</v>
          </cell>
          <cell r="BP290">
            <v>1.1040000000000001</v>
          </cell>
          <cell r="BQ290">
            <v>1.24</v>
          </cell>
          <cell r="BR290">
            <v>0.86799999999999999</v>
          </cell>
          <cell r="BS290">
            <v>1.2989999999999999</v>
          </cell>
          <cell r="BT290">
            <v>1.2649999999999999</v>
          </cell>
          <cell r="BU290">
            <v>0.81899999999999995</v>
          </cell>
          <cell r="BV290">
            <v>1.008</v>
          </cell>
          <cell r="BW290">
            <v>1.075</v>
          </cell>
          <cell r="BX290">
            <v>0.90300000000000002</v>
          </cell>
          <cell r="BY290">
            <v>1.0029999999999999</v>
          </cell>
          <cell r="BZ290">
            <v>0.92900000000000005</v>
          </cell>
          <cell r="CA290">
            <v>1.1479999999999999</v>
          </cell>
          <cell r="CB290">
            <v>0.86599999999999999</v>
          </cell>
          <cell r="CC290">
            <v>2.5</v>
          </cell>
          <cell r="CD290">
            <v>1.177</v>
          </cell>
          <cell r="CE290">
            <v>1.1919999999999999</v>
          </cell>
          <cell r="CF290">
            <v>0.97699999999999998</v>
          </cell>
          <cell r="CG290">
            <v>1.323</v>
          </cell>
          <cell r="CH290">
            <v>0.83399999999999996</v>
          </cell>
          <cell r="CI290">
            <v>1.405</v>
          </cell>
          <cell r="CJ290">
            <v>1.39</v>
          </cell>
          <cell r="CK290">
            <v>1.3320000000000001</v>
          </cell>
          <cell r="CL290">
            <v>1.034</v>
          </cell>
          <cell r="CM290">
            <v>1.1499999999999999</v>
          </cell>
          <cell r="CN290">
            <v>1.0980000000000001</v>
          </cell>
          <cell r="CO290">
            <v>1.5880000000000001</v>
          </cell>
          <cell r="CP290">
            <v>1.512</v>
          </cell>
          <cell r="CQ290">
            <v>1.581</v>
          </cell>
          <cell r="CR290">
            <v>1.3</v>
          </cell>
          <cell r="CS290">
            <v>1.476</v>
          </cell>
          <cell r="CT290">
            <v>1.833</v>
          </cell>
          <cell r="CU290">
            <v>1.7450000000000001</v>
          </cell>
          <cell r="CV290">
            <v>2.2330000000000001</v>
          </cell>
          <cell r="CW290">
            <v>1.542</v>
          </cell>
          <cell r="CX290">
            <v>1.5529999999999999</v>
          </cell>
          <cell r="CY290">
            <v>2.5169999999999999</v>
          </cell>
          <cell r="CZ290">
            <v>3.3980000000000001</v>
          </cell>
          <cell r="DA290">
            <v>2.7170000000000001</v>
          </cell>
          <cell r="DB290">
            <v>2.3319999999999999</v>
          </cell>
          <cell r="DC290">
            <v>2.0350000000000001</v>
          </cell>
          <cell r="DD290">
            <v>2.2890000000000001</v>
          </cell>
          <cell r="DE290">
            <v>1.736</v>
          </cell>
          <cell r="DF290">
            <v>1.407</v>
          </cell>
          <cell r="DG290">
            <v>1.96</v>
          </cell>
          <cell r="DH290">
            <v>2.6520000000000001</v>
          </cell>
          <cell r="DI290">
            <v>1.409</v>
          </cell>
          <cell r="DJ290">
            <v>3.339</v>
          </cell>
          <cell r="DK290">
            <v>1.7150000000000001</v>
          </cell>
          <cell r="DL290">
            <v>1.3149999999999999</v>
          </cell>
          <cell r="DM290">
            <v>2.4380000000000002</v>
          </cell>
          <cell r="DN290">
            <v>2.2389999999999999</v>
          </cell>
          <cell r="DO290">
            <v>2.819</v>
          </cell>
          <cell r="DP290">
            <v>2.2879999999999998</v>
          </cell>
          <cell r="DQ290">
            <v>2.86</v>
          </cell>
          <cell r="DR290">
            <v>2.66</v>
          </cell>
          <cell r="DS290">
            <v>4.3760000000000003</v>
          </cell>
          <cell r="DT290">
            <v>1.548</v>
          </cell>
          <cell r="DU290">
            <v>1.62</v>
          </cell>
          <cell r="DV290">
            <v>4.3920000000000003</v>
          </cell>
          <cell r="DW290">
            <v>1.7150000000000001</v>
          </cell>
          <cell r="DX290">
            <v>2.2890000000000001</v>
          </cell>
          <cell r="DY290">
            <v>2.8849999999999998</v>
          </cell>
          <cell r="DZ290">
            <v>3.2149999999999999</v>
          </cell>
          <cell r="EA290">
            <v>1.919</v>
          </cell>
          <cell r="EB290">
            <v>3.3959999999999999</v>
          </cell>
          <cell r="EC290">
            <v>2.6789999999999998</v>
          </cell>
          <cell r="ED290">
            <v>3.899</v>
          </cell>
          <cell r="EE290">
            <v>0.84399999999999997</v>
          </cell>
          <cell r="EF290">
            <v>1.839</v>
          </cell>
          <cell r="EG290">
            <v>1.5649999999999999</v>
          </cell>
          <cell r="EH290">
            <v>3.6219999999999999</v>
          </cell>
          <cell r="EI290">
            <v>2.2389999999999999</v>
          </cell>
          <cell r="EJ290">
            <v>2.1230000000000002</v>
          </cell>
          <cell r="EK290">
            <v>2.2709999999999999</v>
          </cell>
          <cell r="EL290">
            <v>1.2689999999999999</v>
          </cell>
          <cell r="EM290">
            <v>1.306</v>
          </cell>
          <cell r="EN290">
            <v>1.7010000000000001</v>
          </cell>
          <cell r="EO290">
            <v>1.139</v>
          </cell>
          <cell r="EP290">
            <v>1.5569999999999999</v>
          </cell>
          <cell r="EQ290">
            <v>1.4279999999999999</v>
          </cell>
          <cell r="ER290">
            <v>1.3049999999999999</v>
          </cell>
          <cell r="ES290">
            <v>1.5820000000000001</v>
          </cell>
          <cell r="ET290">
            <v>1.329</v>
          </cell>
          <cell r="EU290">
            <v>1.92</v>
          </cell>
          <cell r="EV290">
            <v>1.94</v>
          </cell>
          <cell r="EW290">
            <v>1.0429999999999999</v>
          </cell>
          <cell r="EX290">
            <v>1.8759999999999999</v>
          </cell>
          <cell r="EY290">
            <v>1.56</v>
          </cell>
          <cell r="EZ290">
            <v>1.4339999999999999</v>
          </cell>
          <cell r="FA290">
            <v>1.968</v>
          </cell>
          <cell r="FB290">
            <v>1.4410000000000001</v>
          </cell>
          <cell r="FC290">
            <v>1.8160000000000001</v>
          </cell>
          <cell r="FD290">
            <v>2.1160000000000001</v>
          </cell>
          <cell r="FE290">
            <v>1.706</v>
          </cell>
          <cell r="FF290">
            <v>1.589</v>
          </cell>
          <cell r="FG290">
            <v>3.2069999999999999</v>
          </cell>
          <cell r="FH290">
            <v>4.5279999999999996</v>
          </cell>
          <cell r="FI290">
            <v>3.2349999999999999</v>
          </cell>
          <cell r="FJ290">
            <v>3.444</v>
          </cell>
          <cell r="FK290">
            <v>4.0419999999999998</v>
          </cell>
          <cell r="FL290">
            <v>3.2669999999999999</v>
          </cell>
          <cell r="FM290">
            <v>3.4809999999999999</v>
          </cell>
          <cell r="FN290">
            <v>4.46</v>
          </cell>
          <cell r="FO290">
            <v>4.5839999999999996</v>
          </cell>
          <cell r="FP290">
            <v>3.327</v>
          </cell>
          <cell r="FQ290">
            <v>3.1720000000000002</v>
          </cell>
          <cell r="FR290">
            <v>4.0090000000000003</v>
          </cell>
          <cell r="FS290">
            <v>3.0289999999999999</v>
          </cell>
          <cell r="FT290">
            <v>3.9870000000000001</v>
          </cell>
          <cell r="FU290">
            <v>4.407</v>
          </cell>
          <cell r="FV290">
            <v>3.6469999999999998</v>
          </cell>
          <cell r="FW290">
            <v>3.7690000000000001</v>
          </cell>
          <cell r="FX290">
            <v>3.42</v>
          </cell>
          <cell r="FY290">
            <v>4.891</v>
          </cell>
          <cell r="FZ290">
            <v>3.8069999999999999</v>
          </cell>
          <cell r="GA290">
            <v>5.3879999999999999</v>
          </cell>
          <cell r="GB290">
            <v>4.0179999999999998</v>
          </cell>
          <cell r="GC290">
            <v>5.0229999999999997</v>
          </cell>
          <cell r="GD290">
            <v>4.032</v>
          </cell>
          <cell r="GE290">
            <v>3.9359999999999999</v>
          </cell>
          <cell r="GF290">
            <v>5.1890000000000001</v>
          </cell>
          <cell r="GG290">
            <v>4.3659999999999997</v>
          </cell>
          <cell r="GH290">
            <v>4.0259999999999998</v>
          </cell>
          <cell r="GI290">
            <v>3.8879999999999999</v>
          </cell>
          <cell r="GJ290">
            <v>3.5339999999999998</v>
          </cell>
          <cell r="GK290">
            <v>5.7039999999999997</v>
          </cell>
          <cell r="GL290">
            <v>5.3360000000000003</v>
          </cell>
          <cell r="GM290">
            <v>3.621</v>
          </cell>
          <cell r="GN290">
            <v>4.2649999999999997</v>
          </cell>
          <cell r="GO290">
            <v>4.8479999999999999</v>
          </cell>
          <cell r="GP290">
            <v>3.472</v>
          </cell>
          <cell r="GQ290">
            <v>4.3090000000000002</v>
          </cell>
          <cell r="GR290">
            <v>3.4409999999999998</v>
          </cell>
          <cell r="GS290">
            <v>4.1950000000000003</v>
          </cell>
          <cell r="GT290">
            <v>4.2729999999999997</v>
          </cell>
          <cell r="GU290">
            <v>3.67</v>
          </cell>
          <cell r="GV290">
            <v>3.1480000000000001</v>
          </cell>
          <cell r="GW290">
            <v>5.6479999999999997</v>
          </cell>
          <cell r="GX290">
            <v>3.3010000000000002</v>
          </cell>
          <cell r="GY290">
            <v>3.7509999999999999</v>
          </cell>
          <cell r="GZ290">
            <v>5.415</v>
          </cell>
          <cell r="HA290">
            <v>4.335</v>
          </cell>
          <cell r="HB290">
            <v>3.84</v>
          </cell>
          <cell r="HC290">
            <v>4.0609999999999999</v>
          </cell>
          <cell r="HD290">
            <v>4.2939999999999996</v>
          </cell>
          <cell r="HE290">
            <v>3.5470000000000002</v>
          </cell>
          <cell r="HF290">
            <v>3.1469999999999998</v>
          </cell>
          <cell r="HG290">
            <v>4.0199999999999996</v>
          </cell>
          <cell r="HH290">
            <v>4.0380000000000003</v>
          </cell>
          <cell r="HI290">
            <v>3.0350000000000001</v>
          </cell>
          <cell r="HJ290">
            <v>4.3920000000000003</v>
          </cell>
          <cell r="HK290">
            <v>4.5730000000000004</v>
          </cell>
          <cell r="HL290">
            <v>3.948</v>
          </cell>
          <cell r="HM290">
            <v>4.8179999999999996</v>
          </cell>
          <cell r="HN290">
            <v>4.4870000000000001</v>
          </cell>
          <cell r="HO290">
            <v>4.5640000000000001</v>
          </cell>
          <cell r="HP290">
            <v>3.3090000000000002</v>
          </cell>
          <cell r="HQ290">
            <v>3.6030000000000002</v>
          </cell>
          <cell r="HR290">
            <v>4.024</v>
          </cell>
          <cell r="HS290">
            <v>2.76</v>
          </cell>
          <cell r="HT290">
            <v>2.9910000000000001</v>
          </cell>
          <cell r="HU290">
            <v>2.9359999999999999</v>
          </cell>
          <cell r="HV290">
            <v>2.4169999999999998</v>
          </cell>
          <cell r="HW290">
            <v>2.2389999999999999</v>
          </cell>
          <cell r="HX290">
            <v>1.9870000000000001</v>
          </cell>
          <cell r="HY290">
            <v>1.5249999999999999</v>
          </cell>
          <cell r="HZ290">
            <v>2.4470000000000001</v>
          </cell>
          <cell r="IA290">
            <v>2.3170000000000002</v>
          </cell>
          <cell r="IB290">
            <v>1.9650000000000001</v>
          </cell>
          <cell r="IC290">
            <v>2.359</v>
          </cell>
          <cell r="ID290">
            <v>1.712</v>
          </cell>
          <cell r="IE290">
            <v>2.125</v>
          </cell>
          <cell r="IF290">
            <v>1.7669999999999999</v>
          </cell>
          <cell r="IG290">
            <v>1.9490000000000001</v>
          </cell>
          <cell r="IH290">
            <v>1.464</v>
          </cell>
          <cell r="II290">
            <v>2.0070000000000001</v>
          </cell>
          <cell r="IJ290">
            <v>1.169</v>
          </cell>
          <cell r="IK290">
            <v>1.6739999999999999</v>
          </cell>
          <cell r="IL290">
            <v>1.7709999999999999</v>
          </cell>
          <cell r="IM290">
            <v>1.3169999999999999</v>
          </cell>
          <cell r="IN290">
            <v>1.6359999999999999</v>
          </cell>
          <cell r="IO290">
            <v>1.861</v>
          </cell>
          <cell r="IP290">
            <v>1.5669999999999999</v>
          </cell>
          <cell r="IQ290">
            <v>1.3220000000000001</v>
          </cell>
          <cell r="IR290">
            <v>1.5940000000000001</v>
          </cell>
          <cell r="IS290">
            <v>1.7889999999999999</v>
          </cell>
          <cell r="IT290">
            <v>1.915</v>
          </cell>
          <cell r="IU290">
            <v>1.7709999999999999</v>
          </cell>
          <cell r="IV290">
            <v>2.08</v>
          </cell>
          <cell r="IW290">
            <v>1.506</v>
          </cell>
          <cell r="IX290">
            <v>1.4139999999999999</v>
          </cell>
          <cell r="IY290">
            <v>1.6919999999999999</v>
          </cell>
          <cell r="IZ290">
            <v>1.506</v>
          </cell>
          <cell r="JA290">
            <v>1.7509999999999999</v>
          </cell>
          <cell r="JB290">
            <v>1.546</v>
          </cell>
          <cell r="JC290">
            <v>2.5329999999999999</v>
          </cell>
          <cell r="JD290">
            <v>1.202</v>
          </cell>
          <cell r="JE290">
            <v>1.4079999999999999</v>
          </cell>
          <cell r="JF290">
            <v>1.474</v>
          </cell>
          <cell r="JG290">
            <v>1.389</v>
          </cell>
          <cell r="JH290">
            <v>1.5169999999999999</v>
          </cell>
          <cell r="JI290">
            <v>1.7549999999999999</v>
          </cell>
          <cell r="JJ290">
            <v>1.575</v>
          </cell>
          <cell r="JK290">
            <v>1.544</v>
          </cell>
          <cell r="JL290">
            <v>1.665</v>
          </cell>
          <cell r="JM290">
            <v>1.4510000000000001</v>
          </cell>
          <cell r="JN290">
            <v>1.266</v>
          </cell>
          <cell r="JO290">
            <v>2.653</v>
          </cell>
          <cell r="JP290">
            <v>1.462</v>
          </cell>
          <cell r="JQ290">
            <v>1.629</v>
          </cell>
          <cell r="JR290">
            <v>1.464</v>
          </cell>
          <cell r="JS290">
            <v>1.5229999999999999</v>
          </cell>
          <cell r="JT290">
            <v>1.4750000000000001</v>
          </cell>
          <cell r="JU290">
            <v>1.5009999999999999</v>
          </cell>
          <cell r="JV290">
            <v>1.8420000000000001</v>
          </cell>
          <cell r="JW290">
            <v>1.998</v>
          </cell>
          <cell r="JX290">
            <v>1.665</v>
          </cell>
          <cell r="JY290">
            <v>4.0119999999999996</v>
          </cell>
          <cell r="JZ290">
            <v>2.165</v>
          </cell>
          <cell r="KA290">
            <v>1.8380000000000001</v>
          </cell>
          <cell r="KB290">
            <v>3.786</v>
          </cell>
          <cell r="KC290">
            <v>1.921</v>
          </cell>
          <cell r="KD290">
            <v>2.5409999999999999</v>
          </cell>
          <cell r="KE290">
            <v>1.837</v>
          </cell>
          <cell r="KF290">
            <v>1.5529999999999999</v>
          </cell>
          <cell r="KG290">
            <v>2.1459999999999999</v>
          </cell>
          <cell r="KH290">
            <v>1.595</v>
          </cell>
          <cell r="KI290">
            <v>1.7669999999999999</v>
          </cell>
          <cell r="KJ290">
            <v>1.946</v>
          </cell>
          <cell r="KK290">
            <v>2.2029999999999998</v>
          </cell>
          <cell r="KL290">
            <v>1.5429999999999999</v>
          </cell>
          <cell r="KM290">
            <v>1.8560000000000001</v>
          </cell>
          <cell r="KN290">
            <v>2.089</v>
          </cell>
          <cell r="KO290">
            <v>2.0230000000000001</v>
          </cell>
          <cell r="KP290">
            <v>1.716</v>
          </cell>
          <cell r="KQ290">
            <v>1.4279999999999999</v>
          </cell>
          <cell r="KR290">
            <v>1.9159999999999999</v>
          </cell>
          <cell r="KS290">
            <v>1.71</v>
          </cell>
          <cell r="KT290">
            <v>2.552</v>
          </cell>
          <cell r="KU290">
            <v>2.3079999999999998</v>
          </cell>
          <cell r="KV290">
            <v>2.0670000000000002</v>
          </cell>
          <cell r="KW290">
            <v>1.907</v>
          </cell>
          <cell r="KX290">
            <v>2.073</v>
          </cell>
          <cell r="KY290">
            <v>2.0739999999999998</v>
          </cell>
          <cell r="KZ290">
            <v>1.5509999999999999</v>
          </cell>
          <cell r="LA290">
            <v>2.2549999999999999</v>
          </cell>
          <cell r="LB290">
            <v>1.7509999999999999</v>
          </cell>
          <cell r="LC290">
            <v>2.1619999999999999</v>
          </cell>
          <cell r="LD290">
            <v>2.0135070000000002</v>
          </cell>
          <cell r="LE290">
            <v>2.0616430000000001</v>
          </cell>
          <cell r="LF290">
            <v>2.1957450000000001</v>
          </cell>
          <cell r="LG290">
            <v>1.8306249999999999</v>
          </cell>
          <cell r="LH290">
            <v>2.3935369999999998</v>
          </cell>
          <cell r="LI290">
            <v>1.6007480000000001</v>
          </cell>
          <cell r="LJ290">
            <v>1.322676</v>
          </cell>
          <cell r="LK290">
            <v>2.0925919999999998</v>
          </cell>
          <cell r="LL290">
            <v>2.4475319999999998</v>
          </cell>
          <cell r="LM290">
            <v>3.0385979999999999</v>
          </cell>
          <cell r="LN290">
            <v>1.501369</v>
          </cell>
          <cell r="LO290">
            <v>1.77475</v>
          </cell>
          <cell r="LP290">
            <v>2.4345289999999999</v>
          </cell>
          <cell r="LQ290">
            <v>2.7275550000000002</v>
          </cell>
          <cell r="LR290">
            <v>2.5198480000000001</v>
          </cell>
          <cell r="LS290">
            <v>1.912784</v>
          </cell>
          <cell r="LT290">
            <v>2.2096119999999999</v>
          </cell>
          <cell r="LU290">
            <v>2.6804579999999998</v>
          </cell>
          <cell r="LV290">
            <v>2.462704</v>
          </cell>
          <cell r="LW290">
            <v>2.5263939999999998</v>
          </cell>
          <cell r="LX290">
            <v>1.9479329999999999</v>
          </cell>
          <cell r="LY290">
            <v>2.8662179999999999</v>
          </cell>
          <cell r="LZ290">
            <v>1.928126</v>
          </cell>
          <cell r="MA290">
            <v>2.3433069999999998</v>
          </cell>
          <cell r="MB290">
            <v>2.4217360000000001</v>
          </cell>
          <cell r="MC290">
            <v>3.0427300000000002</v>
          </cell>
          <cell r="MD290">
            <v>2.746969</v>
          </cell>
          <cell r="ME290">
            <v>2.0152220000000001</v>
          </cell>
          <cell r="MF290">
            <v>2.2202389999999999</v>
          </cell>
          <cell r="MG290">
            <v>3.3876659999999998</v>
          </cell>
          <cell r="MH290">
            <v>3.0332499999999998</v>
          </cell>
          <cell r="MI290">
            <v>2.9831859999999999</v>
          </cell>
          <cell r="MJ290">
            <v>2.0053779999999999</v>
          </cell>
          <cell r="MK290">
            <v>2.8357049999999999</v>
          </cell>
          <cell r="ML290">
            <v>2.6845859999999999</v>
          </cell>
          <cell r="MM290">
            <v>3.7536019999999999</v>
          </cell>
          <cell r="MN290">
            <v>3.2840699999999998</v>
          </cell>
          <cell r="MO290">
            <v>3.44659</v>
          </cell>
          <cell r="MP290">
            <v>4.6908640000000004</v>
          </cell>
          <cell r="MQ290">
            <v>6.3400720000000002</v>
          </cell>
          <cell r="MR290">
            <v>5.8220720000000004</v>
          </cell>
          <cell r="MS290">
            <v>5.0058129999999998</v>
          </cell>
          <cell r="MT290">
            <v>4.9093140000000002</v>
          </cell>
          <cell r="MU290">
            <v>4.3230000000000004</v>
          </cell>
          <cell r="MV290">
            <v>2.1160000000000001</v>
          </cell>
          <cell r="MW290">
            <v>4.3600000000000003</v>
          </cell>
          <cell r="MX290">
            <v>3.5379999999999998</v>
          </cell>
          <cell r="MY290">
            <v>4.3179999999999996</v>
          </cell>
          <cell r="MZ290">
            <v>3.738</v>
          </cell>
          <cell r="NA290">
            <v>4.5810000000000004</v>
          </cell>
          <cell r="NB290">
            <v>4.08</v>
          </cell>
          <cell r="NC290">
            <v>3.4430000000000001</v>
          </cell>
          <cell r="ND290">
            <v>3.2210000000000001</v>
          </cell>
          <cell r="NE290">
            <v>3.5249999999999999</v>
          </cell>
          <cell r="NF290">
            <v>3.8159999999999998</v>
          </cell>
          <cell r="NG290">
            <v>6.9939999999999998</v>
          </cell>
          <cell r="NH290">
            <v>4.899</v>
          </cell>
          <cell r="NI290">
            <v>7.0460000000000003</v>
          </cell>
        </row>
      </sheetData>
      <sheetData sheetId="42">
        <row r="290">
          <cell r="AU290">
            <v>1.2999999999999999E-2</v>
          </cell>
          <cell r="AV290">
            <v>0.1</v>
          </cell>
          <cell r="AW290">
            <v>1E-3</v>
          </cell>
          <cell r="AX290">
            <v>9.5600000000000004E-2</v>
          </cell>
          <cell r="AY290">
            <v>2.1080000000000002E-2</v>
          </cell>
          <cell r="AZ290">
            <v>0</v>
          </cell>
          <cell r="BA290">
            <v>1.5E-3</v>
          </cell>
          <cell r="BB290">
            <v>0.27400000000000002</v>
          </cell>
          <cell r="BC290">
            <v>7.3599999999999999E-2</v>
          </cell>
          <cell r="BD290">
            <v>0.32700000000000001</v>
          </cell>
          <cell r="BE290">
            <v>1.7000000000000001E-2</v>
          </cell>
          <cell r="BF290">
            <v>0.54800000000000004</v>
          </cell>
          <cell r="BG290">
            <v>1.0680000000000001</v>
          </cell>
          <cell r="BH290">
            <v>1.0780000000000001</v>
          </cell>
          <cell r="BI290">
            <v>1.1999999999999999E-3</v>
          </cell>
          <cell r="BJ290">
            <v>0.99299999999999999</v>
          </cell>
          <cell r="BK290">
            <v>2.1344999999999999E-2</v>
          </cell>
          <cell r="BL290">
            <v>7.0000000000000001E-3</v>
          </cell>
          <cell r="BM290">
            <v>6.0000000000000001E-3</v>
          </cell>
          <cell r="BN290">
            <v>4.0000000000000001E-3</v>
          </cell>
          <cell r="BO290">
            <v>2.7E-2</v>
          </cell>
          <cell r="BP290">
            <v>3.2000000000000001E-2</v>
          </cell>
          <cell r="BQ290">
            <v>2.044</v>
          </cell>
          <cell r="BR290">
            <v>2.1999999999999999E-2</v>
          </cell>
          <cell r="BS290">
            <v>1E-3</v>
          </cell>
          <cell r="BT290">
            <v>2E-3</v>
          </cell>
          <cell r="BU290">
            <v>1.8E-5</v>
          </cell>
          <cell r="BV290">
            <v>4.0000000000000001E-3</v>
          </cell>
          <cell r="BW290">
            <v>5.0000000000000001E-3</v>
          </cell>
          <cell r="BX290">
            <v>1.7999999999999999E-2</v>
          </cell>
          <cell r="BY290">
            <v>6.0000000000000001E-3</v>
          </cell>
          <cell r="BZ290">
            <v>1E-3</v>
          </cell>
          <cell r="CA290">
            <v>3.5999999999999997E-2</v>
          </cell>
          <cell r="CB290">
            <v>1.5389999999999999</v>
          </cell>
          <cell r="CC290">
            <v>5.0000000000000001E-3</v>
          </cell>
          <cell r="CD290">
            <v>2E-3</v>
          </cell>
          <cell r="CE290">
            <v>4.0000000000000001E-3</v>
          </cell>
          <cell r="CF290">
            <v>1.012</v>
          </cell>
          <cell r="CG290">
            <v>5.0000000000000001E-3</v>
          </cell>
          <cell r="CH290">
            <v>6.0000000000000001E-3</v>
          </cell>
          <cell r="CI290">
            <v>1.4999999999999999E-2</v>
          </cell>
          <cell r="CJ290">
            <v>2.1999999999999999E-2</v>
          </cell>
          <cell r="CK290">
            <v>1E-3</v>
          </cell>
          <cell r="CL290">
            <v>5.0000000000000001E-3</v>
          </cell>
          <cell r="CM290">
            <v>2.3E-2</v>
          </cell>
          <cell r="CN290">
            <v>0.01</v>
          </cell>
          <cell r="CO290">
            <v>0.02</v>
          </cell>
          <cell r="CP290">
            <v>0</v>
          </cell>
          <cell r="CQ290">
            <v>2.4E-2</v>
          </cell>
          <cell r="CR290">
            <v>3.0000000000000001E-3</v>
          </cell>
          <cell r="CS290">
            <v>3.0000000000000001E-3</v>
          </cell>
          <cell r="CT290">
            <v>2E-3</v>
          </cell>
          <cell r="CU290">
            <v>1.7000000000000001E-2</v>
          </cell>
          <cell r="CV290">
            <v>3.0000000000000001E-3</v>
          </cell>
          <cell r="CW290">
            <v>2.1999999999999999E-2</v>
          </cell>
          <cell r="CX290">
            <v>1E-3</v>
          </cell>
          <cell r="CY290">
            <v>0</v>
          </cell>
          <cell r="CZ290">
            <v>2.3E-2</v>
          </cell>
          <cell r="DA290">
            <v>6.0000000000000001E-3</v>
          </cell>
          <cell r="DB290">
            <v>4.0000000000000001E-3</v>
          </cell>
          <cell r="DC290">
            <v>8.0000000000000002E-3</v>
          </cell>
          <cell r="DD290">
            <v>7.0000000000000001E-3</v>
          </cell>
          <cell r="DE290">
            <v>5.0000000000000001E-3</v>
          </cell>
          <cell r="DF290">
            <v>2E-3</v>
          </cell>
          <cell r="DG290">
            <v>8.9999999999999993E-3</v>
          </cell>
          <cell r="DH290">
            <v>6.0000000000000001E-3</v>
          </cell>
          <cell r="DI290">
            <v>3.3000000000000002E-2</v>
          </cell>
          <cell r="DJ290">
            <v>8.0000000000000002E-3</v>
          </cell>
          <cell r="DK290">
            <v>3.2000000000000001E-2</v>
          </cell>
          <cell r="DL290">
            <v>2.3E-2</v>
          </cell>
          <cell r="DM290">
            <v>5.0000000000000001E-3</v>
          </cell>
          <cell r="DN290">
            <v>4.0000000000000001E-3</v>
          </cell>
          <cell r="DO290">
            <v>2.1999999999999999E-2</v>
          </cell>
          <cell r="DP290">
            <v>3.4489999999999998</v>
          </cell>
          <cell r="DQ290">
            <v>6.0000000000000001E-3</v>
          </cell>
          <cell r="DR290">
            <v>3.0000000000000001E-3</v>
          </cell>
          <cell r="DS290">
            <v>0.51100000000000001</v>
          </cell>
          <cell r="DT290">
            <v>5.0000000000000001E-3</v>
          </cell>
          <cell r="DU290">
            <v>5.0000000000000001E-3</v>
          </cell>
          <cell r="DV290">
            <v>6.0000000000000001E-3</v>
          </cell>
          <cell r="DW290">
            <v>0</v>
          </cell>
          <cell r="DX290">
            <v>4.0000000000000001E-3</v>
          </cell>
          <cell r="DY290">
            <v>3.0000000000000001E-3</v>
          </cell>
          <cell r="DZ290">
            <v>6.0000000000000001E-3</v>
          </cell>
          <cell r="EA290">
            <v>2.4E-2</v>
          </cell>
          <cell r="EB290">
            <v>8.0000000000000002E-3</v>
          </cell>
          <cell r="EC290">
            <v>5.586E-2</v>
          </cell>
          <cell r="ED290">
            <v>2E-3</v>
          </cell>
          <cell r="EE290">
            <v>1.9E-2</v>
          </cell>
          <cell r="EF290">
            <v>1.7999999999999999E-2</v>
          </cell>
          <cell r="EG290">
            <v>8.0000000000000002E-3</v>
          </cell>
          <cell r="EH290">
            <v>4.0000000000000001E-3</v>
          </cell>
          <cell r="EI290">
            <v>1.6E-2</v>
          </cell>
          <cell r="EJ290">
            <v>3.2000000000000001E-2</v>
          </cell>
          <cell r="EK290">
            <v>2E-3</v>
          </cell>
          <cell r="EL290">
            <v>0.01</v>
          </cell>
          <cell r="EM290">
            <v>5.0000000000000001E-3</v>
          </cell>
          <cell r="EN290">
            <v>2E-3</v>
          </cell>
          <cell r="EO290">
            <v>1E-3</v>
          </cell>
          <cell r="EP290">
            <v>2.1999999999999999E-2</v>
          </cell>
          <cell r="EQ290">
            <v>8.0199999999999994E-2</v>
          </cell>
          <cell r="ER290">
            <v>1.6E-2</v>
          </cell>
          <cell r="ES290">
            <v>4.8000000000000001E-2</v>
          </cell>
          <cell r="ET290">
            <v>2.7E-2</v>
          </cell>
          <cell r="EU290">
            <v>1E-3</v>
          </cell>
          <cell r="EV290">
            <v>1E-3</v>
          </cell>
          <cell r="EW290">
            <v>2.5000000000000001E-2</v>
          </cell>
          <cell r="EX290">
            <v>0.16300000000000001</v>
          </cell>
          <cell r="EY290">
            <v>5.8000000000000003E-2</v>
          </cell>
          <cell r="EZ290">
            <v>3.0000000000000001E-3</v>
          </cell>
          <cell r="FA290">
            <v>2.5000000000000001E-2</v>
          </cell>
          <cell r="FB290">
            <v>6.6000000000000003E-2</v>
          </cell>
          <cell r="FC290">
            <v>1.4999999999999999E-2</v>
          </cell>
          <cell r="FD290">
            <v>0.10299999999999999</v>
          </cell>
          <cell r="FE290">
            <v>2.4E-2</v>
          </cell>
          <cell r="FF290">
            <v>2.4E-2</v>
          </cell>
          <cell r="FG290">
            <v>1.9E-2</v>
          </cell>
          <cell r="FH290">
            <v>8.9999999999999993E-3</v>
          </cell>
          <cell r="FI290">
            <v>0.48</v>
          </cell>
          <cell r="FJ290">
            <v>1.4750000000000001</v>
          </cell>
          <cell r="FK290">
            <v>5.8999999999999997E-2</v>
          </cell>
          <cell r="FL290">
            <v>0.42599999999999999</v>
          </cell>
          <cell r="FM290">
            <v>0.47</v>
          </cell>
          <cell r="FN290">
            <v>4.2000000000000003E-2</v>
          </cell>
          <cell r="FO290">
            <v>7.0000000000000001E-3</v>
          </cell>
          <cell r="FP290">
            <v>2.4E-2</v>
          </cell>
          <cell r="FQ290">
            <v>2.5999999999999999E-2</v>
          </cell>
          <cell r="FR290">
            <v>6.4000000000000001E-2</v>
          </cell>
          <cell r="FS290">
            <v>1E-3</v>
          </cell>
          <cell r="FT290">
            <v>1E-3</v>
          </cell>
          <cell r="FU290">
            <v>2.1999999999999999E-2</v>
          </cell>
          <cell r="FV290">
            <v>4.4999999999999998E-2</v>
          </cell>
          <cell r="FW290">
            <v>2E-3</v>
          </cell>
          <cell r="FX290">
            <v>6.4000000000000001E-2</v>
          </cell>
          <cell r="FY290">
            <v>6.5000000000000002E-2</v>
          </cell>
          <cell r="FZ290">
            <v>4.4999999999999998E-2</v>
          </cell>
          <cell r="GA290">
            <v>2.1999999999999999E-2</v>
          </cell>
          <cell r="GB290">
            <v>1E-3</v>
          </cell>
          <cell r="GC290">
            <v>4.3999999999999997E-2</v>
          </cell>
          <cell r="GD290">
            <v>4.4999999999999998E-2</v>
          </cell>
          <cell r="GE290">
            <v>9.4E-2</v>
          </cell>
          <cell r="GF290">
            <v>6.8000000000000005E-2</v>
          </cell>
          <cell r="GG290">
            <v>2.3E-2</v>
          </cell>
          <cell r="GH290">
            <v>8.5999999999999993E-2</v>
          </cell>
          <cell r="GI290">
            <v>0.126</v>
          </cell>
          <cell r="GJ290">
            <v>2.5000000000000001E-2</v>
          </cell>
          <cell r="GK290">
            <v>8.6999999999999994E-2</v>
          </cell>
          <cell r="GL290">
            <v>0.17199999999999999</v>
          </cell>
          <cell r="GM290">
            <v>4.7E-2</v>
          </cell>
          <cell r="GN290">
            <v>0.124</v>
          </cell>
          <cell r="GO290">
            <v>3.7999999999999999E-2</v>
          </cell>
          <cell r="GP290">
            <v>4.3999999999999997E-2</v>
          </cell>
          <cell r="GQ290">
            <v>9.6000000000000002E-2</v>
          </cell>
          <cell r="GR290">
            <v>0.25800000000000001</v>
          </cell>
          <cell r="GS290">
            <v>0.22500000000000001</v>
          </cell>
          <cell r="GT290">
            <v>0.20499999999999999</v>
          </cell>
          <cell r="GU290">
            <v>0.106</v>
          </cell>
          <cell r="GV290">
            <v>0.13</v>
          </cell>
          <cell r="GW290">
            <v>9.5000000000000001E-2</v>
          </cell>
          <cell r="GX290">
            <v>5.1999999999999998E-2</v>
          </cell>
          <cell r="GY290">
            <v>2.5000000000000001E-2</v>
          </cell>
          <cell r="GZ290">
            <v>0.26700000000000002</v>
          </cell>
          <cell r="HA290">
            <v>0.03</v>
          </cell>
          <cell r="HB290">
            <v>5.5E-2</v>
          </cell>
          <cell r="HC290">
            <v>5.1999999999999998E-2</v>
          </cell>
          <cell r="HD290">
            <v>2.7E-2</v>
          </cell>
          <cell r="HE290">
            <v>0.159</v>
          </cell>
          <cell r="HF290">
            <v>6.2E-2</v>
          </cell>
          <cell r="HG290">
            <v>3.0000000000000001E-3</v>
          </cell>
          <cell r="HH290">
            <v>0.19400000000000001</v>
          </cell>
          <cell r="HI290">
            <v>0.17499999999999999</v>
          </cell>
          <cell r="HJ290">
            <v>0.112</v>
          </cell>
          <cell r="HK290">
            <v>0.06</v>
          </cell>
          <cell r="HL290">
            <v>7.0999999999999994E-2</v>
          </cell>
          <cell r="HM290">
            <v>7.5999999999999998E-2</v>
          </cell>
          <cell r="HN290">
            <v>0.14000000000000001</v>
          </cell>
          <cell r="HO290">
            <v>4.4999999999999998E-2</v>
          </cell>
          <cell r="HP290">
            <v>2.7E-2</v>
          </cell>
          <cell r="HQ290">
            <v>0.14899999999999999</v>
          </cell>
          <cell r="HR290">
            <v>7.0000000000000007E-2</v>
          </cell>
          <cell r="HS290">
            <v>0.12</v>
          </cell>
          <cell r="HT290">
            <v>7.0000000000000007E-2</v>
          </cell>
          <cell r="HU290">
            <v>2.7E-2</v>
          </cell>
          <cell r="HV290">
            <v>0.106</v>
          </cell>
          <cell r="HW290">
            <v>0.249</v>
          </cell>
          <cell r="HX290">
            <v>0.18099999999999999</v>
          </cell>
          <cell r="HY290">
            <v>8.3000000000000004E-2</v>
          </cell>
          <cell r="HZ290">
            <v>0.11700000000000001</v>
          </cell>
          <cell r="IA290">
            <v>5.8000000000000003E-2</v>
          </cell>
          <cell r="IB290">
            <v>2.5999999999999999E-2</v>
          </cell>
          <cell r="IC290">
            <v>1.7000000000000001E-2</v>
          </cell>
          <cell r="ID290">
            <v>7.9000000000000001E-2</v>
          </cell>
          <cell r="IE290">
            <v>4.3999999999999997E-2</v>
          </cell>
          <cell r="IF290">
            <v>4.5999999999999999E-2</v>
          </cell>
          <cell r="IG290">
            <v>5.7000000000000002E-2</v>
          </cell>
          <cell r="IH290">
            <v>9.4E-2</v>
          </cell>
          <cell r="II290">
            <v>0.29699999999999999</v>
          </cell>
          <cell r="IJ290">
            <v>5.0999999999999997E-2</v>
          </cell>
          <cell r="IK290">
            <v>7.0000000000000001E-3</v>
          </cell>
          <cell r="IL290">
            <v>0.185</v>
          </cell>
          <cell r="IM290">
            <v>6.6000000000000003E-2</v>
          </cell>
          <cell r="IN290">
            <v>0.11600000000000001</v>
          </cell>
          <cell r="IO290">
            <v>0.08</v>
          </cell>
          <cell r="IP290">
            <v>0.14299999999999999</v>
          </cell>
          <cell r="IQ290">
            <v>1.0999999999999999E-2</v>
          </cell>
          <cell r="IR290">
            <v>8.0000000000000002E-3</v>
          </cell>
          <cell r="IS290">
            <v>0.06</v>
          </cell>
          <cell r="IT290">
            <v>0.05</v>
          </cell>
          <cell r="IU290">
            <v>1.2999999999999999E-2</v>
          </cell>
          <cell r="IV290">
            <v>1.4999999999999999E-2</v>
          </cell>
          <cell r="IW290">
            <v>4.3999999999999997E-2</v>
          </cell>
          <cell r="IX290">
            <v>3.2000000000000001E-2</v>
          </cell>
          <cell r="IY290">
            <v>0.114</v>
          </cell>
          <cell r="IZ290">
            <v>7.3999999999999996E-2</v>
          </cell>
          <cell r="JA290">
            <v>0.13800000000000001</v>
          </cell>
          <cell r="JB290">
            <v>4.8000000000000001E-2</v>
          </cell>
          <cell r="JC290">
            <v>2.7280000000000002</v>
          </cell>
          <cell r="JD290">
            <v>0.108</v>
          </cell>
          <cell r="JE290">
            <v>0.153</v>
          </cell>
          <cell r="JF290">
            <v>0.152</v>
          </cell>
          <cell r="JG290">
            <v>0.10199999999999999</v>
          </cell>
          <cell r="JH290">
            <v>0.10199999999999999</v>
          </cell>
          <cell r="JI290">
            <v>0.1</v>
          </cell>
          <cell r="JJ290">
            <v>5.7000000000000002E-2</v>
          </cell>
          <cell r="JK290">
            <v>0.02</v>
          </cell>
          <cell r="JL290">
            <v>0.10100000000000001</v>
          </cell>
          <cell r="JM290">
            <v>7.3999999999999996E-2</v>
          </cell>
          <cell r="JN290">
            <v>4.9000000000000002E-2</v>
          </cell>
          <cell r="JO290">
            <v>1.8149999999999999</v>
          </cell>
          <cell r="JP290">
            <v>1.0999999999999999E-2</v>
          </cell>
          <cell r="JQ290">
            <v>1.6E-2</v>
          </cell>
          <cell r="JR290">
            <v>1.0999999999999999E-2</v>
          </cell>
          <cell r="JS290">
            <v>5.3999999999999999E-2</v>
          </cell>
          <cell r="JT290">
            <v>0.10199999999999999</v>
          </cell>
          <cell r="JU290">
            <v>2.1000000000000001E-2</v>
          </cell>
          <cell r="JV290">
            <v>1.4E-2</v>
          </cell>
          <cell r="JW290">
            <v>4.1000000000000002E-2</v>
          </cell>
          <cell r="JX290">
            <v>0.184</v>
          </cell>
          <cell r="JY290">
            <v>0.123</v>
          </cell>
          <cell r="JZ290">
            <v>5.3999999999999999E-2</v>
          </cell>
          <cell r="KA290">
            <v>0.996</v>
          </cell>
          <cell r="KB290">
            <v>0.12</v>
          </cell>
          <cell r="KC290">
            <v>1.143</v>
          </cell>
          <cell r="KD290">
            <v>0.11</v>
          </cell>
          <cell r="KE290">
            <v>4.5999999999999999E-2</v>
          </cell>
          <cell r="KF290">
            <v>0.112</v>
          </cell>
          <cell r="KG290">
            <v>0.114</v>
          </cell>
          <cell r="KH290">
            <v>0.128</v>
          </cell>
          <cell r="KI290">
            <v>2.3E-2</v>
          </cell>
          <cell r="KJ290">
            <v>7.2999999999999995E-2</v>
          </cell>
          <cell r="KK290">
            <v>4.9000000000000002E-2</v>
          </cell>
          <cell r="KL290">
            <v>4.7E-2</v>
          </cell>
          <cell r="KM290">
            <v>4.3999999999999997E-2</v>
          </cell>
          <cell r="KN290">
            <v>2.3E-2</v>
          </cell>
          <cell r="KO290">
            <v>0.13700000000000001</v>
          </cell>
          <cell r="KP290">
            <v>5.0999999999999997E-2</v>
          </cell>
          <cell r="KQ290">
            <v>0.02</v>
          </cell>
          <cell r="KR290">
            <v>2.8000000000000001E-2</v>
          </cell>
          <cell r="KS290">
            <v>6.7000000000000004E-2</v>
          </cell>
          <cell r="KT290">
            <v>9.2999999999999999E-2</v>
          </cell>
          <cell r="KU290">
            <v>7.3999999999999996E-2</v>
          </cell>
          <cell r="KV290">
            <v>9.8000000000000004E-2</v>
          </cell>
          <cell r="KW290">
            <v>0.26300000000000001</v>
          </cell>
          <cell r="KX290">
            <v>4.9000000000000002E-2</v>
          </cell>
          <cell r="KY290">
            <v>4.9000000000000002E-2</v>
          </cell>
          <cell r="KZ290">
            <v>3.5999999999999997E-2</v>
          </cell>
          <cell r="LA290">
            <v>8.6999999999999994E-2</v>
          </cell>
          <cell r="LB290">
            <v>9.4E-2</v>
          </cell>
          <cell r="LC290">
            <v>4.1000000000000002E-2</v>
          </cell>
          <cell r="LD290">
            <v>7.5284000000000004E-2</v>
          </cell>
          <cell r="LE290">
            <v>4.5649000000000002E-2</v>
          </cell>
          <cell r="LF290">
            <v>7.0350999999999997E-2</v>
          </cell>
          <cell r="LG290">
            <v>0.12865099999999999</v>
          </cell>
          <cell r="LH290">
            <v>9.0371000000000007E-2</v>
          </cell>
          <cell r="LI290">
            <v>0.14685200000000001</v>
          </cell>
          <cell r="LJ290">
            <v>7.6924999999999993E-2</v>
          </cell>
          <cell r="LK290">
            <v>9.4646999999999995E-2</v>
          </cell>
          <cell r="LL290">
            <v>9.6645999999999996E-2</v>
          </cell>
          <cell r="LM290">
            <v>7.9479999999999995E-2</v>
          </cell>
          <cell r="LN290">
            <v>6.6878999999999994E-2</v>
          </cell>
          <cell r="LO290">
            <v>0.145202</v>
          </cell>
          <cell r="LP290">
            <v>3.5255000000000002E-2</v>
          </cell>
          <cell r="LQ290">
            <v>7.6717999999999995E-2</v>
          </cell>
          <cell r="LR290">
            <v>6.0031000000000001E-2</v>
          </cell>
          <cell r="LS290">
            <v>5.2054000000000003E-2</v>
          </cell>
          <cell r="LT290">
            <v>0.17421200000000001</v>
          </cell>
          <cell r="LU290">
            <v>0.21847900000000001</v>
          </cell>
          <cell r="LV290">
            <v>0.39636900000000003</v>
          </cell>
          <cell r="LW290">
            <v>0.122992</v>
          </cell>
          <cell r="LX290">
            <v>5.2374999999999998E-2</v>
          </cell>
          <cell r="LY290">
            <v>5.5079999999999997E-2</v>
          </cell>
          <cell r="LZ290">
            <v>4.8515000000000003E-2</v>
          </cell>
          <cell r="MA290">
            <v>0.123378</v>
          </cell>
          <cell r="MB290">
            <v>1.772E-2</v>
          </cell>
          <cell r="MC290">
            <v>9.4624E-2</v>
          </cell>
          <cell r="MD290">
            <v>3.1078999999999999E-2</v>
          </cell>
          <cell r="ME290">
            <v>5.0960999999999999E-2</v>
          </cell>
          <cell r="MF290">
            <v>0.102713</v>
          </cell>
          <cell r="MG290">
            <v>3.3866E-2</v>
          </cell>
          <cell r="MH290">
            <v>0.159466</v>
          </cell>
          <cell r="MI290">
            <v>9.3893000000000004E-2</v>
          </cell>
          <cell r="MJ290">
            <v>0.114415</v>
          </cell>
          <cell r="MK290">
            <v>0.128667</v>
          </cell>
          <cell r="ML290">
            <v>5.7959999999999998E-2</v>
          </cell>
          <cell r="MM290">
            <v>0.12739800000000001</v>
          </cell>
          <cell r="MN290">
            <v>5.0444999999999997E-2</v>
          </cell>
          <cell r="MO290">
            <v>5.7872E-2</v>
          </cell>
          <cell r="MP290">
            <v>6.5770999999999996E-2</v>
          </cell>
          <cell r="MQ290">
            <v>0.36122599999999999</v>
          </cell>
          <cell r="MR290">
            <v>0.50655399999999995</v>
          </cell>
          <cell r="MS290">
            <v>6.3632999999999995E-2</v>
          </cell>
          <cell r="MT290">
            <v>0.13014200000000001</v>
          </cell>
          <cell r="MU290">
            <v>0.184</v>
          </cell>
          <cell r="MV290">
            <v>0.27800000000000002</v>
          </cell>
          <cell r="MW290">
            <v>0.11799999999999999</v>
          </cell>
          <cell r="MX290">
            <v>0.15</v>
          </cell>
          <cell r="MY290">
            <v>0.251</v>
          </cell>
          <cell r="MZ290">
            <v>0.108</v>
          </cell>
          <cell r="NA290">
            <v>0.17100000000000001</v>
          </cell>
          <cell r="NB290">
            <v>5.1999999999999998E-2</v>
          </cell>
          <cell r="NC290">
            <v>0.20200000000000001</v>
          </cell>
          <cell r="ND290">
            <v>0.11799999999999999</v>
          </cell>
          <cell r="NE290">
            <v>0.17399999999999999</v>
          </cell>
          <cell r="NF290">
            <v>0.17199999999999999</v>
          </cell>
          <cell r="NG290">
            <v>5.7000000000000002E-2</v>
          </cell>
          <cell r="NH290">
            <v>7.9000000000000001E-2</v>
          </cell>
          <cell r="NI290">
            <v>0.126</v>
          </cell>
        </row>
      </sheetData>
      <sheetData sheetId="43">
        <row r="290">
          <cell r="AU290">
            <v>2.2530000000000001</v>
          </cell>
          <cell r="AV290">
            <v>2.9830000000000001</v>
          </cell>
          <cell r="AW290">
            <v>0.29599999999999999</v>
          </cell>
          <cell r="AX290">
            <v>20.969000000000001</v>
          </cell>
          <cell r="AY290">
            <v>18.082000000000001</v>
          </cell>
          <cell r="AZ290">
            <v>0.58399999999999996</v>
          </cell>
          <cell r="BA290">
            <v>0.437</v>
          </cell>
          <cell r="BB290">
            <v>11.92</v>
          </cell>
          <cell r="BC290">
            <v>0.66800000000000004</v>
          </cell>
          <cell r="BD290">
            <v>0.50600000000000001</v>
          </cell>
          <cell r="BE290">
            <v>0.61799999999999999</v>
          </cell>
          <cell r="BF290">
            <v>0.41199999999999998</v>
          </cell>
          <cell r="BG290">
            <v>0.374</v>
          </cell>
          <cell r="BH290">
            <v>0.61099999999999999</v>
          </cell>
          <cell r="BI290">
            <v>37.085000000000001</v>
          </cell>
          <cell r="BJ290">
            <v>38.6</v>
          </cell>
          <cell r="BK290">
            <v>14.122</v>
          </cell>
          <cell r="BL290">
            <v>20.315999999999999</v>
          </cell>
          <cell r="BM290">
            <v>20.257000000000001</v>
          </cell>
          <cell r="BN290">
            <v>0.626</v>
          </cell>
          <cell r="BO290">
            <v>0.47399999999999998</v>
          </cell>
          <cell r="BP290">
            <v>15.381</v>
          </cell>
          <cell r="BQ290">
            <v>0.67300000000000004</v>
          </cell>
          <cell r="BR290">
            <v>16.184000000000001</v>
          </cell>
          <cell r="BS290">
            <v>16.381</v>
          </cell>
          <cell r="BT290">
            <v>0.83499999999999996</v>
          </cell>
          <cell r="BU290">
            <v>0.60499999999999998</v>
          </cell>
          <cell r="BV290">
            <v>32.978000000000002</v>
          </cell>
          <cell r="BW290">
            <v>14.632</v>
          </cell>
          <cell r="BX290">
            <v>15.802</v>
          </cell>
          <cell r="BY290">
            <v>14.733000000000001</v>
          </cell>
          <cell r="BZ290">
            <v>14.127000000000001</v>
          </cell>
          <cell r="CA290">
            <v>0.68</v>
          </cell>
          <cell r="CB290">
            <v>0.53</v>
          </cell>
          <cell r="CC290">
            <v>0.55600000000000005</v>
          </cell>
          <cell r="CD290">
            <v>15.244999999999999</v>
          </cell>
          <cell r="CE290">
            <v>38.293999999999997</v>
          </cell>
          <cell r="CF290">
            <v>0.81599999999999995</v>
          </cell>
          <cell r="CG290">
            <v>0.83399999999999996</v>
          </cell>
          <cell r="CH290">
            <v>0.63900000000000001</v>
          </cell>
          <cell r="CI290">
            <v>0.77</v>
          </cell>
          <cell r="CJ290">
            <v>0.45500000000000002</v>
          </cell>
          <cell r="CK290">
            <v>0.75800000000000001</v>
          </cell>
          <cell r="CL290">
            <v>0.434</v>
          </cell>
          <cell r="CM290">
            <v>0.50600000000000001</v>
          </cell>
          <cell r="CN290">
            <v>0.54100000000000004</v>
          </cell>
          <cell r="CO290">
            <v>0.625</v>
          </cell>
          <cell r="CP290">
            <v>0.82399999999999995</v>
          </cell>
          <cell r="CQ290">
            <v>0.73899999999999999</v>
          </cell>
          <cell r="CR290">
            <v>1.1879999999999999</v>
          </cell>
          <cell r="CS290">
            <v>1.468</v>
          </cell>
          <cell r="CT290">
            <v>0.94899999999999995</v>
          </cell>
          <cell r="CU290">
            <v>0.88700000000000001</v>
          </cell>
          <cell r="CV290">
            <v>0.54700000000000004</v>
          </cell>
          <cell r="CW290">
            <v>0.76</v>
          </cell>
          <cell r="CX290">
            <v>0.754</v>
          </cell>
          <cell r="CY290">
            <v>0.95399999999999996</v>
          </cell>
          <cell r="CZ290">
            <v>0.70599999999999996</v>
          </cell>
          <cell r="DA290">
            <v>0.78100000000000003</v>
          </cell>
          <cell r="DB290">
            <v>1.0009999999999999</v>
          </cell>
          <cell r="DC290">
            <v>0.871</v>
          </cell>
          <cell r="DD290">
            <v>1.1000000000000001</v>
          </cell>
          <cell r="DE290">
            <v>1.0780000000000001</v>
          </cell>
          <cell r="DF290">
            <v>0.90700000000000003</v>
          </cell>
          <cell r="DG290">
            <v>0.82699999999999996</v>
          </cell>
          <cell r="DH290">
            <v>0.71899999999999997</v>
          </cell>
          <cell r="DI290">
            <v>0.72099999999999997</v>
          </cell>
          <cell r="DJ290">
            <v>1.002</v>
          </cell>
          <cell r="DK290">
            <v>0.86799999999999999</v>
          </cell>
          <cell r="DL290">
            <v>0.81</v>
          </cell>
          <cell r="DM290">
            <v>6.3760000000000003</v>
          </cell>
          <cell r="DN290">
            <v>6.5220000000000002</v>
          </cell>
          <cell r="DO290">
            <v>6.7439999999999998</v>
          </cell>
          <cell r="DP290">
            <v>1.296</v>
          </cell>
          <cell r="DQ290">
            <v>1.056</v>
          </cell>
          <cell r="DR290">
            <v>0.66800000000000004</v>
          </cell>
          <cell r="DS290">
            <v>0.99</v>
          </cell>
          <cell r="DT290">
            <v>0.53600000000000003</v>
          </cell>
          <cell r="DU290">
            <v>1.159</v>
          </cell>
          <cell r="DV290">
            <v>1.0529999999999999</v>
          </cell>
          <cell r="DW290">
            <v>0.89300000000000002</v>
          </cell>
          <cell r="DX290">
            <v>0.85699999999999998</v>
          </cell>
          <cell r="DY290">
            <v>0.94599999999999995</v>
          </cell>
          <cell r="DZ290">
            <v>0.93899999999999995</v>
          </cell>
          <cell r="EA290">
            <v>0.97699999999999998</v>
          </cell>
          <cell r="EB290">
            <v>1.1120000000000001</v>
          </cell>
          <cell r="EC290">
            <v>0.95699999999999996</v>
          </cell>
          <cell r="ED290">
            <v>0.63300000000000001</v>
          </cell>
          <cell r="EE290">
            <v>0.66</v>
          </cell>
          <cell r="EF290">
            <v>0.71299999999999997</v>
          </cell>
          <cell r="EG290">
            <v>0.60499999999999998</v>
          </cell>
          <cell r="EH290">
            <v>0.81499999999999995</v>
          </cell>
          <cell r="EI290">
            <v>0.85799999999999998</v>
          </cell>
          <cell r="EJ290">
            <v>0.67100000000000004</v>
          </cell>
          <cell r="EK290">
            <v>0.46800000000000003</v>
          </cell>
          <cell r="EL290">
            <v>0.746</v>
          </cell>
          <cell r="EM290">
            <v>1.0649999999999999</v>
          </cell>
          <cell r="EN290">
            <v>1.1160000000000001</v>
          </cell>
          <cell r="EO290">
            <v>0.86599999999999999</v>
          </cell>
          <cell r="EP290">
            <v>1.046</v>
          </cell>
          <cell r="EQ290">
            <v>74.063000000000002</v>
          </cell>
          <cell r="ER290">
            <v>21.792000000000002</v>
          </cell>
          <cell r="ES290">
            <v>0.91300000000000003</v>
          </cell>
          <cell r="ET290">
            <v>0.745</v>
          </cell>
          <cell r="EU290">
            <v>0.63900000000000001</v>
          </cell>
          <cell r="EV290">
            <v>0.72</v>
          </cell>
          <cell r="EW290">
            <v>26.042000000000002</v>
          </cell>
          <cell r="EX290">
            <v>1.2569999999999999</v>
          </cell>
          <cell r="EY290">
            <v>0.68799999999999994</v>
          </cell>
          <cell r="EZ290">
            <v>0.59099999999999997</v>
          </cell>
          <cell r="FA290">
            <v>1.258</v>
          </cell>
          <cell r="FB290">
            <v>1.7509999999999999</v>
          </cell>
          <cell r="FC290">
            <v>1.5840000000000001</v>
          </cell>
          <cell r="FD290">
            <v>1.173</v>
          </cell>
          <cell r="FE290">
            <v>1.1000000000000001</v>
          </cell>
          <cell r="FF290">
            <v>0.746</v>
          </cell>
          <cell r="FG290">
            <v>0.64800000000000002</v>
          </cell>
          <cell r="FH290">
            <v>0.76</v>
          </cell>
          <cell r="FI290">
            <v>0.49099999999999999</v>
          </cell>
          <cell r="FJ290">
            <v>0.78100000000000003</v>
          </cell>
          <cell r="FK290">
            <v>0.45400000000000001</v>
          </cell>
          <cell r="FL290">
            <v>1.254</v>
          </cell>
          <cell r="FM290">
            <v>1.1890000000000001</v>
          </cell>
          <cell r="FN290">
            <v>1.2150000000000001</v>
          </cell>
          <cell r="FO290">
            <v>1.4330000000000001</v>
          </cell>
          <cell r="FP290">
            <v>0.67200000000000004</v>
          </cell>
          <cell r="FQ290">
            <v>0.98499999999999999</v>
          </cell>
          <cell r="FR290">
            <v>1.008</v>
          </cell>
          <cell r="FS290">
            <v>0.54500000000000004</v>
          </cell>
          <cell r="FT290">
            <v>0.80900000000000005</v>
          </cell>
          <cell r="FU290">
            <v>1.214</v>
          </cell>
          <cell r="FV290">
            <v>1.492</v>
          </cell>
          <cell r="FW290">
            <v>1.5129999999999999</v>
          </cell>
          <cell r="FX290">
            <v>2.036</v>
          </cell>
          <cell r="FY290">
            <v>2.1469999999999998</v>
          </cell>
          <cell r="FZ290">
            <v>1.0289999999999999</v>
          </cell>
          <cell r="GA290">
            <v>1.143</v>
          </cell>
          <cell r="GB290">
            <v>1.101</v>
          </cell>
          <cell r="GC290">
            <v>1.4179999999999999</v>
          </cell>
          <cell r="GD290">
            <v>1.6739999999999999</v>
          </cell>
          <cell r="GE290">
            <v>1.327</v>
          </cell>
          <cell r="GF290">
            <v>1.3109999999999999</v>
          </cell>
          <cell r="GG290">
            <v>1.5529999999999999</v>
          </cell>
          <cell r="GH290">
            <v>1.29</v>
          </cell>
          <cell r="GI290">
            <v>1.4810000000000001</v>
          </cell>
          <cell r="GJ290">
            <v>1.048</v>
          </cell>
          <cell r="GK290">
            <v>1.218</v>
          </cell>
          <cell r="GL290">
            <v>0.90600000000000003</v>
          </cell>
          <cell r="GM290">
            <v>0.80800000000000005</v>
          </cell>
          <cell r="GN290">
            <v>0.78</v>
          </cell>
          <cell r="GO290">
            <v>0.80900000000000005</v>
          </cell>
          <cell r="GP290">
            <v>0.81599999999999995</v>
          </cell>
          <cell r="GQ290">
            <v>0.749</v>
          </cell>
          <cell r="GR290">
            <v>0.83199999999999996</v>
          </cell>
          <cell r="GS290">
            <v>1.1719999999999999</v>
          </cell>
          <cell r="GT290">
            <v>0.84</v>
          </cell>
          <cell r="GU290">
            <v>0.58199999999999996</v>
          </cell>
          <cell r="GV290">
            <v>0.97199999999999998</v>
          </cell>
          <cell r="GW290">
            <v>0.45600000000000002</v>
          </cell>
          <cell r="GX290">
            <v>0.83699999999999997</v>
          </cell>
          <cell r="GY290">
            <v>0.53600000000000003</v>
          </cell>
          <cell r="GZ290">
            <v>0.40799999999999997</v>
          </cell>
          <cell r="HA290">
            <v>0.55400000000000005</v>
          </cell>
          <cell r="HB290">
            <v>0.56999999999999995</v>
          </cell>
          <cell r="HC290">
            <v>0.69499999999999995</v>
          </cell>
          <cell r="HD290">
            <v>0.80500000000000005</v>
          </cell>
          <cell r="HE290">
            <v>0.69799999999999995</v>
          </cell>
          <cell r="HF290">
            <v>1.1419999999999999</v>
          </cell>
          <cell r="HG290">
            <v>1.02</v>
          </cell>
          <cell r="HH290">
            <v>1.3109999999999999</v>
          </cell>
          <cell r="HI290">
            <v>1.0880000000000001</v>
          </cell>
          <cell r="HJ290">
            <v>1.7729999999999999</v>
          </cell>
          <cell r="HK290">
            <v>0.99399999999999999</v>
          </cell>
          <cell r="HL290">
            <v>1.5469999999999999</v>
          </cell>
          <cell r="HM290">
            <v>1.296</v>
          </cell>
          <cell r="HN290">
            <v>1.0960000000000001</v>
          </cell>
          <cell r="HO290">
            <v>1.2250000000000001</v>
          </cell>
          <cell r="HP290">
            <v>1.2549999999999999</v>
          </cell>
          <cell r="HQ290">
            <v>1.2649999999999999</v>
          </cell>
          <cell r="HR290">
            <v>1.3340000000000001</v>
          </cell>
          <cell r="HS290">
            <v>1.0289999999999999</v>
          </cell>
          <cell r="HT290">
            <v>1.0529999999999999</v>
          </cell>
          <cell r="HU290">
            <v>1.4079999999999999</v>
          </cell>
          <cell r="HV290">
            <v>1.387</v>
          </cell>
          <cell r="HW290">
            <v>1.375</v>
          </cell>
          <cell r="HX290">
            <v>0.97399999999999998</v>
          </cell>
          <cell r="HY290">
            <v>0.82799999999999996</v>
          </cell>
          <cell r="HZ290">
            <v>0.9</v>
          </cell>
          <cell r="IA290">
            <v>1.1020000000000001</v>
          </cell>
          <cell r="IB290">
            <v>1.1839999999999999</v>
          </cell>
          <cell r="IC290">
            <v>1.0629999999999999</v>
          </cell>
          <cell r="ID290">
            <v>1.1379999999999999</v>
          </cell>
          <cell r="IE290">
            <v>1.0940000000000001</v>
          </cell>
          <cell r="IF290">
            <v>1.7509999999999999</v>
          </cell>
          <cell r="IG290">
            <v>1.22</v>
          </cell>
          <cell r="IH290">
            <v>1.113</v>
          </cell>
          <cell r="II290">
            <v>0.84599999999999997</v>
          </cell>
          <cell r="IJ290">
            <v>1.26</v>
          </cell>
          <cell r="IK290">
            <v>1.0720000000000001</v>
          </cell>
          <cell r="IL290">
            <v>1.2310000000000001</v>
          </cell>
          <cell r="IM290">
            <v>1.9039999999999999</v>
          </cell>
          <cell r="IN290">
            <v>1.504</v>
          </cell>
          <cell r="IO290">
            <v>1.323</v>
          </cell>
          <cell r="IP290">
            <v>1.8120000000000001</v>
          </cell>
          <cell r="IQ290">
            <v>1.76</v>
          </cell>
          <cell r="IR290">
            <v>1.198</v>
          </cell>
          <cell r="IS290">
            <v>1.421</v>
          </cell>
          <cell r="IT290">
            <v>1.0089999999999999</v>
          </cell>
          <cell r="IU290">
            <v>0.90700000000000003</v>
          </cell>
          <cell r="IV290">
            <v>1.2549999999999999</v>
          </cell>
          <cell r="IW290">
            <v>1.5820000000000001</v>
          </cell>
          <cell r="IX290">
            <v>0.93400000000000005</v>
          </cell>
          <cell r="IY290">
            <v>0.68899999999999995</v>
          </cell>
          <cell r="IZ290">
            <v>0.98399999999999999</v>
          </cell>
          <cell r="JA290">
            <v>0.872</v>
          </cell>
          <cell r="JB290">
            <v>0.58699999999999997</v>
          </cell>
          <cell r="JC290">
            <v>0.88300000000000001</v>
          </cell>
          <cell r="JD290">
            <v>1.1180000000000001</v>
          </cell>
          <cell r="JE290">
            <v>0.84</v>
          </cell>
          <cell r="JF290">
            <v>1.6619999999999999</v>
          </cell>
          <cell r="JG290">
            <v>1.6990000000000001</v>
          </cell>
          <cell r="JH290">
            <v>1.488</v>
          </cell>
          <cell r="JI290">
            <v>1.8109999999999999</v>
          </cell>
          <cell r="JJ290">
            <v>0.89</v>
          </cell>
          <cell r="JK290">
            <v>1.0269999999999999</v>
          </cell>
          <cell r="JL290">
            <v>1.2010000000000001</v>
          </cell>
          <cell r="JM290">
            <v>1.236</v>
          </cell>
          <cell r="JN290">
            <v>0.95799999999999996</v>
          </cell>
          <cell r="JO290">
            <v>1.181</v>
          </cell>
          <cell r="JP290">
            <v>0.92</v>
          </cell>
          <cell r="JQ290">
            <v>1.1419999999999999</v>
          </cell>
          <cell r="JR290">
            <v>1.5660000000000001</v>
          </cell>
          <cell r="JS290">
            <v>1.556</v>
          </cell>
          <cell r="JT290">
            <v>1.631</v>
          </cell>
          <cell r="JU290">
            <v>2.2440000000000002</v>
          </cell>
          <cell r="JV290">
            <v>2.754</v>
          </cell>
          <cell r="JW290">
            <v>1.9770000000000001</v>
          </cell>
          <cell r="JX290">
            <v>1.655</v>
          </cell>
          <cell r="JY290">
            <v>1.2010000000000001</v>
          </cell>
          <cell r="JZ290">
            <v>1.038</v>
          </cell>
          <cell r="KA290">
            <v>1.74</v>
          </cell>
          <cell r="KB290">
            <v>1.252</v>
          </cell>
          <cell r="KC290">
            <v>0.76100000000000001</v>
          </cell>
          <cell r="KD290">
            <v>1.38</v>
          </cell>
          <cell r="KE290">
            <v>1.048</v>
          </cell>
          <cell r="KF290">
            <v>1.851</v>
          </cell>
          <cell r="KG290">
            <v>2.4910000000000001</v>
          </cell>
          <cell r="KH290">
            <v>1.786</v>
          </cell>
          <cell r="KI290">
            <v>1.3480000000000001</v>
          </cell>
          <cell r="KJ290">
            <v>1.845</v>
          </cell>
          <cell r="KK290">
            <v>1.7150000000000001</v>
          </cell>
          <cell r="KL290">
            <v>1.272</v>
          </cell>
          <cell r="KM290">
            <v>1.964</v>
          </cell>
          <cell r="KN290">
            <v>1.0860000000000001</v>
          </cell>
          <cell r="KO290">
            <v>1.4970000000000001</v>
          </cell>
          <cell r="KP290">
            <v>1.7350000000000001</v>
          </cell>
          <cell r="KQ290">
            <v>1.792</v>
          </cell>
          <cell r="KR290">
            <v>1.823</v>
          </cell>
          <cell r="KS290">
            <v>1.2350000000000001</v>
          </cell>
          <cell r="KT290">
            <v>1.978</v>
          </cell>
          <cell r="KU290">
            <v>2.3849999999999998</v>
          </cell>
          <cell r="KV290">
            <v>1.6839999999999999</v>
          </cell>
          <cell r="KW290">
            <v>2.2170000000000001</v>
          </cell>
          <cell r="KX290">
            <v>1.891</v>
          </cell>
          <cell r="KY290">
            <v>0.92900000000000005</v>
          </cell>
          <cell r="KZ290">
            <v>2.2309999999999999</v>
          </cell>
          <cell r="LA290">
            <v>2.508</v>
          </cell>
          <cell r="LB290">
            <v>1.875</v>
          </cell>
          <cell r="LC290">
            <v>1.889</v>
          </cell>
          <cell r="LD290">
            <v>5.983962</v>
          </cell>
          <cell r="LE290">
            <v>1.8739140000000001</v>
          </cell>
          <cell r="LF290">
            <v>1.9582660000000001</v>
          </cell>
          <cell r="LG290">
            <v>1.926539</v>
          </cell>
          <cell r="LH290">
            <v>2.58189</v>
          </cell>
          <cell r="LI290">
            <v>2.440099</v>
          </cell>
          <cell r="LJ290">
            <v>2.2531880000000002</v>
          </cell>
          <cell r="LK290">
            <v>2.8888750000000001</v>
          </cell>
          <cell r="LL290">
            <v>1.4786459999999999</v>
          </cell>
          <cell r="LM290">
            <v>1.6870750000000001</v>
          </cell>
          <cell r="LN290">
            <v>1.641832</v>
          </cell>
          <cell r="LO290">
            <v>2.3111769999999998</v>
          </cell>
          <cell r="LP290">
            <v>4.9112400000000003</v>
          </cell>
          <cell r="LQ290">
            <v>2.197613</v>
          </cell>
          <cell r="LR290">
            <v>0.92844300000000002</v>
          </cell>
          <cell r="LS290">
            <v>1.432474</v>
          </cell>
          <cell r="LT290">
            <v>0.81434700000000004</v>
          </cell>
          <cell r="LU290">
            <v>1.2828900000000001</v>
          </cell>
          <cell r="LV290">
            <v>0.99024500000000004</v>
          </cell>
          <cell r="LW290">
            <v>2.2844790000000001</v>
          </cell>
          <cell r="LX290">
            <v>0.99872000000000005</v>
          </cell>
          <cell r="LY290">
            <v>1.347488</v>
          </cell>
          <cell r="LZ290">
            <v>1.301847</v>
          </cell>
          <cell r="MA290">
            <v>2.0481400000000001</v>
          </cell>
          <cell r="MB290">
            <v>4.55844</v>
          </cell>
          <cell r="MC290">
            <v>5.2361789999999999</v>
          </cell>
          <cell r="MD290">
            <v>1.878322</v>
          </cell>
          <cell r="ME290">
            <v>1.9461550000000001</v>
          </cell>
          <cell r="MF290">
            <v>1.782799</v>
          </cell>
          <cell r="MG290">
            <v>1.5930949999999999</v>
          </cell>
          <cell r="MH290">
            <v>2.181969</v>
          </cell>
          <cell r="MI290">
            <v>2.261018</v>
          </cell>
          <cell r="MJ290">
            <v>1.4543980000000001</v>
          </cell>
          <cell r="MK290">
            <v>1.848619</v>
          </cell>
          <cell r="ML290">
            <v>2.1995490000000002</v>
          </cell>
          <cell r="MM290">
            <v>1.475093</v>
          </cell>
          <cell r="MN290">
            <v>1.17723</v>
          </cell>
          <cell r="MO290">
            <v>1.3012509999999999</v>
          </cell>
          <cell r="MP290">
            <v>1.251701</v>
          </cell>
          <cell r="MQ290">
            <v>1.385456</v>
          </cell>
          <cell r="MR290">
            <v>1.683103</v>
          </cell>
          <cell r="MS290">
            <v>0.83875900000000003</v>
          </cell>
          <cell r="MT290">
            <v>1.071447</v>
          </cell>
          <cell r="MU290">
            <v>1.472</v>
          </cell>
          <cell r="MV290">
            <v>1.2310000000000001</v>
          </cell>
          <cell r="MW290">
            <v>1.534</v>
          </cell>
          <cell r="MX290">
            <v>2.3639999999999999</v>
          </cell>
          <cell r="MY290">
            <v>2.64</v>
          </cell>
          <cell r="MZ290">
            <v>2.1930000000000001</v>
          </cell>
          <cell r="NA290">
            <v>2.4489999999999998</v>
          </cell>
          <cell r="NB290">
            <v>2.4980000000000002</v>
          </cell>
          <cell r="NC290">
            <v>2.08</v>
          </cell>
          <cell r="ND290">
            <v>3.5840000000000001</v>
          </cell>
          <cell r="NE290">
            <v>2.597</v>
          </cell>
          <cell r="NF290">
            <v>2.2342569999999999</v>
          </cell>
        </row>
      </sheetData>
      <sheetData sheetId="44">
        <row r="290">
          <cell r="AU290"/>
          <cell r="AV290"/>
          <cell r="AW290"/>
          <cell r="AX290"/>
          <cell r="AY290"/>
          <cell r="AZ290"/>
          <cell r="BA290"/>
          <cell r="BB290">
            <v>8.9999999999999993E-3</v>
          </cell>
          <cell r="BC290"/>
          <cell r="BD290"/>
          <cell r="BE290"/>
          <cell r="BF290">
            <v>1.0999999999999999E-2</v>
          </cell>
          <cell r="BG290">
            <v>7.0000000000000001E-3</v>
          </cell>
          <cell r="BH290">
            <v>6.3E-2</v>
          </cell>
          <cell r="BI290">
            <v>1.7999999999999999E-2</v>
          </cell>
          <cell r="BJ290">
            <v>6.0000000000000001E-3</v>
          </cell>
          <cell r="BK290">
            <v>7.2999999999999995E-2</v>
          </cell>
          <cell r="BL290">
            <v>5.6000000000000001E-2</v>
          </cell>
          <cell r="BM290">
            <v>2.7E-2</v>
          </cell>
          <cell r="BN290">
            <v>1.0999999999999999E-2</v>
          </cell>
          <cell r="BO290">
            <v>8.0000000000000002E-3</v>
          </cell>
          <cell r="BP290">
            <v>0.01</v>
          </cell>
          <cell r="BQ290">
            <v>6.0000000000000001E-3</v>
          </cell>
          <cell r="BR290">
            <v>3.2000000000000001E-2</v>
          </cell>
          <cell r="BS290">
            <v>1.6E-2</v>
          </cell>
          <cell r="BT290">
            <v>4.1000000000000002E-2</v>
          </cell>
          <cell r="BU290">
            <v>4.0000000000000001E-3</v>
          </cell>
          <cell r="BV290">
            <v>7.0000000000000001E-3</v>
          </cell>
          <cell r="BW290">
            <v>2.4E-2</v>
          </cell>
          <cell r="BX290">
            <v>2.7E-2</v>
          </cell>
          <cell r="BY290">
            <v>1.4E-2</v>
          </cell>
          <cell r="BZ290">
            <v>5.0000000000000001E-3</v>
          </cell>
          <cell r="CA290">
            <v>0.01</v>
          </cell>
          <cell r="CB290">
            <v>2.5999999999999999E-2</v>
          </cell>
          <cell r="CC290">
            <v>8.0000000000000002E-3</v>
          </cell>
          <cell r="CD290">
            <v>2.4E-2</v>
          </cell>
          <cell r="CE290">
            <v>3.5000000000000003E-2</v>
          </cell>
          <cell r="CF290">
            <v>1.2E-2</v>
          </cell>
          <cell r="CG290">
            <v>0.01</v>
          </cell>
          <cell r="CH290">
            <v>2.1999999999999999E-2</v>
          </cell>
          <cell r="CI290">
            <v>1.2E-2</v>
          </cell>
          <cell r="CJ290">
            <v>1.4E-2</v>
          </cell>
          <cell r="CK290">
            <v>8.9999999999999993E-3</v>
          </cell>
          <cell r="CL290">
            <v>1.7000000000000001E-2</v>
          </cell>
          <cell r="CM290">
            <v>2.8000000000000001E-2</v>
          </cell>
          <cell r="CN290">
            <v>2.4E-2</v>
          </cell>
          <cell r="CO290">
            <v>5.0000000000000001E-3</v>
          </cell>
          <cell r="CP290">
            <v>7.0000000000000001E-3</v>
          </cell>
          <cell r="CQ290">
            <v>5.0000000000000001E-3</v>
          </cell>
          <cell r="CR290">
            <v>3.3000000000000002E-2</v>
          </cell>
          <cell r="CS290">
            <v>8.0000000000000002E-3</v>
          </cell>
          <cell r="CT290">
            <v>2.3E-2</v>
          </cell>
          <cell r="CU290">
            <v>1.7999999999999999E-2</v>
          </cell>
          <cell r="CV290">
            <v>1.7999999999999999E-2</v>
          </cell>
          <cell r="CW290">
            <v>8.9999999999999993E-3</v>
          </cell>
          <cell r="CX290">
            <v>3.0000000000000001E-3</v>
          </cell>
          <cell r="CY290"/>
          <cell r="CZ290"/>
          <cell r="DA290"/>
          <cell r="DB290"/>
          <cell r="DC290"/>
          <cell r="DD290"/>
          <cell r="DE290"/>
          <cell r="DF290"/>
          <cell r="DG290"/>
          <cell r="DH290">
            <v>2E-3</v>
          </cell>
          <cell r="DI290">
            <v>2E-3</v>
          </cell>
          <cell r="DJ290">
            <v>1E-3</v>
          </cell>
          <cell r="DK290"/>
          <cell r="DL290">
            <v>2E-3</v>
          </cell>
          <cell r="DM290">
            <v>1E-3</v>
          </cell>
          <cell r="DN290">
            <v>1E-3</v>
          </cell>
          <cell r="DO290">
            <v>1E-3</v>
          </cell>
          <cell r="DP290">
            <v>1E-3</v>
          </cell>
          <cell r="DQ290">
            <v>3.0000000000000001E-3</v>
          </cell>
          <cell r="DR290"/>
          <cell r="DS290"/>
          <cell r="DT290"/>
          <cell r="DU290"/>
          <cell r="DV290">
            <v>2E-3</v>
          </cell>
          <cell r="DW290">
            <v>3.0000000000000001E-3</v>
          </cell>
          <cell r="DX290">
            <v>1E-3</v>
          </cell>
          <cell r="DY290">
            <v>1E-3</v>
          </cell>
          <cell r="DZ290">
            <v>0.01</v>
          </cell>
          <cell r="EA290">
            <v>5.0000000000000001E-3</v>
          </cell>
          <cell r="EB290"/>
          <cell r="EC290">
            <v>2E-3</v>
          </cell>
          <cell r="ED290">
            <v>1E-3</v>
          </cell>
          <cell r="EE290"/>
          <cell r="EF290"/>
          <cell r="EG290">
            <v>1E-3</v>
          </cell>
          <cell r="EH290">
            <v>1E-3</v>
          </cell>
          <cell r="EI290">
            <v>1E-3</v>
          </cell>
          <cell r="EJ290">
            <v>1E-3</v>
          </cell>
          <cell r="EK290"/>
          <cell r="EL290"/>
          <cell r="EM290"/>
          <cell r="EN290"/>
          <cell r="EO290">
            <v>1E-3</v>
          </cell>
          <cell r="EP290"/>
          <cell r="EQ290"/>
          <cell r="ER290"/>
          <cell r="ES290">
            <v>1E-3</v>
          </cell>
          <cell r="ET290"/>
          <cell r="EU290"/>
          <cell r="EV290"/>
          <cell r="EW290">
            <v>1E-3</v>
          </cell>
          <cell r="EX290"/>
          <cell r="EY290"/>
          <cell r="EZ290">
            <v>1.9E-2</v>
          </cell>
          <cell r="FA290">
            <v>4.1000000000000002E-2</v>
          </cell>
          <cell r="FB290"/>
          <cell r="FC290">
            <v>2E-3</v>
          </cell>
          <cell r="FD290"/>
          <cell r="FE290"/>
          <cell r="FF290"/>
          <cell r="FG290"/>
          <cell r="FH290"/>
          <cell r="FI290"/>
          <cell r="FJ290">
            <v>1E-3</v>
          </cell>
          <cell r="FK290"/>
          <cell r="FL290"/>
          <cell r="FM290"/>
          <cell r="FN290"/>
          <cell r="FO290">
            <v>1.2999999999999999E-2</v>
          </cell>
          <cell r="FP290"/>
          <cell r="FQ290"/>
          <cell r="FR290"/>
          <cell r="FS290">
            <v>1E-3</v>
          </cell>
          <cell r="FT290"/>
          <cell r="FU290">
            <v>4.0000000000000001E-3</v>
          </cell>
          <cell r="FV290"/>
          <cell r="FW290"/>
          <cell r="FX290"/>
          <cell r="FY290"/>
          <cell r="FZ290">
            <v>1E-3</v>
          </cell>
          <cell r="GA290"/>
          <cell r="GB290"/>
          <cell r="GC290"/>
          <cell r="GD290">
            <v>1E-3</v>
          </cell>
          <cell r="GE290"/>
          <cell r="GF290">
            <v>2E-3</v>
          </cell>
          <cell r="GG290">
            <v>1E-3</v>
          </cell>
          <cell r="GH290">
            <v>1E-3</v>
          </cell>
          <cell r="GI290"/>
          <cell r="GJ290"/>
          <cell r="GK290"/>
          <cell r="GL290"/>
          <cell r="GM290">
            <v>1E-3</v>
          </cell>
          <cell r="GN290"/>
          <cell r="GO290"/>
          <cell r="GP290">
            <v>1E-3</v>
          </cell>
          <cell r="GQ290"/>
          <cell r="GR290"/>
          <cell r="GS290"/>
          <cell r="GT290"/>
          <cell r="GU290"/>
          <cell r="GV290">
            <v>1E-3</v>
          </cell>
          <cell r="GW290"/>
          <cell r="GX290">
            <v>3.0000000000000001E-3</v>
          </cell>
          <cell r="GY290">
            <v>1E-3</v>
          </cell>
          <cell r="GZ290">
            <v>5.0000000000000001E-3</v>
          </cell>
          <cell r="HA290">
            <v>1E-3</v>
          </cell>
          <cell r="HB290"/>
          <cell r="HC290"/>
          <cell r="HD290"/>
          <cell r="HE290">
            <v>1E-3</v>
          </cell>
          <cell r="HF290"/>
          <cell r="HG290">
            <v>3.0000000000000001E-3</v>
          </cell>
          <cell r="HH290">
            <v>0.02</v>
          </cell>
          <cell r="HI290"/>
          <cell r="HJ290">
            <v>6.0000000000000001E-3</v>
          </cell>
          <cell r="HK290"/>
          <cell r="HL290">
            <v>2E-3</v>
          </cell>
          <cell r="HM290">
            <v>2E-3</v>
          </cell>
          <cell r="HN290"/>
          <cell r="HO290"/>
          <cell r="HP290"/>
          <cell r="HQ290"/>
          <cell r="HR290">
            <v>6.0000000000000001E-3</v>
          </cell>
          <cell r="HS290"/>
          <cell r="HT290"/>
          <cell r="HU290">
            <v>6.0000000000000001E-3</v>
          </cell>
          <cell r="HV290">
            <v>0.01</v>
          </cell>
          <cell r="HW290">
            <v>7.0000000000000001E-3</v>
          </cell>
          <cell r="HX290">
            <v>4.0000000000000001E-3</v>
          </cell>
          <cell r="HY290">
            <v>2E-3</v>
          </cell>
          <cell r="HZ290">
            <v>4.0000000000000001E-3</v>
          </cell>
          <cell r="IA290">
            <v>7.0000000000000001E-3</v>
          </cell>
          <cell r="IB290">
            <v>6.0000000000000001E-3</v>
          </cell>
          <cell r="IC290">
            <v>5.0000000000000001E-3</v>
          </cell>
          <cell r="ID290">
            <v>5.0000000000000001E-3</v>
          </cell>
          <cell r="IE290">
            <v>6.0000000000000001E-3</v>
          </cell>
          <cell r="IF290">
            <v>0</v>
          </cell>
          <cell r="IG290">
            <v>0</v>
          </cell>
          <cell r="IH290">
            <v>4.0000000000000001E-3</v>
          </cell>
          <cell r="II290">
            <v>0</v>
          </cell>
          <cell r="IJ290">
            <v>1E-3</v>
          </cell>
          <cell r="IK290">
            <v>1E-3</v>
          </cell>
          <cell r="IL290">
            <v>1E-3</v>
          </cell>
          <cell r="IM290">
            <v>0</v>
          </cell>
          <cell r="IN290">
            <v>0</v>
          </cell>
          <cell r="IO290">
            <v>0</v>
          </cell>
          <cell r="IP290">
            <v>1E-3</v>
          </cell>
          <cell r="IQ290">
            <v>3.0000000000000001E-3</v>
          </cell>
          <cell r="IR290">
            <v>1E-3</v>
          </cell>
          <cell r="IS290">
            <v>1E-3</v>
          </cell>
          <cell r="IT290">
            <v>1E-3</v>
          </cell>
          <cell r="IU290">
            <v>3.0000000000000001E-3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2E-3</v>
          </cell>
          <cell r="JC290">
            <v>1E-3</v>
          </cell>
          <cell r="JD290">
            <v>1E-3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2E-3</v>
          </cell>
          <cell r="JS290">
            <v>3.0000000000000001E-3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4.0000000000000001E-3</v>
          </cell>
          <cell r="JZ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2E-3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1E-3</v>
          </cell>
          <cell r="KO290">
            <v>1E-3</v>
          </cell>
          <cell r="KP290">
            <v>6.0000000000000001E-3</v>
          </cell>
          <cell r="KQ290">
            <v>2E-3</v>
          </cell>
          <cell r="KR290">
            <v>1E-3</v>
          </cell>
          <cell r="KS290">
            <v>1E-3</v>
          </cell>
          <cell r="KT290">
            <v>0</v>
          </cell>
          <cell r="KU290">
            <v>0</v>
          </cell>
          <cell r="KV290">
            <v>0</v>
          </cell>
          <cell r="KW290">
            <v>1E-3</v>
          </cell>
          <cell r="KX290">
            <v>1E-3</v>
          </cell>
          <cell r="KY290">
            <v>0</v>
          </cell>
          <cell r="KZ290">
            <v>1E-3</v>
          </cell>
          <cell r="LA290">
            <v>8.2999999999999998E-5</v>
          </cell>
          <cell r="LB290">
            <v>4.4900000000000002E-4</v>
          </cell>
          <cell r="LC290">
            <v>5.8100000000000003E-4</v>
          </cell>
          <cell r="LD290">
            <v>7.2199999999999999E-4</v>
          </cell>
          <cell r="LE290">
            <v>4.95E-4</v>
          </cell>
          <cell r="LF290">
            <v>2.9599999999999998E-4</v>
          </cell>
          <cell r="LG290">
            <v>2.3E-5</v>
          </cell>
          <cell r="LH290">
            <v>2.2499999999999999E-4</v>
          </cell>
          <cell r="LI290">
            <v>9.2599999999999996E-4</v>
          </cell>
          <cell r="LJ290">
            <v>1.495E-3</v>
          </cell>
          <cell r="LK290">
            <v>1.859E-3</v>
          </cell>
          <cell r="LL290">
            <v>4.8000000000000001E-4</v>
          </cell>
          <cell r="LM290">
            <v>2.5000000000000001E-4</v>
          </cell>
          <cell r="LN290">
            <v>6.4999999999999994E-5</v>
          </cell>
          <cell r="LO290">
            <v>9.9999999999999995E-7</v>
          </cell>
          <cell r="LP290">
            <v>6.5230000000000002E-3</v>
          </cell>
          <cell r="LQ290">
            <v>2.5999999999999999E-2</v>
          </cell>
          <cell r="LR290">
            <v>4.5000000000000003E-5</v>
          </cell>
          <cell r="LS290">
            <v>3.5200000000000001E-3</v>
          </cell>
          <cell r="LT290">
            <v>0</v>
          </cell>
          <cell r="LU290">
            <v>2.0000000000000002E-5</v>
          </cell>
          <cell r="LV290">
            <v>1.3300000000000001E-4</v>
          </cell>
          <cell r="LW290">
            <v>4.4999999999999999E-4</v>
          </cell>
          <cell r="LX290">
            <v>1.129E-3</v>
          </cell>
          <cell r="LY290">
            <v>1.08E-4</v>
          </cell>
          <cell r="LZ290">
            <v>6.1899999999999998E-4</v>
          </cell>
          <cell r="MA290">
            <v>2.04E-4</v>
          </cell>
          <cell r="MB290">
            <v>0</v>
          </cell>
          <cell r="MC290">
            <v>0</v>
          </cell>
          <cell r="MD290">
            <v>0</v>
          </cell>
          <cell r="ME290">
            <v>1.078E-2</v>
          </cell>
          <cell r="MF290">
            <v>3.0000000000000001E-6</v>
          </cell>
          <cell r="MG290">
            <v>2.0000000000000002E-5</v>
          </cell>
          <cell r="MH290">
            <v>0</v>
          </cell>
          <cell r="MI290">
            <v>2.13E-4</v>
          </cell>
          <cell r="MJ290">
            <v>4.1399999999999998E-4</v>
          </cell>
          <cell r="MK290">
            <v>0</v>
          </cell>
          <cell r="ML290">
            <v>1.5699999999999999E-4</v>
          </cell>
          <cell r="MM290">
            <v>0</v>
          </cell>
          <cell r="MN290">
            <v>0</v>
          </cell>
          <cell r="MO290">
            <v>1.8700000000000001E-2</v>
          </cell>
          <cell r="MP290">
            <v>1.8710999999999998E-2</v>
          </cell>
          <cell r="MQ290">
            <v>1.9105E-2</v>
          </cell>
          <cell r="MR290">
            <v>5.28E-3</v>
          </cell>
          <cell r="MS290">
            <v>3.405E-3</v>
          </cell>
          <cell r="MT290">
            <v>0</v>
          </cell>
          <cell r="MU290">
            <v>0</v>
          </cell>
          <cell r="MV290">
            <v>0</v>
          </cell>
          <cell r="MW290">
            <v>2E-3</v>
          </cell>
          <cell r="MX290">
            <v>0</v>
          </cell>
          <cell r="MY290">
            <v>0</v>
          </cell>
          <cell r="MZ290">
            <v>2E-3</v>
          </cell>
          <cell r="NA290">
            <v>0</v>
          </cell>
          <cell r="NB290">
            <v>0</v>
          </cell>
          <cell r="NC290">
            <v>0</v>
          </cell>
          <cell r="ND290">
            <v>2E-3</v>
          </cell>
          <cell r="NE290">
            <v>0.02</v>
          </cell>
          <cell r="NF290">
            <v>0</v>
          </cell>
        </row>
      </sheetData>
      <sheetData sheetId="45">
        <row r="290">
          <cell r="AU290">
            <v>4.968</v>
          </cell>
          <cell r="AV290">
            <v>4.125</v>
          </cell>
          <cell r="AW290">
            <v>4.0979999999999999</v>
          </cell>
          <cell r="AX290">
            <v>2.9569999999999999</v>
          </cell>
          <cell r="AY290">
            <v>3.84</v>
          </cell>
          <cell r="AZ290">
            <v>1.8360000000000001</v>
          </cell>
          <cell r="BA290">
            <v>1.2929999999999999</v>
          </cell>
          <cell r="BB290">
            <v>0.80700000000000005</v>
          </cell>
          <cell r="BC290"/>
          <cell r="BD290">
            <v>7.3999999999999996E-2</v>
          </cell>
          <cell r="BE290">
            <v>0.222</v>
          </cell>
          <cell r="BF290">
            <v>0.3</v>
          </cell>
          <cell r="BG290">
            <v>7.8E-2</v>
          </cell>
          <cell r="BH290"/>
          <cell r="BI290">
            <v>0.157</v>
          </cell>
          <cell r="BJ290">
            <v>0.309</v>
          </cell>
          <cell r="BK290">
            <v>0.59199999999999997</v>
          </cell>
          <cell r="BL290">
            <v>0.14799999999999999</v>
          </cell>
          <cell r="BM290"/>
          <cell r="BN290">
            <v>0.14599999999999999</v>
          </cell>
          <cell r="BO290"/>
          <cell r="BP290"/>
          <cell r="BQ290">
            <v>2.7810000000000001</v>
          </cell>
          <cell r="BR290"/>
          <cell r="BS290">
            <v>7.0000000000000007E-2</v>
          </cell>
          <cell r="BT290">
            <v>6.8000000000000005E-2</v>
          </cell>
          <cell r="BU290"/>
          <cell r="BV290"/>
          <cell r="BW290"/>
          <cell r="BX290"/>
          <cell r="BY290"/>
          <cell r="BZ290"/>
          <cell r="CA290"/>
          <cell r="CB290">
            <v>7.5999999999999998E-2</v>
          </cell>
          <cell r="CC290"/>
          <cell r="CD290">
            <v>7.3999999999999996E-2</v>
          </cell>
          <cell r="CE290">
            <v>7.5999999999999998E-2</v>
          </cell>
          <cell r="CF290"/>
          <cell r="CG290"/>
          <cell r="CH290">
            <v>0.64700000000000002</v>
          </cell>
          <cell r="CI290">
            <v>1.26</v>
          </cell>
          <cell r="CJ290">
            <v>0.53400000000000003</v>
          </cell>
          <cell r="CK290"/>
          <cell r="CL290"/>
          <cell r="CM290"/>
          <cell r="CN290">
            <v>1.5569999999999999</v>
          </cell>
          <cell r="CO290">
            <v>1.048</v>
          </cell>
          <cell r="CP290">
            <v>2.3919999999999999</v>
          </cell>
          <cell r="CQ290">
            <v>0.55200000000000005</v>
          </cell>
          <cell r="CR290">
            <v>0.73399999999999999</v>
          </cell>
          <cell r="CS290">
            <v>0.46800000000000003</v>
          </cell>
          <cell r="CT290">
            <v>1.984</v>
          </cell>
          <cell r="CU290">
            <v>1.5089999999999999</v>
          </cell>
          <cell r="CV290">
            <v>0.95899999999999996</v>
          </cell>
          <cell r="CW290"/>
          <cell r="CX290"/>
          <cell r="CY290"/>
          <cell r="CZ290">
            <v>1.085</v>
          </cell>
          <cell r="DA290"/>
          <cell r="DB290">
            <v>0.93300000000000005</v>
          </cell>
          <cell r="DC290"/>
          <cell r="DD290">
            <v>0.218</v>
          </cell>
          <cell r="DE290">
            <v>0.47299999999999998</v>
          </cell>
          <cell r="DF290">
            <v>0.65600000000000003</v>
          </cell>
          <cell r="DG290">
            <v>0.92500000000000004</v>
          </cell>
          <cell r="DH290">
            <v>7.8E-2</v>
          </cell>
          <cell r="DI290"/>
          <cell r="DJ290">
            <v>7.3999999999999996E-2</v>
          </cell>
          <cell r="DK290"/>
          <cell r="DL290">
            <v>7.5999999999999998E-2</v>
          </cell>
          <cell r="DM290">
            <v>0.40100000000000002</v>
          </cell>
          <cell r="DN290">
            <v>0.31900000000000001</v>
          </cell>
          <cell r="DO290"/>
          <cell r="DP290"/>
          <cell r="DQ290"/>
          <cell r="DR290">
            <v>0.152</v>
          </cell>
          <cell r="DS290"/>
          <cell r="DT290">
            <v>1.113</v>
          </cell>
          <cell r="DU290">
            <v>0.67</v>
          </cell>
          <cell r="DV290"/>
          <cell r="DW290"/>
          <cell r="DX290"/>
          <cell r="DY290">
            <v>0.23</v>
          </cell>
          <cell r="DZ290">
            <v>2.1000000000000001E-2</v>
          </cell>
          <cell r="EA290">
            <v>0.22800000000000001</v>
          </cell>
          <cell r="EB290">
            <v>0.45100000000000001</v>
          </cell>
          <cell r="EC290">
            <v>0.28999999999999998</v>
          </cell>
          <cell r="ED290">
            <v>7.0000000000000007E-2</v>
          </cell>
          <cell r="EE290">
            <v>0.41199999999999998</v>
          </cell>
          <cell r="EF290">
            <v>0.158</v>
          </cell>
          <cell r="EG290">
            <v>0.32800000000000001</v>
          </cell>
          <cell r="EH290"/>
          <cell r="EI290"/>
          <cell r="EJ290">
            <v>0.23200000000000001</v>
          </cell>
          <cell r="EK290">
            <v>0.161</v>
          </cell>
          <cell r="EL290">
            <v>0.25700000000000001</v>
          </cell>
          <cell r="EM290">
            <v>0.33200000000000002</v>
          </cell>
          <cell r="EN290"/>
          <cell r="EO290">
            <v>2.1999999999999999E-2</v>
          </cell>
          <cell r="EP290">
            <v>8.1000000000000003E-2</v>
          </cell>
          <cell r="EQ290">
            <v>2.1999999999999999E-2</v>
          </cell>
          <cell r="ER290">
            <v>4.4999999999999998E-2</v>
          </cell>
          <cell r="ES290">
            <v>0.106</v>
          </cell>
          <cell r="ET290">
            <v>2.3E-2</v>
          </cell>
          <cell r="EU290">
            <v>2.3E-2</v>
          </cell>
          <cell r="EV290">
            <v>2.1999999999999999E-2</v>
          </cell>
          <cell r="EW290">
            <v>4.4999999999999998E-2</v>
          </cell>
          <cell r="EX290"/>
          <cell r="EY290">
            <v>2.1999999999999999E-2</v>
          </cell>
          <cell r="EZ290">
            <v>2.3E-2</v>
          </cell>
          <cell r="FA290">
            <v>4.5999999999999999E-2</v>
          </cell>
          <cell r="FB290">
            <v>0.33200000000000002</v>
          </cell>
          <cell r="FC290">
            <v>0.38300000000000001</v>
          </cell>
          <cell r="FD290">
            <v>2.1999999999999999E-2</v>
          </cell>
          <cell r="FE290">
            <v>0.372</v>
          </cell>
          <cell r="FF290">
            <v>0.152</v>
          </cell>
          <cell r="FG290">
            <v>7.5999999999999998E-2</v>
          </cell>
          <cell r="FH290">
            <v>0.23499999999999999</v>
          </cell>
          <cell r="FI290">
            <v>0.154</v>
          </cell>
          <cell r="FJ290">
            <v>7.2999999999999995E-2</v>
          </cell>
          <cell r="FK290">
            <v>0.33</v>
          </cell>
          <cell r="FL290">
            <v>0.191</v>
          </cell>
          <cell r="FM290">
            <v>0.27400000000000002</v>
          </cell>
          <cell r="FN290">
            <v>0.187</v>
          </cell>
          <cell r="FO290">
            <v>0.27900000000000003</v>
          </cell>
          <cell r="FP290">
            <v>0.26700000000000002</v>
          </cell>
          <cell r="FQ290">
            <v>9.4E-2</v>
          </cell>
          <cell r="FR290">
            <v>0.73899999999999999</v>
          </cell>
          <cell r="FS290">
            <v>9.1999999999999998E-2</v>
          </cell>
          <cell r="FT290">
            <v>0.14799999999999999</v>
          </cell>
          <cell r="FU290">
            <v>0.374</v>
          </cell>
          <cell r="FV290">
            <v>0.502</v>
          </cell>
          <cell r="FW290">
            <v>0.26500000000000001</v>
          </cell>
          <cell r="FX290">
            <v>0.26500000000000001</v>
          </cell>
          <cell r="FY290">
            <v>1.1299999999999999</v>
          </cell>
          <cell r="FZ290">
            <v>0.25</v>
          </cell>
          <cell r="GA290">
            <v>0.29499999999999998</v>
          </cell>
          <cell r="GB290">
            <v>0.25</v>
          </cell>
          <cell r="GC290">
            <v>0.42399999999999999</v>
          </cell>
          <cell r="GD290">
            <v>0.438</v>
          </cell>
          <cell r="GE290"/>
          <cell r="GF290">
            <v>0.53</v>
          </cell>
          <cell r="GG290">
            <v>0.17699999999999999</v>
          </cell>
          <cell r="GH290">
            <v>1.095</v>
          </cell>
          <cell r="GI290">
            <v>0.41499999999999998</v>
          </cell>
          <cell r="GJ290">
            <v>8.3000000000000004E-2</v>
          </cell>
          <cell r="GK290">
            <v>0.48399999999999999</v>
          </cell>
          <cell r="GL290">
            <v>0.34300000000000003</v>
          </cell>
          <cell r="GM290">
            <v>0.39700000000000002</v>
          </cell>
          <cell r="GN290">
            <v>0.81100000000000005</v>
          </cell>
          <cell r="GO290">
            <v>1.347</v>
          </cell>
          <cell r="GP290">
            <v>0.42899999999999999</v>
          </cell>
          <cell r="GQ290">
            <v>9.0999999999999998E-2</v>
          </cell>
          <cell r="GR290">
            <v>0.26200000000000001</v>
          </cell>
          <cell r="GS290">
            <v>0.42299999999999999</v>
          </cell>
          <cell r="GT290">
            <v>0.09</v>
          </cell>
          <cell r="GU290">
            <v>0.43099999999999999</v>
          </cell>
          <cell r="GV290">
            <v>0.42</v>
          </cell>
          <cell r="GW290">
            <v>0.24399999999999999</v>
          </cell>
          <cell r="GX290">
            <v>0.17399999999999999</v>
          </cell>
          <cell r="GY290">
            <v>0.33400000000000002</v>
          </cell>
          <cell r="GZ290">
            <v>0.26500000000000001</v>
          </cell>
          <cell r="HA290">
            <v>0.70899999999999996</v>
          </cell>
          <cell r="HB290">
            <v>0.16200000000000001</v>
          </cell>
          <cell r="HC290">
            <v>0.33800000000000002</v>
          </cell>
          <cell r="HD290">
            <v>0.35499999999999998</v>
          </cell>
          <cell r="HE290"/>
          <cell r="HF290"/>
          <cell r="HG290">
            <v>0.253</v>
          </cell>
          <cell r="HH290">
            <v>0.246</v>
          </cell>
          <cell r="HI290">
            <v>0.41699999999999998</v>
          </cell>
          <cell r="HJ290">
            <v>0.17499999999999999</v>
          </cell>
          <cell r="HK290">
            <v>0.17299999999999999</v>
          </cell>
          <cell r="HL290">
            <v>0.33300000000000002</v>
          </cell>
          <cell r="HM290"/>
          <cell r="HN290">
            <v>0.158</v>
          </cell>
          <cell r="HO290">
            <v>0.33600000000000002</v>
          </cell>
          <cell r="HP290">
            <v>8.1000000000000003E-2</v>
          </cell>
          <cell r="HQ290"/>
          <cell r="HR290">
            <v>0.187</v>
          </cell>
          <cell r="HS290"/>
          <cell r="HT290">
            <v>8.7999999999999995E-2</v>
          </cell>
          <cell r="HU290"/>
          <cell r="HV290">
            <v>0.09</v>
          </cell>
          <cell r="HW290">
            <v>0.16500000000000001</v>
          </cell>
          <cell r="HX290"/>
          <cell r="HY290">
            <v>0.16600000000000001</v>
          </cell>
          <cell r="HZ290">
            <v>0.251</v>
          </cell>
          <cell r="IA290">
            <v>0.16300000000000001</v>
          </cell>
          <cell r="IB290"/>
          <cell r="IC290"/>
          <cell r="ID290"/>
          <cell r="IE290">
            <v>8.8999999999999996E-2</v>
          </cell>
          <cell r="IF290">
            <v>0.182</v>
          </cell>
          <cell r="IG290"/>
          <cell r="IH290">
            <v>8.8999999999999996E-2</v>
          </cell>
          <cell r="II290">
            <v>0.09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9.0999999999999998E-2</v>
          </cell>
          <cell r="KO290">
            <v>0</v>
          </cell>
          <cell r="KP290">
            <v>8.8999999999999996E-2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>
            <v>0</v>
          </cell>
          <cell r="KV290">
            <v>8.2000000000000003E-2</v>
          </cell>
          <cell r="KW290">
            <v>0</v>
          </cell>
          <cell r="KX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0</v>
          </cell>
          <cell r="LH290">
            <v>0</v>
          </cell>
          <cell r="LI290">
            <v>0</v>
          </cell>
          <cell r="LJ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Q290">
            <v>0</v>
          </cell>
          <cell r="LR290">
            <v>0</v>
          </cell>
          <cell r="LS290">
            <v>0</v>
          </cell>
          <cell r="LT290">
            <v>0</v>
          </cell>
          <cell r="LU290">
            <v>0</v>
          </cell>
          <cell r="LV290">
            <v>0</v>
          </cell>
          <cell r="LW290">
            <v>0</v>
          </cell>
          <cell r="LX290">
            <v>0</v>
          </cell>
          <cell r="LY290">
            <v>0</v>
          </cell>
          <cell r="LZ290">
            <v>0</v>
          </cell>
          <cell r="MA290">
            <v>0</v>
          </cell>
          <cell r="MB290">
            <v>0</v>
          </cell>
          <cell r="MC290">
            <v>0</v>
          </cell>
          <cell r="MD290">
            <v>0</v>
          </cell>
          <cell r="ME290">
            <v>0</v>
          </cell>
          <cell r="MF290">
            <v>0</v>
          </cell>
          <cell r="MG290">
            <v>0</v>
          </cell>
          <cell r="MH290">
            <v>0</v>
          </cell>
          <cell r="MI290">
            <v>0</v>
          </cell>
          <cell r="MJ290">
            <v>0</v>
          </cell>
          <cell r="MK290">
            <v>0</v>
          </cell>
          <cell r="ML290">
            <v>0</v>
          </cell>
          <cell r="MM290">
            <v>0</v>
          </cell>
          <cell r="MN290">
            <v>0</v>
          </cell>
          <cell r="MO290">
            <v>0</v>
          </cell>
          <cell r="MP290">
            <v>0</v>
          </cell>
          <cell r="MQ290">
            <v>0</v>
          </cell>
          <cell r="MR290">
            <v>0</v>
          </cell>
          <cell r="MS290">
            <v>0</v>
          </cell>
          <cell r="MT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0</v>
          </cell>
          <cell r="MZ290">
            <v>0</v>
          </cell>
          <cell r="NA290">
            <v>0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</row>
      </sheetData>
      <sheetData sheetId="46">
        <row r="290"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</v>
          </cell>
          <cell r="KO290">
            <v>0</v>
          </cell>
          <cell r="KP290">
            <v>0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0</v>
          </cell>
          <cell r="LH290">
            <v>0</v>
          </cell>
          <cell r="LI290">
            <v>0</v>
          </cell>
          <cell r="LJ290">
            <v>0</v>
          </cell>
          <cell r="LK290">
            <v>0</v>
          </cell>
          <cell r="LL290">
            <v>0</v>
          </cell>
          <cell r="LM290">
            <v>0</v>
          </cell>
          <cell r="LN290">
            <v>0</v>
          </cell>
          <cell r="LO290">
            <v>0</v>
          </cell>
          <cell r="LP290">
            <v>0</v>
          </cell>
          <cell r="LQ290">
            <v>0</v>
          </cell>
          <cell r="LR290">
            <v>0</v>
          </cell>
          <cell r="LS290">
            <v>0</v>
          </cell>
          <cell r="LT290">
            <v>0</v>
          </cell>
          <cell r="LU290">
            <v>0</v>
          </cell>
          <cell r="LV290">
            <v>0</v>
          </cell>
          <cell r="LW290">
            <v>0</v>
          </cell>
          <cell r="LX290">
            <v>0</v>
          </cell>
          <cell r="LY290">
            <v>0</v>
          </cell>
          <cell r="LZ290">
            <v>0</v>
          </cell>
          <cell r="MA290">
            <v>0</v>
          </cell>
          <cell r="MB290">
            <v>0</v>
          </cell>
          <cell r="MC290">
            <v>2E-3</v>
          </cell>
          <cell r="MD290">
            <v>0</v>
          </cell>
          <cell r="ME290">
            <v>0</v>
          </cell>
          <cell r="MF290">
            <v>0</v>
          </cell>
          <cell r="MG290">
            <v>0</v>
          </cell>
          <cell r="MH290">
            <v>1E-3</v>
          </cell>
          <cell r="MI290">
            <v>0</v>
          </cell>
          <cell r="MJ290">
            <v>0</v>
          </cell>
          <cell r="MK290">
            <v>0</v>
          </cell>
          <cell r="ML290">
            <v>0</v>
          </cell>
          <cell r="MM290">
            <v>0</v>
          </cell>
          <cell r="MN290">
            <v>0</v>
          </cell>
          <cell r="MO290">
            <v>0</v>
          </cell>
          <cell r="MP290">
            <v>0</v>
          </cell>
          <cell r="MQ290">
            <v>0</v>
          </cell>
          <cell r="MR290">
            <v>1E-3</v>
          </cell>
          <cell r="MS290">
            <v>2E-3</v>
          </cell>
          <cell r="MT290">
            <v>2E-3</v>
          </cell>
          <cell r="MU290" t="str">
            <v/>
          </cell>
          <cell r="MV290">
            <v>1E-3</v>
          </cell>
          <cell r="MW290">
            <v>1E-3</v>
          </cell>
          <cell r="MX290" t="str">
            <v/>
          </cell>
          <cell r="MY290" t="str">
            <v/>
          </cell>
          <cell r="MZ290" t="str">
            <v/>
          </cell>
          <cell r="NA290" t="str">
            <v/>
          </cell>
          <cell r="NB290" t="str">
            <v/>
          </cell>
          <cell r="NC290">
            <v>1E-3</v>
          </cell>
          <cell r="ND290">
            <v>2E-3</v>
          </cell>
          <cell r="NE290">
            <v>2E-3</v>
          </cell>
        </row>
      </sheetData>
      <sheetData sheetId="47">
        <row r="290">
          <cell r="AU290">
            <v>24.271000000000001</v>
          </cell>
          <cell r="AV290">
            <v>23.099</v>
          </cell>
          <cell r="AW290">
            <v>11.058</v>
          </cell>
          <cell r="AX290">
            <v>23.774000000000001</v>
          </cell>
          <cell r="AY290">
            <v>41.871000000000002</v>
          </cell>
          <cell r="AZ290">
            <v>20.114999999999998</v>
          </cell>
          <cell r="BA290">
            <v>31.645</v>
          </cell>
          <cell r="BB290">
            <v>25.123999999999999</v>
          </cell>
          <cell r="BC290">
            <v>23.760999999999999</v>
          </cell>
          <cell r="BD290">
            <v>36.780999999999999</v>
          </cell>
          <cell r="BE290">
            <v>12.907999999999999</v>
          </cell>
          <cell r="BF290">
            <v>16.585999999999999</v>
          </cell>
          <cell r="BG290">
            <v>18.602</v>
          </cell>
          <cell r="BH290">
            <v>21.510999999999999</v>
          </cell>
          <cell r="BI290">
            <v>4.0570000000000004</v>
          </cell>
          <cell r="BJ290">
            <v>22.245000000000001</v>
          </cell>
          <cell r="BK290">
            <v>33.744999999999997</v>
          </cell>
          <cell r="BL290">
            <v>30.614000000000001</v>
          </cell>
          <cell r="BM290">
            <v>11.913</v>
          </cell>
          <cell r="BN290">
            <v>7.6440000000000001</v>
          </cell>
          <cell r="BO290">
            <v>15.342000000000001</v>
          </cell>
          <cell r="BP290">
            <v>13.878</v>
          </cell>
          <cell r="BQ290">
            <v>41.526000000000003</v>
          </cell>
          <cell r="BR290">
            <v>26.555</v>
          </cell>
          <cell r="BS290">
            <v>24.515000000000001</v>
          </cell>
          <cell r="BT290">
            <v>12.49</v>
          </cell>
          <cell r="BU290">
            <v>10.765000000000001</v>
          </cell>
          <cell r="BV290">
            <v>42.066000000000003</v>
          </cell>
          <cell r="BW290">
            <v>27.484000000000002</v>
          </cell>
          <cell r="BX290">
            <v>15.227</v>
          </cell>
          <cell r="BY290">
            <v>7.6029999999999998</v>
          </cell>
          <cell r="BZ290">
            <v>26.210999999999999</v>
          </cell>
          <cell r="CA290">
            <v>9.5289999999999999</v>
          </cell>
          <cell r="CB290">
            <v>26.824000000000002</v>
          </cell>
          <cell r="CC290">
            <v>5.8419999999999996</v>
          </cell>
          <cell r="CD290">
            <v>20.715</v>
          </cell>
          <cell r="CE290">
            <v>40.956000000000003</v>
          </cell>
          <cell r="CF290">
            <v>14.997</v>
          </cell>
          <cell r="CG290">
            <v>17.876000000000001</v>
          </cell>
          <cell r="CH290">
            <v>9.7390000000000008</v>
          </cell>
          <cell r="CI290">
            <v>15.641999999999999</v>
          </cell>
          <cell r="CJ290">
            <v>19.11</v>
          </cell>
          <cell r="CK290">
            <v>10.56</v>
          </cell>
          <cell r="CL290">
            <v>1.698</v>
          </cell>
          <cell r="CM290">
            <v>0.29299999999999998</v>
          </cell>
          <cell r="CN290">
            <v>2.3540000000000001</v>
          </cell>
          <cell r="CO290">
            <v>7.157</v>
          </cell>
          <cell r="CP290">
            <v>22.463999999999999</v>
          </cell>
          <cell r="CQ290">
            <v>15.164999999999999</v>
          </cell>
          <cell r="CR290">
            <v>23.710999999999999</v>
          </cell>
          <cell r="CS290">
            <v>6.0369999999999999</v>
          </cell>
          <cell r="CT290">
            <v>16.257999999999999</v>
          </cell>
          <cell r="CU290">
            <v>4.21</v>
          </cell>
          <cell r="CV290">
            <v>29.602</v>
          </cell>
          <cell r="CW290">
            <v>19.587</v>
          </cell>
          <cell r="CX290">
            <v>4.1440000000000001</v>
          </cell>
          <cell r="CY290">
            <v>13.755000000000001</v>
          </cell>
          <cell r="CZ290">
            <v>13.528</v>
          </cell>
          <cell r="DA290">
            <v>17.596</v>
          </cell>
          <cell r="DB290">
            <v>25.661000000000001</v>
          </cell>
          <cell r="DC290">
            <v>16.329999999999998</v>
          </cell>
          <cell r="DD290">
            <v>16.213999999999999</v>
          </cell>
          <cell r="DE290">
            <v>6.6929999999999996</v>
          </cell>
          <cell r="DF290">
            <v>10.904999999999999</v>
          </cell>
          <cell r="DG290">
            <v>23.684999999999999</v>
          </cell>
          <cell r="DH290">
            <v>3.8730000000000002</v>
          </cell>
          <cell r="DI290">
            <v>15.618</v>
          </cell>
          <cell r="DJ290">
            <v>11.98</v>
          </cell>
          <cell r="DK290">
            <v>22.277000000000001</v>
          </cell>
          <cell r="DL290">
            <v>3.4969999999999999</v>
          </cell>
          <cell r="DM290">
            <v>15.355</v>
          </cell>
          <cell r="DN290">
            <v>22.166</v>
          </cell>
          <cell r="DO290">
            <v>2.9729999999999999</v>
          </cell>
          <cell r="DP290">
            <v>2.6859999999999999</v>
          </cell>
          <cell r="DQ290">
            <v>2.2149999999999999</v>
          </cell>
          <cell r="DR290">
            <v>2.423</v>
          </cell>
          <cell r="DS290">
            <v>3.5350000000000001</v>
          </cell>
          <cell r="DT290">
            <v>4.516</v>
          </cell>
          <cell r="DU290">
            <v>1.214</v>
          </cell>
          <cell r="DV290">
            <v>5.7919999999999998</v>
          </cell>
          <cell r="DW290">
            <v>3.1739999999999999</v>
          </cell>
          <cell r="DX290">
            <v>5.3689999999999998</v>
          </cell>
          <cell r="DY290">
            <v>16.119</v>
          </cell>
          <cell r="DZ290">
            <v>4.649</v>
          </cell>
          <cell r="EA290">
            <v>3.0209999999999999</v>
          </cell>
          <cell r="EB290">
            <v>0.76200000000000001</v>
          </cell>
          <cell r="EC290">
            <v>2.5169999999999999</v>
          </cell>
          <cell r="ED290">
            <v>1.6020000000000001</v>
          </cell>
          <cell r="EE290">
            <v>1.095</v>
          </cell>
          <cell r="EF290">
            <v>1.829</v>
          </cell>
          <cell r="EG290">
            <v>2.2480000000000002</v>
          </cell>
          <cell r="EH290">
            <v>0.57899999999999996</v>
          </cell>
          <cell r="EI290">
            <v>0.215</v>
          </cell>
          <cell r="EJ290">
            <v>1.0620000000000001</v>
          </cell>
          <cell r="EK290">
            <v>0.33800000000000002</v>
          </cell>
          <cell r="EL290">
            <v>1.6559999999999999</v>
          </cell>
          <cell r="EM290">
            <v>6.16</v>
          </cell>
          <cell r="EN290">
            <v>0.34</v>
          </cell>
          <cell r="EO290">
            <v>0.38400000000000001</v>
          </cell>
          <cell r="EP290">
            <v>14.348000000000001</v>
          </cell>
          <cell r="EQ290">
            <v>3.3420000000000001</v>
          </cell>
          <cell r="ER290">
            <v>16.405000000000001</v>
          </cell>
          <cell r="ES290">
            <v>3.6389999999999998</v>
          </cell>
          <cell r="ET290">
            <v>2.028</v>
          </cell>
          <cell r="EU290">
            <v>2.2909999999999999</v>
          </cell>
          <cell r="EV290">
            <v>2.194</v>
          </cell>
          <cell r="EW290">
            <v>0.98199999999999998</v>
          </cell>
          <cell r="EX290">
            <v>13.975</v>
          </cell>
          <cell r="EY290">
            <v>8.7639999999999993</v>
          </cell>
          <cell r="EZ290">
            <v>7.5750000000000002</v>
          </cell>
          <cell r="FA290">
            <v>1.9219999999999999</v>
          </cell>
          <cell r="FB290">
            <v>6.8680000000000003</v>
          </cell>
          <cell r="FC290">
            <v>19.472000000000001</v>
          </cell>
          <cell r="FD290">
            <v>23.574999999999999</v>
          </cell>
          <cell r="FE290">
            <v>7.3330000000000002</v>
          </cell>
          <cell r="FF290">
            <v>15.757999999999999</v>
          </cell>
          <cell r="FG290">
            <v>1.2729999999999999</v>
          </cell>
          <cell r="FH290">
            <v>0.27700000000000002</v>
          </cell>
          <cell r="FI290">
            <v>0.224</v>
          </cell>
          <cell r="FJ290">
            <v>4.9029999999999996</v>
          </cell>
          <cell r="FK290">
            <v>6.0000000000000001E-3</v>
          </cell>
          <cell r="FL290">
            <v>9.6000000000000002E-2</v>
          </cell>
          <cell r="FM290">
            <v>0.50600000000000001</v>
          </cell>
          <cell r="FN290">
            <v>19.026</v>
          </cell>
          <cell r="FO290">
            <v>8.59</v>
          </cell>
          <cell r="FP290">
            <v>0.76800000000000002</v>
          </cell>
          <cell r="FQ290">
            <v>18.405999999999999</v>
          </cell>
          <cell r="FR290">
            <v>0.35</v>
          </cell>
          <cell r="FS290">
            <v>0.188</v>
          </cell>
          <cell r="FT290">
            <v>26.484000000000002</v>
          </cell>
          <cell r="FU290">
            <v>0.50700000000000001</v>
          </cell>
          <cell r="FV290">
            <v>33.063000000000002</v>
          </cell>
          <cell r="FW290">
            <v>3.2090000000000001</v>
          </cell>
          <cell r="FX290">
            <v>0.63900000000000001</v>
          </cell>
          <cell r="FY290">
            <v>4.1219999999999999</v>
          </cell>
          <cell r="FZ290">
            <v>8.4760000000000009</v>
          </cell>
          <cell r="GA290">
            <v>4.2089999999999996</v>
          </cell>
          <cell r="GB290">
            <v>2.7730000000000001</v>
          </cell>
          <cell r="GC290">
            <v>6.109</v>
          </cell>
          <cell r="GD290">
            <v>0.64800000000000002</v>
          </cell>
          <cell r="GE290">
            <v>0.27400000000000002</v>
          </cell>
          <cell r="GF290">
            <v>4.798</v>
          </cell>
          <cell r="GG290">
            <v>11.538</v>
          </cell>
          <cell r="GH290">
            <v>1.206</v>
          </cell>
          <cell r="GI290">
            <v>27.834</v>
          </cell>
          <cell r="GJ290">
            <v>2.4089999999999998</v>
          </cell>
          <cell r="GK290">
            <v>1.3580000000000001</v>
          </cell>
          <cell r="GL290">
            <v>22.439</v>
          </cell>
          <cell r="GM290">
            <v>10.965</v>
          </cell>
          <cell r="GN290">
            <v>0.79400000000000004</v>
          </cell>
          <cell r="GO290">
            <v>2.6179999999999999</v>
          </cell>
          <cell r="GP290">
            <v>1.0509999999999999</v>
          </cell>
          <cell r="GQ290">
            <v>0.47099999999999997</v>
          </cell>
          <cell r="GR290">
            <v>0.751</v>
          </cell>
          <cell r="GS290">
            <v>0.755</v>
          </cell>
          <cell r="GT290">
            <v>0.34599999999999997</v>
          </cell>
          <cell r="GU290">
            <v>0.93400000000000005</v>
          </cell>
          <cell r="GV290">
            <v>0.41899999999999998</v>
          </cell>
          <cell r="GW290">
            <v>20.193000000000001</v>
          </cell>
          <cell r="GX290">
            <v>0.63400000000000001</v>
          </cell>
          <cell r="GY290">
            <v>6.0449999999999999</v>
          </cell>
          <cell r="GZ290">
            <v>1.3240000000000001</v>
          </cell>
          <cell r="HA290">
            <v>0.432</v>
          </cell>
          <cell r="HB290">
            <v>0.55300000000000005</v>
          </cell>
          <cell r="HC290">
            <v>0.42799999999999999</v>
          </cell>
          <cell r="HD290">
            <v>1.542</v>
          </cell>
          <cell r="HE290">
            <v>0.56599999999999995</v>
          </cell>
          <cell r="HF290">
            <v>0.16200000000000001</v>
          </cell>
          <cell r="HG290">
            <v>0.46700000000000003</v>
          </cell>
          <cell r="HH290">
            <v>0.49099999999999999</v>
          </cell>
          <cell r="HI290">
            <v>0.56999999999999995</v>
          </cell>
          <cell r="HJ290">
            <v>1.1339999999999999</v>
          </cell>
          <cell r="HK290">
            <v>21.577000000000002</v>
          </cell>
          <cell r="HL290">
            <v>0.72899999999999998</v>
          </cell>
          <cell r="HM290">
            <v>0.76</v>
          </cell>
          <cell r="HN290">
            <v>0.51700000000000002</v>
          </cell>
          <cell r="HO290">
            <v>0.51400000000000001</v>
          </cell>
          <cell r="HP290">
            <v>2.4750000000000001</v>
          </cell>
          <cell r="HQ290">
            <v>0.72199999999999998</v>
          </cell>
          <cell r="HR290">
            <v>0.45800000000000002</v>
          </cell>
          <cell r="HS290">
            <v>0.93200000000000005</v>
          </cell>
          <cell r="HT290">
            <v>0.441</v>
          </cell>
          <cell r="HU290">
            <v>1.226</v>
          </cell>
          <cell r="HV290">
            <v>3.0470000000000002</v>
          </cell>
          <cell r="HW290">
            <v>4.5</v>
          </cell>
          <cell r="HX290">
            <v>1.143</v>
          </cell>
          <cell r="HY290">
            <v>0.879</v>
          </cell>
          <cell r="HZ290">
            <v>4.8600000000000003</v>
          </cell>
          <cell r="IA290">
            <v>1.651</v>
          </cell>
          <cell r="IB290">
            <v>0.47899999999999998</v>
          </cell>
          <cell r="IC290">
            <v>3.9870000000000001</v>
          </cell>
          <cell r="ID290">
            <v>1.29</v>
          </cell>
          <cell r="IE290">
            <v>0.88700000000000001</v>
          </cell>
          <cell r="IF290">
            <v>0.93</v>
          </cell>
          <cell r="IG290">
            <v>3.8839999999999999</v>
          </cell>
          <cell r="IH290">
            <v>1.0640000000000001</v>
          </cell>
          <cell r="II290">
            <v>21.17</v>
          </cell>
          <cell r="IJ290">
            <v>0.66900000000000004</v>
          </cell>
          <cell r="IK290">
            <v>0.625</v>
          </cell>
          <cell r="IL290">
            <v>0.32300000000000001</v>
          </cell>
          <cell r="IM290">
            <v>0.40300000000000002</v>
          </cell>
          <cell r="IN290">
            <v>0.377</v>
          </cell>
          <cell r="IO290">
            <v>0.40799999999999997</v>
          </cell>
          <cell r="IP290">
            <v>0.37</v>
          </cell>
          <cell r="IQ290">
            <v>3.6549999999999998</v>
          </cell>
          <cell r="IR290">
            <v>0.18</v>
          </cell>
          <cell r="IS290">
            <v>0.30399999999999999</v>
          </cell>
          <cell r="IT290">
            <v>0.31</v>
          </cell>
          <cell r="IU290">
            <v>0.17499999999999999</v>
          </cell>
          <cell r="IV290">
            <v>22.811</v>
          </cell>
          <cell r="IW290">
            <v>0.378</v>
          </cell>
          <cell r="IX290">
            <v>1.272</v>
          </cell>
          <cell r="IY290">
            <v>0.34200000000000003</v>
          </cell>
          <cell r="IZ290">
            <v>0.63700000000000001</v>
          </cell>
          <cell r="JA290">
            <v>3.7240000000000002</v>
          </cell>
          <cell r="JB290">
            <v>2.0870000000000002</v>
          </cell>
          <cell r="JC290">
            <v>2.4279999999999999</v>
          </cell>
          <cell r="JD290">
            <v>2.4390000000000001</v>
          </cell>
          <cell r="JE290">
            <v>3.2109999999999999</v>
          </cell>
          <cell r="JF290">
            <v>5.157</v>
          </cell>
          <cell r="JG290">
            <v>4.4119999999999999</v>
          </cell>
          <cell r="JH290">
            <v>3.3119999999999998</v>
          </cell>
          <cell r="JI290">
            <v>1.5489999999999999</v>
          </cell>
          <cell r="JJ290">
            <v>3.444</v>
          </cell>
          <cell r="JK290">
            <v>0.45400000000000001</v>
          </cell>
          <cell r="JL290">
            <v>3.536</v>
          </cell>
          <cell r="JM290">
            <v>0.40899999999999997</v>
          </cell>
          <cell r="JN290">
            <v>1.6220000000000001</v>
          </cell>
          <cell r="JO290">
            <v>1.1519999999999999</v>
          </cell>
          <cell r="JP290">
            <v>0.75</v>
          </cell>
          <cell r="JQ290">
            <v>1.1339999999999999</v>
          </cell>
          <cell r="JR290">
            <v>1.026</v>
          </cell>
          <cell r="JS290">
            <v>13.993</v>
          </cell>
          <cell r="JT290">
            <v>12.276999999999999</v>
          </cell>
          <cell r="JU290">
            <v>0.65900000000000003</v>
          </cell>
          <cell r="JV290">
            <v>0.84899999999999998</v>
          </cell>
          <cell r="JW290">
            <v>0.39600000000000002</v>
          </cell>
          <cell r="JX290">
            <v>0.88100000000000001</v>
          </cell>
          <cell r="JY290">
            <v>0.56499999999999995</v>
          </cell>
          <cell r="JZ290">
            <v>1.2450000000000001</v>
          </cell>
          <cell r="KA290">
            <v>0.96399999999999997</v>
          </cell>
          <cell r="KB290">
            <v>1.054</v>
          </cell>
          <cell r="KC290">
            <v>1.302</v>
          </cell>
          <cell r="KD290">
            <v>1.2210000000000001</v>
          </cell>
          <cell r="KE290">
            <v>1.2470000000000001</v>
          </cell>
          <cell r="KF290">
            <v>10.208</v>
          </cell>
          <cell r="KG290">
            <v>5.5460000000000003</v>
          </cell>
          <cell r="KH290">
            <v>15.646000000000001</v>
          </cell>
          <cell r="KI290">
            <v>0.38400000000000001</v>
          </cell>
          <cell r="KJ290">
            <v>0.60799999999999998</v>
          </cell>
          <cell r="KK290">
            <v>0.66600000000000004</v>
          </cell>
          <cell r="KL290">
            <v>1.5369999999999999</v>
          </cell>
          <cell r="KM290">
            <v>1.5840000000000001</v>
          </cell>
          <cell r="KN290">
            <v>4.4059999999999997</v>
          </cell>
          <cell r="KO290">
            <v>0.85599999999999998</v>
          </cell>
          <cell r="KP290">
            <v>2.448</v>
          </cell>
          <cell r="KQ290">
            <v>5.0759999999999996</v>
          </cell>
          <cell r="KR290">
            <v>0.74299999999999999</v>
          </cell>
          <cell r="KS290">
            <v>0.30199999999999999</v>
          </cell>
          <cell r="KT290">
            <v>26.658000000000001</v>
          </cell>
          <cell r="KU290">
            <v>4.34</v>
          </cell>
          <cell r="KV290">
            <v>0.3</v>
          </cell>
          <cell r="KW290">
            <v>2.3039999999999998</v>
          </cell>
          <cell r="KX290">
            <v>1.129</v>
          </cell>
          <cell r="KY290">
            <v>0.66700000000000004</v>
          </cell>
          <cell r="KZ290">
            <v>0.84399999999999997</v>
          </cell>
          <cell r="LA290">
            <v>0.40200000000000002</v>
          </cell>
          <cell r="LB290">
            <v>0.46200000000000002</v>
          </cell>
          <cell r="LC290">
            <v>0.57499999999999996</v>
          </cell>
          <cell r="LD290">
            <v>1.543798</v>
          </cell>
          <cell r="LE290">
            <v>0.59162899999999996</v>
          </cell>
          <cell r="LF290">
            <v>1.0358719999999999</v>
          </cell>
          <cell r="LG290">
            <v>1.2214849999999999</v>
          </cell>
          <cell r="LH290">
            <v>0.93535599999999997</v>
          </cell>
          <cell r="LI290">
            <v>23.978539000000001</v>
          </cell>
          <cell r="LJ290">
            <v>1.1796930000000001</v>
          </cell>
          <cell r="LK290">
            <v>1.5444899999999999</v>
          </cell>
          <cell r="LL290">
            <v>24.94106</v>
          </cell>
          <cell r="LM290">
            <v>1.1326940000000001</v>
          </cell>
          <cell r="LN290">
            <v>2.510446</v>
          </cell>
          <cell r="LO290">
            <v>26.024979999999999</v>
          </cell>
          <cell r="LP290">
            <v>2.222823</v>
          </cell>
          <cell r="LQ290">
            <v>26.909326</v>
          </cell>
          <cell r="LR290">
            <v>1.5946450000000001</v>
          </cell>
          <cell r="LS290">
            <v>27.821016</v>
          </cell>
          <cell r="LT290">
            <v>1.8885529999999999</v>
          </cell>
          <cell r="LU290">
            <v>26.849920999999998</v>
          </cell>
          <cell r="LV290">
            <v>2.0935000000000001</v>
          </cell>
          <cell r="LW290">
            <v>2.0582159999999998</v>
          </cell>
          <cell r="LX290">
            <v>26.342161999999998</v>
          </cell>
          <cell r="LY290">
            <v>2.989471</v>
          </cell>
          <cell r="LZ290">
            <v>1.3313349999999999</v>
          </cell>
          <cell r="MA290">
            <v>2.2053229999999999</v>
          </cell>
          <cell r="MB290">
            <v>2.3693019999999998</v>
          </cell>
          <cell r="MC290">
            <v>1.5390870000000001</v>
          </cell>
          <cell r="MD290">
            <v>1.7374099999999999</v>
          </cell>
          <cell r="ME290">
            <v>1.230121</v>
          </cell>
          <cell r="MF290">
            <v>1.598746</v>
          </cell>
          <cell r="MG290">
            <v>3.1697639999999998</v>
          </cell>
          <cell r="MH290">
            <v>1.2651600000000001</v>
          </cell>
          <cell r="MI290">
            <v>1.5442549999999999</v>
          </cell>
          <cell r="MJ290">
            <v>1.738885</v>
          </cell>
          <cell r="MK290">
            <v>2.2108449999999999</v>
          </cell>
          <cell r="ML290">
            <v>2.8384779999999998</v>
          </cell>
          <cell r="MM290">
            <v>2.5667680000000002</v>
          </cell>
          <cell r="MN290">
            <v>2.422453</v>
          </cell>
          <cell r="MO290">
            <v>1.8596200000000001</v>
          </cell>
          <cell r="MP290">
            <v>1.846814</v>
          </cell>
          <cell r="MQ290">
            <v>1.6149910000000001</v>
          </cell>
          <cell r="MR290">
            <v>7.7889559999999998</v>
          </cell>
          <cell r="MS290">
            <v>7.9829059999999998</v>
          </cell>
          <cell r="MT290">
            <v>1.3238289999999999</v>
          </cell>
          <cell r="MU290">
            <v>1.5249999999999999</v>
          </cell>
          <cell r="MV290">
            <v>1.351</v>
          </cell>
          <cell r="MW290">
            <v>1.625</v>
          </cell>
          <cell r="MX290">
            <v>2.73</v>
          </cell>
          <cell r="MY290">
            <v>2.9649999999999999</v>
          </cell>
          <cell r="MZ290">
            <v>3.7930000000000001</v>
          </cell>
          <cell r="NA290">
            <v>2.9580000000000002</v>
          </cell>
          <cell r="NB290">
            <v>2.8420000000000001</v>
          </cell>
          <cell r="NC290">
            <v>28.916</v>
          </cell>
          <cell r="ND290">
            <v>1.7609999999999999</v>
          </cell>
          <cell r="NE290">
            <v>9.0079999999999991</v>
          </cell>
          <cell r="NF290">
            <v>1.653</v>
          </cell>
        </row>
      </sheetData>
      <sheetData sheetId="48">
        <row r="290">
          <cell r="AU290">
            <v>3.302</v>
          </cell>
          <cell r="AV290">
            <v>2.1000000000000001E-2</v>
          </cell>
          <cell r="AW290">
            <v>0.28000000000000003</v>
          </cell>
          <cell r="AX290">
            <v>6.5000000000000002E-2</v>
          </cell>
          <cell r="AY290">
            <v>3.1560000000000001</v>
          </cell>
          <cell r="AZ290">
            <v>6.484</v>
          </cell>
          <cell r="BA290">
            <v>5.6630000000000003</v>
          </cell>
          <cell r="BB290">
            <v>4.694</v>
          </cell>
          <cell r="BC290">
            <v>5.7370000000000001</v>
          </cell>
          <cell r="BD290">
            <v>3.6459999999999999</v>
          </cell>
          <cell r="BE290">
            <v>3.9220000000000002</v>
          </cell>
          <cell r="BF290">
            <v>4.0739999999999998</v>
          </cell>
          <cell r="BG290">
            <v>2.0609999999999999</v>
          </cell>
          <cell r="BH290">
            <v>2.915</v>
          </cell>
          <cell r="BI290">
            <v>1.0509999999999999</v>
          </cell>
          <cell r="BJ290">
            <v>1.3520000000000001</v>
          </cell>
          <cell r="BK290">
            <v>1.972</v>
          </cell>
          <cell r="BL290">
            <v>5.9050000000000002</v>
          </cell>
          <cell r="BM290">
            <v>5.306</v>
          </cell>
          <cell r="BN290">
            <v>4.0190000000000001</v>
          </cell>
          <cell r="BO290">
            <v>5.8979999999999997</v>
          </cell>
          <cell r="BP290">
            <v>4.0170000000000003</v>
          </cell>
          <cell r="BQ290">
            <v>3.0990000000000002</v>
          </cell>
          <cell r="BR290">
            <v>3.161</v>
          </cell>
          <cell r="BS290">
            <v>2.774</v>
          </cell>
          <cell r="BT290">
            <v>2.8370000000000002</v>
          </cell>
          <cell r="BU290">
            <v>2.4569999999999999</v>
          </cell>
          <cell r="BV290">
            <v>2.657</v>
          </cell>
          <cell r="BW290">
            <v>0.32900000000000001</v>
          </cell>
          <cell r="BX290">
            <v>4.9539999999999997</v>
          </cell>
          <cell r="BY290">
            <v>5.8010000000000002</v>
          </cell>
          <cell r="BZ290">
            <v>3.4319999999999999</v>
          </cell>
          <cell r="CA290">
            <v>5.3639999999999999</v>
          </cell>
          <cell r="CB290">
            <v>3.5369999999999999</v>
          </cell>
          <cell r="CC290">
            <v>1.4530000000000001</v>
          </cell>
          <cell r="CD290">
            <v>3.831</v>
          </cell>
          <cell r="CE290">
            <v>2.7410000000000001</v>
          </cell>
          <cell r="CF290">
            <v>0.96599999999999997</v>
          </cell>
          <cell r="CG290">
            <v>3.0489999999999999</v>
          </cell>
          <cell r="CH290">
            <v>3.1240000000000001</v>
          </cell>
          <cell r="CI290">
            <v>5.55</v>
          </cell>
          <cell r="CJ290">
            <v>6.9740000000000002</v>
          </cell>
          <cell r="CK290">
            <v>7.64</v>
          </cell>
          <cell r="CL290">
            <v>6.7169999999999996</v>
          </cell>
          <cell r="CM290">
            <v>1.8520000000000001</v>
          </cell>
          <cell r="CN290">
            <v>3.4910000000000001</v>
          </cell>
          <cell r="CO290">
            <v>2.351</v>
          </cell>
          <cell r="CP290">
            <v>2.4529999999999998</v>
          </cell>
          <cell r="CQ290">
            <v>4.1340000000000003</v>
          </cell>
          <cell r="CR290">
            <v>1.6040000000000001</v>
          </cell>
          <cell r="CS290">
            <v>6.0570000000000004</v>
          </cell>
          <cell r="CT290">
            <v>1.165</v>
          </cell>
          <cell r="CU290">
            <v>4.141</v>
          </cell>
          <cell r="CV290">
            <v>6.1909999999999998</v>
          </cell>
          <cell r="CW290">
            <v>6.181</v>
          </cell>
          <cell r="CX290">
            <v>6.2430000000000003</v>
          </cell>
          <cell r="CY290">
            <v>5.3789999999999996</v>
          </cell>
          <cell r="CZ290">
            <v>5.1989999999999998</v>
          </cell>
          <cell r="DA290">
            <v>3.4260000000000002</v>
          </cell>
          <cell r="DB290">
            <v>2.4380000000000002</v>
          </cell>
          <cell r="DC290">
            <v>4.0620000000000003</v>
          </cell>
          <cell r="DD290">
            <v>0.92200000000000004</v>
          </cell>
          <cell r="DE290">
            <v>3.29</v>
          </cell>
          <cell r="DF290">
            <v>1.2689999999999999</v>
          </cell>
          <cell r="DG290">
            <v>5.1909999999999998</v>
          </cell>
          <cell r="DH290">
            <v>2.8540000000000001</v>
          </cell>
          <cell r="DI290">
            <v>6.1520000000000001</v>
          </cell>
          <cell r="DJ290">
            <v>3.2930000000000001</v>
          </cell>
          <cell r="DK290">
            <v>2.9350000000000001</v>
          </cell>
          <cell r="DL290">
            <v>1.7470000000000001</v>
          </cell>
          <cell r="DM290">
            <v>1.607</v>
          </cell>
          <cell r="DN290">
            <v>0.55900000000000005</v>
          </cell>
          <cell r="DO290">
            <v>2.3319999999999999</v>
          </cell>
          <cell r="DP290">
            <v>1.8</v>
          </cell>
          <cell r="DQ290">
            <v>0.47399999999999998</v>
          </cell>
          <cell r="DR290">
            <v>2.6629999999999998</v>
          </cell>
          <cell r="DS290">
            <v>2.1659999999999999</v>
          </cell>
          <cell r="DT290">
            <v>3.6389999999999998</v>
          </cell>
          <cell r="DU290">
            <v>4.2210000000000001</v>
          </cell>
          <cell r="DV290">
            <v>1.9530000000000001</v>
          </cell>
          <cell r="DW290">
            <v>3.0489999999999999</v>
          </cell>
          <cell r="DX290">
            <v>2.806</v>
          </cell>
          <cell r="DY290">
            <v>0.28399999999999997</v>
          </cell>
          <cell r="DZ290">
            <v>0.90700000000000003</v>
          </cell>
          <cell r="EA290">
            <v>1.8620000000000001</v>
          </cell>
          <cell r="EB290">
            <v>0.88400000000000001</v>
          </cell>
          <cell r="EC290">
            <v>1.7390000000000001</v>
          </cell>
          <cell r="ED290">
            <v>0.67500000000000004</v>
          </cell>
          <cell r="EE290">
            <v>2.3809999999999998</v>
          </cell>
          <cell r="EF290">
            <v>2.5819999999999999</v>
          </cell>
          <cell r="EG290">
            <v>1.98</v>
          </cell>
          <cell r="EH290">
            <v>3.0390000000000001</v>
          </cell>
          <cell r="EI290">
            <v>0.86199999999999999</v>
          </cell>
          <cell r="EJ290">
            <v>1.26</v>
          </cell>
          <cell r="EK290">
            <v>0.76300000000000001</v>
          </cell>
          <cell r="EL290">
            <v>0.47799999999999998</v>
          </cell>
          <cell r="EM290">
            <v>2.3290000000000002</v>
          </cell>
          <cell r="EN290">
            <v>1.893</v>
          </cell>
          <cell r="EO290">
            <v>0.51500000000000001</v>
          </cell>
          <cell r="EP290">
            <v>1.468</v>
          </cell>
          <cell r="EQ290">
            <v>4.5460000000000003</v>
          </cell>
          <cell r="ER290">
            <v>6.0270000000000001</v>
          </cell>
          <cell r="ES290">
            <v>5.6</v>
          </cell>
          <cell r="ET290">
            <v>6.8970000000000002</v>
          </cell>
          <cell r="EU290">
            <v>3.423</v>
          </cell>
          <cell r="EV290">
            <v>2.2839999999999998</v>
          </cell>
          <cell r="EW290">
            <v>2.1269999999999998</v>
          </cell>
          <cell r="EX290">
            <v>2.512</v>
          </cell>
          <cell r="EY290">
            <v>1.1859999999999999</v>
          </cell>
          <cell r="EZ290">
            <v>2.556</v>
          </cell>
          <cell r="FA290">
            <v>1.631</v>
          </cell>
          <cell r="FB290">
            <v>1.901</v>
          </cell>
          <cell r="FC290">
            <v>3.7719999999999998</v>
          </cell>
          <cell r="FD290">
            <v>5.8620000000000001</v>
          </cell>
          <cell r="FE290">
            <v>3.9159999999999999</v>
          </cell>
          <cell r="FF290">
            <v>6.8280000000000003</v>
          </cell>
          <cell r="FG290">
            <v>2.7639999999999998</v>
          </cell>
          <cell r="FH290">
            <v>2.621</v>
          </cell>
          <cell r="FI290">
            <v>3.5609999999999999</v>
          </cell>
          <cell r="FJ290">
            <v>2.3450000000000002</v>
          </cell>
          <cell r="FK290">
            <v>2.8</v>
          </cell>
          <cell r="FL290">
            <v>1.516</v>
          </cell>
          <cell r="FM290">
            <v>3.8809999999999998</v>
          </cell>
          <cell r="FN290">
            <v>3.4540000000000002</v>
          </cell>
          <cell r="FO290">
            <v>1.6659999999999999</v>
          </cell>
          <cell r="FP290">
            <v>3.9329999999999998</v>
          </cell>
          <cell r="FQ290">
            <v>5.0250000000000004</v>
          </cell>
          <cell r="FR290">
            <v>3.2469999999999999</v>
          </cell>
          <cell r="FS290">
            <v>2.988</v>
          </cell>
          <cell r="FT290">
            <v>3.7959999999999998</v>
          </cell>
          <cell r="FU290">
            <v>3.6280000000000001</v>
          </cell>
          <cell r="FV290">
            <v>2.4569999999999999</v>
          </cell>
          <cell r="FW290">
            <v>2.8679999999999999</v>
          </cell>
          <cell r="FX290">
            <v>3.4790000000000001</v>
          </cell>
          <cell r="FY290">
            <v>2.7589999999999999</v>
          </cell>
          <cell r="FZ290">
            <v>2.2360000000000002</v>
          </cell>
          <cell r="GA290">
            <v>1.7170000000000001</v>
          </cell>
          <cell r="GB290">
            <v>1.6259999999999999</v>
          </cell>
          <cell r="GC290">
            <v>4.9909999999999997</v>
          </cell>
          <cell r="GD290">
            <v>4.319</v>
          </cell>
          <cell r="GE290">
            <v>3.0070000000000001</v>
          </cell>
          <cell r="GF290">
            <v>2.782</v>
          </cell>
          <cell r="GG290">
            <v>2.786</v>
          </cell>
          <cell r="GH290">
            <v>2.177</v>
          </cell>
          <cell r="GI290">
            <v>1.9450000000000001</v>
          </cell>
          <cell r="GJ290">
            <v>2.2090000000000001</v>
          </cell>
          <cell r="GK290">
            <v>3.0539999999999998</v>
          </cell>
          <cell r="GL290">
            <v>3.4940000000000002</v>
          </cell>
          <cell r="GM290">
            <v>2.927</v>
          </cell>
          <cell r="GN290">
            <v>4.0279999999999996</v>
          </cell>
          <cell r="GO290">
            <v>5.7069999999999999</v>
          </cell>
          <cell r="GP290">
            <v>4.7789999999999999</v>
          </cell>
          <cell r="GQ290">
            <v>5.2889999999999997</v>
          </cell>
          <cell r="GR290">
            <v>3.802</v>
          </cell>
          <cell r="GS290">
            <v>3.0790000000000002</v>
          </cell>
          <cell r="GT290">
            <v>7.62</v>
          </cell>
          <cell r="GU290">
            <v>2.468</v>
          </cell>
          <cell r="GV290">
            <v>2.7650000000000001</v>
          </cell>
          <cell r="GW290">
            <v>4.1840000000000002</v>
          </cell>
          <cell r="GX290">
            <v>1.3049999999999999</v>
          </cell>
          <cell r="GY290">
            <v>5.0709999999999997</v>
          </cell>
          <cell r="GZ290">
            <v>2.996</v>
          </cell>
          <cell r="HA290">
            <v>3.6230000000000002</v>
          </cell>
          <cell r="HB290">
            <v>3.343</v>
          </cell>
          <cell r="HC290">
            <v>2.7109999999999999</v>
          </cell>
          <cell r="HD290">
            <v>1.9</v>
          </cell>
          <cell r="HE290">
            <v>2.0960000000000001</v>
          </cell>
          <cell r="HF290">
            <v>0.81899999999999995</v>
          </cell>
          <cell r="HG290">
            <v>1.65</v>
          </cell>
          <cell r="HH290">
            <v>1.3009999999999999</v>
          </cell>
          <cell r="HI290">
            <v>1.976</v>
          </cell>
          <cell r="HJ290">
            <v>1.415</v>
          </cell>
          <cell r="HK290">
            <v>0.77500000000000002</v>
          </cell>
          <cell r="HL290">
            <v>2.9239999999999999</v>
          </cell>
          <cell r="HM290">
            <v>0.95099999999999996</v>
          </cell>
          <cell r="HN290">
            <v>2.4609999999999999</v>
          </cell>
          <cell r="HO290">
            <v>3.2120000000000002</v>
          </cell>
          <cell r="HP290">
            <v>1.43</v>
          </cell>
          <cell r="HQ290">
            <v>1.5369999999999999</v>
          </cell>
          <cell r="HR290">
            <v>2.0049999999999999</v>
          </cell>
          <cell r="HS290">
            <v>2.141</v>
          </cell>
          <cell r="HT290">
            <v>1.867</v>
          </cell>
          <cell r="HU290">
            <v>2.1320000000000001</v>
          </cell>
          <cell r="HV290">
            <v>1.996</v>
          </cell>
          <cell r="HW290">
            <v>1.5409999999999999</v>
          </cell>
          <cell r="HX290">
            <v>2.0099999999999998</v>
          </cell>
          <cell r="HY290">
            <v>2.7120000000000002</v>
          </cell>
          <cell r="HZ290">
            <v>2.54</v>
          </cell>
          <cell r="IA290">
            <v>2.3650000000000002</v>
          </cell>
          <cell r="IB290">
            <v>2.7290000000000001</v>
          </cell>
          <cell r="IC290">
            <v>1.2849999999999999</v>
          </cell>
          <cell r="ID290">
            <v>2.33</v>
          </cell>
          <cell r="IE290">
            <v>2.4580000000000002</v>
          </cell>
          <cell r="IF290">
            <v>1.7889999999999999</v>
          </cell>
          <cell r="IG290">
            <v>0.51100000000000001</v>
          </cell>
          <cell r="IH290">
            <v>1.3660000000000001</v>
          </cell>
          <cell r="II290">
            <v>0.52300000000000002</v>
          </cell>
          <cell r="IJ290">
            <v>2.7549999999999999</v>
          </cell>
          <cell r="IK290">
            <v>4.1029999999999998</v>
          </cell>
          <cell r="IL290">
            <v>3.0209999999999999</v>
          </cell>
          <cell r="IM290">
            <v>2.5379999999999998</v>
          </cell>
          <cell r="IN290">
            <v>2.8580000000000001</v>
          </cell>
          <cell r="IO290">
            <v>1.155</v>
          </cell>
          <cell r="IP290">
            <v>2.0760000000000001</v>
          </cell>
          <cell r="IQ290">
            <v>2.758</v>
          </cell>
          <cell r="IR290">
            <v>0.67100000000000004</v>
          </cell>
          <cell r="IS290">
            <v>2.98</v>
          </cell>
          <cell r="IT290">
            <v>2.7410000000000001</v>
          </cell>
          <cell r="IU290">
            <v>2.3010000000000002</v>
          </cell>
          <cell r="IV290">
            <v>2.7669999999999999</v>
          </cell>
          <cell r="IW290">
            <v>4.0199999999999996</v>
          </cell>
          <cell r="IX290">
            <v>4.5869999999999997</v>
          </cell>
          <cell r="IY290">
            <v>3.9860000000000002</v>
          </cell>
          <cell r="IZ290">
            <v>3.9129999999999998</v>
          </cell>
          <cell r="JA290">
            <v>2.5760000000000001</v>
          </cell>
          <cell r="JB290">
            <v>1.444</v>
          </cell>
          <cell r="JC290">
            <v>3.0089999999999999</v>
          </cell>
          <cell r="JD290">
            <v>3.18</v>
          </cell>
          <cell r="JE290">
            <v>2.548</v>
          </cell>
          <cell r="JF290">
            <v>2.411</v>
          </cell>
          <cell r="JG290">
            <v>2.4710000000000001</v>
          </cell>
          <cell r="JH290">
            <v>3.1120000000000001</v>
          </cell>
          <cell r="JI290">
            <v>2.9340000000000002</v>
          </cell>
          <cell r="JJ290">
            <v>2.125</v>
          </cell>
          <cell r="JK290">
            <v>1.8680000000000001</v>
          </cell>
          <cell r="JL290">
            <v>3.1880000000000002</v>
          </cell>
          <cell r="JM290">
            <v>3.476</v>
          </cell>
          <cell r="JN290">
            <v>3.0030000000000001</v>
          </cell>
          <cell r="JO290">
            <v>2.4460000000000002</v>
          </cell>
          <cell r="JP290">
            <v>1.2889999999999999</v>
          </cell>
          <cell r="JQ290">
            <v>3.133</v>
          </cell>
          <cell r="JR290">
            <v>3.097</v>
          </cell>
          <cell r="JS290">
            <v>1.6779999999999999</v>
          </cell>
          <cell r="JT290">
            <v>2.8610000000000002</v>
          </cell>
          <cell r="JU290">
            <v>3.6920000000000002</v>
          </cell>
          <cell r="JV290">
            <v>3.847</v>
          </cell>
          <cell r="JW290">
            <v>3.69</v>
          </cell>
          <cell r="JX290">
            <v>2.4380000000000002</v>
          </cell>
          <cell r="JY290">
            <v>2.569</v>
          </cell>
          <cell r="JZ290">
            <v>2.577</v>
          </cell>
          <cell r="KA290">
            <v>3.3109999999999999</v>
          </cell>
          <cell r="KB290">
            <v>1.415</v>
          </cell>
          <cell r="KC290">
            <v>2.5379999999999998</v>
          </cell>
          <cell r="KD290">
            <v>2.5139999999999998</v>
          </cell>
          <cell r="KE290">
            <v>3.4260000000000002</v>
          </cell>
          <cell r="KF290">
            <v>3.0190000000000001</v>
          </cell>
          <cell r="KG290">
            <v>3.1949999999999998</v>
          </cell>
          <cell r="KH290">
            <v>0.71099999999999997</v>
          </cell>
          <cell r="KI290">
            <v>2.3039999999999998</v>
          </cell>
          <cell r="KJ290">
            <v>3.1659999999999999</v>
          </cell>
          <cell r="KK290">
            <v>1.7</v>
          </cell>
          <cell r="KL290">
            <v>1.0589999999999999</v>
          </cell>
          <cell r="KM290">
            <v>0.76400000000000001</v>
          </cell>
          <cell r="KN290">
            <v>2.7959999999999998</v>
          </cell>
          <cell r="KO290">
            <v>1.147</v>
          </cell>
          <cell r="KP290">
            <v>1.7350000000000001</v>
          </cell>
          <cell r="KQ290">
            <v>1.494</v>
          </cell>
          <cell r="KR290">
            <v>2.246</v>
          </cell>
          <cell r="KS290">
            <v>2.948</v>
          </cell>
          <cell r="KT290">
            <v>1.573</v>
          </cell>
          <cell r="KU290">
            <v>0.99199999999999999</v>
          </cell>
          <cell r="KV290">
            <v>2.0619999999999998</v>
          </cell>
          <cell r="KW290">
            <v>1.2589999999999999</v>
          </cell>
          <cell r="KX290">
            <v>1.206</v>
          </cell>
          <cell r="KY290">
            <v>2.4889999999999999</v>
          </cell>
          <cell r="KZ290">
            <v>0.60599999999999998</v>
          </cell>
          <cell r="LA290">
            <v>1.349</v>
          </cell>
          <cell r="LB290">
            <v>0.875</v>
          </cell>
          <cell r="LC290">
            <v>1.91</v>
          </cell>
          <cell r="LD290">
            <v>3.6288429999999998</v>
          </cell>
          <cell r="LE290">
            <v>1.683667</v>
          </cell>
          <cell r="LF290">
            <v>1.810044</v>
          </cell>
          <cell r="LG290">
            <v>0.99918499999999999</v>
          </cell>
          <cell r="LH290">
            <v>1.676663</v>
          </cell>
          <cell r="LI290">
            <v>0.62079399999999996</v>
          </cell>
          <cell r="LJ290">
            <v>1.3569720000000001</v>
          </cell>
          <cell r="LK290">
            <v>1.944569</v>
          </cell>
          <cell r="LL290">
            <v>0.96895600000000004</v>
          </cell>
          <cell r="LM290">
            <v>1.691762</v>
          </cell>
          <cell r="LN290">
            <v>1.39507</v>
          </cell>
          <cell r="LO290">
            <v>1.555056</v>
          </cell>
          <cell r="LP290">
            <v>1.8346210000000001</v>
          </cell>
          <cell r="LQ290">
            <v>1.220734</v>
          </cell>
          <cell r="LR290">
            <v>3.0104980000000001</v>
          </cell>
          <cell r="LS290">
            <v>1.044616</v>
          </cell>
          <cell r="LT290">
            <v>2.6582560000000002</v>
          </cell>
          <cell r="LU290">
            <v>1.8112550000000001</v>
          </cell>
          <cell r="LV290">
            <v>1.242148</v>
          </cell>
          <cell r="LW290">
            <v>1.271112</v>
          </cell>
          <cell r="LX290">
            <v>1.5291939999999999</v>
          </cell>
          <cell r="LY290">
            <v>0.880722</v>
          </cell>
          <cell r="LZ290">
            <v>2.1204420000000002</v>
          </cell>
          <cell r="MA290">
            <v>0.97897699999999999</v>
          </cell>
          <cell r="MB290">
            <v>2.7437290000000001</v>
          </cell>
          <cell r="MC290">
            <v>1.8442970000000001</v>
          </cell>
          <cell r="MD290">
            <v>2.2990439999999999</v>
          </cell>
          <cell r="ME290">
            <v>1.8985050000000001</v>
          </cell>
          <cell r="MF290">
            <v>1.6647590000000001</v>
          </cell>
          <cell r="MG290">
            <v>2.3827660000000002</v>
          </cell>
          <cell r="MH290">
            <v>1.6205529999999999</v>
          </cell>
          <cell r="MI290">
            <v>1.5896189999999999</v>
          </cell>
          <cell r="MJ290">
            <v>1.628036</v>
          </cell>
          <cell r="MK290">
            <v>2.6903519999999999</v>
          </cell>
          <cell r="ML290">
            <v>1.9847159999999999</v>
          </cell>
          <cell r="MM290">
            <v>2.1868989999999999</v>
          </cell>
          <cell r="MN290">
            <v>0.95166099999999998</v>
          </cell>
          <cell r="MO290">
            <v>1.926971</v>
          </cell>
          <cell r="MP290">
            <v>1.579591</v>
          </cell>
          <cell r="MQ290">
            <v>1.8431329999999999</v>
          </cell>
          <cell r="MR290">
            <v>1.466558</v>
          </cell>
          <cell r="MS290">
            <v>2.2522199999999999</v>
          </cell>
          <cell r="MT290">
            <v>1.9373100000000001</v>
          </cell>
          <cell r="MU290">
            <v>2.181</v>
          </cell>
          <cell r="MV290">
            <v>1.988</v>
          </cell>
          <cell r="MW290">
            <v>3.0089999999999999</v>
          </cell>
          <cell r="MX290">
            <v>2.0169999999999999</v>
          </cell>
          <cell r="MY290">
            <v>1.4039999999999999</v>
          </cell>
          <cell r="MZ290">
            <v>3.113</v>
          </cell>
          <cell r="NA290">
            <v>2.6629999999999998</v>
          </cell>
          <cell r="NB290">
            <v>2.6269999999999998</v>
          </cell>
          <cell r="NC290">
            <v>2.7090000000000001</v>
          </cell>
          <cell r="ND290">
            <v>2.343</v>
          </cell>
          <cell r="NE290">
            <v>2.4910000000000001</v>
          </cell>
        </row>
      </sheetData>
      <sheetData sheetId="49">
        <row r="290">
          <cell r="CQ290">
            <v>62.670999999999999</v>
          </cell>
          <cell r="CR290">
            <v>83.475999999999999</v>
          </cell>
          <cell r="CS290">
            <v>37.615000000000002</v>
          </cell>
          <cell r="CT290">
            <v>49.307000000000002</v>
          </cell>
          <cell r="CU290">
            <v>53.418999999999997</v>
          </cell>
          <cell r="CV290">
            <v>36.107999999999997</v>
          </cell>
          <cell r="CW290">
            <v>35.825000000000003</v>
          </cell>
          <cell r="CX290">
            <v>13.986000000000001</v>
          </cell>
          <cell r="CY290">
            <v>4.9009999999999998</v>
          </cell>
          <cell r="CZ290">
            <v>15.744999999999999</v>
          </cell>
          <cell r="DA290">
            <v>34.177999999999997</v>
          </cell>
          <cell r="DB290">
            <v>56.658999999999999</v>
          </cell>
          <cell r="DC290">
            <v>26.628</v>
          </cell>
          <cell r="DD290">
            <v>51.915999999999997</v>
          </cell>
          <cell r="DE290">
            <v>62.14</v>
          </cell>
          <cell r="DF290">
            <v>43.945999999999998</v>
          </cell>
          <cell r="DG290">
            <v>50.122999999999998</v>
          </cell>
          <cell r="DH290">
            <v>38.081000000000003</v>
          </cell>
          <cell r="DI290">
            <v>25.574999999999999</v>
          </cell>
          <cell r="DJ290">
            <v>26.696999999999999</v>
          </cell>
          <cell r="DK290">
            <v>4.8689999999999998</v>
          </cell>
          <cell r="DL290">
            <v>62.383000000000003</v>
          </cell>
          <cell r="DM290">
            <v>52.764000000000003</v>
          </cell>
          <cell r="DN290">
            <v>78.739000000000004</v>
          </cell>
          <cell r="DO290">
            <v>46.011000000000003</v>
          </cell>
          <cell r="DP290">
            <v>22.568000000000001</v>
          </cell>
          <cell r="DQ290">
            <v>13.749000000000001</v>
          </cell>
          <cell r="DR290">
            <v>4.2880000000000003</v>
          </cell>
          <cell r="DS290">
            <v>1.9750000000000001</v>
          </cell>
          <cell r="DT290">
            <v>2.7440000000000002</v>
          </cell>
          <cell r="DU290">
            <v>14.752000000000001</v>
          </cell>
          <cell r="DV290">
            <v>16.332000000000001</v>
          </cell>
          <cell r="DW290">
            <v>6.03</v>
          </cell>
          <cell r="DX290">
            <v>4.0229999999999997</v>
          </cell>
          <cell r="DY290">
            <v>19.928999999999998</v>
          </cell>
          <cell r="DZ290">
            <v>30.326000000000001</v>
          </cell>
          <cell r="EA290">
            <v>30.238</v>
          </cell>
          <cell r="EB290">
            <v>1.081</v>
          </cell>
          <cell r="EC290">
            <v>8.98</v>
          </cell>
          <cell r="ED290">
            <v>18.099</v>
          </cell>
          <cell r="EE290">
            <v>7.9809999999999999</v>
          </cell>
          <cell r="EF290">
            <v>33.075000000000003</v>
          </cell>
          <cell r="EG290">
            <v>3.5640000000000001</v>
          </cell>
          <cell r="EH290">
            <v>1.9450000000000001</v>
          </cell>
          <cell r="EI290">
            <v>4.9470000000000001</v>
          </cell>
          <cell r="EJ290">
            <v>9.5760000000000005</v>
          </cell>
          <cell r="EK290">
            <v>5.1639999999999997</v>
          </cell>
          <cell r="EL290">
            <v>4.4569999999999999</v>
          </cell>
          <cell r="EM290">
            <v>9.3719999999999999</v>
          </cell>
          <cell r="EN290">
            <v>6.6</v>
          </cell>
          <cell r="EO290">
            <v>6.3410000000000002</v>
          </cell>
          <cell r="EP290">
            <v>26.981999999999999</v>
          </cell>
          <cell r="EQ290">
            <v>39.51</v>
          </cell>
          <cell r="ER290">
            <v>58.012999999999998</v>
          </cell>
          <cell r="ES290">
            <v>32.283999999999999</v>
          </cell>
          <cell r="ET290">
            <v>25.757999999999999</v>
          </cell>
          <cell r="EU290">
            <v>62.649000000000001</v>
          </cell>
          <cell r="EV290">
            <v>88.781999999999996</v>
          </cell>
          <cell r="EW290">
            <v>47.356999999999999</v>
          </cell>
          <cell r="EX290">
            <v>116.08199999999999</v>
          </cell>
          <cell r="EY290">
            <v>39.078000000000003</v>
          </cell>
          <cell r="EZ290">
            <v>53.110999999999997</v>
          </cell>
          <cell r="FA290">
            <v>88.944000000000003</v>
          </cell>
          <cell r="FB290">
            <v>62.524000000000001</v>
          </cell>
          <cell r="FC290">
            <v>13.99</v>
          </cell>
          <cell r="FD290">
            <v>38.384999999999998</v>
          </cell>
          <cell r="FE290">
            <v>32.872999999999998</v>
          </cell>
          <cell r="FF290">
            <v>16.236999999999998</v>
          </cell>
          <cell r="FG290">
            <v>32.320999999999998</v>
          </cell>
          <cell r="FH290">
            <v>59.484000000000002</v>
          </cell>
          <cell r="FI290">
            <v>21.088000000000001</v>
          </cell>
          <cell r="FJ290">
            <v>20.048999999999999</v>
          </cell>
          <cell r="FK290">
            <v>19.015999999999998</v>
          </cell>
          <cell r="FL290">
            <v>36.512999999999998</v>
          </cell>
          <cell r="FM290">
            <v>71.236999999999995</v>
          </cell>
          <cell r="FN290">
            <v>101.8</v>
          </cell>
          <cell r="FO290">
            <v>75.95</v>
          </cell>
          <cell r="FP290">
            <v>37.594000000000001</v>
          </cell>
          <cell r="FQ290">
            <v>39.368000000000002</v>
          </cell>
          <cell r="FR290">
            <v>14.981999999999999</v>
          </cell>
          <cell r="FS290">
            <v>21.045000000000002</v>
          </cell>
          <cell r="FT290">
            <v>19.776</v>
          </cell>
          <cell r="FU290">
            <v>43.398000000000003</v>
          </cell>
          <cell r="FV290">
            <v>10.645</v>
          </cell>
          <cell r="FW290">
            <v>37.247</v>
          </cell>
          <cell r="FX290">
            <v>27.14</v>
          </cell>
          <cell r="FY290">
            <v>48.073</v>
          </cell>
          <cell r="FZ290">
            <v>62.746000000000002</v>
          </cell>
          <cell r="GA290">
            <v>71.537999999999997</v>
          </cell>
          <cell r="GB290">
            <v>29.507000000000001</v>
          </cell>
          <cell r="GC290">
            <v>19.367000000000001</v>
          </cell>
          <cell r="GD290">
            <v>16.725999999999999</v>
          </cell>
          <cell r="GE290">
            <v>8.7769999999999992</v>
          </cell>
          <cell r="GF290">
            <v>29.870999999999999</v>
          </cell>
          <cell r="GG290">
            <v>11.952999999999999</v>
          </cell>
          <cell r="GH290">
            <v>9.4640000000000004</v>
          </cell>
          <cell r="GI290">
            <v>22.984000000000002</v>
          </cell>
          <cell r="GJ290">
            <v>74.317999999999998</v>
          </cell>
          <cell r="GK290">
            <v>57.927999999999997</v>
          </cell>
          <cell r="GL290">
            <v>84.012</v>
          </cell>
          <cell r="GM290">
            <v>97.358999999999995</v>
          </cell>
          <cell r="GN290">
            <v>62.381</v>
          </cell>
          <cell r="GO290">
            <v>14.999000000000001</v>
          </cell>
          <cell r="GP290">
            <v>23.783999999999999</v>
          </cell>
          <cell r="GQ290">
            <v>6.407</v>
          </cell>
          <cell r="GR290">
            <v>26.734999999999999</v>
          </cell>
          <cell r="GS290">
            <v>67.878</v>
          </cell>
          <cell r="GT290">
            <v>57.363</v>
          </cell>
          <cell r="GU290">
            <v>44.146000000000001</v>
          </cell>
          <cell r="GV290">
            <v>75.227999999999994</v>
          </cell>
          <cell r="GW290">
            <v>59.03</v>
          </cell>
          <cell r="GX290">
            <v>35.183</v>
          </cell>
          <cell r="GY290">
            <v>45.017000000000003</v>
          </cell>
          <cell r="GZ290">
            <v>71.968000000000004</v>
          </cell>
          <cell r="HA290">
            <v>39.325000000000003</v>
          </cell>
          <cell r="HB290">
            <v>4.6890000000000001</v>
          </cell>
          <cell r="HC290">
            <v>2.7349999999999999</v>
          </cell>
          <cell r="HD290">
            <v>11.923999999999999</v>
          </cell>
          <cell r="HE290">
            <v>39.503999999999998</v>
          </cell>
          <cell r="HF290">
            <v>27.247</v>
          </cell>
          <cell r="HG290">
            <v>22.67</v>
          </cell>
          <cell r="HH290">
            <v>40.89</v>
          </cell>
          <cell r="HI290">
            <v>36.963999999999999</v>
          </cell>
          <cell r="HJ290">
            <v>45.404000000000003</v>
          </cell>
          <cell r="HK290">
            <v>38.534999999999997</v>
          </cell>
          <cell r="HL290">
            <v>68.524000000000001</v>
          </cell>
          <cell r="HM290">
            <v>52.722999999999999</v>
          </cell>
          <cell r="HN290">
            <v>58.905000000000001</v>
          </cell>
          <cell r="HO290">
            <v>39.161000000000001</v>
          </cell>
          <cell r="HP290">
            <v>31.292000000000002</v>
          </cell>
          <cell r="HQ290">
            <v>15.353</v>
          </cell>
          <cell r="HR290">
            <v>17.856999999999999</v>
          </cell>
          <cell r="HS290">
            <v>2.83</v>
          </cell>
          <cell r="HT290">
            <v>110.663</v>
          </cell>
          <cell r="HU290">
            <v>146.804</v>
          </cell>
          <cell r="HV290">
            <v>104.879</v>
          </cell>
          <cell r="HW290">
            <v>114.417</v>
          </cell>
          <cell r="HX290">
            <v>105.048</v>
          </cell>
          <cell r="HY290">
            <v>42.165999999999997</v>
          </cell>
          <cell r="HZ290">
            <v>5.6879999999999997</v>
          </cell>
          <cell r="IA290">
            <v>0.78300000000000003</v>
          </cell>
          <cell r="IB290">
            <v>2.266</v>
          </cell>
          <cell r="IC290">
            <v>5.2220000000000004</v>
          </cell>
          <cell r="ID290">
            <v>7.8470000000000004</v>
          </cell>
          <cell r="IE290">
            <v>6.0949999999999998</v>
          </cell>
          <cell r="IF290">
            <v>146.553</v>
          </cell>
          <cell r="IG290">
            <v>152.94200000000001</v>
          </cell>
          <cell r="IH290">
            <v>76.69</v>
          </cell>
          <cell r="II290">
            <v>112.464</v>
          </cell>
          <cell r="IJ290">
            <v>135.43899999999999</v>
          </cell>
          <cell r="IK290">
            <v>48.506999999999998</v>
          </cell>
          <cell r="IL290">
            <v>9.968</v>
          </cell>
          <cell r="IM290">
            <v>14.852</v>
          </cell>
          <cell r="IN290">
            <v>47.328000000000003</v>
          </cell>
          <cell r="IO290">
            <v>53.204000000000001</v>
          </cell>
          <cell r="IP290">
            <v>101.645</v>
          </cell>
          <cell r="IQ290">
            <v>136.471</v>
          </cell>
          <cell r="IR290">
            <v>62.886000000000003</v>
          </cell>
          <cell r="IS290">
            <v>56.664999999999999</v>
          </cell>
          <cell r="IT290">
            <v>70.207999999999998</v>
          </cell>
          <cell r="IU290">
            <v>142.77099999999999</v>
          </cell>
          <cell r="IV290">
            <v>102.32</v>
          </cell>
          <cell r="IW290">
            <v>37.652000000000001</v>
          </cell>
          <cell r="IX290">
            <v>8.2379999999999995</v>
          </cell>
          <cell r="IY290">
            <v>24.992000000000001</v>
          </cell>
          <cell r="IZ290">
            <v>19.623000000000001</v>
          </cell>
          <cell r="JA290">
            <v>39.014000000000003</v>
          </cell>
          <cell r="JB290">
            <v>53.320999999999998</v>
          </cell>
          <cell r="JC290">
            <v>40.545000000000002</v>
          </cell>
          <cell r="JD290">
            <v>71.147999999999996</v>
          </cell>
          <cell r="JE290">
            <v>88.444000000000003</v>
          </cell>
          <cell r="JF290">
            <v>47.283000000000001</v>
          </cell>
          <cell r="JG290">
            <v>83.677000000000007</v>
          </cell>
          <cell r="JH290">
            <v>100.175</v>
          </cell>
          <cell r="JI290">
            <v>54.281999999999996</v>
          </cell>
          <cell r="JJ290">
            <v>5.0309999999999997</v>
          </cell>
          <cell r="JK290">
            <v>24.459</v>
          </cell>
          <cell r="JL290">
            <v>24.027999999999999</v>
          </cell>
          <cell r="JM290">
            <v>56.249000000000002</v>
          </cell>
          <cell r="JN290">
            <v>115.521</v>
          </cell>
          <cell r="JO290">
            <v>56.665999999999997</v>
          </cell>
          <cell r="JP290">
            <v>43.064</v>
          </cell>
          <cell r="JQ290">
            <v>45.906999999999996</v>
          </cell>
          <cell r="JR290">
            <v>60.531999999999996</v>
          </cell>
          <cell r="JS290">
            <v>62.267000000000003</v>
          </cell>
          <cell r="JT290">
            <v>49.384999999999998</v>
          </cell>
          <cell r="JU290">
            <v>40.128999999999998</v>
          </cell>
          <cell r="JV290">
            <v>2.5209999999999999</v>
          </cell>
          <cell r="JW290">
            <v>24.565000000000001</v>
          </cell>
          <cell r="JX290">
            <v>67.337000000000003</v>
          </cell>
          <cell r="JY290">
            <v>50.241</v>
          </cell>
          <cell r="JZ290">
            <v>54.295000000000002</v>
          </cell>
          <cell r="KA290">
            <v>28.838000000000001</v>
          </cell>
          <cell r="KB290">
            <v>28.876999999999999</v>
          </cell>
          <cell r="KC290">
            <v>41.356999999999999</v>
          </cell>
          <cell r="KD290">
            <v>55.128999999999998</v>
          </cell>
          <cell r="KE290">
            <v>53.061</v>
          </cell>
          <cell r="KF290">
            <v>45.664000000000001</v>
          </cell>
          <cell r="KG290">
            <v>18.318999999999999</v>
          </cell>
          <cell r="KH290">
            <v>2.5419999999999998</v>
          </cell>
          <cell r="KI290">
            <v>1.0109999999999999</v>
          </cell>
          <cell r="KJ290">
            <v>30.207999999999998</v>
          </cell>
          <cell r="KK290">
            <v>15.747999999999999</v>
          </cell>
          <cell r="KL290">
            <v>19.571999999999999</v>
          </cell>
          <cell r="KM290">
            <v>10.946999999999999</v>
          </cell>
          <cell r="KN290">
            <v>23.448</v>
          </cell>
          <cell r="KO290">
            <v>49.637</v>
          </cell>
          <cell r="KP290">
            <v>54.54</v>
          </cell>
          <cell r="KQ290">
            <v>81.917000000000002</v>
          </cell>
          <cell r="KR290">
            <v>62.222999999999999</v>
          </cell>
          <cell r="KS290">
            <v>15.22</v>
          </cell>
          <cell r="KT290">
            <v>31.619</v>
          </cell>
          <cell r="KU290">
            <v>1.474</v>
          </cell>
          <cell r="KV290">
            <v>19.141999999999999</v>
          </cell>
          <cell r="KW290">
            <v>9.8190000000000008</v>
          </cell>
          <cell r="KX290">
            <v>22.344000000000001</v>
          </cell>
          <cell r="KY290">
            <v>29.029</v>
          </cell>
          <cell r="KZ290">
            <v>35.879043000000003</v>
          </cell>
          <cell r="LA290">
            <v>124.421363</v>
          </cell>
          <cell r="LB290">
            <v>78.753512999999998</v>
          </cell>
          <cell r="LC290">
            <v>98.394240999999994</v>
          </cell>
          <cell r="LD290">
            <v>79.029595</v>
          </cell>
          <cell r="LE290">
            <v>71.973920000000007</v>
          </cell>
          <cell r="LF290">
            <v>4.2781250000000002</v>
          </cell>
          <cell r="LG290">
            <v>5.237114</v>
          </cell>
          <cell r="LH290">
            <v>28.390650000000001</v>
          </cell>
          <cell r="LI290">
            <v>45.507460999999999</v>
          </cell>
          <cell r="LJ290">
            <v>62.926090000000002</v>
          </cell>
          <cell r="LK290">
            <v>87.635790999999998</v>
          </cell>
          <cell r="LL290">
            <v>98.061976999999999</v>
          </cell>
          <cell r="LM290">
            <v>125.79454200000001</v>
          </cell>
          <cell r="LN290">
            <v>99.057804000000004</v>
          </cell>
          <cell r="LO290">
            <v>49.224319999999999</v>
          </cell>
          <cell r="LP290">
            <v>75.922010999999998</v>
          </cell>
          <cell r="LQ290">
            <v>81.835016999999993</v>
          </cell>
          <cell r="LR290">
            <v>10.193975</v>
          </cell>
          <cell r="LS290">
            <v>7.9323050000000004</v>
          </cell>
          <cell r="LT290">
            <v>22.659490999999999</v>
          </cell>
          <cell r="LU290">
            <v>58.846901000000003</v>
          </cell>
          <cell r="LV290">
            <v>60.225459000000001</v>
          </cell>
          <cell r="LW290">
            <v>60.741771</v>
          </cell>
          <cell r="LX290">
            <v>82.421835999999999</v>
          </cell>
          <cell r="LY290">
            <v>173.28893099999999</v>
          </cell>
          <cell r="LZ290">
            <v>149.94103999999999</v>
          </cell>
          <cell r="MA290">
            <v>266.29274299999997</v>
          </cell>
          <cell r="MB290">
            <v>178.792968</v>
          </cell>
          <cell r="MC290">
            <v>44.848863999999999</v>
          </cell>
          <cell r="MD290">
            <v>9.5561159999999994</v>
          </cell>
          <cell r="ME290">
            <v>89.283330000000007</v>
          </cell>
          <cell r="MF290">
            <v>89.101973000000001</v>
          </cell>
          <cell r="MG290">
            <v>50.600811999999998</v>
          </cell>
          <cell r="MH290">
            <v>44.621426999999997</v>
          </cell>
          <cell r="MI290">
            <v>85.645880000000005</v>
          </cell>
          <cell r="MJ290">
            <v>187.326178</v>
          </cell>
          <cell r="MK290">
            <v>177.697879</v>
          </cell>
          <cell r="ML290">
            <v>116.82105</v>
          </cell>
          <cell r="MM290">
            <v>175.21087</v>
          </cell>
          <cell r="MN290">
            <v>134.63670099999999</v>
          </cell>
          <cell r="MO290">
            <v>21.266994</v>
          </cell>
          <cell r="MP290">
            <v>5.7869780000000004</v>
          </cell>
          <cell r="MQ290">
            <v>12.774008</v>
          </cell>
          <cell r="MR290">
            <v>44.393253999999999</v>
          </cell>
          <cell r="MS290">
            <v>98.315111999999999</v>
          </cell>
          <cell r="MT290">
            <v>146.715127</v>
          </cell>
          <cell r="MU290">
            <v>102.241</v>
          </cell>
          <cell r="MV290">
            <v>111.25</v>
          </cell>
          <cell r="MW290">
            <v>110.643</v>
          </cell>
          <cell r="MX290">
            <v>113.021</v>
          </cell>
          <cell r="MY290">
            <v>104.742</v>
          </cell>
          <cell r="MZ290">
            <v>39.793999999999997</v>
          </cell>
          <cell r="NA290">
            <v>14.96</v>
          </cell>
          <cell r="NB290">
            <v>8.4689999999999994</v>
          </cell>
          <cell r="NC290">
            <v>8.1349999999999998</v>
          </cell>
          <cell r="ND290">
            <v>28.838000000000001</v>
          </cell>
          <cell r="NE290">
            <v>53.154000000000003</v>
          </cell>
          <cell r="NF290">
            <v>38.901000000000003</v>
          </cell>
          <cell r="NG290">
            <v>15.998841000000001</v>
          </cell>
          <cell r="NH290">
            <v>37.020398</v>
          </cell>
          <cell r="NI290">
            <v>46.952221999999999</v>
          </cell>
        </row>
      </sheetData>
      <sheetData sheetId="50">
        <row r="290">
          <cell r="CQ290">
            <v>0.14599999999999999</v>
          </cell>
          <cell r="CR290">
            <v>0.32900000000000001</v>
          </cell>
          <cell r="CS290">
            <v>0.47699999999999998</v>
          </cell>
          <cell r="CT290">
            <v>0.04</v>
          </cell>
          <cell r="CU290">
            <v>1.4E-2</v>
          </cell>
          <cell r="CV290">
            <v>1.6E-2</v>
          </cell>
          <cell r="CW290">
            <v>4.0000000000000001E-3</v>
          </cell>
          <cell r="CX290">
            <v>2E-3</v>
          </cell>
          <cell r="CY290">
            <v>3.5999999999999997E-2</v>
          </cell>
          <cell r="CZ290">
            <v>0.876</v>
          </cell>
          <cell r="DA290">
            <v>0.73</v>
          </cell>
          <cell r="DB290">
            <v>0.60199999999999998</v>
          </cell>
          <cell r="DC290">
            <v>7.4999999999999997E-2</v>
          </cell>
          <cell r="DD290">
            <v>0.61099999999999999</v>
          </cell>
          <cell r="DE290">
            <v>0.16</v>
          </cell>
          <cell r="DF290">
            <v>8.5000000000000006E-2</v>
          </cell>
          <cell r="DG290">
            <v>6.0000000000000001E-3</v>
          </cell>
          <cell r="DH290">
            <v>8.3000000000000004E-2</v>
          </cell>
          <cell r="DI290">
            <v>1E-3</v>
          </cell>
          <cell r="DJ290">
            <v>4.2000000000000003E-2</v>
          </cell>
          <cell r="DK290">
            <v>6.7000000000000004E-2</v>
          </cell>
          <cell r="DL290">
            <v>0.193</v>
          </cell>
          <cell r="DM290">
            <v>0.53200000000000003</v>
          </cell>
          <cell r="DN290">
            <v>0.26400000000000001</v>
          </cell>
          <cell r="DO290">
            <v>0.154</v>
          </cell>
          <cell r="DP290">
            <v>0.16600000000000001</v>
          </cell>
          <cell r="DQ290">
            <v>0.153</v>
          </cell>
          <cell r="DR290">
            <v>4.2000000000000003E-2</v>
          </cell>
          <cell r="DS290">
            <v>6.5000000000000002E-2</v>
          </cell>
          <cell r="DT290">
            <v>5.0999999999999997E-2</v>
          </cell>
          <cell r="DU290">
            <v>0.13400000000000001</v>
          </cell>
          <cell r="DV290">
            <v>8.9999999999999993E-3</v>
          </cell>
          <cell r="DW290">
            <v>0.13900000000000001</v>
          </cell>
          <cell r="DX290">
            <v>0.55800000000000005</v>
          </cell>
          <cell r="DY290">
            <v>0.56999999999999995</v>
          </cell>
          <cell r="DZ290">
            <v>0.159</v>
          </cell>
          <cell r="EA290">
            <v>0.24199999999999999</v>
          </cell>
          <cell r="EB290">
            <v>0.20200000000000001</v>
          </cell>
          <cell r="EC290">
            <v>4.2999999999999997E-2</v>
          </cell>
          <cell r="ED290">
            <v>0.107</v>
          </cell>
          <cell r="EE290">
            <v>0.106</v>
          </cell>
          <cell r="EF290">
            <v>0.113</v>
          </cell>
          <cell r="EG290">
            <v>0.02</v>
          </cell>
          <cell r="EH290">
            <v>1.7000000000000001E-2</v>
          </cell>
          <cell r="EI290">
            <v>5.0999999999999997E-2</v>
          </cell>
          <cell r="EJ290">
            <v>0.64200000000000002</v>
          </cell>
          <cell r="EK290">
            <v>0.57899999999999996</v>
          </cell>
          <cell r="EL290">
            <v>0.17</v>
          </cell>
          <cell r="EM290">
            <v>0.40500000000000003</v>
          </cell>
          <cell r="EN290">
            <v>0.36799999999999999</v>
          </cell>
          <cell r="EO290">
            <v>0.55300000000000005</v>
          </cell>
          <cell r="EP290">
            <v>0.13800000000000001</v>
          </cell>
          <cell r="EQ290">
            <v>7.0999999999999994E-2</v>
          </cell>
          <cell r="ER290">
            <v>0.10299999999999999</v>
          </cell>
          <cell r="ES290">
            <v>0.127</v>
          </cell>
          <cell r="ET290">
            <v>0.10299999999999999</v>
          </cell>
          <cell r="EU290">
            <v>0.28399999999999997</v>
          </cell>
          <cell r="EV290">
            <v>0.68600000000000005</v>
          </cell>
          <cell r="EW290">
            <v>0.39200000000000002</v>
          </cell>
          <cell r="EX290">
            <v>0.42</v>
          </cell>
          <cell r="EY290">
            <v>0.52</v>
          </cell>
          <cell r="EZ290">
            <v>1.256</v>
          </cell>
          <cell r="FA290">
            <v>0.70899999999999996</v>
          </cell>
          <cell r="FB290">
            <v>3.6999999999999998E-2</v>
          </cell>
          <cell r="FC290">
            <v>0.158</v>
          </cell>
          <cell r="FD290">
            <v>3.4000000000000002E-2</v>
          </cell>
          <cell r="FE290">
            <v>4.8000000000000001E-2</v>
          </cell>
          <cell r="FF290">
            <v>1.4999999999999999E-2</v>
          </cell>
          <cell r="FG290">
            <v>0.36799999999999999</v>
          </cell>
          <cell r="FH290">
            <v>0.51900000000000002</v>
          </cell>
          <cell r="FI290">
            <v>0.45200000000000001</v>
          </cell>
          <cell r="FJ290">
            <v>0.372</v>
          </cell>
          <cell r="FK290">
            <v>0.58799999999999997</v>
          </cell>
          <cell r="FL290">
            <v>1.163</v>
          </cell>
          <cell r="FM290">
            <v>1.089</v>
          </cell>
          <cell r="FN290">
            <v>0.38600000000000001</v>
          </cell>
          <cell r="FO290">
            <v>0.21</v>
          </cell>
          <cell r="FP290">
            <v>0.33600000000000002</v>
          </cell>
          <cell r="FQ290">
            <v>0.65700000000000003</v>
          </cell>
          <cell r="FR290">
            <v>0.48699999999999999</v>
          </cell>
          <cell r="FS290">
            <v>0.56100000000000005</v>
          </cell>
          <cell r="FT290">
            <v>0.56999999999999995</v>
          </cell>
          <cell r="FU290">
            <v>0.90500000000000003</v>
          </cell>
          <cell r="FV290">
            <v>1.177</v>
          </cell>
          <cell r="FW290">
            <v>0.98299999999999998</v>
          </cell>
          <cell r="FX290">
            <v>1.927</v>
          </cell>
          <cell r="FY290">
            <v>1.304</v>
          </cell>
          <cell r="FZ290">
            <v>0.45300000000000001</v>
          </cell>
          <cell r="GA290">
            <v>0.434</v>
          </cell>
          <cell r="GB290">
            <v>0.41399999999999998</v>
          </cell>
          <cell r="GC290">
            <v>0.38400000000000001</v>
          </cell>
          <cell r="GD290">
            <v>0.26100000000000001</v>
          </cell>
          <cell r="GE290">
            <v>0.43099999999999999</v>
          </cell>
          <cell r="GF290">
            <v>0.94899999999999995</v>
          </cell>
          <cell r="GG290">
            <v>1.7250000000000001</v>
          </cell>
          <cell r="GH290">
            <v>0.99099999999999999</v>
          </cell>
          <cell r="GI290">
            <v>1.2649999999999999</v>
          </cell>
          <cell r="GJ290">
            <v>1.454</v>
          </cell>
          <cell r="GK290">
            <v>1.978</v>
          </cell>
          <cell r="GL290">
            <v>0.67100000000000004</v>
          </cell>
          <cell r="GM290">
            <v>0.72499999999999998</v>
          </cell>
          <cell r="GN290">
            <v>0.65400000000000003</v>
          </cell>
          <cell r="GO290">
            <v>0.501</v>
          </cell>
          <cell r="GP290">
            <v>0.51700000000000002</v>
          </cell>
          <cell r="GQ290">
            <v>0.57499999999999996</v>
          </cell>
          <cell r="GR290">
            <v>0.96199999999999997</v>
          </cell>
          <cell r="GS290">
            <v>0.29499999999999998</v>
          </cell>
          <cell r="GT290">
            <v>0.45600000000000002</v>
          </cell>
          <cell r="GU290">
            <v>0.96899999999999997</v>
          </cell>
          <cell r="GV290">
            <v>1.881</v>
          </cell>
          <cell r="GW290">
            <v>0.97099999999999997</v>
          </cell>
          <cell r="GX290">
            <v>0.20499999999999999</v>
          </cell>
          <cell r="GY290">
            <v>0.30199999999999999</v>
          </cell>
          <cell r="GZ290">
            <v>0.60699999999999998</v>
          </cell>
          <cell r="HA290">
            <v>0.16300000000000001</v>
          </cell>
          <cell r="HB290">
            <v>0.11600000000000001</v>
          </cell>
          <cell r="HC290">
            <v>0.20200000000000001</v>
          </cell>
          <cell r="HD290">
            <v>0.247</v>
          </cell>
          <cell r="HE290">
            <v>1.361</v>
          </cell>
          <cell r="HF290">
            <v>0.80100000000000005</v>
          </cell>
          <cell r="HG290">
            <v>1.99</v>
          </cell>
          <cell r="HH290">
            <v>2.423</v>
          </cell>
          <cell r="HI290">
            <v>2.222</v>
          </cell>
          <cell r="HJ290">
            <v>1.518</v>
          </cell>
          <cell r="HK290">
            <v>0.97399999999999998</v>
          </cell>
          <cell r="HL290">
            <v>0.34</v>
          </cell>
          <cell r="HM290">
            <v>0.76900000000000002</v>
          </cell>
          <cell r="HN290">
            <v>0.47799999999999998</v>
          </cell>
          <cell r="HO290">
            <v>0.751</v>
          </cell>
          <cell r="HP290">
            <v>1.488</v>
          </cell>
          <cell r="HQ290">
            <v>0.91300000000000003</v>
          </cell>
          <cell r="HR290">
            <v>2.3239999999999998</v>
          </cell>
          <cell r="HS290">
            <v>1.7270000000000001</v>
          </cell>
          <cell r="HT290">
            <v>3.0470000000000002</v>
          </cell>
          <cell r="HU290">
            <v>3.1160000000000001</v>
          </cell>
          <cell r="HV290">
            <v>1</v>
          </cell>
          <cell r="HW290">
            <v>1.405</v>
          </cell>
          <cell r="HX290">
            <v>2.0129999999999999</v>
          </cell>
          <cell r="HY290">
            <v>1.621</v>
          </cell>
          <cell r="HZ290">
            <v>1.004</v>
          </cell>
          <cell r="IA290">
            <v>0.96199999999999997</v>
          </cell>
          <cell r="IB290">
            <v>1.3029999999999999</v>
          </cell>
          <cell r="IC290">
            <v>1.45</v>
          </cell>
          <cell r="ID290">
            <v>2.9689999999999999</v>
          </cell>
          <cell r="IE290">
            <v>2.96</v>
          </cell>
          <cell r="IF290">
            <v>3.3159999999999998</v>
          </cell>
          <cell r="IG290">
            <v>3.1240000000000001</v>
          </cell>
          <cell r="IH290">
            <v>2.9049999999999998</v>
          </cell>
          <cell r="II290">
            <v>2.41</v>
          </cell>
          <cell r="IJ290">
            <v>1.764</v>
          </cell>
          <cell r="IK290">
            <v>1.49</v>
          </cell>
          <cell r="IL290">
            <v>0.93100000000000005</v>
          </cell>
          <cell r="IM290">
            <v>1.2769999999999999</v>
          </cell>
          <cell r="IN290">
            <v>3.1539999999999999</v>
          </cell>
          <cell r="IO290">
            <v>5.0510000000000002</v>
          </cell>
          <cell r="IP290">
            <v>3.97</v>
          </cell>
          <cell r="IQ290">
            <v>3.37</v>
          </cell>
          <cell r="IR290">
            <v>4.2880000000000003</v>
          </cell>
          <cell r="IS290">
            <v>5.0389999999999997</v>
          </cell>
          <cell r="IT290">
            <v>3.375</v>
          </cell>
          <cell r="IU290">
            <v>3.41</v>
          </cell>
          <cell r="IV290">
            <v>2.327</v>
          </cell>
          <cell r="IW290">
            <v>1.871</v>
          </cell>
          <cell r="IX290">
            <v>1.252</v>
          </cell>
          <cell r="IY290">
            <v>1.772</v>
          </cell>
          <cell r="IZ290">
            <v>3.2679999999999998</v>
          </cell>
          <cell r="JA290">
            <v>6.1150000000000002</v>
          </cell>
          <cell r="JB290">
            <v>4.0599999999999996</v>
          </cell>
          <cell r="JC290">
            <v>4.8979999999999997</v>
          </cell>
          <cell r="JD290">
            <v>6.375</v>
          </cell>
          <cell r="JE290">
            <v>3.8559999999999999</v>
          </cell>
          <cell r="JF290">
            <v>1.6539999999999999</v>
          </cell>
          <cell r="JG290">
            <v>2.081</v>
          </cell>
          <cell r="JH290">
            <v>1.486</v>
          </cell>
          <cell r="JI290">
            <v>1.351</v>
          </cell>
          <cell r="JJ290">
            <v>1.41</v>
          </cell>
          <cell r="JK290">
            <v>2.4129999999999998</v>
          </cell>
          <cell r="JL290">
            <v>1.371</v>
          </cell>
          <cell r="JM290">
            <v>2.0209999999999999</v>
          </cell>
          <cell r="JN290">
            <v>3.3959999999999999</v>
          </cell>
          <cell r="JO290">
            <v>5.04</v>
          </cell>
          <cell r="JP290">
            <v>4.915</v>
          </cell>
          <cell r="JQ290">
            <v>5.4980000000000002</v>
          </cell>
          <cell r="JR290">
            <v>2.0659999999999998</v>
          </cell>
          <cell r="JS290">
            <v>2.5230000000000001</v>
          </cell>
          <cell r="JT290">
            <v>1.361</v>
          </cell>
          <cell r="JU290">
            <v>0.98399999999999999</v>
          </cell>
          <cell r="JV290">
            <v>1.121</v>
          </cell>
          <cell r="JW290">
            <v>2.6949999999999998</v>
          </cell>
          <cell r="JX290">
            <v>2.0219999999999998</v>
          </cell>
          <cell r="JY290">
            <v>2.4180000000000001</v>
          </cell>
          <cell r="JZ290">
            <v>2.7080000000000002</v>
          </cell>
          <cell r="KA290">
            <v>4.6420000000000003</v>
          </cell>
          <cell r="KB290">
            <v>3.7730000000000001</v>
          </cell>
          <cell r="KC290">
            <v>3.7</v>
          </cell>
          <cell r="KD290">
            <v>1.3819999999999999</v>
          </cell>
          <cell r="KE290">
            <v>1.605</v>
          </cell>
          <cell r="KF290">
            <v>1.6439999999999999</v>
          </cell>
          <cell r="KG290">
            <v>0.77800000000000002</v>
          </cell>
          <cell r="KH290">
            <v>0.95599999999999996</v>
          </cell>
          <cell r="KI290">
            <v>2.1389999999999998</v>
          </cell>
          <cell r="KJ290">
            <v>2.8879999999999999</v>
          </cell>
          <cell r="KK290">
            <v>3.1560000000000001</v>
          </cell>
          <cell r="KL290">
            <v>3.9550000000000001</v>
          </cell>
          <cell r="KM290">
            <v>5.36</v>
          </cell>
          <cell r="KN290">
            <v>8.3699999999999992</v>
          </cell>
          <cell r="KO290">
            <v>6.6319999999999997</v>
          </cell>
          <cell r="KP290">
            <v>3.3889999999999998</v>
          </cell>
          <cell r="KQ290">
            <v>1.675</v>
          </cell>
          <cell r="KR290">
            <v>1.85</v>
          </cell>
          <cell r="KS290">
            <v>0.82099999999999995</v>
          </cell>
          <cell r="KT290">
            <v>1.9119999999999999</v>
          </cell>
          <cell r="KU290">
            <v>2.2730000000000001</v>
          </cell>
          <cell r="KV290">
            <v>4.2869999999999999</v>
          </cell>
          <cell r="KW290">
            <v>6.3840000000000003</v>
          </cell>
          <cell r="KX290">
            <v>4.5430000000000001</v>
          </cell>
          <cell r="KY290">
            <v>6.0460000000000003</v>
          </cell>
          <cell r="KZ290">
            <v>6.5570000000000004</v>
          </cell>
          <cell r="LA290">
            <v>5.2210000000000001</v>
          </cell>
          <cell r="LB290">
            <v>3.8260000000000001</v>
          </cell>
          <cell r="LC290">
            <v>2.4420000000000002</v>
          </cell>
          <cell r="LD290">
            <v>1.6870000000000001</v>
          </cell>
          <cell r="LE290">
            <v>1.6419999999999999</v>
          </cell>
          <cell r="LF290">
            <v>3.0063559999999998</v>
          </cell>
          <cell r="LG290">
            <v>7.254003</v>
          </cell>
          <cell r="LH290">
            <v>29.481750999999999</v>
          </cell>
          <cell r="LI290">
            <v>15.528788</v>
          </cell>
          <cell r="LJ290">
            <v>18.118751</v>
          </cell>
          <cell r="LK290">
            <v>16.765497</v>
          </cell>
          <cell r="LL290">
            <v>15.315435000000001</v>
          </cell>
          <cell r="LM290">
            <v>9.2429140000000007</v>
          </cell>
          <cell r="LN290">
            <v>7.8544739999999997</v>
          </cell>
          <cell r="LO290">
            <v>12.527191</v>
          </cell>
          <cell r="LP290">
            <v>2.6385200000000002</v>
          </cell>
          <cell r="LQ290">
            <v>4.7686580000000003</v>
          </cell>
          <cell r="LR290">
            <v>8.0863499999999995</v>
          </cell>
          <cell r="LS290">
            <v>4.6464730000000003</v>
          </cell>
          <cell r="LT290">
            <v>12.309151</v>
          </cell>
          <cell r="LU290">
            <v>9.8004890000000007</v>
          </cell>
          <cell r="LV290">
            <v>16.786479</v>
          </cell>
          <cell r="LW290">
            <v>8.0232539999999997</v>
          </cell>
          <cell r="LX290">
            <v>16.994039000000001</v>
          </cell>
          <cell r="LY290">
            <v>4.1809890000000003</v>
          </cell>
          <cell r="LZ290">
            <v>4.7746079999999997</v>
          </cell>
          <cell r="MA290">
            <v>18.278690999999998</v>
          </cell>
          <cell r="MB290">
            <v>3.0343490000000002</v>
          </cell>
          <cell r="MC290">
            <v>2.7426189999999999</v>
          </cell>
          <cell r="MD290">
            <v>14.492274</v>
          </cell>
          <cell r="ME290">
            <v>4.4542989999999998</v>
          </cell>
          <cell r="MF290">
            <v>8.9768139999999992</v>
          </cell>
          <cell r="MG290">
            <v>20.245929</v>
          </cell>
          <cell r="MH290">
            <v>9.2286640000000002</v>
          </cell>
          <cell r="MI290">
            <v>7.2034039999999999</v>
          </cell>
          <cell r="MJ290">
            <v>7.0257440000000004</v>
          </cell>
          <cell r="MK290">
            <v>6.6843909999999997</v>
          </cell>
          <cell r="ML290">
            <v>10.068046000000001</v>
          </cell>
          <cell r="MM290">
            <v>7.5939990000000002</v>
          </cell>
          <cell r="MN290">
            <v>6.8980680000000003</v>
          </cell>
          <cell r="MO290">
            <v>2.668596</v>
          </cell>
          <cell r="MP290">
            <v>7.6304309999999997</v>
          </cell>
          <cell r="MQ290">
            <v>6.7483969999999998</v>
          </cell>
          <cell r="MR290">
            <v>23.415973999999999</v>
          </cell>
          <cell r="MS290">
            <v>12.657159</v>
          </cell>
          <cell r="MT290">
            <v>16.767026999999999</v>
          </cell>
          <cell r="MU290">
            <v>14.999000000000001</v>
          </cell>
          <cell r="MV290">
            <v>11.757</v>
          </cell>
          <cell r="MW290">
            <v>8.4749999999999996</v>
          </cell>
          <cell r="MX290">
            <v>8.3140000000000001</v>
          </cell>
          <cell r="MY290">
            <v>4.9269999999999996</v>
          </cell>
          <cell r="MZ290">
            <v>4.5679999999999996</v>
          </cell>
          <cell r="NA290">
            <v>7.5590000000000002</v>
          </cell>
          <cell r="NB290">
            <v>3.0579999999999998</v>
          </cell>
          <cell r="NC290">
            <v>5.9009999999999998</v>
          </cell>
          <cell r="ND290">
            <v>11.106</v>
          </cell>
          <cell r="NE290">
            <v>16.57</v>
          </cell>
          <cell r="NF290">
            <v>16.152999999999999</v>
          </cell>
          <cell r="NG290">
            <v>14.036948000000001</v>
          </cell>
          <cell r="NH290">
            <v>13.085023</v>
          </cell>
          <cell r="NI290">
            <v>8.2335560000000001</v>
          </cell>
        </row>
      </sheetData>
      <sheetData sheetId="51">
        <row r="290">
          <cell r="CQ290">
            <v>8.2240000000000002</v>
          </cell>
          <cell r="CR290">
            <v>30.696000000000002</v>
          </cell>
          <cell r="CS290">
            <v>23.425000000000001</v>
          </cell>
          <cell r="CT290">
            <v>10.77</v>
          </cell>
          <cell r="CU290">
            <v>12.593</v>
          </cell>
          <cell r="CV290">
            <v>2.6280000000000001</v>
          </cell>
          <cell r="CW290"/>
          <cell r="CX290"/>
          <cell r="CY290">
            <v>2.4670000000000001</v>
          </cell>
          <cell r="CZ290">
            <v>3.8340000000000001</v>
          </cell>
          <cell r="DA290">
            <v>19.036000000000001</v>
          </cell>
          <cell r="DB290">
            <v>19.71</v>
          </cell>
          <cell r="DC290">
            <v>28.61</v>
          </cell>
          <cell r="DD290">
            <v>28.954999999999998</v>
          </cell>
          <cell r="DE290">
            <v>36.57</v>
          </cell>
          <cell r="DF290">
            <v>20.024999999999999</v>
          </cell>
          <cell r="DG290">
            <v>16.396000000000001</v>
          </cell>
          <cell r="DH290">
            <v>22.815000000000001</v>
          </cell>
          <cell r="DI290">
            <v>23.31</v>
          </cell>
          <cell r="DJ290">
            <v>7.8250000000000002</v>
          </cell>
          <cell r="DK290">
            <v>3.11</v>
          </cell>
          <cell r="DL290">
            <v>33.264000000000003</v>
          </cell>
          <cell r="DM290">
            <v>30.07</v>
          </cell>
          <cell r="DN290">
            <v>30.753</v>
          </cell>
          <cell r="DO290">
            <v>16.244</v>
          </cell>
          <cell r="DP290">
            <v>15.095000000000001</v>
          </cell>
          <cell r="DQ290">
            <v>5.375</v>
          </cell>
          <cell r="DR290">
            <v>5.0460000000000003</v>
          </cell>
          <cell r="DS290">
            <v>0.502</v>
          </cell>
          <cell r="DT290">
            <v>9.6660000000000004</v>
          </cell>
          <cell r="DU290">
            <v>0.28000000000000003</v>
          </cell>
          <cell r="DV290"/>
          <cell r="DW290"/>
          <cell r="DX290">
            <v>1.29</v>
          </cell>
          <cell r="DY290"/>
          <cell r="DZ290"/>
          <cell r="EA290"/>
          <cell r="EB290">
            <v>0.32300000000000001</v>
          </cell>
          <cell r="EC290">
            <v>4.9189999999999996</v>
          </cell>
          <cell r="ED290">
            <v>17.873000000000001</v>
          </cell>
          <cell r="EE290">
            <v>19.904</v>
          </cell>
          <cell r="EF290">
            <v>9.3209999999999997</v>
          </cell>
          <cell r="EG290">
            <v>3.2</v>
          </cell>
          <cell r="EH290">
            <v>0.29099999999999998</v>
          </cell>
          <cell r="EI290">
            <v>2.633</v>
          </cell>
          <cell r="EJ290"/>
          <cell r="EK290">
            <v>1.29</v>
          </cell>
          <cell r="EL290"/>
          <cell r="EM290">
            <v>0.28299999999999997</v>
          </cell>
          <cell r="EN290">
            <v>7.43</v>
          </cell>
          <cell r="EO290">
            <v>3.0550000000000002</v>
          </cell>
          <cell r="EP290">
            <v>8.5749999999999993</v>
          </cell>
          <cell r="EQ290">
            <v>7.0380000000000003</v>
          </cell>
          <cell r="ER290">
            <v>10.028</v>
          </cell>
          <cell r="ES290">
            <v>14.590999999999999</v>
          </cell>
          <cell r="ET290">
            <v>8.5719999999999992</v>
          </cell>
          <cell r="EU290">
            <v>5.7229999999999999</v>
          </cell>
          <cell r="EV290">
            <v>3.0230000000000001</v>
          </cell>
          <cell r="EW290">
            <v>14.826000000000001</v>
          </cell>
          <cell r="EX290">
            <v>30.398</v>
          </cell>
          <cell r="EY290">
            <v>24.899000000000001</v>
          </cell>
          <cell r="EZ290">
            <v>28.422000000000001</v>
          </cell>
          <cell r="FA290">
            <v>35.473999999999997</v>
          </cell>
          <cell r="FB290">
            <v>42.567999999999998</v>
          </cell>
          <cell r="FC290">
            <v>34.798000000000002</v>
          </cell>
          <cell r="FD290">
            <v>41.917999999999999</v>
          </cell>
          <cell r="FE290">
            <v>26.21</v>
          </cell>
          <cell r="FF290">
            <v>23.949000000000002</v>
          </cell>
          <cell r="FG290">
            <v>10.574999999999999</v>
          </cell>
          <cell r="FH290">
            <v>31.032</v>
          </cell>
          <cell r="FI290">
            <v>20.905999999999999</v>
          </cell>
          <cell r="FJ290">
            <v>24.818999999999999</v>
          </cell>
          <cell r="FK290">
            <v>38.270000000000003</v>
          </cell>
          <cell r="FL290">
            <v>28.39</v>
          </cell>
          <cell r="FM290">
            <v>26.56</v>
          </cell>
          <cell r="FN290">
            <v>26.896000000000001</v>
          </cell>
          <cell r="FO290">
            <v>32.305999999999997</v>
          </cell>
          <cell r="FP290">
            <v>17.524000000000001</v>
          </cell>
          <cell r="FQ290">
            <v>19.486000000000001</v>
          </cell>
          <cell r="FR290">
            <v>4.6779999999999999</v>
          </cell>
          <cell r="FS290">
            <v>2.145</v>
          </cell>
          <cell r="FT290">
            <v>9.8759999999999994</v>
          </cell>
          <cell r="FU290">
            <v>16.399999999999999</v>
          </cell>
          <cell r="FV290">
            <v>59.332999999999998</v>
          </cell>
          <cell r="FW290">
            <v>38.484999999999999</v>
          </cell>
          <cell r="FX290">
            <v>27.056000000000001</v>
          </cell>
          <cell r="FY290">
            <v>49.92</v>
          </cell>
          <cell r="FZ290">
            <v>69.558999999999997</v>
          </cell>
          <cell r="GA290">
            <v>51.938000000000002</v>
          </cell>
          <cell r="GB290">
            <v>26.318999999999999</v>
          </cell>
          <cell r="GC290">
            <v>22.190999999999999</v>
          </cell>
          <cell r="GD290">
            <v>12.372</v>
          </cell>
          <cell r="GE290">
            <v>16.818000000000001</v>
          </cell>
          <cell r="GF290">
            <v>11.82</v>
          </cell>
          <cell r="GG290">
            <v>48.52</v>
          </cell>
          <cell r="GH290">
            <v>50.7</v>
          </cell>
          <cell r="GI290">
            <v>51.43</v>
          </cell>
          <cell r="GJ290">
            <v>54.997999999999998</v>
          </cell>
          <cell r="GK290">
            <v>42.511000000000003</v>
          </cell>
          <cell r="GL290">
            <v>26.64</v>
          </cell>
          <cell r="GM290">
            <v>32.976999999999997</v>
          </cell>
          <cell r="GN290">
            <v>20.135999999999999</v>
          </cell>
          <cell r="GO290">
            <v>31.899000000000001</v>
          </cell>
          <cell r="GP290">
            <v>14.109</v>
          </cell>
          <cell r="GQ290">
            <v>8.6219999999999999</v>
          </cell>
          <cell r="GR290">
            <v>11.592000000000001</v>
          </cell>
          <cell r="GS290">
            <v>34.573999999999998</v>
          </cell>
          <cell r="GT290">
            <v>44.686999999999998</v>
          </cell>
          <cell r="GU290">
            <v>27.411000000000001</v>
          </cell>
          <cell r="GV290">
            <v>39.055</v>
          </cell>
          <cell r="GW290">
            <v>17.661000000000001</v>
          </cell>
          <cell r="GX290">
            <v>15.568</v>
          </cell>
          <cell r="GY290">
            <v>10.994</v>
          </cell>
          <cell r="GZ290">
            <v>10.534000000000001</v>
          </cell>
          <cell r="HA290">
            <v>0.77</v>
          </cell>
          <cell r="HB290">
            <v>0.92900000000000005</v>
          </cell>
          <cell r="HC290">
            <v>0.495</v>
          </cell>
          <cell r="HD290">
            <v>11.555</v>
          </cell>
          <cell r="HE290">
            <v>29.158999999999999</v>
          </cell>
          <cell r="HF290">
            <v>39.637999999999998</v>
          </cell>
          <cell r="HG290">
            <v>52.478000000000002</v>
          </cell>
          <cell r="HH290">
            <v>42.661999999999999</v>
          </cell>
          <cell r="HI290">
            <v>41.036000000000001</v>
          </cell>
          <cell r="HJ290">
            <v>25.754000000000001</v>
          </cell>
          <cell r="HK290">
            <v>31.27</v>
          </cell>
          <cell r="HL290">
            <v>18.574000000000002</v>
          </cell>
          <cell r="HM290">
            <v>7.6790000000000003</v>
          </cell>
          <cell r="HN290">
            <v>11.244</v>
          </cell>
          <cell r="HO290">
            <v>5.1769999999999996</v>
          </cell>
          <cell r="HP290">
            <v>6.1</v>
          </cell>
          <cell r="HQ290">
            <v>11.888999999999999</v>
          </cell>
          <cell r="HR290">
            <v>68.424000000000007</v>
          </cell>
          <cell r="HS290">
            <v>53.637</v>
          </cell>
          <cell r="HT290">
            <v>58.359000000000002</v>
          </cell>
          <cell r="HU290">
            <v>27.29</v>
          </cell>
          <cell r="HV290">
            <v>51.491999999999997</v>
          </cell>
          <cell r="HW290">
            <v>46.966999999999999</v>
          </cell>
          <cell r="HX290">
            <v>56.597000000000001</v>
          </cell>
          <cell r="HY290">
            <v>26.414000000000001</v>
          </cell>
          <cell r="HZ290">
            <v>19.670999999999999</v>
          </cell>
          <cell r="IA290"/>
          <cell r="IB290">
            <v>6.8719999999999999</v>
          </cell>
          <cell r="IC290">
            <v>47.308999999999997</v>
          </cell>
          <cell r="ID290">
            <v>85.28</v>
          </cell>
          <cell r="IE290">
            <v>53.628</v>
          </cell>
          <cell r="IF290">
            <v>53.883000000000003</v>
          </cell>
          <cell r="IG290">
            <v>49.945999999999998</v>
          </cell>
          <cell r="IH290">
            <v>51.468000000000004</v>
          </cell>
          <cell r="II290">
            <v>48.459000000000003</v>
          </cell>
          <cell r="IJ290">
            <v>52.03</v>
          </cell>
          <cell r="IK290">
            <v>23.443999999999999</v>
          </cell>
          <cell r="IL290">
            <v>27.521999999999998</v>
          </cell>
          <cell r="IM290">
            <v>21.969000000000001</v>
          </cell>
          <cell r="IN290">
            <v>44.441000000000003</v>
          </cell>
          <cell r="IO290">
            <v>60.338000000000001</v>
          </cell>
          <cell r="IP290">
            <v>81.403999999999996</v>
          </cell>
          <cell r="IQ290">
            <v>81.590999999999994</v>
          </cell>
          <cell r="IR290">
            <v>63.087000000000003</v>
          </cell>
          <cell r="IS290">
            <v>39.484000000000002</v>
          </cell>
          <cell r="IT290">
            <v>72.286000000000001</v>
          </cell>
          <cell r="IU290">
            <v>118.89</v>
          </cell>
          <cell r="IV290">
            <v>86.558999999999997</v>
          </cell>
          <cell r="IW290">
            <v>49.881999999999998</v>
          </cell>
          <cell r="IX290">
            <v>19.09</v>
          </cell>
          <cell r="IY290">
            <v>18.806999999999999</v>
          </cell>
          <cell r="IZ290">
            <v>51.45</v>
          </cell>
          <cell r="JA290">
            <v>48.941000000000003</v>
          </cell>
          <cell r="JB290">
            <v>78.165999999999997</v>
          </cell>
          <cell r="JC290">
            <v>40.460999999999999</v>
          </cell>
          <cell r="JD290">
            <v>61.088000000000001</v>
          </cell>
          <cell r="JE290">
            <v>31.626999999999999</v>
          </cell>
          <cell r="JF290">
            <v>33.549999999999997</v>
          </cell>
          <cell r="JG290">
            <v>30.446999999999999</v>
          </cell>
          <cell r="JH290">
            <v>17.765999999999998</v>
          </cell>
          <cell r="JI290">
            <v>16.846</v>
          </cell>
          <cell r="JJ290">
            <v>3.3029999999999999</v>
          </cell>
          <cell r="JK290">
            <v>16.13</v>
          </cell>
          <cell r="JL290">
            <v>47.518999999999998</v>
          </cell>
          <cell r="JM290">
            <v>96.04</v>
          </cell>
          <cell r="JN290">
            <v>67.275000000000006</v>
          </cell>
          <cell r="JO290">
            <v>82.438999999999993</v>
          </cell>
          <cell r="JP290">
            <v>68.638999999999996</v>
          </cell>
          <cell r="JQ290">
            <v>59.518000000000001</v>
          </cell>
          <cell r="JR290">
            <v>69.915999999999997</v>
          </cell>
          <cell r="JS290">
            <v>87.066000000000003</v>
          </cell>
          <cell r="JT290">
            <v>60.646000000000001</v>
          </cell>
          <cell r="JU290">
            <v>70.513999999999996</v>
          </cell>
          <cell r="JV290">
            <v>31.527999999999999</v>
          </cell>
          <cell r="JW290">
            <v>22.817</v>
          </cell>
          <cell r="JX290">
            <v>56.314999999999998</v>
          </cell>
          <cell r="JY290">
            <v>73.275999999999996</v>
          </cell>
          <cell r="JZ290">
            <v>90.119</v>
          </cell>
          <cell r="KA290">
            <v>64.694000000000003</v>
          </cell>
          <cell r="KB290">
            <v>73.313000000000002</v>
          </cell>
          <cell r="KC290">
            <v>87.632000000000005</v>
          </cell>
          <cell r="KD290">
            <v>96.483000000000004</v>
          </cell>
          <cell r="KE290">
            <v>65.150000000000006</v>
          </cell>
          <cell r="KF290">
            <v>72.537000000000006</v>
          </cell>
          <cell r="KG290">
            <v>40.191000000000003</v>
          </cell>
          <cell r="KH290">
            <v>30.806000000000001</v>
          </cell>
          <cell r="KI290">
            <v>15.319000000000001</v>
          </cell>
          <cell r="KJ290">
            <v>67.128</v>
          </cell>
          <cell r="KK290">
            <v>95.103999999999999</v>
          </cell>
          <cell r="KL290">
            <v>102.45400000000001</v>
          </cell>
          <cell r="KM290">
            <v>63.557000000000002</v>
          </cell>
          <cell r="KN290">
            <v>87.483000000000004</v>
          </cell>
          <cell r="KO290">
            <v>101.774</v>
          </cell>
          <cell r="KP290">
            <v>69.550999999999988</v>
          </cell>
          <cell r="KQ290">
            <v>48.748000000000005</v>
          </cell>
          <cell r="KR290">
            <v>75.222000000000008</v>
          </cell>
          <cell r="KS290">
            <v>34.512</v>
          </cell>
          <cell r="KT290">
            <v>46.330999999999996</v>
          </cell>
          <cell r="KU290">
            <v>27.35</v>
          </cell>
          <cell r="KV290">
            <v>64.033999999999992</v>
          </cell>
          <cell r="KW290">
            <v>96.575000000000003</v>
          </cell>
          <cell r="KX290">
            <v>64.293000000000006</v>
          </cell>
          <cell r="KY290">
            <v>156.13500000000002</v>
          </cell>
          <cell r="KZ290">
            <v>97.128</v>
          </cell>
          <cell r="LA290">
            <v>148.32400000000001</v>
          </cell>
          <cell r="LB290">
            <v>80.02</v>
          </cell>
          <cell r="LC290">
            <v>88.14200000000001</v>
          </cell>
          <cell r="LD290">
            <v>55.001999999999995</v>
          </cell>
          <cell r="LE290">
            <v>65.792000000000002</v>
          </cell>
          <cell r="LF290">
            <v>20.676000000000002</v>
          </cell>
          <cell r="LG290">
            <v>43.086999999999996</v>
          </cell>
          <cell r="LH290">
            <v>87.576999999999998</v>
          </cell>
          <cell r="LI290">
            <v>81.504999999999995</v>
          </cell>
          <cell r="LJ290">
            <v>79.900999999999996</v>
          </cell>
          <cell r="LK290">
            <v>124.378</v>
          </cell>
          <cell r="LL290">
            <v>127.24</v>
          </cell>
          <cell r="LM290">
            <v>61.914999999999999</v>
          </cell>
          <cell r="LN290">
            <v>127.42700000000001</v>
          </cell>
          <cell r="LO290">
            <v>98.424999999999997</v>
          </cell>
          <cell r="LP290">
            <v>53.892000000000003</v>
          </cell>
          <cell r="LQ290">
            <v>26.355</v>
          </cell>
          <cell r="LR290">
            <v>9.7739999999999991</v>
          </cell>
          <cell r="LS290">
            <v>12.044</v>
          </cell>
          <cell r="LT290">
            <v>35.793999999999997</v>
          </cell>
          <cell r="LU290">
            <v>58.246000000000002</v>
          </cell>
          <cell r="LV290">
            <v>59.029000000000003</v>
          </cell>
          <cell r="LW290">
            <v>91.162000000000006</v>
          </cell>
          <cell r="LX290">
            <v>116.901</v>
          </cell>
          <cell r="LY290">
            <v>143.93199999999999</v>
          </cell>
          <cell r="LZ290">
            <v>133.11199999999999</v>
          </cell>
          <cell r="MA290">
            <v>98.147999999999996</v>
          </cell>
          <cell r="MB290">
            <v>62.331000000000003</v>
          </cell>
          <cell r="MC290">
            <v>58.988</v>
          </cell>
          <cell r="MD290">
            <v>40.61</v>
          </cell>
          <cell r="ME290">
            <v>35.865000000000002</v>
          </cell>
          <cell r="MF290">
            <v>68.408000000000001</v>
          </cell>
          <cell r="MG290">
            <v>93.347999999999999</v>
          </cell>
          <cell r="MH290">
            <v>148.351</v>
          </cell>
          <cell r="MI290">
            <v>108.625</v>
          </cell>
          <cell r="MJ290">
            <v>105.907</v>
          </cell>
          <cell r="MK290">
            <v>67.013000000000005</v>
          </cell>
          <cell r="ML290">
            <v>47.417000000000002</v>
          </cell>
          <cell r="MM290">
            <v>123.01600000000001</v>
          </cell>
          <cell r="MN290">
            <v>102.244</v>
          </cell>
          <cell r="MO290">
            <v>85.272000000000006</v>
          </cell>
          <cell r="MP290">
            <v>43.99</v>
          </cell>
          <cell r="MQ290">
            <v>31.484000000000002</v>
          </cell>
          <cell r="MR290">
            <v>103.43300000000001</v>
          </cell>
          <cell r="MS290">
            <v>106.13500000000001</v>
          </cell>
          <cell r="MT290">
            <v>119.211</v>
          </cell>
          <cell r="MU290">
            <v>79.239000000000004</v>
          </cell>
          <cell r="MV290">
            <v>59.689</v>
          </cell>
          <cell r="MW290">
            <v>80.209000000000003</v>
          </cell>
          <cell r="MX290">
            <v>91.403000000000006</v>
          </cell>
          <cell r="MY290">
            <v>56.731999999999999</v>
          </cell>
          <cell r="MZ290">
            <v>31.420999999999999</v>
          </cell>
          <cell r="NA290">
            <v>29.300999999999998</v>
          </cell>
          <cell r="NB290">
            <v>24.382999999999999</v>
          </cell>
          <cell r="NC290">
            <v>22.401</v>
          </cell>
          <cell r="ND290">
            <v>44.454000000000001</v>
          </cell>
          <cell r="NE290">
            <v>134.16</v>
          </cell>
          <cell r="NF290">
            <v>109.711</v>
          </cell>
          <cell r="NG290">
            <v>95.242000000000004</v>
          </cell>
          <cell r="NH290">
            <v>44.561999999999998</v>
          </cell>
          <cell r="NI290">
            <v>31.683</v>
          </cell>
        </row>
      </sheetData>
      <sheetData sheetId="52">
        <row r="290"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>
            <v>0.3</v>
          </cell>
          <cell r="DH290">
            <v>0.75</v>
          </cell>
          <cell r="DI290"/>
          <cell r="DJ290">
            <v>1.202</v>
          </cell>
          <cell r="DK290"/>
          <cell r="DL290"/>
          <cell r="DM290"/>
          <cell r="DN290"/>
          <cell r="DO290"/>
          <cell r="DP290"/>
          <cell r="DQ290"/>
          <cell r="DR290">
            <v>2.5999999999999999E-2</v>
          </cell>
          <cell r="DS290"/>
          <cell r="DT290"/>
          <cell r="DU290"/>
          <cell r="DV290"/>
          <cell r="DW290"/>
          <cell r="DX290"/>
          <cell r="DY290"/>
          <cell r="DZ290"/>
          <cell r="EA290"/>
          <cell r="EB290"/>
          <cell r="EC290"/>
          <cell r="ED290"/>
          <cell r="EE290"/>
          <cell r="EF290"/>
          <cell r="EG290"/>
          <cell r="EH290"/>
          <cell r="EI290"/>
          <cell r="EJ290"/>
          <cell r="EK290"/>
          <cell r="EL290"/>
          <cell r="EM290"/>
          <cell r="EN290"/>
          <cell r="EO290"/>
          <cell r="EP290"/>
          <cell r="EQ290"/>
          <cell r="ER290"/>
          <cell r="ES290"/>
          <cell r="ET290"/>
          <cell r="EU290"/>
          <cell r="EV290"/>
          <cell r="EW290"/>
          <cell r="EX290"/>
          <cell r="EY290"/>
          <cell r="EZ290"/>
          <cell r="FA290"/>
          <cell r="FB290"/>
          <cell r="FC290"/>
          <cell r="FD290"/>
          <cell r="FE290"/>
          <cell r="FF290"/>
          <cell r="FG290">
            <v>0.19900000000000001</v>
          </cell>
          <cell r="FH290"/>
          <cell r="FI290"/>
          <cell r="FJ290"/>
          <cell r="FK290"/>
          <cell r="FL290"/>
          <cell r="FM290"/>
          <cell r="FN290"/>
          <cell r="FO290"/>
          <cell r="FP290"/>
          <cell r="FQ290"/>
          <cell r="FR290">
            <v>0.02</v>
          </cell>
          <cell r="FS290">
            <v>0.01</v>
          </cell>
          <cell r="FT290">
            <v>1.0309999999999999</v>
          </cell>
          <cell r="FU290"/>
          <cell r="FV290"/>
          <cell r="FW290"/>
          <cell r="FX290"/>
          <cell r="FY290"/>
          <cell r="FZ290"/>
          <cell r="GA290"/>
          <cell r="GB290"/>
          <cell r="GC290"/>
          <cell r="GD290"/>
          <cell r="GE290">
            <v>3.6999999999999998E-2</v>
          </cell>
          <cell r="GF290">
            <v>0.28799999999999998</v>
          </cell>
          <cell r="GG290">
            <v>0.30199999999999999</v>
          </cell>
          <cell r="GH290"/>
          <cell r="GI290"/>
          <cell r="GJ290"/>
          <cell r="GK290"/>
          <cell r="GL290"/>
          <cell r="GM290"/>
          <cell r="GN290"/>
          <cell r="GO290"/>
          <cell r="GP290"/>
          <cell r="GQ290"/>
          <cell r="GR290"/>
          <cell r="GS290"/>
          <cell r="GT290"/>
          <cell r="GU290"/>
          <cell r="GV290"/>
          <cell r="GW290"/>
          <cell r="GX290"/>
          <cell r="GY290"/>
          <cell r="GZ290"/>
          <cell r="HA290"/>
          <cell r="HB290"/>
          <cell r="HC290"/>
          <cell r="HD290">
            <v>2.4E-2</v>
          </cell>
          <cell r="HE290">
            <v>2.4E-2</v>
          </cell>
          <cell r="HF290"/>
          <cell r="HG290"/>
          <cell r="HH290">
            <v>1.0980000000000001</v>
          </cell>
          <cell r="HI290">
            <v>4.72</v>
          </cell>
          <cell r="HJ290"/>
          <cell r="HK290"/>
          <cell r="HL290"/>
          <cell r="HM290"/>
          <cell r="HN290"/>
          <cell r="HO290">
            <v>1.7</v>
          </cell>
          <cell r="HP290">
            <v>0.17</v>
          </cell>
          <cell r="HQ290"/>
          <cell r="HR290"/>
          <cell r="HS290"/>
          <cell r="HT290"/>
          <cell r="HU290"/>
          <cell r="HV290"/>
          <cell r="HW290"/>
          <cell r="HX290"/>
          <cell r="HY290">
            <v>2.8919999999999999</v>
          </cell>
          <cell r="HZ290"/>
          <cell r="IA290"/>
          <cell r="IB290"/>
          <cell r="IC290"/>
          <cell r="ID290"/>
          <cell r="IE290"/>
          <cell r="IF290"/>
          <cell r="IG290"/>
          <cell r="IH290"/>
          <cell r="II290"/>
          <cell r="IJ290"/>
          <cell r="IK290"/>
          <cell r="IL290">
            <v>5.0000000000000001E-3</v>
          </cell>
          <cell r="IM290"/>
          <cell r="IN290">
            <v>0.05</v>
          </cell>
          <cell r="IO290">
            <v>0.315</v>
          </cell>
          <cell r="IP290"/>
          <cell r="IQ290"/>
          <cell r="IR290"/>
          <cell r="IS290">
            <v>1.716</v>
          </cell>
          <cell r="IT290"/>
          <cell r="IU290"/>
          <cell r="IV290"/>
          <cell r="IW290"/>
          <cell r="IX290"/>
          <cell r="IY290"/>
          <cell r="IZ290"/>
          <cell r="JA290"/>
          <cell r="JB290"/>
          <cell r="JC290"/>
          <cell r="JD290"/>
          <cell r="JE290"/>
          <cell r="JF290"/>
          <cell r="JG290"/>
          <cell r="JH290"/>
          <cell r="JI290"/>
          <cell r="JJ290">
            <v>0.998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6.3E-2</v>
          </cell>
          <cell r="JU290">
            <v>0</v>
          </cell>
          <cell r="JV290">
            <v>0</v>
          </cell>
          <cell r="JW290">
            <v>0.05</v>
          </cell>
          <cell r="JX290">
            <v>0.1</v>
          </cell>
          <cell r="JY290">
            <v>0.1</v>
          </cell>
          <cell r="JZ290">
            <v>7.4999999999999997E-2</v>
          </cell>
          <cell r="KA290"/>
          <cell r="KB290"/>
          <cell r="KC290"/>
          <cell r="KD290"/>
          <cell r="KE290">
            <v>5.2999999999999999E-2</v>
          </cell>
          <cell r="KF290"/>
          <cell r="KG290">
            <v>6.5529999999999999</v>
          </cell>
          <cell r="KH290">
            <v>0</v>
          </cell>
          <cell r="KI290">
            <v>5.0999999999999997E-2</v>
          </cell>
          <cell r="KJ290">
            <v>0.05</v>
          </cell>
          <cell r="KK290">
            <v>7.3999999999999996E-2</v>
          </cell>
          <cell r="KL290">
            <v>0.1</v>
          </cell>
          <cell r="KM290"/>
          <cell r="KN290"/>
          <cell r="KO290">
            <v>0.1</v>
          </cell>
          <cell r="KP290"/>
          <cell r="KQ290">
            <v>0.36</v>
          </cell>
          <cell r="KR290">
            <v>3.1640000000000001</v>
          </cell>
          <cell r="KS290"/>
          <cell r="KT290">
            <v>0.05</v>
          </cell>
          <cell r="KU290">
            <v>0.21299999999999999</v>
          </cell>
          <cell r="KV290">
            <v>1.5</v>
          </cell>
          <cell r="KW290">
            <v>7.5999999999999998E-2</v>
          </cell>
          <cell r="KX290">
            <v>1.3149999999999999</v>
          </cell>
          <cell r="KY290">
            <v>0.14000000000000001</v>
          </cell>
          <cell r="KZ290">
            <v>0.113</v>
          </cell>
          <cell r="LA290">
            <v>2.5999999999999999E-2</v>
          </cell>
          <cell r="LB290">
            <v>7.3999999999999996E-2</v>
          </cell>
          <cell r="LC290">
            <v>0</v>
          </cell>
          <cell r="LD290">
            <v>0.05</v>
          </cell>
          <cell r="LE290">
            <v>9.6000000000000002E-2</v>
          </cell>
          <cell r="LF290">
            <v>0</v>
          </cell>
          <cell r="LG290">
            <v>0</v>
          </cell>
          <cell r="LH290">
            <v>5.1999999999999998E-2</v>
          </cell>
          <cell r="LI290">
            <v>5.3999999999999999E-2</v>
          </cell>
          <cell r="LJ290">
            <v>7.5999999999999998E-2</v>
          </cell>
          <cell r="LK290">
            <v>1.615</v>
          </cell>
          <cell r="LL290">
            <v>0.38500000000000001</v>
          </cell>
          <cell r="LM290">
            <v>3.1539999999999999</v>
          </cell>
          <cell r="LN290">
            <v>0.23</v>
          </cell>
          <cell r="LO290">
            <v>1.56</v>
          </cell>
          <cell r="LP290">
            <v>1.4039999999999999</v>
          </cell>
          <cell r="LQ290">
            <v>0.60099999999999998</v>
          </cell>
          <cell r="LR290">
            <v>1.887</v>
          </cell>
          <cell r="LS290">
            <v>3.1859999999999999</v>
          </cell>
          <cell r="LT290">
            <v>1.2490000000000001</v>
          </cell>
          <cell r="LU290">
            <v>2.6190000000000002</v>
          </cell>
          <cell r="LV290">
            <v>2.948</v>
          </cell>
          <cell r="LW290">
            <v>0.2</v>
          </cell>
          <cell r="LX290">
            <v>4.0259999999999998</v>
          </cell>
          <cell r="LY290">
            <v>0.92600000000000005</v>
          </cell>
          <cell r="LZ290">
            <v>0.19800000000000001</v>
          </cell>
          <cell r="MA290">
            <v>0.26900000000000002</v>
          </cell>
          <cell r="MB290">
            <v>0.67600000000000005</v>
          </cell>
          <cell r="MC290">
            <v>1.732</v>
          </cell>
          <cell r="MD290">
            <v>4.7519999999999998</v>
          </cell>
          <cell r="ME290">
            <v>0.29299999999999998</v>
          </cell>
          <cell r="MF290">
            <v>7.3999999999999996E-2</v>
          </cell>
          <cell r="MG290">
            <v>4.3999999999999997E-2</v>
          </cell>
          <cell r="MH290">
            <v>2.3969999999999998</v>
          </cell>
          <cell r="MI290">
            <v>0.05</v>
          </cell>
          <cell r="MJ290">
            <v>2.6970000000000001</v>
          </cell>
          <cell r="MK290">
            <v>9.9000000000000005E-2</v>
          </cell>
          <cell r="ML290">
            <v>0.96799999999999997</v>
          </cell>
          <cell r="MM290">
            <v>0.48899999999999999</v>
          </cell>
          <cell r="MN290">
            <v>7.3620000000000001</v>
          </cell>
          <cell r="MO290">
            <v>0.1</v>
          </cell>
          <cell r="MP290">
            <v>0.14899999999999999</v>
          </cell>
          <cell r="MQ290">
            <v>0.11899999999999999</v>
          </cell>
          <cell r="MR290">
            <v>0.85</v>
          </cell>
          <cell r="MS290">
            <v>0.91200000000000003</v>
          </cell>
          <cell r="MT290">
            <v>0.28399999999999997</v>
          </cell>
          <cell r="MU290">
            <v>0.29499999999999998</v>
          </cell>
          <cell r="MV290">
            <v>1.9</v>
          </cell>
          <cell r="MW290">
            <v>0.998</v>
          </cell>
          <cell r="MX290">
            <v>0.79100000000000004</v>
          </cell>
          <cell r="MY290">
            <v>1.7</v>
          </cell>
          <cell r="MZ290">
            <v>6.0830000000000002</v>
          </cell>
          <cell r="NA290">
            <v>3.294</v>
          </cell>
          <cell r="NB290">
            <v>1.077</v>
          </cell>
          <cell r="NC290">
            <v>1.175</v>
          </cell>
          <cell r="ND290">
            <v>1.018</v>
          </cell>
          <cell r="NE290">
            <v>3.14</v>
          </cell>
          <cell r="NF290">
            <v>0.191</v>
          </cell>
          <cell r="NG290">
            <v>2.573</v>
          </cell>
          <cell r="NH290">
            <v>3.242</v>
          </cell>
          <cell r="NI290">
            <v>0.182</v>
          </cell>
        </row>
      </sheetData>
      <sheetData sheetId="53">
        <row r="290">
          <cell r="CQ290">
            <v>10.988</v>
          </cell>
          <cell r="CR290">
            <v>7.4210000000000003</v>
          </cell>
          <cell r="CS290">
            <v>12.752000000000001</v>
          </cell>
          <cell r="CT290">
            <v>9.9309999999999992</v>
          </cell>
          <cell r="CU290">
            <v>17.52</v>
          </cell>
          <cell r="CV290">
            <v>14.147</v>
          </cell>
          <cell r="CW290">
            <v>9.8190000000000008</v>
          </cell>
          <cell r="CX290">
            <v>15.148</v>
          </cell>
          <cell r="CY290">
            <v>10.842000000000001</v>
          </cell>
          <cell r="CZ290">
            <v>12.379</v>
          </cell>
          <cell r="DA290">
            <v>7.6790000000000003</v>
          </cell>
          <cell r="DB290">
            <v>3.3490000000000002</v>
          </cell>
          <cell r="DC290">
            <v>2.6539999999999999</v>
          </cell>
          <cell r="DD290">
            <v>5.0549999999999997</v>
          </cell>
          <cell r="DE290">
            <v>13.794</v>
          </cell>
          <cell r="DF290">
            <v>7.6669999999999998</v>
          </cell>
          <cell r="DG290">
            <v>10.682</v>
          </cell>
          <cell r="DH290">
            <v>12.307</v>
          </cell>
          <cell r="DI290">
            <v>9.5310000000000006</v>
          </cell>
          <cell r="DJ290">
            <v>8.391</v>
          </cell>
          <cell r="DK290">
            <v>9.3390000000000004</v>
          </cell>
          <cell r="DL290">
            <v>12.635</v>
          </cell>
          <cell r="DM290">
            <v>7.0179999999999998</v>
          </cell>
          <cell r="DN290">
            <v>1.6080000000000001</v>
          </cell>
          <cell r="DO290">
            <v>3.2679999999999998</v>
          </cell>
          <cell r="DP290">
            <v>1E-3</v>
          </cell>
          <cell r="DQ290">
            <v>2.0990000000000002</v>
          </cell>
          <cell r="DR290">
            <v>0.122</v>
          </cell>
          <cell r="DS290">
            <v>8.8949999999999996</v>
          </cell>
          <cell r="DT290">
            <v>8.4260000000000002</v>
          </cell>
          <cell r="DU290">
            <v>26.835999999999999</v>
          </cell>
          <cell r="DV290">
            <v>25.898</v>
          </cell>
          <cell r="DW290">
            <v>3.4830000000000001</v>
          </cell>
          <cell r="DX290">
            <v>3.4620000000000002</v>
          </cell>
          <cell r="DY290">
            <v>19.937000000000001</v>
          </cell>
          <cell r="DZ290">
            <v>31.045999999999999</v>
          </cell>
          <cell r="EA290">
            <v>20.571999999999999</v>
          </cell>
          <cell r="EB290">
            <v>14.621</v>
          </cell>
          <cell r="EC290">
            <v>15.116</v>
          </cell>
          <cell r="ED290">
            <v>4.1859999999999999</v>
          </cell>
          <cell r="EE290">
            <v>9.9190000000000005</v>
          </cell>
          <cell r="EF290">
            <v>13.693</v>
          </cell>
          <cell r="EG290">
            <v>6.766</v>
          </cell>
          <cell r="EH290">
            <v>4.1820000000000004</v>
          </cell>
          <cell r="EI290">
            <v>0.625</v>
          </cell>
          <cell r="EJ290">
            <v>0.10199999999999999</v>
          </cell>
          <cell r="EK290">
            <v>1E-3</v>
          </cell>
          <cell r="EL290">
            <v>2.6579999999999999</v>
          </cell>
          <cell r="EM290">
            <v>0.34599999999999997</v>
          </cell>
          <cell r="EN290">
            <v>5.5510000000000002</v>
          </cell>
          <cell r="EO290">
            <v>4.2960000000000003</v>
          </cell>
          <cell r="EP290">
            <v>11.121</v>
          </cell>
          <cell r="EQ290">
            <v>7.2990000000000004</v>
          </cell>
          <cell r="ER290">
            <v>8.234</v>
          </cell>
          <cell r="ES290">
            <v>22.971</v>
          </cell>
          <cell r="ET290">
            <v>4.423</v>
          </cell>
          <cell r="EU290">
            <v>3.4750000000000001</v>
          </cell>
          <cell r="EV290"/>
          <cell r="EW290">
            <v>0.996</v>
          </cell>
          <cell r="EX290">
            <v>23.835000000000001</v>
          </cell>
          <cell r="EY290">
            <v>2.06</v>
          </cell>
          <cell r="EZ290">
            <v>3.9449999999999998</v>
          </cell>
          <cell r="FA290">
            <v>1.9019999999999999</v>
          </cell>
          <cell r="FB290">
            <v>6.05</v>
          </cell>
          <cell r="FC290">
            <v>6.7380000000000004</v>
          </cell>
          <cell r="FD290">
            <v>9.2669999999999995</v>
          </cell>
          <cell r="FE290">
            <v>11.159000000000001</v>
          </cell>
          <cell r="FF290">
            <v>13.487</v>
          </cell>
          <cell r="FG290">
            <v>1.696</v>
          </cell>
          <cell r="FH290">
            <v>6.0449999999999999</v>
          </cell>
          <cell r="FI290">
            <v>10.226000000000001</v>
          </cell>
          <cell r="FJ290">
            <v>5.7249999999999996</v>
          </cell>
          <cell r="FK290">
            <v>19.530999999999999</v>
          </cell>
          <cell r="FL290">
            <v>16.050999999999998</v>
          </cell>
          <cell r="FM290">
            <v>8.7059999999999995</v>
          </cell>
          <cell r="FN290">
            <v>7.2670000000000003</v>
          </cell>
          <cell r="FO290">
            <v>10.757</v>
          </cell>
          <cell r="FP290">
            <v>35.56</v>
          </cell>
          <cell r="FQ290">
            <v>15.464</v>
          </cell>
          <cell r="FR290">
            <v>14.965</v>
          </cell>
          <cell r="FS290">
            <v>8.19</v>
          </cell>
          <cell r="FT290">
            <v>25.963999999999999</v>
          </cell>
          <cell r="FU290">
            <v>24.454000000000001</v>
          </cell>
          <cell r="FV290">
            <v>16.61</v>
          </cell>
          <cell r="FW290">
            <v>19.956</v>
          </cell>
          <cell r="FX290">
            <v>16.097000000000001</v>
          </cell>
          <cell r="FY290">
            <v>57.061999999999998</v>
          </cell>
          <cell r="FZ290">
            <v>65.753</v>
          </cell>
          <cell r="GA290">
            <v>52.365000000000002</v>
          </cell>
          <cell r="GB290">
            <v>74.168999999999997</v>
          </cell>
          <cell r="GC290">
            <v>65.165000000000006</v>
          </cell>
          <cell r="GD290">
            <v>25.033999999999999</v>
          </cell>
          <cell r="GE290">
            <v>15.744999999999999</v>
          </cell>
          <cell r="GF290">
            <v>4.5519999999999996</v>
          </cell>
          <cell r="GG290">
            <v>3.778</v>
          </cell>
          <cell r="GH290">
            <v>2.3E-2</v>
          </cell>
          <cell r="GI290">
            <v>10.994</v>
          </cell>
          <cell r="GJ290">
            <v>7.78</v>
          </cell>
          <cell r="GK290">
            <v>6.1459999999999999</v>
          </cell>
          <cell r="GL290">
            <v>11.702999999999999</v>
          </cell>
          <cell r="GM290">
            <v>28.09</v>
          </cell>
          <cell r="GN290">
            <v>16.510000000000002</v>
          </cell>
          <cell r="GO290">
            <v>32.118000000000002</v>
          </cell>
          <cell r="GP290">
            <v>7.59</v>
          </cell>
          <cell r="GQ290">
            <v>2.7389999999999999</v>
          </cell>
          <cell r="GR290">
            <v>5.9370000000000003</v>
          </cell>
          <cell r="GS290">
            <v>20.224</v>
          </cell>
          <cell r="GT290">
            <v>13.286</v>
          </cell>
          <cell r="GU290">
            <v>19.613</v>
          </cell>
          <cell r="GV290">
            <v>40.1</v>
          </cell>
          <cell r="GW290">
            <v>33.088000000000001</v>
          </cell>
          <cell r="GX290">
            <v>25.234000000000002</v>
          </cell>
          <cell r="GY290">
            <v>24.393000000000001</v>
          </cell>
          <cell r="GZ290">
            <v>64.134</v>
          </cell>
          <cell r="HA290">
            <v>38.981999999999999</v>
          </cell>
          <cell r="HB290">
            <v>38.271999999999998</v>
          </cell>
          <cell r="HC290">
            <v>10.324</v>
          </cell>
          <cell r="HD290">
            <v>16.62</v>
          </cell>
          <cell r="HE290">
            <v>46.972000000000001</v>
          </cell>
          <cell r="HF290">
            <v>54.027000000000001</v>
          </cell>
          <cell r="HG290">
            <v>30.818000000000001</v>
          </cell>
          <cell r="HH290">
            <v>43.109000000000002</v>
          </cell>
          <cell r="HI290">
            <v>46.45</v>
          </cell>
          <cell r="HJ290">
            <v>47.165999999999997</v>
          </cell>
          <cell r="HK290">
            <v>50.424999999999997</v>
          </cell>
          <cell r="HL290">
            <v>44.613</v>
          </cell>
          <cell r="HM290">
            <v>28.565999999999999</v>
          </cell>
          <cell r="HN290">
            <v>13.323</v>
          </cell>
          <cell r="HO290">
            <v>5.157</v>
          </cell>
          <cell r="HP290">
            <v>5.0890000000000004</v>
          </cell>
          <cell r="HQ290">
            <v>3.8359999999999999</v>
          </cell>
          <cell r="HR290">
            <v>5.0449999999999999</v>
          </cell>
          <cell r="HS290">
            <v>17.693999999999999</v>
          </cell>
          <cell r="HT290">
            <v>7.94</v>
          </cell>
          <cell r="HU290">
            <v>12.051</v>
          </cell>
          <cell r="HV290">
            <v>21.898</v>
          </cell>
          <cell r="HW290">
            <v>47.158000000000001</v>
          </cell>
          <cell r="HX290">
            <v>16.117999999999999</v>
          </cell>
          <cell r="HY290">
            <v>20.824000000000002</v>
          </cell>
          <cell r="HZ290">
            <v>21.641999999999999</v>
          </cell>
          <cell r="IA290">
            <v>14.327</v>
          </cell>
          <cell r="IB290">
            <v>16.318000000000001</v>
          </cell>
          <cell r="IC290">
            <v>7.8520000000000003</v>
          </cell>
          <cell r="ID290">
            <v>20.687999999999999</v>
          </cell>
          <cell r="IE290">
            <v>30.387</v>
          </cell>
          <cell r="IF290">
            <v>12.182</v>
          </cell>
          <cell r="IG290">
            <v>35.667000000000002</v>
          </cell>
          <cell r="IH290">
            <v>39.857999999999997</v>
          </cell>
          <cell r="II290">
            <v>66.802999999999997</v>
          </cell>
          <cell r="IJ290">
            <v>59.055999999999997</v>
          </cell>
          <cell r="IK290">
            <v>43.921999999999997</v>
          </cell>
          <cell r="IL290">
            <v>54.231000000000002</v>
          </cell>
          <cell r="IM290">
            <v>15.678000000000001</v>
          </cell>
          <cell r="IN290">
            <v>22.405999999999999</v>
          </cell>
          <cell r="IO290">
            <v>40.927999999999997</v>
          </cell>
          <cell r="IP290">
            <v>48.844000000000001</v>
          </cell>
          <cell r="IQ290">
            <v>77.668999999999997</v>
          </cell>
          <cell r="IR290">
            <v>35.322000000000003</v>
          </cell>
          <cell r="IS290">
            <v>70.180999999999997</v>
          </cell>
          <cell r="IT290">
            <v>60.017000000000003</v>
          </cell>
          <cell r="IU290">
            <v>93.212999999999994</v>
          </cell>
          <cell r="IV290">
            <v>84.433000000000007</v>
          </cell>
          <cell r="IW290">
            <v>57.814999999999998</v>
          </cell>
          <cell r="IX290">
            <v>44.648000000000003</v>
          </cell>
          <cell r="IY290">
            <v>45.149000000000001</v>
          </cell>
          <cell r="IZ290">
            <v>38.442</v>
          </cell>
          <cell r="JA290">
            <v>73.358999999999995</v>
          </cell>
          <cell r="JB290">
            <v>63.186999999999998</v>
          </cell>
          <cell r="JC290">
            <v>56.002000000000002</v>
          </cell>
          <cell r="JD290">
            <v>42.308</v>
          </cell>
          <cell r="JE290">
            <v>29.768000000000001</v>
          </cell>
          <cell r="JF290">
            <v>66.183999999999997</v>
          </cell>
          <cell r="JG290">
            <v>77.271000000000001</v>
          </cell>
          <cell r="JH290">
            <v>45.170999999999999</v>
          </cell>
          <cell r="JI290">
            <v>75.736000000000004</v>
          </cell>
          <cell r="JJ290">
            <v>44.694000000000003</v>
          </cell>
          <cell r="JK290">
            <v>43.475000000000001</v>
          </cell>
          <cell r="JL290">
            <v>44.046999999999997</v>
          </cell>
          <cell r="JM290">
            <v>46.076999999999998</v>
          </cell>
          <cell r="JN290">
            <v>61.320999999999998</v>
          </cell>
          <cell r="JO290">
            <v>75.959000000000003</v>
          </cell>
          <cell r="JP290">
            <v>64.486999999999995</v>
          </cell>
          <cell r="JQ290">
            <v>68.784000000000006</v>
          </cell>
          <cell r="JR290">
            <v>79.563999999999993</v>
          </cell>
          <cell r="JS290">
            <v>97.801000000000002</v>
          </cell>
          <cell r="JT290">
            <v>91.677999999999997</v>
          </cell>
          <cell r="JU290">
            <v>68.078999999999994</v>
          </cell>
          <cell r="JV290">
            <v>34.886000000000003</v>
          </cell>
          <cell r="JW290">
            <v>39.817999999999998</v>
          </cell>
          <cell r="JX290">
            <v>63.731000000000002</v>
          </cell>
          <cell r="JY290">
            <v>60.052999999999997</v>
          </cell>
          <cell r="JZ290">
            <v>84.316000000000003</v>
          </cell>
          <cell r="KA290">
            <v>88.951999999999998</v>
          </cell>
          <cell r="KB290">
            <v>81.763000000000005</v>
          </cell>
          <cell r="KC290">
            <v>83.379000000000005</v>
          </cell>
          <cell r="KD290">
            <v>61.65</v>
          </cell>
          <cell r="KE290">
            <v>63.593000000000004</v>
          </cell>
          <cell r="KF290">
            <v>104.306</v>
          </cell>
          <cell r="KG290">
            <v>57.131</v>
          </cell>
          <cell r="KH290">
            <v>24.899000000000001</v>
          </cell>
          <cell r="KI290">
            <v>15.076000000000001</v>
          </cell>
          <cell r="KJ290">
            <v>40.859000000000002</v>
          </cell>
          <cell r="KK290">
            <v>72.924000000000007</v>
          </cell>
          <cell r="KL290">
            <v>103.63800000000001</v>
          </cell>
          <cell r="KM290">
            <v>67.063999999999993</v>
          </cell>
          <cell r="KN290">
            <v>78.545000000000002</v>
          </cell>
          <cell r="KO290">
            <v>59.216999999999999</v>
          </cell>
          <cell r="KP290">
            <v>39.862000000000002</v>
          </cell>
          <cell r="KQ290">
            <v>74.576999999999998</v>
          </cell>
          <cell r="KR290">
            <v>62.14</v>
          </cell>
          <cell r="KS290">
            <v>39.667000000000002</v>
          </cell>
          <cell r="KT290">
            <v>32.271999999999998</v>
          </cell>
          <cell r="KU290">
            <v>35.662999999999997</v>
          </cell>
          <cell r="KV290">
            <v>61.823999999999998</v>
          </cell>
          <cell r="KW290">
            <v>101.834</v>
          </cell>
          <cell r="KX290">
            <v>85.745000000000005</v>
          </cell>
          <cell r="KY290">
            <v>74.146000000000001</v>
          </cell>
          <cell r="KZ290">
            <v>58.000999999999998</v>
          </cell>
          <cell r="LA290">
            <v>78.649000000000001</v>
          </cell>
          <cell r="LB290">
            <v>68.725999999999999</v>
          </cell>
          <cell r="LC290">
            <v>82.965000000000003</v>
          </cell>
          <cell r="LD290">
            <v>69.712999999999994</v>
          </cell>
          <cell r="LE290">
            <v>43.948160999999999</v>
          </cell>
          <cell r="LF290">
            <v>28.565346999999999</v>
          </cell>
          <cell r="LG290">
            <v>13.540801</v>
          </cell>
          <cell r="LH290">
            <v>20.276674</v>
          </cell>
          <cell r="LI290">
            <v>77.000246000000004</v>
          </cell>
          <cell r="LJ290">
            <v>59.068317999999998</v>
          </cell>
          <cell r="LK290">
            <v>30.603421999999998</v>
          </cell>
          <cell r="LL290">
            <v>41.768014999999998</v>
          </cell>
          <cell r="LM290">
            <v>55.113683999999999</v>
          </cell>
          <cell r="LN290">
            <v>49.965102000000002</v>
          </cell>
          <cell r="LO290">
            <v>58.551811999999998</v>
          </cell>
          <cell r="LP290">
            <v>50.567255000000003</v>
          </cell>
          <cell r="LQ290">
            <v>60.920079999999999</v>
          </cell>
          <cell r="LR290">
            <v>27.332584000000001</v>
          </cell>
          <cell r="LS290">
            <v>30.499416</v>
          </cell>
          <cell r="LT290">
            <v>34.087851999999998</v>
          </cell>
          <cell r="LU290">
            <v>32.491940999999997</v>
          </cell>
          <cell r="LV290">
            <v>52.816899999999997</v>
          </cell>
          <cell r="LW290">
            <v>67.040689999999998</v>
          </cell>
          <cell r="LX290">
            <v>51.48948</v>
          </cell>
          <cell r="LY290">
            <v>63.258159999999997</v>
          </cell>
          <cell r="LZ290">
            <v>58.128321</v>
          </cell>
          <cell r="MA290">
            <v>60.329386</v>
          </cell>
          <cell r="MB290">
            <v>55.165647</v>
          </cell>
          <cell r="MC290">
            <v>40.433128000000004</v>
          </cell>
          <cell r="MD290">
            <v>23.155604</v>
          </cell>
          <cell r="ME290">
            <v>31.298075999999998</v>
          </cell>
          <cell r="MF290">
            <v>51.365225000000002</v>
          </cell>
          <cell r="MG290">
            <v>42.238630000000001</v>
          </cell>
          <cell r="MH290">
            <v>62.016739000000001</v>
          </cell>
          <cell r="MI290">
            <v>53.836370000000002</v>
          </cell>
          <cell r="MJ290">
            <v>77.331439000000003</v>
          </cell>
          <cell r="MK290">
            <v>66.361001999999999</v>
          </cell>
          <cell r="ML290">
            <v>101.920765</v>
          </cell>
          <cell r="MM290">
            <v>181.234982</v>
          </cell>
          <cell r="MN290">
            <v>109.372952</v>
          </cell>
          <cell r="MO290">
            <v>63.614739</v>
          </cell>
          <cell r="MP290">
            <v>29.105193</v>
          </cell>
          <cell r="MQ290">
            <v>19.4255</v>
          </cell>
          <cell r="MR290">
            <v>17.186281999999999</v>
          </cell>
          <cell r="MS290">
            <v>68.131280000000004</v>
          </cell>
          <cell r="MT290">
            <v>104.506405</v>
          </cell>
          <cell r="MU290">
            <v>65.731999999999999</v>
          </cell>
          <cell r="MV290">
            <v>98.908000000000001</v>
          </cell>
          <cell r="MW290">
            <v>145.27500000000001</v>
          </cell>
          <cell r="MX290">
            <v>115.06699999999999</v>
          </cell>
          <cell r="MY290">
            <v>26.059000000000001</v>
          </cell>
          <cell r="MZ290">
            <v>33.503999999999998</v>
          </cell>
          <cell r="NA290">
            <v>36.646000000000001</v>
          </cell>
          <cell r="NB290">
            <v>47.703000000000003</v>
          </cell>
          <cell r="NC290">
            <v>40.351999999999997</v>
          </cell>
          <cell r="ND290">
            <v>30.893999999999998</v>
          </cell>
          <cell r="NE290">
            <v>88.629000000000005</v>
          </cell>
          <cell r="NF290">
            <v>181.196</v>
          </cell>
          <cell r="NG290">
            <v>134.70099999999999</v>
          </cell>
          <cell r="NH290">
            <v>112.968</v>
          </cell>
          <cell r="NI290">
            <v>90.403999999999996</v>
          </cell>
        </row>
      </sheetData>
      <sheetData sheetId="54">
        <row r="290">
          <cell r="CQ290">
            <v>6.3460000000000001</v>
          </cell>
          <cell r="CR290">
            <v>4.3540000000000001</v>
          </cell>
          <cell r="CS290">
            <v>1.641</v>
          </cell>
          <cell r="CT290">
            <v>3.2080000000000002</v>
          </cell>
          <cell r="CU290">
            <v>1.7130000000000001</v>
          </cell>
          <cell r="CV290">
            <v>1.6080000000000001</v>
          </cell>
          <cell r="CW290">
            <v>3.5579999999999998</v>
          </cell>
          <cell r="CX290">
            <v>6.2960000000000003</v>
          </cell>
          <cell r="CY290">
            <v>1</v>
          </cell>
          <cell r="CZ290">
            <v>2.8969999999999998</v>
          </cell>
          <cell r="DA290">
            <v>1.474</v>
          </cell>
          <cell r="DB290">
            <v>2.8889999999999998</v>
          </cell>
          <cell r="DC290">
            <v>1.101</v>
          </cell>
          <cell r="DD290">
            <v>1.93</v>
          </cell>
          <cell r="DE290">
            <v>2.5049999999999999</v>
          </cell>
          <cell r="DF290">
            <v>1.7949999999999999</v>
          </cell>
          <cell r="DG290">
            <v>4.2380000000000004</v>
          </cell>
          <cell r="DH290">
            <v>4.1879999999999997</v>
          </cell>
          <cell r="DI290">
            <v>4.2</v>
          </cell>
          <cell r="DJ290">
            <v>5.2770000000000001</v>
          </cell>
          <cell r="DK290">
            <v>2.5920000000000001</v>
          </cell>
          <cell r="DL290">
            <v>2.4790000000000001</v>
          </cell>
          <cell r="DM290">
            <v>3.6360000000000001</v>
          </cell>
          <cell r="DN290">
            <v>4.4989999999999997</v>
          </cell>
          <cell r="DO290">
            <v>2.895</v>
          </cell>
          <cell r="DP290">
            <v>3.2639999999999998</v>
          </cell>
          <cell r="DQ290">
            <v>2.1480000000000001</v>
          </cell>
          <cell r="DR290">
            <v>5.49</v>
          </cell>
          <cell r="DS290">
            <v>2.036</v>
          </cell>
          <cell r="DT290">
            <v>2.016</v>
          </cell>
          <cell r="DU290">
            <v>0.99099999999999999</v>
          </cell>
          <cell r="DV290">
            <v>1.633</v>
          </cell>
          <cell r="DW290">
            <v>1.6759999999999999</v>
          </cell>
          <cell r="DX290">
            <v>1.103</v>
          </cell>
          <cell r="DY290">
            <v>0.53300000000000003</v>
          </cell>
          <cell r="DZ290">
            <v>0.61399999999999999</v>
          </cell>
          <cell r="EA290">
            <v>0.60599999999999998</v>
          </cell>
          <cell r="EB290">
            <v>1.1559999999999999</v>
          </cell>
          <cell r="EC290">
            <v>1.248</v>
          </cell>
          <cell r="ED290">
            <v>0.755</v>
          </cell>
          <cell r="EE290">
            <v>0.67</v>
          </cell>
          <cell r="EF290">
            <v>1.2829999999999999</v>
          </cell>
          <cell r="EG290">
            <v>1.6930000000000001</v>
          </cell>
          <cell r="EH290">
            <v>0.24</v>
          </cell>
          <cell r="EI290">
            <v>0.29299999999999998</v>
          </cell>
          <cell r="EJ290">
            <v>0.53500000000000003</v>
          </cell>
          <cell r="EK290">
            <v>1.1559999999999999</v>
          </cell>
          <cell r="EL290">
            <v>1.67</v>
          </cell>
          <cell r="EM290">
            <v>1.627</v>
          </cell>
          <cell r="EN290">
            <v>0.56100000000000005</v>
          </cell>
          <cell r="EO290">
            <v>0.878</v>
          </cell>
          <cell r="EP290">
            <v>4.3769999999999998</v>
          </cell>
          <cell r="EQ290">
            <v>5.8529999999999998</v>
          </cell>
          <cell r="ER290">
            <v>5.657</v>
          </cell>
          <cell r="ES290">
            <v>3.4980000000000002</v>
          </cell>
          <cell r="ET290">
            <v>1.4390000000000001</v>
          </cell>
          <cell r="EU290">
            <v>1.091</v>
          </cell>
          <cell r="EV290">
            <v>0.96299999999999997</v>
          </cell>
          <cell r="EW290">
            <v>1.415</v>
          </cell>
          <cell r="EX290">
            <v>1.125</v>
          </cell>
          <cell r="EY290">
            <v>0.89400000000000002</v>
          </cell>
          <cell r="EZ290">
            <v>0.97299999999999998</v>
          </cell>
          <cell r="FA290">
            <v>1.407</v>
          </cell>
          <cell r="FB290">
            <v>1.911</v>
          </cell>
          <cell r="FC290">
            <v>1.4990000000000001</v>
          </cell>
          <cell r="FD290">
            <v>1.0760000000000001</v>
          </cell>
          <cell r="FE290">
            <v>1.423</v>
          </cell>
          <cell r="FF290">
            <v>1.242</v>
          </cell>
          <cell r="FG290">
            <v>1.7529999999999999</v>
          </cell>
          <cell r="FH290">
            <v>2.4319999999999999</v>
          </cell>
          <cell r="FI290">
            <v>1.083</v>
          </cell>
          <cell r="FJ290">
            <v>2.7909999999999999</v>
          </cell>
          <cell r="FK290">
            <v>2.0790000000000002</v>
          </cell>
          <cell r="FL290">
            <v>1.7430000000000001</v>
          </cell>
          <cell r="FM290">
            <v>1.6830000000000001</v>
          </cell>
          <cell r="FN290">
            <v>0.77800000000000002</v>
          </cell>
          <cell r="FO290">
            <v>2.2549999999999999</v>
          </cell>
          <cell r="FP290">
            <v>2.069</v>
          </cell>
          <cell r="FQ290">
            <v>2.262</v>
          </cell>
          <cell r="FR290">
            <v>0.753</v>
          </cell>
          <cell r="FS290">
            <v>1.254</v>
          </cell>
          <cell r="FT290">
            <v>2.077</v>
          </cell>
          <cell r="FU290">
            <v>1.7330000000000001</v>
          </cell>
          <cell r="FV290">
            <v>4.4870000000000001</v>
          </cell>
          <cell r="FW290">
            <v>5.8330000000000002</v>
          </cell>
          <cell r="FX290">
            <v>9.75</v>
          </cell>
          <cell r="FY290">
            <v>15.651999999999999</v>
          </cell>
          <cell r="FZ290">
            <v>14.753</v>
          </cell>
          <cell r="GA290">
            <v>18.855</v>
          </cell>
          <cell r="GB290">
            <v>11.938000000000001</v>
          </cell>
          <cell r="GC290">
            <v>8.843</v>
          </cell>
          <cell r="GD290">
            <v>3.3340000000000001</v>
          </cell>
          <cell r="GE290">
            <v>3.2879999999999998</v>
          </cell>
          <cell r="GF290">
            <v>0.82</v>
          </cell>
          <cell r="GG290">
            <v>4.1639999999999997</v>
          </cell>
          <cell r="GH290">
            <v>1.946</v>
          </cell>
          <cell r="GI290">
            <v>0.88900000000000001</v>
          </cell>
          <cell r="GJ290">
            <v>3.149</v>
          </cell>
          <cell r="GK290">
            <v>5.5910000000000002</v>
          </cell>
          <cell r="GL290">
            <v>2.5009999999999999</v>
          </cell>
          <cell r="GM290">
            <v>5.3120000000000003</v>
          </cell>
          <cell r="GN290">
            <v>0.71299999999999997</v>
          </cell>
          <cell r="GO290">
            <v>1.754</v>
          </cell>
          <cell r="GP290">
            <v>3.8929999999999998</v>
          </cell>
          <cell r="GQ290">
            <v>2.4550000000000001</v>
          </cell>
          <cell r="GR290">
            <v>1.9179999999999999</v>
          </cell>
          <cell r="GS290">
            <v>1.915</v>
          </cell>
          <cell r="GT290">
            <v>2.7679999999999998</v>
          </cell>
          <cell r="GU290">
            <v>5.008</v>
          </cell>
          <cell r="GV290">
            <v>8.7390000000000008</v>
          </cell>
          <cell r="GW290">
            <v>5.0060000000000002</v>
          </cell>
          <cell r="GX290">
            <v>5.9569999999999999</v>
          </cell>
          <cell r="GY290">
            <v>2.3490000000000002</v>
          </cell>
          <cell r="GZ290">
            <v>3.5089999999999999</v>
          </cell>
          <cell r="HA290">
            <v>6.19</v>
          </cell>
          <cell r="HB290">
            <v>7.7069999999999999</v>
          </cell>
          <cell r="HC290">
            <v>7.2130000000000001</v>
          </cell>
          <cell r="HD290">
            <v>13.048</v>
          </cell>
          <cell r="HE290">
            <v>20.282</v>
          </cell>
          <cell r="HF290">
            <v>13.784000000000001</v>
          </cell>
          <cell r="HG290">
            <v>15.805999999999999</v>
          </cell>
          <cell r="HH290">
            <v>13.523999999999999</v>
          </cell>
          <cell r="HI290">
            <v>11.951000000000001</v>
          </cell>
          <cell r="HJ290">
            <v>12.664999999999999</v>
          </cell>
          <cell r="HK290">
            <v>6.7910000000000004</v>
          </cell>
          <cell r="HL290">
            <v>5.1820000000000004</v>
          </cell>
          <cell r="HM290">
            <v>4.8630000000000004</v>
          </cell>
          <cell r="HN290">
            <v>6.2039999999999997</v>
          </cell>
          <cell r="HO290">
            <v>7.2729999999999997</v>
          </cell>
          <cell r="HP290">
            <v>7.4210000000000003</v>
          </cell>
          <cell r="HQ290">
            <v>4.34</v>
          </cell>
          <cell r="HR290">
            <v>5.6420000000000003</v>
          </cell>
          <cell r="HS290">
            <v>5.2830000000000004</v>
          </cell>
          <cell r="HT290">
            <v>4.0110000000000001</v>
          </cell>
          <cell r="HU290">
            <v>4.8259999999999996</v>
          </cell>
          <cell r="HV290">
            <v>4.6630000000000003</v>
          </cell>
          <cell r="HW290">
            <v>4.7409999999999997</v>
          </cell>
          <cell r="HX290">
            <v>4.3330000000000002</v>
          </cell>
          <cell r="HY290">
            <v>6.0259999999999998</v>
          </cell>
          <cell r="HZ290">
            <v>9.1189999999999998</v>
          </cell>
          <cell r="IA290">
            <v>9.6010000000000009</v>
          </cell>
          <cell r="IB290">
            <v>7.2530000000000001</v>
          </cell>
          <cell r="IC290">
            <v>4.5529999999999999</v>
          </cell>
          <cell r="ID290">
            <v>11.335000000000001</v>
          </cell>
          <cell r="IE290">
            <v>9.6980000000000004</v>
          </cell>
          <cell r="IF290">
            <v>8.1820000000000004</v>
          </cell>
          <cell r="IG290">
            <v>17.067</v>
          </cell>
          <cell r="IH290">
            <v>18.986999999999998</v>
          </cell>
          <cell r="II290">
            <v>19.047000000000001</v>
          </cell>
          <cell r="IJ290">
            <v>21.651</v>
          </cell>
          <cell r="IK290">
            <v>12.759</v>
          </cell>
          <cell r="IL290">
            <v>16.989000000000001</v>
          </cell>
          <cell r="IM290">
            <v>13.335000000000001</v>
          </cell>
          <cell r="IN290">
            <v>22.756</v>
          </cell>
          <cell r="IO290">
            <v>17.893999999999998</v>
          </cell>
          <cell r="IP290">
            <v>26.725999999999999</v>
          </cell>
          <cell r="IQ290">
            <v>27.030999999999999</v>
          </cell>
          <cell r="IR290">
            <v>26.494</v>
          </cell>
          <cell r="IS290">
            <v>25.614000000000001</v>
          </cell>
          <cell r="IT290">
            <v>30.417999999999999</v>
          </cell>
          <cell r="IU290">
            <v>21.911000000000001</v>
          </cell>
          <cell r="IV290">
            <v>18.763000000000002</v>
          </cell>
          <cell r="IW290">
            <v>21.209</v>
          </cell>
          <cell r="IX290">
            <v>18.824999999999999</v>
          </cell>
          <cell r="IY290">
            <v>21.257000000000001</v>
          </cell>
          <cell r="IZ290">
            <v>17.12</v>
          </cell>
          <cell r="JA290">
            <v>21.992999999999999</v>
          </cell>
          <cell r="JB290">
            <v>20.396999999999998</v>
          </cell>
          <cell r="JC290">
            <v>26.724</v>
          </cell>
          <cell r="JD290">
            <v>18.187999999999999</v>
          </cell>
          <cell r="JE290">
            <v>17.478999999999999</v>
          </cell>
          <cell r="JF290">
            <v>22.757999999999999</v>
          </cell>
          <cell r="JG290">
            <v>35.322000000000003</v>
          </cell>
          <cell r="JH290">
            <v>33.17</v>
          </cell>
          <cell r="JI290">
            <v>24.004999999999999</v>
          </cell>
          <cell r="JJ290">
            <v>30.117000000000001</v>
          </cell>
          <cell r="JK290">
            <v>24.913</v>
          </cell>
          <cell r="JL290">
            <v>23.689</v>
          </cell>
          <cell r="JM290">
            <v>40.271999999999998</v>
          </cell>
          <cell r="JN290">
            <v>49.033000000000001</v>
          </cell>
          <cell r="JO290">
            <v>46.143999999999998</v>
          </cell>
          <cell r="JP290">
            <v>34.841000000000001</v>
          </cell>
          <cell r="JQ290">
            <v>59.462000000000003</v>
          </cell>
          <cell r="JR290">
            <v>68.680999999999997</v>
          </cell>
          <cell r="JS290">
            <v>60.485999999999997</v>
          </cell>
          <cell r="JT290">
            <v>65.491</v>
          </cell>
          <cell r="JU290">
            <v>56.234000000000002</v>
          </cell>
          <cell r="JV290">
            <v>54.847000000000001</v>
          </cell>
          <cell r="JW290">
            <v>45.465000000000003</v>
          </cell>
          <cell r="JX290">
            <v>50.741999999999997</v>
          </cell>
          <cell r="JY290">
            <v>57.924999999999997</v>
          </cell>
          <cell r="JZ290">
            <v>63.759</v>
          </cell>
          <cell r="KA290">
            <v>80.664000000000001</v>
          </cell>
          <cell r="KB290">
            <v>61.86</v>
          </cell>
          <cell r="KC290">
            <v>53.643999999999998</v>
          </cell>
          <cell r="KD290">
            <v>37.468000000000004</v>
          </cell>
          <cell r="KE290">
            <v>49.521999999999998</v>
          </cell>
          <cell r="KF290">
            <v>57.136000000000003</v>
          </cell>
          <cell r="KG290">
            <v>35.274000000000001</v>
          </cell>
          <cell r="KH290">
            <v>37.984999999999999</v>
          </cell>
          <cell r="KI290">
            <v>34.009</v>
          </cell>
          <cell r="KJ290">
            <v>46.731000000000002</v>
          </cell>
          <cell r="KK290">
            <v>68.031000000000006</v>
          </cell>
          <cell r="KL290">
            <v>55.600999999999999</v>
          </cell>
          <cell r="KM290">
            <v>47.497999999999998</v>
          </cell>
          <cell r="KN290">
            <v>54.781999999999996</v>
          </cell>
          <cell r="KO290">
            <v>47.06</v>
          </cell>
          <cell r="KP290">
            <v>40.162999999999997</v>
          </cell>
          <cell r="KQ290">
            <v>43.686</v>
          </cell>
          <cell r="KR290">
            <v>52.459000000000003</v>
          </cell>
          <cell r="KS290">
            <v>43.783999999999999</v>
          </cell>
          <cell r="KT290">
            <v>49.191000000000003</v>
          </cell>
          <cell r="KU290">
            <v>40.301000000000002</v>
          </cell>
          <cell r="KV290">
            <v>63.439</v>
          </cell>
          <cell r="KW290">
            <v>66.076999999999998</v>
          </cell>
          <cell r="KX290">
            <v>51.771999999999998</v>
          </cell>
          <cell r="KY290">
            <v>46.962000000000003</v>
          </cell>
          <cell r="KZ290">
            <v>59.256999999999998</v>
          </cell>
          <cell r="LA290">
            <v>70.41</v>
          </cell>
          <cell r="LB290">
            <v>48.95</v>
          </cell>
          <cell r="LC290">
            <v>58.223999999999997</v>
          </cell>
          <cell r="LD290">
            <v>54.886000000000003</v>
          </cell>
          <cell r="LE290">
            <v>37.669716999999999</v>
          </cell>
          <cell r="LF290">
            <v>43.168491000000003</v>
          </cell>
          <cell r="LG290">
            <v>33.241168999999999</v>
          </cell>
          <cell r="LH290">
            <v>35.001835</v>
          </cell>
          <cell r="LI290">
            <v>28.337185000000002</v>
          </cell>
          <cell r="LJ290">
            <v>31.861011999999999</v>
          </cell>
          <cell r="LK290">
            <v>30.365527</v>
          </cell>
          <cell r="LL290">
            <v>28.781715999999999</v>
          </cell>
          <cell r="LM290">
            <v>37.043411999999996</v>
          </cell>
          <cell r="LN290">
            <v>44.183618000000003</v>
          </cell>
          <cell r="LO290">
            <v>48.418480000000002</v>
          </cell>
          <cell r="LP290">
            <v>29.885332999999999</v>
          </cell>
          <cell r="LQ290">
            <v>35.314058000000003</v>
          </cell>
          <cell r="LR290">
            <v>35.834322999999998</v>
          </cell>
          <cell r="LS290">
            <v>36.562350000000002</v>
          </cell>
          <cell r="LT290">
            <v>45.613813999999998</v>
          </cell>
          <cell r="LU290">
            <v>45.160369000000003</v>
          </cell>
          <cell r="LV290">
            <v>33.516067999999997</v>
          </cell>
          <cell r="LW290">
            <v>34.787987999999999</v>
          </cell>
          <cell r="LX290">
            <v>42.551988999999999</v>
          </cell>
          <cell r="LY290">
            <v>41.237622000000002</v>
          </cell>
          <cell r="LZ290">
            <v>41.614108000000002</v>
          </cell>
          <cell r="MA290">
            <v>49.583035000000002</v>
          </cell>
          <cell r="MB290">
            <v>31.715620999999999</v>
          </cell>
          <cell r="MC290">
            <v>54.952812000000002</v>
          </cell>
          <cell r="MD290">
            <v>39.124420999999998</v>
          </cell>
          <cell r="ME290">
            <v>51.760117999999999</v>
          </cell>
          <cell r="MF290">
            <v>60.384521999999997</v>
          </cell>
          <cell r="MG290">
            <v>48.131816999999998</v>
          </cell>
          <cell r="MH290">
            <v>48.832450000000001</v>
          </cell>
          <cell r="MI290">
            <v>51.988177999999998</v>
          </cell>
          <cell r="MJ290">
            <v>60.309288000000002</v>
          </cell>
          <cell r="MK290">
            <v>58.997957</v>
          </cell>
          <cell r="ML290">
            <v>69.199663999999999</v>
          </cell>
          <cell r="MM290">
            <v>62.843420000000002</v>
          </cell>
          <cell r="MN290">
            <v>73.990412000000006</v>
          </cell>
          <cell r="MO290">
            <v>70.745649999999998</v>
          </cell>
          <cell r="MP290">
            <v>57.538725999999997</v>
          </cell>
          <cell r="MQ290">
            <v>60.020560000000003</v>
          </cell>
          <cell r="MR290">
            <v>43.706024999999997</v>
          </cell>
          <cell r="MS290">
            <v>47.191071000000001</v>
          </cell>
          <cell r="MT290">
            <v>84.089320999999998</v>
          </cell>
          <cell r="MU290">
            <v>33.238</v>
          </cell>
          <cell r="MV290">
            <v>66.631</v>
          </cell>
          <cell r="MW290">
            <v>67.561000000000007</v>
          </cell>
          <cell r="MX290">
            <v>53.146000000000001</v>
          </cell>
          <cell r="MY290">
            <v>46.369</v>
          </cell>
          <cell r="MZ290">
            <v>63.957999999999998</v>
          </cell>
          <cell r="NA290">
            <v>29.05</v>
          </cell>
          <cell r="NB290">
            <v>44.088000000000001</v>
          </cell>
          <cell r="NC290">
            <v>50.430999999999997</v>
          </cell>
          <cell r="ND290">
            <v>45.737000000000002</v>
          </cell>
          <cell r="NE290">
            <v>55.865000000000002</v>
          </cell>
          <cell r="NF290">
            <v>67.016999999999996</v>
          </cell>
          <cell r="NG290">
            <v>58.649000000000001</v>
          </cell>
          <cell r="NH290">
            <v>80.183000000000007</v>
          </cell>
          <cell r="NI290">
            <v>28.195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2PZR4BQIYFARBIAU7JCAXY2HGS">
      <xxl21:absoluteUrl r:id="rId2"/>
    </xxl21:alternateUrls>
    <sheetNames>
      <sheetName val="Sunflower Imports"/>
      <sheetName val="Sunflower Exports"/>
      <sheetName val="Sunflower Meal Imports"/>
      <sheetName val="Sunflower Meal Exports"/>
      <sheetName val="Sunflower Oil Imports"/>
      <sheetName val="Sunflower Oil Exports"/>
      <sheetName val="Canola Imports"/>
      <sheetName val="Canola Exports"/>
      <sheetName val="Canola Meal Imports"/>
      <sheetName val="Canola Oil Imports"/>
      <sheetName val="Canola Meal Exports"/>
      <sheetName val="Canola Oil Exports"/>
      <sheetName val="Cottonseed Imports"/>
      <sheetName val="Cottonseed Exports"/>
      <sheetName val="Cottonseed Meal Imports"/>
      <sheetName val="Cottonseed Meal Exports"/>
      <sheetName val="Cottonseed Oil Imports"/>
      <sheetName val="Cottonseed Oil Exports"/>
      <sheetName val="Peanut Imports"/>
      <sheetName val="Peanut Exports"/>
      <sheetName val="Peanut Meal Imports"/>
      <sheetName val="Peanut Meal Exports"/>
      <sheetName val="Peanut Oil Imports"/>
      <sheetName val="Peanut Oil Exports"/>
      <sheetName val="Flaxseed Imports"/>
      <sheetName val="Flaxseed Exports"/>
      <sheetName val="Linseed Meal Imports"/>
      <sheetName val="Linseed Meal Exports"/>
      <sheetName val="Linseed Oil Imports"/>
      <sheetName val="Linseed Oil Exports"/>
      <sheetName val="Palm Oil Imports"/>
      <sheetName val="Palm Oil Exports"/>
      <sheetName val="Palm Kernel Oil Imports"/>
      <sheetName val="Palm Kernel Oil Exports"/>
      <sheetName val="Coconut Oil Imports"/>
      <sheetName val="Coconut Oil Exports"/>
      <sheetName val="Meat and Bone Meal Imports"/>
      <sheetName val="Meat and Bone Meal Exports"/>
      <sheetName val="Edible Tallow Imports"/>
      <sheetName val="Edible Tallow Exports"/>
      <sheetName val="UCO Imports"/>
      <sheetName val="UCO Exports"/>
      <sheetName val="Yellow Grease Imports"/>
      <sheetName val="Yellow Grease Exports"/>
      <sheetName val="Inedible Tallow Imports"/>
      <sheetName val="Inedible Tallow Exports"/>
      <sheetName val="DCO Imports"/>
      <sheetName val="DCO Exports"/>
      <sheetName val="CWG Imports"/>
      <sheetName val="CWG Exports"/>
      <sheetName val="Lard Imports"/>
      <sheetName val="Lard Exports"/>
      <sheetName val="Other Grease Imports"/>
      <sheetName val="Other Grease Exports"/>
      <sheetName val="Feather Meal Imports"/>
      <sheetName val="Feather Meal Exports"/>
      <sheetName val="Poultry By-Product Imports"/>
      <sheetName val="Poultry By-Product Exports"/>
      <sheetName val="Poultry Fat Imports"/>
      <sheetName val="Poultry Fat Exports"/>
      <sheetName val="Seed Template"/>
      <sheetName val="Products Template"/>
    </sheetNames>
    <sheetDataSet>
      <sheetData sheetId="0">
        <row r="293">
          <cell r="AE293">
            <v>1193.5823507999999</v>
          </cell>
        </row>
      </sheetData>
      <sheetData sheetId="1">
        <row r="4">
          <cell r="B4">
            <v>148.14574823160001</v>
          </cell>
          <cell r="C4">
            <v>544.52333563740001</v>
          </cell>
          <cell r="D4">
            <v>419.49128537820002</v>
          </cell>
          <cell r="E4">
            <v>241.69557586859997</v>
          </cell>
          <cell r="F4">
            <v>244.74324532139997</v>
          </cell>
          <cell r="G4">
            <v>441.41250331079999</v>
          </cell>
          <cell r="H4">
            <v>327.81604782779999</v>
          </cell>
          <cell r="I4">
            <v>280.81306586339991</v>
          </cell>
          <cell r="J4">
            <v>370.97857826820018</v>
          </cell>
          <cell r="K4">
            <v>246.02920133399999</v>
          </cell>
          <cell r="L4">
            <v>255.52406736360007</v>
          </cell>
          <cell r="M4">
            <v>181.75476969720003</v>
          </cell>
          <cell r="N4">
            <v>211.33021475160001</v>
          </cell>
          <cell r="O4">
            <v>223.46489516400001</v>
          </cell>
          <cell r="P4">
            <v>257.77719104760007</v>
          </cell>
          <cell r="Q4">
            <v>207.7906941306</v>
          </cell>
          <cell r="R4">
            <v>186.60934734119999</v>
          </cell>
          <cell r="S4">
            <v>180.30192379919998</v>
          </cell>
          <cell r="T4">
            <v>71.072824498199992</v>
          </cell>
          <cell r="U4">
            <v>87.654007022400009</v>
          </cell>
          <cell r="V4">
            <v>85.964164259399993</v>
          </cell>
          <cell r="W4">
            <v>83.4766892568</v>
          </cell>
          <cell r="X4">
            <v>60.747036436800002</v>
          </cell>
          <cell r="Y4">
            <v>54.098454545100005</v>
          </cell>
          <cell r="Z4">
            <v>81.692723208800004</v>
          </cell>
          <cell r="AA4">
            <v>91.146645240639998</v>
          </cell>
          <cell r="AB4">
            <v>62.568052563499997</v>
          </cell>
          <cell r="AC4">
            <v>59.928515811619995</v>
          </cell>
        </row>
        <row r="37">
          <cell r="B37">
            <v>1.9021478616000003</v>
          </cell>
          <cell r="C37">
            <v>2.6274684996</v>
          </cell>
          <cell r="D37">
            <v>3.6078639030000001</v>
          </cell>
          <cell r="E37">
            <v>3.3314043041999999</v>
          </cell>
          <cell r="F37">
            <v>4.8823558812000005</v>
          </cell>
          <cell r="G37">
            <v>5.4601873074</v>
          </cell>
          <cell r="H37">
            <v>4.2386062572000007</v>
          </cell>
          <cell r="I37">
            <v>4.2017890698000002</v>
          </cell>
          <cell r="J37">
            <v>5.6746970279999998</v>
          </cell>
          <cell r="K37">
            <v>3.7524871061999998</v>
          </cell>
          <cell r="L37">
            <v>9.8409916836000004</v>
          </cell>
          <cell r="M37">
            <v>4.9365895824000008</v>
          </cell>
          <cell r="N37">
            <v>6.8325645024000004</v>
          </cell>
          <cell r="O37">
            <v>6.8735704716000008</v>
          </cell>
          <cell r="P37">
            <v>13.365300412800003</v>
          </cell>
          <cell r="Q37">
            <v>8.9229870828000006</v>
          </cell>
          <cell r="R37">
            <v>3.0079862568000006</v>
          </cell>
          <cell r="S37">
            <v>4.3426644155999998</v>
          </cell>
          <cell r="T37">
            <v>0.38117914380000001</v>
          </cell>
          <cell r="U37">
            <v>1.0802647800000001E-2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0.56662000000000001</v>
          </cell>
          <cell r="AD37"/>
        </row>
        <row r="59">
          <cell r="B59">
            <v>0.33664577940000001</v>
          </cell>
          <cell r="C59">
            <v>2.3704095744</v>
          </cell>
          <cell r="D59">
            <v>0</v>
          </cell>
          <cell r="E59">
            <v>6.0741745344000009</v>
          </cell>
          <cell r="F59">
            <v>7.2091139400000004E-2</v>
          </cell>
          <cell r="G59">
            <v>0</v>
          </cell>
          <cell r="H59">
            <v>7.9807316400000008E-2</v>
          </cell>
          <cell r="I59">
            <v>0.55600566839999999</v>
          </cell>
          <cell r="J59">
            <v>0</v>
          </cell>
          <cell r="K59">
            <v>4.7840297399999995E-2</v>
          </cell>
          <cell r="L59">
            <v>0.1166245038</v>
          </cell>
          <cell r="M59">
            <v>0.91249304580000001</v>
          </cell>
          <cell r="N59">
            <v>1.5443377110000001</v>
          </cell>
          <cell r="O59">
            <v>2.8263254040000003</v>
          </cell>
          <cell r="P59">
            <v>5.2586848566000004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0.43938116459999998</v>
          </cell>
          <cell r="V59">
            <v>0.92924817299999996</v>
          </cell>
          <cell r="W59">
            <v>0</v>
          </cell>
          <cell r="X59">
            <v>0</v>
          </cell>
          <cell r="Y59">
            <v>0</v>
          </cell>
          <cell r="Z59">
            <v>10.5272478927</v>
          </cell>
          <cell r="AA59">
            <v>16.418623054019999</v>
          </cell>
          <cell r="AB59">
            <v>13.418002956819999</v>
          </cell>
          <cell r="AC59">
            <v>13.816197931319998</v>
          </cell>
        </row>
        <row r="74">
          <cell r="B74">
            <v>11.9717588466</v>
          </cell>
          <cell r="C74">
            <v>31.600831285799998</v>
          </cell>
          <cell r="D74">
            <v>24.033025346399999</v>
          </cell>
          <cell r="E74">
            <v>29.559130851600003</v>
          </cell>
          <cell r="F74">
            <v>79.306867206000021</v>
          </cell>
          <cell r="G74">
            <v>69.456616110000013</v>
          </cell>
          <cell r="H74">
            <v>67.357154579400003</v>
          </cell>
          <cell r="I74">
            <v>62.547771686400004</v>
          </cell>
          <cell r="J74">
            <v>58.1784313446</v>
          </cell>
          <cell r="K74">
            <v>50.488048421999999</v>
          </cell>
          <cell r="L74">
            <v>47.872484881199995</v>
          </cell>
          <cell r="M74">
            <v>28.033532427600008</v>
          </cell>
          <cell r="N74">
            <v>77.886429251400003</v>
          </cell>
          <cell r="O74">
            <v>108.03507602580001</v>
          </cell>
          <cell r="P74">
            <v>86.458660973999997</v>
          </cell>
          <cell r="Q74">
            <v>90.941980273200002</v>
          </cell>
          <cell r="R74">
            <v>102.3841889154</v>
          </cell>
          <cell r="S74">
            <v>57.166950770999989</v>
          </cell>
          <cell r="T74">
            <v>46.168312075200006</v>
          </cell>
          <cell r="U74">
            <v>102.0301266222</v>
          </cell>
          <cell r="V74">
            <v>73.451391174000008</v>
          </cell>
          <cell r="W74">
            <v>65.979706753799988</v>
          </cell>
          <cell r="X74">
            <v>57.5390909646</v>
          </cell>
          <cell r="Y74">
            <v>33.032059165699998</v>
          </cell>
          <cell r="Z74">
            <v>19.556474132359998</v>
          </cell>
          <cell r="AA74">
            <v>15.250015721380002</v>
          </cell>
          <cell r="AB74">
            <v>10.431569589319999</v>
          </cell>
          <cell r="AC74">
            <v>10.944469771019998</v>
          </cell>
        </row>
        <row r="88">
          <cell r="B88">
            <v>0</v>
          </cell>
          <cell r="C88">
            <v>0</v>
          </cell>
          <cell r="D88">
            <v>0.17196051600000001</v>
          </cell>
          <cell r="E88">
            <v>1.378991061</v>
          </cell>
          <cell r="F88">
            <v>16.903277798400001</v>
          </cell>
          <cell r="G88">
            <v>20.453380605000003</v>
          </cell>
          <cell r="H88">
            <v>17.517926411999998</v>
          </cell>
          <cell r="I88">
            <v>11.104681014000001</v>
          </cell>
          <cell r="J88">
            <v>7.3076605434000008</v>
          </cell>
          <cell r="K88">
            <v>5.8043288016000005</v>
          </cell>
          <cell r="L88">
            <v>6.558529987800001</v>
          </cell>
          <cell r="M88">
            <v>9.7991038655999994</v>
          </cell>
          <cell r="N88">
            <v>14.688955461599999</v>
          </cell>
          <cell r="O88">
            <v>11.5306139844</v>
          </cell>
          <cell r="P88">
            <v>9.8323936578000009</v>
          </cell>
          <cell r="Q88">
            <v>11.7255025692</v>
          </cell>
          <cell r="R88">
            <v>22.615673862600001</v>
          </cell>
          <cell r="S88">
            <v>0.45657721619999997</v>
          </cell>
          <cell r="T88">
            <v>0.13117500899999998</v>
          </cell>
          <cell r="U88">
            <v>3.5368750745999997</v>
          </cell>
          <cell r="V88">
            <v>4.0668662034</v>
          </cell>
          <cell r="W88">
            <v>2.3327105382000002</v>
          </cell>
          <cell r="X88">
            <v>0.25022459699999999</v>
          </cell>
          <cell r="Y88">
            <v>0.20151332790000001</v>
          </cell>
          <cell r="Z88">
            <v>1.9032153767</v>
          </cell>
          <cell r="AA88">
            <v>0</v>
          </cell>
          <cell r="AB88">
            <v>1.2786796E-3</v>
          </cell>
          <cell r="AC88">
            <v>8.6665791000000002E-3</v>
          </cell>
          <cell r="AD88"/>
        </row>
        <row r="103">
          <cell r="B103">
            <v>0</v>
          </cell>
          <cell r="C103">
            <v>0</v>
          </cell>
          <cell r="D103">
            <v>0</v>
          </cell>
          <cell r="E103">
            <v>0.21054140100000002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8.9287191000000002E-2</v>
          </cell>
          <cell r="L103">
            <v>0</v>
          </cell>
          <cell r="M103">
            <v>0</v>
          </cell>
          <cell r="N103">
            <v>2.7959016204</v>
          </cell>
          <cell r="O103">
            <v>2.6693563175999997</v>
          </cell>
          <cell r="P103">
            <v>0</v>
          </cell>
          <cell r="Q103">
            <v>3.9683195999999999E-3</v>
          </cell>
          <cell r="R103">
            <v>5.6879247600000009E-2</v>
          </cell>
          <cell r="S103">
            <v>0.48832377300000002</v>
          </cell>
          <cell r="T103">
            <v>0</v>
          </cell>
          <cell r="U103">
            <v>5.3395944839999991</v>
          </cell>
          <cell r="V103">
            <v>2.4592558410000001</v>
          </cell>
          <cell r="W103">
            <v>5.5757095001999994</v>
          </cell>
          <cell r="X103">
            <v>2.2231408247999997</v>
          </cell>
          <cell r="Y103">
            <v>0</v>
          </cell>
          <cell r="Z103">
            <v>3.1221828439999998E-2</v>
          </cell>
          <cell r="AA103">
            <v>0.74799670132000007</v>
          </cell>
          <cell r="AB103">
            <v>6.1694086079999995E-2</v>
          </cell>
          <cell r="AC103">
            <v>0</v>
          </cell>
          <cell r="AD103"/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/>
        </row>
        <row r="107">
          <cell r="B107">
            <v>0</v>
          </cell>
          <cell r="C107">
            <v>3.9063697218</v>
          </cell>
          <cell r="D107">
            <v>1.5972486389999998</v>
          </cell>
          <cell r="E107">
            <v>1.8278521001999999</v>
          </cell>
          <cell r="F107">
            <v>2.1034298502</v>
          </cell>
          <cell r="G107">
            <v>4.9612813488</v>
          </cell>
          <cell r="H107">
            <v>3.5573780591999999</v>
          </cell>
          <cell r="I107">
            <v>4.3283343726000005</v>
          </cell>
          <cell r="J107">
            <v>5.3027772966000013</v>
          </cell>
          <cell r="K107">
            <v>7.8405176808000006</v>
          </cell>
          <cell r="L107">
            <v>4.6332335951999992</v>
          </cell>
          <cell r="M107">
            <v>4.1718062106000007</v>
          </cell>
          <cell r="N107">
            <v>3.6076434408</v>
          </cell>
          <cell r="O107">
            <v>6.9981316146000001</v>
          </cell>
          <cell r="P107">
            <v>10.969317223199999</v>
          </cell>
          <cell r="Q107">
            <v>7.6745096442000014</v>
          </cell>
          <cell r="R107">
            <v>11.581099828199998</v>
          </cell>
          <cell r="S107">
            <v>9.1253713824000009</v>
          </cell>
          <cell r="T107">
            <v>6.021704530800001</v>
          </cell>
          <cell r="U107">
            <v>9.5069914506000011</v>
          </cell>
          <cell r="V107">
            <v>11.0001819312</v>
          </cell>
          <cell r="W107">
            <v>6.3731212776000001</v>
          </cell>
          <cell r="X107">
            <v>3.1058714736000002</v>
          </cell>
          <cell r="Y107">
            <v>7.0945131231600005</v>
          </cell>
          <cell r="Z107">
            <v>6.7323693480999998</v>
          </cell>
          <cell r="AA107">
            <v>5.8646419392000011</v>
          </cell>
          <cell r="AB107">
            <v>6.5102230184200005</v>
          </cell>
          <cell r="AC107">
            <v>4.3209253793999993</v>
          </cell>
        </row>
        <row r="108">
          <cell r="B108">
            <v>1.4506412760000003</v>
          </cell>
          <cell r="C108">
            <v>0.62787634560000005</v>
          </cell>
          <cell r="D108">
            <v>1.4413818635999998</v>
          </cell>
          <cell r="E108">
            <v>2.6609787540000007</v>
          </cell>
          <cell r="F108">
            <v>3.6144777689999996</v>
          </cell>
          <cell r="G108">
            <v>2.5368585353999995</v>
          </cell>
          <cell r="H108">
            <v>7.5197451797999992</v>
          </cell>
          <cell r="I108">
            <v>6.5155398588000004</v>
          </cell>
          <cell r="J108">
            <v>5.6065742081999996</v>
          </cell>
          <cell r="K108">
            <v>4.5909048528000005</v>
          </cell>
          <cell r="L108">
            <v>4.4850829968000001</v>
          </cell>
          <cell r="M108">
            <v>1.0937129742</v>
          </cell>
          <cell r="N108">
            <v>3.1166741214</v>
          </cell>
          <cell r="O108">
            <v>3.0589130250000007</v>
          </cell>
          <cell r="P108">
            <v>3.4919007858000004</v>
          </cell>
          <cell r="Q108">
            <v>1.8812039526000002</v>
          </cell>
          <cell r="R108">
            <v>1.6254678005999998</v>
          </cell>
          <cell r="S108">
            <v>1.9577043359999999</v>
          </cell>
          <cell r="T108">
            <v>2.3803303733999996</v>
          </cell>
          <cell r="U108">
            <v>1.754879112</v>
          </cell>
          <cell r="V108">
            <v>2.6426803914000003</v>
          </cell>
          <cell r="W108">
            <v>3.2482900548000004</v>
          </cell>
          <cell r="X108">
            <v>2.5866829926000001</v>
          </cell>
          <cell r="Y108">
            <v>3.1323885463600001</v>
          </cell>
          <cell r="Z108">
            <v>1.4213692202600001</v>
          </cell>
          <cell r="AA108">
            <v>1.3566327585800002</v>
          </cell>
          <cell r="AB108">
            <v>1.0116339794</v>
          </cell>
          <cell r="AC108">
            <v>2.0974977809199995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9.8326141200000008E-2</v>
          </cell>
          <cell r="F109">
            <v>0</v>
          </cell>
          <cell r="G109">
            <v>0</v>
          </cell>
          <cell r="H109">
            <v>1.4795218242000003</v>
          </cell>
          <cell r="I109">
            <v>12.611540150999998</v>
          </cell>
          <cell r="J109">
            <v>10.0272822426</v>
          </cell>
          <cell r="K109">
            <v>5.6127471498000006</v>
          </cell>
          <cell r="L109">
            <v>3.3150901013999996</v>
          </cell>
          <cell r="M109">
            <v>0.63603344699999997</v>
          </cell>
          <cell r="N109">
            <v>8.1892888811999995</v>
          </cell>
          <cell r="O109">
            <v>9.7005572622000003</v>
          </cell>
          <cell r="P109">
            <v>4.0893533477999995</v>
          </cell>
          <cell r="Q109">
            <v>7.4469926537999998</v>
          </cell>
          <cell r="R109">
            <v>5.6982864834000004</v>
          </cell>
          <cell r="S109">
            <v>8.6866516043999997</v>
          </cell>
          <cell r="T109">
            <v>9.5634297738000011</v>
          </cell>
          <cell r="U109">
            <v>13.9647371346</v>
          </cell>
          <cell r="V109">
            <v>8.5775228154000001</v>
          </cell>
          <cell r="W109">
            <v>9.2270044565999996</v>
          </cell>
          <cell r="X109">
            <v>6.6623676839999986</v>
          </cell>
          <cell r="Y109">
            <v>4.5135686400199999</v>
          </cell>
          <cell r="Z109">
            <v>1.7437618259599998</v>
          </cell>
          <cell r="AA109">
            <v>0.44424195309999998</v>
          </cell>
          <cell r="AB109">
            <v>0</v>
          </cell>
          <cell r="AC109">
            <v>4.3999999999999997E-2</v>
          </cell>
          <cell r="AD109"/>
        </row>
        <row r="112">
          <cell r="B112">
            <v>1.9378627379999998</v>
          </cell>
          <cell r="C112">
            <v>1.9579247981999999</v>
          </cell>
          <cell r="D112">
            <v>3.8739617784</v>
          </cell>
          <cell r="E112">
            <v>3.1506253002000002</v>
          </cell>
          <cell r="F112">
            <v>1.5580063673999998</v>
          </cell>
          <cell r="G112">
            <v>1.3994940456</v>
          </cell>
          <cell r="H112">
            <v>1.7326124298000003</v>
          </cell>
          <cell r="I112">
            <v>2.2769336016000001</v>
          </cell>
          <cell r="J112">
            <v>3.0714793704000005</v>
          </cell>
          <cell r="K112">
            <v>2.4921047088000003</v>
          </cell>
          <cell r="L112">
            <v>2.0877770340000001</v>
          </cell>
          <cell r="M112">
            <v>1.6439866254</v>
          </cell>
          <cell r="N112">
            <v>2.4458076468000005</v>
          </cell>
          <cell r="O112">
            <v>3.3633713232</v>
          </cell>
          <cell r="P112">
            <v>5.6204633267999995</v>
          </cell>
          <cell r="Q112">
            <v>4.4167397147999994</v>
          </cell>
          <cell r="R112">
            <v>4.1599012518</v>
          </cell>
          <cell r="S112">
            <v>4.9559902559999998</v>
          </cell>
          <cell r="T112">
            <v>3.1537117709999998</v>
          </cell>
          <cell r="U112">
            <v>6.0633718866000006</v>
          </cell>
          <cell r="V112">
            <v>6.1696346670000004</v>
          </cell>
          <cell r="W112">
            <v>12.331994081400001</v>
          </cell>
          <cell r="X112">
            <v>8.2236809844000014</v>
          </cell>
          <cell r="Y112">
            <v>6.8533097343999989</v>
          </cell>
          <cell r="Z112">
            <v>3.6622133314799994</v>
          </cell>
          <cell r="AA112">
            <v>2.8008793205800004</v>
          </cell>
          <cell r="AB112">
            <v>2.3133276075799998</v>
          </cell>
          <cell r="AC112">
            <v>3.7480066352200003</v>
          </cell>
          <cell r="AD112"/>
        </row>
        <row r="117">
          <cell r="B117">
            <v>0</v>
          </cell>
          <cell r="C117">
            <v>2.6455464000000001E-3</v>
          </cell>
          <cell r="D117">
            <v>4.4092440000000005E-3</v>
          </cell>
          <cell r="E117">
            <v>0.14043442139999998</v>
          </cell>
          <cell r="F117">
            <v>0.20392753500000002</v>
          </cell>
          <cell r="G117">
            <v>0.31085170200000006</v>
          </cell>
          <cell r="H117">
            <v>0.3908794806</v>
          </cell>
          <cell r="I117">
            <v>0.47267095679999999</v>
          </cell>
          <cell r="J117">
            <v>0.22906022580000002</v>
          </cell>
          <cell r="K117">
            <v>0.20040013980000004</v>
          </cell>
          <cell r="L117">
            <v>0.21208463640000003</v>
          </cell>
          <cell r="M117">
            <v>6.4374962399999999E-2</v>
          </cell>
          <cell r="N117">
            <v>0</v>
          </cell>
          <cell r="O117">
            <v>0</v>
          </cell>
          <cell r="P117">
            <v>4.6517524200000007E-2</v>
          </cell>
          <cell r="Q117">
            <v>0</v>
          </cell>
          <cell r="R117">
            <v>2.2046220000000003E-3</v>
          </cell>
          <cell r="S117">
            <v>8.3775636000000001E-2</v>
          </cell>
          <cell r="T117">
            <v>0.43607423160000003</v>
          </cell>
          <cell r="U117">
            <v>0.65874105360000001</v>
          </cell>
          <cell r="V117">
            <v>0.43761746699999998</v>
          </cell>
          <cell r="W117">
            <v>0</v>
          </cell>
          <cell r="X117">
            <v>6.1288491600000002E-2</v>
          </cell>
          <cell r="Y117">
            <v>0.48617862713999993</v>
          </cell>
          <cell r="Z117">
            <v>1.4550492E-3</v>
          </cell>
          <cell r="AA117">
            <v>0.30307572525999993</v>
          </cell>
          <cell r="AB117">
            <v>0</v>
          </cell>
          <cell r="AC117">
            <v>0</v>
          </cell>
          <cell r="AD117"/>
        </row>
        <row r="136">
          <cell r="B136">
            <v>0</v>
          </cell>
          <cell r="C136">
            <v>0</v>
          </cell>
          <cell r="D136">
            <v>0</v>
          </cell>
          <cell r="E136">
            <v>0.15785093520000001</v>
          </cell>
          <cell r="F136">
            <v>0.248019975</v>
          </cell>
          <cell r="G136">
            <v>0.24471304199999999</v>
          </cell>
          <cell r="H136">
            <v>0.16997635620000001</v>
          </cell>
          <cell r="I136">
            <v>0.12323836980000001</v>
          </cell>
          <cell r="J136">
            <v>0.1602760194</v>
          </cell>
          <cell r="K136">
            <v>8.531887140000001E-2</v>
          </cell>
          <cell r="L136">
            <v>0.43673561820000001</v>
          </cell>
          <cell r="M136">
            <v>0.15851232180000002</v>
          </cell>
          <cell r="N136">
            <v>0.17350375139999999</v>
          </cell>
          <cell r="O136">
            <v>0.13227732</v>
          </cell>
          <cell r="P136">
            <v>0.10912878900000002</v>
          </cell>
          <cell r="Q136">
            <v>0.34105502340000005</v>
          </cell>
          <cell r="R136">
            <v>0.1600555572</v>
          </cell>
          <cell r="S136">
            <v>0.32121342540000009</v>
          </cell>
          <cell r="T136">
            <v>0.52646373360000009</v>
          </cell>
          <cell r="U136">
            <v>0.18827471880000002</v>
          </cell>
          <cell r="V136">
            <v>6.7681895399999997E-2</v>
          </cell>
          <cell r="W136">
            <v>0.1005307632</v>
          </cell>
          <cell r="X136">
            <v>8.6200720200000011E-2</v>
          </cell>
          <cell r="Y136">
            <v>6.2170340400000003E-2</v>
          </cell>
          <cell r="Z136">
            <v>8.04906762E-2</v>
          </cell>
          <cell r="AA136">
            <v>6.3881069120000009E-2</v>
          </cell>
          <cell r="AB136">
            <v>8.6584245879999994E-2</v>
          </cell>
          <cell r="AC136">
            <v>7.5678910599999996E-2</v>
          </cell>
          <cell r="AD136"/>
        </row>
        <row r="140">
          <cell r="B140">
            <v>1.5247165751999998</v>
          </cell>
          <cell r="C140">
            <v>1.4766558155999998</v>
          </cell>
          <cell r="D140">
            <v>1.4786399753999999</v>
          </cell>
          <cell r="E140">
            <v>2.8018540998000008</v>
          </cell>
          <cell r="F140">
            <v>1.5926189328</v>
          </cell>
          <cell r="G140">
            <v>2.1880873350000001</v>
          </cell>
          <cell r="H140">
            <v>3.4766888940000009</v>
          </cell>
          <cell r="I140">
            <v>1.8662125230000002</v>
          </cell>
          <cell r="J140">
            <v>1.1909368043999999</v>
          </cell>
          <cell r="K140">
            <v>1.0134647334</v>
          </cell>
          <cell r="L140">
            <v>0.48656007540000001</v>
          </cell>
          <cell r="M140">
            <v>8.0027778599999988E-2</v>
          </cell>
          <cell r="N140">
            <v>0.12808853820000002</v>
          </cell>
          <cell r="O140">
            <v>0.54498255839999998</v>
          </cell>
          <cell r="P140">
            <v>0.33929132579999999</v>
          </cell>
          <cell r="Q140">
            <v>0.13404101760000001</v>
          </cell>
          <cell r="R140">
            <v>4.2990129000000002E-2</v>
          </cell>
          <cell r="S140">
            <v>0.23346946980000002</v>
          </cell>
          <cell r="T140">
            <v>0</v>
          </cell>
          <cell r="U140">
            <v>1.0851149484</v>
          </cell>
          <cell r="V140">
            <v>0</v>
          </cell>
          <cell r="W140">
            <v>8.6862106800000005E-2</v>
          </cell>
          <cell r="X140">
            <v>8.79644178E-2</v>
          </cell>
          <cell r="Y140">
            <v>0.13492286640000001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/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1.2330450845999998</v>
          </cell>
          <cell r="H146">
            <v>0</v>
          </cell>
          <cell r="I146">
            <v>0</v>
          </cell>
          <cell r="J146">
            <v>0</v>
          </cell>
          <cell r="K146">
            <v>7.9807316400000008E-2</v>
          </cell>
          <cell r="L146">
            <v>0.277782372</v>
          </cell>
          <cell r="M146">
            <v>0</v>
          </cell>
          <cell r="N146">
            <v>2.4667515558000002</v>
          </cell>
          <cell r="O146">
            <v>8.0508386196000004</v>
          </cell>
          <cell r="P146">
            <v>8.531887140000001E-2</v>
          </cell>
          <cell r="Q146">
            <v>1.2564140777999999</v>
          </cell>
          <cell r="R146">
            <v>0.81835568640000012</v>
          </cell>
          <cell r="S146">
            <v>0.44886103919999998</v>
          </cell>
          <cell r="T146">
            <v>0.53858915460000001</v>
          </cell>
          <cell r="U146">
            <v>0.44886103919999998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/>
        </row>
        <row r="147">
          <cell r="B147">
            <v>2.1633955686000004</v>
          </cell>
          <cell r="C147">
            <v>1.1239162956000002</v>
          </cell>
          <cell r="D147">
            <v>1.1710952064</v>
          </cell>
          <cell r="E147">
            <v>1.4272722828000002</v>
          </cell>
          <cell r="F147">
            <v>2.3419699505999998</v>
          </cell>
          <cell r="G147">
            <v>1.4744511936</v>
          </cell>
          <cell r="H147">
            <v>1.5932803194000003</v>
          </cell>
          <cell r="I147">
            <v>2.7877445190000003</v>
          </cell>
          <cell r="J147">
            <v>2.2899408714000002</v>
          </cell>
          <cell r="K147">
            <v>1.8282930245999998</v>
          </cell>
          <cell r="L147">
            <v>0.97223830199999994</v>
          </cell>
          <cell r="M147">
            <v>0.63206512739999998</v>
          </cell>
          <cell r="N147">
            <v>1.1219321358000001</v>
          </cell>
          <cell r="O147">
            <v>1.1102476391999998</v>
          </cell>
          <cell r="P147">
            <v>0.91910691180000004</v>
          </cell>
          <cell r="Q147">
            <v>1.5588882162</v>
          </cell>
          <cell r="R147">
            <v>1.1307506238</v>
          </cell>
          <cell r="S147">
            <v>1.1779295345999998</v>
          </cell>
          <cell r="T147">
            <v>1.2777989112000001</v>
          </cell>
          <cell r="U147">
            <v>1.4193356436</v>
          </cell>
          <cell r="V147">
            <v>0.82937879640000012</v>
          </cell>
          <cell r="W147">
            <v>0.33289792200000001</v>
          </cell>
          <cell r="X147">
            <v>0.15807139740000001</v>
          </cell>
          <cell r="Y147">
            <v>0.13492286640000001</v>
          </cell>
          <cell r="Z147">
            <v>4.5662089439999998E-2</v>
          </cell>
          <cell r="AA147">
            <v>0</v>
          </cell>
          <cell r="AB147">
            <v>4.4070353800000003E-3</v>
          </cell>
          <cell r="AC147">
            <v>9.4413000000000011E-2</v>
          </cell>
          <cell r="AD147"/>
        </row>
        <row r="148">
          <cell r="B148">
            <v>0.25529522760000001</v>
          </cell>
          <cell r="C148">
            <v>9.0169039800000003E-2</v>
          </cell>
          <cell r="D148">
            <v>6.01861806E-2</v>
          </cell>
          <cell r="E148">
            <v>1.9841598000000002E-2</v>
          </cell>
          <cell r="F148">
            <v>0</v>
          </cell>
          <cell r="G148">
            <v>6.6138660000000002E-2</v>
          </cell>
          <cell r="H148">
            <v>0.13051362239999997</v>
          </cell>
          <cell r="I148">
            <v>0.75838996799999991</v>
          </cell>
          <cell r="J148">
            <v>0.8699438411999999</v>
          </cell>
          <cell r="K148">
            <v>0.1342614798</v>
          </cell>
          <cell r="L148">
            <v>0.49581948780000007</v>
          </cell>
          <cell r="M148">
            <v>0.27513682560000002</v>
          </cell>
          <cell r="N148">
            <v>0.30489922260000002</v>
          </cell>
          <cell r="O148">
            <v>0.34303918320000004</v>
          </cell>
          <cell r="P148">
            <v>0.25088598359999997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6.6138659999999995E-3</v>
          </cell>
          <cell r="V148">
            <v>0</v>
          </cell>
          <cell r="W148">
            <v>3.3069329999999997E-3</v>
          </cell>
          <cell r="X148">
            <v>8.9948577599999996E-2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/>
        </row>
        <row r="151">
          <cell r="B151">
            <v>1.9076594166</v>
          </cell>
          <cell r="C151">
            <v>15.409425931199999</v>
          </cell>
          <cell r="D151">
            <v>8.6143400028000023</v>
          </cell>
          <cell r="E151">
            <v>5.4174176406000001</v>
          </cell>
          <cell r="F151">
            <v>36.119424537</v>
          </cell>
          <cell r="G151">
            <v>19.7174777814</v>
          </cell>
          <cell r="H151">
            <v>16.809140439000004</v>
          </cell>
          <cell r="I151">
            <v>10.569619254600001</v>
          </cell>
          <cell r="J151">
            <v>16.659667067399997</v>
          </cell>
          <cell r="K151">
            <v>16.032011184000002</v>
          </cell>
          <cell r="L151">
            <v>18.888539909399999</v>
          </cell>
          <cell r="M151">
            <v>8.1275594651999992</v>
          </cell>
          <cell r="N151">
            <v>29.107403803800004</v>
          </cell>
          <cell r="O151">
            <v>45.411465342600003</v>
          </cell>
          <cell r="P151">
            <v>42.883204833000001</v>
          </cell>
          <cell r="Q151">
            <v>45.4976660628</v>
          </cell>
          <cell r="R151">
            <v>47.648936210400009</v>
          </cell>
          <cell r="S151">
            <v>22.8085782876</v>
          </cell>
          <cell r="T151">
            <v>15.693601706999999</v>
          </cell>
          <cell r="U151">
            <v>35.253449015400001</v>
          </cell>
          <cell r="V151">
            <v>24.6304779084</v>
          </cell>
          <cell r="W151">
            <v>10.883557427400001</v>
          </cell>
          <cell r="X151">
            <v>12.458539384200002</v>
          </cell>
          <cell r="Y151">
            <v>8.5449907972799988</v>
          </cell>
          <cell r="Z151">
            <v>2.8432499123600001</v>
          </cell>
          <cell r="AA151">
            <v>3.11731724766</v>
          </cell>
          <cell r="AB151">
            <v>8.1346068760000015E-2</v>
          </cell>
          <cell r="AC151">
            <v>6.5322999999999992E-2</v>
          </cell>
          <cell r="AD151"/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0.27712098540000002</v>
          </cell>
          <cell r="V156">
            <v>0.22950115019999998</v>
          </cell>
          <cell r="W156">
            <v>0.2332490076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/>
        </row>
        <row r="164">
          <cell r="B164">
            <v>0</v>
          </cell>
          <cell r="C164">
            <v>3.9903658200000004E-2</v>
          </cell>
          <cell r="D164">
            <v>0.53219575080000003</v>
          </cell>
          <cell r="E164">
            <v>0.49361486580000002</v>
          </cell>
          <cell r="F164">
            <v>0</v>
          </cell>
          <cell r="G164">
            <v>8.4437022600000008E-2</v>
          </cell>
          <cell r="H164">
            <v>0.89794254059999989</v>
          </cell>
          <cell r="I164">
            <v>30.7571224464</v>
          </cell>
          <cell r="J164">
            <v>4.5521035055999999</v>
          </cell>
          <cell r="K164">
            <v>2.7282197249999998</v>
          </cell>
          <cell r="L164">
            <v>0.34105502340000005</v>
          </cell>
          <cell r="M164">
            <v>0.827835561</v>
          </cell>
          <cell r="N164">
            <v>0.53616407040000014</v>
          </cell>
          <cell r="O164">
            <v>0.93564157680000015</v>
          </cell>
          <cell r="P164">
            <v>1.1219321357999998</v>
          </cell>
          <cell r="Q164">
            <v>0.75045332879999993</v>
          </cell>
          <cell r="R164">
            <v>12.856253192999999</v>
          </cell>
          <cell r="S164">
            <v>8.3297233025999997</v>
          </cell>
          <cell r="T164">
            <v>10.5868153062</v>
          </cell>
          <cell r="U164">
            <v>15.568820101800002</v>
          </cell>
          <cell r="V164">
            <v>9.4397504796000007</v>
          </cell>
          <cell r="W164">
            <v>4.9608404243999997</v>
          </cell>
          <cell r="X164">
            <v>7.098882839999999</v>
          </cell>
          <cell r="Y164">
            <v>7.7228478643200003</v>
          </cell>
          <cell r="Z164">
            <v>3.6003759451000001</v>
          </cell>
          <cell r="AA164">
            <v>2.2086412268799998</v>
          </cell>
          <cell r="AB164">
            <v>0.58909651019999998</v>
          </cell>
          <cell r="AC164">
            <v>0.71970000000000012</v>
          </cell>
          <cell r="AD164"/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3.7478574000000001E-2</v>
          </cell>
          <cell r="I165">
            <v>27.694461564000001</v>
          </cell>
          <cell r="J165">
            <v>0.3518576712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4.5856137600000006E-2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4.4092440000000004E-2</v>
          </cell>
          <cell r="W165">
            <v>0</v>
          </cell>
          <cell r="X165">
            <v>0.4479791904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/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0.32981145119999994</v>
          </cell>
          <cell r="I184">
            <v>0.22090312440000001</v>
          </cell>
          <cell r="J184">
            <v>0.178574382</v>
          </cell>
          <cell r="K184">
            <v>8.79644178E-2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0.18166085280000002</v>
          </cell>
          <cell r="Q184">
            <v>4.5194751000000005E-2</v>
          </cell>
          <cell r="R184">
            <v>11.392825109399999</v>
          </cell>
          <cell r="S184">
            <v>5.9138985150000005</v>
          </cell>
          <cell r="T184">
            <v>8.1767225357999997</v>
          </cell>
          <cell r="U184">
            <v>11.966026829400001</v>
          </cell>
          <cell r="V184">
            <v>6.5162012454000005</v>
          </cell>
          <cell r="W184">
            <v>3.3741739710000003</v>
          </cell>
          <cell r="X184">
            <v>5.6625716069999985</v>
          </cell>
          <cell r="Y184">
            <v>5.6343524454000002</v>
          </cell>
          <cell r="Z184">
            <v>1.1437414236600001</v>
          </cell>
          <cell r="AA184">
            <v>1.4794124556199999</v>
          </cell>
          <cell r="AB184">
            <v>0.13199941788</v>
          </cell>
          <cell r="AC184">
            <v>0</v>
          </cell>
          <cell r="AD184"/>
        </row>
        <row r="207">
          <cell r="B207">
            <v>0</v>
          </cell>
          <cell r="C207">
            <v>0</v>
          </cell>
          <cell r="D207">
            <v>0.26984573280000002</v>
          </cell>
          <cell r="E207">
            <v>0.37699036200000002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4.6297062000000007E-2</v>
          </cell>
          <cell r="L207">
            <v>0</v>
          </cell>
          <cell r="M207">
            <v>0</v>
          </cell>
          <cell r="N207">
            <v>0.53616407040000014</v>
          </cell>
          <cell r="O207">
            <v>0.88978543920000019</v>
          </cell>
          <cell r="P207">
            <v>0.92219338259999994</v>
          </cell>
          <cell r="Q207">
            <v>0.48303268019999995</v>
          </cell>
          <cell r="R207">
            <v>1.1049565464</v>
          </cell>
          <cell r="S207">
            <v>2.1547975427999999</v>
          </cell>
          <cell r="T207">
            <v>1.8371115126000002</v>
          </cell>
          <cell r="U207">
            <v>3.1043282381999999</v>
          </cell>
          <cell r="V207">
            <v>2.4211158804000004</v>
          </cell>
          <cell r="W207">
            <v>1.362456396</v>
          </cell>
          <cell r="X207">
            <v>0.9003676248000001</v>
          </cell>
          <cell r="Y207">
            <v>1.7226916308</v>
          </cell>
          <cell r="Z207">
            <v>0</v>
          </cell>
          <cell r="AA207">
            <v>0</v>
          </cell>
          <cell r="AB207">
            <v>0</v>
          </cell>
          <cell r="AC207">
            <v>0.6864880000000001</v>
          </cell>
          <cell r="AD207"/>
        </row>
        <row r="219">
          <cell r="B219">
            <v>0</v>
          </cell>
          <cell r="C219">
            <v>3.9903658200000004E-2</v>
          </cell>
          <cell r="D219">
            <v>0.13007269800000001</v>
          </cell>
          <cell r="E219">
            <v>0.1166245038</v>
          </cell>
          <cell r="F219">
            <v>0</v>
          </cell>
          <cell r="G219">
            <v>4.0344582600000005E-2</v>
          </cell>
          <cell r="H219">
            <v>0.53065251540000002</v>
          </cell>
          <cell r="I219">
            <v>0.81306459359999994</v>
          </cell>
          <cell r="J219">
            <v>0</v>
          </cell>
          <cell r="K219">
            <v>0.2341308564</v>
          </cell>
          <cell r="L219">
            <v>0</v>
          </cell>
          <cell r="M219">
            <v>3.0864708000000001E-2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/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0.25110644580000002</v>
          </cell>
          <cell r="M225">
            <v>0.79697085300000003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0.17284236479999998</v>
          </cell>
          <cell r="T225">
            <v>0.57298125779999998</v>
          </cell>
          <cell r="U225">
            <v>0.49846503420000005</v>
          </cell>
          <cell r="V225">
            <v>0.44819965260000005</v>
          </cell>
          <cell r="W225">
            <v>0.2242100574</v>
          </cell>
          <cell r="X225">
            <v>8.79644178E-2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/>
        </row>
        <row r="231">
          <cell r="B231">
            <v>56.019224557800001</v>
          </cell>
          <cell r="C231">
            <v>50.697928436399998</v>
          </cell>
          <cell r="D231">
            <v>46.625550677999996</v>
          </cell>
          <cell r="E231">
            <v>47.88438983999999</v>
          </cell>
          <cell r="F231">
            <v>88.822677144600007</v>
          </cell>
          <cell r="G231">
            <v>56.3097937374</v>
          </cell>
          <cell r="H231">
            <v>51.082855437600003</v>
          </cell>
          <cell r="I231">
            <v>64.030600443600008</v>
          </cell>
          <cell r="J231">
            <v>78.0098880834</v>
          </cell>
          <cell r="K231">
            <v>63.234952363800012</v>
          </cell>
          <cell r="L231">
            <v>61.165694154600004</v>
          </cell>
          <cell r="M231">
            <v>95.100779213999999</v>
          </cell>
          <cell r="N231">
            <v>94.612234978800018</v>
          </cell>
          <cell r="O231">
            <v>58.008454988399997</v>
          </cell>
          <cell r="P231">
            <v>77.148542268</v>
          </cell>
          <cell r="Q231">
            <v>97.082734392000006</v>
          </cell>
          <cell r="R231">
            <v>90.164189631600024</v>
          </cell>
          <cell r="S231">
            <v>103.61458845360001</v>
          </cell>
          <cell r="T231">
            <v>105.56964724320002</v>
          </cell>
          <cell r="U231">
            <v>95.041254420000001</v>
          </cell>
          <cell r="V231">
            <v>94.217166716399987</v>
          </cell>
          <cell r="W231">
            <v>100.9015806204</v>
          </cell>
          <cell r="X231">
            <v>92.587730596200004</v>
          </cell>
          <cell r="Y231">
            <v>102.21075319988</v>
          </cell>
          <cell r="Z231">
            <v>79.053202230639997</v>
          </cell>
          <cell r="AA231">
            <v>66.54549789491999</v>
          </cell>
          <cell r="AB231">
            <v>52.728262506920004</v>
          </cell>
          <cell r="AC231">
            <v>80.490446378800002</v>
          </cell>
        </row>
        <row r="234">
          <cell r="B234">
            <v>6.2611264799999997E-2</v>
          </cell>
          <cell r="C234">
            <v>0.40895738100000006</v>
          </cell>
          <cell r="D234">
            <v>0.36155800800000004</v>
          </cell>
          <cell r="E234">
            <v>1.5987918744</v>
          </cell>
          <cell r="F234">
            <v>3.4478083458</v>
          </cell>
          <cell r="G234">
            <v>1.6009964964000001</v>
          </cell>
          <cell r="H234">
            <v>0.3168041814</v>
          </cell>
          <cell r="I234">
            <v>0</v>
          </cell>
          <cell r="J234">
            <v>5.0706305999999998E-3</v>
          </cell>
          <cell r="K234">
            <v>5.1808617000000001E-2</v>
          </cell>
          <cell r="L234">
            <v>1.5209687178000002</v>
          </cell>
          <cell r="M234">
            <v>0.13293870660000001</v>
          </cell>
          <cell r="N234">
            <v>0.20260476180000001</v>
          </cell>
          <cell r="O234">
            <v>0.34348010759999997</v>
          </cell>
          <cell r="P234">
            <v>1.2057077718</v>
          </cell>
          <cell r="Q234">
            <v>0.14682782520000001</v>
          </cell>
          <cell r="R234">
            <v>0.65940244020000005</v>
          </cell>
          <cell r="S234">
            <v>0</v>
          </cell>
          <cell r="T234">
            <v>1.7636976000000002E-2</v>
          </cell>
          <cell r="U234">
            <v>0.10582185599999999</v>
          </cell>
          <cell r="V234">
            <v>2.6455463999999998E-2</v>
          </cell>
          <cell r="W234">
            <v>0</v>
          </cell>
          <cell r="X234">
            <v>0</v>
          </cell>
          <cell r="Y234">
            <v>0.85013472909999999</v>
          </cell>
          <cell r="Z234">
            <v>2.4380892580000001E-2</v>
          </cell>
          <cell r="AA234">
            <v>0.30367317727999998</v>
          </cell>
          <cell r="AB234">
            <v>0.26691995726000001</v>
          </cell>
          <cell r="AC234">
            <v>0.12222016450000001</v>
          </cell>
          <cell r="AD234"/>
        </row>
        <row r="241">
          <cell r="B241">
            <v>7.9145929800000001E-2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0.10670370479999999</v>
          </cell>
          <cell r="S241">
            <v>7.40752992E-2</v>
          </cell>
          <cell r="T241">
            <v>0.14660736299999999</v>
          </cell>
          <cell r="U241">
            <v>0</v>
          </cell>
          <cell r="V241">
            <v>2.0282522400000003E-2</v>
          </cell>
          <cell r="W241">
            <v>0</v>
          </cell>
          <cell r="X241">
            <v>0</v>
          </cell>
          <cell r="Y241">
            <v>0</v>
          </cell>
          <cell r="Z241">
            <v>1.2566334E-3</v>
          </cell>
          <cell r="AA241">
            <v>0</v>
          </cell>
          <cell r="AB241">
            <v>0</v>
          </cell>
          <cell r="AC241">
            <v>0</v>
          </cell>
          <cell r="AD241"/>
        </row>
        <row r="243">
          <cell r="B243">
            <v>40.787932084200001</v>
          </cell>
          <cell r="C243">
            <v>37.540744340399996</v>
          </cell>
          <cell r="D243">
            <v>33.123563701199998</v>
          </cell>
          <cell r="E243">
            <v>31.310041643999998</v>
          </cell>
          <cell r="F243">
            <v>27.308652714000004</v>
          </cell>
          <cell r="G243">
            <v>36.2137823586</v>
          </cell>
          <cell r="H243">
            <v>38.096529546600003</v>
          </cell>
          <cell r="I243">
            <v>35.620298116199997</v>
          </cell>
          <cell r="J243">
            <v>63.376048171800008</v>
          </cell>
          <cell r="K243">
            <v>48.121607167200011</v>
          </cell>
          <cell r="L243">
            <v>35.654249295</v>
          </cell>
          <cell r="M243">
            <v>75.478320640800007</v>
          </cell>
          <cell r="N243">
            <v>51.522016140000005</v>
          </cell>
          <cell r="O243">
            <v>24.026631942600002</v>
          </cell>
          <cell r="P243">
            <v>49.30085947500001</v>
          </cell>
          <cell r="Q243">
            <v>64.411118200800004</v>
          </cell>
          <cell r="R243">
            <v>55.431031408200006</v>
          </cell>
          <cell r="S243">
            <v>78.438246137999997</v>
          </cell>
          <cell r="T243">
            <v>74.781660088799995</v>
          </cell>
          <cell r="U243">
            <v>68.227318882799992</v>
          </cell>
          <cell r="V243">
            <v>58.241924458199996</v>
          </cell>
          <cell r="W243">
            <v>60.798845053799994</v>
          </cell>
          <cell r="X243">
            <v>43.765053632999994</v>
          </cell>
          <cell r="Y243">
            <v>50.827310478160001</v>
          </cell>
          <cell r="Z243">
            <v>35.083319577899999</v>
          </cell>
          <cell r="AA243">
            <v>35.974852473560006</v>
          </cell>
          <cell r="AB243">
            <v>39.016310951640001</v>
          </cell>
          <cell r="AC243">
            <v>60.440856155019993</v>
          </cell>
        </row>
        <row r="245">
          <cell r="B245">
            <v>7.1870677199999983E-2</v>
          </cell>
          <cell r="C245">
            <v>0.1216951344</v>
          </cell>
          <cell r="D245">
            <v>3.0864708000000001E-2</v>
          </cell>
          <cell r="E245">
            <v>9.0830426400000011E-2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2.2266682200000002E-2</v>
          </cell>
          <cell r="N245">
            <v>0</v>
          </cell>
          <cell r="O245">
            <v>0</v>
          </cell>
          <cell r="P245">
            <v>2.7255741786000001</v>
          </cell>
          <cell r="Q245">
            <v>0</v>
          </cell>
          <cell r="R245">
            <v>0.30423783600000004</v>
          </cell>
          <cell r="S245">
            <v>0.52051125420000011</v>
          </cell>
          <cell r="T245">
            <v>0.21693480479999999</v>
          </cell>
          <cell r="U245">
            <v>0.11706542820000002</v>
          </cell>
          <cell r="V245">
            <v>0.34877120039999998</v>
          </cell>
          <cell r="W245">
            <v>0.43232637420000003</v>
          </cell>
          <cell r="X245">
            <v>0.36310124340000005</v>
          </cell>
          <cell r="Y245">
            <v>0.36140805983999996</v>
          </cell>
          <cell r="Z245">
            <v>0.26391065095999994</v>
          </cell>
          <cell r="AA245">
            <v>0.22551057980000003</v>
          </cell>
          <cell r="AB245">
            <v>0.24797565760000004</v>
          </cell>
          <cell r="AC245">
            <v>8.0841459200000007E-2</v>
          </cell>
          <cell r="AD245"/>
        </row>
        <row r="246">
          <cell r="B246">
            <v>0</v>
          </cell>
          <cell r="C246">
            <v>0</v>
          </cell>
          <cell r="D246">
            <v>1.3227731999999999E-2</v>
          </cell>
          <cell r="E246">
            <v>9.8326141200000008E-2</v>
          </cell>
          <cell r="F246">
            <v>3.1746556799999999E-2</v>
          </cell>
          <cell r="G246">
            <v>8.2893787199999985E-2</v>
          </cell>
          <cell r="H246">
            <v>0.41490986039999994</v>
          </cell>
          <cell r="I246">
            <v>1.7636975999999999E-2</v>
          </cell>
          <cell r="J246">
            <v>9.0830426400000011E-2</v>
          </cell>
          <cell r="K246">
            <v>0.47377326780000001</v>
          </cell>
          <cell r="L246">
            <v>0.1463869008</v>
          </cell>
          <cell r="M246">
            <v>8.3775636000000001E-2</v>
          </cell>
          <cell r="N246">
            <v>1.0247083056000001</v>
          </cell>
          <cell r="O246">
            <v>0.59701163760000009</v>
          </cell>
          <cell r="P246">
            <v>0.30996985319999998</v>
          </cell>
          <cell r="Q246">
            <v>0.17681068439999997</v>
          </cell>
          <cell r="R246">
            <v>0.17989715519999999</v>
          </cell>
          <cell r="S246">
            <v>0.10538093159999999</v>
          </cell>
          <cell r="T246">
            <v>0.10582185599999999</v>
          </cell>
          <cell r="U246">
            <v>7.7602694400000005E-2</v>
          </cell>
          <cell r="V246">
            <v>7.3854837000000007E-2</v>
          </cell>
          <cell r="W246">
            <v>0.16137833040000002</v>
          </cell>
          <cell r="X246">
            <v>0.90521779319999995</v>
          </cell>
          <cell r="Y246">
            <v>0.45805870364000001</v>
          </cell>
          <cell r="Z246">
            <v>1.3237839205800002</v>
          </cell>
          <cell r="AA246">
            <v>0.99333783801999997</v>
          </cell>
          <cell r="AB246">
            <v>0.12128276005999999</v>
          </cell>
          <cell r="AC246">
            <v>2.6307709260000003E-2</v>
          </cell>
          <cell r="AD246"/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/>
        </row>
        <row r="250">
          <cell r="B250">
            <v>0</v>
          </cell>
          <cell r="C250">
            <v>2.0502984600000003E-2</v>
          </cell>
          <cell r="D250">
            <v>0</v>
          </cell>
          <cell r="E250">
            <v>0</v>
          </cell>
          <cell r="F250">
            <v>0</v>
          </cell>
          <cell r="G250">
            <v>1.2848537016000001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4.4753826600000005E-2</v>
          </cell>
          <cell r="N250">
            <v>0</v>
          </cell>
          <cell r="O250">
            <v>0</v>
          </cell>
          <cell r="P250">
            <v>0</v>
          </cell>
          <cell r="Q250">
            <v>3.7478574E-3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7.0547904000000002E-3</v>
          </cell>
          <cell r="X250">
            <v>7.0547904000000002E-3</v>
          </cell>
          <cell r="Y250">
            <v>0</v>
          </cell>
          <cell r="Z250">
            <v>1.000015632E-2</v>
          </cell>
          <cell r="AA250">
            <v>5.1345599799999999E-3</v>
          </cell>
          <cell r="AB250">
            <v>0</v>
          </cell>
          <cell r="AC250">
            <v>1.0635000000000002E-2</v>
          </cell>
          <cell r="AD250"/>
        </row>
        <row r="266">
          <cell r="B266">
            <v>14.382953927999999</v>
          </cell>
          <cell r="C266">
            <v>11.4702073416</v>
          </cell>
          <cell r="D266">
            <v>12.921730466400001</v>
          </cell>
          <cell r="E266">
            <v>14.6567679804</v>
          </cell>
          <cell r="F266">
            <v>57.803204680199997</v>
          </cell>
          <cell r="G266">
            <v>16.977353097600005</v>
          </cell>
          <cell r="H266">
            <v>11.7790748838</v>
          </cell>
          <cell r="I266">
            <v>26.874783104400002</v>
          </cell>
          <cell r="J266">
            <v>13.532631222599997</v>
          </cell>
          <cell r="K266">
            <v>14.108258026800002</v>
          </cell>
          <cell r="L266">
            <v>22.726125424799999</v>
          </cell>
          <cell r="M266">
            <v>18.977165713799998</v>
          </cell>
          <cell r="N266">
            <v>40.751776283400005</v>
          </cell>
          <cell r="O266">
            <v>32.910597215999992</v>
          </cell>
          <cell r="P266">
            <v>23.086801584000003</v>
          </cell>
          <cell r="Q266">
            <v>31.916312693999995</v>
          </cell>
          <cell r="R266">
            <v>32.232014564400004</v>
          </cell>
          <cell r="S266">
            <v>23.619879183600005</v>
          </cell>
          <cell r="T266">
            <v>28.709249070600006</v>
          </cell>
          <cell r="U266">
            <v>24.067417449600004</v>
          </cell>
          <cell r="V266">
            <v>33.487326331200002</v>
          </cell>
          <cell r="W266">
            <v>36.841879166400005</v>
          </cell>
          <cell r="X266">
            <v>46.181980731600007</v>
          </cell>
          <cell r="Y266">
            <v>48.86214290086</v>
          </cell>
          <cell r="Z266">
            <v>41.766627312520008</v>
          </cell>
          <cell r="AA266">
            <v>28.929528497980002</v>
          </cell>
          <cell r="AB266">
            <v>12.968399367880002</v>
          </cell>
          <cell r="AC266">
            <v>19.439235736799997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1.8739287E-2</v>
          </cell>
          <cell r="J274">
            <v>3.9903658200000004E-2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7.6720845600000004E-2</v>
          </cell>
          <cell r="X274">
            <v>3.9021809399999996E-2</v>
          </cell>
          <cell r="Y274">
            <v>0</v>
          </cell>
          <cell r="Z274">
            <v>4.6958405999999997E-4</v>
          </cell>
          <cell r="AA274">
            <v>2.645544E-5</v>
          </cell>
          <cell r="AB274">
            <v>0</v>
          </cell>
          <cell r="AC274">
            <v>8.3775560000000002E-5</v>
          </cell>
          <cell r="AD274"/>
        </row>
        <row r="286">
          <cell r="B286">
            <v>0</v>
          </cell>
          <cell r="C286">
            <v>6.1508953800000002E-2</v>
          </cell>
          <cell r="D286">
            <v>2.4250842000000002E-3</v>
          </cell>
          <cell r="E286">
            <v>0</v>
          </cell>
          <cell r="F286">
            <v>0</v>
          </cell>
          <cell r="G286">
            <v>0</v>
          </cell>
          <cell r="H286">
            <v>5.4674625600000006E-2</v>
          </cell>
          <cell r="I286">
            <v>0.3333388464</v>
          </cell>
          <cell r="J286">
            <v>4.8501684000000003E-3</v>
          </cell>
          <cell r="K286">
            <v>8.3775636000000004E-3</v>
          </cell>
          <cell r="L286">
            <v>1.6755127200000001E-2</v>
          </cell>
          <cell r="M286">
            <v>0</v>
          </cell>
          <cell r="N286">
            <v>6.3934037999999999E-2</v>
          </cell>
          <cell r="O286">
            <v>0</v>
          </cell>
          <cell r="P286">
            <v>0.112435722</v>
          </cell>
          <cell r="Q286">
            <v>9.920799000000001E-2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1.85188248E-2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/>
        </row>
      </sheetData>
      <sheetData sheetId="2">
        <row r="290">
          <cell r="AE290">
            <v>217.2654981</v>
          </cell>
        </row>
      </sheetData>
      <sheetData sheetId="3">
        <row r="4">
          <cell r="B4">
            <v>33.462303871500005</v>
          </cell>
          <cell r="C4">
            <v>60.225643333800008</v>
          </cell>
          <cell r="D4">
            <v>24.976603562400001</v>
          </cell>
          <cell r="E4">
            <v>19.471111272900004</v>
          </cell>
          <cell r="F4">
            <v>11.477482594200001</v>
          </cell>
          <cell r="G4">
            <v>32.228376938099998</v>
          </cell>
          <cell r="H4">
            <v>16.393018036500003</v>
          </cell>
          <cell r="I4">
            <v>4.3358300874000006</v>
          </cell>
          <cell r="J4">
            <v>23.175427388400003</v>
          </cell>
          <cell r="K4">
            <v>0</v>
          </cell>
          <cell r="L4">
            <v>10.783908513</v>
          </cell>
          <cell r="M4">
            <v>0.3553850664</v>
          </cell>
          <cell r="N4">
            <v>0</v>
          </cell>
          <cell r="O4">
            <v>2.9837354148000004</v>
          </cell>
          <cell r="P4">
            <v>4.5287345123999998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3.3600643901999998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/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/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/>
        </row>
        <row r="74">
          <cell r="B74">
            <v>0</v>
          </cell>
          <cell r="C74">
            <v>4.7852422820999996</v>
          </cell>
          <cell r="D74">
            <v>0</v>
          </cell>
          <cell r="E74">
            <v>8.8515573299999997E-2</v>
          </cell>
          <cell r="F74">
            <v>0</v>
          </cell>
          <cell r="G74">
            <v>0</v>
          </cell>
          <cell r="H74">
            <v>0</v>
          </cell>
          <cell r="I74">
            <v>2.2487144399999999E-2</v>
          </cell>
          <cell r="J74">
            <v>2.2487144399999999E-2</v>
          </cell>
          <cell r="K74">
            <v>2.2928068800000003E-2</v>
          </cell>
          <cell r="L74">
            <v>0</v>
          </cell>
          <cell r="M74">
            <v>0</v>
          </cell>
          <cell r="N74">
            <v>2.3368993199999997E-2</v>
          </cell>
          <cell r="O74">
            <v>0</v>
          </cell>
          <cell r="P74">
            <v>7.5067379099999998E-2</v>
          </cell>
          <cell r="Q74">
            <v>0</v>
          </cell>
          <cell r="R74">
            <v>0.57198917790000003</v>
          </cell>
          <cell r="S74">
            <v>0</v>
          </cell>
          <cell r="T74">
            <v>2.3148531E-3</v>
          </cell>
          <cell r="U74">
            <v>15.4955164203</v>
          </cell>
          <cell r="V74">
            <v>0.3711481137</v>
          </cell>
          <cell r="W74">
            <v>3.3763785929999997</v>
          </cell>
          <cell r="X74">
            <v>6.3333278504999999</v>
          </cell>
          <cell r="Y74">
            <v>0.90720826556</v>
          </cell>
          <cell r="Z74">
            <v>3.0248466663799998</v>
          </cell>
          <cell r="AA74">
            <v>1.2625968971000001</v>
          </cell>
          <cell r="AB74">
            <v>4.5739251139999999E-2</v>
          </cell>
          <cell r="AC74">
            <v>0.46180064908999996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2.3368993199999997E-2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/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8.3996098200000008E-2</v>
          </cell>
          <cell r="W103">
            <v>3.0321268676999997</v>
          </cell>
          <cell r="X103">
            <v>0.44775872820000001</v>
          </cell>
          <cell r="Y103">
            <v>0</v>
          </cell>
          <cell r="Z103">
            <v>0.21371476049000002</v>
          </cell>
          <cell r="AA103">
            <v>0.17065081571999999</v>
          </cell>
          <cell r="AB103">
            <v>0</v>
          </cell>
          <cell r="AC103">
            <v>0</v>
          </cell>
          <cell r="AD103"/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/>
        </row>
        <row r="107">
          <cell r="B107">
            <v>0</v>
          </cell>
          <cell r="C107">
            <v>0.88184879999999999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15.4955164203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/>
        </row>
        <row r="108">
          <cell r="B108">
            <v>0</v>
          </cell>
          <cell r="C108">
            <v>0</v>
          </cell>
          <cell r="D108">
            <v>0</v>
          </cell>
          <cell r="E108">
            <v>4.5745906500000003E-2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2.2487144399999999E-2</v>
          </cell>
          <cell r="K108">
            <v>2.2928068800000003E-2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/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0.10990040670000001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/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0.50011850070000008</v>
          </cell>
          <cell r="S112">
            <v>0</v>
          </cell>
          <cell r="T112">
            <v>2.3148531E-3</v>
          </cell>
          <cell r="U112">
            <v>0</v>
          </cell>
          <cell r="V112">
            <v>0.28715201550000002</v>
          </cell>
          <cell r="W112">
            <v>0</v>
          </cell>
          <cell r="X112">
            <v>0</v>
          </cell>
          <cell r="Y112">
            <v>1.4832683360000001E-2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/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7.5067379099999998E-2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/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/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/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/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2.2487144399999999E-2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7.1870677199999997E-2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0.57507564869999994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/>
        </row>
        <row r="148">
          <cell r="B148">
            <v>0</v>
          </cell>
          <cell r="C148">
            <v>3.9033934820999998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5.6657683089000006</v>
          </cell>
          <cell r="Y148">
            <v>0.31729993350000002</v>
          </cell>
          <cell r="Z148">
            <v>0</v>
          </cell>
          <cell r="AA148">
            <v>0.91998572138000012</v>
          </cell>
          <cell r="AB148">
            <v>0</v>
          </cell>
          <cell r="AC148">
            <v>0</v>
          </cell>
          <cell r="AD148"/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/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0.10990040670000001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/>
        </row>
        <row r="164">
          <cell r="B164">
            <v>0</v>
          </cell>
          <cell r="C164">
            <v>4.0420642059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/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/>
        </row>
        <row r="184">
          <cell r="B184">
            <v>0</v>
          </cell>
          <cell r="C184">
            <v>4.0420642059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/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/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/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/>
        </row>
        <row r="231">
          <cell r="B231">
            <v>7.4302375266000009</v>
          </cell>
          <cell r="C231">
            <v>28.535083932600003</v>
          </cell>
          <cell r="D231">
            <v>2.4087699971999998</v>
          </cell>
          <cell r="E231">
            <v>3.5735820309000004</v>
          </cell>
          <cell r="F231">
            <v>2.7271174139999999</v>
          </cell>
          <cell r="G231">
            <v>13.209874561799998</v>
          </cell>
          <cell r="H231">
            <v>6.5466250289999985</v>
          </cell>
          <cell r="I231">
            <v>4.5801022050000011</v>
          </cell>
          <cell r="J231">
            <v>5.0883778070999997</v>
          </cell>
          <cell r="K231">
            <v>3.4081251498</v>
          </cell>
          <cell r="L231">
            <v>2.4173680230000003</v>
          </cell>
          <cell r="M231">
            <v>3.0809592449999998</v>
          </cell>
          <cell r="N231">
            <v>6.6491399520000014</v>
          </cell>
          <cell r="O231">
            <v>11.692212776999998</v>
          </cell>
          <cell r="P231">
            <v>13.700292725699999</v>
          </cell>
          <cell r="Q231">
            <v>7.8648787539000002</v>
          </cell>
          <cell r="R231">
            <v>6.1196999786999999</v>
          </cell>
          <cell r="S231">
            <v>3.1670497340999999</v>
          </cell>
          <cell r="T231">
            <v>3.4713978011999997</v>
          </cell>
          <cell r="U231">
            <v>5.8904192906999997</v>
          </cell>
          <cell r="V231">
            <v>4.7694792348000004</v>
          </cell>
          <cell r="W231">
            <v>4.8164376834000002</v>
          </cell>
          <cell r="X231">
            <v>6.6442897835999997</v>
          </cell>
          <cell r="Y231">
            <v>4.3342446505400005</v>
          </cell>
          <cell r="Z231">
            <v>3.4438754828500002</v>
          </cell>
          <cell r="AA231">
            <v>15.727065727009998</v>
          </cell>
          <cell r="AB231">
            <v>22.31343080868</v>
          </cell>
          <cell r="AC231">
            <v>30.768511956560005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0.55192711770000003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/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1.38891186E-2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6.2631049580000001E-2</v>
          </cell>
          <cell r="AC241">
            <v>0</v>
          </cell>
          <cell r="AD241"/>
        </row>
        <row r="243">
          <cell r="B243">
            <v>0</v>
          </cell>
          <cell r="C243">
            <v>0.63382882500000015</v>
          </cell>
          <cell r="D243">
            <v>0.49780364759999995</v>
          </cell>
          <cell r="E243">
            <v>0.33135468660000006</v>
          </cell>
          <cell r="F243">
            <v>9.2153199599999999E-2</v>
          </cell>
          <cell r="G243">
            <v>0.89386398989999993</v>
          </cell>
          <cell r="H243">
            <v>2.1568919336999999</v>
          </cell>
          <cell r="I243">
            <v>1.5698010951000003</v>
          </cell>
          <cell r="J243">
            <v>2.3867237771999998</v>
          </cell>
          <cell r="K243">
            <v>1.8861643521</v>
          </cell>
          <cell r="L243">
            <v>0.25419291659999999</v>
          </cell>
          <cell r="M243">
            <v>0.33433092630000005</v>
          </cell>
          <cell r="N243">
            <v>1.8395365968000004</v>
          </cell>
          <cell r="O243">
            <v>4.4090235377999996</v>
          </cell>
          <cell r="P243">
            <v>2.5530625070999999</v>
          </cell>
          <cell r="Q243">
            <v>2.6435622402000001</v>
          </cell>
          <cell r="R243">
            <v>2.6563490478</v>
          </cell>
          <cell r="S243">
            <v>2.2573124657999997</v>
          </cell>
          <cell r="T243">
            <v>3.4290690587999997</v>
          </cell>
          <cell r="U243">
            <v>5.8293512613000003</v>
          </cell>
          <cell r="V243">
            <v>4.7694792348000004</v>
          </cell>
          <cell r="W243">
            <v>4.8164376834000002</v>
          </cell>
          <cell r="X243">
            <v>4.1670662732999997</v>
          </cell>
          <cell r="Y243">
            <v>4.0033308883400007</v>
          </cell>
          <cell r="Z243">
            <v>3.3631952093300002</v>
          </cell>
          <cell r="AA243">
            <v>15.727065727009998</v>
          </cell>
          <cell r="AB243">
            <v>22.199910515639999</v>
          </cell>
          <cell r="AC243">
            <v>30.037511956560003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1.1133341100000001E-2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/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3.5273952000000004E-2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/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/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4.1557124700000003E-2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/>
        </row>
        <row r="266">
          <cell r="B266">
            <v>7.4213088075000009</v>
          </cell>
          <cell r="C266">
            <v>27.819243169200007</v>
          </cell>
          <cell r="D266">
            <v>1.9109663495999998</v>
          </cell>
          <cell r="E266">
            <v>3.2422273443000003</v>
          </cell>
          <cell r="F266">
            <v>2.6178783938999999</v>
          </cell>
          <cell r="G266">
            <v>12.210078484799999</v>
          </cell>
          <cell r="H266">
            <v>4.3218307376999991</v>
          </cell>
          <cell r="I266">
            <v>3.0103011099000003</v>
          </cell>
          <cell r="J266">
            <v>2.7016540298999998</v>
          </cell>
          <cell r="K266">
            <v>1.5108274566</v>
          </cell>
          <cell r="L266">
            <v>1.6026499629000002</v>
          </cell>
          <cell r="M266">
            <v>2.7466283187</v>
          </cell>
          <cell r="N266">
            <v>4.809603355200001</v>
          </cell>
          <cell r="O266">
            <v>7.1940122792999999</v>
          </cell>
          <cell r="P266">
            <v>11.034684265499999</v>
          </cell>
          <cell r="Q266">
            <v>5.140406886300001</v>
          </cell>
          <cell r="R266">
            <v>3.4633509308999999</v>
          </cell>
          <cell r="S266">
            <v>0.90973726830000001</v>
          </cell>
          <cell r="T266">
            <v>4.2328742400000001E-2</v>
          </cell>
          <cell r="U266">
            <v>1.9510904700000001E-2</v>
          </cell>
          <cell r="V266">
            <v>0</v>
          </cell>
          <cell r="W266">
            <v>0</v>
          </cell>
          <cell r="X266">
            <v>1.1796932322</v>
          </cell>
          <cell r="Y266">
            <v>0.33091376220000002</v>
          </cell>
          <cell r="Z266">
            <v>3.905043406E-2</v>
          </cell>
          <cell r="AA266">
            <v>0</v>
          </cell>
          <cell r="AB266">
            <v>0</v>
          </cell>
          <cell r="AC266">
            <v>0.73099999999999998</v>
          </cell>
          <cell r="AD266"/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/>
        </row>
        <row r="286">
          <cell r="B286">
            <v>0</v>
          </cell>
          <cell r="C286">
            <v>4.2328742400000001E-2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1.2975302781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/>
        </row>
      </sheetData>
      <sheetData sheetId="4">
        <row r="290">
          <cell r="AE290">
            <v>1.3227732000000001</v>
          </cell>
        </row>
      </sheetData>
      <sheetData sheetId="5">
        <row r="4">
          <cell r="B4">
            <v>10.3996428984</v>
          </cell>
          <cell r="C4">
            <v>69.46741875779999</v>
          </cell>
          <cell r="D4">
            <v>85.043955036600011</v>
          </cell>
          <cell r="E4">
            <v>17.625511965600001</v>
          </cell>
          <cell r="F4">
            <v>25.925693333399998</v>
          </cell>
          <cell r="G4">
            <v>4.1504213771999998</v>
          </cell>
          <cell r="H4">
            <v>6.1312742442000001</v>
          </cell>
          <cell r="I4">
            <v>139.80698597880001</v>
          </cell>
          <cell r="J4">
            <v>60.550163692200009</v>
          </cell>
          <cell r="K4">
            <v>0.17813345759999999</v>
          </cell>
          <cell r="L4">
            <v>7.129086161400001</v>
          </cell>
          <cell r="M4">
            <v>10.543163790600001</v>
          </cell>
          <cell r="N4">
            <v>30.502709067600001</v>
          </cell>
          <cell r="O4">
            <v>21.493080340199999</v>
          </cell>
          <cell r="P4">
            <v>5.0887085004000001</v>
          </cell>
          <cell r="Q4">
            <v>0.62148294179999997</v>
          </cell>
          <cell r="R4">
            <v>0.72311601599999986</v>
          </cell>
          <cell r="S4">
            <v>1.0275743142</v>
          </cell>
          <cell r="T4">
            <v>2.2793586858000001</v>
          </cell>
          <cell r="U4">
            <v>0.23633547840000002</v>
          </cell>
          <cell r="V4">
            <v>18.921609239399999</v>
          </cell>
          <cell r="W4">
            <v>0.66954370139999997</v>
          </cell>
          <cell r="X4">
            <v>1.3479058907999999</v>
          </cell>
          <cell r="Y4">
            <v>3.2445094647199997</v>
          </cell>
          <cell r="Z4">
            <v>3.1974750262399998</v>
          </cell>
          <cell r="AA4">
            <v>11.054526858099999</v>
          </cell>
          <cell r="AB4">
            <v>14.442300273500003</v>
          </cell>
          <cell r="AC4">
            <v>2.5470432284799998</v>
          </cell>
        </row>
        <row r="37">
          <cell r="B37">
            <v>7.7172793110000004</v>
          </cell>
          <cell r="C37">
            <v>16.519673570400002</v>
          </cell>
          <cell r="D37">
            <v>0</v>
          </cell>
          <cell r="E37">
            <v>0</v>
          </cell>
          <cell r="F37">
            <v>6.6138659999999998</v>
          </cell>
          <cell r="G37">
            <v>8.1571014000000001E-3</v>
          </cell>
          <cell r="H37">
            <v>7.4436857208000005</v>
          </cell>
          <cell r="I37">
            <v>3.9546509435999999</v>
          </cell>
          <cell r="J37">
            <v>15.873057937800001</v>
          </cell>
          <cell r="K37">
            <v>3.8580885000000002E-2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0.5681310893999999</v>
          </cell>
          <cell r="S37">
            <v>0</v>
          </cell>
          <cell r="T37">
            <v>2.11643712E-2</v>
          </cell>
          <cell r="U37">
            <v>0.2343513186</v>
          </cell>
          <cell r="V37">
            <v>0.30335598720000001</v>
          </cell>
          <cell r="W37">
            <v>0</v>
          </cell>
          <cell r="X37">
            <v>0</v>
          </cell>
          <cell r="Y37">
            <v>4.7617587380000007E-2</v>
          </cell>
          <cell r="Z37">
            <v>1.7138715879999999E-2</v>
          </cell>
          <cell r="AA37">
            <v>8.9595756799999999E-3</v>
          </cell>
          <cell r="AB37">
            <v>8.3775559999999995E-3</v>
          </cell>
          <cell r="AC37">
            <v>0</v>
          </cell>
          <cell r="AD37"/>
        </row>
        <row r="59">
          <cell r="B59">
            <v>0</v>
          </cell>
          <cell r="C59">
            <v>0.13183639559999999</v>
          </cell>
          <cell r="D59">
            <v>0.13293870660000001</v>
          </cell>
          <cell r="E59">
            <v>1.5544789721999999</v>
          </cell>
          <cell r="F59">
            <v>6.2170340400000003E-2</v>
          </cell>
          <cell r="G59">
            <v>58.422483</v>
          </cell>
          <cell r="H59">
            <v>2.2041810756000002</v>
          </cell>
          <cell r="I59">
            <v>1.8710626914000001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0.1102311</v>
          </cell>
          <cell r="V59">
            <v>0.11089248659999999</v>
          </cell>
          <cell r="W59">
            <v>9.2594124000000014E-2</v>
          </cell>
          <cell r="X59">
            <v>0</v>
          </cell>
          <cell r="Y59">
            <v>6.6138660000000002E-2</v>
          </cell>
          <cell r="Z59">
            <v>8.8255347839999998E-2</v>
          </cell>
          <cell r="AA59">
            <v>0</v>
          </cell>
          <cell r="AB59">
            <v>0.13727286892000001</v>
          </cell>
          <cell r="AC59">
            <v>4.4127673919999999E-2</v>
          </cell>
          <cell r="AD59"/>
        </row>
        <row r="74">
          <cell r="B74">
            <v>81.144860567400002</v>
          </cell>
          <cell r="C74">
            <v>176.63784203520004</v>
          </cell>
          <cell r="D74">
            <v>56.818840957199996</v>
          </cell>
          <cell r="E74">
            <v>85.96967581440002</v>
          </cell>
          <cell r="F74">
            <v>48.060318675600001</v>
          </cell>
          <cell r="G74">
            <v>164.21876538480001</v>
          </cell>
          <cell r="H74">
            <v>53.276674789799998</v>
          </cell>
          <cell r="I74">
            <v>97.320172181399997</v>
          </cell>
          <cell r="J74">
            <v>134.74208739600002</v>
          </cell>
          <cell r="K74">
            <v>43.9727290254</v>
          </cell>
          <cell r="L74">
            <v>14.248912910400001</v>
          </cell>
          <cell r="M74">
            <v>12.607792293599999</v>
          </cell>
          <cell r="N74">
            <v>15.2242376832</v>
          </cell>
          <cell r="O74">
            <v>25.979706572400001</v>
          </cell>
          <cell r="P74">
            <v>20.098216000800001</v>
          </cell>
          <cell r="Q74">
            <v>23.8458529386</v>
          </cell>
          <cell r="R74">
            <v>69.513495357600007</v>
          </cell>
          <cell r="S74">
            <v>11.0222281512</v>
          </cell>
          <cell r="T74">
            <v>6.8065499627999992</v>
          </cell>
          <cell r="U74">
            <v>8.645866097399999</v>
          </cell>
          <cell r="V74">
            <v>13.069881064800002</v>
          </cell>
          <cell r="W74">
            <v>12.679883432999999</v>
          </cell>
          <cell r="X74">
            <v>14.559544150200001</v>
          </cell>
          <cell r="Y74">
            <v>15.687696420080002</v>
          </cell>
          <cell r="Z74">
            <v>33.394536565500005</v>
          </cell>
          <cell r="AA74">
            <v>48.72129510908001</v>
          </cell>
          <cell r="AB74">
            <v>23.866951565599997</v>
          </cell>
          <cell r="AC74">
            <v>28.976237229460001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1.7636976000000003E-3</v>
          </cell>
          <cell r="L88">
            <v>0</v>
          </cell>
          <cell r="M88">
            <v>1.3227732E-3</v>
          </cell>
          <cell r="N88">
            <v>0</v>
          </cell>
          <cell r="O88">
            <v>0.2008410642</v>
          </cell>
          <cell r="P88">
            <v>0.11441988180000001</v>
          </cell>
          <cell r="Q88">
            <v>0.13117500900000001</v>
          </cell>
          <cell r="R88">
            <v>0.19114072740000002</v>
          </cell>
          <cell r="S88">
            <v>0.30864708000000002</v>
          </cell>
          <cell r="T88">
            <v>0.8373154356000001</v>
          </cell>
          <cell r="U88">
            <v>0.87611678280000005</v>
          </cell>
          <cell r="V88">
            <v>1.1389077251999999</v>
          </cell>
          <cell r="W88">
            <v>0.49670133659999999</v>
          </cell>
          <cell r="X88">
            <v>1.0436680547999999</v>
          </cell>
          <cell r="Y88">
            <v>0.99709086665999991</v>
          </cell>
          <cell r="Z88">
            <v>0.35387017006000004</v>
          </cell>
          <cell r="AA88">
            <v>0.45119973382</v>
          </cell>
          <cell r="AB88">
            <v>0.85900593217999999</v>
          </cell>
          <cell r="AC88">
            <v>1.5061540405799996</v>
          </cell>
          <cell r="AD88"/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11.0213463024</v>
          </cell>
          <cell r="G102">
            <v>46.290448134000009</v>
          </cell>
          <cell r="H102">
            <v>0</v>
          </cell>
          <cell r="I102">
            <v>0</v>
          </cell>
          <cell r="J102">
            <v>1.6572143574000002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25.944432620400001</v>
          </cell>
          <cell r="S102">
            <v>0</v>
          </cell>
          <cell r="T102">
            <v>2.4250842000000002E-3</v>
          </cell>
          <cell r="U102">
            <v>1.47709674E-2</v>
          </cell>
          <cell r="V102">
            <v>1.82983626E-2</v>
          </cell>
          <cell r="W102">
            <v>0</v>
          </cell>
          <cell r="X102">
            <v>9.2153199599999999E-2</v>
          </cell>
          <cell r="Y102">
            <v>0</v>
          </cell>
          <cell r="Z102">
            <v>5.5755611416999997</v>
          </cell>
          <cell r="AA102">
            <v>1.9288484934400003</v>
          </cell>
          <cell r="AB102">
            <v>0.80351123753999998</v>
          </cell>
          <cell r="AC102">
            <v>0.93456651054000006</v>
          </cell>
          <cell r="AD102"/>
        </row>
        <row r="103">
          <cell r="B103">
            <v>8.5980258000000007E-3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5.5115550000000004E-3</v>
          </cell>
          <cell r="K103">
            <v>0</v>
          </cell>
          <cell r="L103">
            <v>4.4092440000000005E-3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2.29280688E-2</v>
          </cell>
          <cell r="T103">
            <v>8.2011938399999998E-2</v>
          </cell>
          <cell r="U103">
            <v>2.4250842000000002E-3</v>
          </cell>
          <cell r="V103">
            <v>5.09267682E-2</v>
          </cell>
          <cell r="W103">
            <v>0.1022944608</v>
          </cell>
          <cell r="X103">
            <v>8.3555173800000007E-2</v>
          </cell>
          <cell r="Y103">
            <v>0.12545178888</v>
          </cell>
          <cell r="Z103">
            <v>6.5569808039999997E-2</v>
          </cell>
          <cell r="AA103">
            <v>0.17598158688000001</v>
          </cell>
          <cell r="AB103">
            <v>0.21090938154000002</v>
          </cell>
          <cell r="AC103">
            <v>0.41474870360000005</v>
          </cell>
          <cell r="AD103"/>
        </row>
        <row r="104">
          <cell r="B104">
            <v>0.42086233980000004</v>
          </cell>
          <cell r="C104">
            <v>77.161770000000004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/>
        </row>
        <row r="107">
          <cell r="B107">
            <v>0</v>
          </cell>
          <cell r="C107">
            <v>11.6523091188</v>
          </cell>
          <cell r="D107">
            <v>0.57871327500000003</v>
          </cell>
          <cell r="E107">
            <v>0</v>
          </cell>
          <cell r="F107">
            <v>3.6111708360000003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8.3775636000000004E-3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1.6523626900000001E-2</v>
          </cell>
          <cell r="AA107">
            <v>0</v>
          </cell>
          <cell r="AB107">
            <v>0</v>
          </cell>
          <cell r="AC107">
            <v>0</v>
          </cell>
          <cell r="AD107"/>
        </row>
        <row r="108">
          <cell r="B108">
            <v>13.8492149418</v>
          </cell>
          <cell r="C108">
            <v>4.3298776079999994</v>
          </cell>
          <cell r="D108">
            <v>4.667184773999999</v>
          </cell>
          <cell r="E108">
            <v>5.225174602200001</v>
          </cell>
          <cell r="F108">
            <v>5.4061740683999995</v>
          </cell>
          <cell r="G108">
            <v>10.132442712</v>
          </cell>
          <cell r="H108">
            <v>14.509719693000001</v>
          </cell>
          <cell r="I108">
            <v>12.029519943</v>
          </cell>
          <cell r="J108">
            <v>13.5427724838</v>
          </cell>
          <cell r="K108">
            <v>22.547110118399996</v>
          </cell>
          <cell r="L108">
            <v>7.8700596155999998</v>
          </cell>
          <cell r="M108">
            <v>7.0860960324000004</v>
          </cell>
          <cell r="N108">
            <v>5.2284815351999994</v>
          </cell>
          <cell r="O108">
            <v>10.608200139599999</v>
          </cell>
          <cell r="P108">
            <v>10.104003088200001</v>
          </cell>
          <cell r="Q108">
            <v>17.890287067799999</v>
          </cell>
          <cell r="R108">
            <v>9.1302215508</v>
          </cell>
          <cell r="S108">
            <v>8.7759387954000001</v>
          </cell>
          <cell r="T108">
            <v>2.0013558516000001</v>
          </cell>
          <cell r="U108">
            <v>2.4394142429999999</v>
          </cell>
          <cell r="V108">
            <v>4.4667846341999997</v>
          </cell>
          <cell r="W108">
            <v>9.4979525003999967</v>
          </cell>
          <cell r="X108">
            <v>9.7576569720000013</v>
          </cell>
          <cell r="Y108">
            <v>9.8461486760200021</v>
          </cell>
          <cell r="Z108">
            <v>12.408560369699998</v>
          </cell>
          <cell r="AA108">
            <v>18.381627725120005</v>
          </cell>
          <cell r="AB108">
            <v>10.5728614805</v>
          </cell>
          <cell r="AC108">
            <v>7.9017696169400002</v>
          </cell>
        </row>
        <row r="109">
          <cell r="B109">
            <v>0</v>
          </cell>
          <cell r="C109">
            <v>0</v>
          </cell>
          <cell r="D109">
            <v>2.8975346946</v>
          </cell>
          <cell r="E109">
            <v>0</v>
          </cell>
          <cell r="F109">
            <v>3.7676989980000002</v>
          </cell>
          <cell r="G109">
            <v>13.822979940000002</v>
          </cell>
          <cell r="H109">
            <v>8.3775636000000004E-3</v>
          </cell>
          <cell r="I109">
            <v>8.3711701962000014</v>
          </cell>
          <cell r="J109">
            <v>10.7786174202</v>
          </cell>
          <cell r="K109">
            <v>2.2039606134</v>
          </cell>
          <cell r="L109">
            <v>2.2456279692000001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0.9779703192000001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0.1388359881</v>
          </cell>
          <cell r="Z109">
            <v>3.5944124479999999E-2</v>
          </cell>
          <cell r="AA109">
            <v>3.4162791519999999E-2</v>
          </cell>
          <cell r="AB109">
            <v>5.610096514E-2</v>
          </cell>
          <cell r="AC109">
            <v>0.10446812332000001</v>
          </cell>
          <cell r="AD109"/>
        </row>
        <row r="112">
          <cell r="B112">
            <v>1.8077900399999999E-2</v>
          </cell>
          <cell r="C112">
            <v>4.1887818000000002E-3</v>
          </cell>
          <cell r="D112">
            <v>0.21076186319999998</v>
          </cell>
          <cell r="E112">
            <v>0.28417577579999992</v>
          </cell>
          <cell r="F112">
            <v>0.28748270880000004</v>
          </cell>
          <cell r="G112">
            <v>0.22178497319999999</v>
          </cell>
          <cell r="H112">
            <v>0.25353153</v>
          </cell>
          <cell r="I112">
            <v>0.7718381621999999</v>
          </cell>
          <cell r="J112">
            <v>0.67990542480000016</v>
          </cell>
          <cell r="K112">
            <v>0.6521271876000001</v>
          </cell>
          <cell r="L112">
            <v>0.78087711240000002</v>
          </cell>
          <cell r="M112">
            <v>0.34833027599999994</v>
          </cell>
          <cell r="N112">
            <v>0.17901530639999999</v>
          </cell>
          <cell r="O112">
            <v>0.37809267300000005</v>
          </cell>
          <cell r="P112">
            <v>6.6359122199999995E-2</v>
          </cell>
          <cell r="Q112">
            <v>7.0547904000000002E-3</v>
          </cell>
          <cell r="R112">
            <v>0.11552219279999999</v>
          </cell>
          <cell r="S112">
            <v>0.2453744286</v>
          </cell>
          <cell r="T112">
            <v>7.9807316400000008E-2</v>
          </cell>
          <cell r="U112">
            <v>2.2021969157999997</v>
          </cell>
          <cell r="V112">
            <v>1.9870258085999999</v>
          </cell>
          <cell r="W112">
            <v>0.13734795059999999</v>
          </cell>
          <cell r="X112">
            <v>0.37676989979999997</v>
          </cell>
          <cell r="Y112">
            <v>0.48051707597999999</v>
          </cell>
          <cell r="Z112">
            <v>0.76563366131999999</v>
          </cell>
          <cell r="AA112">
            <v>0.68870344641999981</v>
          </cell>
          <cell r="AB112">
            <v>5.533931302240001</v>
          </cell>
          <cell r="AC112">
            <v>5.2603314139200004</v>
          </cell>
        </row>
        <row r="117">
          <cell r="B117">
            <v>0</v>
          </cell>
          <cell r="C117">
            <v>6.5781511236000005</v>
          </cell>
          <cell r="D117">
            <v>0</v>
          </cell>
          <cell r="E117">
            <v>0</v>
          </cell>
          <cell r="F117">
            <v>5.7320172000000008E-3</v>
          </cell>
          <cell r="G117">
            <v>3.3005395961999997</v>
          </cell>
          <cell r="H117">
            <v>0</v>
          </cell>
          <cell r="I117">
            <v>5.2910928000000001E-3</v>
          </cell>
          <cell r="J117">
            <v>4.5150658560000005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0.25353153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4.7399372999999995E-2</v>
          </cell>
          <cell r="U117">
            <v>2.9321472599999999E-2</v>
          </cell>
          <cell r="V117">
            <v>9.7003368000000006E-3</v>
          </cell>
          <cell r="W117">
            <v>0</v>
          </cell>
          <cell r="X117">
            <v>1.2345883199999999E-2</v>
          </cell>
          <cell r="Y117">
            <v>0</v>
          </cell>
          <cell r="Z117">
            <v>4.5914231829400007</v>
          </cell>
          <cell r="AA117">
            <v>14.816990874840002</v>
          </cell>
          <cell r="AB117">
            <v>1.1434195491400001</v>
          </cell>
          <cell r="AC117">
            <v>6.2198470611999994</v>
          </cell>
        </row>
        <row r="136">
          <cell r="B136">
            <v>0</v>
          </cell>
          <cell r="C136">
            <v>0</v>
          </cell>
          <cell r="D136">
            <v>5.5115550000000004E-3</v>
          </cell>
          <cell r="E136">
            <v>5.5115550000000004E-3</v>
          </cell>
          <cell r="F136">
            <v>0</v>
          </cell>
          <cell r="G136">
            <v>2.9541934800000003E-2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3.7478574E-3</v>
          </cell>
          <cell r="N136">
            <v>0</v>
          </cell>
          <cell r="O136">
            <v>0.67946450040000006</v>
          </cell>
          <cell r="P136">
            <v>0.17570837340000001</v>
          </cell>
          <cell r="Q136">
            <v>0</v>
          </cell>
          <cell r="R136">
            <v>0</v>
          </cell>
          <cell r="S136">
            <v>1.9180211400000001E-2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3.8768242700000004E-2</v>
          </cell>
          <cell r="AA136">
            <v>1.05616950802</v>
          </cell>
          <cell r="AB136">
            <v>0.48456224827999994</v>
          </cell>
          <cell r="AC136">
            <v>1.0349000000000001E-2</v>
          </cell>
          <cell r="AD136"/>
        </row>
        <row r="140">
          <cell r="B140">
            <v>3.8580885000000002E-2</v>
          </cell>
          <cell r="C140">
            <v>1.3595903874000002</v>
          </cell>
          <cell r="D140">
            <v>1.4330043000000001E-2</v>
          </cell>
          <cell r="E140">
            <v>2.0943909E-2</v>
          </cell>
          <cell r="F140">
            <v>3.1746556799999999E-2</v>
          </cell>
          <cell r="G140">
            <v>4.4301879089999998</v>
          </cell>
          <cell r="H140">
            <v>1.9246350059999999</v>
          </cell>
          <cell r="I140">
            <v>6.4776203603999996</v>
          </cell>
          <cell r="J140">
            <v>14.487012086400002</v>
          </cell>
          <cell r="K140">
            <v>7.9366392000000001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5.5106731511999998</v>
          </cell>
          <cell r="S140">
            <v>0</v>
          </cell>
          <cell r="T140">
            <v>1.41095808E-2</v>
          </cell>
          <cell r="U140">
            <v>0</v>
          </cell>
          <cell r="V140">
            <v>2.0062060200000002E-2</v>
          </cell>
          <cell r="W140">
            <v>0</v>
          </cell>
          <cell r="X140">
            <v>0</v>
          </cell>
          <cell r="Y140">
            <v>0</v>
          </cell>
          <cell r="Z140">
            <v>2.0502965999999998E-3</v>
          </cell>
          <cell r="AA140">
            <v>0</v>
          </cell>
          <cell r="AB140">
            <v>0</v>
          </cell>
          <cell r="AC140">
            <v>0</v>
          </cell>
          <cell r="AD140"/>
        </row>
        <row r="146">
          <cell r="B146">
            <v>0</v>
          </cell>
          <cell r="C146">
            <v>0</v>
          </cell>
          <cell r="D146">
            <v>0.15586677540000002</v>
          </cell>
          <cell r="E146">
            <v>0.28593947339999998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11.022889537799999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/>
        </row>
        <row r="147">
          <cell r="B147">
            <v>0.45106566120000002</v>
          </cell>
          <cell r="C147">
            <v>6.1050392424000002</v>
          </cell>
          <cell r="D147">
            <v>8.0709006797999994</v>
          </cell>
          <cell r="E147">
            <v>13.460981007600001</v>
          </cell>
          <cell r="F147">
            <v>10.316528649</v>
          </cell>
          <cell r="G147">
            <v>37.810590073199997</v>
          </cell>
          <cell r="H147">
            <v>33.458886707399998</v>
          </cell>
          <cell r="I147">
            <v>21.8696297778</v>
          </cell>
          <cell r="J147">
            <v>30.081626265600001</v>
          </cell>
          <cell r="K147">
            <v>9.3268738332000005</v>
          </cell>
          <cell r="L147">
            <v>0.42879897899999997</v>
          </cell>
          <cell r="M147">
            <v>0.4351923828</v>
          </cell>
          <cell r="N147">
            <v>0.58753176299999998</v>
          </cell>
          <cell r="O147">
            <v>0.44334948420000003</v>
          </cell>
          <cell r="P147">
            <v>0.34899166260000003</v>
          </cell>
          <cell r="Q147">
            <v>0.43761746700000009</v>
          </cell>
          <cell r="R147">
            <v>28.258624333800004</v>
          </cell>
          <cell r="S147">
            <v>0.22795791479999999</v>
          </cell>
          <cell r="T147">
            <v>0.46892309939999988</v>
          </cell>
          <cell r="U147">
            <v>0.22553283060000001</v>
          </cell>
          <cell r="V147">
            <v>0.10053076320000001</v>
          </cell>
          <cell r="W147">
            <v>1.1311915481999999</v>
          </cell>
          <cell r="X147">
            <v>1.4316815268</v>
          </cell>
          <cell r="Y147">
            <v>2.4552672164200002</v>
          </cell>
          <cell r="Z147">
            <v>2.72058265094</v>
          </cell>
          <cell r="AA147">
            <v>2.41568811418</v>
          </cell>
          <cell r="AB147">
            <v>1.38464025106</v>
          </cell>
          <cell r="AC147">
            <v>1.6218572563799996</v>
          </cell>
          <cell r="AD147"/>
        </row>
        <row r="148">
          <cell r="B148">
            <v>2.1384833400000001E-2</v>
          </cell>
          <cell r="C148">
            <v>9.9207989999999992E-3</v>
          </cell>
          <cell r="D148">
            <v>9.2594124E-3</v>
          </cell>
          <cell r="E148">
            <v>2.6014539600000004E-2</v>
          </cell>
          <cell r="F148">
            <v>0</v>
          </cell>
          <cell r="G148">
            <v>6.6138660000000001E-4</v>
          </cell>
          <cell r="H148">
            <v>9.7003368000000006E-3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4.8501684000000003E-3</v>
          </cell>
          <cell r="T148">
            <v>2.33689932E-2</v>
          </cell>
          <cell r="U148">
            <v>0.42835805459999993</v>
          </cell>
          <cell r="V148">
            <v>2.29280688E-2</v>
          </cell>
          <cell r="W148">
            <v>4.2108280199999994E-2</v>
          </cell>
          <cell r="X148">
            <v>5.5997398800000001E-2</v>
          </cell>
          <cell r="Y148">
            <v>7.9011431379999997E-2</v>
          </cell>
          <cell r="Z148">
            <v>9.8696428160000016E-2</v>
          </cell>
          <cell r="AA148">
            <v>0.18862287796000002</v>
          </cell>
          <cell r="AB148">
            <v>0.20293527099999997</v>
          </cell>
          <cell r="AC148">
            <v>0.10200372841999998</v>
          </cell>
          <cell r="AD148"/>
        </row>
        <row r="151">
          <cell r="B151">
            <v>65.565458280000001</v>
          </cell>
          <cell r="C151">
            <v>53.367725678400006</v>
          </cell>
          <cell r="D151">
            <v>20.744170246800003</v>
          </cell>
          <cell r="E151">
            <v>0</v>
          </cell>
          <cell r="F151">
            <v>4.4090235378000004</v>
          </cell>
          <cell r="G151">
            <v>20.278995004800002</v>
          </cell>
          <cell r="H151">
            <v>0</v>
          </cell>
          <cell r="I151">
            <v>27.721798876800001</v>
          </cell>
          <cell r="J151">
            <v>34.605951533999999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4.1887779999999999E-2</v>
          </cell>
          <cell r="AB151">
            <v>0</v>
          </cell>
          <cell r="AC151">
            <v>0</v>
          </cell>
          <cell r="AD151"/>
        </row>
        <row r="164">
          <cell r="B164">
            <v>101.84405652539999</v>
          </cell>
          <cell r="C164">
            <v>303.24972441960006</v>
          </cell>
          <cell r="D164">
            <v>207.49703848020005</v>
          </cell>
          <cell r="E164">
            <v>273.77128273320005</v>
          </cell>
          <cell r="F164">
            <v>309.29545933020006</v>
          </cell>
          <cell r="G164">
            <v>106.14968329140001</v>
          </cell>
          <cell r="H164">
            <v>119.9761906266</v>
          </cell>
          <cell r="I164">
            <v>151.28975966579998</v>
          </cell>
          <cell r="J164">
            <v>143.06718099240001</v>
          </cell>
          <cell r="K164">
            <v>12.430761147</v>
          </cell>
          <cell r="L164">
            <v>26.674382964599996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58.525879771800007</v>
          </cell>
          <cell r="S164">
            <v>22.243533669000001</v>
          </cell>
          <cell r="T164">
            <v>0.24493350420000004</v>
          </cell>
          <cell r="U164">
            <v>0.2297216124</v>
          </cell>
          <cell r="V164">
            <v>7.8484543200000007E-2</v>
          </cell>
          <cell r="W164">
            <v>0</v>
          </cell>
          <cell r="X164">
            <v>0.1649057256</v>
          </cell>
          <cell r="Y164">
            <v>0.14770967400000001</v>
          </cell>
          <cell r="Z164">
            <v>0.19845548316</v>
          </cell>
          <cell r="AA164">
            <v>4.1314578799999998E-3</v>
          </cell>
          <cell r="AB164">
            <v>0.32335602463999996</v>
          </cell>
          <cell r="AC164">
            <v>0.55146880792000008</v>
          </cell>
        </row>
        <row r="165">
          <cell r="B165">
            <v>101.84405652539999</v>
          </cell>
          <cell r="C165">
            <v>281.95153266420004</v>
          </cell>
          <cell r="D165">
            <v>149.77209788100004</v>
          </cell>
          <cell r="E165">
            <v>116.69439031740002</v>
          </cell>
          <cell r="F165">
            <v>192.91985735400002</v>
          </cell>
          <cell r="G165">
            <v>59.435286346800005</v>
          </cell>
          <cell r="H165">
            <v>71.854803921599995</v>
          </cell>
          <cell r="I165">
            <v>138.23046078659999</v>
          </cell>
          <cell r="J165">
            <v>105.5934571608</v>
          </cell>
          <cell r="K165">
            <v>0</v>
          </cell>
          <cell r="L165">
            <v>26.674382964599996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/>
        </row>
        <row r="184">
          <cell r="B184">
            <v>0</v>
          </cell>
          <cell r="C184">
            <v>21.298191755400001</v>
          </cell>
          <cell r="D184">
            <v>57.724940599199996</v>
          </cell>
          <cell r="E184">
            <v>157.07689241580002</v>
          </cell>
          <cell r="F184">
            <v>105.4644867738</v>
          </cell>
          <cell r="G184">
            <v>26.0897172102</v>
          </cell>
          <cell r="H184">
            <v>48.121386705000006</v>
          </cell>
          <cell r="I184">
            <v>13.0592988792</v>
          </cell>
          <cell r="J184">
            <v>27.5546885292</v>
          </cell>
          <cell r="K184">
            <v>6.6136455378000001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34.171420537799996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3.7478574000000001E-2</v>
          </cell>
          <cell r="Z184">
            <v>0</v>
          </cell>
          <cell r="AA184">
            <v>2.8064812599999998E-3</v>
          </cell>
          <cell r="AB184">
            <v>0</v>
          </cell>
          <cell r="AC184">
            <v>0</v>
          </cell>
          <cell r="AD184"/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9.9201376133999997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20.301482149200002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/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20.624679734400001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8.5539333600000003E-2</v>
          </cell>
          <cell r="S219">
            <v>22.0459995378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4.6297062E-3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/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3.9674377512000003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/>
        </row>
        <row r="231">
          <cell r="B231">
            <v>248.94613670220005</v>
          </cell>
          <cell r="C231">
            <v>412.03525377419999</v>
          </cell>
          <cell r="D231">
            <v>278.05794975000009</v>
          </cell>
          <cell r="E231">
            <v>330.05065268700008</v>
          </cell>
          <cell r="F231">
            <v>424.71491674500004</v>
          </cell>
          <cell r="G231">
            <v>466.8401725344001</v>
          </cell>
          <cell r="H231">
            <v>441.45240696900004</v>
          </cell>
          <cell r="I231">
            <v>150.53908587479998</v>
          </cell>
          <cell r="J231">
            <v>98.608553278200006</v>
          </cell>
          <cell r="K231">
            <v>56.825454823200005</v>
          </cell>
          <cell r="L231">
            <v>188.68940819820003</v>
          </cell>
          <cell r="M231">
            <v>101.8275218604</v>
          </cell>
          <cell r="N231">
            <v>164.31444597960001</v>
          </cell>
          <cell r="O231">
            <v>122.4652088646</v>
          </cell>
          <cell r="P231">
            <v>143.87892281280006</v>
          </cell>
          <cell r="Q231">
            <v>175.24319815799996</v>
          </cell>
          <cell r="R231">
            <v>85.691452517999991</v>
          </cell>
          <cell r="S231">
            <v>49.408445028599999</v>
          </cell>
          <cell r="T231">
            <v>32.003395263000002</v>
          </cell>
          <cell r="U231">
            <v>53.061944606999994</v>
          </cell>
          <cell r="V231">
            <v>49.26668783400001</v>
          </cell>
          <cell r="W231">
            <v>50.106869278199994</v>
          </cell>
          <cell r="X231">
            <v>69.548769309600004</v>
          </cell>
          <cell r="Y231">
            <v>61.700499933239996</v>
          </cell>
          <cell r="Z231">
            <v>84.326990577500013</v>
          </cell>
          <cell r="AA231">
            <v>91.968031537139993</v>
          </cell>
          <cell r="AB231">
            <v>100.25862630124</v>
          </cell>
          <cell r="AC231">
            <v>125.05557992311996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2.4250842000000002E-3</v>
          </cell>
          <cell r="Q234">
            <v>7.4957147999999999E-3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8.6125684920000001E-2</v>
          </cell>
          <cell r="AA234">
            <v>0</v>
          </cell>
          <cell r="AB234">
            <v>1.0262439961400001</v>
          </cell>
          <cell r="AC234">
            <v>5.0400000000000002E-3</v>
          </cell>
          <cell r="AD234"/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7.2752525999999996E-3</v>
          </cell>
          <cell r="I241">
            <v>0</v>
          </cell>
          <cell r="J241">
            <v>0</v>
          </cell>
          <cell r="K241">
            <v>0</v>
          </cell>
          <cell r="L241">
            <v>8.6641644599999998E-2</v>
          </cell>
          <cell r="M241">
            <v>0</v>
          </cell>
          <cell r="N241">
            <v>5.0706305999999998E-3</v>
          </cell>
          <cell r="O241">
            <v>0.3000490542</v>
          </cell>
          <cell r="P241">
            <v>0.44996335020000006</v>
          </cell>
          <cell r="Q241">
            <v>2.8219161600000001E-2</v>
          </cell>
          <cell r="R241">
            <v>6.4374962399999999E-2</v>
          </cell>
          <cell r="S241">
            <v>0.2610272448</v>
          </cell>
          <cell r="T241">
            <v>4.4092440000000004E-2</v>
          </cell>
          <cell r="U241">
            <v>3.3510254400000002E-2</v>
          </cell>
          <cell r="V241">
            <v>0</v>
          </cell>
          <cell r="W241">
            <v>0</v>
          </cell>
          <cell r="X241">
            <v>9.0389501999999979E-3</v>
          </cell>
          <cell r="Y241">
            <v>3.708393502E-2</v>
          </cell>
          <cell r="Z241">
            <v>5.3201889839999995E-2</v>
          </cell>
          <cell r="AA241">
            <v>7.4688116360000001E-2</v>
          </cell>
          <cell r="AB241">
            <v>1.958363946E-2</v>
          </cell>
          <cell r="AC241">
            <v>8.3936288559999989E-2</v>
          </cell>
          <cell r="AD241"/>
        </row>
        <row r="243">
          <cell r="B243">
            <v>29.784663682199998</v>
          </cell>
          <cell r="C243">
            <v>22.816735389000002</v>
          </cell>
          <cell r="D243">
            <v>36.147423236400009</v>
          </cell>
          <cell r="E243">
            <v>25.288116650999999</v>
          </cell>
          <cell r="F243">
            <v>30.004023571200001</v>
          </cell>
          <cell r="G243">
            <v>41.293010984400006</v>
          </cell>
          <cell r="H243">
            <v>52.992719476200001</v>
          </cell>
          <cell r="I243">
            <v>50.678307300600004</v>
          </cell>
          <cell r="J243">
            <v>53.558645943599998</v>
          </cell>
          <cell r="K243">
            <v>36.936016525799999</v>
          </cell>
          <cell r="L243">
            <v>43.071038627400007</v>
          </cell>
          <cell r="M243">
            <v>89.338558692600003</v>
          </cell>
          <cell r="N243">
            <v>105.4243626534</v>
          </cell>
          <cell r="O243">
            <v>111.524110803</v>
          </cell>
          <cell r="P243">
            <v>132.5063802258</v>
          </cell>
          <cell r="Q243">
            <v>169.36479405719996</v>
          </cell>
          <cell r="R243">
            <v>61.405777490400006</v>
          </cell>
          <cell r="S243">
            <v>33.148255467600002</v>
          </cell>
          <cell r="T243">
            <v>30.341771661600003</v>
          </cell>
          <cell r="U243">
            <v>33.395614055999999</v>
          </cell>
          <cell r="V243">
            <v>36.494210277000008</v>
          </cell>
          <cell r="W243">
            <v>41.668458111</v>
          </cell>
          <cell r="X243">
            <v>41.804042364000004</v>
          </cell>
          <cell r="Y243">
            <v>40.856626091879995</v>
          </cell>
          <cell r="Z243">
            <v>48.607748360599992</v>
          </cell>
          <cell r="AA243">
            <v>51.821991726559993</v>
          </cell>
          <cell r="AB243">
            <v>75.871675425480007</v>
          </cell>
          <cell r="AC243">
            <v>98.48194161539999</v>
          </cell>
        </row>
        <row r="245">
          <cell r="B245">
            <v>8.8184880000000011E-3</v>
          </cell>
          <cell r="C245">
            <v>0</v>
          </cell>
          <cell r="D245">
            <v>6.8343282000000007E-3</v>
          </cell>
          <cell r="E245">
            <v>0</v>
          </cell>
          <cell r="F245">
            <v>0</v>
          </cell>
          <cell r="G245">
            <v>2.79986994E-2</v>
          </cell>
          <cell r="H245">
            <v>0.61200306720000008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0.4149098604</v>
          </cell>
          <cell r="O245">
            <v>2.5209852570000004</v>
          </cell>
          <cell r="P245">
            <v>2.5919740854</v>
          </cell>
          <cell r="Q245">
            <v>0.17438560019999999</v>
          </cell>
          <cell r="R245">
            <v>0</v>
          </cell>
          <cell r="S245">
            <v>3.4392103200000003E-2</v>
          </cell>
          <cell r="T245">
            <v>5.0706306000000007E-3</v>
          </cell>
          <cell r="U245">
            <v>3.9903658200000004E-2</v>
          </cell>
          <cell r="V245">
            <v>7.4957148000000001E-2</v>
          </cell>
          <cell r="W245">
            <v>7.5398072400000002E-2</v>
          </cell>
          <cell r="X245">
            <v>1.9841597999999999E-3</v>
          </cell>
          <cell r="Y245">
            <v>0</v>
          </cell>
          <cell r="Z245">
            <v>0</v>
          </cell>
          <cell r="AA245">
            <v>4.4965429520000003E-2</v>
          </cell>
          <cell r="AB245">
            <v>4.051209712E-2</v>
          </cell>
          <cell r="AC245">
            <v>0</v>
          </cell>
          <cell r="AD245"/>
        </row>
        <row r="246">
          <cell r="B246">
            <v>0</v>
          </cell>
          <cell r="C246">
            <v>8.1337324068000019</v>
          </cell>
          <cell r="D246">
            <v>1.4843719926000001</v>
          </cell>
          <cell r="E246">
            <v>5.9518180133999996</v>
          </cell>
          <cell r="F246">
            <v>8.6275677348000013</v>
          </cell>
          <cell r="G246">
            <v>21.840308305200001</v>
          </cell>
          <cell r="H246">
            <v>0.86641644600000023</v>
          </cell>
          <cell r="I246">
            <v>2.3311673028</v>
          </cell>
          <cell r="J246">
            <v>0.41160292739999998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0.10053076320000001</v>
          </cell>
          <cell r="Q246">
            <v>0</v>
          </cell>
          <cell r="R246">
            <v>6.1949878200000003E-2</v>
          </cell>
          <cell r="S246">
            <v>1.1889526446000003</v>
          </cell>
          <cell r="T246">
            <v>6.4154500200000006E-2</v>
          </cell>
          <cell r="U246">
            <v>6.4154500200000006E-2</v>
          </cell>
          <cell r="V246">
            <v>3.0864707999999999E-3</v>
          </cell>
          <cell r="W246">
            <v>2.4471304199999998E-2</v>
          </cell>
          <cell r="X246">
            <v>1.177268148</v>
          </cell>
          <cell r="Y246">
            <v>5.9393775315599999</v>
          </cell>
          <cell r="Z246">
            <v>1.5873264000000002E-2</v>
          </cell>
          <cell r="AA246">
            <v>8.110356056000001E-2</v>
          </cell>
          <cell r="AB246">
            <v>0.30105849796</v>
          </cell>
          <cell r="AC246">
            <v>6.2018920439999993E-2</v>
          </cell>
          <cell r="AD246"/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/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7.7587262046000003</v>
          </cell>
          <cell r="G250">
            <v>3.2388101802000002</v>
          </cell>
          <cell r="H250">
            <v>0</v>
          </cell>
          <cell r="I250">
            <v>0</v>
          </cell>
          <cell r="J250">
            <v>2.9669802875999998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9.4798746000000003E-3</v>
          </cell>
          <cell r="U250">
            <v>5.3131390199999996E-2</v>
          </cell>
          <cell r="V250">
            <v>3.4833027600000004E-2</v>
          </cell>
          <cell r="W250">
            <v>0</v>
          </cell>
          <cell r="X250">
            <v>0</v>
          </cell>
          <cell r="Y250">
            <v>3.72581118E-2</v>
          </cell>
          <cell r="Z250">
            <v>0</v>
          </cell>
          <cell r="AA250">
            <v>9.3453841799999993E-3</v>
          </cell>
          <cell r="AB250">
            <v>1.4330030000000001E-2</v>
          </cell>
          <cell r="AC250">
            <v>0</v>
          </cell>
          <cell r="AD250"/>
        </row>
        <row r="266">
          <cell r="B266">
            <v>168.80592238020003</v>
          </cell>
          <cell r="C266">
            <v>310.6751117778</v>
          </cell>
          <cell r="D266">
            <v>226.06546727520006</v>
          </cell>
          <cell r="E266">
            <v>265.51320964560006</v>
          </cell>
          <cell r="F266">
            <v>346.6518972714</v>
          </cell>
          <cell r="G266">
            <v>334.07563107240003</v>
          </cell>
          <cell r="H266">
            <v>373.85472812939997</v>
          </cell>
          <cell r="I266">
            <v>86.190799400999992</v>
          </cell>
          <cell r="J266">
            <v>39.1558504176</v>
          </cell>
          <cell r="K266">
            <v>11.594107098</v>
          </cell>
          <cell r="L266">
            <v>140.62688490060003</v>
          </cell>
          <cell r="M266">
            <v>11.755264966199999</v>
          </cell>
          <cell r="N266">
            <v>57.654392695200009</v>
          </cell>
          <cell r="O266">
            <v>7.816046376600001</v>
          </cell>
          <cell r="P266">
            <v>7.9090814249999992</v>
          </cell>
          <cell r="Q266">
            <v>5.4198427247999996</v>
          </cell>
          <cell r="R266">
            <v>22.9267460268</v>
          </cell>
          <cell r="S266">
            <v>11.145466520999999</v>
          </cell>
          <cell r="T266">
            <v>0.80909627399999984</v>
          </cell>
          <cell r="U266">
            <v>18.390515799599999</v>
          </cell>
          <cell r="V266">
            <v>11.439342633600001</v>
          </cell>
          <cell r="W266">
            <v>7.3308090743999994</v>
          </cell>
          <cell r="X266">
            <v>23.783241673799999</v>
          </cell>
          <cell r="Y266">
            <v>11.33246123522</v>
          </cell>
          <cell r="Z266">
            <v>31.558449663179999</v>
          </cell>
          <cell r="AA266">
            <v>38.445627427680002</v>
          </cell>
          <cell r="AB266">
            <v>21.760538568120001</v>
          </cell>
          <cell r="AC266">
            <v>25.433942167960002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2.2041810756000002</v>
          </cell>
          <cell r="F274">
            <v>3.3058306890000004</v>
          </cell>
          <cell r="G274">
            <v>4.8592073502000002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0.10604231820000001</v>
          </cell>
          <cell r="O274">
            <v>0</v>
          </cell>
          <cell r="P274">
            <v>2.4250842000000002E-3</v>
          </cell>
          <cell r="Q274">
            <v>0</v>
          </cell>
          <cell r="R274">
            <v>1.7636976E-3</v>
          </cell>
          <cell r="S274">
            <v>3.5273952000000001E-3</v>
          </cell>
          <cell r="T274">
            <v>3.6596725199999999E-2</v>
          </cell>
          <cell r="U274">
            <v>8.8184880000000002E-4</v>
          </cell>
          <cell r="V274">
            <v>0</v>
          </cell>
          <cell r="W274">
            <v>0</v>
          </cell>
          <cell r="X274">
            <v>0</v>
          </cell>
          <cell r="Y274">
            <v>1.321890152E-2</v>
          </cell>
          <cell r="Z274">
            <v>3.9833074160000002E-2</v>
          </cell>
          <cell r="AA274">
            <v>9.2177366820000009E-2</v>
          </cell>
          <cell r="AB274">
            <v>3.5090936539999999E-2</v>
          </cell>
          <cell r="AC274">
            <v>2.9857840879999997E-2</v>
          </cell>
          <cell r="AD274"/>
        </row>
        <row r="286">
          <cell r="B286">
            <v>26.199066461400001</v>
          </cell>
          <cell r="C286">
            <v>24.027513791400001</v>
          </cell>
          <cell r="D286">
            <v>0</v>
          </cell>
          <cell r="E286">
            <v>6.1698551292000001</v>
          </cell>
          <cell r="F286">
            <v>2.2707606600000003E-2</v>
          </cell>
          <cell r="G286">
            <v>11.0206849158</v>
          </cell>
          <cell r="H286">
            <v>5.4233701200000005E-2</v>
          </cell>
          <cell r="I286">
            <v>0</v>
          </cell>
          <cell r="J286">
            <v>5.6658785400000002E-2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3.9683195999999999E-3</v>
          </cell>
          <cell r="T286">
            <v>2.6455464000000001E-3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3.3510254400000002E-2</v>
          </cell>
          <cell r="Z286">
            <v>2.6808179199999997E-2</v>
          </cell>
          <cell r="AA286">
            <v>7.6963284200000006E-3</v>
          </cell>
          <cell r="AB286">
            <v>3.5185735199999998E-3</v>
          </cell>
          <cell r="AC286">
            <v>0</v>
          </cell>
          <cell r="AD286"/>
        </row>
      </sheetData>
      <sheetData sheetId="6">
        <row r="290">
          <cell r="AT290">
            <v>227.95791480000003</v>
          </cell>
        </row>
      </sheetData>
      <sheetData sheetId="7">
        <row r="290">
          <cell r="AE290">
            <v>2110.2641784000002</v>
          </cell>
        </row>
      </sheetData>
      <sheetData sheetId="8">
        <row r="290">
          <cell r="AE290">
            <v>60173.0630991</v>
          </cell>
        </row>
      </sheetData>
      <sheetData sheetId="9">
        <row r="243">
          <cell r="B243">
            <v>897.97516900560015</v>
          </cell>
        </row>
      </sheetData>
      <sheetData sheetId="10">
        <row r="290">
          <cell r="N290">
            <v>54.128320268400003</v>
          </cell>
        </row>
      </sheetData>
      <sheetData sheetId="11">
        <row r="290">
          <cell r="AT290">
            <v>713.85660360000008</v>
          </cell>
        </row>
      </sheetData>
      <sheetData sheetId="12">
        <row r="290">
          <cell r="AE290">
            <v>0</v>
          </cell>
        </row>
      </sheetData>
      <sheetData sheetId="13">
        <row r="290">
          <cell r="AD290">
            <v>9515.2587831000001</v>
          </cell>
        </row>
      </sheetData>
      <sheetData sheetId="14">
        <row r="290">
          <cell r="AD290">
            <v>0</v>
          </cell>
        </row>
      </sheetData>
      <sheetData sheetId="15">
        <row r="290">
          <cell r="AD290">
            <v>5826.2647905000003</v>
          </cell>
        </row>
      </sheetData>
      <sheetData sheetId="16">
        <row r="290">
          <cell r="AD290">
            <v>0</v>
          </cell>
        </row>
      </sheetData>
      <sheetData sheetId="17">
        <row r="290">
          <cell r="AD290">
            <v>7078.6003176000004</v>
          </cell>
        </row>
      </sheetData>
      <sheetData sheetId="18">
        <row r="290">
          <cell r="AD290">
            <v>1659.8918928652197</v>
          </cell>
        </row>
      </sheetData>
      <sheetData sheetId="19">
        <row r="290">
          <cell r="AD290">
            <v>54148.387266953265</v>
          </cell>
        </row>
      </sheetData>
      <sheetData sheetId="20">
        <row r="290">
          <cell r="AD290">
            <v>0</v>
          </cell>
        </row>
      </sheetData>
      <sheetData sheetId="21">
        <row r="290">
          <cell r="AD290">
            <v>436.84584930000005</v>
          </cell>
        </row>
      </sheetData>
      <sheetData sheetId="22">
        <row r="290">
          <cell r="AD290">
            <v>2.2046220000000001</v>
          </cell>
        </row>
      </sheetData>
      <sheetData sheetId="23">
        <row r="290">
          <cell r="AD290">
            <v>6622.2435636000009</v>
          </cell>
        </row>
      </sheetData>
      <sheetData sheetId="24">
        <row r="290">
          <cell r="AB290">
            <v>686.05474544999993</v>
          </cell>
        </row>
      </sheetData>
      <sheetData sheetId="25">
        <row r="290">
          <cell r="AB290">
            <v>0</v>
          </cell>
        </row>
      </sheetData>
      <sheetData sheetId="26">
        <row r="290">
          <cell r="AB290">
            <v>13.3379631</v>
          </cell>
        </row>
      </sheetData>
      <sheetData sheetId="27">
        <row r="290">
          <cell r="AB290">
            <v>8097.7970682000005</v>
          </cell>
        </row>
      </sheetData>
      <sheetData sheetId="28">
        <row r="290">
          <cell r="AB290">
            <v>2.8660086000000002</v>
          </cell>
        </row>
      </sheetData>
      <sheetData sheetId="29">
        <row r="290">
          <cell r="AB290">
            <v>295.6398102</v>
          </cell>
        </row>
      </sheetData>
      <sheetData sheetId="30">
        <row r="290">
          <cell r="AB290">
            <v>23829.097811400003</v>
          </cell>
        </row>
      </sheetData>
      <sheetData sheetId="31">
        <row r="290">
          <cell r="AB290">
            <v>335.76393060000004</v>
          </cell>
        </row>
      </sheetData>
      <sheetData sheetId="32">
        <row r="290">
          <cell r="AB290">
            <v>17691.650625599999</v>
          </cell>
        </row>
      </sheetData>
      <sheetData sheetId="33">
        <row r="290">
          <cell r="AB290">
            <v>360.01477260000001</v>
          </cell>
        </row>
      </sheetData>
      <sheetData sheetId="34">
        <row r="290">
          <cell r="AB290">
            <v>101230.730685</v>
          </cell>
        </row>
      </sheetData>
      <sheetData sheetId="35">
        <row r="290">
          <cell r="AB290">
            <v>321.21342540000001</v>
          </cell>
        </row>
      </sheetData>
      <sheetData sheetId="36">
        <row r="290">
          <cell r="AB290">
            <v>2405.2426020000003</v>
          </cell>
        </row>
      </sheetData>
      <sheetData sheetId="37">
        <row r="290">
          <cell r="AB290">
            <v>15316.611345000001</v>
          </cell>
        </row>
      </sheetData>
      <sheetData sheetId="38">
        <row r="290">
          <cell r="AG290">
            <v>738.32790779999993</v>
          </cell>
        </row>
      </sheetData>
      <sheetData sheetId="39">
        <row r="290">
          <cell r="AE290">
            <v>32185.276578000001</v>
          </cell>
        </row>
      </sheetData>
      <sheetData sheetId="40">
        <row r="2">
          <cell r="AD2" t="str">
            <v>21/22</v>
          </cell>
        </row>
      </sheetData>
      <sheetData sheetId="41">
        <row r="290">
          <cell r="NR290">
            <v>121440.86500000001</v>
          </cell>
        </row>
      </sheetData>
      <sheetData sheetId="42">
        <row r="290">
          <cell r="ID290">
            <v>91.888999999999996</v>
          </cell>
        </row>
      </sheetData>
      <sheetData sheetId="43">
        <row r="295">
          <cell r="AF295">
            <v>1039.6008000000002</v>
          </cell>
        </row>
      </sheetData>
      <sheetData sheetId="44">
        <row r="2">
          <cell r="W2" t="str">
            <v>14/15</v>
          </cell>
        </row>
      </sheetData>
      <sheetData sheetId="45">
        <row r="289">
          <cell r="AS289">
            <v>192659.9324202</v>
          </cell>
        </row>
      </sheetData>
      <sheetData sheetId="46">
        <row r="289">
          <cell r="AS289">
            <v>467.379864</v>
          </cell>
        </row>
      </sheetData>
      <sheetData sheetId="47">
        <row r="294">
          <cell r="AT294">
            <v>100968.82159140002</v>
          </cell>
        </row>
      </sheetData>
      <sheetData sheetId="48">
        <row r="290">
          <cell r="AT290">
            <v>0</v>
          </cell>
        </row>
      </sheetData>
      <sheetData sheetId="49">
        <row r="290">
          <cell r="AT290">
            <v>0</v>
          </cell>
        </row>
      </sheetData>
      <sheetData sheetId="50">
        <row r="290">
          <cell r="AB290">
            <v>166.66942319999998</v>
          </cell>
        </row>
      </sheetData>
      <sheetData sheetId="51">
        <row r="290">
          <cell r="AB290">
            <v>13240.959732000001</v>
          </cell>
        </row>
      </sheetData>
      <sheetData sheetId="52"/>
      <sheetData sheetId="53"/>
      <sheetData sheetId="54">
        <row r="290">
          <cell r="AB290">
            <v>259.70447159999998</v>
          </cell>
        </row>
      </sheetData>
      <sheetData sheetId="55">
        <row r="290">
          <cell r="AB290">
            <v>7075.9547711999994</v>
          </cell>
        </row>
      </sheetData>
      <sheetData sheetId="56"/>
      <sheetData sheetId="57"/>
      <sheetData sheetId="58">
        <row r="290">
          <cell r="AT290">
            <v>479.50528500000001</v>
          </cell>
        </row>
      </sheetData>
      <sheetData sheetId="59">
        <row r="290">
          <cell r="AT290">
            <v>1423.3039632</v>
          </cell>
        </row>
      </sheetData>
      <sheetData sheetId="60"/>
      <sheetData sheetId="6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>
        <row r="3">
          <cell r="F3" t="str">
            <v xml:space="preserve">18/19 </v>
          </cell>
        </row>
      </sheetData>
      <sheetData sheetId="1" refreshError="1"/>
      <sheetData sheetId="2" refreshError="1"/>
      <sheetData sheetId="3">
        <row r="277">
          <cell r="AN277">
            <v>1999</v>
          </cell>
        </row>
      </sheetData>
      <sheetData sheetId="4">
        <row r="309">
          <cell r="AK309" t="str">
            <v xml:space="preserve">95/96 </v>
          </cell>
        </row>
      </sheetData>
      <sheetData sheetId="5">
        <row r="3">
          <cell r="AH3" t="str">
            <v xml:space="preserve">92/93 </v>
          </cell>
        </row>
      </sheetData>
      <sheetData sheetId="6">
        <row r="2">
          <cell r="B2" t="str">
            <v xml:space="preserve">60/61 </v>
          </cell>
        </row>
        <row r="260">
          <cell r="BH260">
            <v>319.14999999999998</v>
          </cell>
          <cell r="BI260">
            <v>309.48</v>
          </cell>
          <cell r="BJ260">
            <v>367.11</v>
          </cell>
          <cell r="BK260">
            <v>325.43</v>
          </cell>
          <cell r="BL260">
            <v>468.67499999999995</v>
          </cell>
          <cell r="BM260">
            <v>430.15</v>
          </cell>
          <cell r="BN260">
            <v>284.58974138149625</v>
          </cell>
        </row>
        <row r="261">
          <cell r="BH261">
            <v>310.61500000000001</v>
          </cell>
          <cell r="BI261">
            <v>303.13</v>
          </cell>
          <cell r="BJ261">
            <v>387.83</v>
          </cell>
          <cell r="BK261">
            <v>358.73</v>
          </cell>
          <cell r="BL261">
            <v>436.74999999999994</v>
          </cell>
          <cell r="BM261">
            <v>496.79523809523812</v>
          </cell>
          <cell r="BN261">
            <v>296.92500099071412</v>
          </cell>
        </row>
        <row r="262">
          <cell r="BH262">
            <v>311.7</v>
          </cell>
          <cell r="BI262">
            <v>299.58999999999997</v>
          </cell>
          <cell r="BJ262">
            <v>396.68</v>
          </cell>
          <cell r="BK262">
            <v>399.53</v>
          </cell>
          <cell r="BL262">
            <v>462.85</v>
          </cell>
          <cell r="BM262">
            <v>442.3</v>
          </cell>
          <cell r="BN262">
            <v>299.57721067067797</v>
          </cell>
        </row>
        <row r="263">
          <cell r="BH263">
            <v>314.92</v>
          </cell>
          <cell r="BI263">
            <v>300.11</v>
          </cell>
          <cell r="BJ263">
            <v>439.24</v>
          </cell>
          <cell r="BK263">
            <v>421.21</v>
          </cell>
          <cell r="BL263">
            <v>482.40000000000003</v>
          </cell>
          <cell r="BM263">
            <v>400.99523809523805</v>
          </cell>
          <cell r="BN263">
            <v>306.01584695484297</v>
          </cell>
        </row>
        <row r="264">
          <cell r="BH264">
            <v>306.83</v>
          </cell>
          <cell r="BI264">
            <v>295.27999999999997</v>
          </cell>
          <cell r="BJ264">
            <v>427.28</v>
          </cell>
          <cell r="BK264">
            <v>460.45</v>
          </cell>
          <cell r="BL264">
            <v>500.52499999999998</v>
          </cell>
          <cell r="BM264">
            <v>389.42</v>
          </cell>
          <cell r="BN264">
            <v>310.3576185041282</v>
          </cell>
        </row>
        <row r="265">
          <cell r="BH265">
            <v>306.38</v>
          </cell>
          <cell r="BI265">
            <v>312.38</v>
          </cell>
          <cell r="BJ265">
            <v>410.02</v>
          </cell>
          <cell r="BK265">
            <v>493.97500000000002</v>
          </cell>
          <cell r="BL265">
            <v>484.4</v>
          </cell>
          <cell r="BM265">
            <v>381.83499999999998</v>
          </cell>
          <cell r="BN265">
            <v>311.80314086551925</v>
          </cell>
        </row>
        <row r="266">
          <cell r="BH266">
            <v>304.26</v>
          </cell>
          <cell r="BI266">
            <v>295.39</v>
          </cell>
          <cell r="BJ266">
            <v>413.36</v>
          </cell>
          <cell r="BK266">
            <v>475.35999999999996</v>
          </cell>
          <cell r="BL266">
            <v>457.25</v>
          </cell>
          <cell r="BM266">
            <v>363.91363636363633</v>
          </cell>
          <cell r="BN266">
            <v>300.22453465267279</v>
          </cell>
        </row>
        <row r="267">
          <cell r="BH267">
            <v>297.52</v>
          </cell>
          <cell r="BI267">
            <v>288.56</v>
          </cell>
          <cell r="BJ267">
            <v>421.03</v>
          </cell>
          <cell r="BK267">
            <v>441.27499999999998</v>
          </cell>
          <cell r="BL267">
            <v>423.57499999999999</v>
          </cell>
          <cell r="BM267">
            <v>394.77272727272737</v>
          </cell>
          <cell r="BN267">
            <v>294.82558587349121</v>
          </cell>
        </row>
        <row r="268">
          <cell r="BG268">
            <v>355.71</v>
          </cell>
          <cell r="BH268">
            <v>324.75</v>
          </cell>
          <cell r="BI268">
            <v>288.66000000000003</v>
          </cell>
          <cell r="BJ268">
            <v>378.18</v>
          </cell>
          <cell r="BK268">
            <v>445.92499999999995</v>
          </cell>
          <cell r="BL268">
            <v>413.46000000000004</v>
          </cell>
          <cell r="BM268">
            <v>384.95789473684221</v>
          </cell>
          <cell r="BN268">
            <v>286.13750502849905</v>
          </cell>
        </row>
        <row r="269">
          <cell r="BG269">
            <v>341.08</v>
          </cell>
          <cell r="BH269">
            <v>310.77</v>
          </cell>
          <cell r="BI269">
            <v>291.25</v>
          </cell>
          <cell r="BJ269">
            <v>365.23</v>
          </cell>
          <cell r="BK269">
            <v>467.87</v>
          </cell>
          <cell r="BL269">
            <v>443.15</v>
          </cell>
          <cell r="BM269">
            <v>390.59090909090907</v>
          </cell>
          <cell r="BN269">
            <v>293.16045517632455</v>
          </cell>
        </row>
        <row r="270">
          <cell r="BG270">
            <v>332.5</v>
          </cell>
          <cell r="BH270">
            <v>296.92</v>
          </cell>
          <cell r="BI270">
            <v>290.18</v>
          </cell>
          <cell r="BJ270">
            <v>358.21</v>
          </cell>
          <cell r="BK270">
            <v>510.90000000000009</v>
          </cell>
          <cell r="BL270">
            <v>438.8</v>
          </cell>
          <cell r="BM270">
            <v>353.94761904761907</v>
          </cell>
          <cell r="BN270">
            <v>292.25417178765952</v>
          </cell>
        </row>
        <row r="271">
          <cell r="BG271">
            <v>318.32</v>
          </cell>
          <cell r="BH271">
            <v>295.57</v>
          </cell>
          <cell r="BI271">
            <v>319.99</v>
          </cell>
          <cell r="BJ271">
            <v>343.55</v>
          </cell>
          <cell r="BK271">
            <v>473.94</v>
          </cell>
          <cell r="BL271">
            <v>411.07</v>
          </cell>
          <cell r="BM271">
            <v>347.70500000000004</v>
          </cell>
          <cell r="BN271">
            <v>283.90253810456358</v>
          </cell>
        </row>
        <row r="482">
          <cell r="BL482">
            <v>-0.11232733906697945</v>
          </cell>
        </row>
        <row r="483">
          <cell r="BH483" t="str">
            <v xml:space="preserve">18/19 </v>
          </cell>
          <cell r="BI483" t="str">
            <v>19/20</v>
          </cell>
          <cell r="BJ483" t="str">
            <v>20/21</v>
          </cell>
          <cell r="BK483" t="str">
            <v xml:space="preserve">21/22 </v>
          </cell>
          <cell r="BL483" t="str">
            <v xml:space="preserve">22/23  </v>
          </cell>
          <cell r="BM483" t="str">
            <v xml:space="preserve">23/24 </v>
          </cell>
          <cell r="BN483" t="str">
            <v xml:space="preserve">24/25 </v>
          </cell>
        </row>
        <row r="484">
          <cell r="BH484">
            <v>2047.5509999999999</v>
          </cell>
          <cell r="BI484">
            <v>1820.9580000000001</v>
          </cell>
          <cell r="BJ484">
            <v>1871.4760000000001</v>
          </cell>
          <cell r="BK484">
            <v>2386.337</v>
          </cell>
          <cell r="BL484">
            <v>2093.623</v>
          </cell>
          <cell r="BM484">
            <v>1506.6089999999999</v>
          </cell>
          <cell r="BN484">
            <v>1751.2373532278853</v>
          </cell>
        </row>
        <row r="485">
          <cell r="BH485">
            <v>1900.2730000000001</v>
          </cell>
          <cell r="BI485">
            <v>1880.3579999999999</v>
          </cell>
          <cell r="BJ485">
            <v>1955.4850000000001</v>
          </cell>
          <cell r="BK485">
            <v>2405.9629999999997</v>
          </cell>
          <cell r="BL485">
            <v>2112.2809999999999</v>
          </cell>
          <cell r="BM485">
            <v>1591.9059999999999</v>
          </cell>
          <cell r="BN485">
            <v>1743.941971227885</v>
          </cell>
        </row>
        <row r="486">
          <cell r="BH486">
            <v>1945.848</v>
          </cell>
          <cell r="BI486">
            <v>2134.0639999999999</v>
          </cell>
          <cell r="BJ486">
            <v>2142.904</v>
          </cell>
          <cell r="BK486">
            <v>2465.8910000000001</v>
          </cell>
          <cell r="BL486">
            <v>2306.1469999999999</v>
          </cell>
          <cell r="BM486">
            <v>1823.8340000000001</v>
          </cell>
          <cell r="BN486">
            <v>1676.2386992273446</v>
          </cell>
        </row>
        <row r="487">
          <cell r="BH487">
            <v>2004.7280000000001</v>
          </cell>
          <cell r="BI487">
            <v>2355.8969999999999</v>
          </cell>
          <cell r="BJ487">
            <v>2413.0860000000002</v>
          </cell>
          <cell r="BK487">
            <v>2499.924</v>
          </cell>
          <cell r="BL487">
            <v>2356.4009999999998</v>
          </cell>
          <cell r="BM487">
            <v>2028.7650000000001</v>
          </cell>
          <cell r="BN487">
            <v>2007.720861344304</v>
          </cell>
        </row>
        <row r="488">
          <cell r="BG488">
            <v>2425.3819999999996</v>
          </cell>
          <cell r="BH488">
            <v>2149.13</v>
          </cell>
          <cell r="BI488">
            <v>2376.7980000000002</v>
          </cell>
          <cell r="BJ488">
            <v>2431.91</v>
          </cell>
          <cell r="BK488">
            <v>2566.107</v>
          </cell>
          <cell r="BL488">
            <v>2363.797</v>
          </cell>
          <cell r="BM488">
            <v>2148.2930000000001</v>
          </cell>
          <cell r="BN488">
            <v>2428.8574692254479</v>
          </cell>
        </row>
        <row r="489">
          <cell r="BG489">
            <v>2444.482</v>
          </cell>
          <cell r="BH489">
            <v>2232.9290000000001</v>
          </cell>
          <cell r="BI489">
            <v>2326.5940000000001</v>
          </cell>
          <cell r="BJ489">
            <v>2314.826</v>
          </cell>
          <cell r="BK489">
            <v>2433.7180000000003</v>
          </cell>
          <cell r="BL489">
            <v>2387.5129999999999</v>
          </cell>
          <cell r="BM489">
            <v>2369.12</v>
          </cell>
          <cell r="BN489">
            <v>2847.0357746468326</v>
          </cell>
        </row>
        <row r="490">
          <cell r="BG490">
            <v>2688.7759999999998</v>
          </cell>
          <cell r="BH490">
            <v>2257.6060000000002</v>
          </cell>
          <cell r="BI490">
            <v>2600.6010000000001</v>
          </cell>
          <cell r="BJ490">
            <v>2586.2379999999998</v>
          </cell>
          <cell r="BK490">
            <v>2424.192</v>
          </cell>
          <cell r="BL490">
            <v>2539.6790000000001</v>
          </cell>
          <cell r="BM490">
            <v>2311.3670000000002</v>
          </cell>
          <cell r="BN490">
            <v>3204.0728783405866</v>
          </cell>
        </row>
        <row r="491">
          <cell r="BG491">
            <v>2374.0610000000001</v>
          </cell>
          <cell r="BH491">
            <v>2018.867</v>
          </cell>
          <cell r="BI491">
            <v>2445.415</v>
          </cell>
          <cell r="BJ491">
            <v>2474.703</v>
          </cell>
          <cell r="BK491">
            <v>2384.373</v>
          </cell>
          <cell r="BL491">
            <v>2386.2220000000002</v>
          </cell>
          <cell r="BM491">
            <v>2198.1173120000012</v>
          </cell>
          <cell r="BN491">
            <v>3166.2491433645328</v>
          </cell>
        </row>
        <row r="492">
          <cell r="BG492">
            <v>2304.808</v>
          </cell>
          <cell r="BH492">
            <v>2014.4199999999998</v>
          </cell>
          <cell r="BI492">
            <v>2270.8110000000001</v>
          </cell>
          <cell r="BJ492">
            <v>2343.8609999999999</v>
          </cell>
          <cell r="BK492">
            <v>2315.5039999999999</v>
          </cell>
          <cell r="BL492">
            <v>2203.0349999999999</v>
          </cell>
          <cell r="BM492">
            <v>1857.4362780000015</v>
          </cell>
          <cell r="BN492">
            <v>3290.7590284711537</v>
          </cell>
        </row>
        <row r="493">
          <cell r="BG493">
            <v>2383.6459999999997</v>
          </cell>
          <cell r="BH493">
            <v>2039.501</v>
          </cell>
          <cell r="BI493">
            <v>2123.2240000000002</v>
          </cell>
          <cell r="BJ493">
            <v>2175.2130000000002</v>
          </cell>
          <cell r="BK493">
            <v>2266.7939999999999</v>
          </cell>
          <cell r="BL493">
            <v>2136.2019999999998</v>
          </cell>
          <cell r="BM493">
            <v>2083.8008360000017</v>
          </cell>
          <cell r="BN493">
            <v>3498.4980877307671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6">
          <cell r="G36" t="str">
            <v>20/21</v>
          </cell>
        </row>
      </sheetData>
      <sheetData sheetId="18">
        <row r="10">
          <cell r="BK10">
            <v>285.66710349549999</v>
          </cell>
          <cell r="BL10">
            <v>219.94682399999999</v>
          </cell>
        </row>
        <row r="13">
          <cell r="BJ13">
            <v>166.46594989275999</v>
          </cell>
        </row>
        <row r="24">
          <cell r="BK24">
            <v>15.220715590600001</v>
          </cell>
          <cell r="BL24">
            <v>14.370999999999999</v>
          </cell>
        </row>
        <row r="34">
          <cell r="BJ34">
            <v>336.89087389871997</v>
          </cell>
        </row>
        <row r="39">
          <cell r="BJ39">
            <v>157.17445686289997</v>
          </cell>
          <cell r="BK39">
            <v>311.86600404817995</v>
          </cell>
          <cell r="BL39">
            <v>205.75779068313997</v>
          </cell>
        </row>
        <row r="75">
          <cell r="BK75">
            <v>147.14874639435999</v>
          </cell>
          <cell r="BL75">
            <v>144.24141899999998</v>
          </cell>
        </row>
        <row r="171">
          <cell r="BJ171">
            <v>31.230312605650003</v>
          </cell>
          <cell r="BK171">
            <v>30.966632357260007</v>
          </cell>
          <cell r="BL171">
            <v>18.735808806640001</v>
          </cell>
        </row>
      </sheetData>
      <sheetData sheetId="19" refreshError="1"/>
      <sheetData sheetId="20" refreshError="1"/>
      <sheetData sheetId="21" refreshError="1"/>
      <sheetData sheetId="22">
        <row r="3">
          <cell r="AI3" t="str">
            <v xml:space="preserve">93/94 </v>
          </cell>
        </row>
      </sheetData>
      <sheetData sheetId="23" refreshError="1"/>
      <sheetData sheetId="24" refreshError="1"/>
      <sheetData sheetId="25" refreshError="1"/>
      <sheetData sheetId="26">
        <row r="293">
          <cell r="AI293">
            <v>74.221399682399991</v>
          </cell>
        </row>
      </sheetData>
      <sheetData sheetId="27">
        <row r="174">
          <cell r="C174">
            <v>15.807700045458395</v>
          </cell>
        </row>
      </sheetData>
      <sheetData sheetId="28" refreshError="1"/>
      <sheetData sheetId="29" refreshError="1"/>
      <sheetData sheetId="30">
        <row r="38">
          <cell r="BN38">
            <v>2022</v>
          </cell>
        </row>
      </sheetData>
      <sheetData sheetId="31">
        <row r="2">
          <cell r="Y2">
            <v>2017</v>
          </cell>
        </row>
      </sheetData>
      <sheetData sheetId="32">
        <row r="166">
          <cell r="B166">
            <v>60.298558272600005</v>
          </cell>
        </row>
      </sheetData>
      <sheetData sheetId="33">
        <row r="103">
          <cell r="AD103">
            <v>116.13676108969753</v>
          </cell>
        </row>
      </sheetData>
      <sheetData sheetId="34" refreshError="1"/>
      <sheetData sheetId="35">
        <row r="30">
          <cell r="AC30" t="str">
            <v>20/21</v>
          </cell>
        </row>
      </sheetData>
      <sheetData sheetId="36">
        <row r="50">
          <cell r="B50">
            <v>16.8095172596</v>
          </cell>
        </row>
      </sheetData>
      <sheetData sheetId="37" refreshError="1"/>
      <sheetData sheetId="38" refreshError="1"/>
      <sheetData sheetId="39">
        <row r="38">
          <cell r="AD38" t="str">
            <v>21/22</v>
          </cell>
        </row>
      </sheetData>
      <sheetData sheetId="40" refreshError="1"/>
      <sheetData sheetId="41" refreshError="1"/>
      <sheetData sheetId="42">
        <row r="2">
          <cell r="I2" t="str">
            <v xml:space="preserve">00/01 </v>
          </cell>
        </row>
      </sheetData>
      <sheetData sheetId="43">
        <row r="38">
          <cell r="AC38">
            <v>357.79108823529413</v>
          </cell>
        </row>
      </sheetData>
      <sheetData sheetId="44">
        <row r="21">
          <cell r="AE21" t="str">
            <v>22/23</v>
          </cell>
        </row>
      </sheetData>
      <sheetData sheetId="45" refreshError="1"/>
      <sheetData sheetId="46" refreshError="1"/>
      <sheetData sheetId="47">
        <row r="103">
          <cell r="AD103">
            <v>51.622007994240626</v>
          </cell>
        </row>
      </sheetData>
      <sheetData sheetId="48">
        <row r="39">
          <cell r="AF39">
            <v>414.54950300000002</v>
          </cell>
        </row>
      </sheetData>
      <sheetData sheetId="49">
        <row r="24">
          <cell r="AD24" t="str">
            <v>21/22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>
        <row r="242">
          <cell r="AD242">
            <v>13.861419678731233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2BMNCPRGKJQNA2S6HTGFNDUY2T">
      <xxl21:absoluteUrl r:id="rId2"/>
    </xxl21:alternateUrls>
    <sheetNames>
      <sheetName val="Malaysia Palm Oil Imports"/>
      <sheetName val="Malaysia Palm Oil Exports"/>
      <sheetName val="Indonesia Palm Oil Imports"/>
      <sheetName val="Indonesia Palm Oil Exports"/>
      <sheetName val="Indonesia Palm Kernel Imports"/>
      <sheetName val="Indonesia Palm Kernel Exports"/>
      <sheetName val="Indonesia PKC Imports"/>
      <sheetName val="Indonesia PKC Exports"/>
      <sheetName val="Indonesia PKO Imports"/>
      <sheetName val="Indonesia PKO Exports"/>
      <sheetName val="Philippines Copra Imports"/>
      <sheetName val="Philippines Copra Exports"/>
      <sheetName val="Philippines Copra Meal Imports"/>
      <sheetName val="Philippines Copra Meal Exports"/>
      <sheetName val="Philippines Coconut Oil Imports"/>
      <sheetName val="Philippines Coconut Oil Exports"/>
      <sheetName val="Indonesia Copra Imports"/>
      <sheetName val="Indonesia Copra Exports"/>
      <sheetName val="Indonesia Copra Meal Imports"/>
      <sheetName val="Indonesia Copra Meal Exports"/>
      <sheetName val="Indonesia Coconut Oil Imports"/>
      <sheetName val="Indonesia Coconut Oil Exports"/>
      <sheetName val="Template"/>
      <sheetName val="wldlautrade"/>
      <sheetName val="Canada Oil Exports"/>
    </sheetNames>
    <sheetDataSet>
      <sheetData sheetId="0"/>
      <sheetData sheetId="1"/>
      <sheetData sheetId="2"/>
      <sheetData sheetId="3">
        <row r="295">
          <cell r="KK295">
            <v>35.265000000000001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90">
          <cell r="DT290">
            <v>0</v>
          </cell>
          <cell r="DU290">
            <v>0</v>
          </cell>
          <cell r="DV290">
            <v>0</v>
          </cell>
        </row>
      </sheetData>
      <sheetData sheetId="21"/>
      <sheetData sheetId="22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4ZTESOY6X7TRF26DJJO6JWOP5K">
      <xxl21:absoluteUrl r:id="rId2"/>
    </xxl21:alternateUrls>
    <sheetNames>
      <sheetName val="Chart7"/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Chart1 (4)"/>
      <sheetName val="Chart1 (3)"/>
      <sheetName val="Argentina Prod by state"/>
      <sheetName val="Chart1"/>
      <sheetName val="Chart1 (2)"/>
      <sheetName val="Brazil Planting Pace"/>
      <sheetName val="Chart30"/>
      <sheetName val="Chart31"/>
      <sheetName val="World Soy Breakdown"/>
      <sheetName val="Major Soybean Exports"/>
      <sheetName val="Major Qrtly Meal Exports chart"/>
      <sheetName val="Chart8"/>
      <sheetName val="Major Soybean Meal Exports"/>
      <sheetName val="Chart32"/>
      <sheetName val="Chart33"/>
      <sheetName val="Major Exporting Quarterly S&amp;D"/>
      <sheetName val="Soybean Trade Matrix"/>
      <sheetName val="Chart5"/>
      <sheetName val="Soybean Meal Trade Matrix"/>
      <sheetName val="Chart34"/>
      <sheetName val="Chart37"/>
      <sheetName val="Chart62"/>
      <sheetName val="Soybean Oil Trade Matrix"/>
      <sheetName val="Chart63"/>
      <sheetName val="Chart64"/>
      <sheetName val="Chart65"/>
      <sheetName val="Chart3"/>
      <sheetName val="Major Soy Crush"/>
      <sheetName val="US Soy Complex"/>
      <sheetName val="Chart6"/>
      <sheetName val="Major Soy Oil"/>
      <sheetName val="China Soy Complex"/>
      <sheetName val="Chart2"/>
      <sheetName val="Sheet1"/>
      <sheetName val="Brazil area by state "/>
      <sheetName val="Chart4"/>
      <sheetName val="BR sb exports chart"/>
      <sheetName val="BR SBO exports chart"/>
      <sheetName val="Chart9"/>
      <sheetName val="Chart10"/>
      <sheetName val="Brazil Soy Complex"/>
      <sheetName val="Chart3 - bridge"/>
      <sheetName val="Brazil  yield by state"/>
      <sheetName val="Chart66"/>
      <sheetName val="Chart67"/>
      <sheetName val="La Nina and Yields"/>
      <sheetName val="Brazil Soymeal"/>
      <sheetName val="Brazil Soyoil"/>
      <sheetName val="Chart68"/>
      <sheetName val="Chart69"/>
      <sheetName val="Chart70"/>
      <sheetName val="Chart71"/>
      <sheetName val="Chart78"/>
      <sheetName val="Chart72"/>
      <sheetName val="Chart73"/>
      <sheetName val="Chart74"/>
      <sheetName val="Chart75"/>
      <sheetName val="Chart77"/>
      <sheetName val="Chart76"/>
      <sheetName val="Chart79"/>
      <sheetName val="Chart ARGY Meal stocks"/>
      <sheetName val="Argentina Soy Complex"/>
      <sheetName val="ARG Crop conditions"/>
      <sheetName val="Argentina Biodiesel Cal Yrs"/>
      <sheetName val="Argentina Soymeal"/>
      <sheetName val="Argentina Soyoil"/>
      <sheetName val="Chart80"/>
      <sheetName val="Paraguay Soy Complex"/>
      <sheetName val="Chart81"/>
      <sheetName val="Chart82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72">
          <cell r="AV72">
            <v>4520.4500000000007</v>
          </cell>
          <cell r="AW72">
            <v>5776.85</v>
          </cell>
          <cell r="AX72">
            <v>5463.55</v>
          </cell>
          <cell r="AY72">
            <v>5446.3</v>
          </cell>
          <cell r="AZ72">
            <v>5506.8</v>
          </cell>
          <cell r="BA72">
            <v>6245.8499999999995</v>
          </cell>
          <cell r="BB72">
            <v>8219.15</v>
          </cell>
          <cell r="BC72">
            <v>8524.7500000000018</v>
          </cell>
          <cell r="BD72">
            <v>9314.1</v>
          </cell>
          <cell r="BE72">
            <v>6118.875</v>
          </cell>
          <cell r="BF72">
            <v>7766.579999999999</v>
          </cell>
          <cell r="BG72">
            <v>6569.9999999999991</v>
          </cell>
        </row>
        <row r="73">
          <cell r="AV73">
            <v>5764.5</v>
          </cell>
          <cell r="AW73">
            <v>5089.2</v>
          </cell>
          <cell r="AX73">
            <v>4683.6000000000004</v>
          </cell>
          <cell r="AY73">
            <v>5532.03</v>
          </cell>
          <cell r="AZ73">
            <v>5450.05</v>
          </cell>
          <cell r="BA73">
            <v>8470.1</v>
          </cell>
          <cell r="BB73">
            <v>7227.75</v>
          </cell>
          <cell r="BC73">
            <v>7448.2699999999986</v>
          </cell>
          <cell r="BD73">
            <v>6973.3</v>
          </cell>
          <cell r="BE73">
            <v>6507.7</v>
          </cell>
          <cell r="BF73">
            <v>9884.2999999999993</v>
          </cell>
          <cell r="BG73">
            <v>7930</v>
          </cell>
        </row>
        <row r="74">
          <cell r="AV74">
            <v>3897</v>
          </cell>
          <cell r="AW74">
            <v>5189.3999999999987</v>
          </cell>
          <cell r="AX74">
            <v>6240.5999999999995</v>
          </cell>
          <cell r="AY74">
            <v>8131.6299999999992</v>
          </cell>
          <cell r="AZ74">
            <v>7955.7499999999991</v>
          </cell>
          <cell r="BA74">
            <v>7351.8499999999995</v>
          </cell>
          <cell r="BB74">
            <v>7541.45</v>
          </cell>
          <cell r="BC74">
            <v>7939.8</v>
          </cell>
          <cell r="BD74">
            <v>8544.25</v>
          </cell>
          <cell r="BE74">
            <v>9092.5499999999993</v>
          </cell>
          <cell r="BF74">
            <v>7699.9862029662299</v>
          </cell>
          <cell r="BG74">
            <v>9020</v>
          </cell>
        </row>
        <row r="75">
          <cell r="AV75">
            <v>4205.5750000000007</v>
          </cell>
          <cell r="AW75">
            <v>4410.5</v>
          </cell>
          <cell r="AX75">
            <v>5360.25</v>
          </cell>
          <cell r="AY75">
            <v>5414.85</v>
          </cell>
          <cell r="AZ75">
            <v>6637.5499999999993</v>
          </cell>
          <cell r="BA75">
            <v>6883.05</v>
          </cell>
          <cell r="BB75">
            <v>6759.95</v>
          </cell>
          <cell r="BC75">
            <v>9360.61</v>
          </cell>
          <cell r="BD75">
            <v>6433.2499999999991</v>
          </cell>
          <cell r="BE75">
            <v>7003.2499999999991</v>
          </cell>
          <cell r="BF75">
            <v>7922.9799999999987</v>
          </cell>
        </row>
        <row r="76">
          <cell r="AV76">
            <v>3003.82</v>
          </cell>
          <cell r="AW76">
            <v>4783.0499999999993</v>
          </cell>
          <cell r="AX76">
            <v>3036.2</v>
          </cell>
          <cell r="AY76">
            <v>4391.3</v>
          </cell>
          <cell r="AZ76">
            <v>3452</v>
          </cell>
          <cell r="BA76">
            <v>4865.95</v>
          </cell>
          <cell r="BB76">
            <v>6524.1</v>
          </cell>
          <cell r="BC76">
            <v>5721.8750000000009</v>
          </cell>
          <cell r="BD76">
            <v>3614.0499999999997</v>
          </cell>
          <cell r="BE76">
            <v>4224.5999999999995</v>
          </cell>
          <cell r="BF76">
            <v>4749.1000000000004</v>
          </cell>
        </row>
        <row r="77">
          <cell r="AV77">
            <v>3564.85</v>
          </cell>
          <cell r="AW77">
            <v>4273.0499999999993</v>
          </cell>
          <cell r="AX77">
            <v>4490.1000000000004</v>
          </cell>
          <cell r="AY77">
            <v>6335.5499999999993</v>
          </cell>
          <cell r="AZ77">
            <v>6934.45</v>
          </cell>
          <cell r="BA77">
            <v>5859.0750000000007</v>
          </cell>
          <cell r="BB77">
            <v>6100.4</v>
          </cell>
          <cell r="BC77">
            <v>6715.9</v>
          </cell>
          <cell r="BD77">
            <v>6384.95</v>
          </cell>
          <cell r="BE77">
            <v>7972.0999999999995</v>
          </cell>
          <cell r="BF77">
            <v>6260.2000000000007</v>
          </cell>
        </row>
        <row r="78">
          <cell r="AV78">
            <v>3697.8500000000004</v>
          </cell>
          <cell r="AW78">
            <v>5166.8500000000004</v>
          </cell>
          <cell r="AX78">
            <v>5403.9000000000005</v>
          </cell>
          <cell r="AY78">
            <v>5505.0000000000009</v>
          </cell>
          <cell r="AZ78">
            <v>5171.8999999999996</v>
          </cell>
          <cell r="BA78">
            <v>6246.5</v>
          </cell>
          <cell r="BB78">
            <v>6762.6000000000013</v>
          </cell>
          <cell r="BC78">
            <v>8052.9</v>
          </cell>
          <cell r="BD78">
            <v>8444.2000000000007</v>
          </cell>
          <cell r="BE78">
            <v>6390.9000000000005</v>
          </cell>
          <cell r="BF78">
            <v>8130.0000000000009</v>
          </cell>
        </row>
        <row r="79">
          <cell r="AV79">
            <v>5057.4500000000007</v>
          </cell>
          <cell r="AW79">
            <v>4521.1500000000005</v>
          </cell>
          <cell r="AX79">
            <v>4504.3000000000011</v>
          </cell>
          <cell r="AY79">
            <v>5712.9</v>
          </cell>
          <cell r="AZ79">
            <v>6307.7</v>
          </cell>
          <cell r="BA79">
            <v>8581.6500000000015</v>
          </cell>
          <cell r="BB79">
            <v>9038.2999999999993</v>
          </cell>
          <cell r="BC79">
            <v>6180.4</v>
          </cell>
          <cell r="BD79">
            <v>6954.3499999999995</v>
          </cell>
          <cell r="BE79">
            <v>7825.3</v>
          </cell>
          <cell r="BF79">
            <v>5869.9999999999991</v>
          </cell>
        </row>
        <row r="80">
          <cell r="AV80">
            <v>4190.7999999999993</v>
          </cell>
          <cell r="AW80">
            <v>4778.4000000000005</v>
          </cell>
          <cell r="AX80">
            <v>5269.45</v>
          </cell>
          <cell r="AY80">
            <v>7215.8000000000011</v>
          </cell>
          <cell r="AZ80">
            <v>8224.4</v>
          </cell>
          <cell r="BA80">
            <v>6809.7</v>
          </cell>
          <cell r="BB80">
            <v>7136.0500000000011</v>
          </cell>
          <cell r="BC80">
            <v>6896.5</v>
          </cell>
          <cell r="BD80">
            <v>7063.6</v>
          </cell>
          <cell r="BE80">
            <v>10179.450000000001</v>
          </cell>
          <cell r="BF80">
            <v>7589.9999999999991</v>
          </cell>
        </row>
        <row r="81">
          <cell r="AV81">
            <v>4561.6500000000005</v>
          </cell>
          <cell r="AW81">
            <v>6092.6500000000005</v>
          </cell>
          <cell r="AX81">
            <v>6830.8499999999985</v>
          </cell>
          <cell r="AY81">
            <v>5584.0499999999993</v>
          </cell>
          <cell r="AZ81">
            <v>6709.4</v>
          </cell>
          <cell r="BA81">
            <v>6734.82</v>
          </cell>
          <cell r="BB81">
            <v>8956</v>
          </cell>
          <cell r="BC81">
            <v>8725.4</v>
          </cell>
          <cell r="BD81">
            <v>7740.4000000000015</v>
          </cell>
          <cell r="BE81">
            <v>7998.4000000000005</v>
          </cell>
          <cell r="BF81">
            <v>8799.9999999999982</v>
          </cell>
        </row>
        <row r="82">
          <cell r="AV82">
            <v>5572.1</v>
          </cell>
          <cell r="AW82">
            <v>4906.3999999999996</v>
          </cell>
          <cell r="AX82">
            <v>5506.85</v>
          </cell>
          <cell r="AY82">
            <v>6052</v>
          </cell>
          <cell r="AZ82">
            <v>8281.9</v>
          </cell>
          <cell r="BA82">
            <v>8213.3000000000011</v>
          </cell>
          <cell r="BB82">
            <v>7149.3</v>
          </cell>
          <cell r="BC82">
            <v>7344.9420000000009</v>
          </cell>
          <cell r="BD82">
            <v>6430.0999999999995</v>
          </cell>
          <cell r="BE82">
            <v>10016.450000000001</v>
          </cell>
          <cell r="BF82">
            <v>7740</v>
          </cell>
        </row>
        <row r="83">
          <cell r="AV83">
            <v>4632.8</v>
          </cell>
          <cell r="AW83">
            <v>5602.07</v>
          </cell>
          <cell r="AX83">
            <v>6844.04</v>
          </cell>
          <cell r="AY83">
            <v>6876.55</v>
          </cell>
          <cell r="AZ83">
            <v>6581.5999999999995</v>
          </cell>
          <cell r="BA83">
            <v>6379.5</v>
          </cell>
          <cell r="BB83">
            <v>7531.5999999999995</v>
          </cell>
          <cell r="BC83">
            <v>7356.1100000000006</v>
          </cell>
          <cell r="BD83">
            <v>9157.4</v>
          </cell>
          <cell r="BE83">
            <v>8302.1500000000015</v>
          </cell>
          <cell r="BF83">
            <v>7189.9999999999991</v>
          </cell>
        </row>
        <row r="84">
          <cell r="AV84">
            <v>52668.845000000001</v>
          </cell>
          <cell r="AW84">
            <v>60589.57</v>
          </cell>
          <cell r="AX84">
            <v>63633.69</v>
          </cell>
          <cell r="AY84">
            <v>72197.960000000006</v>
          </cell>
          <cell r="AZ84">
            <v>77213.5</v>
          </cell>
          <cell r="BA84">
            <v>82641.345000000001</v>
          </cell>
          <cell r="BB84">
            <v>88946.650000000009</v>
          </cell>
          <cell r="BC84">
            <v>90267.456999999995</v>
          </cell>
          <cell r="BD84">
            <v>87053.950000000012</v>
          </cell>
          <cell r="BE84">
            <v>91631.725000000006</v>
          </cell>
          <cell r="BF84">
            <v>89603.146202966222</v>
          </cell>
          <cell r="BG84">
            <v>87023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4">
          <cell r="AE4">
            <v>397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inagri.gov.ar/new/0-0/programas/dma/existencias/01_existencias_series.php" TargetMode="External"/><Relationship Id="rId2" Type="http://schemas.openxmlformats.org/officeDocument/2006/relationships/hyperlink" Target="https://www.magyp.gob.ar/sitio/areas/ss_mercados_agropecuarios/areas/granos/_archivos/000058_Estad%C3%ADsticas/000062_Evoluci%C3%B3n%20de%20la%20Molienda%20Mensual%20-%20Oleaginosas/099999_2021.php" TargetMode="External"/><Relationship Id="rId1" Type="http://schemas.openxmlformats.org/officeDocument/2006/relationships/hyperlink" Target="http://datosestimaciones.magyp.gob.ar/reportes.php?reporte=Estimaciones" TargetMode="External"/><Relationship Id="rId5" Type="http://schemas.openxmlformats.org/officeDocument/2006/relationships/hyperlink" Target="https://www.magyp.gob.ar/sitio/areas/ss_mercados_agropecuarios/_molienda/_oleaginosos.php" TargetMode="External"/><Relationship Id="rId4" Type="http://schemas.openxmlformats.org/officeDocument/2006/relationships/hyperlink" Target="https://www.magyp.gob.ar/sitio/areas/ss_mercados_agropecuarios/areas/granos/index.php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ec.europa.eu/eurostat/databrowser/view/APRO_CBS_OIL__custom_4856362/default/table?lang=en" TargetMode="External"/><Relationship Id="rId1" Type="http://schemas.openxmlformats.org/officeDocument/2006/relationships/hyperlink" Target="https://ec.europa.eu/eurostat/databrowser/view/APRO_CPSH1__custom_4854730/default/table?lang=en" TargetMode="External"/><Relationship Id="rId5" Type="http://schemas.openxmlformats.org/officeDocument/2006/relationships/vmlDrawing" Target="../drawings/vmlDrawing9.vml"/><Relationship Id="rId4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www.ukrstat.gov.ua/" TargetMode="External"/><Relationship Id="rId1" Type="http://schemas.openxmlformats.org/officeDocument/2006/relationships/hyperlink" Target="http://www.ukrstat.org/" TargetMode="External"/><Relationship Id="rId5" Type="http://schemas.openxmlformats.org/officeDocument/2006/relationships/vmlDrawing" Target="../drawings/vmlDrawing10.vml"/><Relationship Id="rId4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mcx.gov.ru/en/" TargetMode="External"/><Relationship Id="rId2" Type="http://schemas.openxmlformats.org/officeDocument/2006/relationships/hyperlink" Target="http://www.gks.ru/bgd/regl/b08_12/IssWWW.exe/stg/d01/15-17.htm" TargetMode="External"/><Relationship Id="rId1" Type="http://schemas.openxmlformats.org/officeDocument/2006/relationships/hyperlink" Target="http://www.gks.ru/bgd/regl/b08_12/IssWWW.exe/stg/d01/15-15.htm" TargetMode="External"/><Relationship Id="rId6" Type="http://schemas.openxmlformats.org/officeDocument/2006/relationships/vmlDrawing" Target="../drawings/vmlDrawing11.v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://www.ukrstat.gov.ua/" TargetMode="External"/><Relationship Id="rId1" Type="http://schemas.openxmlformats.org/officeDocument/2006/relationships/hyperlink" Target="http://www.ukrstat.org/" TargetMode="External"/><Relationship Id="rId5" Type="http://schemas.openxmlformats.org/officeDocument/2006/relationships/vmlDrawing" Target="../drawings/vmlDrawing14.vm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8532-4283-4BA7-B4C1-14170D982FDD}">
  <sheetPr>
    <pageSetUpPr fitToPage="1"/>
  </sheetPr>
  <dimension ref="A1:AD68"/>
  <sheetViews>
    <sheetView tabSelected="1" zoomScale="85" zoomScaleNormal="85" workbookViewId="0">
      <selection activeCell="AD5" sqref="AD5"/>
    </sheetView>
  </sheetViews>
  <sheetFormatPr defaultColWidth="8.85546875" defaultRowHeight="15"/>
  <cols>
    <col min="1" max="1" width="36.42578125" customWidth="1"/>
    <col min="2" max="25" width="9.7109375" hidden="1" customWidth="1"/>
    <col min="26" max="30" width="13.42578125" customWidth="1"/>
    <col min="31" max="53" width="8.85546875" customWidth="1"/>
    <col min="58" max="81" width="0" hidden="1" customWidth="1"/>
    <col min="86" max="109" width="0" hidden="1" customWidth="1"/>
    <col min="114" max="137" width="0" hidden="1" customWidth="1"/>
  </cols>
  <sheetData>
    <row r="1" spans="1:3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3" t="s">
        <v>1</v>
      </c>
      <c r="B2" s="4" t="str">
        <f>'EU Sun Complex'!B2</f>
        <v xml:space="preserve">93/94 </v>
      </c>
      <c r="C2" s="4" t="str">
        <f>'EU Sun Complex'!C2</f>
        <v xml:space="preserve">94/95 </v>
      </c>
      <c r="D2" s="4" t="str">
        <f>'EU Sun Complex'!D2</f>
        <v xml:space="preserve">95/96 </v>
      </c>
      <c r="E2" s="4" t="str">
        <f>'EU Sun Complex'!E2</f>
        <v xml:space="preserve">96/97 </v>
      </c>
      <c r="F2" s="4" t="str">
        <f>'EU Sun Complex'!F2</f>
        <v xml:space="preserve">97/98 </v>
      </c>
      <c r="G2" s="4" t="str">
        <f>'EU Sun Complex'!G2</f>
        <v xml:space="preserve">98/99 </v>
      </c>
      <c r="H2" s="4" t="str">
        <f>'EU Sun Complex'!H2</f>
        <v xml:space="preserve">99/00 </v>
      </c>
      <c r="I2" s="4" t="str">
        <f>'EU Sun Complex'!I2</f>
        <v xml:space="preserve">00/01 </v>
      </c>
      <c r="J2" s="4" t="str">
        <f>'EU Sun Complex'!J2</f>
        <v xml:space="preserve">01/02 </v>
      </c>
      <c r="K2" s="4" t="str">
        <f>'EU Sun Complex'!K2</f>
        <v xml:space="preserve">02/03 </v>
      </c>
      <c r="L2" s="4" t="str">
        <f>'EU Sun Complex'!L2</f>
        <v xml:space="preserve">03/04 </v>
      </c>
      <c r="M2" s="4" t="str">
        <f>'EU Sun Complex'!M2</f>
        <v xml:space="preserve">04/05 </v>
      </c>
      <c r="N2" s="4" t="str">
        <f>'EU Sun Complex'!N2</f>
        <v xml:space="preserve">05/06 </v>
      </c>
      <c r="O2" s="4" t="str">
        <f>'EU Sun Complex'!O2</f>
        <v xml:space="preserve">06/07 </v>
      </c>
      <c r="P2" s="4" t="str">
        <f>'EU Sun Complex'!P2</f>
        <v xml:space="preserve">07/08 </v>
      </c>
      <c r="Q2" s="4" t="str">
        <f>'EU Sun Complex'!Q2</f>
        <v xml:space="preserve">08/09 </v>
      </c>
      <c r="R2" s="4" t="str">
        <f>'EU Sun Complex'!R2</f>
        <v xml:space="preserve">09/10 </v>
      </c>
      <c r="S2" s="4" t="str">
        <f>'EU Sun Complex'!S2</f>
        <v xml:space="preserve">10/11 </v>
      </c>
      <c r="T2" s="4" t="str">
        <f>'EU Sun Complex'!T2</f>
        <v xml:space="preserve">11/12 </v>
      </c>
      <c r="U2" s="4" t="str">
        <f>'EU Sun Complex'!U2</f>
        <v xml:space="preserve">12/13 </v>
      </c>
      <c r="V2" s="4" t="str">
        <f>'EU Sun Complex'!V2</f>
        <v xml:space="preserve">13/14 </v>
      </c>
      <c r="W2" s="4" t="str">
        <f>'EU Sun Complex'!W2</f>
        <v xml:space="preserve">14/15 </v>
      </c>
      <c r="X2" s="4" t="str">
        <f>'EU Sun Complex'!X2</f>
        <v xml:space="preserve">15/16 </v>
      </c>
      <c r="Y2" s="4" t="str">
        <f>'EU Sun Complex'!Y2</f>
        <v xml:space="preserve">16/17 </v>
      </c>
      <c r="Z2" s="4" t="str">
        <f>'EU Sun Complex'!Z2</f>
        <v xml:space="preserve">17/18 </v>
      </c>
      <c r="AA2" s="4" t="str">
        <f>'EU Sun Complex'!AA2</f>
        <v xml:space="preserve">18/19 </v>
      </c>
      <c r="AB2" s="4" t="str">
        <f>'EU Sun Complex'!AB2</f>
        <v xml:space="preserve">19/20 </v>
      </c>
      <c r="AC2" s="4" t="str">
        <f>'EU Sun Complex'!AC2</f>
        <v xml:space="preserve">20/21 </v>
      </c>
      <c r="AD2" s="4" t="str">
        <f>'EU Sun Complex'!AD2</f>
        <v>21/22</v>
      </c>
    </row>
    <row r="3" spans="1:30" ht="15.75">
      <c r="A3" s="5" t="s">
        <v>2</v>
      </c>
      <c r="B3" s="6">
        <f>'EU Sun Complex'!B5+'Ukraine Sun Complex'!B5+'Russia Sun Complex'!B5</f>
        <v>9048.8582677165359</v>
      </c>
      <c r="C3" s="6">
        <f>'EU Sun Complex'!C5+'Ukraine Sun Complex'!C5+'Russia Sun Complex'!C5</f>
        <v>9521.1758241758253</v>
      </c>
      <c r="D3" s="6">
        <f>'EU Sun Complex'!D5+'Ukraine Sun Complex'!D5+'Russia Sun Complex'!D5</f>
        <v>10310.084507042255</v>
      </c>
      <c r="E3" s="6">
        <f>'EU Sun Complex'!E5+'Ukraine Sun Complex'!E5+'Russia Sun Complex'!E5</f>
        <v>9975.9047619047615</v>
      </c>
      <c r="F3" s="6">
        <f>'EU Sun Complex'!F5+'Ukraine Sun Complex'!F5+'Russia Sun Complex'!F5</f>
        <v>9643.95652173913</v>
      </c>
      <c r="G3" s="6">
        <f>'EU Sun Complex'!G5+'Ukraine Sun Complex'!G5+'Russia Sun Complex'!G5</f>
        <v>10369.559139784946</v>
      </c>
      <c r="H3" s="6">
        <f>'EU Sun Complex'!H5+'Ukraine Sun Complex'!H5+'Russia Sun Complex'!H5</f>
        <v>12361</v>
      </c>
      <c r="I3" s="6">
        <f>'EU Sun Complex'!I5+'Ukraine Sun Complex'!I5+'Russia Sun Complex'!I5</f>
        <v>11045.60655737705</v>
      </c>
      <c r="J3" s="6">
        <f>'EU Sun Complex'!J5+'Ukraine Sun Complex'!J5+'Russia Sun Complex'!J5</f>
        <v>9655.2193126022903</v>
      </c>
      <c r="K3" s="6">
        <f>'EU Sun Complex'!K5+'Ukraine Sun Complex'!K5+'Russia Sun Complex'!K5</f>
        <v>10236.266323024056</v>
      </c>
      <c r="L3" s="6">
        <f>'EU Sun Complex'!L5+'Ukraine Sun Complex'!L5+'Russia Sun Complex'!L5</f>
        <v>13315.214285714286</v>
      </c>
      <c r="M3" s="6">
        <f>'EU Sun Complex'!M5+'Ukraine Sun Complex'!M5+'Russia Sun Complex'!M5</f>
        <v>11956.966292134832</v>
      </c>
      <c r="N3" s="6">
        <f>'EU Sun Complex'!N5+'Ukraine Sun Complex'!N5+'Russia Sun Complex'!N5</f>
        <v>12840.5625</v>
      </c>
      <c r="O3" s="6">
        <f>'EU Sun Complex'!O5+'Ukraine Sun Complex'!O5+'Russia Sun Complex'!O5</f>
        <v>14096.705882352941</v>
      </c>
      <c r="P3" s="6">
        <f>'EU Sun Complex'!P5+'Ukraine Sun Complex'!P5+'Russia Sun Complex'!P5</f>
        <v>12225.311475409835</v>
      </c>
      <c r="Q3" s="6">
        <f>'EU Sun Complex'!Q5+'Ukraine Sun Complex'!Q5+'Russia Sun Complex'!Q5</f>
        <v>14022.849477124182</v>
      </c>
      <c r="R3" s="6">
        <f>'EU Sun Complex'!R5+'Ukraine Sun Complex'!R5+'Russia Sun Complex'!R5</f>
        <v>13970.772105263157</v>
      </c>
      <c r="S3" s="6">
        <f>'EU Sun Complex'!S5+'Ukraine Sun Complex'!S5+'Russia Sun Complex'!S5</f>
        <v>14042.64</v>
      </c>
      <c r="T3" s="6">
        <f>'EU Sun Complex'!T5+'Ukraine Sun Complex'!T5+'Russia Sun Complex'!T5</f>
        <v>16545.07</v>
      </c>
      <c r="U3" s="6">
        <f>'EU Sun Complex'!U5+'Ukraine Sun Complex'!U5+'Russia Sun Complex'!U5</f>
        <v>15768.20128663686</v>
      </c>
      <c r="V3" s="6">
        <f>'EU Sun Complex'!V5+'Ukraine Sun Complex'!V5+'Russia Sun Complex'!V5</f>
        <v>16699.477417765775</v>
      </c>
      <c r="W3" s="6">
        <f>'EU Sun Complex'!W5+'Ukraine Sun Complex'!W5+'Russia Sun Complex'!W5</f>
        <v>16203.300958526796</v>
      </c>
      <c r="X3" s="7">
        <f>'EU Sun Complex'!X5+'Ukraine Sun Complex'!X5+'Russia Sun Complex'!X5</f>
        <v>16148.284663536777</v>
      </c>
      <c r="Y3" s="7">
        <f>'EU Sun Complex'!Y5+'Ukraine Sun Complex'!Y5+'Russia Sun Complex'!Y5</f>
        <v>17726.380354777673</v>
      </c>
      <c r="Z3" s="7">
        <f>'EU Sun Complex'!Z5+'Ukraine Sun Complex'!Z5+'Russia Sun Complex'!Z5</f>
        <v>17515.065742574257</v>
      </c>
      <c r="AA3" s="7">
        <f>'EU Sun Complex'!AA5+'Ukraine Sun Complex'!AA5+'Russia Sun Complex'!AA5</f>
        <v>18128.345652173914</v>
      </c>
      <c r="AB3" s="7">
        <f>'EU Sun Complex'!AB5+'Ukraine Sun Complex'!AB5+'Russia Sun Complex'!AB5</f>
        <v>19147.735000000001</v>
      </c>
      <c r="AC3" s="7">
        <f>'EU Sun Complex'!AC5+'Ukraine Sun Complex'!AC5+'Russia Sun Complex'!AC5</f>
        <v>19725.828514851484</v>
      </c>
      <c r="AD3" s="8">
        <f>'EU Sun Complex'!AD5+'Ukraine Sun Complex'!AD5+'Russia Sun Complex'!AD5</f>
        <v>19323.77</v>
      </c>
    </row>
    <row r="4" spans="1:30" ht="15.75">
      <c r="A4" s="5" t="s">
        <v>3</v>
      </c>
      <c r="B4" s="9">
        <f>B6/B3</f>
        <v>1.1707554352791711</v>
      </c>
      <c r="C4" s="9">
        <f t="shared" ref="C4:AD4" si="0">C6/C3</f>
        <v>1.112639887722797</v>
      </c>
      <c r="D4" s="9">
        <f t="shared" si="0"/>
        <v>1.1285067539507332</v>
      </c>
      <c r="E4" s="9">
        <f t="shared" si="0"/>
        <v>1.1653830181293976</v>
      </c>
      <c r="F4" s="9">
        <f t="shared" si="0"/>
        <v>1.185436700614487</v>
      </c>
      <c r="G4" s="9">
        <f t="shared" si="0"/>
        <v>1.0867771568766726</v>
      </c>
      <c r="H4" s="9">
        <f t="shared" si="0"/>
        <v>1.0761224819998383</v>
      </c>
      <c r="I4" s="9">
        <f t="shared" si="0"/>
        <v>1.1342066128213575</v>
      </c>
      <c r="J4" s="9">
        <f t="shared" si="0"/>
        <v>1.0321878434177119</v>
      </c>
      <c r="K4" s="9">
        <f t="shared" si="0"/>
        <v>1.1935015770858515</v>
      </c>
      <c r="L4" s="9">
        <f t="shared" si="0"/>
        <v>1.154919453042438</v>
      </c>
      <c r="M4" s="9">
        <f t="shared" si="0"/>
        <v>1.2028970935094956</v>
      </c>
      <c r="N4" s="9">
        <f t="shared" si="0"/>
        <v>1.3427760660796597</v>
      </c>
      <c r="O4" s="9">
        <f t="shared" si="0"/>
        <v>1.327118559196141</v>
      </c>
      <c r="P4" s="9">
        <f t="shared" si="0"/>
        <v>1.2065009574331138</v>
      </c>
      <c r="Q4" s="9">
        <f t="shared" si="0"/>
        <v>1.4941585185079609</v>
      </c>
      <c r="R4" s="9">
        <f t="shared" si="0"/>
        <v>1.4091425908080959</v>
      </c>
      <c r="S4" s="9">
        <f t="shared" si="0"/>
        <v>1.3563382668785926</v>
      </c>
      <c r="T4" s="9">
        <f t="shared" si="0"/>
        <v>1.609882581336918</v>
      </c>
      <c r="U4" s="9">
        <f t="shared" si="0"/>
        <v>1.4640566530289281</v>
      </c>
      <c r="V4" s="9">
        <f t="shared" si="0"/>
        <v>1.8035241011769025</v>
      </c>
      <c r="W4" s="9">
        <f t="shared" si="0"/>
        <v>1.7239271227200423</v>
      </c>
      <c r="X4" s="10">
        <f t="shared" si="0"/>
        <v>1.7565128799127574</v>
      </c>
      <c r="Y4" s="10">
        <f t="shared" si="0"/>
        <v>1.8816921070414629</v>
      </c>
      <c r="Z4" s="10">
        <f t="shared" si="0"/>
        <v>1.8841442267489732</v>
      </c>
      <c r="AA4" s="10">
        <f t="shared" si="0"/>
        <v>2.0325908776778716</v>
      </c>
      <c r="AB4" s="10">
        <f t="shared" si="0"/>
        <v>2.1962472323750042</v>
      </c>
      <c r="AC4" s="10">
        <f t="shared" si="0"/>
        <v>1.8442941432147957</v>
      </c>
      <c r="AD4" s="11">
        <f t="shared" si="0"/>
        <v>2.1276836766324583</v>
      </c>
    </row>
    <row r="5" spans="1:30" ht="15.75">
      <c r="A5" s="12" t="s">
        <v>4</v>
      </c>
      <c r="B5" s="13">
        <f>'EU Sun Complex'!B8+'Ukraine Sun Complex'!B8+'Russia Sun Complex'!B8</f>
        <v>188.05799999999999</v>
      </c>
      <c r="C5" s="13">
        <f>'EU Sun Complex'!C8+'Ukraine Sun Complex'!C8+'Russia Sun Complex'!C8</f>
        <v>214.82299999999998</v>
      </c>
      <c r="D5" s="13">
        <f>'EU Sun Complex'!D8+'Ukraine Sun Complex'!D8+'Russia Sun Complex'!D8</f>
        <v>118.21899999999999</v>
      </c>
      <c r="E5" s="13">
        <f>'EU Sun Complex'!E8+'Ukraine Sun Complex'!E8+'Russia Sun Complex'!E8</f>
        <v>598.995</v>
      </c>
      <c r="F5" s="13">
        <f>'EU Sun Complex'!F8+'Ukraine Sun Complex'!F8+'Russia Sun Complex'!F8</f>
        <v>159.43299999999999</v>
      </c>
      <c r="G5" s="13">
        <f>'EU Sun Complex'!G8+'Ukraine Sun Complex'!G8+'Russia Sun Complex'!G8</f>
        <v>123.24299999999999</v>
      </c>
      <c r="H5" s="13">
        <f>'EU Sun Complex'!H8+'Ukraine Sun Complex'!H8+'Russia Sun Complex'!H8</f>
        <v>93.85</v>
      </c>
      <c r="I5" s="13">
        <f>'EU Sun Complex'!I8+'Ukraine Sun Complex'!I8+'Russia Sun Complex'!I8</f>
        <v>327.59800000000001</v>
      </c>
      <c r="J5" s="13">
        <f>'EU Sun Complex'!J8+'Ukraine Sun Complex'!J8+'Russia Sun Complex'!J8</f>
        <v>575.49199999999996</v>
      </c>
      <c r="K5" s="13">
        <f>'EU Sun Complex'!K8+'Ukraine Sun Complex'!K8+'Russia Sun Complex'!K8</f>
        <v>226.739</v>
      </c>
      <c r="L5" s="13">
        <f>'EU Sun Complex'!L8+'Ukraine Sun Complex'!L8+'Russia Sun Complex'!L8</f>
        <v>645.07600000000002</v>
      </c>
      <c r="M5" s="13">
        <f>'EU Sun Complex'!M8+'Ukraine Sun Complex'!M8+'Russia Sun Complex'!M8</f>
        <v>632.99400000000003</v>
      </c>
      <c r="N5" s="13">
        <f>'EU Sun Complex'!N8+'Ukraine Sun Complex'!N8+'Russia Sun Complex'!N8</f>
        <v>413.16800000000001</v>
      </c>
      <c r="O5" s="13">
        <f>'EU Sun Complex'!O8+'Ukraine Sun Complex'!O8+'Russia Sun Complex'!O8</f>
        <v>550.56999999999994</v>
      </c>
      <c r="P5" s="13">
        <f>'EU Sun Complex'!P8+'Ukraine Sun Complex'!P8+'Russia Sun Complex'!P8</f>
        <v>931.60199999999998</v>
      </c>
      <c r="Q5" s="13">
        <f>'EU Sun Complex'!Q8+'Ukraine Sun Complex'!Q8+'Russia Sun Complex'!Q8</f>
        <v>734.279</v>
      </c>
      <c r="R5" s="13">
        <f>'EU Sun Complex'!R8+'Ukraine Sun Complex'!R8+'Russia Sun Complex'!R8</f>
        <v>1272.683</v>
      </c>
      <c r="S5" s="13">
        <f>'EU Sun Complex'!S8+'Ukraine Sun Complex'!S8+'Russia Sun Complex'!S8</f>
        <v>1125.5430000000001</v>
      </c>
      <c r="T5" s="13">
        <f>'EU Sun Complex'!T8+'Ukraine Sun Complex'!T8+'Russia Sun Complex'!T8</f>
        <v>438.67200000000003</v>
      </c>
      <c r="U5" s="13">
        <f>'EU Sun Complex'!U8+'Ukraine Sun Complex'!U8+'Russia Sun Complex'!U8</f>
        <v>535.46799999999996</v>
      </c>
      <c r="V5" s="13">
        <f>'EU Sun Complex'!V8+'Ukraine Sun Complex'!V8+'Russia Sun Complex'!V8</f>
        <v>556.12400000000002</v>
      </c>
      <c r="W5" s="13">
        <f>'EU Sun Complex'!W8+'Ukraine Sun Complex'!W8+'Russia Sun Complex'!W8</f>
        <v>953.30399999999997</v>
      </c>
      <c r="X5" s="14">
        <f>'EU Sun Complex'!X8+'Ukraine Sun Complex'!X8+'Russia Sun Complex'!X8</f>
        <v>461.05899999999997</v>
      </c>
      <c r="Y5" s="14">
        <f>'EU Sun Complex'!Y8+'Ukraine Sun Complex'!Y8+'Russia Sun Complex'!Y8</f>
        <v>748.11599999999999</v>
      </c>
      <c r="Z5" s="14">
        <f>'EU Sun Complex'!Z8+'Ukraine Sun Complex'!Z8+'Russia Sun Complex'!Z8</f>
        <v>1616</v>
      </c>
      <c r="AA5" s="14">
        <f>'EU Sun Complex'!AA8+'Ukraine Sun Complex'!AA8+'Russia Sun Complex'!AA8</f>
        <v>1288</v>
      </c>
      <c r="AB5" s="14">
        <f>'EU Sun Complex'!AB8+'Ukraine Sun Complex'!AB8+'Russia Sun Complex'!AB8</f>
        <v>1265</v>
      </c>
      <c r="AC5" s="14">
        <f>'EU Sun Complex'!AC8+'Ukraine Sun Complex'!AC8+'Russia Sun Complex'!AC8</f>
        <v>1044</v>
      </c>
      <c r="AD5" s="15">
        <f>'EU Sun Complex'!AD8+'Ukraine Sun Complex'!AD8+'Russia Sun Complex'!AD8</f>
        <v>737</v>
      </c>
    </row>
    <row r="6" spans="1:30" ht="15.75">
      <c r="A6" s="5" t="s">
        <v>5</v>
      </c>
      <c r="B6" s="6">
        <f>'EU Sun Complex'!B9+'Ukraine Sun Complex'!B9+'Russia Sun Complex'!B9</f>
        <v>10594</v>
      </c>
      <c r="C6" s="6">
        <f>'EU Sun Complex'!C9+'Ukraine Sun Complex'!C9+'Russia Sun Complex'!C9</f>
        <v>10593.64</v>
      </c>
      <c r="D6" s="6">
        <f>'EU Sun Complex'!D9+'Ukraine Sun Complex'!D9+'Russia Sun Complex'!D9</f>
        <v>11635</v>
      </c>
      <c r="E6" s="6">
        <f>'EU Sun Complex'!E9+'Ukraine Sun Complex'!E9+'Russia Sun Complex'!E9</f>
        <v>11625.75</v>
      </c>
      <c r="F6" s="6">
        <f>'EU Sun Complex'!F9+'Ukraine Sun Complex'!F9+'Russia Sun Complex'!F9</f>
        <v>11432.3</v>
      </c>
      <c r="G6" s="6">
        <f>'EU Sun Complex'!G9+'Ukraine Sun Complex'!G9+'Russia Sun Complex'!G9</f>
        <v>11269.4</v>
      </c>
      <c r="H6" s="6">
        <f>'EU Sun Complex'!H9+'Ukraine Sun Complex'!H9+'Russia Sun Complex'!H9</f>
        <v>13301.95</v>
      </c>
      <c r="I6" s="6">
        <f>'EU Sun Complex'!I9+'Ukraine Sun Complex'!I9+'Russia Sun Complex'!I9</f>
        <v>12528</v>
      </c>
      <c r="J6" s="6">
        <f>'EU Sun Complex'!J9+'Ukraine Sun Complex'!J9+'Russia Sun Complex'!J9</f>
        <v>9966</v>
      </c>
      <c r="K6" s="6">
        <f>'EU Sun Complex'!K9+'Ukraine Sun Complex'!K9+'Russia Sun Complex'!K9</f>
        <v>12217</v>
      </c>
      <c r="L6" s="6">
        <f>'EU Sun Complex'!L9+'Ukraine Sun Complex'!L9+'Russia Sun Complex'!L9</f>
        <v>15378</v>
      </c>
      <c r="M6" s="6">
        <f>'EU Sun Complex'!M9+'Ukraine Sun Complex'!M9+'Russia Sun Complex'!M9</f>
        <v>14383</v>
      </c>
      <c r="N6" s="6">
        <f>'EU Sun Complex'!N9+'Ukraine Sun Complex'!N9+'Russia Sun Complex'!N9</f>
        <v>17242</v>
      </c>
      <c r="O6" s="6">
        <f>'EU Sun Complex'!O9+'Ukraine Sun Complex'!O9+'Russia Sun Complex'!O9</f>
        <v>18708</v>
      </c>
      <c r="P6" s="6">
        <f>'EU Sun Complex'!P9+'Ukraine Sun Complex'!P9+'Russia Sun Complex'!P9</f>
        <v>14749.85</v>
      </c>
      <c r="Q6" s="6">
        <f>'EU Sun Complex'!Q9+'Ukraine Sun Complex'!Q9+'Russia Sun Complex'!Q9</f>
        <v>20952.36</v>
      </c>
      <c r="R6" s="6">
        <f>'EU Sun Complex'!R9+'Ukraine Sun Complex'!R9+'Russia Sun Complex'!R9</f>
        <v>19686.810000000001</v>
      </c>
      <c r="S6" s="6">
        <f>'EU Sun Complex'!S9+'Ukraine Sun Complex'!S9+'Russia Sun Complex'!S9</f>
        <v>19046.57</v>
      </c>
      <c r="T6" s="6">
        <f>'EU Sun Complex'!T9+'Ukraine Sun Complex'!T9+'Russia Sun Complex'!T9</f>
        <v>26635.620000000003</v>
      </c>
      <c r="U6" s="6">
        <f>'EU Sun Complex'!U9+'Ukraine Sun Complex'!U9+'Russia Sun Complex'!U9</f>
        <v>23085.54</v>
      </c>
      <c r="V6" s="6">
        <f>'EU Sun Complex'!V9+'Ukraine Sun Complex'!V9+'Russia Sun Complex'!V9</f>
        <v>30117.91</v>
      </c>
      <c r="W6" s="6">
        <f>'EU Sun Complex'!W9+'Ukraine Sun Complex'!W9+'Russia Sun Complex'!W9</f>
        <v>27933.31</v>
      </c>
      <c r="X6" s="7">
        <f>'EU Sun Complex'!X9+'Ukraine Sun Complex'!X9+'Russia Sun Complex'!X9</f>
        <v>28364.67</v>
      </c>
      <c r="Y6" s="7">
        <f>'EU Sun Complex'!Y9+'Ukraine Sun Complex'!Y9+'Russia Sun Complex'!Y9</f>
        <v>33355.589999999997</v>
      </c>
      <c r="Z6" s="7">
        <f>'EU Sun Complex'!Z9+'Ukraine Sun Complex'!Z9+'Russia Sun Complex'!Z9</f>
        <v>33000.910000000003</v>
      </c>
      <c r="AA6" s="7">
        <f>'EU Sun Complex'!AA9+'Ukraine Sun Complex'!AA9+'Russia Sun Complex'!AA9</f>
        <v>36847.51</v>
      </c>
      <c r="AB6" s="7">
        <f>'EU Sun Complex'!AB9+'Ukraine Sun Complex'!AB9+'Russia Sun Complex'!AB9</f>
        <v>42053.16</v>
      </c>
      <c r="AC6" s="7">
        <f>'EU Sun Complex'!AC9+'Ukraine Sun Complex'!AC9+'Russia Sun Complex'!AC9</f>
        <v>36380.230000000003</v>
      </c>
      <c r="AD6" s="8">
        <f>'EU Sun Complex'!AD9+'Ukraine Sun Complex'!AD9+'Russia Sun Complex'!AD9</f>
        <v>41114.869999999995</v>
      </c>
    </row>
    <row r="7" spans="1:30" ht="15.75">
      <c r="A7" s="5" t="s">
        <v>6</v>
      </c>
      <c r="B7" s="6">
        <f>'EU Sun Complex'!B10+'Ukraine Sun Complex'!B10+'Russia Sun Complex'!B10</f>
        <v>1516</v>
      </c>
      <c r="C7" s="6">
        <f>'EU Sun Complex'!C10+'Ukraine Sun Complex'!C10+'Russia Sun Complex'!C10</f>
        <v>1620</v>
      </c>
      <c r="D7" s="6">
        <f>'EU Sun Complex'!D10+'Ukraine Sun Complex'!D10+'Russia Sun Complex'!D10</f>
        <v>2543</v>
      </c>
      <c r="E7" s="6">
        <f>'EU Sun Complex'!E10+'Ukraine Sun Complex'!E10+'Russia Sun Complex'!E10</f>
        <v>2422</v>
      </c>
      <c r="F7" s="6">
        <f>'EU Sun Complex'!F10+'Ukraine Sun Complex'!F10+'Russia Sun Complex'!F10</f>
        <v>1812.6519999999998</v>
      </c>
      <c r="G7" s="6">
        <f>'EU Sun Complex'!G10+'Ukraine Sun Complex'!G10+'Russia Sun Complex'!G10</f>
        <v>2211.181</v>
      </c>
      <c r="H7" s="6">
        <f>'EU Sun Complex'!H10+'Ukraine Sun Complex'!H10+'Russia Sun Complex'!H10</f>
        <v>1367.7330000000002</v>
      </c>
      <c r="I7" s="6">
        <f>'EU Sun Complex'!I10+'Ukraine Sun Complex'!I10+'Russia Sun Complex'!I10</f>
        <v>1763.0359999999998</v>
      </c>
      <c r="J7" s="6">
        <f>'EU Sun Complex'!J10+'Ukraine Sun Complex'!J10+'Russia Sun Complex'!J10</f>
        <v>784.65600000000006</v>
      </c>
      <c r="K7" s="6">
        <f>'EU Sun Complex'!K10+'Ukraine Sun Complex'!K10+'Russia Sun Complex'!K10</f>
        <v>742.17383900000004</v>
      </c>
      <c r="L7" s="6">
        <f>'EU Sun Complex'!L10+'Ukraine Sun Complex'!L10+'Russia Sun Complex'!L10</f>
        <v>1028.6487650000001</v>
      </c>
      <c r="M7" s="6">
        <f>'EU Sun Complex'!M10+'Ukraine Sun Complex'!M10+'Russia Sun Complex'!M10</f>
        <v>451.94283000000007</v>
      </c>
      <c r="N7" s="6">
        <f>'EU Sun Complex'!N10+'Ukraine Sun Complex'!N10+'Russia Sun Complex'!N10</f>
        <v>619.92644100000007</v>
      </c>
      <c r="O7" s="6">
        <f>'EU Sun Complex'!O10+'Ukraine Sun Complex'!O10+'Russia Sun Complex'!O10</f>
        <v>609.48125900000002</v>
      </c>
      <c r="P7" s="6">
        <f>'EU Sun Complex'!P10+'Ukraine Sun Complex'!P10+'Russia Sun Complex'!P10</f>
        <v>319.47768399999995</v>
      </c>
      <c r="Q7" s="6">
        <f>'EU Sun Complex'!Q10+'Ukraine Sun Complex'!Q10+'Russia Sun Complex'!Q10</f>
        <v>632.73350200000004</v>
      </c>
      <c r="R7" s="6">
        <f>'EU Sun Complex'!R10+'Ukraine Sun Complex'!R10+'Russia Sun Complex'!R10</f>
        <v>322.1949229999999</v>
      </c>
      <c r="S7" s="6">
        <f>'EU Sun Complex'!S10+'Ukraine Sun Complex'!S10+'Russia Sun Complex'!S10</f>
        <v>421.89666599999998</v>
      </c>
      <c r="T7" s="6">
        <f>'EU Sun Complex'!T10+'Ukraine Sun Complex'!T10+'Russia Sun Complex'!T10</f>
        <v>289.73136800000003</v>
      </c>
      <c r="U7" s="6">
        <f>'EU Sun Complex'!U10+'Ukraine Sun Complex'!U10+'Russia Sun Complex'!U10</f>
        <v>240.77743500000003</v>
      </c>
      <c r="V7" s="6">
        <f>'EU Sun Complex'!V10+'Ukraine Sun Complex'!V10+'Russia Sun Complex'!V10</f>
        <v>394.87839199999996</v>
      </c>
      <c r="W7" s="6">
        <f>'EU Sun Complex'!W10+'Ukraine Sun Complex'!W10+'Russia Sun Complex'!W10</f>
        <v>356.69654400000002</v>
      </c>
      <c r="X7" s="7">
        <f>'EU Sun Complex'!X10+'Ukraine Sun Complex'!X10+'Russia Sun Complex'!X10</f>
        <v>646.06156600000008</v>
      </c>
      <c r="Y7" s="7">
        <f>'EU Sun Complex'!Y10+'Ukraine Sun Complex'!Y10+'Russia Sun Complex'!Y10</f>
        <v>873.16728999999987</v>
      </c>
      <c r="Z7" s="7">
        <f>'EU Sun Complex'!Z10+'Ukraine Sun Complex'!Z10+'Russia Sun Complex'!Z10</f>
        <v>624.79930000000002</v>
      </c>
      <c r="AA7" s="7">
        <f>'EU Sun Complex'!AA10+'Ukraine Sun Complex'!AA10+'Russia Sun Complex'!AA10</f>
        <v>605.81408199999998</v>
      </c>
      <c r="AB7" s="7">
        <f>'EU Sun Complex'!AB10+'Ukraine Sun Complex'!AB10+'Russia Sun Complex'!AB10</f>
        <v>1056.2544999999998</v>
      </c>
      <c r="AC7" s="8">
        <f>'EU Sun Complex'!AC10+'Ukraine Sun Complex'!AC10+'Russia Sun Complex'!AC10</f>
        <v>946.06353300000001</v>
      </c>
      <c r="AD7" s="8">
        <f>'EU Sun Complex'!AD10+'Ukraine Sun Complex'!AD10+'Russia Sun Complex'!AD10</f>
        <v>1204.1400720000001</v>
      </c>
    </row>
    <row r="8" spans="1:30" ht="15.75">
      <c r="A8" s="5" t="s">
        <v>7</v>
      </c>
      <c r="B8" s="6">
        <f>B7+B6+B5</f>
        <v>12298.058000000001</v>
      </c>
      <c r="C8" s="6">
        <f t="shared" ref="C8:AD8" si="1">C7+C6+C5</f>
        <v>12428.463</v>
      </c>
      <c r="D8" s="6">
        <f t="shared" si="1"/>
        <v>14296.218999999999</v>
      </c>
      <c r="E8" s="6">
        <f t="shared" si="1"/>
        <v>14646.745000000001</v>
      </c>
      <c r="F8" s="6">
        <f t="shared" si="1"/>
        <v>13404.384999999998</v>
      </c>
      <c r="G8" s="6">
        <f t="shared" si="1"/>
        <v>13603.824000000001</v>
      </c>
      <c r="H8" s="6">
        <f t="shared" si="1"/>
        <v>14763.533000000001</v>
      </c>
      <c r="I8" s="6">
        <f t="shared" si="1"/>
        <v>14618.634</v>
      </c>
      <c r="J8" s="6">
        <f t="shared" si="1"/>
        <v>11326.148000000001</v>
      </c>
      <c r="K8" s="6">
        <f t="shared" si="1"/>
        <v>13185.912838999999</v>
      </c>
      <c r="L8" s="6">
        <f t="shared" si="1"/>
        <v>17051.724765000003</v>
      </c>
      <c r="M8" s="6">
        <f t="shared" si="1"/>
        <v>15467.936830000001</v>
      </c>
      <c r="N8" s="6">
        <f t="shared" si="1"/>
        <v>18275.094441000001</v>
      </c>
      <c r="O8" s="6">
        <f t="shared" si="1"/>
        <v>19868.051259</v>
      </c>
      <c r="P8" s="6">
        <f t="shared" si="1"/>
        <v>16000.929684000001</v>
      </c>
      <c r="Q8" s="6">
        <f t="shared" si="1"/>
        <v>22319.372501999998</v>
      </c>
      <c r="R8" s="6">
        <f t="shared" si="1"/>
        <v>21281.687923000001</v>
      </c>
      <c r="S8" s="6">
        <f t="shared" si="1"/>
        <v>20594.009666000002</v>
      </c>
      <c r="T8" s="6">
        <f t="shared" si="1"/>
        <v>27364.023368000002</v>
      </c>
      <c r="U8" s="6">
        <f t="shared" si="1"/>
        <v>23861.785435000002</v>
      </c>
      <c r="V8" s="6">
        <f t="shared" si="1"/>
        <v>31068.912391999998</v>
      </c>
      <c r="W8" s="6">
        <f t="shared" si="1"/>
        <v>29243.310544</v>
      </c>
      <c r="X8" s="7">
        <f t="shared" si="1"/>
        <v>29471.790566</v>
      </c>
      <c r="Y8" s="7">
        <f t="shared" si="1"/>
        <v>34976.873289999996</v>
      </c>
      <c r="Z8" s="7">
        <f t="shared" si="1"/>
        <v>35241.709300000002</v>
      </c>
      <c r="AA8" s="7">
        <f t="shared" si="1"/>
        <v>38741.324081999999</v>
      </c>
      <c r="AB8" s="7">
        <f t="shared" si="1"/>
        <v>44374.414500000006</v>
      </c>
      <c r="AC8" s="8">
        <f t="shared" si="1"/>
        <v>38370.293533000004</v>
      </c>
      <c r="AD8" s="8">
        <f t="shared" si="1"/>
        <v>43056.010071999997</v>
      </c>
    </row>
    <row r="9" spans="1:30" ht="15.75">
      <c r="A9" s="12" t="s">
        <v>8</v>
      </c>
      <c r="B9" s="13">
        <f>'EU Sun Complex'!B12+'Ukraine Sun Complex'!B12+'Russia Sun Complex'!B12</f>
        <v>9738.3544798108451</v>
      </c>
      <c r="C9" s="13">
        <f>'EU Sun Complex'!C12+'Ukraine Sun Complex'!C12+'Russia Sun Complex'!C12</f>
        <v>9780.8879486058977</v>
      </c>
      <c r="D9" s="13">
        <f>'EU Sun Complex'!D12+'Ukraine Sun Complex'!D12+'Russia Sun Complex'!D12</f>
        <v>11645.965053622473</v>
      </c>
      <c r="E9" s="13">
        <f>'EU Sun Complex'!E12+'Ukraine Sun Complex'!E12+'Russia Sun Complex'!E12</f>
        <v>10686.806771319716</v>
      </c>
      <c r="F9" s="13">
        <f>'EU Sun Complex'!F12+'Ukraine Sun Complex'!F12+'Russia Sun Complex'!F12</f>
        <v>9893.0391720693369</v>
      </c>
      <c r="G9" s="13">
        <f>'EU Sun Complex'!G12+'Ukraine Sun Complex'!G12+'Russia Sun Complex'!G12</f>
        <v>10397.838112089486</v>
      </c>
      <c r="H9" s="13">
        <f>'EU Sun Complex'!H12+'Ukraine Sun Complex'!H12+'Russia Sun Complex'!H12</f>
        <v>11899.75695299984</v>
      </c>
      <c r="I9" s="13">
        <f>'EU Sun Complex'!I12+'Ukraine Sun Complex'!I12+'Russia Sun Complex'!I12</f>
        <v>11702.300551118522</v>
      </c>
      <c r="J9" s="13">
        <f>'EU Sun Complex'!J12+'Ukraine Sun Complex'!J12+'Russia Sun Complex'!J12</f>
        <v>9590.5989883039401</v>
      </c>
      <c r="K9" s="13">
        <f>'EU Sun Complex'!K12+'Ukraine Sun Complex'!K12+'Russia Sun Complex'!K12</f>
        <v>11137.081943896479</v>
      </c>
      <c r="L9" s="13">
        <f>'EU Sun Complex'!L12+'Ukraine Sun Complex'!L12+'Russia Sun Complex'!L12</f>
        <v>13081.024597051204</v>
      </c>
      <c r="M9" s="13">
        <f>'EU Sun Complex'!M12+'Ukraine Sun Complex'!M12+'Russia Sun Complex'!M12</f>
        <v>12264.498631466155</v>
      </c>
      <c r="N9" s="13">
        <f>'EU Sun Complex'!N12+'Ukraine Sun Complex'!N12+'Russia Sun Complex'!N12</f>
        <v>14919.129723217604</v>
      </c>
      <c r="O9" s="13">
        <f>'EU Sun Complex'!O12+'Ukraine Sun Complex'!O12+'Russia Sun Complex'!O12</f>
        <v>15902.000283708632</v>
      </c>
      <c r="P9" s="13">
        <f>'EU Sun Complex'!P12+'Ukraine Sun Complex'!P12+'Russia Sun Complex'!P12</f>
        <v>13213.538027077479</v>
      </c>
      <c r="Q9" s="13">
        <f>'EU Sun Complex'!Q12+'Ukraine Sun Complex'!Q12+'Russia Sun Complex'!Q12</f>
        <v>17676.876043499025</v>
      </c>
      <c r="R9" s="13">
        <f>'EU Sun Complex'!R12+'Ukraine Sun Complex'!R12+'Russia Sun Complex'!R12</f>
        <v>18243.536777977763</v>
      </c>
      <c r="S9" s="13">
        <f>'EU Sun Complex'!S12+'Ukraine Sun Complex'!S12+'Russia Sun Complex'!S12</f>
        <v>17507.859017860828</v>
      </c>
      <c r="T9" s="13">
        <f>'EU Sun Complex'!T12+'Ukraine Sun Complex'!T12+'Russia Sun Complex'!T12</f>
        <v>23319.240768797412</v>
      </c>
      <c r="U9" s="13">
        <f>'EU Sun Complex'!U12+'Ukraine Sun Complex'!U12+'Russia Sun Complex'!U12</f>
        <v>20378.60060319502</v>
      </c>
      <c r="V9" s="13">
        <f>'EU Sun Complex'!V12+'Ukraine Sun Complex'!V12+'Russia Sun Complex'!V12</f>
        <v>26438.164110221234</v>
      </c>
      <c r="W9" s="13">
        <f>'EU Sun Complex'!W12+'Ukraine Sun Complex'!W12+'Russia Sun Complex'!W12</f>
        <v>24000.510619256311</v>
      </c>
      <c r="X9" s="14">
        <f>'EU Sun Complex'!X12+'Ukraine Sun Complex'!X12+'Russia Sun Complex'!X12</f>
        <v>24381.708010538823</v>
      </c>
      <c r="Y9" s="14">
        <f>'EU Sun Complex'!Y12+'Ukraine Sun Complex'!Y12+'Russia Sun Complex'!Y12</f>
        <v>30359.714591038173</v>
      </c>
      <c r="Z9" s="14">
        <f>'EU Sun Complex'!Z12+'Ukraine Sun Complex'!Z12+'Russia Sun Complex'!Z12</f>
        <v>31984.464017417002</v>
      </c>
      <c r="AA9" s="14">
        <f>'EU Sun Complex'!AA12+'Ukraine Sun Complex'!AA12+'Russia Sun Complex'!AA12</f>
        <v>36226.504807285615</v>
      </c>
      <c r="AB9" s="14">
        <f>'EU Sun Complex'!AB12+'Ukraine Sun Complex'!AB12+'Russia Sun Complex'!AB12</f>
        <v>38628.144189631064</v>
      </c>
      <c r="AC9" s="15">
        <f>'EU Sun Complex'!AC12+'Ukraine Sun Complex'!AC12+'Russia Sun Complex'!AC12</f>
        <v>34156.959142968364</v>
      </c>
      <c r="AD9" s="15">
        <f>'EU Sun Complex'!AD12+'Ukraine Sun Complex'!AD12+'Russia Sun Complex'!AD12</f>
        <v>31559.842558625111</v>
      </c>
    </row>
    <row r="10" spans="1:30" ht="15.75">
      <c r="A10" s="5" t="s">
        <v>9</v>
      </c>
      <c r="B10" s="6">
        <f>'EU Sun Complex'!B13+'Ukraine Sun Complex'!B13+'Russia Sun Complex'!B13</f>
        <v>990</v>
      </c>
      <c r="C10" s="6">
        <f>'EU Sun Complex'!C13+'Ukraine Sun Complex'!C13+'Russia Sun Complex'!C13</f>
        <v>1152.5</v>
      </c>
      <c r="D10" s="6">
        <f>'EU Sun Complex'!D13+'Ukraine Sun Complex'!D13+'Russia Sun Complex'!D13</f>
        <v>2166.1</v>
      </c>
      <c r="E10" s="6">
        <f>'EU Sun Complex'!E13+'Ukraine Sun Complex'!E13+'Russia Sun Complex'!E13</f>
        <v>2804.2695310000008</v>
      </c>
      <c r="F10" s="6">
        <f>'EU Sun Complex'!F13+'Ukraine Sun Complex'!F13+'Russia Sun Complex'!F13</f>
        <v>1751.3115570000002</v>
      </c>
      <c r="G10" s="6">
        <f>'EU Sun Complex'!G13+'Ukraine Sun Complex'!G13+'Russia Sun Complex'!G13</f>
        <v>1861.2627579999998</v>
      </c>
      <c r="H10" s="6">
        <f>'EU Sun Complex'!H13+'Ukraine Sun Complex'!H13+'Russia Sun Complex'!H13</f>
        <v>1409.1112619999999</v>
      </c>
      <c r="I10" s="6">
        <f>'EU Sun Complex'!I13+'Ukraine Sun Complex'!I13+'Russia Sun Complex'!I13</f>
        <v>1821.8467420000002</v>
      </c>
      <c r="J10" s="6">
        <f>'EU Sun Complex'!J13+'Ukraine Sun Complex'!J13+'Russia Sun Complex'!J13</f>
        <v>245.71561799999998</v>
      </c>
      <c r="K10" s="6">
        <f>'EU Sun Complex'!K13+'Ukraine Sun Complex'!K13+'Russia Sun Complex'!K13</f>
        <v>632.79784999999993</v>
      </c>
      <c r="L10" s="6">
        <f>'EU Sun Complex'!L13+'Ukraine Sun Complex'!L13+'Russia Sun Complex'!L13</f>
        <v>1618.627</v>
      </c>
      <c r="M10" s="6">
        <f>'EU Sun Complex'!M13+'Ukraine Sun Complex'!M13+'Russia Sun Complex'!M13</f>
        <v>654.55899999999997</v>
      </c>
      <c r="N10" s="6">
        <f>'EU Sun Complex'!N13+'Ukraine Sun Complex'!N13+'Russia Sun Complex'!N13</f>
        <v>932.298</v>
      </c>
      <c r="O10" s="6">
        <f>'EU Sun Complex'!O13+'Ukraine Sun Complex'!O13+'Russia Sun Complex'!O13</f>
        <v>1288.019</v>
      </c>
      <c r="P10" s="6">
        <f>'EU Sun Complex'!P13+'Ukraine Sun Complex'!P13+'Russia Sun Complex'!P13</f>
        <v>609.274</v>
      </c>
      <c r="Q10" s="6">
        <f>'EU Sun Complex'!Q13+'Ukraine Sun Complex'!Q13+'Russia Sun Complex'!Q13</f>
        <v>1250.7920000000001</v>
      </c>
      <c r="R10" s="6">
        <f>'EU Sun Complex'!R13+'Ukraine Sun Complex'!R13+'Russia Sun Complex'!R13</f>
        <v>1078.0619999999999</v>
      </c>
      <c r="S10" s="6">
        <f>'EU Sun Complex'!S13+'Ukraine Sun Complex'!S13+'Russia Sun Complex'!S13</f>
        <v>972.50400000000013</v>
      </c>
      <c r="T10" s="6">
        <f>'EU Sun Complex'!T13+'Ukraine Sun Complex'!T13+'Russia Sun Complex'!T13</f>
        <v>1263.7280000000001</v>
      </c>
      <c r="U10" s="6">
        <f>'EU Sun Complex'!U13+'Ukraine Sun Complex'!U13+'Russia Sun Complex'!U13</f>
        <v>609.32800000000009</v>
      </c>
      <c r="V10" s="6">
        <f>'EU Sun Complex'!V13+'Ukraine Sun Complex'!V13+'Russia Sun Complex'!V13</f>
        <v>944.98599999999999</v>
      </c>
      <c r="W10" s="6">
        <f>'EU Sun Complex'!W13+'Ukraine Sun Complex'!W13+'Russia Sun Complex'!W13</f>
        <v>671.87</v>
      </c>
      <c r="X10" s="7">
        <f>'EU Sun Complex'!X13+'Ukraine Sun Complex'!X13+'Russia Sun Complex'!X13</f>
        <v>578.31900000000007</v>
      </c>
      <c r="Y10" s="7">
        <f>'EU Sun Complex'!Y13+'Ukraine Sun Complex'!Y13+'Russia Sun Complex'!Y13</f>
        <v>963.17271499999993</v>
      </c>
      <c r="Z10" s="7">
        <f>'EU Sun Complex'!Z13+'Ukraine Sun Complex'!Z13+'Russia Sun Complex'!Z13</f>
        <v>781.69754299999988</v>
      </c>
      <c r="AA10" s="7">
        <f>'EU Sun Complex'!AA13+'Ukraine Sun Complex'!AA13+'Russia Sun Complex'!AA13</f>
        <v>952.15896699999996</v>
      </c>
      <c r="AB10" s="7">
        <f>'EU Sun Complex'!AB13+'Ukraine Sun Complex'!AB13+'Russia Sun Complex'!AB13</f>
        <v>1850.1113119999998</v>
      </c>
      <c r="AC10" s="8">
        <f>'EU Sun Complex'!AC13+'Ukraine Sun Complex'!AC13+'Russia Sun Complex'!AC13</f>
        <v>1480.0748140000001</v>
      </c>
      <c r="AD10" s="8">
        <f>'EU Sun Complex'!AD13+'Ukraine Sun Complex'!AD13+'Russia Sun Complex'!AD13</f>
        <v>2274.2310649999999</v>
      </c>
    </row>
    <row r="11" spans="1:30" ht="15.75">
      <c r="A11" s="5" t="s">
        <v>10</v>
      </c>
      <c r="B11" s="6">
        <f>'EU Sun Complex'!B14+'Ukraine Sun Complex'!B14+'Russia Sun Complex'!B14</f>
        <v>66</v>
      </c>
      <c r="C11" s="6">
        <f>'EU Sun Complex'!C14+'Ukraine Sun Complex'!C14+'Russia Sun Complex'!C14</f>
        <v>72</v>
      </c>
      <c r="D11" s="6">
        <f>'EU Sun Complex'!D14+'Ukraine Sun Complex'!D14+'Russia Sun Complex'!D14</f>
        <v>71</v>
      </c>
      <c r="E11" s="6">
        <f>'EU Sun Complex'!E14+'Ukraine Sun Complex'!E14+'Russia Sun Complex'!E14</f>
        <v>67</v>
      </c>
      <c r="F11" s="6">
        <f>'EU Sun Complex'!F14+'Ukraine Sun Complex'!F14+'Russia Sun Complex'!F14</f>
        <v>73</v>
      </c>
      <c r="G11" s="6">
        <f>'EU Sun Complex'!G14+'Ukraine Sun Complex'!G14+'Russia Sun Complex'!G14</f>
        <v>87</v>
      </c>
      <c r="H11" s="6">
        <f>'EU Sun Complex'!H14+'Ukraine Sun Complex'!H14+'Russia Sun Complex'!H14</f>
        <v>78</v>
      </c>
      <c r="I11" s="6">
        <f>'EU Sun Complex'!I14+'Ukraine Sun Complex'!I14+'Russia Sun Complex'!I14</f>
        <v>69</v>
      </c>
      <c r="J11" s="6">
        <f>'EU Sun Complex'!J14+'Ukraine Sun Complex'!J14+'Russia Sun Complex'!J14</f>
        <v>72</v>
      </c>
      <c r="K11" s="6">
        <f>'EU Sun Complex'!K14+'Ukraine Sun Complex'!K14+'Russia Sun Complex'!K14</f>
        <v>95</v>
      </c>
      <c r="L11" s="6">
        <f>'EU Sun Complex'!L14+'Ukraine Sun Complex'!L14+'Russia Sun Complex'!L14</f>
        <v>85</v>
      </c>
      <c r="M11" s="6">
        <f>'EU Sun Complex'!M14+'Ukraine Sun Complex'!M14+'Russia Sun Complex'!M14</f>
        <v>90</v>
      </c>
      <c r="N11" s="6">
        <f>'EU Sun Complex'!N14+'Ukraine Sun Complex'!N14+'Russia Sun Complex'!N14</f>
        <v>100</v>
      </c>
      <c r="O11" s="6">
        <f>'EU Sun Complex'!O14+'Ukraine Sun Complex'!O14+'Russia Sun Complex'!O14</f>
        <v>86</v>
      </c>
      <c r="P11" s="6">
        <f>'EU Sun Complex'!P14+'Ukraine Sun Complex'!P14+'Russia Sun Complex'!P14</f>
        <v>98</v>
      </c>
      <c r="Q11" s="6">
        <f>'EU Sun Complex'!Q14+'Ukraine Sun Complex'!Q14+'Russia Sun Complex'!Q14</f>
        <v>98</v>
      </c>
      <c r="R11" s="6">
        <f>'EU Sun Complex'!R14+'Ukraine Sun Complex'!R14+'Russia Sun Complex'!R14</f>
        <v>98</v>
      </c>
      <c r="S11" s="6">
        <f>'EU Sun Complex'!S14+'Ukraine Sun Complex'!S14+'Russia Sun Complex'!S14</f>
        <v>116</v>
      </c>
      <c r="T11" s="6">
        <f>'EU Sun Complex'!T14+'Ukraine Sun Complex'!T14+'Russia Sun Complex'!T14</f>
        <v>111</v>
      </c>
      <c r="U11" s="6">
        <f>'EU Sun Complex'!U14+'Ukraine Sun Complex'!U14+'Russia Sun Complex'!U14</f>
        <v>116</v>
      </c>
      <c r="V11" s="6">
        <f>'EU Sun Complex'!V14+'Ukraine Sun Complex'!V14+'Russia Sun Complex'!V14</f>
        <v>114</v>
      </c>
      <c r="W11" s="6">
        <f>'EU Sun Complex'!W14+'Ukraine Sun Complex'!W14+'Russia Sun Complex'!W14</f>
        <v>113</v>
      </c>
      <c r="X11" s="7">
        <f>'EU Sun Complex'!X14+'Ukraine Sun Complex'!X14+'Russia Sun Complex'!X14</f>
        <v>125</v>
      </c>
      <c r="Y11" s="7">
        <f>'EU Sun Complex'!Y14+'Ukraine Sun Complex'!Y14+'Russia Sun Complex'!Y14</f>
        <v>123</v>
      </c>
      <c r="Z11" s="7">
        <f>'EU Sun Complex'!Z14+'Ukraine Sun Complex'!Z14+'Russia Sun Complex'!Z14</f>
        <v>127</v>
      </c>
      <c r="AA11" s="7">
        <f>'EU Sun Complex'!AA14+'Ukraine Sun Complex'!AA14+'Russia Sun Complex'!AA14</f>
        <v>130</v>
      </c>
      <c r="AB11" s="7">
        <f>'EU Sun Complex'!AB14+'Ukraine Sun Complex'!AB14+'Russia Sun Complex'!AB14</f>
        <v>134</v>
      </c>
      <c r="AC11" s="8">
        <f>'EU Sun Complex'!AC14+'Ukraine Sun Complex'!AC14+'Russia Sun Complex'!AC14</f>
        <v>137</v>
      </c>
      <c r="AD11" s="8">
        <f>'EU Sun Complex'!AD14+'Ukraine Sun Complex'!AD14+'Russia Sun Complex'!AD14</f>
        <v>137</v>
      </c>
    </row>
    <row r="12" spans="1:30" ht="15.75">
      <c r="A12" s="5" t="s">
        <v>11</v>
      </c>
      <c r="B12" s="6">
        <f>B13-SUM(B9:B11)</f>
        <v>1288.8805201891555</v>
      </c>
      <c r="C12" s="6">
        <f t="shared" ref="C12:AD12" si="2">C13-SUM(C9:C11)</f>
        <v>1304.8560513941029</v>
      </c>
      <c r="D12" s="6">
        <f t="shared" si="2"/>
        <v>-185.84105362247465</v>
      </c>
      <c r="E12" s="6">
        <f t="shared" si="2"/>
        <v>929.23569768028392</v>
      </c>
      <c r="F12" s="6">
        <f t="shared" si="2"/>
        <v>1563.7912709306602</v>
      </c>
      <c r="G12" s="6">
        <f t="shared" si="2"/>
        <v>1163.8731299105148</v>
      </c>
      <c r="H12" s="6">
        <f t="shared" si="2"/>
        <v>1049.066785000161</v>
      </c>
      <c r="I12" s="6">
        <f t="shared" si="2"/>
        <v>449.99470688147812</v>
      </c>
      <c r="J12" s="6">
        <f t="shared" si="2"/>
        <v>1191.0943936960612</v>
      </c>
      <c r="K12" s="6">
        <f t="shared" si="2"/>
        <v>675.95704510352152</v>
      </c>
      <c r="L12" s="6">
        <f t="shared" si="2"/>
        <v>1634.0791679487993</v>
      </c>
      <c r="M12" s="6">
        <f t="shared" si="2"/>
        <v>2045.711198533847</v>
      </c>
      <c r="N12" s="6">
        <f t="shared" si="2"/>
        <v>1773.0967177823968</v>
      </c>
      <c r="O12" s="6">
        <f t="shared" si="2"/>
        <v>1660.4299752913685</v>
      </c>
      <c r="P12" s="6">
        <f t="shared" si="2"/>
        <v>1345.8386569225222</v>
      </c>
      <c r="Q12" s="6">
        <f t="shared" si="2"/>
        <v>2021.0214585009708</v>
      </c>
      <c r="R12" s="6">
        <f t="shared" si="2"/>
        <v>736.54614502223558</v>
      </c>
      <c r="S12" s="6">
        <f t="shared" si="2"/>
        <v>1558.974648139174</v>
      </c>
      <c r="T12" s="6">
        <f t="shared" si="2"/>
        <v>2134.5865992025902</v>
      </c>
      <c r="U12" s="6">
        <f t="shared" si="2"/>
        <v>2201.7328318049804</v>
      </c>
      <c r="V12" s="6">
        <f t="shared" si="2"/>
        <v>2618.4582817787632</v>
      </c>
      <c r="W12" s="6">
        <f t="shared" si="2"/>
        <v>3996.8709247436891</v>
      </c>
      <c r="X12" s="7">
        <f t="shared" si="2"/>
        <v>3638.6475554611789</v>
      </c>
      <c r="Y12" s="7">
        <f t="shared" si="2"/>
        <v>1914.9859839618221</v>
      </c>
      <c r="Z12" s="7">
        <f t="shared" si="2"/>
        <v>1060.5477395830021</v>
      </c>
      <c r="AA12" s="7">
        <f t="shared" si="2"/>
        <v>167.66030771438091</v>
      </c>
      <c r="AB12" s="7">
        <f t="shared" si="2"/>
        <v>2718.158998368941</v>
      </c>
      <c r="AC12" s="8">
        <f t="shared" si="2"/>
        <v>1859.2595760316399</v>
      </c>
      <c r="AD12" s="8">
        <f t="shared" si="2"/>
        <v>2997.9364483748868</v>
      </c>
    </row>
    <row r="13" spans="1:30" ht="15.75">
      <c r="A13" s="5" t="s">
        <v>12</v>
      </c>
      <c r="B13" s="6">
        <f>B8-B14</f>
        <v>12083.235000000001</v>
      </c>
      <c r="C13" s="6">
        <f t="shared" ref="C13:AD13" si="3">C8-C14</f>
        <v>12310.244000000001</v>
      </c>
      <c r="D13" s="6">
        <f t="shared" si="3"/>
        <v>13697.223999999998</v>
      </c>
      <c r="E13" s="6">
        <f t="shared" si="3"/>
        <v>14487.312000000002</v>
      </c>
      <c r="F13" s="6">
        <f t="shared" si="3"/>
        <v>13281.141999999998</v>
      </c>
      <c r="G13" s="6">
        <f t="shared" si="3"/>
        <v>13509.974</v>
      </c>
      <c r="H13" s="6">
        <f t="shared" si="3"/>
        <v>14435.935000000001</v>
      </c>
      <c r="I13" s="6">
        <f t="shared" si="3"/>
        <v>14043.142</v>
      </c>
      <c r="J13" s="6">
        <f t="shared" si="3"/>
        <v>11099.409000000001</v>
      </c>
      <c r="K13" s="6">
        <f t="shared" si="3"/>
        <v>12540.836839</v>
      </c>
      <c r="L13" s="6">
        <f t="shared" si="3"/>
        <v>16418.730765000004</v>
      </c>
      <c r="M13" s="6">
        <f t="shared" si="3"/>
        <v>15054.768830000001</v>
      </c>
      <c r="N13" s="6">
        <f t="shared" si="3"/>
        <v>17724.524441000001</v>
      </c>
      <c r="O13" s="6">
        <f t="shared" si="3"/>
        <v>18936.449259000001</v>
      </c>
      <c r="P13" s="6">
        <f t="shared" si="3"/>
        <v>15266.650684</v>
      </c>
      <c r="Q13" s="6">
        <f t="shared" si="3"/>
        <v>21046.689501999997</v>
      </c>
      <c r="R13" s="6">
        <f t="shared" si="3"/>
        <v>20156.144923</v>
      </c>
      <c r="S13" s="6">
        <f t="shared" si="3"/>
        <v>20155.337666000003</v>
      </c>
      <c r="T13" s="6">
        <f t="shared" si="3"/>
        <v>26828.555368000001</v>
      </c>
      <c r="U13" s="6">
        <f t="shared" si="3"/>
        <v>23305.661435000002</v>
      </c>
      <c r="V13" s="6">
        <f t="shared" si="3"/>
        <v>30115.608391999998</v>
      </c>
      <c r="W13" s="6">
        <f t="shared" si="3"/>
        <v>28782.251543999999</v>
      </c>
      <c r="X13" s="7">
        <f t="shared" si="3"/>
        <v>28723.674566000002</v>
      </c>
      <c r="Y13" s="7">
        <f t="shared" si="3"/>
        <v>33360.873289999996</v>
      </c>
      <c r="Z13" s="7">
        <f t="shared" si="3"/>
        <v>33953.709300000002</v>
      </c>
      <c r="AA13" s="7">
        <f t="shared" si="3"/>
        <v>37476.324081999999</v>
      </c>
      <c r="AB13" s="7">
        <f t="shared" si="3"/>
        <v>43330.414500000006</v>
      </c>
      <c r="AC13" s="8">
        <f t="shared" si="3"/>
        <v>37633.293533000004</v>
      </c>
      <c r="AD13" s="8">
        <f t="shared" si="3"/>
        <v>36969.010071999997</v>
      </c>
    </row>
    <row r="14" spans="1:30" ht="15.75">
      <c r="A14" s="12" t="s">
        <v>13</v>
      </c>
      <c r="B14" s="13">
        <f>'EU Sun Complex'!B17+'Ukraine Sun Complex'!B17+'Russia Sun Complex'!B17</f>
        <v>214.82299999999998</v>
      </c>
      <c r="C14" s="13">
        <f>'EU Sun Complex'!C17+'Ukraine Sun Complex'!C17+'Russia Sun Complex'!C17</f>
        <v>118.21899999999999</v>
      </c>
      <c r="D14" s="13">
        <f>'EU Sun Complex'!D17+'Ukraine Sun Complex'!D17+'Russia Sun Complex'!D17</f>
        <v>598.995</v>
      </c>
      <c r="E14" s="13">
        <f>'EU Sun Complex'!E17+'Ukraine Sun Complex'!E17+'Russia Sun Complex'!E17</f>
        <v>159.43299999999999</v>
      </c>
      <c r="F14" s="13">
        <f>'EU Sun Complex'!F17+'Ukraine Sun Complex'!F17+'Russia Sun Complex'!F17</f>
        <v>123.24299999999999</v>
      </c>
      <c r="G14" s="13">
        <f>'EU Sun Complex'!G17+'Ukraine Sun Complex'!G17+'Russia Sun Complex'!G17</f>
        <v>93.85</v>
      </c>
      <c r="H14" s="13">
        <f>'EU Sun Complex'!H17+'Ukraine Sun Complex'!H17+'Russia Sun Complex'!H17</f>
        <v>327.59800000000001</v>
      </c>
      <c r="I14" s="13">
        <f>'EU Sun Complex'!I17+'Ukraine Sun Complex'!I17+'Russia Sun Complex'!I17</f>
        <v>575.49199999999996</v>
      </c>
      <c r="J14" s="13">
        <f>'EU Sun Complex'!J17+'Ukraine Sun Complex'!J17+'Russia Sun Complex'!J17</f>
        <v>226.739</v>
      </c>
      <c r="K14" s="13">
        <f>'EU Sun Complex'!K17+'Ukraine Sun Complex'!K17+'Russia Sun Complex'!K17</f>
        <v>645.07600000000002</v>
      </c>
      <c r="L14" s="13">
        <f>'EU Sun Complex'!L17+'Ukraine Sun Complex'!L17+'Russia Sun Complex'!L17</f>
        <v>632.99400000000003</v>
      </c>
      <c r="M14" s="13">
        <f>'EU Sun Complex'!M17+'Ukraine Sun Complex'!M17+'Russia Sun Complex'!M17</f>
        <v>413.16800000000001</v>
      </c>
      <c r="N14" s="13">
        <f>'EU Sun Complex'!N17+'Ukraine Sun Complex'!N17+'Russia Sun Complex'!N17</f>
        <v>550.56999999999994</v>
      </c>
      <c r="O14" s="13">
        <f>'EU Sun Complex'!O17+'Ukraine Sun Complex'!O17+'Russia Sun Complex'!O17</f>
        <v>931.60199999999998</v>
      </c>
      <c r="P14" s="13">
        <f>'EU Sun Complex'!P17+'Ukraine Sun Complex'!P17+'Russia Sun Complex'!P17</f>
        <v>734.279</v>
      </c>
      <c r="Q14" s="13">
        <f>'EU Sun Complex'!Q17+'Ukraine Sun Complex'!Q17+'Russia Sun Complex'!Q17</f>
        <v>1272.683</v>
      </c>
      <c r="R14" s="13">
        <f>'EU Sun Complex'!R17+'Ukraine Sun Complex'!R17+'Russia Sun Complex'!R17</f>
        <v>1125.5430000000001</v>
      </c>
      <c r="S14" s="13">
        <f>'EU Sun Complex'!S17+'Ukraine Sun Complex'!S17+'Russia Sun Complex'!S17</f>
        <v>438.67200000000003</v>
      </c>
      <c r="T14" s="13">
        <f>'EU Sun Complex'!T17+'Ukraine Sun Complex'!T17+'Russia Sun Complex'!T17</f>
        <v>535.46799999999996</v>
      </c>
      <c r="U14" s="13">
        <f>'EU Sun Complex'!U17+'Ukraine Sun Complex'!U17+'Russia Sun Complex'!U17</f>
        <v>556.12400000000002</v>
      </c>
      <c r="V14" s="13">
        <f>'EU Sun Complex'!V17+'Ukraine Sun Complex'!V17+'Russia Sun Complex'!V17</f>
        <v>953.30399999999997</v>
      </c>
      <c r="W14" s="13">
        <f>'EU Sun Complex'!W17+'Ukraine Sun Complex'!W17+'Russia Sun Complex'!W17</f>
        <v>461.05899999999997</v>
      </c>
      <c r="X14" s="14">
        <f>'EU Sun Complex'!X17+'Ukraine Sun Complex'!X17+'Russia Sun Complex'!X17</f>
        <v>748.11599999999999</v>
      </c>
      <c r="Y14" s="14">
        <f>'EU Sun Complex'!Y17+'Ukraine Sun Complex'!Y17+'Russia Sun Complex'!Y17</f>
        <v>1616</v>
      </c>
      <c r="Z14" s="14">
        <f>'EU Sun Complex'!Z17+'Ukraine Sun Complex'!Z17+'Russia Sun Complex'!Z17</f>
        <v>1288</v>
      </c>
      <c r="AA14" s="14">
        <f>'EU Sun Complex'!AA17+'Ukraine Sun Complex'!AA17+'Russia Sun Complex'!AA17</f>
        <v>1265</v>
      </c>
      <c r="AB14" s="14">
        <f>'EU Sun Complex'!AB17+'Ukraine Sun Complex'!AB17+'Russia Sun Complex'!AB17</f>
        <v>1044</v>
      </c>
      <c r="AC14" s="15">
        <f>'EU Sun Complex'!AC17+'Ukraine Sun Complex'!AC17+'Russia Sun Complex'!AC17</f>
        <v>737</v>
      </c>
      <c r="AD14" s="15">
        <f>'EU Sun Complex'!AD17+'Ukraine Sun Complex'!AD17+'Russia Sun Complex'!AD17</f>
        <v>6087</v>
      </c>
    </row>
    <row r="15" spans="1:30" ht="16.5" thickBot="1">
      <c r="A15" s="5" t="s">
        <v>14</v>
      </c>
      <c r="B15" s="16">
        <f>B14/B13</f>
        <v>1.7778599853433288E-2</v>
      </c>
      <c r="C15" s="16">
        <f t="shared" ref="C15:AD15" si="4">C14/C13</f>
        <v>9.6033027452583387E-3</v>
      </c>
      <c r="D15" s="16">
        <f t="shared" si="4"/>
        <v>4.3731123912407369E-2</v>
      </c>
      <c r="E15" s="16">
        <f t="shared" si="4"/>
        <v>1.1005009072766568E-2</v>
      </c>
      <c r="F15" s="16">
        <f t="shared" si="4"/>
        <v>9.2795484002806388E-3</v>
      </c>
      <c r="G15" s="16">
        <f t="shared" si="4"/>
        <v>6.9467195125616074E-3</v>
      </c>
      <c r="H15" s="16">
        <f t="shared" si="4"/>
        <v>2.2693230469657835E-2</v>
      </c>
      <c r="I15" s="16">
        <f t="shared" si="4"/>
        <v>4.0980287744722656E-2</v>
      </c>
      <c r="J15" s="16">
        <f t="shared" si="4"/>
        <v>2.0428024591219222E-2</v>
      </c>
      <c r="K15" s="16">
        <f t="shared" si="4"/>
        <v>5.1438034660806424E-2</v>
      </c>
      <c r="L15" s="16">
        <f t="shared" si="4"/>
        <v>3.8553162790717084E-2</v>
      </c>
      <c r="M15" s="16">
        <f t="shared" si="4"/>
        <v>2.744432708768468E-2</v>
      </c>
      <c r="N15" s="16">
        <f t="shared" si="4"/>
        <v>3.1062610555938688E-2</v>
      </c>
      <c r="O15" s="16">
        <f t="shared" si="4"/>
        <v>4.9196234587497119E-2</v>
      </c>
      <c r="P15" s="16">
        <f t="shared" si="4"/>
        <v>4.8096928081910649E-2</v>
      </c>
      <c r="Q15" s="16">
        <f t="shared" si="4"/>
        <v>6.0469509937848477E-2</v>
      </c>
      <c r="R15" s="16">
        <f t="shared" si="4"/>
        <v>5.5841184130188154E-2</v>
      </c>
      <c r="S15" s="16">
        <f t="shared" si="4"/>
        <v>2.1764557223965288E-2</v>
      </c>
      <c r="T15" s="16">
        <f t="shared" si="4"/>
        <v>1.9958883087632971E-2</v>
      </c>
      <c r="U15" s="16">
        <f t="shared" si="4"/>
        <v>2.3862184797931695E-2</v>
      </c>
      <c r="V15" s="16">
        <f t="shared" si="4"/>
        <v>3.1654814592862041E-2</v>
      </c>
      <c r="W15" s="16">
        <f t="shared" si="4"/>
        <v>1.6018864934703593E-2</v>
      </c>
      <c r="X15" s="17">
        <f t="shared" si="4"/>
        <v>2.6045274892702596E-2</v>
      </c>
      <c r="Y15" s="17">
        <f t="shared" si="4"/>
        <v>4.8439978952361538E-2</v>
      </c>
      <c r="Z15" s="17">
        <f t="shared" si="4"/>
        <v>3.793399974712041E-2</v>
      </c>
      <c r="AA15" s="17">
        <f t="shared" si="4"/>
        <v>3.3754644591932739E-2</v>
      </c>
      <c r="AB15" s="17">
        <f t="shared" si="4"/>
        <v>2.4093930603871789E-2</v>
      </c>
      <c r="AC15" s="18">
        <f t="shared" si="4"/>
        <v>1.9583723102888591E-2</v>
      </c>
      <c r="AD15" s="18">
        <f t="shared" si="4"/>
        <v>0.16465141988235818</v>
      </c>
    </row>
    <row r="16" spans="1:3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>
      <c r="A17" s="1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>
      <c r="A18" s="3" t="s">
        <v>16</v>
      </c>
      <c r="B18" s="4" t="str">
        <f>B2</f>
        <v xml:space="preserve">93/94 </v>
      </c>
      <c r="C18" s="4" t="str">
        <f t="shared" ref="C18:AD18" si="5">C2</f>
        <v xml:space="preserve">94/95 </v>
      </c>
      <c r="D18" s="4" t="str">
        <f t="shared" si="5"/>
        <v xml:space="preserve">95/96 </v>
      </c>
      <c r="E18" s="4" t="str">
        <f t="shared" si="5"/>
        <v xml:space="preserve">96/97 </v>
      </c>
      <c r="F18" s="4" t="str">
        <f t="shared" si="5"/>
        <v xml:space="preserve">97/98 </v>
      </c>
      <c r="G18" s="4" t="str">
        <f t="shared" si="5"/>
        <v xml:space="preserve">98/99 </v>
      </c>
      <c r="H18" s="4" t="str">
        <f t="shared" si="5"/>
        <v xml:space="preserve">99/00 </v>
      </c>
      <c r="I18" s="4" t="str">
        <f t="shared" si="5"/>
        <v xml:space="preserve">00/01 </v>
      </c>
      <c r="J18" s="4" t="str">
        <f t="shared" si="5"/>
        <v xml:space="preserve">01/02 </v>
      </c>
      <c r="K18" s="4" t="str">
        <f t="shared" si="5"/>
        <v xml:space="preserve">02/03 </v>
      </c>
      <c r="L18" s="4" t="str">
        <f t="shared" si="5"/>
        <v xml:space="preserve">03/04 </v>
      </c>
      <c r="M18" s="4" t="str">
        <f t="shared" si="5"/>
        <v xml:space="preserve">04/05 </v>
      </c>
      <c r="N18" s="4" t="str">
        <f t="shared" si="5"/>
        <v xml:space="preserve">05/06 </v>
      </c>
      <c r="O18" s="4" t="str">
        <f t="shared" si="5"/>
        <v xml:space="preserve">06/07 </v>
      </c>
      <c r="P18" s="4" t="str">
        <f t="shared" si="5"/>
        <v xml:space="preserve">07/08 </v>
      </c>
      <c r="Q18" s="4" t="str">
        <f t="shared" si="5"/>
        <v xml:space="preserve">08/09 </v>
      </c>
      <c r="R18" s="4" t="str">
        <f t="shared" si="5"/>
        <v xml:space="preserve">09/10 </v>
      </c>
      <c r="S18" s="4" t="str">
        <f t="shared" si="5"/>
        <v xml:space="preserve">10/11 </v>
      </c>
      <c r="T18" s="4" t="str">
        <f t="shared" si="5"/>
        <v xml:space="preserve">11/12 </v>
      </c>
      <c r="U18" s="4" t="str">
        <f t="shared" si="5"/>
        <v xml:space="preserve">12/13 </v>
      </c>
      <c r="V18" s="4" t="str">
        <f t="shared" si="5"/>
        <v xml:space="preserve">13/14 </v>
      </c>
      <c r="W18" s="4" t="str">
        <f t="shared" si="5"/>
        <v xml:space="preserve">14/15 </v>
      </c>
      <c r="X18" s="4" t="str">
        <f t="shared" si="5"/>
        <v xml:space="preserve">15/16 </v>
      </c>
      <c r="Y18" s="4" t="str">
        <f t="shared" si="5"/>
        <v xml:space="preserve">16/17 </v>
      </c>
      <c r="Z18" s="4" t="str">
        <f t="shared" si="5"/>
        <v xml:space="preserve">17/18 </v>
      </c>
      <c r="AA18" s="4" t="str">
        <f t="shared" si="5"/>
        <v xml:space="preserve">18/19 </v>
      </c>
      <c r="AB18" s="4" t="str">
        <f t="shared" si="5"/>
        <v xml:space="preserve">19/20 </v>
      </c>
      <c r="AC18" s="4" t="str">
        <f t="shared" si="5"/>
        <v xml:space="preserve">20/21 </v>
      </c>
      <c r="AD18" s="4" t="str">
        <f t="shared" si="5"/>
        <v>21/22</v>
      </c>
    </row>
    <row r="19" spans="1:30" ht="15.75">
      <c r="A19" s="5" t="s">
        <v>2</v>
      </c>
      <c r="B19" s="6">
        <f>'China Sun Complex'!B5+'Turkey Sun Complex'!B5</f>
        <v>1303</v>
      </c>
      <c r="C19" s="6">
        <f>'China Sun Complex'!C5+'Turkey Sun Complex'!C5</f>
        <v>1355</v>
      </c>
      <c r="D19" s="6">
        <f>'China Sun Complex'!D5+'Turkey Sun Complex'!D5</f>
        <v>1438</v>
      </c>
      <c r="E19" s="6">
        <f>'China Sun Complex'!E5+'Turkey Sun Complex'!E5</f>
        <v>1230</v>
      </c>
      <c r="F19" s="6">
        <f>'China Sun Complex'!F5+'Turkey Sun Complex'!F5</f>
        <v>1236</v>
      </c>
      <c r="G19" s="6">
        <f>'China Sun Complex'!G5+'Turkey Sun Complex'!G5</f>
        <v>1410</v>
      </c>
      <c r="H19" s="6">
        <f>'China Sun Complex'!H5+'Turkey Sun Complex'!H5</f>
        <v>1671</v>
      </c>
      <c r="I19" s="6">
        <f>'China Sun Complex'!I5+'Turkey Sun Complex'!I5</f>
        <v>1769</v>
      </c>
      <c r="J19" s="6">
        <f>'China Sun Complex'!J5+'Turkey Sun Complex'!J5</f>
        <v>1496</v>
      </c>
      <c r="K19" s="6">
        <f>'China Sun Complex'!K5+'Turkey Sun Complex'!K5</f>
        <v>1681</v>
      </c>
      <c r="L19" s="6">
        <f>'China Sun Complex'!L5+'Turkey Sun Complex'!L5</f>
        <v>1673</v>
      </c>
      <c r="M19" s="6">
        <f>'China Sun Complex'!M5+'Turkey Sun Complex'!M5</f>
        <v>1415</v>
      </c>
      <c r="N19" s="6">
        <f>'China Sun Complex'!N5+'Turkey Sun Complex'!N5</f>
        <v>1450</v>
      </c>
      <c r="O19" s="6">
        <f>'China Sun Complex'!O5+'Turkey Sun Complex'!O5</f>
        <v>1261</v>
      </c>
      <c r="P19" s="6">
        <f>'China Sun Complex'!P5+'Turkey Sun Complex'!P5</f>
        <v>1295</v>
      </c>
      <c r="Q19" s="6">
        <f>'China Sun Complex'!Q5+'Turkey Sun Complex'!Q5</f>
        <v>1464</v>
      </c>
      <c r="R19" s="6">
        <f>'China Sun Complex'!R5+'Turkey Sun Complex'!R5</f>
        <v>1425</v>
      </c>
      <c r="S19" s="6">
        <f>'China Sun Complex'!S5+'Turkey Sun Complex'!S5</f>
        <v>1474</v>
      </c>
      <c r="T19" s="6">
        <f>'China Sun Complex'!T5+'Turkey Sun Complex'!T5</f>
        <v>1451</v>
      </c>
      <c r="U19" s="6">
        <f>'China Sun Complex'!U5+'Turkey Sun Complex'!U5</f>
        <v>1481</v>
      </c>
      <c r="V19" s="6">
        <f>'China Sun Complex'!V5+'Turkey Sun Complex'!V5</f>
        <v>1616</v>
      </c>
      <c r="W19" s="6">
        <f>'China Sun Complex'!W5+'Turkey Sun Complex'!W5</f>
        <v>1486</v>
      </c>
      <c r="X19" s="7">
        <f>'China Sun Complex'!X5+'Turkey Sun Complex'!X5</f>
        <v>1636</v>
      </c>
      <c r="Y19" s="7">
        <f>'China Sun Complex'!Y5+'Turkey Sun Complex'!Y5</f>
        <v>1879</v>
      </c>
      <c r="Z19" s="7">
        <f>'China Sun Complex'!Z5+'Turkey Sun Complex'!Z5</f>
        <v>1871</v>
      </c>
      <c r="AA19" s="7">
        <f>'China Sun Complex'!AA5+'Turkey Sun Complex'!AA5</f>
        <v>1636</v>
      </c>
      <c r="AB19" s="7">
        <f>'China Sun Complex'!AB5+'Turkey Sun Complex'!AB5</f>
        <v>1645</v>
      </c>
      <c r="AC19" s="7">
        <f>'China Sun Complex'!AC5+'Turkey Sun Complex'!AC5</f>
        <v>1593</v>
      </c>
      <c r="AD19" s="8">
        <f>'China Sun Complex'!AD5+'Turkey Sun Complex'!AD5</f>
        <v>1855</v>
      </c>
    </row>
    <row r="20" spans="1:30" ht="15.75">
      <c r="A20" s="5" t="s">
        <v>3</v>
      </c>
      <c r="B20" s="9">
        <f>B22/B19</f>
        <v>1.5211051419800461</v>
      </c>
      <c r="C20" s="9">
        <f t="shared" ref="C20:AD20" si="6">C22/C19</f>
        <v>1.4538745387453875</v>
      </c>
      <c r="D20" s="9">
        <f t="shared" si="6"/>
        <v>1.4047287899860919</v>
      </c>
      <c r="E20" s="9">
        <f t="shared" si="6"/>
        <v>1.5203252032520325</v>
      </c>
      <c r="F20" s="9">
        <f t="shared" si="6"/>
        <v>1.477346278317152</v>
      </c>
      <c r="G20" s="9">
        <f t="shared" si="6"/>
        <v>1.5</v>
      </c>
      <c r="H20" s="9">
        <f t="shared" si="6"/>
        <v>1.5350089766606823</v>
      </c>
      <c r="I20" s="9">
        <f t="shared" si="6"/>
        <v>1.4296212549462974</v>
      </c>
      <c r="J20" s="9">
        <f t="shared" si="6"/>
        <v>1.3355614973262031</v>
      </c>
      <c r="K20" s="9">
        <f t="shared" si="6"/>
        <v>1.6454491374182034</v>
      </c>
      <c r="L20" s="9">
        <f t="shared" si="6"/>
        <v>1.4010759115361626</v>
      </c>
      <c r="M20" s="9">
        <f t="shared" si="6"/>
        <v>1.556183745583039</v>
      </c>
      <c r="N20" s="9">
        <f t="shared" si="6"/>
        <v>1.846896551724138</v>
      </c>
      <c r="O20" s="9">
        <f t="shared" si="6"/>
        <v>1.8152260111022998</v>
      </c>
      <c r="P20" s="9">
        <f t="shared" si="6"/>
        <v>1.667953667953668</v>
      </c>
      <c r="Q20" s="9">
        <f t="shared" si="6"/>
        <v>1.9282786885245902</v>
      </c>
      <c r="R20" s="9">
        <f t="shared" si="6"/>
        <v>1.9550877192982457</v>
      </c>
      <c r="S20" s="9">
        <f t="shared" si="6"/>
        <v>2.2761194029850746</v>
      </c>
      <c r="T20" s="9">
        <f t="shared" si="6"/>
        <v>2.2929014472777394</v>
      </c>
      <c r="U20" s="9">
        <f t="shared" si="6"/>
        <v>2.2903443619176231</v>
      </c>
      <c r="V20" s="9">
        <f t="shared" si="6"/>
        <v>2.3811881188118811</v>
      </c>
      <c r="W20" s="9">
        <f t="shared" si="6"/>
        <v>2.5450874831763124</v>
      </c>
      <c r="X20" s="10">
        <f t="shared" si="6"/>
        <v>2.4278728606356967</v>
      </c>
      <c r="Y20" s="10">
        <f t="shared" si="6"/>
        <v>2.4060670569451834</v>
      </c>
      <c r="Z20" s="10">
        <f t="shared" si="6"/>
        <v>2.5114911811865315</v>
      </c>
      <c r="AA20" s="10">
        <f t="shared" si="6"/>
        <v>2.6246943765281174</v>
      </c>
      <c r="AB20" s="10">
        <f t="shared" si="6"/>
        <v>2.6832826747720366</v>
      </c>
      <c r="AC20" s="10">
        <f t="shared" si="6"/>
        <v>2.5925925925925926</v>
      </c>
      <c r="AD20" s="11">
        <f t="shared" si="6"/>
        <v>2.5067385444743935</v>
      </c>
    </row>
    <row r="21" spans="1:30" ht="15.75">
      <c r="A21" s="12" t="s">
        <v>4</v>
      </c>
      <c r="B21" s="13">
        <f>'China Sun Complex'!B8+'Turkey Sun Complex'!B8</f>
        <v>35</v>
      </c>
      <c r="C21" s="13">
        <f>'China Sun Complex'!C8+'Turkey Sun Complex'!C8</f>
        <v>35</v>
      </c>
      <c r="D21" s="13">
        <f>'China Sun Complex'!D8+'Turkey Sun Complex'!D8</f>
        <v>70</v>
      </c>
      <c r="E21" s="13">
        <f>'China Sun Complex'!E8+'Turkey Sun Complex'!E8</f>
        <v>135</v>
      </c>
      <c r="F21" s="13">
        <f>'China Sun Complex'!F8+'Turkey Sun Complex'!F8</f>
        <v>80</v>
      </c>
      <c r="G21" s="13">
        <f>'China Sun Complex'!G8+'Turkey Sun Complex'!G8</f>
        <v>40</v>
      </c>
      <c r="H21" s="13">
        <f>'China Sun Complex'!H8+'Turkey Sun Complex'!H8</f>
        <v>30</v>
      </c>
      <c r="I21" s="13">
        <f>'China Sun Complex'!I8+'Turkey Sun Complex'!I8</f>
        <v>30</v>
      </c>
      <c r="J21" s="13">
        <f>'China Sun Complex'!J8+'Turkey Sun Complex'!J8</f>
        <v>7</v>
      </c>
      <c r="K21" s="13">
        <f>'China Sun Complex'!K8+'Turkey Sun Complex'!K8</f>
        <v>8</v>
      </c>
      <c r="L21" s="13">
        <f>'China Sun Complex'!L8+'Turkey Sun Complex'!L8</f>
        <v>16</v>
      </c>
      <c r="M21" s="13">
        <f>'China Sun Complex'!M8+'Turkey Sun Complex'!M8</f>
        <v>9</v>
      </c>
      <c r="N21" s="13">
        <f>'China Sun Complex'!N8+'Turkey Sun Complex'!N8</f>
        <v>4</v>
      </c>
      <c r="O21" s="13">
        <f>'China Sun Complex'!O8+'Turkey Sun Complex'!O8</f>
        <v>0</v>
      </c>
      <c r="P21" s="13">
        <f>'China Sun Complex'!P8+'Turkey Sun Complex'!P8</f>
        <v>78</v>
      </c>
      <c r="Q21" s="13">
        <f>'China Sun Complex'!Q8+'Turkey Sun Complex'!Q8</f>
        <v>40</v>
      </c>
      <c r="R21" s="13">
        <f>'China Sun Complex'!R8+'Turkey Sun Complex'!R8</f>
        <v>35</v>
      </c>
      <c r="S21" s="13">
        <f>'China Sun Complex'!S8+'Turkey Sun Complex'!S8</f>
        <v>28</v>
      </c>
      <c r="T21" s="13">
        <f>'China Sun Complex'!T8+'Turkey Sun Complex'!T8</f>
        <v>258</v>
      </c>
      <c r="U21" s="13">
        <f>'China Sun Complex'!U8+'Turkey Sun Complex'!U8</f>
        <v>450</v>
      </c>
      <c r="V21" s="13">
        <f>'China Sun Complex'!V8+'Turkey Sun Complex'!V8</f>
        <v>194</v>
      </c>
      <c r="W21" s="13">
        <f>'China Sun Complex'!W8+'Turkey Sun Complex'!W8</f>
        <v>186</v>
      </c>
      <c r="X21" s="14">
        <f>'China Sun Complex'!X8+'Turkey Sun Complex'!X8</f>
        <v>128</v>
      </c>
      <c r="Y21" s="14">
        <f>'China Sun Complex'!Y8+'Turkey Sun Complex'!Y8</f>
        <v>231</v>
      </c>
      <c r="Z21" s="14">
        <f>'China Sun Complex'!Z8+'Turkey Sun Complex'!Z8</f>
        <v>420</v>
      </c>
      <c r="AA21" s="14">
        <f>'China Sun Complex'!AA8+'Turkey Sun Complex'!AA8</f>
        <v>218</v>
      </c>
      <c r="AB21" s="14">
        <f>'China Sun Complex'!AB8+'Turkey Sun Complex'!AB8</f>
        <v>296</v>
      </c>
      <c r="AC21" s="14">
        <f>'China Sun Complex'!AC8+'Turkey Sun Complex'!AC8</f>
        <v>658</v>
      </c>
      <c r="AD21" s="15">
        <f>'China Sun Complex'!AD8+'Turkey Sun Complex'!AD8</f>
        <v>446</v>
      </c>
    </row>
    <row r="22" spans="1:30" ht="15.75">
      <c r="A22" s="5" t="s">
        <v>5</v>
      </c>
      <c r="B22" s="6">
        <f>'China Sun Complex'!B9+'Turkey Sun Complex'!B9</f>
        <v>1982</v>
      </c>
      <c r="C22" s="6">
        <f>'China Sun Complex'!C9+'Turkey Sun Complex'!C9</f>
        <v>1970</v>
      </c>
      <c r="D22" s="6">
        <f>'China Sun Complex'!D9+'Turkey Sun Complex'!D9</f>
        <v>2020</v>
      </c>
      <c r="E22" s="6">
        <f>'China Sun Complex'!E9+'Turkey Sun Complex'!E9</f>
        <v>1870</v>
      </c>
      <c r="F22" s="6">
        <f>'China Sun Complex'!F9+'Turkey Sun Complex'!F9</f>
        <v>1826</v>
      </c>
      <c r="G22" s="6">
        <f>'China Sun Complex'!G9+'Turkey Sun Complex'!G9</f>
        <v>2115</v>
      </c>
      <c r="H22" s="6">
        <f>'China Sun Complex'!H9+'Turkey Sun Complex'!H9</f>
        <v>2565</v>
      </c>
      <c r="I22" s="6">
        <f>'China Sun Complex'!I9+'Turkey Sun Complex'!I9</f>
        <v>2529</v>
      </c>
      <c r="J22" s="6">
        <f>'China Sun Complex'!J9+'Turkey Sun Complex'!J9</f>
        <v>1998</v>
      </c>
      <c r="K22" s="6">
        <f>'China Sun Complex'!K9+'Turkey Sun Complex'!K9</f>
        <v>2766</v>
      </c>
      <c r="L22" s="6">
        <f>'China Sun Complex'!L9+'Turkey Sun Complex'!L9</f>
        <v>2344</v>
      </c>
      <c r="M22" s="6">
        <f>'China Sun Complex'!M9+'Turkey Sun Complex'!M9</f>
        <v>2202</v>
      </c>
      <c r="N22" s="6">
        <f>'China Sun Complex'!N9+'Turkey Sun Complex'!N9</f>
        <v>2678</v>
      </c>
      <c r="O22" s="6">
        <f>'China Sun Complex'!O9+'Turkey Sun Complex'!O9</f>
        <v>2289</v>
      </c>
      <c r="P22" s="6">
        <f>'China Sun Complex'!P9+'Turkey Sun Complex'!P9</f>
        <v>2160</v>
      </c>
      <c r="Q22" s="6">
        <f>'China Sun Complex'!Q9+'Turkey Sun Complex'!Q9</f>
        <v>2823</v>
      </c>
      <c r="R22" s="6">
        <f>'China Sun Complex'!R9+'Turkey Sun Complex'!R9</f>
        <v>2786</v>
      </c>
      <c r="S22" s="6">
        <f>'China Sun Complex'!S9+'Turkey Sun Complex'!S9</f>
        <v>3355</v>
      </c>
      <c r="T22" s="6">
        <f>'China Sun Complex'!T9+'Turkey Sun Complex'!T9</f>
        <v>3327</v>
      </c>
      <c r="U22" s="6">
        <f>'China Sun Complex'!U9+'Turkey Sun Complex'!U9</f>
        <v>3392</v>
      </c>
      <c r="V22" s="6">
        <f>'China Sun Complex'!V9+'Turkey Sun Complex'!V9</f>
        <v>3848</v>
      </c>
      <c r="W22" s="6">
        <f>'China Sun Complex'!W9+'Turkey Sun Complex'!W9</f>
        <v>3782</v>
      </c>
      <c r="X22" s="7">
        <f>'China Sun Complex'!X9+'Turkey Sun Complex'!X9</f>
        <v>3972</v>
      </c>
      <c r="Y22" s="7">
        <f>'China Sun Complex'!Y9+'Turkey Sun Complex'!Y9</f>
        <v>4521</v>
      </c>
      <c r="Z22" s="7">
        <f>'China Sun Complex'!Z9+'Turkey Sun Complex'!Z9</f>
        <v>4699</v>
      </c>
      <c r="AA22" s="7">
        <f>'China Sun Complex'!AA9+'Turkey Sun Complex'!AA9</f>
        <v>4294</v>
      </c>
      <c r="AB22" s="7">
        <f>'China Sun Complex'!AB9+'Turkey Sun Complex'!AB9</f>
        <v>4414</v>
      </c>
      <c r="AC22" s="7">
        <f>'China Sun Complex'!AC9+'Turkey Sun Complex'!AC9</f>
        <v>4130</v>
      </c>
      <c r="AD22" s="8">
        <f>'China Sun Complex'!AD9+'Turkey Sun Complex'!AD9</f>
        <v>4650</v>
      </c>
    </row>
    <row r="23" spans="1:30" ht="15.75">
      <c r="A23" s="5" t="s">
        <v>6</v>
      </c>
      <c r="B23" s="6">
        <f>'China Sun Complex'!B10+'Turkey Sun Complex'!B10</f>
        <v>100</v>
      </c>
      <c r="C23" s="6">
        <f>'China Sun Complex'!C10+'Turkey Sun Complex'!C10</f>
        <v>550.5</v>
      </c>
      <c r="D23" s="6">
        <f>'China Sun Complex'!D10+'Turkey Sun Complex'!D10</f>
        <v>500.58587199999999</v>
      </c>
      <c r="E23" s="6">
        <f>'China Sun Complex'!E10+'Turkey Sun Complex'!E10</f>
        <v>361.890557</v>
      </c>
      <c r="F23" s="6">
        <f>'China Sun Complex'!F10+'Turkey Sun Complex'!F10</f>
        <v>591.43680199999994</v>
      </c>
      <c r="G23" s="6">
        <f>'China Sun Complex'!G10+'Turkey Sun Complex'!G10</f>
        <v>608.42903799999999</v>
      </c>
      <c r="H23" s="6">
        <f>'China Sun Complex'!H10+'Turkey Sun Complex'!H10</f>
        <v>442.48431799999997</v>
      </c>
      <c r="I23" s="6">
        <f>'China Sun Complex'!I10+'Turkey Sun Complex'!I10</f>
        <v>322.3746470000001</v>
      </c>
      <c r="J23" s="6">
        <f>'China Sun Complex'!J10+'Turkey Sun Complex'!J10</f>
        <v>162.87556699999999</v>
      </c>
      <c r="K23" s="6">
        <f>'China Sun Complex'!K10+'Turkey Sun Complex'!K10</f>
        <v>225.79478999999998</v>
      </c>
      <c r="L23" s="6">
        <f>'China Sun Complex'!L10+'Turkey Sun Complex'!L10</f>
        <v>598.91393400000004</v>
      </c>
      <c r="M23" s="6">
        <f>'China Sun Complex'!M10+'Turkey Sun Complex'!M10</f>
        <v>498.07056600000004</v>
      </c>
      <c r="N23" s="6">
        <f>'China Sun Complex'!N10+'Turkey Sun Complex'!N10</f>
        <v>387.91915900000009</v>
      </c>
      <c r="O23" s="6">
        <f>'China Sun Complex'!O10+'Turkey Sun Complex'!O10</f>
        <v>496.00400000000002</v>
      </c>
      <c r="P23" s="6">
        <f>'China Sun Complex'!P10+'Turkey Sun Complex'!P10</f>
        <v>527.87900000000002</v>
      </c>
      <c r="Q23" s="6">
        <f>'China Sun Complex'!Q10+'Turkey Sun Complex'!Q10</f>
        <v>445.38600000000008</v>
      </c>
      <c r="R23" s="6">
        <f>'China Sun Complex'!R10+'Turkey Sun Complex'!R10</f>
        <v>704.13900000000001</v>
      </c>
      <c r="S23" s="6">
        <f>'China Sun Complex'!S10+'Turkey Sun Complex'!S10</f>
        <v>708.01799999999992</v>
      </c>
      <c r="T23" s="6">
        <f>'China Sun Complex'!T10+'Turkey Sun Complex'!T10</f>
        <v>822.42600000000016</v>
      </c>
      <c r="U23" s="6">
        <f>'China Sun Complex'!U10+'Turkey Sun Complex'!U10</f>
        <v>604.13599999999997</v>
      </c>
      <c r="V23" s="6">
        <f>'China Sun Complex'!V10+'Turkey Sun Complex'!V10</f>
        <v>617.28700000000003</v>
      </c>
      <c r="W23" s="6">
        <f>'China Sun Complex'!W10+'Turkey Sun Complex'!W10</f>
        <v>490.24199999999996</v>
      </c>
      <c r="X23" s="7">
        <f>'China Sun Complex'!X10+'Turkey Sun Complex'!X10</f>
        <v>469.09400000000005</v>
      </c>
      <c r="Y23" s="7">
        <f>'China Sun Complex'!Y10+'Turkey Sun Complex'!Y10</f>
        <v>674.11180000000002</v>
      </c>
      <c r="Z23" s="7">
        <f>'China Sun Complex'!Z10+'Turkey Sun Complex'!Z10</f>
        <v>882.815336</v>
      </c>
      <c r="AA23" s="7">
        <f>'China Sun Complex'!AA10+'Turkey Sun Complex'!AA10</f>
        <v>1332.3490919999999</v>
      </c>
      <c r="AB23" s="7">
        <f>'China Sun Complex'!AB10+'Turkey Sun Complex'!AB10</f>
        <v>1340.1013500000004</v>
      </c>
      <c r="AC23" s="8">
        <f>'China Sun Complex'!AC10+'Turkey Sun Complex'!AC10</f>
        <v>1112.2627649999999</v>
      </c>
      <c r="AD23" s="8">
        <f>'China Sun Complex'!AD10+'Turkey Sun Complex'!AD10</f>
        <v>1185</v>
      </c>
    </row>
    <row r="24" spans="1:30" ht="15.75">
      <c r="A24" s="5" t="s">
        <v>7</v>
      </c>
      <c r="B24" s="6">
        <f>SUM(B21:B23)</f>
        <v>2117</v>
      </c>
      <c r="C24" s="6">
        <f t="shared" ref="C24:AD24" si="7">SUM(C21:C23)</f>
        <v>2555.5</v>
      </c>
      <c r="D24" s="6">
        <f t="shared" si="7"/>
        <v>2590.5858720000001</v>
      </c>
      <c r="E24" s="6">
        <f t="shared" si="7"/>
        <v>2366.8905570000002</v>
      </c>
      <c r="F24" s="6">
        <f t="shared" si="7"/>
        <v>2497.4368020000002</v>
      </c>
      <c r="G24" s="6">
        <f t="shared" si="7"/>
        <v>2763.4290380000002</v>
      </c>
      <c r="H24" s="6">
        <f t="shared" si="7"/>
        <v>3037.4843179999998</v>
      </c>
      <c r="I24" s="6">
        <f t="shared" si="7"/>
        <v>2881.3746470000001</v>
      </c>
      <c r="J24" s="6">
        <f t="shared" si="7"/>
        <v>2167.875567</v>
      </c>
      <c r="K24" s="6">
        <f t="shared" si="7"/>
        <v>2999.7947899999999</v>
      </c>
      <c r="L24" s="6">
        <f t="shared" si="7"/>
        <v>2958.9139340000002</v>
      </c>
      <c r="M24" s="6">
        <f t="shared" si="7"/>
        <v>2709.0705659999999</v>
      </c>
      <c r="N24" s="6">
        <f t="shared" si="7"/>
        <v>3069.919159</v>
      </c>
      <c r="O24" s="6">
        <f t="shared" si="7"/>
        <v>2785.0039999999999</v>
      </c>
      <c r="P24" s="6">
        <f t="shared" si="7"/>
        <v>2765.8789999999999</v>
      </c>
      <c r="Q24" s="6">
        <f t="shared" si="7"/>
        <v>3308.386</v>
      </c>
      <c r="R24" s="6">
        <f t="shared" si="7"/>
        <v>3525.1390000000001</v>
      </c>
      <c r="S24" s="6">
        <f t="shared" si="7"/>
        <v>4091.018</v>
      </c>
      <c r="T24" s="6">
        <f t="shared" si="7"/>
        <v>4407.4260000000004</v>
      </c>
      <c r="U24" s="6">
        <f t="shared" si="7"/>
        <v>4446.1360000000004</v>
      </c>
      <c r="V24" s="6">
        <f t="shared" si="7"/>
        <v>4659.2870000000003</v>
      </c>
      <c r="W24" s="6">
        <f t="shared" si="7"/>
        <v>4458.2420000000002</v>
      </c>
      <c r="X24" s="7">
        <f t="shared" si="7"/>
        <v>4569.0940000000001</v>
      </c>
      <c r="Y24" s="7">
        <f t="shared" si="7"/>
        <v>5426.1117999999997</v>
      </c>
      <c r="Z24" s="7">
        <f t="shared" si="7"/>
        <v>6001.8153359999997</v>
      </c>
      <c r="AA24" s="7">
        <f t="shared" si="7"/>
        <v>5844.3490920000004</v>
      </c>
      <c r="AB24" s="7">
        <f t="shared" si="7"/>
        <v>6050.1013500000008</v>
      </c>
      <c r="AC24" s="8">
        <f t="shared" si="7"/>
        <v>5900.2627649999995</v>
      </c>
      <c r="AD24" s="8">
        <f t="shared" si="7"/>
        <v>6281</v>
      </c>
    </row>
    <row r="25" spans="1:30" ht="15.75">
      <c r="A25" s="12" t="s">
        <v>8</v>
      </c>
      <c r="B25" s="13">
        <f>'China Sun Complex'!B12+'Turkey Sun Complex'!B12</f>
        <v>1603.0000000000005</v>
      </c>
      <c r="C25" s="13">
        <f>'China Sun Complex'!C12+'Turkey Sun Complex'!C12</f>
        <v>1960.9590684313725</v>
      </c>
      <c r="D25" s="13">
        <f>'China Sun Complex'!D12+'Turkey Sun Complex'!D12</f>
        <v>1930.1313082352945</v>
      </c>
      <c r="E25" s="13">
        <f>'China Sun Complex'!E12+'Turkey Sun Complex'!E12</f>
        <v>1775.3328043442625</v>
      </c>
      <c r="F25" s="13">
        <f>'China Sun Complex'!F12+'Turkey Sun Complex'!F12</f>
        <v>1962.3382310179641</v>
      </c>
      <c r="G25" s="13">
        <f>'China Sun Complex'!G12+'Turkey Sun Complex'!G12</f>
        <v>2050.3152904333338</v>
      </c>
      <c r="H25" s="13">
        <f>'China Sun Complex'!H12+'Turkey Sun Complex'!H12</f>
        <v>2063.3008685253189</v>
      </c>
      <c r="I25" s="13">
        <f>'China Sun Complex'!I12+'Turkey Sun Complex'!I12</f>
        <v>1919.3181407108063</v>
      </c>
      <c r="J25" s="13">
        <f>'China Sun Complex'!J12+'Turkey Sun Complex'!J12</f>
        <v>1328.6924622981367</v>
      </c>
      <c r="K25" s="13">
        <f>'China Sun Complex'!K12+'Turkey Sun Complex'!K12</f>
        <v>1852.9374624042698</v>
      </c>
      <c r="L25" s="13">
        <f>'China Sun Complex'!L12+'Turkey Sun Complex'!L12</f>
        <v>2012.7715230238096</v>
      </c>
      <c r="M25" s="13">
        <f>'China Sun Complex'!M12+'Turkey Sun Complex'!M12</f>
        <v>1902.9943147685312</v>
      </c>
      <c r="N25" s="13">
        <f>'China Sun Complex'!N12+'Turkey Sun Complex'!N12</f>
        <v>2176.9198105889841</v>
      </c>
      <c r="O25" s="13">
        <f>'China Sun Complex'!O12+'Turkey Sun Complex'!O12</f>
        <v>1886.6467720930232</v>
      </c>
      <c r="P25" s="13">
        <f>'China Sun Complex'!P12+'Turkey Sun Complex'!P12</f>
        <v>1831.073776744186</v>
      </c>
      <c r="Q25" s="13">
        <f>'China Sun Complex'!Q12+'Turkey Sun Complex'!Q12</f>
        <v>2093.3184558139533</v>
      </c>
      <c r="R25" s="13">
        <f>'China Sun Complex'!R12+'Turkey Sun Complex'!R12</f>
        <v>2339.605638176638</v>
      </c>
      <c r="S25" s="13">
        <f>'China Sun Complex'!S12+'Turkey Sun Complex'!S12</f>
        <v>2504.2480657465385</v>
      </c>
      <c r="T25" s="13">
        <f>'China Sun Complex'!T12+'Turkey Sun Complex'!T12</f>
        <v>2525.1220930232562</v>
      </c>
      <c r="U25" s="13">
        <f>'China Sun Complex'!U12+'Turkey Sun Complex'!U12</f>
        <v>2935.7303419972641</v>
      </c>
      <c r="V25" s="13">
        <f>'China Sun Complex'!V12+'Turkey Sun Complex'!V12</f>
        <v>3135.6175316897898</v>
      </c>
      <c r="W25" s="13">
        <f>'China Sun Complex'!W12+'Turkey Sun Complex'!W12</f>
        <v>2920.4193682004202</v>
      </c>
      <c r="X25" s="14">
        <f>'China Sun Complex'!X12+'Turkey Sun Complex'!X12</f>
        <v>2684.5938880840276</v>
      </c>
      <c r="Y25" s="14">
        <f>'China Sun Complex'!Y12+'Turkey Sun Complex'!Y12</f>
        <v>3477.9511665771006</v>
      </c>
      <c r="Z25" s="14">
        <f>'China Sun Complex'!Z12+'Turkey Sun Complex'!Z12</f>
        <v>3774.3200956342494</v>
      </c>
      <c r="AA25" s="14">
        <f>'China Sun Complex'!AA12+'Turkey Sun Complex'!AA12</f>
        <v>3757.439023878268</v>
      </c>
      <c r="AB25" s="14">
        <f>'China Sun Complex'!AB12+'Turkey Sun Complex'!AB12</f>
        <v>3818.9410530844161</v>
      </c>
      <c r="AC25" s="15">
        <f>'China Sun Complex'!AC12+'Turkey Sun Complex'!AC12</f>
        <v>3650</v>
      </c>
      <c r="AD25" s="15">
        <f>'China Sun Complex'!AD12+'Turkey Sun Complex'!AD12</f>
        <v>4350</v>
      </c>
    </row>
    <row r="26" spans="1:30" ht="15.75">
      <c r="A26" s="5" t="s">
        <v>9</v>
      </c>
      <c r="B26" s="6">
        <f>'China Sun Complex'!B13+'Turkey Sun Complex'!B13</f>
        <v>2</v>
      </c>
      <c r="C26" s="6">
        <f>'China Sun Complex'!C13+'Turkey Sun Complex'!C13</f>
        <v>17</v>
      </c>
      <c r="D26" s="6">
        <f>'China Sun Complex'!D13+'Turkey Sun Complex'!D13</f>
        <v>11.594408999999999</v>
      </c>
      <c r="E26" s="6">
        <f>'China Sun Complex'!E13+'Turkey Sun Complex'!E13</f>
        <v>22.883959000000001</v>
      </c>
      <c r="F26" s="6">
        <f>'China Sun Complex'!F13+'Turkey Sun Complex'!F13</f>
        <v>7.1743999999999994</v>
      </c>
      <c r="G26" s="6">
        <f>'China Sun Complex'!G13+'Turkey Sun Complex'!G13</f>
        <v>15.682842999999998</v>
      </c>
      <c r="H26" s="6">
        <f>'China Sun Complex'!H13+'Turkey Sun Complex'!H13</f>
        <v>36.671572000000005</v>
      </c>
      <c r="I26" s="6">
        <f>'China Sun Complex'!I13+'Turkey Sun Complex'!I13</f>
        <v>36.075854</v>
      </c>
      <c r="J26" s="6">
        <f>'China Sun Complex'!J13+'Turkey Sun Complex'!J13</f>
        <v>29.856921</v>
      </c>
      <c r="K26" s="6">
        <f>'China Sun Complex'!K13+'Turkey Sun Complex'!K13</f>
        <v>58.537668999999994</v>
      </c>
      <c r="L26" s="6">
        <f>'China Sun Complex'!L13+'Turkey Sun Complex'!L13</f>
        <v>72.613897000000009</v>
      </c>
      <c r="M26" s="6">
        <f>'China Sun Complex'!M13+'Turkey Sun Complex'!M13</f>
        <v>114.763402</v>
      </c>
      <c r="N26" s="6">
        <f>'China Sun Complex'!N13+'Turkey Sun Complex'!N13</f>
        <v>114.12183100000001</v>
      </c>
      <c r="O26" s="6">
        <f>'China Sun Complex'!O13+'Turkey Sun Complex'!O13</f>
        <v>105.40599999999998</v>
      </c>
      <c r="P26" s="6">
        <f>'China Sun Complex'!P13+'Turkey Sun Complex'!P13</f>
        <v>146.02999999999997</v>
      </c>
      <c r="Q26" s="6">
        <f>'China Sun Complex'!Q13+'Turkey Sun Complex'!Q13</f>
        <v>117.271</v>
      </c>
      <c r="R26" s="6">
        <f>'China Sun Complex'!R13+'Turkey Sun Complex'!R13</f>
        <v>147.38</v>
      </c>
      <c r="S26" s="6">
        <f>'China Sun Complex'!S13+'Turkey Sun Complex'!S13</f>
        <v>190.93299999999996</v>
      </c>
      <c r="T26" s="6">
        <f>'China Sun Complex'!T13+'Turkey Sun Complex'!T13</f>
        <v>216.35100000000003</v>
      </c>
      <c r="U26" s="6">
        <f>'China Sun Complex'!U13+'Turkey Sun Complex'!U13</f>
        <v>185.73900000000003</v>
      </c>
      <c r="V26" s="6">
        <f>'China Sun Complex'!V13+'Turkey Sun Complex'!V13</f>
        <v>197.04500000000004</v>
      </c>
      <c r="W26" s="6">
        <f>'China Sun Complex'!W13+'Turkey Sun Complex'!W13</f>
        <v>259.416</v>
      </c>
      <c r="X26" s="7">
        <f>'China Sun Complex'!X13+'Turkey Sun Complex'!X13</f>
        <v>314.30999999999995</v>
      </c>
      <c r="Y26" s="7">
        <f>'China Sun Complex'!Y13+'Turkey Sun Complex'!Y13</f>
        <v>392.09635599999996</v>
      </c>
      <c r="Z26" s="7">
        <f>'China Sun Complex'!Z13+'Turkey Sun Complex'!Z13</f>
        <v>606.92812700000002</v>
      </c>
      <c r="AA26" s="7">
        <f>'China Sun Complex'!AA13+'Turkey Sun Complex'!AA13</f>
        <v>555.59125900000004</v>
      </c>
      <c r="AB26" s="7">
        <f>'China Sun Complex'!AB13+'Turkey Sun Complex'!AB13</f>
        <v>576.45578999999998</v>
      </c>
      <c r="AC26" s="8">
        <f>'China Sun Complex'!AC13+'Turkey Sun Complex'!AC13</f>
        <v>595.35347100000001</v>
      </c>
      <c r="AD26" s="8">
        <f>'China Sun Complex'!AD13+'Turkey Sun Complex'!AD13</f>
        <v>500</v>
      </c>
    </row>
    <row r="27" spans="1:30" ht="15.75">
      <c r="A27" s="5" t="s">
        <v>10</v>
      </c>
      <c r="B27" s="6">
        <f>'China Sun Complex'!B14+'Turkey Sun Complex'!B14</f>
        <v>10</v>
      </c>
      <c r="C27" s="6">
        <f>'China Sun Complex'!C14+'Turkey Sun Complex'!C14</f>
        <v>11</v>
      </c>
      <c r="D27" s="6">
        <f>'China Sun Complex'!D14+'Turkey Sun Complex'!D14</f>
        <v>9</v>
      </c>
      <c r="E27" s="6">
        <f>'China Sun Complex'!E14+'Turkey Sun Complex'!E14</f>
        <v>9</v>
      </c>
      <c r="F27" s="6">
        <f>'China Sun Complex'!F14+'Turkey Sun Complex'!F14</f>
        <v>10</v>
      </c>
      <c r="G27" s="6">
        <f>'China Sun Complex'!G14+'Turkey Sun Complex'!G14</f>
        <v>12</v>
      </c>
      <c r="H27" s="6">
        <f>'China Sun Complex'!H14+'Turkey Sun Complex'!H14</f>
        <v>13</v>
      </c>
      <c r="I27" s="6">
        <f>'China Sun Complex'!I14+'Turkey Sun Complex'!I14</f>
        <v>10</v>
      </c>
      <c r="J27" s="6">
        <f>'China Sun Complex'!J14+'Turkey Sun Complex'!J14</f>
        <v>12</v>
      </c>
      <c r="K27" s="6">
        <f>'China Sun Complex'!K14+'Turkey Sun Complex'!K14</f>
        <v>12</v>
      </c>
      <c r="L27" s="6">
        <f>'China Sun Complex'!L14+'Turkey Sun Complex'!L14</f>
        <v>10</v>
      </c>
      <c r="M27" s="6">
        <f>'China Sun Complex'!M14+'Turkey Sun Complex'!M14</f>
        <v>10</v>
      </c>
      <c r="N27" s="6">
        <f>'China Sun Complex'!N14+'Turkey Sun Complex'!N14</f>
        <v>9</v>
      </c>
      <c r="O27" s="6">
        <f>'China Sun Complex'!O14+'Turkey Sun Complex'!O14</f>
        <v>9</v>
      </c>
      <c r="P27" s="6">
        <f>'China Sun Complex'!P14+'Turkey Sun Complex'!P14</f>
        <v>11</v>
      </c>
      <c r="Q27" s="6">
        <f>'China Sun Complex'!Q14+'Turkey Sun Complex'!Q14</f>
        <v>10</v>
      </c>
      <c r="R27" s="6">
        <f>'China Sun Complex'!R14+'Turkey Sun Complex'!R14</f>
        <v>11</v>
      </c>
      <c r="S27" s="6">
        <f>'China Sun Complex'!S14+'Turkey Sun Complex'!S14</f>
        <v>11</v>
      </c>
      <c r="T27" s="6">
        <f>'China Sun Complex'!T14+'Turkey Sun Complex'!T14</f>
        <v>10</v>
      </c>
      <c r="U27" s="6">
        <f>'China Sun Complex'!U14+'Turkey Sun Complex'!U14</f>
        <v>12</v>
      </c>
      <c r="V27" s="6">
        <f>'China Sun Complex'!V14+'Turkey Sun Complex'!V14</f>
        <v>11</v>
      </c>
      <c r="W27" s="6">
        <f>'China Sun Complex'!W14+'Turkey Sun Complex'!W14</f>
        <v>12</v>
      </c>
      <c r="X27" s="7">
        <f>'China Sun Complex'!X14+'Turkey Sun Complex'!X14</f>
        <v>13</v>
      </c>
      <c r="Y27" s="7">
        <f>'China Sun Complex'!Y14+'Turkey Sun Complex'!Y14</f>
        <v>13</v>
      </c>
      <c r="Z27" s="7">
        <f>'China Sun Complex'!Z14+'Turkey Sun Complex'!Z14</f>
        <v>12</v>
      </c>
      <c r="AA27" s="7">
        <f>'China Sun Complex'!AA14+'Turkey Sun Complex'!AA14</f>
        <v>12</v>
      </c>
      <c r="AB27" s="7">
        <f>'China Sun Complex'!AB14+'Turkey Sun Complex'!AB14</f>
        <v>11</v>
      </c>
      <c r="AC27" s="8">
        <f>'China Sun Complex'!AC14+'Turkey Sun Complex'!AC14</f>
        <v>13</v>
      </c>
      <c r="AD27" s="8">
        <f>'China Sun Complex'!AD14+'Turkey Sun Complex'!AD14</f>
        <v>13</v>
      </c>
    </row>
    <row r="28" spans="1:30" ht="15.75">
      <c r="A28" s="5" t="s">
        <v>11</v>
      </c>
      <c r="B28" s="6">
        <f>'China Sun Complex'!B15+'Turkey Sun Complex'!B15</f>
        <v>466.99999999999966</v>
      </c>
      <c r="C28" s="6">
        <f>'China Sun Complex'!C15+'Turkey Sun Complex'!C15</f>
        <v>496.54093156862757</v>
      </c>
      <c r="D28" s="6">
        <f>'China Sun Complex'!D15+'Turkey Sun Complex'!D15</f>
        <v>504.86015476470573</v>
      </c>
      <c r="E28" s="6">
        <f>'China Sun Complex'!E15+'Turkey Sun Complex'!E15</f>
        <v>479.67379365573743</v>
      </c>
      <c r="F28" s="6">
        <f>'China Sun Complex'!F15+'Turkey Sun Complex'!F15</f>
        <v>477.924170982036</v>
      </c>
      <c r="G28" s="6">
        <f>'China Sun Complex'!G15+'Turkey Sun Complex'!G15</f>
        <v>655.43090456666641</v>
      </c>
      <c r="H28" s="6">
        <f>'China Sun Complex'!H15+'Turkey Sun Complex'!H15</f>
        <v>894.51187747468089</v>
      </c>
      <c r="I28" s="6">
        <f>'China Sun Complex'!I15+'Turkey Sun Complex'!I15</f>
        <v>908.9806522891937</v>
      </c>
      <c r="J28" s="6">
        <f>'China Sun Complex'!J15+'Turkey Sun Complex'!J15</f>
        <v>789.32618370186344</v>
      </c>
      <c r="K28" s="6">
        <f>'China Sun Complex'!K15+'Turkey Sun Complex'!K15</f>
        <v>1060.3196585957298</v>
      </c>
      <c r="L28" s="6">
        <f>'China Sun Complex'!L15+'Turkey Sun Complex'!L15</f>
        <v>854.52851397619042</v>
      </c>
      <c r="M28" s="6">
        <f>'China Sun Complex'!M15+'Turkey Sun Complex'!M15</f>
        <v>677.31284923146893</v>
      </c>
      <c r="N28" s="6">
        <f>'China Sun Complex'!N15+'Turkey Sun Complex'!N15</f>
        <v>769.87751741101602</v>
      </c>
      <c r="O28" s="6">
        <f>'China Sun Complex'!O15+'Turkey Sun Complex'!O15</f>
        <v>705.95122790697678</v>
      </c>
      <c r="P28" s="6">
        <f>'China Sun Complex'!P15+'Turkey Sun Complex'!P15</f>
        <v>737.7752232558139</v>
      </c>
      <c r="Q28" s="6">
        <f>'China Sun Complex'!Q15+'Turkey Sun Complex'!Q15</f>
        <v>1052.7965441860467</v>
      </c>
      <c r="R28" s="6">
        <f>'China Sun Complex'!R15+'Turkey Sun Complex'!R15</f>
        <v>999.15336182336205</v>
      </c>
      <c r="S28" s="6">
        <f>'China Sun Complex'!S15+'Turkey Sun Complex'!S15</f>
        <v>1126.8369342534613</v>
      </c>
      <c r="T28" s="6">
        <f>'China Sun Complex'!T15+'Turkey Sun Complex'!T15</f>
        <v>1205.9529069767439</v>
      </c>
      <c r="U28" s="6">
        <f>'China Sun Complex'!U15+'Turkey Sun Complex'!U15</f>
        <v>1118.6666580027356</v>
      </c>
      <c r="V28" s="6">
        <f>'China Sun Complex'!V15+'Turkey Sun Complex'!V15</f>
        <v>1129.62446831021</v>
      </c>
      <c r="W28" s="6">
        <f>'China Sun Complex'!W15+'Turkey Sun Complex'!W15</f>
        <v>1138.4066317995796</v>
      </c>
      <c r="X28" s="7">
        <f>'China Sun Complex'!X15+'Turkey Sun Complex'!X15</f>
        <v>1326.1901119159725</v>
      </c>
      <c r="Y28" s="7">
        <f>'China Sun Complex'!Y15+'Turkey Sun Complex'!Y15</f>
        <v>1123.0642774228986</v>
      </c>
      <c r="Z28" s="7">
        <f>'China Sun Complex'!Z15+'Turkey Sun Complex'!Z15</f>
        <v>1390.5671133657506</v>
      </c>
      <c r="AA28" s="7">
        <f>'China Sun Complex'!AA15+'Turkey Sun Complex'!AA15</f>
        <v>1223.3188091217316</v>
      </c>
      <c r="AB28" s="7">
        <f>'China Sun Complex'!AB15+'Turkey Sun Complex'!AB15</f>
        <v>985.70450691558403</v>
      </c>
      <c r="AC28" s="8">
        <f>'China Sun Complex'!AC15+'Turkey Sun Complex'!AC15</f>
        <v>1195.909294</v>
      </c>
      <c r="AD28" s="8">
        <f>'China Sun Complex'!AD15+'Turkey Sun Complex'!AD15</f>
        <v>1024</v>
      </c>
    </row>
    <row r="29" spans="1:30" ht="15.75">
      <c r="A29" s="5" t="s">
        <v>12</v>
      </c>
      <c r="B29" s="6">
        <f>SUM(B25:B28)</f>
        <v>2082</v>
      </c>
      <c r="C29" s="6">
        <f t="shared" ref="C29:AD29" si="8">SUM(C25:C28)</f>
        <v>2485.5</v>
      </c>
      <c r="D29" s="6">
        <f t="shared" si="8"/>
        <v>2455.5858720000001</v>
      </c>
      <c r="E29" s="6">
        <f t="shared" si="8"/>
        <v>2286.8905569999997</v>
      </c>
      <c r="F29" s="6">
        <f t="shared" si="8"/>
        <v>2457.4368020000002</v>
      </c>
      <c r="G29" s="6">
        <f t="shared" si="8"/>
        <v>2733.4290380000002</v>
      </c>
      <c r="H29" s="6">
        <f t="shared" si="8"/>
        <v>3007.4843179999998</v>
      </c>
      <c r="I29" s="6">
        <f t="shared" si="8"/>
        <v>2874.3746470000001</v>
      </c>
      <c r="J29" s="6">
        <f t="shared" si="8"/>
        <v>2159.875567</v>
      </c>
      <c r="K29" s="6">
        <f t="shared" si="8"/>
        <v>2983.7947899999999</v>
      </c>
      <c r="L29" s="6">
        <f t="shared" si="8"/>
        <v>2949.9139340000002</v>
      </c>
      <c r="M29" s="6">
        <f t="shared" si="8"/>
        <v>2705.0705660000003</v>
      </c>
      <c r="N29" s="6">
        <f t="shared" si="8"/>
        <v>3069.919159</v>
      </c>
      <c r="O29" s="6">
        <f t="shared" si="8"/>
        <v>2707.0039999999999</v>
      </c>
      <c r="P29" s="6">
        <f t="shared" si="8"/>
        <v>2725.8789999999999</v>
      </c>
      <c r="Q29" s="6">
        <f t="shared" si="8"/>
        <v>3273.3860000000004</v>
      </c>
      <c r="R29" s="6">
        <f t="shared" si="8"/>
        <v>3497.1390000000001</v>
      </c>
      <c r="S29" s="6">
        <f t="shared" si="8"/>
        <v>3833.018</v>
      </c>
      <c r="T29" s="6">
        <f t="shared" si="8"/>
        <v>3957.4260000000004</v>
      </c>
      <c r="U29" s="6">
        <f t="shared" si="8"/>
        <v>4252.1359999999995</v>
      </c>
      <c r="V29" s="6">
        <f t="shared" si="8"/>
        <v>4473.2870000000003</v>
      </c>
      <c r="W29" s="6">
        <f t="shared" si="8"/>
        <v>4330.2420000000002</v>
      </c>
      <c r="X29" s="7">
        <f t="shared" si="8"/>
        <v>4338.0940000000001</v>
      </c>
      <c r="Y29" s="7">
        <f t="shared" si="8"/>
        <v>5006.1117999999988</v>
      </c>
      <c r="Z29" s="7">
        <f t="shared" si="8"/>
        <v>5783.8153359999997</v>
      </c>
      <c r="AA29" s="7">
        <f t="shared" si="8"/>
        <v>5548.3490919999995</v>
      </c>
      <c r="AB29" s="7">
        <f t="shared" si="8"/>
        <v>5392.1013499999999</v>
      </c>
      <c r="AC29" s="8">
        <f t="shared" si="8"/>
        <v>5454.2627650000004</v>
      </c>
      <c r="AD29" s="8">
        <f t="shared" si="8"/>
        <v>5887</v>
      </c>
    </row>
    <row r="30" spans="1:30" ht="15.75">
      <c r="A30" s="12" t="s">
        <v>13</v>
      </c>
      <c r="B30" s="13">
        <f>B24-B29</f>
        <v>35</v>
      </c>
      <c r="C30" s="13">
        <f t="shared" ref="C30:AD30" si="9">C24-C29</f>
        <v>70</v>
      </c>
      <c r="D30" s="13">
        <f t="shared" si="9"/>
        <v>135</v>
      </c>
      <c r="E30" s="13">
        <f t="shared" si="9"/>
        <v>80.000000000000455</v>
      </c>
      <c r="F30" s="13">
        <f t="shared" si="9"/>
        <v>40</v>
      </c>
      <c r="G30" s="13">
        <f t="shared" si="9"/>
        <v>30</v>
      </c>
      <c r="H30" s="13">
        <f t="shared" si="9"/>
        <v>30</v>
      </c>
      <c r="I30" s="13">
        <f t="shared" si="9"/>
        <v>7</v>
      </c>
      <c r="J30" s="13">
        <f t="shared" si="9"/>
        <v>8</v>
      </c>
      <c r="K30" s="13">
        <f t="shared" si="9"/>
        <v>16</v>
      </c>
      <c r="L30" s="13">
        <f t="shared" si="9"/>
        <v>9</v>
      </c>
      <c r="M30" s="13">
        <f t="shared" si="9"/>
        <v>3.9999999999995453</v>
      </c>
      <c r="N30" s="13">
        <f t="shared" si="9"/>
        <v>0</v>
      </c>
      <c r="O30" s="13">
        <f t="shared" si="9"/>
        <v>78</v>
      </c>
      <c r="P30" s="13">
        <f t="shared" si="9"/>
        <v>40</v>
      </c>
      <c r="Q30" s="13">
        <f t="shared" si="9"/>
        <v>34.999999999999545</v>
      </c>
      <c r="R30" s="13">
        <f t="shared" si="9"/>
        <v>28</v>
      </c>
      <c r="S30" s="13">
        <f t="shared" si="9"/>
        <v>258</v>
      </c>
      <c r="T30" s="13">
        <f t="shared" si="9"/>
        <v>450</v>
      </c>
      <c r="U30" s="13">
        <f t="shared" si="9"/>
        <v>194.00000000000091</v>
      </c>
      <c r="V30" s="13">
        <f t="shared" si="9"/>
        <v>186</v>
      </c>
      <c r="W30" s="13">
        <f t="shared" si="9"/>
        <v>128</v>
      </c>
      <c r="X30" s="14">
        <f t="shared" si="9"/>
        <v>231</v>
      </c>
      <c r="Y30" s="14">
        <f t="shared" si="9"/>
        <v>420.00000000000091</v>
      </c>
      <c r="Z30" s="14">
        <f t="shared" si="9"/>
        <v>218</v>
      </c>
      <c r="AA30" s="14">
        <f t="shared" si="9"/>
        <v>296.00000000000091</v>
      </c>
      <c r="AB30" s="14">
        <f t="shared" si="9"/>
        <v>658.00000000000091</v>
      </c>
      <c r="AC30" s="15">
        <f t="shared" si="9"/>
        <v>445.99999999999909</v>
      </c>
      <c r="AD30" s="15">
        <f t="shared" si="9"/>
        <v>394</v>
      </c>
    </row>
    <row r="31" spans="1:30" ht="16.5" thickBot="1">
      <c r="A31" s="5" t="s">
        <v>14</v>
      </c>
      <c r="B31" s="16">
        <f>B30/B29</f>
        <v>1.6810758885686838E-2</v>
      </c>
      <c r="C31" s="16">
        <f t="shared" ref="C31:AD31" si="10">C30/C29</f>
        <v>2.8163347415007041E-2</v>
      </c>
      <c r="D31" s="16">
        <f t="shared" si="10"/>
        <v>5.4976696819829231E-2</v>
      </c>
      <c r="E31" s="16">
        <f t="shared" si="10"/>
        <v>3.4981997610303864E-2</v>
      </c>
      <c r="F31" s="16">
        <f t="shared" si="10"/>
        <v>1.6277122556090051E-2</v>
      </c>
      <c r="G31" s="16">
        <f t="shared" si="10"/>
        <v>1.0975225470623686E-2</v>
      </c>
      <c r="H31" s="16">
        <f t="shared" si="10"/>
        <v>9.975114357354398E-3</v>
      </c>
      <c r="I31" s="16">
        <f t="shared" si="10"/>
        <v>2.4353123234321372E-3</v>
      </c>
      <c r="J31" s="16">
        <f t="shared" si="10"/>
        <v>3.7039170784786231E-3</v>
      </c>
      <c r="K31" s="16">
        <f t="shared" si="10"/>
        <v>5.3622990607876224E-3</v>
      </c>
      <c r="L31" s="16">
        <f t="shared" si="10"/>
        <v>3.0509364684400313E-3</v>
      </c>
      <c r="M31" s="16">
        <f t="shared" si="10"/>
        <v>1.4787044930640618E-3</v>
      </c>
      <c r="N31" s="16">
        <f t="shared" si="10"/>
        <v>0</v>
      </c>
      <c r="O31" s="16">
        <f t="shared" si="10"/>
        <v>2.8814142867908583E-2</v>
      </c>
      <c r="P31" s="16">
        <f t="shared" si="10"/>
        <v>1.4674165654454948E-2</v>
      </c>
      <c r="Q31" s="16">
        <f t="shared" si="10"/>
        <v>1.0692292323606058E-2</v>
      </c>
      <c r="R31" s="16">
        <f t="shared" si="10"/>
        <v>8.0065447784603352E-3</v>
      </c>
      <c r="S31" s="16">
        <f t="shared" si="10"/>
        <v>6.7309884795740585E-2</v>
      </c>
      <c r="T31" s="16">
        <f t="shared" si="10"/>
        <v>0.11371027531531858</v>
      </c>
      <c r="U31" s="16">
        <f t="shared" si="10"/>
        <v>4.562412867321293E-2</v>
      </c>
      <c r="V31" s="16">
        <f t="shared" si="10"/>
        <v>4.1580162417479583E-2</v>
      </c>
      <c r="W31" s="16">
        <f t="shared" si="10"/>
        <v>2.9559548865860152E-2</v>
      </c>
      <c r="X31" s="17">
        <f t="shared" si="10"/>
        <v>5.3249191926223821E-2</v>
      </c>
      <c r="Y31" s="17">
        <f t="shared" si="10"/>
        <v>8.3897447116542831E-2</v>
      </c>
      <c r="Z31" s="17">
        <f t="shared" si="10"/>
        <v>3.7691383167631619E-2</v>
      </c>
      <c r="AA31" s="17">
        <f t="shared" si="10"/>
        <v>5.3349202635211715E-2</v>
      </c>
      <c r="AB31" s="17">
        <f t="shared" si="10"/>
        <v>0.1220303472226094</v>
      </c>
      <c r="AC31" s="18">
        <f t="shared" si="10"/>
        <v>8.1770904559637411E-2</v>
      </c>
      <c r="AD31" s="18">
        <f t="shared" si="10"/>
        <v>6.6927127569220313E-2</v>
      </c>
    </row>
    <row r="32" spans="1:30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pans="1:30">
      <c r="A33" s="1" t="s">
        <v>17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.75">
      <c r="A34" s="3"/>
      <c r="B34" s="4" t="str">
        <f>B2</f>
        <v xml:space="preserve">93/94 </v>
      </c>
      <c r="C34" s="4" t="str">
        <f t="shared" ref="C34:AD34" si="11">C2</f>
        <v xml:space="preserve">94/95 </v>
      </c>
      <c r="D34" s="4" t="str">
        <f t="shared" si="11"/>
        <v xml:space="preserve">95/96 </v>
      </c>
      <c r="E34" s="4" t="str">
        <f t="shared" si="11"/>
        <v xml:space="preserve">96/97 </v>
      </c>
      <c r="F34" s="4" t="str">
        <f t="shared" si="11"/>
        <v xml:space="preserve">97/98 </v>
      </c>
      <c r="G34" s="4" t="str">
        <f t="shared" si="11"/>
        <v xml:space="preserve">98/99 </v>
      </c>
      <c r="H34" s="4" t="str">
        <f t="shared" si="11"/>
        <v xml:space="preserve">99/00 </v>
      </c>
      <c r="I34" s="4" t="str">
        <f t="shared" si="11"/>
        <v xml:space="preserve">00/01 </v>
      </c>
      <c r="J34" s="4" t="str">
        <f t="shared" si="11"/>
        <v xml:space="preserve">01/02 </v>
      </c>
      <c r="K34" s="4" t="str">
        <f t="shared" si="11"/>
        <v xml:space="preserve">02/03 </v>
      </c>
      <c r="L34" s="4" t="str">
        <f t="shared" si="11"/>
        <v xml:space="preserve">03/04 </v>
      </c>
      <c r="M34" s="4" t="str">
        <f t="shared" si="11"/>
        <v xml:space="preserve">04/05 </v>
      </c>
      <c r="N34" s="4" t="str">
        <f t="shared" si="11"/>
        <v xml:space="preserve">05/06 </v>
      </c>
      <c r="O34" s="4" t="str">
        <f t="shared" si="11"/>
        <v xml:space="preserve">06/07 </v>
      </c>
      <c r="P34" s="4" t="str">
        <f t="shared" si="11"/>
        <v xml:space="preserve">07/08 </v>
      </c>
      <c r="Q34" s="4" t="str">
        <f t="shared" si="11"/>
        <v xml:space="preserve">08/09 </v>
      </c>
      <c r="R34" s="4" t="str">
        <f t="shared" si="11"/>
        <v xml:space="preserve">09/10 </v>
      </c>
      <c r="S34" s="4" t="str">
        <f t="shared" si="11"/>
        <v xml:space="preserve">10/11 </v>
      </c>
      <c r="T34" s="4" t="str">
        <f t="shared" si="11"/>
        <v xml:space="preserve">11/12 </v>
      </c>
      <c r="U34" s="4" t="str">
        <f t="shared" si="11"/>
        <v xml:space="preserve">12/13 </v>
      </c>
      <c r="V34" s="4" t="str">
        <f t="shared" si="11"/>
        <v xml:space="preserve">13/14 </v>
      </c>
      <c r="W34" s="4" t="str">
        <f t="shared" si="11"/>
        <v xml:space="preserve">14/15 </v>
      </c>
      <c r="X34" s="20" t="str">
        <f t="shared" si="11"/>
        <v xml:space="preserve">15/16 </v>
      </c>
      <c r="Y34" s="20" t="str">
        <f t="shared" si="11"/>
        <v xml:space="preserve">16/17 </v>
      </c>
      <c r="Z34" s="20" t="str">
        <f t="shared" si="11"/>
        <v xml:space="preserve">17/18 </v>
      </c>
      <c r="AA34" s="20" t="str">
        <f t="shared" si="11"/>
        <v xml:space="preserve">18/19 </v>
      </c>
      <c r="AB34" s="20" t="str">
        <f t="shared" si="11"/>
        <v xml:space="preserve">19/20 </v>
      </c>
      <c r="AC34" s="20" t="str">
        <f t="shared" si="11"/>
        <v xml:space="preserve">20/21 </v>
      </c>
      <c r="AD34" s="20" t="str">
        <f t="shared" si="11"/>
        <v>21/22</v>
      </c>
    </row>
    <row r="35" spans="1:30" ht="15.75">
      <c r="A35" s="5" t="s">
        <v>2</v>
      </c>
      <c r="B35" s="6">
        <f>B51-B19-B3</f>
        <v>7374.1417322834641</v>
      </c>
      <c r="C35" s="6">
        <f t="shared" ref="C35:AD35" si="12">C51-C19-C3</f>
        <v>7930.8241758241747</v>
      </c>
      <c r="D35" s="6">
        <f t="shared" si="12"/>
        <v>8746.9154929577453</v>
      </c>
      <c r="E35" s="6">
        <f t="shared" si="12"/>
        <v>7933.0952380952385</v>
      </c>
      <c r="F35" s="6">
        <f t="shared" si="12"/>
        <v>8265.04347826087</v>
      </c>
      <c r="G35" s="6">
        <f t="shared" si="12"/>
        <v>9854.4408602150543</v>
      </c>
      <c r="H35" s="6">
        <f t="shared" si="12"/>
        <v>8997</v>
      </c>
      <c r="I35" s="6">
        <f t="shared" si="12"/>
        <v>7095.3934426229498</v>
      </c>
      <c r="J35" s="6">
        <f t="shared" si="12"/>
        <v>7687.7806873977097</v>
      </c>
      <c r="K35" s="6">
        <f t="shared" si="12"/>
        <v>8265.733676975944</v>
      </c>
      <c r="L35" s="6">
        <f t="shared" si="12"/>
        <v>8017.7857142857138</v>
      </c>
      <c r="M35" s="6">
        <f t="shared" si="12"/>
        <v>7316.0337078651683</v>
      </c>
      <c r="N35" s="6">
        <f t="shared" si="12"/>
        <v>8430.4375</v>
      </c>
      <c r="O35" s="6">
        <f t="shared" si="12"/>
        <v>8082.2941176470595</v>
      </c>
      <c r="P35" s="6">
        <f t="shared" si="12"/>
        <v>7911.6885245901649</v>
      </c>
      <c r="Q35" s="6">
        <f t="shared" si="12"/>
        <v>8401.1505228758178</v>
      </c>
      <c r="R35" s="6">
        <f t="shared" si="12"/>
        <v>7573.2278947368432</v>
      </c>
      <c r="S35" s="6">
        <f t="shared" si="12"/>
        <v>7567.3600000000006</v>
      </c>
      <c r="T35" s="6">
        <f t="shared" si="12"/>
        <v>6640.93</v>
      </c>
      <c r="U35" s="6">
        <f t="shared" si="12"/>
        <v>6338.7987133631395</v>
      </c>
      <c r="V35" s="6">
        <f t="shared" si="12"/>
        <v>5694.5225822342254</v>
      </c>
      <c r="W35" s="6">
        <f t="shared" si="12"/>
        <v>5406.6990414732045</v>
      </c>
      <c r="X35" s="7">
        <f t="shared" si="12"/>
        <v>5704.7153364632231</v>
      </c>
      <c r="Y35" s="7">
        <f t="shared" si="12"/>
        <v>6378.6196452223267</v>
      </c>
      <c r="Z35" s="7">
        <f t="shared" si="12"/>
        <v>6596.9342574257425</v>
      </c>
      <c r="AA35" s="7">
        <f t="shared" si="12"/>
        <v>6037.6543478260865</v>
      </c>
      <c r="AB35" s="7">
        <f t="shared" si="12"/>
        <v>5557.2649999999994</v>
      </c>
      <c r="AC35" s="7">
        <f t="shared" si="12"/>
        <v>5581.1714851485158</v>
      </c>
      <c r="AD35" s="8">
        <f t="shared" si="12"/>
        <v>6895.23</v>
      </c>
    </row>
    <row r="36" spans="1:30" ht="15.75">
      <c r="A36" s="5" t="s">
        <v>3</v>
      </c>
      <c r="B36" s="9">
        <f>B38/B35</f>
        <v>1.1087391993302838</v>
      </c>
      <c r="C36" s="9">
        <f t="shared" ref="C36:AD36" si="13">C38/C35</f>
        <v>1.3495898739789807</v>
      </c>
      <c r="D36" s="9">
        <f t="shared" si="13"/>
        <v>1.3788860781506884</v>
      </c>
      <c r="E36" s="9">
        <f t="shared" si="13"/>
        <v>1.3130120952009363</v>
      </c>
      <c r="F36" s="9">
        <f t="shared" si="13"/>
        <v>1.2259705622422354</v>
      </c>
      <c r="G36" s="9">
        <f t="shared" si="13"/>
        <v>1.3504165470946454</v>
      </c>
      <c r="H36" s="9">
        <f t="shared" si="13"/>
        <v>1.2603145492942092</v>
      </c>
      <c r="I36" s="9">
        <f t="shared" si="13"/>
        <v>1.1094522190569269</v>
      </c>
      <c r="J36" s="9">
        <f t="shared" si="13"/>
        <v>1.2094517752362346</v>
      </c>
      <c r="K36" s="9">
        <f t="shared" si="13"/>
        <v>1.0583452530496356</v>
      </c>
      <c r="L36" s="9">
        <f t="shared" si="13"/>
        <v>1.1062904792024875</v>
      </c>
      <c r="M36" s="9">
        <f t="shared" si="13"/>
        <v>1.2033842860148636</v>
      </c>
      <c r="N36" s="9">
        <f t="shared" si="13"/>
        <v>1.1865339135721011</v>
      </c>
      <c r="O36" s="9">
        <f t="shared" si="13"/>
        <v>1.1238145838033755</v>
      </c>
      <c r="P36" s="9">
        <f t="shared" si="13"/>
        <v>1.3535858959456126</v>
      </c>
      <c r="Q36" s="9">
        <f t="shared" si="13"/>
        <v>1.1117096372179895</v>
      </c>
      <c r="R36" s="9">
        <f t="shared" si="13"/>
        <v>1.2030788095432849</v>
      </c>
      <c r="S36" s="9">
        <f t="shared" si="13"/>
        <v>1.3683014948410013</v>
      </c>
      <c r="T36" s="9">
        <f t="shared" si="13"/>
        <v>1.3170414384732254</v>
      </c>
      <c r="U36" s="9">
        <f t="shared" si="13"/>
        <v>1.3343947934753466</v>
      </c>
      <c r="V36" s="9">
        <f t="shared" si="13"/>
        <v>1.3281341659080135</v>
      </c>
      <c r="W36" s="9">
        <f t="shared" si="13"/>
        <v>1.3913646648899167</v>
      </c>
      <c r="X36" s="10">
        <f t="shared" si="13"/>
        <v>1.4660380942311928</v>
      </c>
      <c r="Y36" s="10">
        <f t="shared" si="13"/>
        <v>1.6428962037028223</v>
      </c>
      <c r="Z36" s="10">
        <f t="shared" si="13"/>
        <v>1.5587679971836899</v>
      </c>
      <c r="AA36" s="10">
        <f t="shared" si="13"/>
        <v>1.5718836245432197</v>
      </c>
      <c r="AB36" s="10">
        <f t="shared" si="13"/>
        <v>1.4837946363903822</v>
      </c>
      <c r="AC36" s="10">
        <f t="shared" si="13"/>
        <v>1.65068749894447</v>
      </c>
      <c r="AD36" s="11">
        <f t="shared" si="13"/>
        <v>1.6285359589165271</v>
      </c>
    </row>
    <row r="37" spans="1:30" ht="15.75">
      <c r="A37" s="12" t="s">
        <v>4</v>
      </c>
      <c r="B37" s="13">
        <f>B53-B21-B5</f>
        <v>382.94200000000001</v>
      </c>
      <c r="C37" s="13">
        <f t="shared" ref="C37:AD37" si="14">C53-C21-C5</f>
        <v>809.17700000000002</v>
      </c>
      <c r="D37" s="13">
        <f t="shared" si="14"/>
        <v>975.78099999999995</v>
      </c>
      <c r="E37" s="13">
        <f t="shared" si="14"/>
        <v>1112.0050000000001</v>
      </c>
      <c r="F37" s="13">
        <f t="shared" si="14"/>
        <v>1091.567</v>
      </c>
      <c r="G37" s="13">
        <f t="shared" si="14"/>
        <v>657.75700000000006</v>
      </c>
      <c r="H37" s="13">
        <f t="shared" si="14"/>
        <v>1268.1500000000001</v>
      </c>
      <c r="I37" s="13">
        <f t="shared" si="14"/>
        <v>1810.402</v>
      </c>
      <c r="J37" s="13">
        <f t="shared" si="14"/>
        <v>1425.508</v>
      </c>
      <c r="K37" s="13">
        <f t="shared" si="14"/>
        <v>1810.261</v>
      </c>
      <c r="L37" s="13">
        <f t="shared" si="14"/>
        <v>1966.924</v>
      </c>
      <c r="M37" s="13">
        <f t="shared" si="14"/>
        <v>2733.0059999999999</v>
      </c>
      <c r="N37" s="13">
        <f t="shared" si="14"/>
        <v>2541.8319999999999</v>
      </c>
      <c r="O37" s="13">
        <f t="shared" si="14"/>
        <v>2929.4300000000003</v>
      </c>
      <c r="P37" s="13">
        <f t="shared" si="14"/>
        <v>3014.3980000000001</v>
      </c>
      <c r="Q37" s="13">
        <f t="shared" si="14"/>
        <v>2943.721</v>
      </c>
      <c r="R37" s="13">
        <f t="shared" si="14"/>
        <v>2541.317</v>
      </c>
      <c r="S37" s="13">
        <f t="shared" si="14"/>
        <v>1441.4569999999999</v>
      </c>
      <c r="T37" s="13">
        <f t="shared" si="14"/>
        <v>1562.328</v>
      </c>
      <c r="U37" s="13">
        <f t="shared" si="14"/>
        <v>1552.5320000000002</v>
      </c>
      <c r="V37" s="13">
        <f t="shared" si="14"/>
        <v>2033.876</v>
      </c>
      <c r="W37" s="13">
        <f t="shared" si="14"/>
        <v>2130.6959999999999</v>
      </c>
      <c r="X37" s="14">
        <f t="shared" si="14"/>
        <v>2338.9409999999998</v>
      </c>
      <c r="Y37" s="14">
        <f t="shared" si="14"/>
        <v>1805.884</v>
      </c>
      <c r="Z37" s="14">
        <f t="shared" si="14"/>
        <v>1365</v>
      </c>
      <c r="AA37" s="14">
        <f t="shared" si="14"/>
        <v>1167</v>
      </c>
      <c r="AB37" s="14">
        <f t="shared" si="14"/>
        <v>833</v>
      </c>
      <c r="AC37" s="14">
        <f t="shared" si="14"/>
        <v>774</v>
      </c>
      <c r="AD37" s="15">
        <f t="shared" si="14"/>
        <v>763</v>
      </c>
    </row>
    <row r="38" spans="1:30" ht="15.75">
      <c r="A38" s="5" t="s">
        <v>5</v>
      </c>
      <c r="B38" s="6">
        <f t="shared" ref="B38:AD39" si="15">B54-B22-B6</f>
        <v>8176</v>
      </c>
      <c r="C38" s="6">
        <f t="shared" si="15"/>
        <v>10703.36</v>
      </c>
      <c r="D38" s="6">
        <f t="shared" si="15"/>
        <v>12061</v>
      </c>
      <c r="E38" s="6">
        <f t="shared" si="15"/>
        <v>10416.25</v>
      </c>
      <c r="F38" s="6">
        <f t="shared" si="15"/>
        <v>10132.700000000001</v>
      </c>
      <c r="G38" s="6">
        <f t="shared" si="15"/>
        <v>13307.6</v>
      </c>
      <c r="H38" s="6">
        <f t="shared" si="15"/>
        <v>11339.05</v>
      </c>
      <c r="I38" s="6">
        <f t="shared" si="15"/>
        <v>7872</v>
      </c>
      <c r="J38" s="6">
        <f t="shared" si="15"/>
        <v>9298</v>
      </c>
      <c r="K38" s="6">
        <f t="shared" si="15"/>
        <v>8748</v>
      </c>
      <c r="L38" s="6">
        <f t="shared" si="15"/>
        <v>8870</v>
      </c>
      <c r="M38" s="6">
        <f t="shared" si="15"/>
        <v>8804</v>
      </c>
      <c r="N38" s="6">
        <f t="shared" si="15"/>
        <v>10003</v>
      </c>
      <c r="O38" s="6">
        <f t="shared" si="15"/>
        <v>9083</v>
      </c>
      <c r="P38" s="6">
        <f t="shared" si="15"/>
        <v>10709.15</v>
      </c>
      <c r="Q38" s="6">
        <f t="shared" si="15"/>
        <v>9339.64</v>
      </c>
      <c r="R38" s="6">
        <f t="shared" si="15"/>
        <v>9111.1899999999987</v>
      </c>
      <c r="S38" s="6">
        <f t="shared" si="15"/>
        <v>10354.43</v>
      </c>
      <c r="T38" s="6">
        <f t="shared" si="15"/>
        <v>8746.3799999999974</v>
      </c>
      <c r="U38" s="6">
        <f t="shared" si="15"/>
        <v>8458.4599999999991</v>
      </c>
      <c r="V38" s="6">
        <f t="shared" si="15"/>
        <v>7563.09</v>
      </c>
      <c r="W38" s="6">
        <f t="shared" si="15"/>
        <v>7522.6899999999987</v>
      </c>
      <c r="X38" s="7">
        <f t="shared" si="15"/>
        <v>8363.3300000000017</v>
      </c>
      <c r="Y38" s="7">
        <f t="shared" si="15"/>
        <v>10479.410000000003</v>
      </c>
      <c r="Z38" s="7">
        <f t="shared" si="15"/>
        <v>10283.089999999997</v>
      </c>
      <c r="AA38" s="7">
        <f t="shared" si="15"/>
        <v>9490.489999999998</v>
      </c>
      <c r="AB38" s="7">
        <f t="shared" si="15"/>
        <v>8245.8399999999965</v>
      </c>
      <c r="AC38" s="7">
        <f t="shared" si="15"/>
        <v>9212.7699999999968</v>
      </c>
      <c r="AD38" s="8">
        <f t="shared" si="15"/>
        <v>11229.130000000005</v>
      </c>
    </row>
    <row r="39" spans="1:30" ht="15.75">
      <c r="A39" s="5" t="s">
        <v>6</v>
      </c>
      <c r="B39" s="6">
        <f t="shared" si="15"/>
        <v>272</v>
      </c>
      <c r="C39" s="6">
        <f t="shared" si="15"/>
        <v>417.5</v>
      </c>
      <c r="D39" s="6">
        <f t="shared" si="15"/>
        <v>352.41412799999989</v>
      </c>
      <c r="E39" s="6">
        <f t="shared" si="15"/>
        <v>422.10944299999983</v>
      </c>
      <c r="F39" s="6">
        <f t="shared" si="15"/>
        <v>766.91119800000001</v>
      </c>
      <c r="G39" s="6">
        <f t="shared" si="15"/>
        <v>920.38996199999974</v>
      </c>
      <c r="H39" s="6">
        <f t="shared" si="15"/>
        <v>225.7826819999998</v>
      </c>
      <c r="I39" s="6">
        <f t="shared" si="15"/>
        <v>116.58935300000007</v>
      </c>
      <c r="J39" s="6">
        <f t="shared" si="15"/>
        <v>164.46843299999989</v>
      </c>
      <c r="K39" s="6">
        <f t="shared" si="15"/>
        <v>399.03137100000004</v>
      </c>
      <c r="L39" s="6">
        <f t="shared" si="15"/>
        <v>560.43730099999971</v>
      </c>
      <c r="M39" s="6">
        <f t="shared" si="15"/>
        <v>213.98660399999983</v>
      </c>
      <c r="N39" s="6">
        <f t="shared" si="15"/>
        <v>415.1543999999999</v>
      </c>
      <c r="O39" s="6">
        <f t="shared" si="15"/>
        <v>703.51474100000007</v>
      </c>
      <c r="P39" s="6">
        <f t="shared" si="15"/>
        <v>438.64331600000003</v>
      </c>
      <c r="Q39" s="6">
        <f t="shared" si="15"/>
        <v>839.88049799999999</v>
      </c>
      <c r="R39" s="6">
        <f t="shared" si="15"/>
        <v>536.66607700000009</v>
      </c>
      <c r="S39" s="6">
        <f t="shared" si="15"/>
        <v>494.0853340000001</v>
      </c>
      <c r="T39" s="6">
        <f t="shared" si="15"/>
        <v>589.84263199999987</v>
      </c>
      <c r="U39" s="6">
        <f t="shared" si="15"/>
        <v>508.08656500000001</v>
      </c>
      <c r="V39" s="6">
        <f t="shared" si="15"/>
        <v>613.834608</v>
      </c>
      <c r="W39" s="6">
        <f t="shared" si="15"/>
        <v>712.06145600000002</v>
      </c>
      <c r="X39" s="7">
        <f t="shared" si="15"/>
        <v>861.84443399999986</v>
      </c>
      <c r="Y39" s="7">
        <f t="shared" si="15"/>
        <v>761.72091</v>
      </c>
      <c r="Z39" s="7">
        <f t="shared" si="15"/>
        <v>783.38536399999987</v>
      </c>
      <c r="AA39" s="7">
        <f t="shared" si="15"/>
        <v>724.83682600000009</v>
      </c>
      <c r="AB39" s="7">
        <f t="shared" si="15"/>
        <v>932.64414999999985</v>
      </c>
      <c r="AC39" s="8">
        <f t="shared" si="15"/>
        <v>627.67370200000005</v>
      </c>
      <c r="AD39" s="8">
        <f t="shared" si="15"/>
        <v>1028.8599279999999</v>
      </c>
    </row>
    <row r="40" spans="1:30" ht="15.75">
      <c r="A40" s="5" t="s">
        <v>7</v>
      </c>
      <c r="B40" s="6">
        <f>SUM(B37:B39)</f>
        <v>8830.9419999999991</v>
      </c>
      <c r="C40" s="6">
        <f t="shared" ref="C40:AD40" si="16">SUM(C37:C39)</f>
        <v>11930.037</v>
      </c>
      <c r="D40" s="6">
        <f t="shared" si="16"/>
        <v>13389.195127999999</v>
      </c>
      <c r="E40" s="6">
        <f t="shared" si="16"/>
        <v>11950.364443</v>
      </c>
      <c r="F40" s="6">
        <f t="shared" si="16"/>
        <v>11991.178198</v>
      </c>
      <c r="G40" s="6">
        <f t="shared" si="16"/>
        <v>14885.746961999999</v>
      </c>
      <c r="H40" s="6">
        <f t="shared" si="16"/>
        <v>12832.982681999998</v>
      </c>
      <c r="I40" s="6">
        <f t="shared" si="16"/>
        <v>9798.9913529999994</v>
      </c>
      <c r="J40" s="6">
        <f t="shared" si="16"/>
        <v>10887.976433</v>
      </c>
      <c r="K40" s="6">
        <f t="shared" si="16"/>
        <v>10957.292371</v>
      </c>
      <c r="L40" s="6">
        <f t="shared" si="16"/>
        <v>11397.361300999999</v>
      </c>
      <c r="M40" s="6">
        <f t="shared" si="16"/>
        <v>11750.992603999999</v>
      </c>
      <c r="N40" s="6">
        <f t="shared" si="16"/>
        <v>12959.9864</v>
      </c>
      <c r="O40" s="6">
        <f t="shared" si="16"/>
        <v>12715.944741000001</v>
      </c>
      <c r="P40" s="6">
        <f t="shared" si="16"/>
        <v>14162.191315999999</v>
      </c>
      <c r="Q40" s="6">
        <f t="shared" si="16"/>
        <v>13123.241497999999</v>
      </c>
      <c r="R40" s="6">
        <f t="shared" si="16"/>
        <v>12189.173076999998</v>
      </c>
      <c r="S40" s="6">
        <f t="shared" si="16"/>
        <v>12289.972334</v>
      </c>
      <c r="T40" s="6">
        <f t="shared" si="16"/>
        <v>10898.550631999997</v>
      </c>
      <c r="U40" s="6">
        <f t="shared" si="16"/>
        <v>10519.078564999998</v>
      </c>
      <c r="V40" s="6">
        <f t="shared" si="16"/>
        <v>10210.800608</v>
      </c>
      <c r="W40" s="6">
        <f t="shared" si="16"/>
        <v>10365.447455999998</v>
      </c>
      <c r="X40" s="7">
        <f t="shared" si="16"/>
        <v>11564.115434000001</v>
      </c>
      <c r="Y40" s="7">
        <f t="shared" si="16"/>
        <v>13047.014910000004</v>
      </c>
      <c r="Z40" s="7">
        <f t="shared" si="16"/>
        <v>12431.475363999996</v>
      </c>
      <c r="AA40" s="7">
        <f t="shared" si="16"/>
        <v>11382.326825999999</v>
      </c>
      <c r="AB40" s="7">
        <f t="shared" si="16"/>
        <v>10011.484149999997</v>
      </c>
      <c r="AC40" s="8">
        <f t="shared" si="16"/>
        <v>10614.443701999997</v>
      </c>
      <c r="AD40" s="8">
        <f t="shared" si="16"/>
        <v>13020.989928000005</v>
      </c>
    </row>
    <row r="41" spans="1:30" ht="15.75">
      <c r="A41" s="12" t="s">
        <v>8</v>
      </c>
      <c r="B41" s="13">
        <f>B57-B25-B9</f>
        <v>6638.6455201891549</v>
      </c>
      <c r="C41" s="13">
        <f t="shared" ref="C41:AD44" si="17">C57-C25-C9</f>
        <v>8924.1529829627289</v>
      </c>
      <c r="D41" s="13">
        <f t="shared" si="17"/>
        <v>9131.9036381422338</v>
      </c>
      <c r="E41" s="13">
        <f t="shared" si="17"/>
        <v>9241.8604243360205</v>
      </c>
      <c r="F41" s="13">
        <f t="shared" si="17"/>
        <v>9567.6225969126972</v>
      </c>
      <c r="G41" s="13">
        <f t="shared" si="17"/>
        <v>10666.846597477181</v>
      </c>
      <c r="H41" s="13">
        <f t="shared" si="17"/>
        <v>9247.9421784748411</v>
      </c>
      <c r="I41" s="13">
        <f t="shared" si="17"/>
        <v>6211.3813081706721</v>
      </c>
      <c r="J41" s="13">
        <f t="shared" si="17"/>
        <v>7263.7085493979248</v>
      </c>
      <c r="K41" s="13">
        <f t="shared" si="17"/>
        <v>6740.9805936992525</v>
      </c>
      <c r="L41" s="13">
        <f t="shared" si="17"/>
        <v>7318.2038799249858</v>
      </c>
      <c r="M41" s="13">
        <f t="shared" si="17"/>
        <v>8281.5070537653155</v>
      </c>
      <c r="N41" s="13">
        <f t="shared" si="17"/>
        <v>8589.9504661934116</v>
      </c>
      <c r="O41" s="13">
        <f t="shared" si="17"/>
        <v>8323.3529441983446</v>
      </c>
      <c r="P41" s="13">
        <f t="shared" si="17"/>
        <v>9806.3881961783354</v>
      </c>
      <c r="Q41" s="13">
        <f t="shared" si="17"/>
        <v>8959.80550068702</v>
      </c>
      <c r="R41" s="13">
        <f t="shared" si="17"/>
        <v>8530.8575838455981</v>
      </c>
      <c r="S41" s="13">
        <f t="shared" si="17"/>
        <v>8942.8929163926332</v>
      </c>
      <c r="T41" s="13">
        <f t="shared" si="17"/>
        <v>8526.6371381793324</v>
      </c>
      <c r="U41" s="13">
        <f t="shared" si="17"/>
        <v>7502.6690548077167</v>
      </c>
      <c r="V41" s="13">
        <f t="shared" si="17"/>
        <v>7348.2183580889796</v>
      </c>
      <c r="W41" s="13">
        <f t="shared" si="17"/>
        <v>8658.0700125432704</v>
      </c>
      <c r="X41" s="14">
        <f t="shared" si="17"/>
        <v>9558.698101377151</v>
      </c>
      <c r="Y41" s="14">
        <f t="shared" si="17"/>
        <v>9292.334242384728</v>
      </c>
      <c r="Z41" s="14">
        <f t="shared" si="17"/>
        <v>8276.2158869487503</v>
      </c>
      <c r="AA41" s="14">
        <f t="shared" si="17"/>
        <v>6289.0561688361195</v>
      </c>
      <c r="AB41" s="14">
        <f t="shared" si="17"/>
        <v>7611.9147572845177</v>
      </c>
      <c r="AC41" s="15">
        <f t="shared" si="17"/>
        <v>7668.0408570316358</v>
      </c>
      <c r="AD41" s="15">
        <f t="shared" si="17"/>
        <v>15606.157441374889</v>
      </c>
    </row>
    <row r="42" spans="1:30" ht="15.75">
      <c r="A42" s="5" t="s">
        <v>9</v>
      </c>
      <c r="B42" s="6">
        <f>B58-B26-B10</f>
        <v>922</v>
      </c>
      <c r="C42" s="6">
        <f t="shared" si="17"/>
        <v>1362.5</v>
      </c>
      <c r="D42" s="6">
        <f t="shared" si="17"/>
        <v>919.30559100000028</v>
      </c>
      <c r="E42" s="6">
        <f t="shared" si="17"/>
        <v>425.8465099999994</v>
      </c>
      <c r="F42" s="6">
        <f t="shared" si="17"/>
        <v>1253.5140429999999</v>
      </c>
      <c r="G42" s="6">
        <f t="shared" si="17"/>
        <v>1827.0543990000001</v>
      </c>
      <c r="H42" s="6">
        <f t="shared" si="17"/>
        <v>801.21716599999991</v>
      </c>
      <c r="I42" s="6">
        <f t="shared" si="17"/>
        <v>545.07740399999966</v>
      </c>
      <c r="J42" s="6">
        <f t="shared" si="17"/>
        <v>922.42746099999999</v>
      </c>
      <c r="K42" s="6">
        <f t="shared" si="17"/>
        <v>856.66448100000002</v>
      </c>
      <c r="L42" s="6">
        <f t="shared" si="17"/>
        <v>571.75910299999987</v>
      </c>
      <c r="M42" s="6">
        <f t="shared" si="17"/>
        <v>457.67759799999999</v>
      </c>
      <c r="N42" s="6">
        <f t="shared" si="17"/>
        <v>470.58016900000007</v>
      </c>
      <c r="O42" s="6">
        <f t="shared" si="17"/>
        <v>516.57500000000005</v>
      </c>
      <c r="P42" s="6">
        <f t="shared" si="17"/>
        <v>703.69600000000003</v>
      </c>
      <c r="Q42" s="6">
        <f t="shared" si="17"/>
        <v>777.9369999999999</v>
      </c>
      <c r="R42" s="6">
        <f t="shared" si="17"/>
        <v>326.55799999999999</v>
      </c>
      <c r="S42" s="6">
        <f t="shared" si="17"/>
        <v>618.56299999999987</v>
      </c>
      <c r="T42" s="6">
        <f t="shared" si="17"/>
        <v>446.92099999999982</v>
      </c>
      <c r="U42" s="6">
        <f t="shared" si="17"/>
        <v>668.93299999999988</v>
      </c>
      <c r="V42" s="6">
        <f t="shared" si="17"/>
        <v>867.96899999999994</v>
      </c>
      <c r="W42" s="6">
        <f t="shared" si="17"/>
        <v>743.71400000000006</v>
      </c>
      <c r="X42" s="7">
        <f t="shared" si="17"/>
        <v>1239.3710000000001</v>
      </c>
      <c r="Y42" s="7">
        <f t="shared" si="17"/>
        <v>1325.7309290000001</v>
      </c>
      <c r="Z42" s="7">
        <f t="shared" si="17"/>
        <v>1358.3743300000001</v>
      </c>
      <c r="AA42" s="7">
        <f t="shared" si="17"/>
        <v>1723.2497740000003</v>
      </c>
      <c r="AB42" s="7">
        <f t="shared" si="17"/>
        <v>1211.4328980000003</v>
      </c>
      <c r="AC42" s="8">
        <f t="shared" si="17"/>
        <v>1140.571715</v>
      </c>
      <c r="AD42" s="8">
        <f t="shared" si="17"/>
        <v>946.76893500000006</v>
      </c>
    </row>
    <row r="43" spans="1:30" ht="15.75">
      <c r="A43" s="5" t="s">
        <v>10</v>
      </c>
      <c r="B43" s="6">
        <f>B59-B27-B11</f>
        <v>50</v>
      </c>
      <c r="C43" s="6">
        <f t="shared" si="17"/>
        <v>54</v>
      </c>
      <c r="D43" s="6">
        <f t="shared" si="17"/>
        <v>48</v>
      </c>
      <c r="E43" s="6">
        <f t="shared" si="17"/>
        <v>52</v>
      </c>
      <c r="F43" s="6">
        <f t="shared" si="17"/>
        <v>62</v>
      </c>
      <c r="G43" s="6">
        <f t="shared" si="17"/>
        <v>55</v>
      </c>
      <c r="H43" s="6">
        <f t="shared" si="17"/>
        <v>42</v>
      </c>
      <c r="I43" s="6">
        <f t="shared" si="17"/>
        <v>47</v>
      </c>
      <c r="J43" s="6">
        <f t="shared" si="17"/>
        <v>51</v>
      </c>
      <c r="K43" s="6">
        <f t="shared" si="17"/>
        <v>47</v>
      </c>
      <c r="L43" s="6">
        <f t="shared" si="17"/>
        <v>44</v>
      </c>
      <c r="M43" s="6">
        <f t="shared" si="17"/>
        <v>52</v>
      </c>
      <c r="N43" s="6">
        <f t="shared" si="17"/>
        <v>48</v>
      </c>
      <c r="O43" s="6">
        <f t="shared" si="17"/>
        <v>49</v>
      </c>
      <c r="P43" s="6">
        <f t="shared" si="17"/>
        <v>51</v>
      </c>
      <c r="Q43" s="6">
        <f t="shared" si="17"/>
        <v>46</v>
      </c>
      <c r="R43" s="6">
        <f t="shared" si="17"/>
        <v>46</v>
      </c>
      <c r="S43" s="6">
        <f t="shared" si="17"/>
        <v>38</v>
      </c>
      <c r="T43" s="6">
        <f t="shared" si="17"/>
        <v>37</v>
      </c>
      <c r="U43" s="6">
        <f t="shared" si="17"/>
        <v>33</v>
      </c>
      <c r="V43" s="6">
        <f t="shared" si="17"/>
        <v>30</v>
      </c>
      <c r="W43" s="6">
        <f t="shared" si="17"/>
        <v>32</v>
      </c>
      <c r="X43" s="7">
        <f t="shared" si="17"/>
        <v>36</v>
      </c>
      <c r="Y43" s="7">
        <f t="shared" si="17"/>
        <v>38</v>
      </c>
      <c r="Z43" s="7">
        <f t="shared" si="17"/>
        <v>34</v>
      </c>
      <c r="AA43" s="7">
        <f t="shared" si="17"/>
        <v>35</v>
      </c>
      <c r="AB43" s="7">
        <f t="shared" si="17"/>
        <v>35</v>
      </c>
      <c r="AC43" s="8">
        <f t="shared" si="17"/>
        <v>38</v>
      </c>
      <c r="AD43" s="8">
        <f t="shared" si="17"/>
        <v>45</v>
      </c>
    </row>
    <row r="44" spans="1:30" ht="15.75">
      <c r="A44" s="5" t="s">
        <v>11</v>
      </c>
      <c r="B44" s="6">
        <f>B60-B28-B12</f>
        <v>411.11947981084495</v>
      </c>
      <c r="C44" s="6">
        <f t="shared" si="17"/>
        <v>613.60301703726964</v>
      </c>
      <c r="D44" s="6">
        <f t="shared" si="17"/>
        <v>2177.9808988577688</v>
      </c>
      <c r="E44" s="6">
        <f t="shared" si="17"/>
        <v>1139.0905086639787</v>
      </c>
      <c r="F44" s="6">
        <f t="shared" si="17"/>
        <v>450.28455808730382</v>
      </c>
      <c r="G44" s="6">
        <f t="shared" si="17"/>
        <v>1068.6959655228188</v>
      </c>
      <c r="H44" s="6">
        <f t="shared" si="17"/>
        <v>931.42133752515815</v>
      </c>
      <c r="I44" s="6">
        <f t="shared" si="17"/>
        <v>1570.0246408293283</v>
      </c>
      <c r="J44" s="6">
        <f t="shared" si="17"/>
        <v>840.57942260207528</v>
      </c>
      <c r="K44" s="6">
        <f t="shared" si="17"/>
        <v>1345.7232963007486</v>
      </c>
      <c r="L44" s="6">
        <f t="shared" si="17"/>
        <v>730.39231807501028</v>
      </c>
      <c r="M44" s="6">
        <f t="shared" si="17"/>
        <v>417.97595223468397</v>
      </c>
      <c r="N44" s="6">
        <f t="shared" si="17"/>
        <v>922.02576480658718</v>
      </c>
      <c r="O44" s="6">
        <f t="shared" si="17"/>
        <v>812.61879680165475</v>
      </c>
      <c r="P44" s="6">
        <f t="shared" si="17"/>
        <v>657.3861198216639</v>
      </c>
      <c r="Q44" s="6">
        <f t="shared" si="17"/>
        <v>798.18199731298228</v>
      </c>
      <c r="R44" s="6">
        <f t="shared" si="17"/>
        <v>1844.3004931544024</v>
      </c>
      <c r="S44" s="6">
        <f t="shared" si="17"/>
        <v>1128.1884176073645</v>
      </c>
      <c r="T44" s="6">
        <f t="shared" si="17"/>
        <v>335.46049382066576</v>
      </c>
      <c r="U44" s="6">
        <f t="shared" si="17"/>
        <v>280.60051019228376</v>
      </c>
      <c r="V44" s="6">
        <f t="shared" si="17"/>
        <v>-166.08275008897317</v>
      </c>
      <c r="W44" s="6">
        <f t="shared" si="17"/>
        <v>-1407.2775565432685</v>
      </c>
      <c r="X44" s="7">
        <f t="shared" si="17"/>
        <v>-1076.8376673771513</v>
      </c>
      <c r="Y44" s="7">
        <f t="shared" si="17"/>
        <v>1025.9497386152793</v>
      </c>
      <c r="Z44" s="7">
        <f t="shared" si="17"/>
        <v>1595.8851470512473</v>
      </c>
      <c r="AA44" s="7">
        <f t="shared" si="17"/>
        <v>2502.0208831638874</v>
      </c>
      <c r="AB44" s="7">
        <f t="shared" si="17"/>
        <v>379.13649471547524</v>
      </c>
      <c r="AC44" s="8">
        <f t="shared" si="17"/>
        <v>1004.8311299683601</v>
      </c>
      <c r="AD44" s="8">
        <f t="shared" si="17"/>
        <v>74.063551625113178</v>
      </c>
    </row>
    <row r="45" spans="1:30" ht="15.75">
      <c r="A45" s="5" t="s">
        <v>12</v>
      </c>
      <c r="B45" s="6">
        <f>SUM(B41:B44)</f>
        <v>8021.7649999999994</v>
      </c>
      <c r="C45" s="6">
        <f t="shared" ref="C45:AD45" si="18">SUM(C41:C44)</f>
        <v>10954.255999999998</v>
      </c>
      <c r="D45" s="6">
        <f t="shared" si="18"/>
        <v>12277.190128000002</v>
      </c>
      <c r="E45" s="6">
        <f t="shared" si="18"/>
        <v>10858.797442999999</v>
      </c>
      <c r="F45" s="6">
        <f t="shared" si="18"/>
        <v>11333.421198</v>
      </c>
      <c r="G45" s="6">
        <f t="shared" si="18"/>
        <v>13617.596962</v>
      </c>
      <c r="H45" s="6">
        <f t="shared" si="18"/>
        <v>11022.580682</v>
      </c>
      <c r="I45" s="6">
        <f t="shared" si="18"/>
        <v>8373.4833529999996</v>
      </c>
      <c r="J45" s="6">
        <f t="shared" si="18"/>
        <v>9077.7154329999994</v>
      </c>
      <c r="K45" s="6">
        <f t="shared" si="18"/>
        <v>8990.3683710000005</v>
      </c>
      <c r="L45" s="6">
        <f t="shared" si="18"/>
        <v>8664.355300999996</v>
      </c>
      <c r="M45" s="6">
        <f t="shared" si="18"/>
        <v>9209.1606040000006</v>
      </c>
      <c r="N45" s="6">
        <f t="shared" si="18"/>
        <v>10030.556399999999</v>
      </c>
      <c r="O45" s="6">
        <f t="shared" si="18"/>
        <v>9701.5467410000001</v>
      </c>
      <c r="P45" s="6">
        <f t="shared" si="18"/>
        <v>11218.470315999999</v>
      </c>
      <c r="Q45" s="6">
        <f t="shared" si="18"/>
        <v>10581.924498000002</v>
      </c>
      <c r="R45" s="6">
        <f t="shared" si="18"/>
        <v>10747.716077000001</v>
      </c>
      <c r="S45" s="6">
        <f t="shared" si="18"/>
        <v>10727.644333999997</v>
      </c>
      <c r="T45" s="6">
        <f t="shared" si="18"/>
        <v>9346.0186319999993</v>
      </c>
      <c r="U45" s="6">
        <f t="shared" si="18"/>
        <v>8485.2025650000014</v>
      </c>
      <c r="V45" s="6">
        <f t="shared" si="18"/>
        <v>8080.1046080000051</v>
      </c>
      <c r="W45" s="6">
        <f t="shared" si="18"/>
        <v>8026.5064560000019</v>
      </c>
      <c r="X45" s="7">
        <f t="shared" si="18"/>
        <v>9757.2314339999994</v>
      </c>
      <c r="Y45" s="7">
        <f t="shared" si="18"/>
        <v>11682.014910000007</v>
      </c>
      <c r="Z45" s="7">
        <f t="shared" si="18"/>
        <v>11264.475363999998</v>
      </c>
      <c r="AA45" s="7">
        <f t="shared" si="18"/>
        <v>10549.326826000008</v>
      </c>
      <c r="AB45" s="7">
        <f t="shared" si="18"/>
        <v>9237.484149999993</v>
      </c>
      <c r="AC45" s="8">
        <f t="shared" si="18"/>
        <v>9851.4437019999968</v>
      </c>
      <c r="AD45" s="8">
        <f t="shared" si="18"/>
        <v>16671.989928000003</v>
      </c>
    </row>
    <row r="46" spans="1:30" ht="15.75">
      <c r="A46" s="12" t="s">
        <v>13</v>
      </c>
      <c r="B46" s="13">
        <f>B40-B45</f>
        <v>809.17699999999968</v>
      </c>
      <c r="C46" s="13">
        <f t="shared" ref="C46:P46" si="19">C40-C45</f>
        <v>975.78100000000268</v>
      </c>
      <c r="D46" s="13">
        <f t="shared" si="19"/>
        <v>1112.0049999999974</v>
      </c>
      <c r="E46" s="13">
        <f t="shared" si="19"/>
        <v>1091.5670000000009</v>
      </c>
      <c r="F46" s="13">
        <f t="shared" si="19"/>
        <v>657.75699999999961</v>
      </c>
      <c r="G46" s="13">
        <f t="shared" si="19"/>
        <v>1268.1499999999996</v>
      </c>
      <c r="H46" s="13">
        <f t="shared" si="19"/>
        <v>1810.4019999999982</v>
      </c>
      <c r="I46" s="13">
        <f t="shared" si="19"/>
        <v>1425.5079999999998</v>
      </c>
      <c r="J46" s="13">
        <f t="shared" si="19"/>
        <v>1810.2610000000004</v>
      </c>
      <c r="K46" s="13">
        <f t="shared" si="19"/>
        <v>1966.9239999999991</v>
      </c>
      <c r="L46" s="13">
        <f t="shared" si="19"/>
        <v>2733.006000000003</v>
      </c>
      <c r="M46" s="13">
        <f t="shared" si="19"/>
        <v>2541.8319999999985</v>
      </c>
      <c r="N46" s="13">
        <f t="shared" si="19"/>
        <v>2929.4300000000003</v>
      </c>
      <c r="O46" s="13">
        <f t="shared" si="19"/>
        <v>3014.398000000001</v>
      </c>
      <c r="P46" s="13">
        <f t="shared" si="19"/>
        <v>2943.7209999999995</v>
      </c>
      <c r="Q46" s="13">
        <f>Q40-Q45</f>
        <v>2541.3169999999973</v>
      </c>
      <c r="R46" s="13">
        <f t="shared" ref="R46:AD46" si="20">R40-R45</f>
        <v>1441.4569999999967</v>
      </c>
      <c r="S46" s="13">
        <f t="shared" si="20"/>
        <v>1562.3280000000032</v>
      </c>
      <c r="T46" s="13">
        <f t="shared" si="20"/>
        <v>1552.5319999999974</v>
      </c>
      <c r="U46" s="13">
        <f t="shared" si="20"/>
        <v>2033.8759999999966</v>
      </c>
      <c r="V46" s="13">
        <f t="shared" si="20"/>
        <v>2130.6959999999945</v>
      </c>
      <c r="W46" s="13">
        <f t="shared" si="20"/>
        <v>2338.9409999999962</v>
      </c>
      <c r="X46" s="14">
        <f t="shared" si="20"/>
        <v>1806.8840000000018</v>
      </c>
      <c r="Y46" s="14">
        <f t="shared" si="20"/>
        <v>1364.9999999999964</v>
      </c>
      <c r="Z46" s="14">
        <f t="shared" si="20"/>
        <v>1166.9999999999982</v>
      </c>
      <c r="AA46" s="14">
        <f t="shared" si="20"/>
        <v>832.99999999999091</v>
      </c>
      <c r="AB46" s="14">
        <f t="shared" si="20"/>
        <v>774.00000000000364</v>
      </c>
      <c r="AC46" s="15">
        <f t="shared" si="20"/>
        <v>763</v>
      </c>
      <c r="AD46" s="15">
        <f t="shared" si="20"/>
        <v>-3650.9999999999982</v>
      </c>
    </row>
    <row r="47" spans="1:30" ht="16.5" thickBot="1">
      <c r="A47" s="5" t="s">
        <v>14</v>
      </c>
      <c r="B47" s="16">
        <f>B46/B45</f>
        <v>0.10087268824255008</v>
      </c>
      <c r="C47" s="16">
        <f t="shared" ref="C47:AD47" si="21">C46/C45</f>
        <v>8.9077797707119766E-2</v>
      </c>
      <c r="D47" s="16">
        <f t="shared" si="21"/>
        <v>9.0574878160752811E-2</v>
      </c>
      <c r="E47" s="16">
        <f t="shared" si="21"/>
        <v>0.10052374636600918</v>
      </c>
      <c r="F47" s="16">
        <f t="shared" si="21"/>
        <v>5.8036932406259942E-2</v>
      </c>
      <c r="G47" s="16">
        <f t="shared" si="21"/>
        <v>9.3125828553949797E-2</v>
      </c>
      <c r="H47" s="16">
        <f t="shared" si="21"/>
        <v>0.16424483995444056</v>
      </c>
      <c r="I47" s="16">
        <f t="shared" si="21"/>
        <v>0.17024073971428841</v>
      </c>
      <c r="J47" s="16">
        <f t="shared" si="21"/>
        <v>0.1994181259988832</v>
      </c>
      <c r="K47" s="16">
        <f t="shared" si="21"/>
        <v>0.21878124664442616</v>
      </c>
      <c r="L47" s="16">
        <f t="shared" si="21"/>
        <v>0.31543097034404549</v>
      </c>
      <c r="M47" s="16">
        <f t="shared" si="21"/>
        <v>0.2760112576271016</v>
      </c>
      <c r="N47" s="16">
        <f t="shared" si="21"/>
        <v>0.29205059850917148</v>
      </c>
      <c r="O47" s="16">
        <f t="shared" si="21"/>
        <v>0.31071313476857898</v>
      </c>
      <c r="P47" s="16">
        <f t="shared" si="21"/>
        <v>0.26239949984995797</v>
      </c>
      <c r="Q47" s="16">
        <f t="shared" si="21"/>
        <v>0.24015641015774677</v>
      </c>
      <c r="R47" s="16">
        <f t="shared" si="21"/>
        <v>0.13411751758912757</v>
      </c>
      <c r="S47" s="16">
        <f t="shared" si="21"/>
        <v>0.14563570075197121</v>
      </c>
      <c r="T47" s="16">
        <f t="shared" si="21"/>
        <v>0.16611693825264326</v>
      </c>
      <c r="U47" s="16">
        <f t="shared" si="21"/>
        <v>0.23969681152803407</v>
      </c>
      <c r="V47" s="16">
        <f t="shared" si="21"/>
        <v>0.26369658604300994</v>
      </c>
      <c r="W47" s="16">
        <f t="shared" si="21"/>
        <v>0.29140212031494511</v>
      </c>
      <c r="X47" s="17">
        <f t="shared" si="21"/>
        <v>0.18518408753775614</v>
      </c>
      <c r="Y47" s="17">
        <f t="shared" si="21"/>
        <v>0.11684628127220868</v>
      </c>
      <c r="Z47" s="17">
        <f t="shared" si="21"/>
        <v>0.10360003127439024</v>
      </c>
      <c r="AA47" s="17">
        <f t="shared" si="21"/>
        <v>7.8962384400393049E-2</v>
      </c>
      <c r="AB47" s="17">
        <f t="shared" si="21"/>
        <v>8.3789047692168897E-2</v>
      </c>
      <c r="AC47" s="18">
        <f t="shared" si="21"/>
        <v>7.745057710121199E-2</v>
      </c>
      <c r="AD47" s="18">
        <f t="shared" si="21"/>
        <v>-0.21899005552230308</v>
      </c>
    </row>
    <row r="48" spans="1:30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0">
      <c r="A49" s="1" t="s">
        <v>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>
      <c r="A50" s="3"/>
      <c r="B50" s="4" t="str">
        <f>B2</f>
        <v xml:space="preserve">93/94 </v>
      </c>
      <c r="C50" s="4" t="str">
        <f t="shared" ref="C50:AD50" si="22">C2</f>
        <v xml:space="preserve">94/95 </v>
      </c>
      <c r="D50" s="4" t="str">
        <f t="shared" si="22"/>
        <v xml:space="preserve">95/96 </v>
      </c>
      <c r="E50" s="4" t="str">
        <f t="shared" si="22"/>
        <v xml:space="preserve">96/97 </v>
      </c>
      <c r="F50" s="4" t="str">
        <f t="shared" si="22"/>
        <v xml:space="preserve">97/98 </v>
      </c>
      <c r="G50" s="4" t="str">
        <f t="shared" si="22"/>
        <v xml:space="preserve">98/99 </v>
      </c>
      <c r="H50" s="4" t="str">
        <f t="shared" si="22"/>
        <v xml:space="preserve">99/00 </v>
      </c>
      <c r="I50" s="4" t="str">
        <f t="shared" si="22"/>
        <v xml:space="preserve">00/01 </v>
      </c>
      <c r="J50" s="4" t="str">
        <f t="shared" si="22"/>
        <v xml:space="preserve">01/02 </v>
      </c>
      <c r="K50" s="4" t="str">
        <f t="shared" si="22"/>
        <v xml:space="preserve">02/03 </v>
      </c>
      <c r="L50" s="4" t="str">
        <f t="shared" si="22"/>
        <v xml:space="preserve">03/04 </v>
      </c>
      <c r="M50" s="4" t="str">
        <f t="shared" si="22"/>
        <v xml:space="preserve">04/05 </v>
      </c>
      <c r="N50" s="4" t="str">
        <f t="shared" si="22"/>
        <v xml:space="preserve">05/06 </v>
      </c>
      <c r="O50" s="4" t="str">
        <f t="shared" si="22"/>
        <v xml:space="preserve">06/07 </v>
      </c>
      <c r="P50" s="4" t="str">
        <f t="shared" si="22"/>
        <v xml:space="preserve">07/08 </v>
      </c>
      <c r="Q50" s="4" t="str">
        <f t="shared" si="22"/>
        <v xml:space="preserve">08/09 </v>
      </c>
      <c r="R50" s="4" t="str">
        <f t="shared" si="22"/>
        <v xml:space="preserve">09/10 </v>
      </c>
      <c r="S50" s="4" t="str">
        <f t="shared" si="22"/>
        <v xml:space="preserve">10/11 </v>
      </c>
      <c r="T50" s="4" t="str">
        <f t="shared" si="22"/>
        <v xml:space="preserve">11/12 </v>
      </c>
      <c r="U50" s="4" t="str">
        <f t="shared" si="22"/>
        <v xml:space="preserve">12/13 </v>
      </c>
      <c r="V50" s="4" t="str">
        <f t="shared" si="22"/>
        <v xml:space="preserve">13/14 </v>
      </c>
      <c r="W50" s="4" t="str">
        <f t="shared" si="22"/>
        <v xml:space="preserve">14/15 </v>
      </c>
      <c r="X50" s="4" t="str">
        <f t="shared" si="22"/>
        <v xml:space="preserve">15/16 </v>
      </c>
      <c r="Y50" s="4" t="str">
        <f t="shared" si="22"/>
        <v xml:space="preserve">16/17 </v>
      </c>
      <c r="Z50" s="4" t="str">
        <f t="shared" si="22"/>
        <v xml:space="preserve">17/18 </v>
      </c>
      <c r="AA50" s="4" t="str">
        <f t="shared" si="22"/>
        <v xml:space="preserve">18/19 </v>
      </c>
      <c r="AB50" s="4" t="str">
        <f t="shared" si="22"/>
        <v xml:space="preserve">19/20 </v>
      </c>
      <c r="AC50" s="4" t="str">
        <f t="shared" si="22"/>
        <v xml:space="preserve">20/21 </v>
      </c>
      <c r="AD50" s="4" t="str">
        <f t="shared" si="22"/>
        <v>21/22</v>
      </c>
    </row>
    <row r="51" spans="1:30" ht="15.75">
      <c r="A51" s="21" t="s">
        <v>2</v>
      </c>
      <c r="B51" s="6">
        <v>17726</v>
      </c>
      <c r="C51" s="6">
        <v>18807</v>
      </c>
      <c r="D51" s="6">
        <v>20495</v>
      </c>
      <c r="E51" s="6">
        <v>19139</v>
      </c>
      <c r="F51" s="6">
        <v>19145</v>
      </c>
      <c r="G51" s="6">
        <v>21634</v>
      </c>
      <c r="H51" s="6">
        <v>23029</v>
      </c>
      <c r="I51" s="6">
        <v>19910</v>
      </c>
      <c r="J51" s="6">
        <v>18839</v>
      </c>
      <c r="K51" s="6">
        <v>20183</v>
      </c>
      <c r="L51" s="6">
        <v>23006</v>
      </c>
      <c r="M51" s="6">
        <v>20688</v>
      </c>
      <c r="N51" s="6">
        <v>22721</v>
      </c>
      <c r="O51" s="6">
        <v>23440</v>
      </c>
      <c r="P51" s="6">
        <v>21432</v>
      </c>
      <c r="Q51" s="6">
        <v>23888</v>
      </c>
      <c r="R51" s="6">
        <v>22969</v>
      </c>
      <c r="S51" s="6">
        <v>23084</v>
      </c>
      <c r="T51" s="6">
        <v>24637</v>
      </c>
      <c r="U51" s="6">
        <v>23588</v>
      </c>
      <c r="V51" s="6">
        <v>24010</v>
      </c>
      <c r="W51" s="6">
        <v>23096</v>
      </c>
      <c r="X51" s="7">
        <v>23489</v>
      </c>
      <c r="Y51" s="7">
        <v>25984</v>
      </c>
      <c r="Z51" s="7">
        <v>25983</v>
      </c>
      <c r="AA51" s="7">
        <v>25802</v>
      </c>
      <c r="AB51" s="7">
        <v>26350</v>
      </c>
      <c r="AC51" s="7">
        <v>26900</v>
      </c>
      <c r="AD51" s="8">
        <v>28074</v>
      </c>
    </row>
    <row r="52" spans="1:30" ht="15.75">
      <c r="A52" s="22" t="s">
        <v>3</v>
      </c>
      <c r="B52" s="23">
        <f>B54/B51</f>
        <v>1.1707096919778857</v>
      </c>
      <c r="C52" s="23">
        <f t="shared" ref="C52:AD52" si="23">C54/C51</f>
        <v>1.2371457436061042</v>
      </c>
      <c r="D52" s="23">
        <f t="shared" si="23"/>
        <v>1.2547450597706757</v>
      </c>
      <c r="E52" s="23">
        <f t="shared" si="23"/>
        <v>1.2493860703276034</v>
      </c>
      <c r="F52" s="23">
        <f t="shared" si="23"/>
        <v>1.221781143901802</v>
      </c>
      <c r="G52" s="23">
        <f t="shared" si="23"/>
        <v>1.233798650272719</v>
      </c>
      <c r="H52" s="23">
        <f t="shared" si="23"/>
        <v>1.1813799991315299</v>
      </c>
      <c r="I52" s="23">
        <f t="shared" si="23"/>
        <v>1.1516323455549975</v>
      </c>
      <c r="J52" s="23">
        <f t="shared" si="23"/>
        <v>1.1286161685864431</v>
      </c>
      <c r="K52" s="23">
        <f t="shared" si="23"/>
        <v>1.1757915077045038</v>
      </c>
      <c r="L52" s="23">
        <f t="shared" si="23"/>
        <v>1.1558723811179692</v>
      </c>
      <c r="M52" s="23">
        <f t="shared" si="23"/>
        <v>1.2272331786542923</v>
      </c>
      <c r="N52" s="23">
        <f t="shared" si="23"/>
        <v>1.3169754852339246</v>
      </c>
      <c r="O52" s="23">
        <f t="shared" si="23"/>
        <v>1.2832764505119454</v>
      </c>
      <c r="P52" s="23">
        <f t="shared" si="23"/>
        <v>1.2886804777902203</v>
      </c>
      <c r="Q52" s="23">
        <f t="shared" si="23"/>
        <v>1.386260884125921</v>
      </c>
      <c r="R52" s="23">
        <f t="shared" si="23"/>
        <v>1.3750707475292785</v>
      </c>
      <c r="S52" s="23">
        <f t="shared" si="23"/>
        <v>1.4189915092704903</v>
      </c>
      <c r="T52" s="23">
        <f t="shared" si="23"/>
        <v>1.5711734383244713</v>
      </c>
      <c r="U52" s="23">
        <f t="shared" si="23"/>
        <v>1.4810920807190098</v>
      </c>
      <c r="V52" s="23">
        <f t="shared" si="23"/>
        <v>1.7296543107038733</v>
      </c>
      <c r="W52" s="23">
        <f t="shared" si="23"/>
        <v>1.6989089019743679</v>
      </c>
      <c r="X52" s="10">
        <f t="shared" si="23"/>
        <v>1.7327259568308571</v>
      </c>
      <c r="Y52" s="10">
        <f t="shared" si="23"/>
        <v>1.8609913793103448</v>
      </c>
      <c r="Z52" s="10">
        <f t="shared" si="23"/>
        <v>1.8467074625716815</v>
      </c>
      <c r="AA52" s="10">
        <f t="shared" si="23"/>
        <v>1.9623285016665375</v>
      </c>
      <c r="AB52" s="10">
        <f t="shared" si="23"/>
        <v>2.0763946869070207</v>
      </c>
      <c r="AC52" s="10">
        <f t="shared" si="23"/>
        <v>1.8484386617100372</v>
      </c>
      <c r="AD52" s="11">
        <f t="shared" si="23"/>
        <v>2.0301346441547339</v>
      </c>
    </row>
    <row r="53" spans="1:30" ht="15.75">
      <c r="A53" s="24" t="s">
        <v>4</v>
      </c>
      <c r="B53" s="13">
        <v>606</v>
      </c>
      <c r="C53" s="13">
        <v>1059</v>
      </c>
      <c r="D53" s="13">
        <v>1164</v>
      </c>
      <c r="E53" s="13">
        <v>1846</v>
      </c>
      <c r="F53" s="13">
        <v>1331</v>
      </c>
      <c r="G53" s="13">
        <v>821</v>
      </c>
      <c r="H53" s="13">
        <v>1392</v>
      </c>
      <c r="I53" s="13">
        <v>2168</v>
      </c>
      <c r="J53" s="13">
        <v>2008</v>
      </c>
      <c r="K53" s="13">
        <v>2045</v>
      </c>
      <c r="L53" s="13">
        <v>2628</v>
      </c>
      <c r="M53" s="13">
        <v>3375</v>
      </c>
      <c r="N53" s="13">
        <v>2959</v>
      </c>
      <c r="O53" s="13">
        <v>3480</v>
      </c>
      <c r="P53" s="13">
        <v>4024</v>
      </c>
      <c r="Q53" s="13">
        <v>3718</v>
      </c>
      <c r="R53" s="13">
        <v>3849</v>
      </c>
      <c r="S53" s="13">
        <v>2595</v>
      </c>
      <c r="T53" s="13">
        <v>2259</v>
      </c>
      <c r="U53" s="13">
        <v>2538</v>
      </c>
      <c r="V53" s="13">
        <v>2784</v>
      </c>
      <c r="W53" s="13">
        <v>3270</v>
      </c>
      <c r="X53" s="14">
        <v>2928</v>
      </c>
      <c r="Y53" s="14">
        <v>2785</v>
      </c>
      <c r="Z53" s="14">
        <v>3401</v>
      </c>
      <c r="AA53" s="14">
        <v>2673</v>
      </c>
      <c r="AB53" s="14">
        <v>2394</v>
      </c>
      <c r="AC53" s="14">
        <v>2476</v>
      </c>
      <c r="AD53" s="15">
        <v>1946</v>
      </c>
    </row>
    <row r="54" spans="1:30" ht="15.75">
      <c r="A54" s="21" t="s">
        <v>5</v>
      </c>
      <c r="B54" s="6">
        <v>20752</v>
      </c>
      <c r="C54" s="6">
        <v>23267</v>
      </c>
      <c r="D54" s="6">
        <v>25716</v>
      </c>
      <c r="E54" s="6">
        <v>23912</v>
      </c>
      <c r="F54" s="6">
        <v>23391</v>
      </c>
      <c r="G54" s="6">
        <v>26692</v>
      </c>
      <c r="H54" s="6">
        <v>27206</v>
      </c>
      <c r="I54" s="6">
        <v>22929</v>
      </c>
      <c r="J54" s="6">
        <v>21262</v>
      </c>
      <c r="K54" s="6">
        <v>23731</v>
      </c>
      <c r="L54" s="6">
        <v>26592</v>
      </c>
      <c r="M54" s="6">
        <v>25389</v>
      </c>
      <c r="N54" s="6">
        <v>29923</v>
      </c>
      <c r="O54" s="6">
        <v>30080</v>
      </c>
      <c r="P54" s="6">
        <v>27619</v>
      </c>
      <c r="Q54" s="6">
        <v>33115</v>
      </c>
      <c r="R54" s="6">
        <v>31584</v>
      </c>
      <c r="S54" s="6">
        <v>32756</v>
      </c>
      <c r="T54" s="6">
        <v>38709</v>
      </c>
      <c r="U54" s="6">
        <v>34936</v>
      </c>
      <c r="V54" s="6">
        <v>41529</v>
      </c>
      <c r="W54" s="6">
        <v>39238</v>
      </c>
      <c r="X54" s="7">
        <v>40700</v>
      </c>
      <c r="Y54" s="7">
        <v>48356</v>
      </c>
      <c r="Z54" s="7">
        <v>47983</v>
      </c>
      <c r="AA54" s="7">
        <v>50632</v>
      </c>
      <c r="AB54" s="7">
        <v>54713</v>
      </c>
      <c r="AC54" s="7">
        <v>49723</v>
      </c>
      <c r="AD54" s="8">
        <v>56994</v>
      </c>
    </row>
    <row r="55" spans="1:30" ht="15.75">
      <c r="A55" s="21" t="s">
        <v>6</v>
      </c>
      <c r="B55" s="6">
        <v>1888</v>
      </c>
      <c r="C55" s="6">
        <v>2588</v>
      </c>
      <c r="D55" s="6">
        <v>3396</v>
      </c>
      <c r="E55" s="6">
        <v>3206</v>
      </c>
      <c r="F55" s="6">
        <v>3171</v>
      </c>
      <c r="G55" s="6">
        <v>3740</v>
      </c>
      <c r="H55" s="6">
        <v>2036</v>
      </c>
      <c r="I55" s="6">
        <v>2202</v>
      </c>
      <c r="J55" s="6">
        <v>1112</v>
      </c>
      <c r="K55" s="6">
        <v>1367</v>
      </c>
      <c r="L55" s="6">
        <v>2188</v>
      </c>
      <c r="M55" s="6">
        <v>1164</v>
      </c>
      <c r="N55" s="6">
        <v>1423</v>
      </c>
      <c r="O55" s="6">
        <v>1809</v>
      </c>
      <c r="P55" s="6">
        <v>1286</v>
      </c>
      <c r="Q55" s="6">
        <v>1918</v>
      </c>
      <c r="R55" s="6">
        <v>1563</v>
      </c>
      <c r="S55" s="6">
        <v>1624</v>
      </c>
      <c r="T55" s="6">
        <v>1702</v>
      </c>
      <c r="U55" s="6">
        <v>1353</v>
      </c>
      <c r="V55" s="6">
        <v>1626</v>
      </c>
      <c r="W55" s="6">
        <v>1559</v>
      </c>
      <c r="X55" s="7">
        <v>1977</v>
      </c>
      <c r="Y55" s="7">
        <v>2309</v>
      </c>
      <c r="Z55" s="7">
        <v>2291</v>
      </c>
      <c r="AA55" s="7">
        <v>2663</v>
      </c>
      <c r="AB55" s="7">
        <v>3329</v>
      </c>
      <c r="AC55" s="8">
        <v>2686</v>
      </c>
      <c r="AD55" s="8">
        <v>3418</v>
      </c>
    </row>
    <row r="56" spans="1:30" ht="15.75">
      <c r="A56" s="21" t="s">
        <v>7</v>
      </c>
      <c r="B56" s="6">
        <f>B55+B54+B53</f>
        <v>23246</v>
      </c>
      <c r="C56" s="6">
        <f t="shared" ref="C56:AD56" si="24">C55+C54+C53</f>
        <v>26914</v>
      </c>
      <c r="D56" s="6">
        <f t="shared" si="24"/>
        <v>30276</v>
      </c>
      <c r="E56" s="6">
        <f t="shared" si="24"/>
        <v>28964</v>
      </c>
      <c r="F56" s="6">
        <f t="shared" si="24"/>
        <v>27893</v>
      </c>
      <c r="G56" s="6">
        <f t="shared" si="24"/>
        <v>31253</v>
      </c>
      <c r="H56" s="6">
        <f t="shared" si="24"/>
        <v>30634</v>
      </c>
      <c r="I56" s="6">
        <f t="shared" si="24"/>
        <v>27299</v>
      </c>
      <c r="J56" s="6">
        <f t="shared" si="24"/>
        <v>24382</v>
      </c>
      <c r="K56" s="6">
        <f t="shared" si="24"/>
        <v>27143</v>
      </c>
      <c r="L56" s="6">
        <f t="shared" si="24"/>
        <v>31408</v>
      </c>
      <c r="M56" s="6">
        <f t="shared" si="24"/>
        <v>29928</v>
      </c>
      <c r="N56" s="6">
        <f t="shared" si="24"/>
        <v>34305</v>
      </c>
      <c r="O56" s="6">
        <f t="shared" si="24"/>
        <v>35369</v>
      </c>
      <c r="P56" s="6">
        <f t="shared" si="24"/>
        <v>32929</v>
      </c>
      <c r="Q56" s="6">
        <f t="shared" si="24"/>
        <v>38751</v>
      </c>
      <c r="R56" s="6">
        <f t="shared" si="24"/>
        <v>36996</v>
      </c>
      <c r="S56" s="6">
        <f t="shared" si="24"/>
        <v>36975</v>
      </c>
      <c r="T56" s="6">
        <f t="shared" si="24"/>
        <v>42670</v>
      </c>
      <c r="U56" s="6">
        <f t="shared" si="24"/>
        <v>38827</v>
      </c>
      <c r="V56" s="6">
        <f t="shared" si="24"/>
        <v>45939</v>
      </c>
      <c r="W56" s="6">
        <f t="shared" si="24"/>
        <v>44067</v>
      </c>
      <c r="X56" s="7">
        <f t="shared" si="24"/>
        <v>45605</v>
      </c>
      <c r="Y56" s="7">
        <f t="shared" si="24"/>
        <v>53450</v>
      </c>
      <c r="Z56" s="7">
        <f t="shared" si="24"/>
        <v>53675</v>
      </c>
      <c r="AA56" s="7">
        <f t="shared" si="24"/>
        <v>55968</v>
      </c>
      <c r="AB56" s="7">
        <f t="shared" si="24"/>
        <v>60436</v>
      </c>
      <c r="AC56" s="8">
        <f t="shared" si="24"/>
        <v>54885</v>
      </c>
      <c r="AD56" s="8">
        <f t="shared" si="24"/>
        <v>62358</v>
      </c>
    </row>
    <row r="57" spans="1:30" ht="15.75">
      <c r="A57" s="24" t="s">
        <v>8</v>
      </c>
      <c r="B57" s="13">
        <v>17980</v>
      </c>
      <c r="C57" s="13">
        <v>20666</v>
      </c>
      <c r="D57" s="13">
        <v>22708</v>
      </c>
      <c r="E57" s="13">
        <v>21704</v>
      </c>
      <c r="F57" s="13">
        <v>21423</v>
      </c>
      <c r="G57" s="13">
        <v>23115</v>
      </c>
      <c r="H57" s="13">
        <v>23211</v>
      </c>
      <c r="I57" s="13">
        <v>19833</v>
      </c>
      <c r="J57" s="13">
        <v>18183</v>
      </c>
      <c r="K57" s="13">
        <v>19731</v>
      </c>
      <c r="L57" s="13">
        <v>22412</v>
      </c>
      <c r="M57" s="13">
        <v>22449</v>
      </c>
      <c r="N57" s="13">
        <v>25686</v>
      </c>
      <c r="O57" s="13">
        <v>26112</v>
      </c>
      <c r="P57" s="13">
        <v>24851</v>
      </c>
      <c r="Q57" s="13">
        <v>28730</v>
      </c>
      <c r="R57" s="13">
        <v>29114</v>
      </c>
      <c r="S57" s="13">
        <v>28955</v>
      </c>
      <c r="T57" s="13">
        <v>34371</v>
      </c>
      <c r="U57" s="13">
        <v>30817</v>
      </c>
      <c r="V57" s="13">
        <v>36922</v>
      </c>
      <c r="W57" s="13">
        <v>35579</v>
      </c>
      <c r="X57" s="14">
        <v>36625</v>
      </c>
      <c r="Y57" s="14">
        <v>43130</v>
      </c>
      <c r="Z57" s="14">
        <v>44035</v>
      </c>
      <c r="AA57" s="14">
        <v>46273</v>
      </c>
      <c r="AB57" s="14">
        <v>50059</v>
      </c>
      <c r="AC57" s="15">
        <v>45475</v>
      </c>
      <c r="AD57" s="15">
        <v>51516</v>
      </c>
    </row>
    <row r="58" spans="1:30" ht="15.75">
      <c r="A58" s="21" t="s">
        <v>9</v>
      </c>
      <c r="B58" s="6">
        <v>1914</v>
      </c>
      <c r="C58" s="6">
        <v>2532</v>
      </c>
      <c r="D58" s="6">
        <v>3097</v>
      </c>
      <c r="E58" s="6">
        <v>3253</v>
      </c>
      <c r="F58" s="6">
        <v>3012</v>
      </c>
      <c r="G58" s="6">
        <v>3704</v>
      </c>
      <c r="H58" s="6">
        <v>2247</v>
      </c>
      <c r="I58" s="6">
        <v>2403</v>
      </c>
      <c r="J58" s="6">
        <v>1198</v>
      </c>
      <c r="K58" s="6">
        <v>1548</v>
      </c>
      <c r="L58" s="6">
        <v>2263</v>
      </c>
      <c r="M58" s="6">
        <v>1227</v>
      </c>
      <c r="N58" s="6">
        <v>1517</v>
      </c>
      <c r="O58" s="6">
        <v>1910</v>
      </c>
      <c r="P58" s="6">
        <v>1459</v>
      </c>
      <c r="Q58" s="6">
        <v>2146</v>
      </c>
      <c r="R58" s="6">
        <v>1552</v>
      </c>
      <c r="S58" s="6">
        <v>1782</v>
      </c>
      <c r="T58" s="6">
        <v>1927</v>
      </c>
      <c r="U58" s="6">
        <v>1464</v>
      </c>
      <c r="V58" s="6">
        <v>2010</v>
      </c>
      <c r="W58" s="6">
        <v>1675</v>
      </c>
      <c r="X58" s="7">
        <v>2132</v>
      </c>
      <c r="Y58" s="7">
        <v>2681</v>
      </c>
      <c r="Z58" s="7">
        <v>2747</v>
      </c>
      <c r="AA58" s="7">
        <v>3231</v>
      </c>
      <c r="AB58" s="7">
        <v>3638</v>
      </c>
      <c r="AC58" s="8">
        <v>3216</v>
      </c>
      <c r="AD58" s="8">
        <v>3721</v>
      </c>
    </row>
    <row r="59" spans="1:30" ht="15.75">
      <c r="A59" s="21" t="s">
        <v>10</v>
      </c>
      <c r="B59" s="6">
        <f>ROUND((C51/0.97)*0.0065,0)</f>
        <v>126</v>
      </c>
      <c r="C59" s="6">
        <f t="shared" ref="C59:AC59" si="25">ROUND((D51/0.97)*0.0065,0)</f>
        <v>137</v>
      </c>
      <c r="D59" s="6">
        <f t="shared" si="25"/>
        <v>128</v>
      </c>
      <c r="E59" s="6">
        <f t="shared" si="25"/>
        <v>128</v>
      </c>
      <c r="F59" s="6">
        <f t="shared" si="25"/>
        <v>145</v>
      </c>
      <c r="G59" s="6">
        <f t="shared" si="25"/>
        <v>154</v>
      </c>
      <c r="H59" s="6">
        <f t="shared" si="25"/>
        <v>133</v>
      </c>
      <c r="I59" s="6">
        <f t="shared" si="25"/>
        <v>126</v>
      </c>
      <c r="J59" s="6">
        <f t="shared" si="25"/>
        <v>135</v>
      </c>
      <c r="K59" s="6">
        <f t="shared" si="25"/>
        <v>154</v>
      </c>
      <c r="L59" s="6">
        <f t="shared" si="25"/>
        <v>139</v>
      </c>
      <c r="M59" s="6">
        <f t="shared" si="25"/>
        <v>152</v>
      </c>
      <c r="N59" s="6">
        <f t="shared" si="25"/>
        <v>157</v>
      </c>
      <c r="O59" s="6">
        <f t="shared" si="25"/>
        <v>144</v>
      </c>
      <c r="P59" s="6">
        <f t="shared" si="25"/>
        <v>160</v>
      </c>
      <c r="Q59" s="6">
        <f t="shared" si="25"/>
        <v>154</v>
      </c>
      <c r="R59" s="6">
        <f t="shared" si="25"/>
        <v>155</v>
      </c>
      <c r="S59" s="6">
        <f t="shared" si="25"/>
        <v>165</v>
      </c>
      <c r="T59" s="6">
        <f t="shared" si="25"/>
        <v>158</v>
      </c>
      <c r="U59" s="6">
        <f t="shared" si="25"/>
        <v>161</v>
      </c>
      <c r="V59" s="6">
        <f t="shared" si="25"/>
        <v>155</v>
      </c>
      <c r="W59" s="6">
        <f t="shared" si="25"/>
        <v>157</v>
      </c>
      <c r="X59" s="7">
        <f t="shared" si="25"/>
        <v>174</v>
      </c>
      <c r="Y59" s="7">
        <f t="shared" si="25"/>
        <v>174</v>
      </c>
      <c r="Z59" s="7">
        <f t="shared" si="25"/>
        <v>173</v>
      </c>
      <c r="AA59" s="7">
        <f t="shared" si="25"/>
        <v>177</v>
      </c>
      <c r="AB59" s="7">
        <f t="shared" si="25"/>
        <v>180</v>
      </c>
      <c r="AC59" s="8">
        <f t="shared" si="25"/>
        <v>188</v>
      </c>
      <c r="AD59" s="8">
        <v>195</v>
      </c>
    </row>
    <row r="60" spans="1:30" ht="15.75">
      <c r="A60" s="21" t="s">
        <v>11</v>
      </c>
      <c r="B60" s="6">
        <f t="shared" ref="B60:AD60" si="26">B68-B59</f>
        <v>2167</v>
      </c>
      <c r="C60" s="6">
        <f t="shared" si="26"/>
        <v>2415</v>
      </c>
      <c r="D60" s="6">
        <f t="shared" si="26"/>
        <v>2497</v>
      </c>
      <c r="E60" s="6">
        <f t="shared" si="26"/>
        <v>2548</v>
      </c>
      <c r="F60" s="6">
        <f t="shared" si="26"/>
        <v>2492</v>
      </c>
      <c r="G60" s="6">
        <f t="shared" si="26"/>
        <v>2888</v>
      </c>
      <c r="H60" s="6">
        <f t="shared" si="26"/>
        <v>2875</v>
      </c>
      <c r="I60" s="6">
        <f t="shared" si="26"/>
        <v>2929</v>
      </c>
      <c r="J60" s="6">
        <f t="shared" si="26"/>
        <v>2821</v>
      </c>
      <c r="K60" s="6">
        <f t="shared" si="26"/>
        <v>3082</v>
      </c>
      <c r="L60" s="6">
        <f t="shared" si="26"/>
        <v>3219</v>
      </c>
      <c r="M60" s="6">
        <f t="shared" si="26"/>
        <v>3141</v>
      </c>
      <c r="N60" s="6">
        <f t="shared" si="26"/>
        <v>3465</v>
      </c>
      <c r="O60" s="6">
        <f t="shared" si="26"/>
        <v>3179</v>
      </c>
      <c r="P60" s="6">
        <f t="shared" si="26"/>
        <v>2741</v>
      </c>
      <c r="Q60" s="6">
        <f t="shared" si="26"/>
        <v>3872</v>
      </c>
      <c r="R60" s="6">
        <f t="shared" si="26"/>
        <v>3580</v>
      </c>
      <c r="S60" s="6">
        <f t="shared" si="26"/>
        <v>3814</v>
      </c>
      <c r="T60" s="6">
        <f t="shared" si="26"/>
        <v>3676</v>
      </c>
      <c r="U60" s="6">
        <f t="shared" si="26"/>
        <v>3601</v>
      </c>
      <c r="V60" s="6">
        <f t="shared" si="26"/>
        <v>3582</v>
      </c>
      <c r="W60" s="6">
        <f t="shared" si="26"/>
        <v>3728</v>
      </c>
      <c r="X60" s="7">
        <f t="shared" si="26"/>
        <v>3888</v>
      </c>
      <c r="Y60" s="7">
        <f t="shared" si="26"/>
        <v>4064</v>
      </c>
      <c r="Z60" s="7">
        <f t="shared" si="26"/>
        <v>4047</v>
      </c>
      <c r="AA60" s="7">
        <f t="shared" si="26"/>
        <v>3893</v>
      </c>
      <c r="AB60" s="7">
        <f t="shared" si="26"/>
        <v>4083</v>
      </c>
      <c r="AC60" s="8">
        <f t="shared" si="26"/>
        <v>4060</v>
      </c>
      <c r="AD60" s="8">
        <f t="shared" si="26"/>
        <v>4096</v>
      </c>
    </row>
    <row r="61" spans="1:30" ht="15.75">
      <c r="A61" s="21" t="s">
        <v>12</v>
      </c>
      <c r="B61" s="6">
        <f>SUM(B57:B60)</f>
        <v>22187</v>
      </c>
      <c r="C61" s="6">
        <f t="shared" ref="C61:AD61" si="27">SUM(C57:C60)</f>
        <v>25750</v>
      </c>
      <c r="D61" s="6">
        <f t="shared" si="27"/>
        <v>28430</v>
      </c>
      <c r="E61" s="6">
        <f t="shared" si="27"/>
        <v>27633</v>
      </c>
      <c r="F61" s="6">
        <f t="shared" si="27"/>
        <v>27072</v>
      </c>
      <c r="G61" s="6">
        <f t="shared" si="27"/>
        <v>29861</v>
      </c>
      <c r="H61" s="6">
        <f t="shared" si="27"/>
        <v>28466</v>
      </c>
      <c r="I61" s="6">
        <f t="shared" si="27"/>
        <v>25291</v>
      </c>
      <c r="J61" s="6">
        <f t="shared" si="27"/>
        <v>22337</v>
      </c>
      <c r="K61" s="6">
        <f t="shared" si="27"/>
        <v>24515</v>
      </c>
      <c r="L61" s="6">
        <f t="shared" si="27"/>
        <v>28033</v>
      </c>
      <c r="M61" s="6">
        <f t="shared" si="27"/>
        <v>26969</v>
      </c>
      <c r="N61" s="6">
        <f t="shared" si="27"/>
        <v>30825</v>
      </c>
      <c r="O61" s="6">
        <f t="shared" si="27"/>
        <v>31345</v>
      </c>
      <c r="P61" s="6">
        <f t="shared" si="27"/>
        <v>29211</v>
      </c>
      <c r="Q61" s="6">
        <f t="shared" si="27"/>
        <v>34902</v>
      </c>
      <c r="R61" s="6">
        <f t="shared" si="27"/>
        <v>34401</v>
      </c>
      <c r="S61" s="6">
        <f t="shared" si="27"/>
        <v>34716</v>
      </c>
      <c r="T61" s="6">
        <f t="shared" si="27"/>
        <v>40132</v>
      </c>
      <c r="U61" s="6">
        <f t="shared" si="27"/>
        <v>36043</v>
      </c>
      <c r="V61" s="6">
        <f t="shared" si="27"/>
        <v>42669</v>
      </c>
      <c r="W61" s="6">
        <f t="shared" si="27"/>
        <v>41139</v>
      </c>
      <c r="X61" s="7">
        <f t="shared" si="27"/>
        <v>42819</v>
      </c>
      <c r="Y61" s="7">
        <f t="shared" si="27"/>
        <v>50049</v>
      </c>
      <c r="Z61" s="7">
        <f t="shared" si="27"/>
        <v>51002</v>
      </c>
      <c r="AA61" s="7">
        <f t="shared" si="27"/>
        <v>53574</v>
      </c>
      <c r="AB61" s="7">
        <f t="shared" si="27"/>
        <v>57960</v>
      </c>
      <c r="AC61" s="8">
        <f t="shared" si="27"/>
        <v>52939</v>
      </c>
      <c r="AD61" s="8">
        <f t="shared" si="27"/>
        <v>59528</v>
      </c>
    </row>
    <row r="62" spans="1:30" ht="15.75">
      <c r="A62" s="24" t="s">
        <v>13</v>
      </c>
      <c r="B62" s="13">
        <f>B56-B61</f>
        <v>1059</v>
      </c>
      <c r="C62" s="13">
        <f t="shared" ref="C62:AD62" si="28">C56-C61</f>
        <v>1164</v>
      </c>
      <c r="D62" s="13">
        <f t="shared" si="28"/>
        <v>1846</v>
      </c>
      <c r="E62" s="13">
        <f t="shared" si="28"/>
        <v>1331</v>
      </c>
      <c r="F62" s="13">
        <f t="shared" si="28"/>
        <v>821</v>
      </c>
      <c r="G62" s="13">
        <f t="shared" si="28"/>
        <v>1392</v>
      </c>
      <c r="H62" s="13">
        <f t="shared" si="28"/>
        <v>2168</v>
      </c>
      <c r="I62" s="13">
        <f t="shared" si="28"/>
        <v>2008</v>
      </c>
      <c r="J62" s="13">
        <f t="shared" si="28"/>
        <v>2045</v>
      </c>
      <c r="K62" s="13">
        <f t="shared" si="28"/>
        <v>2628</v>
      </c>
      <c r="L62" s="13">
        <f t="shared" si="28"/>
        <v>3375</v>
      </c>
      <c r="M62" s="13">
        <f t="shared" si="28"/>
        <v>2959</v>
      </c>
      <c r="N62" s="13">
        <f t="shared" si="28"/>
        <v>3480</v>
      </c>
      <c r="O62" s="13">
        <f t="shared" si="28"/>
        <v>4024</v>
      </c>
      <c r="P62" s="13">
        <f t="shared" si="28"/>
        <v>3718</v>
      </c>
      <c r="Q62" s="13">
        <f t="shared" si="28"/>
        <v>3849</v>
      </c>
      <c r="R62" s="13">
        <f t="shared" si="28"/>
        <v>2595</v>
      </c>
      <c r="S62" s="13">
        <f t="shared" si="28"/>
        <v>2259</v>
      </c>
      <c r="T62" s="13">
        <f t="shared" si="28"/>
        <v>2538</v>
      </c>
      <c r="U62" s="13">
        <f t="shared" si="28"/>
        <v>2784</v>
      </c>
      <c r="V62" s="13">
        <f t="shared" si="28"/>
        <v>3270</v>
      </c>
      <c r="W62" s="13">
        <f t="shared" si="28"/>
        <v>2928</v>
      </c>
      <c r="X62" s="14">
        <f t="shared" si="28"/>
        <v>2786</v>
      </c>
      <c r="Y62" s="14">
        <f t="shared" si="28"/>
        <v>3401</v>
      </c>
      <c r="Z62" s="14">
        <f t="shared" si="28"/>
        <v>2673</v>
      </c>
      <c r="AA62" s="14">
        <f t="shared" si="28"/>
        <v>2394</v>
      </c>
      <c r="AB62" s="14">
        <f t="shared" si="28"/>
        <v>2476</v>
      </c>
      <c r="AC62" s="15">
        <f t="shared" si="28"/>
        <v>1946</v>
      </c>
      <c r="AD62" s="15">
        <f t="shared" si="28"/>
        <v>2830</v>
      </c>
    </row>
    <row r="63" spans="1:30" ht="16.5" thickBot="1">
      <c r="A63" s="5" t="s">
        <v>14</v>
      </c>
      <c r="B63" s="16">
        <f>B62/B61</f>
        <v>4.7730653085139949E-2</v>
      </c>
      <c r="C63" s="16">
        <f t="shared" ref="C63:AD63" si="29">C62/C61</f>
        <v>4.5203883495145633E-2</v>
      </c>
      <c r="D63" s="16">
        <f t="shared" si="29"/>
        <v>6.4931410481885332E-2</v>
      </c>
      <c r="E63" s="16">
        <f t="shared" si="29"/>
        <v>4.8167046647124817E-2</v>
      </c>
      <c r="F63" s="16">
        <f t="shared" si="29"/>
        <v>3.0326536643026005E-2</v>
      </c>
      <c r="G63" s="16">
        <f t="shared" si="29"/>
        <v>4.6615987408325239E-2</v>
      </c>
      <c r="H63" s="16">
        <f t="shared" si="29"/>
        <v>7.6161034216257986E-2</v>
      </c>
      <c r="I63" s="16">
        <f t="shared" si="29"/>
        <v>7.9395832509588385E-2</v>
      </c>
      <c r="J63" s="16">
        <f t="shared" si="29"/>
        <v>9.1552133231857458E-2</v>
      </c>
      <c r="K63" s="16">
        <f t="shared" si="29"/>
        <v>0.10719967366918214</v>
      </c>
      <c r="L63" s="16">
        <f t="shared" si="29"/>
        <v>0.12039382156743837</v>
      </c>
      <c r="M63" s="16">
        <f t="shared" si="29"/>
        <v>0.1097185657606882</v>
      </c>
      <c r="N63" s="16">
        <f t="shared" si="29"/>
        <v>0.11289537712895377</v>
      </c>
      <c r="O63" s="16">
        <f t="shared" si="29"/>
        <v>0.12837773169564523</v>
      </c>
      <c r="P63" s="16">
        <f t="shared" si="29"/>
        <v>0.12728081886960391</v>
      </c>
      <c r="Q63" s="16">
        <f t="shared" si="29"/>
        <v>0.11028021316829981</v>
      </c>
      <c r="R63" s="16">
        <f t="shared" si="29"/>
        <v>7.5433853667044568E-2</v>
      </c>
      <c r="S63" s="16">
        <f t="shared" si="29"/>
        <v>6.5070860698237129E-2</v>
      </c>
      <c r="T63" s="16">
        <f t="shared" si="29"/>
        <v>6.3241303697797263E-2</v>
      </c>
      <c r="U63" s="16">
        <f t="shared" si="29"/>
        <v>7.7241073162611321E-2</v>
      </c>
      <c r="V63" s="16">
        <f t="shared" si="29"/>
        <v>7.6636433945018637E-2</v>
      </c>
      <c r="W63" s="16">
        <f t="shared" si="29"/>
        <v>7.1173339167213592E-2</v>
      </c>
      <c r="X63" s="17">
        <f t="shared" si="29"/>
        <v>6.506457413764917E-2</v>
      </c>
      <c r="Y63" s="17">
        <f t="shared" si="29"/>
        <v>6.7953405662450797E-2</v>
      </c>
      <c r="Z63" s="17">
        <f t="shared" si="29"/>
        <v>5.2409709423159874E-2</v>
      </c>
      <c r="AA63" s="17">
        <f t="shared" si="29"/>
        <v>4.4685855078956213E-2</v>
      </c>
      <c r="AB63" s="17">
        <f t="shared" si="29"/>
        <v>4.271911663216011E-2</v>
      </c>
      <c r="AC63" s="18">
        <f t="shared" si="29"/>
        <v>3.6759288992991933E-2</v>
      </c>
      <c r="AD63" s="18">
        <f t="shared" si="29"/>
        <v>4.7540653138019084E-2</v>
      </c>
    </row>
    <row r="64" spans="1:30">
      <c r="A64" s="25" t="s">
        <v>19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spans="1:30">
      <c r="A65" s="26" t="s">
        <v>20</v>
      </c>
    </row>
    <row r="68" spans="1:30" ht="16.5">
      <c r="A68" s="27" t="s">
        <v>21</v>
      </c>
      <c r="B68">
        <v>2293</v>
      </c>
      <c r="C68">
        <v>2552</v>
      </c>
      <c r="D68">
        <v>2625</v>
      </c>
      <c r="E68">
        <v>2676</v>
      </c>
      <c r="F68">
        <v>2637</v>
      </c>
      <c r="G68">
        <v>3042</v>
      </c>
      <c r="H68">
        <v>3008</v>
      </c>
      <c r="I68">
        <v>3055</v>
      </c>
      <c r="J68">
        <v>2956</v>
      </c>
      <c r="K68">
        <v>3236</v>
      </c>
      <c r="L68">
        <v>3358</v>
      </c>
      <c r="M68">
        <v>3293</v>
      </c>
      <c r="N68">
        <v>3622</v>
      </c>
      <c r="O68">
        <v>3323</v>
      </c>
      <c r="P68">
        <v>2901</v>
      </c>
      <c r="Q68">
        <v>4026</v>
      </c>
      <c r="R68">
        <v>3735</v>
      </c>
      <c r="S68">
        <v>3979</v>
      </c>
      <c r="T68">
        <v>3834</v>
      </c>
      <c r="U68">
        <v>3762</v>
      </c>
      <c r="V68">
        <v>3737</v>
      </c>
      <c r="W68">
        <v>3885</v>
      </c>
      <c r="X68">
        <v>4062</v>
      </c>
      <c r="Y68">
        <v>4238</v>
      </c>
      <c r="Z68">
        <v>4220</v>
      </c>
      <c r="AA68">
        <v>4070</v>
      </c>
      <c r="AB68">
        <v>4263</v>
      </c>
      <c r="AC68">
        <v>4248</v>
      </c>
      <c r="AD68">
        <v>4291</v>
      </c>
    </row>
  </sheetData>
  <pageMargins left="0.25" right="0.25" top="0.75" bottom="0.75" header="0.3" footer="0.3"/>
  <pageSetup scale="69" orientation="portrait" r:id="rId1"/>
  <headerFooter>
    <oddHeader>&amp;L&amp;G&amp;C&amp;"Arial,Bold"&amp;20
WORLD SUNFLOWER SUPPLY AND DEMAND</oddHeader>
    <oddFooter>&amp;L&amp;D&amp;C&amp;P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0069-FBD4-4A2C-A740-A75AB81A8724}">
  <sheetPr>
    <pageSetUpPr fitToPage="1"/>
  </sheetPr>
  <dimension ref="A1:AD48"/>
  <sheetViews>
    <sheetView zoomScale="85" zoomScaleNormal="85" workbookViewId="0">
      <pane xSplit="1" ySplit="1" topLeftCell="Z22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11.42578125" defaultRowHeight="15"/>
  <cols>
    <col min="1" max="1" width="33.85546875" customWidth="1"/>
    <col min="2" max="25" width="0" hidden="1" customWidth="1"/>
    <col min="26" max="30" width="13.42578125" customWidth="1"/>
    <col min="31" max="53" width="11.42578125" customWidth="1"/>
    <col min="58" max="81" width="0" hidden="1" customWidth="1"/>
    <col min="86" max="109" width="0" hidden="1" customWidth="1"/>
    <col min="114" max="137" width="0" hidden="1" customWidth="1"/>
  </cols>
  <sheetData>
    <row r="1" spans="1:30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3" t="s">
        <v>1</v>
      </c>
      <c r="B2" s="4" t="str">
        <f>'EU Sun Complex'!B2</f>
        <v xml:space="preserve">93/94 </v>
      </c>
      <c r="C2" s="4" t="str">
        <f>'EU Sun Complex'!C2</f>
        <v xml:space="preserve">94/95 </v>
      </c>
      <c r="D2" s="4" t="str">
        <f>'EU Sun Complex'!D2</f>
        <v xml:space="preserve">95/96 </v>
      </c>
      <c r="E2" s="4" t="str">
        <f>'EU Sun Complex'!E2</f>
        <v xml:space="preserve">96/97 </v>
      </c>
      <c r="F2" s="4" t="str">
        <f>'EU Sun Complex'!F2</f>
        <v xml:space="preserve">97/98 </v>
      </c>
      <c r="G2" s="4" t="str">
        <f>'EU Sun Complex'!G2</f>
        <v xml:space="preserve">98/99 </v>
      </c>
      <c r="H2" s="4" t="str">
        <f>'EU Sun Complex'!H2</f>
        <v xml:space="preserve">99/00 </v>
      </c>
      <c r="I2" s="4" t="str">
        <f>'EU Sun Complex'!I2</f>
        <v xml:space="preserve">00/01 </v>
      </c>
      <c r="J2" s="4" t="str">
        <f>'EU Sun Complex'!J2</f>
        <v xml:space="preserve">01/02 </v>
      </c>
      <c r="K2" s="4" t="str">
        <f>'EU Sun Complex'!K2</f>
        <v xml:space="preserve">02/03 </v>
      </c>
      <c r="L2" s="4" t="str">
        <f>'EU Sun Complex'!L2</f>
        <v xml:space="preserve">03/04 </v>
      </c>
      <c r="M2" s="4" t="str">
        <f>'EU Sun Complex'!M2</f>
        <v xml:space="preserve">04/05 </v>
      </c>
      <c r="N2" s="4" t="str">
        <f>'EU Sun Complex'!N2</f>
        <v xml:space="preserve">05/06 </v>
      </c>
      <c r="O2" s="4" t="str">
        <f>'EU Sun Complex'!O2</f>
        <v xml:space="preserve">06/07 </v>
      </c>
      <c r="P2" s="4" t="str">
        <f>'EU Sun Complex'!P2</f>
        <v xml:space="preserve">07/08 </v>
      </c>
      <c r="Q2" s="4" t="str">
        <f>'EU Sun Complex'!Q2</f>
        <v xml:space="preserve">08/09 </v>
      </c>
      <c r="R2" s="4" t="str">
        <f>'EU Sun Complex'!R2</f>
        <v xml:space="preserve">09/10 </v>
      </c>
      <c r="S2" s="4" t="str">
        <f>'EU Sun Complex'!S2</f>
        <v xml:space="preserve">10/11 </v>
      </c>
      <c r="T2" s="4" t="str">
        <f>'EU Sun Complex'!T2</f>
        <v xml:space="preserve">11/12 </v>
      </c>
      <c r="U2" s="4" t="str">
        <f>'EU Sun Complex'!U2</f>
        <v xml:space="preserve">12/13 </v>
      </c>
      <c r="V2" s="4" t="str">
        <f>'EU Sun Complex'!V2</f>
        <v xml:space="preserve">13/14 </v>
      </c>
      <c r="W2" s="4" t="str">
        <f>'EU Sun Complex'!W2</f>
        <v xml:space="preserve">14/15 </v>
      </c>
      <c r="X2" s="4" t="str">
        <f>'EU Sun Complex'!X2</f>
        <v xml:space="preserve">15/16 </v>
      </c>
      <c r="Y2" s="4" t="str">
        <f>'EU Sun Complex'!Y2</f>
        <v xml:space="preserve">16/17 </v>
      </c>
      <c r="Z2" s="4" t="str">
        <f>'EU Sun Complex'!Z2</f>
        <v xml:space="preserve">17/18 </v>
      </c>
      <c r="AA2" s="4" t="str">
        <f>'EU Sun Complex'!AA2</f>
        <v xml:space="preserve">18/19 </v>
      </c>
      <c r="AB2" s="4" t="str">
        <f>'EU Sun Complex'!AB2</f>
        <v xml:space="preserve">19/20 </v>
      </c>
      <c r="AC2" s="4" t="str">
        <f>'EU Sun Complex'!AC2</f>
        <v xml:space="preserve">20/21 </v>
      </c>
      <c r="AD2" s="4" t="str">
        <f>'EU Sun Complex'!AD2</f>
        <v>21/22</v>
      </c>
    </row>
    <row r="3" spans="1:30" ht="15.75">
      <c r="A3" s="5" t="s">
        <v>23</v>
      </c>
      <c r="B3" s="28">
        <f>'EU Sun Complex'!B22+'Ukraine Sun Complex'!B22+'Russia Sun Complex'!B22</f>
        <v>69</v>
      </c>
      <c r="C3" s="28">
        <f>'EU Sun Complex'!C22+'Ukraine Sun Complex'!C22+'Russia Sun Complex'!C22</f>
        <v>70</v>
      </c>
      <c r="D3" s="28">
        <f>'EU Sun Complex'!D22+'Ukraine Sun Complex'!D22+'Russia Sun Complex'!D22</f>
        <v>198</v>
      </c>
      <c r="E3" s="28">
        <f>'EU Sun Complex'!E22+'Ukraine Sun Complex'!E22+'Russia Sun Complex'!E22</f>
        <v>331</v>
      </c>
      <c r="F3" s="28">
        <f>'EU Sun Complex'!F22+'Ukraine Sun Complex'!F22+'Russia Sun Complex'!F22</f>
        <v>163</v>
      </c>
      <c r="G3" s="28">
        <f>'EU Sun Complex'!G22+'Ukraine Sun Complex'!G22+'Russia Sun Complex'!G22</f>
        <v>140</v>
      </c>
      <c r="H3" s="28">
        <f>'EU Sun Complex'!H22+'Ukraine Sun Complex'!H22+'Russia Sun Complex'!H22</f>
        <v>183</v>
      </c>
      <c r="I3" s="28">
        <f>'EU Sun Complex'!I22+'Ukraine Sun Complex'!I22+'Russia Sun Complex'!I22</f>
        <v>253</v>
      </c>
      <c r="J3" s="28">
        <f>'EU Sun Complex'!J22+'Ukraine Sun Complex'!J22+'Russia Sun Complex'!J22</f>
        <v>214</v>
      </c>
      <c r="K3" s="28">
        <f>'EU Sun Complex'!K22+'Ukraine Sun Complex'!K22+'Russia Sun Complex'!K22</f>
        <v>173</v>
      </c>
      <c r="L3" s="28">
        <f>'EU Sun Complex'!L22+'Ukraine Sun Complex'!L22+'Russia Sun Complex'!L22</f>
        <v>106</v>
      </c>
      <c r="M3" s="28">
        <f>'EU Sun Complex'!M22+'Ukraine Sun Complex'!M22+'Russia Sun Complex'!M22</f>
        <v>135</v>
      </c>
      <c r="N3" s="28">
        <f>'EU Sun Complex'!N22+'Ukraine Sun Complex'!N22+'Russia Sun Complex'!N22</f>
        <v>103</v>
      </c>
      <c r="O3" s="28">
        <f>'EU Sun Complex'!O22+'Ukraine Sun Complex'!O22+'Russia Sun Complex'!O22</f>
        <v>113</v>
      </c>
      <c r="P3" s="28">
        <f>'EU Sun Complex'!P22+'Ukraine Sun Complex'!P22+'Russia Sun Complex'!P22</f>
        <v>110</v>
      </c>
      <c r="Q3" s="28">
        <f>'EU Sun Complex'!Q22+'Ukraine Sun Complex'!Q22+'Russia Sun Complex'!Q22</f>
        <v>101</v>
      </c>
      <c r="R3" s="28">
        <f>'EU Sun Complex'!R22+'Ukraine Sun Complex'!R22+'Russia Sun Complex'!R22</f>
        <v>396</v>
      </c>
      <c r="S3" s="28">
        <f>'EU Sun Complex'!S22+'Ukraine Sun Complex'!S22+'Russia Sun Complex'!S22</f>
        <v>603</v>
      </c>
      <c r="T3" s="28">
        <f>'EU Sun Complex'!T22+'Ukraine Sun Complex'!T22+'Russia Sun Complex'!T22</f>
        <v>495</v>
      </c>
      <c r="U3" s="28">
        <f>'EU Sun Complex'!U22+'Ukraine Sun Complex'!U22+'Russia Sun Complex'!U22</f>
        <v>831</v>
      </c>
      <c r="V3" s="28">
        <f>'EU Sun Complex'!V22+'Ukraine Sun Complex'!V22+'Russia Sun Complex'!V22</f>
        <v>221</v>
      </c>
      <c r="W3" s="28">
        <f>'EU Sun Complex'!W22+'Ukraine Sun Complex'!W22+'Russia Sun Complex'!W22</f>
        <v>820</v>
      </c>
      <c r="X3" s="29">
        <f>'EU Sun Complex'!X22+'Ukraine Sun Complex'!X22+'Russia Sun Complex'!X22</f>
        <v>943</v>
      </c>
      <c r="Y3" s="29">
        <f>'EU Sun Complex'!Y22+'Ukraine Sun Complex'!Y22+'Russia Sun Complex'!Y22</f>
        <v>1003</v>
      </c>
      <c r="Z3" s="29">
        <f>'EU Sun Complex'!Z22+'Ukraine Sun Complex'!Z22+'Russia Sun Complex'!Z22</f>
        <v>884</v>
      </c>
      <c r="AA3" s="29">
        <f>'EU Sun Complex'!AA22+'Ukraine Sun Complex'!AA22+'Russia Sun Complex'!AA22</f>
        <v>903</v>
      </c>
      <c r="AB3" s="29">
        <f>'EU Sun Complex'!AB22+'Ukraine Sun Complex'!AB22+'Russia Sun Complex'!AB22</f>
        <v>940</v>
      </c>
      <c r="AC3" s="29">
        <f>'EU Sun Complex'!AC22+'Ukraine Sun Complex'!AC22+'Russia Sun Complex'!AC22</f>
        <v>656</v>
      </c>
      <c r="AD3" s="29">
        <f>'EU Sun Complex'!AD22+'Ukraine Sun Complex'!AD22+'Russia Sun Complex'!AD22</f>
        <v>847</v>
      </c>
    </row>
    <row r="4" spans="1:30" ht="15.75">
      <c r="A4" s="5" t="s">
        <v>5</v>
      </c>
      <c r="B4" s="28">
        <f>'EU Sun Complex'!B23+'Ukraine Sun Complex'!B23+'Russia Sun Complex'!B23</f>
        <v>4629.9244324385982</v>
      </c>
      <c r="C4" s="28">
        <f>'EU Sun Complex'!C23+'Ukraine Sun Complex'!C23+'Russia Sun Complex'!C23</f>
        <v>4734.7246905221409</v>
      </c>
      <c r="D4" s="28">
        <f>'EU Sun Complex'!D23+'Ukraine Sun Complex'!D23+'Russia Sun Complex'!D23</f>
        <v>5560.1235356438183</v>
      </c>
      <c r="E4" s="28">
        <f>'EU Sun Complex'!E23+'Ukraine Sun Complex'!E23+'Russia Sun Complex'!E23</f>
        <v>5223.4394596300108</v>
      </c>
      <c r="F4" s="28">
        <f>'EU Sun Complex'!F23+'Ukraine Sun Complex'!F23+'Russia Sun Complex'!F23</f>
        <v>4738.2569845658081</v>
      </c>
      <c r="G4" s="28">
        <f>'EU Sun Complex'!G23+'Ukraine Sun Complex'!G23+'Russia Sun Complex'!G23</f>
        <v>5045.8241143786945</v>
      </c>
      <c r="H4" s="28">
        <f>'EU Sun Complex'!H23+'Ukraine Sun Complex'!H23+'Russia Sun Complex'!H23</f>
        <v>5735.0998142265034</v>
      </c>
      <c r="I4" s="28">
        <f>'EU Sun Complex'!I23+'Ukraine Sun Complex'!I23+'Russia Sun Complex'!I23</f>
        <v>5488.9846827364036</v>
      </c>
      <c r="J4" s="28">
        <f>'EU Sun Complex'!J23+'Ukraine Sun Complex'!J23+'Russia Sun Complex'!J23</f>
        <v>4411.9288223452368</v>
      </c>
      <c r="K4" s="28">
        <f>'EU Sun Complex'!K23+'Ukraine Sun Complex'!K23+'Russia Sun Complex'!K23</f>
        <v>5236.3878572220756</v>
      </c>
      <c r="L4" s="28">
        <f>'EU Sun Complex'!L23+'Ukraine Sun Complex'!L23+'Russia Sun Complex'!L23</f>
        <v>6064.346237789724</v>
      </c>
      <c r="M4" s="28">
        <f>'EU Sun Complex'!M23+'Ukraine Sun Complex'!M23+'Russia Sun Complex'!M23</f>
        <v>5663.7894758901994</v>
      </c>
      <c r="N4" s="28">
        <f>'EU Sun Complex'!N23+'Ukraine Sun Complex'!N23+'Russia Sun Complex'!N23</f>
        <v>6754.9340043763023</v>
      </c>
      <c r="O4" s="28">
        <f>'EU Sun Complex'!O23+'Ukraine Sun Complex'!O23+'Russia Sun Complex'!O23</f>
        <v>7166.9634253864333</v>
      </c>
      <c r="P4" s="28">
        <f>'EU Sun Complex'!P23+'Ukraine Sun Complex'!P23+'Russia Sun Complex'!P23</f>
        <v>5985.0876905439554</v>
      </c>
      <c r="Q4" s="28">
        <f>'EU Sun Complex'!Q23+'Ukraine Sun Complex'!Q23+'Russia Sun Complex'!Q23</f>
        <v>8152.2464196593683</v>
      </c>
      <c r="R4" s="28">
        <f>'EU Sun Complex'!R23+'Ukraine Sun Complex'!R23+'Russia Sun Complex'!R23</f>
        <v>8233.4724472379257</v>
      </c>
      <c r="S4" s="28">
        <f>'EU Sun Complex'!S23+'Ukraine Sun Complex'!S23+'Russia Sun Complex'!S23</f>
        <v>8115.5490104390319</v>
      </c>
      <c r="T4" s="28">
        <f>'EU Sun Complex'!T23+'Ukraine Sun Complex'!T23+'Russia Sun Complex'!T23</f>
        <v>10544.129286512933</v>
      </c>
      <c r="U4" s="28">
        <f>'EU Sun Complex'!U23+'Ukraine Sun Complex'!U23+'Russia Sun Complex'!U23</f>
        <v>9258.7185323684807</v>
      </c>
      <c r="V4" s="28">
        <f>'EU Sun Complex'!V23+'Ukraine Sun Complex'!V23+'Russia Sun Complex'!V23</f>
        <v>11811.544711124921</v>
      </c>
      <c r="W4" s="28">
        <f>'EU Sun Complex'!W23+'Ukraine Sun Complex'!W23+'Russia Sun Complex'!W23</f>
        <v>10866.881977937381</v>
      </c>
      <c r="X4" s="29">
        <f>'EU Sun Complex'!X23+'Ukraine Sun Complex'!X23+'Russia Sun Complex'!X23</f>
        <v>10769.835967855264</v>
      </c>
      <c r="Y4" s="29">
        <f>'EU Sun Complex'!Y23+'Ukraine Sun Complex'!Y23+'Russia Sun Complex'!Y23</f>
        <v>13612.695380815356</v>
      </c>
      <c r="Z4" s="29">
        <f>'EU Sun Complex'!Z23+'Ukraine Sun Complex'!Z23+'Russia Sun Complex'!Z23</f>
        <v>14453.911794309966</v>
      </c>
      <c r="AA4" s="29">
        <f>'EU Sun Complex'!AA23+'Ukraine Sun Complex'!AA23+'Russia Sun Complex'!AA23</f>
        <v>15914.25004573604</v>
      </c>
      <c r="AB4" s="29">
        <f>'EU Sun Complex'!AB23+'Ukraine Sun Complex'!AB23+'Russia Sun Complex'!AB23</f>
        <v>16829.53473673396</v>
      </c>
      <c r="AC4" s="30">
        <f>'EU Sun Complex'!AC23+'Ukraine Sun Complex'!AC23+'Russia Sun Complex'!AC23</f>
        <v>17279.09246120906</v>
      </c>
      <c r="AD4" s="30">
        <f>'EU Sun Complex'!AD23+'Ukraine Sun Complex'!AD23+'Russia Sun Complex'!AD23</f>
        <v>17582.461347797322</v>
      </c>
    </row>
    <row r="5" spans="1:30" ht="15.75">
      <c r="A5" s="5" t="s">
        <v>6</v>
      </c>
      <c r="B5" s="31">
        <f>'EU Sun Complex'!B24+'Ukraine Sun Complex'!B24+'Russia Sun Complex'!B24</f>
        <v>1485</v>
      </c>
      <c r="C5" s="31">
        <f>'EU Sun Complex'!C24+'Ukraine Sun Complex'!C24+'Russia Sun Complex'!C24</f>
        <v>1764</v>
      </c>
      <c r="D5" s="31">
        <f>'EU Sun Complex'!D24+'Ukraine Sun Complex'!D24+'Russia Sun Complex'!D24</f>
        <v>1839</v>
      </c>
      <c r="E5" s="31">
        <f>'EU Sun Complex'!E24+'Ukraine Sun Complex'!E24+'Russia Sun Complex'!E24</f>
        <v>1942</v>
      </c>
      <c r="F5" s="31">
        <f>'EU Sun Complex'!F24+'Ukraine Sun Complex'!F24+'Russia Sun Complex'!F24</f>
        <v>1830.3620000000001</v>
      </c>
      <c r="G5" s="31">
        <f>'EU Sun Complex'!G24+'Ukraine Sun Complex'!G24+'Russia Sun Complex'!G24</f>
        <v>1984.4039999999998</v>
      </c>
      <c r="H5" s="31">
        <f>'EU Sun Complex'!H24+'Ukraine Sun Complex'!H24+'Russia Sun Complex'!H24</f>
        <v>1753.0750000000003</v>
      </c>
      <c r="I5" s="31">
        <f>'EU Sun Complex'!I24+'Ukraine Sun Complex'!I24+'Russia Sun Complex'!I24</f>
        <v>1754.6150000000005</v>
      </c>
      <c r="J5" s="31">
        <f>'EU Sun Complex'!J24+'Ukraine Sun Complex'!J24+'Russia Sun Complex'!J24</f>
        <v>1534.8770000000002</v>
      </c>
      <c r="K5" s="31">
        <f>'EU Sun Complex'!K24+'Ukraine Sun Complex'!K24+'Russia Sun Complex'!K24</f>
        <v>1673.3529999999998</v>
      </c>
      <c r="L5" s="31">
        <f>'EU Sun Complex'!L24+'Ukraine Sun Complex'!L24+'Russia Sun Complex'!L24</f>
        <v>1809.508</v>
      </c>
      <c r="M5" s="31">
        <f>'EU Sun Complex'!M24+'Ukraine Sun Complex'!M24+'Russia Sun Complex'!M24</f>
        <v>1668.8249999999998</v>
      </c>
      <c r="N5" s="31">
        <f>'EU Sun Complex'!N24+'Ukraine Sun Complex'!N24+'Russia Sun Complex'!N24</f>
        <v>1943.6469999999999</v>
      </c>
      <c r="O5" s="31">
        <f>'EU Sun Complex'!O24+'Ukraine Sun Complex'!O24+'Russia Sun Complex'!O24</f>
        <v>1798.47</v>
      </c>
      <c r="P5" s="31">
        <f>'EU Sun Complex'!P24+'Ukraine Sun Complex'!P24+'Russia Sun Complex'!P24</f>
        <v>1567.4090000000001</v>
      </c>
      <c r="Q5" s="31">
        <f>'EU Sun Complex'!Q24+'Ukraine Sun Complex'!Q24+'Russia Sun Complex'!Q24</f>
        <v>2511.777</v>
      </c>
      <c r="R5" s="31">
        <f>'EU Sun Complex'!R24+'Ukraine Sun Complex'!R24+'Russia Sun Complex'!R24</f>
        <v>2026.6460000000002</v>
      </c>
      <c r="S5" s="31">
        <f>'EU Sun Complex'!S24+'Ukraine Sun Complex'!S24+'Russia Sun Complex'!S24</f>
        <v>2289.8409999999999</v>
      </c>
      <c r="T5" s="31">
        <f>'EU Sun Complex'!T24+'Ukraine Sun Complex'!T24+'Russia Sun Complex'!T24</f>
        <v>3856.873</v>
      </c>
      <c r="U5" s="31">
        <f>'EU Sun Complex'!U24+'Ukraine Sun Complex'!U24+'Russia Sun Complex'!U24</f>
        <v>3032.5749999999998</v>
      </c>
      <c r="V5" s="31">
        <f>'EU Sun Complex'!V24+'Ukraine Sun Complex'!V24+'Russia Sun Complex'!V24</f>
        <v>3374.2309999999998</v>
      </c>
      <c r="W5" s="31">
        <f>'EU Sun Complex'!W24+'Ukraine Sun Complex'!W24+'Russia Sun Complex'!W24</f>
        <v>3219.2469999999998</v>
      </c>
      <c r="X5" s="32">
        <f>'EU Sun Complex'!X24+'Ukraine Sun Complex'!X24+'Russia Sun Complex'!X24</f>
        <v>3303.547</v>
      </c>
      <c r="Y5" s="32">
        <f>'EU Sun Complex'!Y24+'Ukraine Sun Complex'!Y24+'Russia Sun Complex'!Y24</f>
        <v>3780.2080000000001</v>
      </c>
      <c r="Z5" s="32">
        <f>'EU Sun Complex'!Z24+'Ukraine Sun Complex'!Z24+'Russia Sun Complex'!Z24</f>
        <v>3562.6449999999995</v>
      </c>
      <c r="AA5" s="32">
        <f>'EU Sun Complex'!AA24+'Ukraine Sun Complex'!AA24+'Russia Sun Complex'!AA24</f>
        <v>3662.3764109999997</v>
      </c>
      <c r="AB5" s="32">
        <f>'EU Sun Complex'!AB24+'Ukraine Sun Complex'!AB24+'Russia Sun Complex'!AB24</f>
        <v>2916.7027220000004</v>
      </c>
      <c r="AC5" s="33">
        <f>'EU Sun Complex'!AC24+'Ukraine Sun Complex'!AC24+'Russia Sun Complex'!AC24</f>
        <v>2594.6926710000002</v>
      </c>
      <c r="AD5" s="33">
        <f>'EU Sun Complex'!AD24+'Ukraine Sun Complex'!AD24+'Russia Sun Complex'!AD24</f>
        <v>2570.716833</v>
      </c>
    </row>
    <row r="6" spans="1:30" ht="15.75">
      <c r="A6" s="34" t="s">
        <v>7</v>
      </c>
      <c r="B6" s="35">
        <f>B3+B4+B5</f>
        <v>6183.9244324385982</v>
      </c>
      <c r="C6" s="35">
        <f t="shared" ref="C6:H6" si="0">C3+C4+C5</f>
        <v>6568.7246905221409</v>
      </c>
      <c r="D6" s="35">
        <f t="shared" si="0"/>
        <v>7597.1235356438183</v>
      </c>
      <c r="E6" s="35">
        <f t="shared" si="0"/>
        <v>7496.4394596300108</v>
      </c>
      <c r="F6" s="35">
        <f t="shared" si="0"/>
        <v>6731.6189845658082</v>
      </c>
      <c r="G6" s="35">
        <f t="shared" si="0"/>
        <v>7170.228114378694</v>
      </c>
      <c r="H6" s="35">
        <f t="shared" si="0"/>
        <v>7671.1748142265042</v>
      </c>
      <c r="I6" s="35">
        <f>I3+I4+I5</f>
        <v>7496.5996827364042</v>
      </c>
      <c r="J6" s="35">
        <f t="shared" ref="J6:AB6" si="1">J3+J4+J5</f>
        <v>6160.8058223452372</v>
      </c>
      <c r="K6" s="35">
        <f t="shared" si="1"/>
        <v>7082.7408572220756</v>
      </c>
      <c r="L6" s="35">
        <f t="shared" si="1"/>
        <v>7979.8542377897238</v>
      </c>
      <c r="M6" s="35">
        <f t="shared" si="1"/>
        <v>7467.6144758901992</v>
      </c>
      <c r="N6" s="35">
        <f t="shared" si="1"/>
        <v>8801.5810043763013</v>
      </c>
      <c r="O6" s="35">
        <f t="shared" si="1"/>
        <v>9078.4334253864326</v>
      </c>
      <c r="P6" s="35">
        <f t="shared" si="1"/>
        <v>7662.496690543956</v>
      </c>
      <c r="Q6" s="35">
        <f t="shared" si="1"/>
        <v>10765.023419659368</v>
      </c>
      <c r="R6" s="35">
        <f t="shared" si="1"/>
        <v>10656.118447237926</v>
      </c>
      <c r="S6" s="35">
        <f t="shared" si="1"/>
        <v>11008.390010439032</v>
      </c>
      <c r="T6" s="35">
        <f t="shared" si="1"/>
        <v>14896.002286512932</v>
      </c>
      <c r="U6" s="35">
        <f t="shared" si="1"/>
        <v>13122.29353236848</v>
      </c>
      <c r="V6" s="35">
        <f t="shared" si="1"/>
        <v>15406.775711124921</v>
      </c>
      <c r="W6" s="35">
        <f t="shared" si="1"/>
        <v>14906.12897793738</v>
      </c>
      <c r="X6" s="36">
        <f t="shared" si="1"/>
        <v>15016.382967855265</v>
      </c>
      <c r="Y6" s="36">
        <f t="shared" si="1"/>
        <v>18395.903380815354</v>
      </c>
      <c r="Z6" s="36">
        <f t="shared" si="1"/>
        <v>18900.556794309967</v>
      </c>
      <c r="AA6" s="36">
        <f t="shared" si="1"/>
        <v>20479.626456736041</v>
      </c>
      <c r="AB6" s="36">
        <f t="shared" si="1"/>
        <v>20686.237458733962</v>
      </c>
      <c r="AC6" s="37">
        <f>AC3+AC4+AC5</f>
        <v>20529.785132209061</v>
      </c>
      <c r="AD6" s="37">
        <f t="shared" ref="AD6" si="2">AD3+AD4+AD5</f>
        <v>21000.17818079732</v>
      </c>
    </row>
    <row r="7" spans="1:30" ht="15.75">
      <c r="A7" s="5" t="s">
        <v>24</v>
      </c>
      <c r="B7" s="28">
        <f>'EU Sun Complex'!B26+'Ukraine Sun Complex'!B26+'Russia Sun Complex'!B26</f>
        <v>6064.9244324385982</v>
      </c>
      <c r="C7" s="28">
        <f>'EU Sun Complex'!C26+'Ukraine Sun Complex'!C26+'Russia Sun Complex'!C26</f>
        <v>6301.7246905221409</v>
      </c>
      <c r="D7" s="28">
        <f>'EU Sun Complex'!D26+'Ukraine Sun Complex'!D26+'Russia Sun Complex'!D26</f>
        <v>7227.1235356438183</v>
      </c>
      <c r="E7" s="28">
        <f>'EU Sun Complex'!E26+'Ukraine Sun Complex'!E26+'Russia Sun Complex'!E26</f>
        <v>7244.4394596300108</v>
      </c>
      <c r="F7" s="28">
        <f>'EU Sun Complex'!F26+'Ukraine Sun Complex'!F26+'Russia Sun Complex'!F26</f>
        <v>6422.7129205658084</v>
      </c>
      <c r="G7" s="28">
        <f>'EU Sun Complex'!G26+'Ukraine Sun Complex'!G26+'Russia Sun Complex'!G26</f>
        <v>6682.129950378694</v>
      </c>
      <c r="H7" s="28">
        <f>'EU Sun Complex'!H26+'Ukraine Sun Complex'!H26+'Russia Sun Complex'!H26</f>
        <v>6825.1192612265031</v>
      </c>
      <c r="I7" s="28">
        <f>'EU Sun Complex'!I26+'Ukraine Sun Complex'!I26+'Russia Sun Complex'!I26</f>
        <v>6548.8217177364031</v>
      </c>
      <c r="J7" s="28">
        <f>'EU Sun Complex'!J26+'Ukraine Sun Complex'!J26+'Russia Sun Complex'!J26</f>
        <v>5247.9975023452371</v>
      </c>
      <c r="K7" s="28">
        <f>'EU Sun Complex'!K26+'Ukraine Sun Complex'!K26+'Russia Sun Complex'!K26</f>
        <v>5916.4911622220752</v>
      </c>
      <c r="L7" s="28">
        <f>'EU Sun Complex'!L26+'Ukraine Sun Complex'!L26+'Russia Sun Complex'!L26</f>
        <v>6137.170405789725</v>
      </c>
      <c r="M7" s="28">
        <f>'EU Sun Complex'!M26+'Ukraine Sun Complex'!M26+'Russia Sun Complex'!M26</f>
        <v>5848.1854578901994</v>
      </c>
      <c r="N7" s="28">
        <f>'EU Sun Complex'!N26+'Ukraine Sun Complex'!N26+'Russia Sun Complex'!N26</f>
        <v>6348.0020043763034</v>
      </c>
      <c r="O7" s="28">
        <f>'EU Sun Complex'!O26+'Ukraine Sun Complex'!O26+'Russia Sun Complex'!O26</f>
        <v>6438.0664253864325</v>
      </c>
      <c r="P7" s="28">
        <f>'EU Sun Complex'!P26+'Ukraine Sun Complex'!P26+'Russia Sun Complex'!P26</f>
        <v>5632.9726905439557</v>
      </c>
      <c r="Q7" s="28">
        <f>'EU Sun Complex'!Q26+'Ukraine Sun Complex'!Q26+'Russia Sun Complex'!Q26</f>
        <v>7056.1504196593687</v>
      </c>
      <c r="R7" s="28">
        <f>'EU Sun Complex'!R26+'Ukraine Sun Complex'!R26+'Russia Sun Complex'!R26</f>
        <v>6786.0454472379251</v>
      </c>
      <c r="S7" s="28">
        <f>'EU Sun Complex'!S26+'Ukraine Sun Complex'!S26+'Russia Sun Complex'!S26</f>
        <v>6846.0120104390326</v>
      </c>
      <c r="T7" s="28">
        <f>'EU Sun Complex'!T26+'Ukraine Sun Complex'!T26+'Russia Sun Complex'!T26</f>
        <v>8299.9442865129349</v>
      </c>
      <c r="U7" s="28">
        <f>'EU Sun Complex'!U26+'Ukraine Sun Complex'!U26+'Russia Sun Complex'!U26</f>
        <v>8427.2165323684785</v>
      </c>
      <c r="V7" s="28">
        <f>'EU Sun Complex'!V26+'Ukraine Sun Complex'!V26+'Russia Sun Complex'!V26</f>
        <v>9013.2697111249199</v>
      </c>
      <c r="W7" s="28">
        <f>'EU Sun Complex'!W26+'Ukraine Sun Complex'!W26+'Russia Sun Complex'!W26</f>
        <v>9011.4659779373796</v>
      </c>
      <c r="X7" s="29">
        <f>'EU Sun Complex'!X26+'Ukraine Sun Complex'!X26+'Russia Sun Complex'!X26</f>
        <v>8695.3159678552656</v>
      </c>
      <c r="Y7" s="29">
        <f>'EU Sun Complex'!Y26+'Ukraine Sun Complex'!Y26+'Russia Sun Complex'!Y26</f>
        <v>11149.623380815356</v>
      </c>
      <c r="Z7" s="29">
        <f>'EU Sun Complex'!Z26+'Ukraine Sun Complex'!Z26+'Russia Sun Complex'!Z26</f>
        <v>12228.693794309966</v>
      </c>
      <c r="AA7" s="29">
        <f>'EU Sun Complex'!AA26+'Ukraine Sun Complex'!AA26+'Russia Sun Complex'!AA26</f>
        <v>12761.74341373604</v>
      </c>
      <c r="AB7" s="29">
        <f>'EU Sun Complex'!AB26+'Ukraine Sun Complex'!AB26+'Russia Sun Complex'!AB26</f>
        <v>12296.50692573396</v>
      </c>
      <c r="AC7" s="30">
        <f>'EU Sun Complex'!AC26+'Ukraine Sun Complex'!AC26+'Russia Sun Complex'!AC26</f>
        <v>12876.082009209062</v>
      </c>
      <c r="AD7" s="30">
        <f>'EU Sun Complex'!AD26+'Ukraine Sun Complex'!AD26+'Russia Sun Complex'!AD26</f>
        <v>14222.97378779732</v>
      </c>
    </row>
    <row r="8" spans="1:30" ht="15.75">
      <c r="A8" s="5" t="s">
        <v>9</v>
      </c>
      <c r="B8" s="38">
        <f>'EU Sun Complex'!B27+'Ukraine Sun Complex'!B27+'Russia Sun Complex'!B27</f>
        <v>49</v>
      </c>
      <c r="C8" s="38">
        <f>'EU Sun Complex'!C27+'Ukraine Sun Complex'!C27+'Russia Sun Complex'!C27</f>
        <v>69</v>
      </c>
      <c r="D8" s="38">
        <f>'EU Sun Complex'!D27+'Ukraine Sun Complex'!D27+'Russia Sun Complex'!D27</f>
        <v>39</v>
      </c>
      <c r="E8" s="38">
        <f>'EU Sun Complex'!E27+'Ukraine Sun Complex'!E27+'Russia Sun Complex'!E27</f>
        <v>89</v>
      </c>
      <c r="F8" s="38">
        <f>'EU Sun Complex'!F27+'Ukraine Sun Complex'!F27+'Russia Sun Complex'!F27</f>
        <v>168.90606399999999</v>
      </c>
      <c r="G8" s="38">
        <f>'EU Sun Complex'!G27+'Ukraine Sun Complex'!G27+'Russia Sun Complex'!G27</f>
        <v>305.098164</v>
      </c>
      <c r="H8" s="38">
        <f>'EU Sun Complex'!H27+'Ukraine Sun Complex'!H27+'Russia Sun Complex'!H27</f>
        <v>593.05555300000003</v>
      </c>
      <c r="I8" s="38">
        <f>'EU Sun Complex'!I27+'Ukraine Sun Complex'!I27+'Russia Sun Complex'!I27</f>
        <v>733.77796500000022</v>
      </c>
      <c r="J8" s="38">
        <f>'EU Sun Complex'!J27+'Ukraine Sun Complex'!J27+'Russia Sun Complex'!J27</f>
        <v>739.80832000000009</v>
      </c>
      <c r="K8" s="38">
        <f>'EU Sun Complex'!K27+'Ukraine Sun Complex'!K27+'Russia Sun Complex'!K27</f>
        <v>1060.249695</v>
      </c>
      <c r="L8" s="38">
        <f>'EU Sun Complex'!L27+'Ukraine Sun Complex'!L27+'Russia Sun Complex'!L27</f>
        <v>1707.6838320000002</v>
      </c>
      <c r="M8" s="38">
        <f>'EU Sun Complex'!M27+'Ukraine Sun Complex'!M27+'Russia Sun Complex'!M27</f>
        <v>1516.429018</v>
      </c>
      <c r="N8" s="38">
        <f>'EU Sun Complex'!N27+'Ukraine Sun Complex'!N27+'Russia Sun Complex'!N27</f>
        <v>2340.5790000000002</v>
      </c>
      <c r="O8" s="38">
        <f>'EU Sun Complex'!O27+'Ukraine Sun Complex'!O27+'Russia Sun Complex'!O27</f>
        <v>2530.3669999999997</v>
      </c>
      <c r="P8" s="38">
        <f>'EU Sun Complex'!P27+'Ukraine Sun Complex'!P27+'Russia Sun Complex'!P27</f>
        <v>1928.5239999999999</v>
      </c>
      <c r="Q8" s="38">
        <f>'EU Sun Complex'!Q27+'Ukraine Sun Complex'!Q27+'Russia Sun Complex'!Q27</f>
        <v>3312.8729999999996</v>
      </c>
      <c r="R8" s="38">
        <f>'EU Sun Complex'!R27+'Ukraine Sun Complex'!R27+'Russia Sun Complex'!R27</f>
        <v>3267.0729999999999</v>
      </c>
      <c r="S8" s="38">
        <f>'EU Sun Complex'!S27+'Ukraine Sun Complex'!S27+'Russia Sun Complex'!S27</f>
        <v>3667.3780000000002</v>
      </c>
      <c r="T8" s="38">
        <f>'EU Sun Complex'!T27+'Ukraine Sun Complex'!T27+'Russia Sun Complex'!T27</f>
        <v>5765.0579999999991</v>
      </c>
      <c r="U8" s="38">
        <f>'EU Sun Complex'!U27+'Ukraine Sun Complex'!U27+'Russia Sun Complex'!U27</f>
        <v>4474.0770000000002</v>
      </c>
      <c r="V8" s="38">
        <f>'EU Sun Complex'!V27+'Ukraine Sun Complex'!V27+'Russia Sun Complex'!V27</f>
        <v>5573.5060000000003</v>
      </c>
      <c r="W8" s="38">
        <f>'EU Sun Complex'!W27+'Ukraine Sun Complex'!W27+'Russia Sun Complex'!W27</f>
        <v>4951.6630000000005</v>
      </c>
      <c r="X8" s="39">
        <f>'EU Sun Complex'!X27+'Ukraine Sun Complex'!X27+'Russia Sun Complex'!X27</f>
        <v>5318.067</v>
      </c>
      <c r="Y8" s="39">
        <f>'EU Sun Complex'!Y27+'Ukraine Sun Complex'!Y27+'Russia Sun Complex'!Y27</f>
        <v>6362.28</v>
      </c>
      <c r="Z8" s="39">
        <f>'EU Sun Complex'!Z27+'Ukraine Sun Complex'!Z27+'Russia Sun Complex'!Z27</f>
        <v>5768.8629999999994</v>
      </c>
      <c r="AA8" s="39">
        <f>'EU Sun Complex'!AA27+'Ukraine Sun Complex'!AA27+'Russia Sun Complex'!AA27</f>
        <v>6777.8830429999998</v>
      </c>
      <c r="AB8" s="39">
        <f>'EU Sun Complex'!AB27+'Ukraine Sun Complex'!AB27+'Russia Sun Complex'!AB27</f>
        <v>7733.730532999999</v>
      </c>
      <c r="AC8" s="40">
        <f>'EU Sun Complex'!AC27+'Ukraine Sun Complex'!AC27+'Russia Sun Complex'!AC27</f>
        <v>6806.7031230000011</v>
      </c>
      <c r="AD8" s="40">
        <f>'EU Sun Complex'!AD27+'Ukraine Sun Complex'!AD27+'Russia Sun Complex'!AD27</f>
        <v>6015.204393</v>
      </c>
    </row>
    <row r="9" spans="1:30" ht="15.75">
      <c r="A9" s="34" t="s">
        <v>12</v>
      </c>
      <c r="B9" s="35">
        <f>B6-B10</f>
        <v>6113.9244324385982</v>
      </c>
      <c r="C9" s="35">
        <f t="shared" ref="C9:AD9" si="3">C6-C10</f>
        <v>6370.7246905221409</v>
      </c>
      <c r="D9" s="35">
        <f t="shared" si="3"/>
        <v>7266.1235356438183</v>
      </c>
      <c r="E9" s="35">
        <f t="shared" si="3"/>
        <v>7333.4394596300108</v>
      </c>
      <c r="F9" s="35">
        <f t="shared" si="3"/>
        <v>6591.6189845658082</v>
      </c>
      <c r="G9" s="35">
        <f t="shared" si="3"/>
        <v>6987.228114378694</v>
      </c>
      <c r="H9" s="35">
        <f t="shared" si="3"/>
        <v>7418.1748142265042</v>
      </c>
      <c r="I9" s="35">
        <f t="shared" si="3"/>
        <v>7282.5996827364042</v>
      </c>
      <c r="J9" s="35">
        <f t="shared" si="3"/>
        <v>5987.8058223452372</v>
      </c>
      <c r="K9" s="35">
        <f t="shared" si="3"/>
        <v>6976.7408572220756</v>
      </c>
      <c r="L9" s="35">
        <f t="shared" si="3"/>
        <v>7844.8542377897238</v>
      </c>
      <c r="M9" s="35">
        <f t="shared" si="3"/>
        <v>7364.6144758901992</v>
      </c>
      <c r="N9" s="35">
        <f t="shared" si="3"/>
        <v>8688.5810043763013</v>
      </c>
      <c r="O9" s="35">
        <f t="shared" si="3"/>
        <v>8968.4334253864326</v>
      </c>
      <c r="P9" s="35">
        <f t="shared" si="3"/>
        <v>7561.496690543956</v>
      </c>
      <c r="Q9" s="35">
        <f t="shared" si="3"/>
        <v>10369.023419659368</v>
      </c>
      <c r="R9" s="35">
        <f t="shared" si="3"/>
        <v>10053.118447237926</v>
      </c>
      <c r="S9" s="35">
        <f t="shared" si="3"/>
        <v>10513.390010439032</v>
      </c>
      <c r="T9" s="35">
        <f t="shared" si="3"/>
        <v>14065.002286512932</v>
      </c>
      <c r="U9" s="35">
        <f t="shared" si="3"/>
        <v>12901.29353236848</v>
      </c>
      <c r="V9" s="35">
        <f t="shared" si="3"/>
        <v>14586.775711124921</v>
      </c>
      <c r="W9" s="35">
        <f t="shared" si="3"/>
        <v>13963.12897793738</v>
      </c>
      <c r="X9" s="36">
        <f t="shared" si="3"/>
        <v>14013.382967855265</v>
      </c>
      <c r="Y9" s="36">
        <f t="shared" si="3"/>
        <v>17511.903380815354</v>
      </c>
      <c r="Z9" s="36">
        <f t="shared" si="3"/>
        <v>17997.556794309967</v>
      </c>
      <c r="AA9" s="36">
        <f t="shared" si="3"/>
        <v>19539.626456736041</v>
      </c>
      <c r="AB9" s="36">
        <f t="shared" si="3"/>
        <v>20030.237458733962</v>
      </c>
      <c r="AC9" s="37">
        <f t="shared" si="3"/>
        <v>19682.785132209061</v>
      </c>
      <c r="AD9" s="37">
        <f t="shared" si="3"/>
        <v>20238.17818079732</v>
      </c>
    </row>
    <row r="10" spans="1:30" ht="16.5" thickBot="1">
      <c r="A10" s="41" t="s">
        <v>25</v>
      </c>
      <c r="B10" s="42">
        <f>'EU Sun Complex'!B29+'Ukraine Sun Complex'!B29+'Russia Sun Complex'!B29</f>
        <v>70</v>
      </c>
      <c r="C10" s="42">
        <f>'EU Sun Complex'!C29+'Ukraine Sun Complex'!C29+'Russia Sun Complex'!C29</f>
        <v>198</v>
      </c>
      <c r="D10" s="42">
        <f>'EU Sun Complex'!D29+'Ukraine Sun Complex'!D29+'Russia Sun Complex'!D29</f>
        <v>331</v>
      </c>
      <c r="E10" s="42">
        <f>'EU Sun Complex'!E29+'Ukraine Sun Complex'!E29+'Russia Sun Complex'!E29</f>
        <v>163</v>
      </c>
      <c r="F10" s="42">
        <f>'EU Sun Complex'!F29+'Ukraine Sun Complex'!F29+'Russia Sun Complex'!F29</f>
        <v>140</v>
      </c>
      <c r="G10" s="42">
        <f>'EU Sun Complex'!G29+'Ukraine Sun Complex'!G29+'Russia Sun Complex'!G29</f>
        <v>183</v>
      </c>
      <c r="H10" s="42">
        <f>'EU Sun Complex'!H29+'Ukraine Sun Complex'!H29+'Russia Sun Complex'!H29</f>
        <v>253</v>
      </c>
      <c r="I10" s="42">
        <f>'EU Sun Complex'!I29+'Ukraine Sun Complex'!I29+'Russia Sun Complex'!I29</f>
        <v>214</v>
      </c>
      <c r="J10" s="42">
        <f>'EU Sun Complex'!J29+'Ukraine Sun Complex'!J29+'Russia Sun Complex'!J29</f>
        <v>173</v>
      </c>
      <c r="K10" s="42">
        <f>'EU Sun Complex'!K29+'Ukraine Sun Complex'!K29+'Russia Sun Complex'!K29</f>
        <v>106</v>
      </c>
      <c r="L10" s="42">
        <f>'EU Sun Complex'!L29+'Ukraine Sun Complex'!L29+'Russia Sun Complex'!L29</f>
        <v>135</v>
      </c>
      <c r="M10" s="42">
        <f>'EU Sun Complex'!M29+'Ukraine Sun Complex'!M29+'Russia Sun Complex'!M29</f>
        <v>103</v>
      </c>
      <c r="N10" s="42">
        <f>'EU Sun Complex'!N29+'Ukraine Sun Complex'!N29+'Russia Sun Complex'!N29</f>
        <v>113</v>
      </c>
      <c r="O10" s="42">
        <f>'EU Sun Complex'!O29+'Ukraine Sun Complex'!O29+'Russia Sun Complex'!O29</f>
        <v>110</v>
      </c>
      <c r="P10" s="42">
        <f>'EU Sun Complex'!P29+'Ukraine Sun Complex'!P29+'Russia Sun Complex'!P29</f>
        <v>101</v>
      </c>
      <c r="Q10" s="42">
        <f>'EU Sun Complex'!Q29+'Ukraine Sun Complex'!Q29+'Russia Sun Complex'!Q29</f>
        <v>396</v>
      </c>
      <c r="R10" s="42">
        <f>'EU Sun Complex'!R29+'Ukraine Sun Complex'!R29+'Russia Sun Complex'!R29</f>
        <v>603</v>
      </c>
      <c r="S10" s="42">
        <f>'EU Sun Complex'!S29+'Ukraine Sun Complex'!S29+'Russia Sun Complex'!S29</f>
        <v>495</v>
      </c>
      <c r="T10" s="42">
        <f>'EU Sun Complex'!T29+'Ukraine Sun Complex'!T29+'Russia Sun Complex'!T29</f>
        <v>831</v>
      </c>
      <c r="U10" s="42">
        <f>'EU Sun Complex'!U29+'Ukraine Sun Complex'!U29+'Russia Sun Complex'!U29</f>
        <v>221</v>
      </c>
      <c r="V10" s="42">
        <f>'EU Sun Complex'!V29+'Ukraine Sun Complex'!V29+'Russia Sun Complex'!V29</f>
        <v>820</v>
      </c>
      <c r="W10" s="42">
        <f>'EU Sun Complex'!W29+'Ukraine Sun Complex'!W29+'Russia Sun Complex'!W29</f>
        <v>943</v>
      </c>
      <c r="X10" s="43">
        <f>'EU Sun Complex'!X29+'Ukraine Sun Complex'!X29+'Russia Sun Complex'!X29</f>
        <v>1003</v>
      </c>
      <c r="Y10" s="43">
        <f>'EU Sun Complex'!Y29+'Ukraine Sun Complex'!Y29+'Russia Sun Complex'!Y29</f>
        <v>884</v>
      </c>
      <c r="Z10" s="43">
        <f>'EU Sun Complex'!Z29+'Ukraine Sun Complex'!Z29+'Russia Sun Complex'!Z29</f>
        <v>903</v>
      </c>
      <c r="AA10" s="43">
        <f>'EU Sun Complex'!AA29+'Ukraine Sun Complex'!AA29+'Russia Sun Complex'!AA29</f>
        <v>940</v>
      </c>
      <c r="AB10" s="43">
        <f>'EU Sun Complex'!AB29+'Ukraine Sun Complex'!AB29+'Russia Sun Complex'!AB29</f>
        <v>656</v>
      </c>
      <c r="AC10" s="44">
        <f>'EU Sun Complex'!AC29+'Ukraine Sun Complex'!AC29+'Russia Sun Complex'!AC29</f>
        <v>847</v>
      </c>
      <c r="AD10" s="44">
        <f>'EU Sun Complex'!AD29+'Ukraine Sun Complex'!AD29+'Russia Sun Complex'!AD29</f>
        <v>762</v>
      </c>
    </row>
    <row r="11" spans="1:30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>
      <c r="A12" s="1" t="s">
        <v>26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>
      <c r="A13" s="3" t="s">
        <v>16</v>
      </c>
      <c r="B13" s="4" t="str">
        <f t="shared" ref="B13:AD13" si="4">B2</f>
        <v xml:space="preserve">93/94 </v>
      </c>
      <c r="C13" s="4" t="str">
        <f t="shared" si="4"/>
        <v xml:space="preserve">94/95 </v>
      </c>
      <c r="D13" s="4" t="str">
        <f t="shared" si="4"/>
        <v xml:space="preserve">95/96 </v>
      </c>
      <c r="E13" s="4" t="str">
        <f t="shared" si="4"/>
        <v xml:space="preserve">96/97 </v>
      </c>
      <c r="F13" s="4" t="str">
        <f t="shared" si="4"/>
        <v xml:space="preserve">97/98 </v>
      </c>
      <c r="G13" s="4" t="str">
        <f t="shared" si="4"/>
        <v xml:space="preserve">98/99 </v>
      </c>
      <c r="H13" s="4" t="str">
        <f t="shared" si="4"/>
        <v xml:space="preserve">99/00 </v>
      </c>
      <c r="I13" s="4" t="str">
        <f t="shared" si="4"/>
        <v xml:space="preserve">00/01 </v>
      </c>
      <c r="J13" s="4" t="str">
        <f t="shared" si="4"/>
        <v xml:space="preserve">01/02 </v>
      </c>
      <c r="K13" s="4" t="str">
        <f t="shared" si="4"/>
        <v xml:space="preserve">02/03 </v>
      </c>
      <c r="L13" s="4" t="str">
        <f t="shared" si="4"/>
        <v xml:space="preserve">03/04 </v>
      </c>
      <c r="M13" s="4" t="str">
        <f t="shared" si="4"/>
        <v xml:space="preserve">04/05 </v>
      </c>
      <c r="N13" s="4" t="str">
        <f t="shared" si="4"/>
        <v xml:space="preserve">05/06 </v>
      </c>
      <c r="O13" s="4" t="str">
        <f t="shared" si="4"/>
        <v xml:space="preserve">06/07 </v>
      </c>
      <c r="P13" s="4" t="str">
        <f t="shared" si="4"/>
        <v xml:space="preserve">07/08 </v>
      </c>
      <c r="Q13" s="4" t="str">
        <f t="shared" si="4"/>
        <v xml:space="preserve">08/09 </v>
      </c>
      <c r="R13" s="4" t="str">
        <f t="shared" si="4"/>
        <v xml:space="preserve">09/10 </v>
      </c>
      <c r="S13" s="4" t="str">
        <f t="shared" si="4"/>
        <v xml:space="preserve">10/11 </v>
      </c>
      <c r="T13" s="4" t="str">
        <f t="shared" si="4"/>
        <v xml:space="preserve">11/12 </v>
      </c>
      <c r="U13" s="4" t="str">
        <f t="shared" si="4"/>
        <v xml:space="preserve">12/13 </v>
      </c>
      <c r="V13" s="4" t="str">
        <f t="shared" si="4"/>
        <v xml:space="preserve">13/14 </v>
      </c>
      <c r="W13" s="4" t="str">
        <f t="shared" si="4"/>
        <v xml:space="preserve">14/15 </v>
      </c>
      <c r="X13" s="4" t="str">
        <f t="shared" si="4"/>
        <v xml:space="preserve">15/16 </v>
      </c>
      <c r="Y13" s="4" t="str">
        <f t="shared" si="4"/>
        <v xml:space="preserve">16/17 </v>
      </c>
      <c r="Z13" s="4" t="str">
        <f t="shared" si="4"/>
        <v xml:space="preserve">17/18 </v>
      </c>
      <c r="AA13" s="4" t="str">
        <f t="shared" si="4"/>
        <v xml:space="preserve">18/19 </v>
      </c>
      <c r="AB13" s="4" t="str">
        <f t="shared" si="4"/>
        <v xml:space="preserve">19/20 </v>
      </c>
      <c r="AC13" s="4" t="str">
        <f t="shared" si="4"/>
        <v xml:space="preserve">20/21 </v>
      </c>
      <c r="AD13" s="4" t="str">
        <f t="shared" si="4"/>
        <v>21/22</v>
      </c>
    </row>
    <row r="14" spans="1:30" ht="15.75">
      <c r="A14" s="5" t="s">
        <v>23</v>
      </c>
      <c r="B14" s="31">
        <f>'China Sun Complex'!B22+'Turkey Sun Complex'!B22</f>
        <v>0</v>
      </c>
      <c r="C14" s="31">
        <f>'China Sun Complex'!C22+'Turkey Sun Complex'!C22</f>
        <v>0</v>
      </c>
      <c r="D14" s="31">
        <f>'China Sun Complex'!D22+'Turkey Sun Complex'!D22</f>
        <v>0</v>
      </c>
      <c r="E14" s="31">
        <f>'China Sun Complex'!E22+'Turkey Sun Complex'!E22</f>
        <v>5</v>
      </c>
      <c r="F14" s="31">
        <f>'China Sun Complex'!F22+'Turkey Sun Complex'!F22</f>
        <v>0</v>
      </c>
      <c r="G14" s="31">
        <f>'China Sun Complex'!G22+'Turkey Sun Complex'!G22</f>
        <v>0</v>
      </c>
      <c r="H14" s="31">
        <f>'China Sun Complex'!H22+'Turkey Sun Complex'!H22</f>
        <v>0</v>
      </c>
      <c r="I14" s="31">
        <f>'China Sun Complex'!I22+'Turkey Sun Complex'!I22</f>
        <v>0</v>
      </c>
      <c r="J14" s="31">
        <f>'China Sun Complex'!J22+'Turkey Sun Complex'!J22</f>
        <v>0</v>
      </c>
      <c r="K14" s="31">
        <f>'China Sun Complex'!K22+'Turkey Sun Complex'!K22</f>
        <v>0</v>
      </c>
      <c r="L14" s="31">
        <f>'China Sun Complex'!L22+'Turkey Sun Complex'!L22</f>
        <v>0</v>
      </c>
      <c r="M14" s="31">
        <f>'China Sun Complex'!M22+'Turkey Sun Complex'!M22</f>
        <v>0</v>
      </c>
      <c r="N14" s="31">
        <f>'China Sun Complex'!N22+'Turkey Sun Complex'!N22</f>
        <v>0</v>
      </c>
      <c r="O14" s="31">
        <f>'China Sun Complex'!O22+'Turkey Sun Complex'!O22</f>
        <v>0</v>
      </c>
      <c r="P14" s="31">
        <f>'China Sun Complex'!P22+'Turkey Sun Complex'!P22</f>
        <v>0</v>
      </c>
      <c r="Q14" s="31">
        <f>'China Sun Complex'!Q22+'Turkey Sun Complex'!Q22</f>
        <v>0</v>
      </c>
      <c r="R14" s="31">
        <f>'China Sun Complex'!R22+'Turkey Sun Complex'!R22</f>
        <v>76</v>
      </c>
      <c r="S14" s="31">
        <f>'China Sun Complex'!S22+'Turkey Sun Complex'!S22</f>
        <v>121</v>
      </c>
      <c r="T14" s="31">
        <f>'China Sun Complex'!T22+'Turkey Sun Complex'!T22</f>
        <v>124</v>
      </c>
      <c r="U14" s="31">
        <f>'China Sun Complex'!U22+'Turkey Sun Complex'!U22</f>
        <v>284</v>
      </c>
      <c r="V14" s="31">
        <f>'China Sun Complex'!V22+'Turkey Sun Complex'!V22</f>
        <v>135</v>
      </c>
      <c r="W14" s="31">
        <f>'China Sun Complex'!W22+'Turkey Sun Complex'!W22</f>
        <v>136</v>
      </c>
      <c r="X14" s="32">
        <f>'China Sun Complex'!X22+'Turkey Sun Complex'!X22</f>
        <v>148</v>
      </c>
      <c r="Y14" s="32">
        <f>'China Sun Complex'!Y22+'Turkey Sun Complex'!Y22</f>
        <v>40</v>
      </c>
      <c r="Z14" s="32">
        <f>'China Sun Complex'!Z22+'Turkey Sun Complex'!Z22</f>
        <v>133</v>
      </c>
      <c r="AA14" s="32">
        <f>'China Sun Complex'!AA22+'Turkey Sun Complex'!AA22</f>
        <v>207</v>
      </c>
      <c r="AB14" s="32">
        <f>'China Sun Complex'!AB22+'Turkey Sun Complex'!AB22</f>
        <v>342</v>
      </c>
      <c r="AC14" s="32">
        <f>'China Sun Complex'!AC22+'Turkey Sun Complex'!AC22</f>
        <v>585</v>
      </c>
      <c r="AD14" s="32">
        <f>'China Sun Complex'!AD22+'Turkey Sun Complex'!AD22</f>
        <v>325</v>
      </c>
    </row>
    <row r="15" spans="1:30" ht="15.75">
      <c r="A15" s="5" t="s">
        <v>5</v>
      </c>
      <c r="B15" s="6">
        <f>'China Sun Complex'!B23+'Turkey Sun Complex'!B23</f>
        <v>818.00000000000023</v>
      </c>
      <c r="C15" s="6">
        <f>'China Sun Complex'!C23+'Turkey Sun Complex'!C23</f>
        <v>992.66170813725489</v>
      </c>
      <c r="D15" s="6">
        <f>'China Sun Complex'!D23+'Turkey Sun Complex'!D23</f>
        <v>991.04351341176471</v>
      </c>
      <c r="E15" s="6">
        <f>'China Sun Complex'!E23+'Turkey Sun Complex'!E23</f>
        <v>901.03516836065569</v>
      </c>
      <c r="F15" s="6">
        <f>'China Sun Complex'!F23+'Turkey Sun Complex'!F23</f>
        <v>1004.0209485029939</v>
      </c>
      <c r="G15" s="6">
        <f>'China Sun Complex'!G23+'Turkey Sun Complex'!G23</f>
        <v>1059.5365193611112</v>
      </c>
      <c r="H15" s="6">
        <f>'China Sun Complex'!H23+'Turkey Sun Complex'!H23</f>
        <v>1070.0931195090839</v>
      </c>
      <c r="I15" s="6">
        <f>'China Sun Complex'!I23+'Turkey Sun Complex'!I23</f>
        <v>1012.5241974447916</v>
      </c>
      <c r="J15" s="6">
        <f>'China Sun Complex'!J23+'Turkey Sun Complex'!J23</f>
        <v>710.02394506832297</v>
      </c>
      <c r="K15" s="6">
        <f>'China Sun Complex'!K23+'Turkey Sun Complex'!K23</f>
        <v>989.75195059306134</v>
      </c>
      <c r="L15" s="6">
        <f>'China Sun Complex'!L23+'Turkey Sun Complex'!L23</f>
        <v>1071.4377271190478</v>
      </c>
      <c r="M15" s="6">
        <f>'China Sun Complex'!M23+'Turkey Sun Complex'!M23</f>
        <v>1017.8434364409959</v>
      </c>
      <c r="N15" s="6">
        <f>'China Sun Complex'!N23+'Turkey Sun Complex'!N23</f>
        <v>1172.7253162510292</v>
      </c>
      <c r="O15" s="6">
        <f>'China Sun Complex'!O23+'Turkey Sun Complex'!O23</f>
        <v>1025.5189533234372</v>
      </c>
      <c r="P15" s="6">
        <f>'China Sun Complex'!P23+'Turkey Sun Complex'!P23</f>
        <v>996.80371496720329</v>
      </c>
      <c r="Q15" s="6">
        <f>'China Sun Complex'!Q23+'Turkey Sun Complex'!Q23</f>
        <v>1150.2259049833885</v>
      </c>
      <c r="R15" s="6">
        <f>'China Sun Complex'!R23+'Turkey Sun Complex'!R23</f>
        <v>1283.9722521367516</v>
      </c>
      <c r="S15" s="6">
        <f>'China Sun Complex'!S23+'Turkey Sun Complex'!S23</f>
        <v>1374.3414002425257</v>
      </c>
      <c r="T15" s="6">
        <f>'China Sun Complex'!T23+'Turkey Sun Complex'!T23</f>
        <v>1358.4169762596903</v>
      </c>
      <c r="U15" s="6">
        <f>'China Sun Complex'!U23+'Turkey Sun Complex'!U23</f>
        <v>1609.1528897791679</v>
      </c>
      <c r="V15" s="6">
        <f>'China Sun Complex'!V23+'Turkey Sun Complex'!V23</f>
        <v>1718.5878012276676</v>
      </c>
      <c r="W15" s="6">
        <f>'China Sun Complex'!W23+'Turkey Sun Complex'!W23</f>
        <v>1600.2345022956385</v>
      </c>
      <c r="X15" s="7">
        <f>'China Sun Complex'!X23+'Turkey Sun Complex'!X23</f>
        <v>1469.4770667330679</v>
      </c>
      <c r="Y15" s="7">
        <f>'China Sun Complex'!Y23+'Turkey Sun Complex'!Y23</f>
        <v>1904.8100459458124</v>
      </c>
      <c r="Z15" s="7">
        <f>'China Sun Complex'!Z23+'Turkey Sun Complex'!Z23</f>
        <v>2066.8672048593025</v>
      </c>
      <c r="AA15" s="7">
        <f>'China Sun Complex'!AA23+'Turkey Sun Complex'!AA23</f>
        <v>2060.5877877081548</v>
      </c>
      <c r="AB15" s="7">
        <f>'China Sun Complex'!AB23+'Turkey Sun Complex'!AB23</f>
        <v>2068.2065469393942</v>
      </c>
      <c r="AC15" s="8">
        <f>'China Sun Complex'!AC23+'Turkey Sun Complex'!AC23</f>
        <v>1977.3157894736842</v>
      </c>
      <c r="AD15" s="8">
        <f>'China Sun Complex'!AD23+'Turkey Sun Complex'!AD23</f>
        <v>2369.7498841777588</v>
      </c>
    </row>
    <row r="16" spans="1:30" ht="15.75">
      <c r="A16" s="5" t="s">
        <v>6</v>
      </c>
      <c r="B16" s="45">
        <f>'China Sun Complex'!B24+'Turkey Sun Complex'!B24</f>
        <v>52</v>
      </c>
      <c r="C16" s="45">
        <f>'China Sun Complex'!C24+'Turkey Sun Complex'!C24</f>
        <v>82</v>
      </c>
      <c r="D16" s="45">
        <f>'China Sun Complex'!D24+'Turkey Sun Complex'!D24</f>
        <v>50</v>
      </c>
      <c r="E16" s="45">
        <f>'China Sun Complex'!E24+'Turkey Sun Complex'!E24</f>
        <v>50</v>
      </c>
      <c r="F16" s="45">
        <f>'China Sun Complex'!F24+'Turkey Sun Complex'!F24</f>
        <v>32.153874999999999</v>
      </c>
      <c r="G16" s="45">
        <f>'China Sun Complex'!G24+'Turkey Sun Complex'!G24</f>
        <v>94</v>
      </c>
      <c r="H16" s="45">
        <f>'China Sun Complex'!H24+'Turkey Sun Complex'!H24</f>
        <v>230.19600000000003</v>
      </c>
      <c r="I16" s="45">
        <f>'China Sun Complex'!I24+'Turkey Sun Complex'!I24</f>
        <v>146.29499999999999</v>
      </c>
      <c r="J16" s="45">
        <f>'China Sun Complex'!J24+'Turkey Sun Complex'!J24</f>
        <v>59.753999999999998</v>
      </c>
      <c r="K16" s="45">
        <f>'China Sun Complex'!K24+'Turkey Sun Complex'!K24</f>
        <v>80.017019999999988</v>
      </c>
      <c r="L16" s="45">
        <f>'China Sun Complex'!L24+'Turkey Sun Complex'!L24</f>
        <v>330.96642000000003</v>
      </c>
      <c r="M16" s="45">
        <f>'China Sun Complex'!M24+'Turkey Sun Complex'!M24</f>
        <v>282.93466999999998</v>
      </c>
      <c r="N16" s="45">
        <f>'China Sun Complex'!N24+'Turkey Sun Complex'!N24</f>
        <v>409.34172000000001</v>
      </c>
      <c r="O16" s="45">
        <f>'China Sun Complex'!O24+'Turkey Sun Complex'!O24</f>
        <v>398.66599999999994</v>
      </c>
      <c r="P16" s="45">
        <f>'China Sun Complex'!P24+'Turkey Sun Complex'!P24</f>
        <v>214.27</v>
      </c>
      <c r="Q16" s="45">
        <f>'China Sun Complex'!Q24+'Turkey Sun Complex'!Q24</f>
        <v>316.226</v>
      </c>
      <c r="R16" s="45">
        <f>'China Sun Complex'!R24+'Turkey Sun Complex'!R24</f>
        <v>429.54299999999995</v>
      </c>
      <c r="S16" s="45">
        <f>'China Sun Complex'!S24+'Turkey Sun Complex'!S24</f>
        <v>521.81000000000006</v>
      </c>
      <c r="T16" s="45">
        <f>'China Sun Complex'!T24+'Turkey Sun Complex'!T24</f>
        <v>735.91399999999987</v>
      </c>
      <c r="U16" s="45">
        <f>'China Sun Complex'!U24+'Turkey Sun Complex'!U24</f>
        <v>429.77500000000009</v>
      </c>
      <c r="V16" s="45">
        <f>'China Sun Complex'!V24+'Turkey Sun Complex'!V24</f>
        <v>765.42399999999998</v>
      </c>
      <c r="W16" s="45">
        <f>'China Sun Complex'!W24+'Turkey Sun Complex'!W24</f>
        <v>766.05400000000009</v>
      </c>
      <c r="X16" s="46">
        <f>'China Sun Complex'!X24+'Turkey Sun Complex'!X24</f>
        <v>819.21399999999994</v>
      </c>
      <c r="Y16" s="46">
        <f>'China Sun Complex'!Y24+'Turkey Sun Complex'!Y24</f>
        <v>979.20800000000008</v>
      </c>
      <c r="Z16" s="46">
        <f>'China Sun Complex'!Z24+'Turkey Sun Complex'!Z24</f>
        <v>1100.6469999999999</v>
      </c>
      <c r="AA16" s="46">
        <f>'China Sun Complex'!AA24+'Turkey Sun Complex'!AA24</f>
        <v>2209.6380000000004</v>
      </c>
      <c r="AB16" s="46">
        <f>'China Sun Complex'!AB24+'Turkey Sun Complex'!AB24</f>
        <v>3077.884</v>
      </c>
      <c r="AC16" s="47">
        <f>'China Sun Complex'!AC24+'Turkey Sun Complex'!AC24</f>
        <v>3032.817</v>
      </c>
      <c r="AD16" s="47">
        <f>'China Sun Complex'!AD24+'Turkey Sun Complex'!AD24</f>
        <v>2575</v>
      </c>
    </row>
    <row r="17" spans="1:30" ht="15.75">
      <c r="A17" s="34" t="s">
        <v>7</v>
      </c>
      <c r="B17" s="48">
        <f>B14+B15+B16</f>
        <v>870.00000000000023</v>
      </c>
      <c r="C17" s="48">
        <f t="shared" ref="C17:AD17" si="5">C14+C15+C16</f>
        <v>1074.6617081372549</v>
      </c>
      <c r="D17" s="48">
        <f t="shared" si="5"/>
        <v>1041.0435134117647</v>
      </c>
      <c r="E17" s="48">
        <f t="shared" si="5"/>
        <v>956.03516836065569</v>
      </c>
      <c r="F17" s="48">
        <f t="shared" si="5"/>
        <v>1036.1748235029938</v>
      </c>
      <c r="G17" s="48">
        <f t="shared" si="5"/>
        <v>1153.5365193611112</v>
      </c>
      <c r="H17" s="48">
        <f t="shared" si="5"/>
        <v>1300.2891195090838</v>
      </c>
      <c r="I17" s="48">
        <f t="shared" si="5"/>
        <v>1158.8191974447916</v>
      </c>
      <c r="J17" s="48">
        <f t="shared" si="5"/>
        <v>769.77794506832299</v>
      </c>
      <c r="K17" s="48">
        <f t="shared" si="5"/>
        <v>1069.7689705930613</v>
      </c>
      <c r="L17" s="48">
        <f t="shared" si="5"/>
        <v>1402.4041471190478</v>
      </c>
      <c r="M17" s="48">
        <f t="shared" si="5"/>
        <v>1300.778106440996</v>
      </c>
      <c r="N17" s="48">
        <f t="shared" si="5"/>
        <v>1582.0670362510291</v>
      </c>
      <c r="O17" s="48">
        <f t="shared" si="5"/>
        <v>1424.1849533234372</v>
      </c>
      <c r="P17" s="48">
        <f t="shared" si="5"/>
        <v>1211.0737149672034</v>
      </c>
      <c r="Q17" s="48">
        <f t="shared" si="5"/>
        <v>1466.4519049833884</v>
      </c>
      <c r="R17" s="48">
        <f t="shared" si="5"/>
        <v>1789.5152521367515</v>
      </c>
      <c r="S17" s="48">
        <f t="shared" si="5"/>
        <v>2017.1514002425256</v>
      </c>
      <c r="T17" s="48">
        <f t="shared" si="5"/>
        <v>2218.33097625969</v>
      </c>
      <c r="U17" s="48">
        <f t="shared" si="5"/>
        <v>2322.9278897791683</v>
      </c>
      <c r="V17" s="48">
        <f t="shared" si="5"/>
        <v>2619.0118012276675</v>
      </c>
      <c r="W17" s="48">
        <f t="shared" si="5"/>
        <v>2502.2885022956389</v>
      </c>
      <c r="X17" s="49">
        <f t="shared" si="5"/>
        <v>2436.6910667330676</v>
      </c>
      <c r="Y17" s="49">
        <f t="shared" si="5"/>
        <v>2924.0180459458124</v>
      </c>
      <c r="Z17" s="49">
        <f t="shared" si="5"/>
        <v>3300.5142048593025</v>
      </c>
      <c r="AA17" s="49">
        <f t="shared" si="5"/>
        <v>4477.2257877081556</v>
      </c>
      <c r="AB17" s="49">
        <f t="shared" si="5"/>
        <v>5488.0905469393947</v>
      </c>
      <c r="AC17" s="50">
        <f t="shared" si="5"/>
        <v>5595.1327894736842</v>
      </c>
      <c r="AD17" s="50">
        <f t="shared" si="5"/>
        <v>5269.7498841777588</v>
      </c>
    </row>
    <row r="18" spans="1:30" ht="15.75">
      <c r="A18" s="5" t="s">
        <v>24</v>
      </c>
      <c r="B18" s="6">
        <f>'China Sun Complex'!B26+'Turkey Sun Complex'!B26</f>
        <v>810.00000000000023</v>
      </c>
      <c r="C18" s="6">
        <f>'China Sun Complex'!C26+'Turkey Sun Complex'!C26</f>
        <v>944.66170813725489</v>
      </c>
      <c r="D18" s="6">
        <f>'China Sun Complex'!D26+'Turkey Sun Complex'!D26</f>
        <v>966.09755341176469</v>
      </c>
      <c r="E18" s="6">
        <f>'China Sun Complex'!E26+'Turkey Sun Complex'!E26</f>
        <v>894.85286236065576</v>
      </c>
      <c r="F18" s="6">
        <f>'China Sun Complex'!F26+'Turkey Sun Complex'!F26</f>
        <v>1031.1748235029941</v>
      </c>
      <c r="G18" s="6">
        <f>'China Sun Complex'!G26+'Turkey Sun Complex'!G26</f>
        <v>1148.5365193611112</v>
      </c>
      <c r="H18" s="6">
        <f>'China Sun Complex'!H26+'Turkey Sun Complex'!H26</f>
        <v>1289.9395495090839</v>
      </c>
      <c r="I18" s="6">
        <f>'China Sun Complex'!I26+'Turkey Sun Complex'!I26</f>
        <v>1158.7931974447915</v>
      </c>
      <c r="J18" s="6">
        <f>'China Sun Complex'!J26+'Turkey Sun Complex'!J26</f>
        <v>769.61694506832305</v>
      </c>
      <c r="K18" s="6">
        <f>'China Sun Complex'!K26+'Turkey Sun Complex'!K26</f>
        <v>1069.0204705930614</v>
      </c>
      <c r="L18" s="6">
        <f>'China Sun Complex'!L26+'Turkey Sun Complex'!L26</f>
        <v>1402.205147119048</v>
      </c>
      <c r="M18" s="6">
        <f>'China Sun Complex'!M26+'Turkey Sun Complex'!M26</f>
        <v>1300.7321064409959</v>
      </c>
      <c r="N18" s="6">
        <f>'China Sun Complex'!N26+'Turkey Sun Complex'!N26</f>
        <v>1580.9460362510292</v>
      </c>
      <c r="O18" s="6">
        <f>'China Sun Complex'!O26+'Turkey Sun Complex'!O26</f>
        <v>1423.1959533234374</v>
      </c>
      <c r="P18" s="6">
        <f>'China Sun Complex'!P26+'Turkey Sun Complex'!P26</f>
        <v>1208.3277149672033</v>
      </c>
      <c r="Q18" s="6">
        <f>'China Sun Complex'!Q26+'Turkey Sun Complex'!Q26</f>
        <v>1376.5709049833886</v>
      </c>
      <c r="R18" s="6">
        <f>'China Sun Complex'!R26+'Turkey Sun Complex'!R26</f>
        <v>1665.0042521367518</v>
      </c>
      <c r="S18" s="6">
        <f>'China Sun Complex'!S26+'Turkey Sun Complex'!S26</f>
        <v>1892.684400242526</v>
      </c>
      <c r="T18" s="6">
        <f>'China Sun Complex'!T26+'Turkey Sun Complex'!T26</f>
        <v>1931.4859762596902</v>
      </c>
      <c r="U18" s="6">
        <f>'China Sun Complex'!U26+'Turkey Sun Complex'!U26</f>
        <v>2185.901889779168</v>
      </c>
      <c r="V18" s="6">
        <f>'China Sun Complex'!V26+'Turkey Sun Complex'!V26</f>
        <v>2481.5128012276673</v>
      </c>
      <c r="W18" s="6">
        <f>'China Sun Complex'!W26+'Turkey Sun Complex'!W26</f>
        <v>2337.5995022956386</v>
      </c>
      <c r="X18" s="7">
        <f>'China Sun Complex'!X26+'Turkey Sun Complex'!X26</f>
        <v>2369.2920667330677</v>
      </c>
      <c r="Y18" s="7">
        <f>'China Sun Complex'!Y26+'Turkey Sun Complex'!Y26</f>
        <v>2755.9470459458125</v>
      </c>
      <c r="Z18" s="7">
        <f>'China Sun Complex'!Z26+'Turkey Sun Complex'!Z26</f>
        <v>3055.8082048593028</v>
      </c>
      <c r="AA18" s="7">
        <f>'China Sun Complex'!AA26+'Turkey Sun Complex'!AA26</f>
        <v>4101.6897877081556</v>
      </c>
      <c r="AB18" s="7">
        <f>'China Sun Complex'!AB26+'Turkey Sun Complex'!AB26</f>
        <v>4874.2155469393947</v>
      </c>
      <c r="AC18" s="8">
        <f>'China Sun Complex'!AC26+'Turkey Sun Complex'!AC26</f>
        <v>5245.1307894736838</v>
      </c>
      <c r="AD18" s="8">
        <f>'China Sun Complex'!AD26+'Turkey Sun Complex'!AD26</f>
        <v>4889.7498841777597</v>
      </c>
    </row>
    <row r="19" spans="1:30" ht="15.75">
      <c r="A19" s="5" t="s">
        <v>9</v>
      </c>
      <c r="B19" s="6">
        <f>'China Sun Complex'!B27+'Turkey Sun Complex'!B27</f>
        <v>60</v>
      </c>
      <c r="C19" s="6">
        <f>'China Sun Complex'!C27+'Turkey Sun Complex'!C27</f>
        <v>130</v>
      </c>
      <c r="D19" s="6">
        <f>'China Sun Complex'!D27+'Turkey Sun Complex'!D27</f>
        <v>69.945959999999999</v>
      </c>
      <c r="E19" s="6">
        <f>'China Sun Complex'!E27+'Turkey Sun Complex'!E27</f>
        <v>61.182305999999997</v>
      </c>
      <c r="F19" s="6">
        <f>'China Sun Complex'!F27+'Turkey Sun Complex'!F27</f>
        <v>5</v>
      </c>
      <c r="G19" s="6">
        <f>'China Sun Complex'!G27+'Turkey Sun Complex'!G27</f>
        <v>5</v>
      </c>
      <c r="H19" s="6">
        <f>'China Sun Complex'!H27+'Turkey Sun Complex'!H27</f>
        <v>10.34957</v>
      </c>
      <c r="I19" s="6">
        <f>'China Sun Complex'!I27+'Turkey Sun Complex'!I27</f>
        <v>2.5999999999999999E-2</v>
      </c>
      <c r="J19" s="6">
        <f>'China Sun Complex'!J27+'Turkey Sun Complex'!J27</f>
        <v>0.161</v>
      </c>
      <c r="K19" s="6">
        <f>'China Sun Complex'!K27+'Turkey Sun Complex'!K27</f>
        <v>0.74849999999999994</v>
      </c>
      <c r="L19" s="6">
        <f>'China Sun Complex'!L27+'Turkey Sun Complex'!L27</f>
        <v>0.19900000000000001</v>
      </c>
      <c r="M19" s="6">
        <f>'China Sun Complex'!M27+'Turkey Sun Complex'!M27</f>
        <v>4.5999999999999999E-2</v>
      </c>
      <c r="N19" s="6">
        <f>'China Sun Complex'!N27+'Turkey Sun Complex'!N27</f>
        <v>1.1209999999999998</v>
      </c>
      <c r="O19" s="6">
        <f>'China Sun Complex'!O27+'Turkey Sun Complex'!O27</f>
        <v>0.98899999999999999</v>
      </c>
      <c r="P19" s="6">
        <f>'China Sun Complex'!P27+'Turkey Sun Complex'!P27</f>
        <v>2.746</v>
      </c>
      <c r="Q19" s="6">
        <f>'China Sun Complex'!Q27+'Turkey Sun Complex'!Q27</f>
        <v>13.881</v>
      </c>
      <c r="R19" s="6">
        <f>'China Sun Complex'!R27+'Turkey Sun Complex'!R27</f>
        <v>3.5109999999999997</v>
      </c>
      <c r="S19" s="6">
        <f>'China Sun Complex'!S27+'Turkey Sun Complex'!S27</f>
        <v>0.46699999999999992</v>
      </c>
      <c r="T19" s="6">
        <f>'China Sun Complex'!T27+'Turkey Sun Complex'!T27</f>
        <v>2.8450000000000002</v>
      </c>
      <c r="U19" s="6">
        <f>'China Sun Complex'!U27+'Turkey Sun Complex'!U27</f>
        <v>2.0259999999999998</v>
      </c>
      <c r="V19" s="6">
        <f>'China Sun Complex'!V27+'Turkey Sun Complex'!V27</f>
        <v>1.4990000000000001</v>
      </c>
      <c r="W19" s="6">
        <f>'China Sun Complex'!W27+'Turkey Sun Complex'!W27</f>
        <v>16.689</v>
      </c>
      <c r="X19" s="7">
        <f>'China Sun Complex'!X27+'Turkey Sun Complex'!X27</f>
        <v>27.398999999999997</v>
      </c>
      <c r="Y19" s="7">
        <f>'China Sun Complex'!Y27+'Turkey Sun Complex'!Y27</f>
        <v>35.070999999999998</v>
      </c>
      <c r="Z19" s="7">
        <f>'China Sun Complex'!Z27+'Turkey Sun Complex'!Z27</f>
        <v>37.706000000000003</v>
      </c>
      <c r="AA19" s="7">
        <f>'China Sun Complex'!AA27+'Turkey Sun Complex'!AA27</f>
        <v>33.536000000000001</v>
      </c>
      <c r="AB19" s="7">
        <f>'China Sun Complex'!AB27+'Turkey Sun Complex'!AB27</f>
        <v>28.875</v>
      </c>
      <c r="AC19" s="8">
        <f>'China Sun Complex'!AC27+'Turkey Sun Complex'!AC27</f>
        <v>25.001999999999999</v>
      </c>
      <c r="AD19" s="8">
        <f>'China Sun Complex'!AD27+'Turkey Sun Complex'!AD27</f>
        <v>30</v>
      </c>
    </row>
    <row r="20" spans="1:30" ht="15.75">
      <c r="A20" s="34" t="s">
        <v>12</v>
      </c>
      <c r="B20" s="48">
        <f>B17-B21</f>
        <v>870.00000000000023</v>
      </c>
      <c r="C20" s="48">
        <f t="shared" ref="C20:AD20" si="6">C17-C21</f>
        <v>1074.6617081372549</v>
      </c>
      <c r="D20" s="48">
        <f t="shared" si="6"/>
        <v>1036.0435134117647</v>
      </c>
      <c r="E20" s="48">
        <f t="shared" si="6"/>
        <v>956.03516836065569</v>
      </c>
      <c r="F20" s="48">
        <f t="shared" si="6"/>
        <v>1036.1748235029938</v>
      </c>
      <c r="G20" s="48">
        <f t="shared" si="6"/>
        <v>1153.5365193611112</v>
      </c>
      <c r="H20" s="48">
        <f t="shared" si="6"/>
        <v>1300.2891195090838</v>
      </c>
      <c r="I20" s="48">
        <f t="shared" si="6"/>
        <v>1158.8191974447916</v>
      </c>
      <c r="J20" s="48">
        <f t="shared" si="6"/>
        <v>769.77794506832299</v>
      </c>
      <c r="K20" s="48">
        <f t="shared" si="6"/>
        <v>1069.7689705930613</v>
      </c>
      <c r="L20" s="48">
        <f t="shared" si="6"/>
        <v>1402.4041471190478</v>
      </c>
      <c r="M20" s="48">
        <f t="shared" si="6"/>
        <v>1300.778106440996</v>
      </c>
      <c r="N20" s="48">
        <f t="shared" si="6"/>
        <v>1582.0670362510291</v>
      </c>
      <c r="O20" s="48">
        <f t="shared" si="6"/>
        <v>1424.1849533234372</v>
      </c>
      <c r="P20" s="48">
        <f t="shared" si="6"/>
        <v>1211.0737149672034</v>
      </c>
      <c r="Q20" s="48">
        <f t="shared" si="6"/>
        <v>1390.4519049833884</v>
      </c>
      <c r="R20" s="48">
        <f t="shared" si="6"/>
        <v>1668.5152521367515</v>
      </c>
      <c r="S20" s="48">
        <f t="shared" si="6"/>
        <v>1893.1514002425256</v>
      </c>
      <c r="T20" s="48">
        <f t="shared" si="6"/>
        <v>1934.33097625969</v>
      </c>
      <c r="U20" s="48">
        <f t="shared" si="6"/>
        <v>2187.9278897791683</v>
      </c>
      <c r="V20" s="48">
        <f t="shared" si="6"/>
        <v>2483.0118012276675</v>
      </c>
      <c r="W20" s="48">
        <f t="shared" si="6"/>
        <v>2354.2885022956389</v>
      </c>
      <c r="X20" s="49">
        <f t="shared" si="6"/>
        <v>2396.6910667330676</v>
      </c>
      <c r="Y20" s="49">
        <f t="shared" si="6"/>
        <v>2791.0180459458124</v>
      </c>
      <c r="Z20" s="49">
        <f t="shared" si="6"/>
        <v>3093.5142048593025</v>
      </c>
      <c r="AA20" s="49">
        <f t="shared" si="6"/>
        <v>4135.2257877081556</v>
      </c>
      <c r="AB20" s="49">
        <f t="shared" si="6"/>
        <v>4903.0905469393947</v>
      </c>
      <c r="AC20" s="50">
        <f t="shared" si="6"/>
        <v>5270.1327894736842</v>
      </c>
      <c r="AD20" s="50">
        <f t="shared" si="6"/>
        <v>4919.7498841777588</v>
      </c>
    </row>
    <row r="21" spans="1:30" ht="16.5" thickBot="1">
      <c r="A21" s="41" t="s">
        <v>25</v>
      </c>
      <c r="B21" s="6">
        <f>'China Sun Complex'!B29+'Turkey Sun Complex'!B29</f>
        <v>0</v>
      </c>
      <c r="C21" s="6">
        <f>'China Sun Complex'!C29+'Turkey Sun Complex'!C29</f>
        <v>0</v>
      </c>
      <c r="D21" s="6">
        <f>'China Sun Complex'!D29+'Turkey Sun Complex'!D29</f>
        <v>5</v>
      </c>
      <c r="E21" s="6">
        <f>'China Sun Complex'!E29+'Turkey Sun Complex'!E29</f>
        <v>0</v>
      </c>
      <c r="F21" s="6">
        <f>'China Sun Complex'!F29+'Turkey Sun Complex'!F29</f>
        <v>0</v>
      </c>
      <c r="G21" s="6">
        <f>'China Sun Complex'!G29+'Turkey Sun Complex'!G29</f>
        <v>0</v>
      </c>
      <c r="H21" s="6">
        <f>'China Sun Complex'!H29+'Turkey Sun Complex'!H29</f>
        <v>0</v>
      </c>
      <c r="I21" s="6">
        <f>'China Sun Complex'!I29+'Turkey Sun Complex'!I29</f>
        <v>0</v>
      </c>
      <c r="J21" s="6">
        <f>'China Sun Complex'!J29+'Turkey Sun Complex'!J29</f>
        <v>0</v>
      </c>
      <c r="K21" s="6">
        <f>'China Sun Complex'!K29+'Turkey Sun Complex'!K29</f>
        <v>0</v>
      </c>
      <c r="L21" s="6">
        <f>'China Sun Complex'!L29+'Turkey Sun Complex'!L29</f>
        <v>0</v>
      </c>
      <c r="M21" s="6">
        <f>'China Sun Complex'!M29+'Turkey Sun Complex'!M29</f>
        <v>0</v>
      </c>
      <c r="N21" s="6">
        <f>'China Sun Complex'!N29+'Turkey Sun Complex'!N29</f>
        <v>0</v>
      </c>
      <c r="O21" s="6">
        <f>'China Sun Complex'!O29+'Turkey Sun Complex'!O29</f>
        <v>0</v>
      </c>
      <c r="P21" s="6">
        <f>'China Sun Complex'!P29+'Turkey Sun Complex'!P29</f>
        <v>0</v>
      </c>
      <c r="Q21" s="6">
        <f>'China Sun Complex'!Q29+'Turkey Sun Complex'!Q29</f>
        <v>76</v>
      </c>
      <c r="R21" s="6">
        <f>'China Sun Complex'!R29+'Turkey Sun Complex'!R29</f>
        <v>121</v>
      </c>
      <c r="S21" s="6">
        <f>'China Sun Complex'!S29+'Turkey Sun Complex'!S29</f>
        <v>124</v>
      </c>
      <c r="T21" s="6">
        <f>'China Sun Complex'!T29+'Turkey Sun Complex'!T29</f>
        <v>284</v>
      </c>
      <c r="U21" s="6">
        <f>'China Sun Complex'!U29+'Turkey Sun Complex'!U29</f>
        <v>135</v>
      </c>
      <c r="V21" s="6">
        <f>'China Sun Complex'!V29+'Turkey Sun Complex'!V29</f>
        <v>136</v>
      </c>
      <c r="W21" s="6">
        <f>'China Sun Complex'!W29+'Turkey Sun Complex'!W29</f>
        <v>148</v>
      </c>
      <c r="X21" s="7">
        <f>'China Sun Complex'!X29+'Turkey Sun Complex'!X29</f>
        <v>40</v>
      </c>
      <c r="Y21" s="7">
        <f>'China Sun Complex'!Y29+'Turkey Sun Complex'!Y29</f>
        <v>133</v>
      </c>
      <c r="Z21" s="7">
        <f>'China Sun Complex'!Z29+'Turkey Sun Complex'!Z29</f>
        <v>207</v>
      </c>
      <c r="AA21" s="7">
        <f>'China Sun Complex'!AA29+'Turkey Sun Complex'!AA29</f>
        <v>342</v>
      </c>
      <c r="AB21" s="7">
        <f>'China Sun Complex'!AB29+'Turkey Sun Complex'!AB29</f>
        <v>585</v>
      </c>
      <c r="AC21" s="8">
        <f>'China Sun Complex'!AC29+'Turkey Sun Complex'!AC29</f>
        <v>325</v>
      </c>
      <c r="AD21" s="8">
        <f>'China Sun Complex'!AD29+'Turkey Sun Complex'!AD29</f>
        <v>350</v>
      </c>
    </row>
    <row r="22" spans="1:30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pans="1:30">
      <c r="A23" s="1" t="s">
        <v>27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>
      <c r="A24" s="3"/>
      <c r="B24" s="4" t="str">
        <f t="shared" ref="B24:AD24" si="7">B2</f>
        <v xml:space="preserve">93/94 </v>
      </c>
      <c r="C24" s="4" t="str">
        <f t="shared" si="7"/>
        <v xml:space="preserve">94/95 </v>
      </c>
      <c r="D24" s="4" t="str">
        <f t="shared" si="7"/>
        <v xml:space="preserve">95/96 </v>
      </c>
      <c r="E24" s="4" t="str">
        <f t="shared" si="7"/>
        <v xml:space="preserve">96/97 </v>
      </c>
      <c r="F24" s="4" t="str">
        <f t="shared" si="7"/>
        <v xml:space="preserve">97/98 </v>
      </c>
      <c r="G24" s="4" t="str">
        <f t="shared" si="7"/>
        <v xml:space="preserve">98/99 </v>
      </c>
      <c r="H24" s="4" t="str">
        <f t="shared" si="7"/>
        <v xml:space="preserve">99/00 </v>
      </c>
      <c r="I24" s="4" t="str">
        <f t="shared" si="7"/>
        <v xml:space="preserve">00/01 </v>
      </c>
      <c r="J24" s="4" t="str">
        <f t="shared" si="7"/>
        <v xml:space="preserve">01/02 </v>
      </c>
      <c r="K24" s="4" t="str">
        <f t="shared" si="7"/>
        <v xml:space="preserve">02/03 </v>
      </c>
      <c r="L24" s="4" t="str">
        <f t="shared" si="7"/>
        <v xml:space="preserve">03/04 </v>
      </c>
      <c r="M24" s="4" t="str">
        <f t="shared" si="7"/>
        <v xml:space="preserve">04/05 </v>
      </c>
      <c r="N24" s="4" t="str">
        <f t="shared" si="7"/>
        <v xml:space="preserve">05/06 </v>
      </c>
      <c r="O24" s="4" t="str">
        <f t="shared" si="7"/>
        <v xml:space="preserve">06/07 </v>
      </c>
      <c r="P24" s="4" t="str">
        <f t="shared" si="7"/>
        <v xml:space="preserve">07/08 </v>
      </c>
      <c r="Q24" s="4" t="str">
        <f t="shared" si="7"/>
        <v xml:space="preserve">08/09 </v>
      </c>
      <c r="R24" s="4" t="str">
        <f t="shared" si="7"/>
        <v xml:space="preserve">09/10 </v>
      </c>
      <c r="S24" s="4" t="str">
        <f t="shared" si="7"/>
        <v xml:space="preserve">10/11 </v>
      </c>
      <c r="T24" s="4" t="str">
        <f t="shared" si="7"/>
        <v xml:space="preserve">11/12 </v>
      </c>
      <c r="U24" s="4" t="str">
        <f t="shared" si="7"/>
        <v xml:space="preserve">12/13 </v>
      </c>
      <c r="V24" s="4" t="str">
        <f t="shared" si="7"/>
        <v xml:space="preserve">13/14 </v>
      </c>
      <c r="W24" s="4" t="str">
        <f t="shared" si="7"/>
        <v xml:space="preserve">14/15 </v>
      </c>
      <c r="X24" s="4" t="str">
        <f t="shared" si="7"/>
        <v xml:space="preserve">15/16 </v>
      </c>
      <c r="Y24" s="4" t="str">
        <f t="shared" si="7"/>
        <v xml:space="preserve">16/17 </v>
      </c>
      <c r="Z24" s="4" t="str">
        <f t="shared" si="7"/>
        <v xml:space="preserve">17/18 </v>
      </c>
      <c r="AA24" s="4" t="str">
        <f t="shared" si="7"/>
        <v xml:space="preserve">18/19 </v>
      </c>
      <c r="AB24" s="4" t="str">
        <f t="shared" si="7"/>
        <v xml:space="preserve">19/20 </v>
      </c>
      <c r="AC24" s="4" t="str">
        <f t="shared" si="7"/>
        <v xml:space="preserve">20/21 </v>
      </c>
      <c r="AD24" s="4" t="str">
        <f t="shared" si="7"/>
        <v>21/22</v>
      </c>
    </row>
    <row r="25" spans="1:30" ht="15.75">
      <c r="A25" s="5" t="s">
        <v>23</v>
      </c>
      <c r="B25" s="51">
        <f t="shared" ref="B25:AD27" si="8">B36-B14-B3</f>
        <v>150</v>
      </c>
      <c r="C25" s="51">
        <f t="shared" si="8"/>
        <v>123</v>
      </c>
      <c r="D25" s="51">
        <f t="shared" si="8"/>
        <v>100</v>
      </c>
      <c r="E25" s="51">
        <f t="shared" si="8"/>
        <v>158</v>
      </c>
      <c r="F25" s="51">
        <f t="shared" si="8"/>
        <v>105</v>
      </c>
      <c r="G25" s="51">
        <f t="shared" si="8"/>
        <v>222</v>
      </c>
      <c r="H25" s="51">
        <f t="shared" si="8"/>
        <v>207</v>
      </c>
      <c r="I25" s="51">
        <f t="shared" si="8"/>
        <v>143</v>
      </c>
      <c r="J25" s="51">
        <f t="shared" si="8"/>
        <v>197</v>
      </c>
      <c r="K25" s="51">
        <f t="shared" si="8"/>
        <v>178</v>
      </c>
      <c r="L25" s="51">
        <f t="shared" si="8"/>
        <v>63</v>
      </c>
      <c r="M25" s="51">
        <f t="shared" si="8"/>
        <v>83</v>
      </c>
      <c r="N25" s="51">
        <f t="shared" si="8"/>
        <v>118</v>
      </c>
      <c r="O25" s="51">
        <f t="shared" si="8"/>
        <v>200</v>
      </c>
      <c r="P25" s="51">
        <f t="shared" si="8"/>
        <v>125</v>
      </c>
      <c r="Q25" s="51">
        <f t="shared" si="8"/>
        <v>201</v>
      </c>
      <c r="R25" s="51">
        <f t="shared" si="8"/>
        <v>335</v>
      </c>
      <c r="S25" s="51">
        <f t="shared" si="8"/>
        <v>274</v>
      </c>
      <c r="T25" s="51">
        <f t="shared" si="8"/>
        <v>453</v>
      </c>
      <c r="U25" s="51">
        <f t="shared" si="8"/>
        <v>580</v>
      </c>
      <c r="V25" s="51">
        <f t="shared" si="8"/>
        <v>430</v>
      </c>
      <c r="W25" s="51">
        <f t="shared" si="8"/>
        <v>429</v>
      </c>
      <c r="X25" s="7">
        <f t="shared" si="8"/>
        <v>402</v>
      </c>
      <c r="Y25" s="7">
        <f t="shared" si="8"/>
        <v>377</v>
      </c>
      <c r="Z25" s="7">
        <f t="shared" si="8"/>
        <v>267</v>
      </c>
      <c r="AA25" s="7">
        <f t="shared" si="8"/>
        <v>379</v>
      </c>
      <c r="AB25" s="7">
        <f t="shared" si="8"/>
        <v>280</v>
      </c>
      <c r="AC25" s="7">
        <f t="shared" si="8"/>
        <v>291</v>
      </c>
      <c r="AD25" s="7">
        <f t="shared" si="8"/>
        <v>-257</v>
      </c>
    </row>
    <row r="26" spans="1:30" ht="15.75">
      <c r="A26" s="5" t="s">
        <v>5</v>
      </c>
      <c r="B26" s="6">
        <f t="shared" si="8"/>
        <v>2973.0755675614018</v>
      </c>
      <c r="C26" s="6">
        <f t="shared" si="8"/>
        <v>3960.613601340604</v>
      </c>
      <c r="D26" s="6">
        <f t="shared" si="8"/>
        <v>3862.8329509444166</v>
      </c>
      <c r="E26" s="6">
        <f t="shared" si="8"/>
        <v>4032.5253720093342</v>
      </c>
      <c r="F26" s="6">
        <f t="shared" si="8"/>
        <v>4187.7220669311982</v>
      </c>
      <c r="G26" s="6">
        <f t="shared" si="8"/>
        <v>4528.6393662601949</v>
      </c>
      <c r="H26" s="6">
        <f t="shared" si="8"/>
        <v>3841.8070662644132</v>
      </c>
      <c r="I26" s="6">
        <f t="shared" si="8"/>
        <v>2742.4911198188056</v>
      </c>
      <c r="J26" s="6">
        <f t="shared" si="8"/>
        <v>3203.0472325864403</v>
      </c>
      <c r="K26" s="6">
        <f t="shared" si="8"/>
        <v>2816.8601921848631</v>
      </c>
      <c r="L26" s="6">
        <f t="shared" si="8"/>
        <v>3233.2160350912282</v>
      </c>
      <c r="M26" s="6">
        <f t="shared" si="8"/>
        <v>3619.3670876688057</v>
      </c>
      <c r="N26" s="6">
        <f t="shared" si="8"/>
        <v>3790.3406793726681</v>
      </c>
      <c r="O26" s="6">
        <f t="shared" si="8"/>
        <v>3681.5176212901297</v>
      </c>
      <c r="P26" s="6">
        <f t="shared" si="8"/>
        <v>4276.1085944888409</v>
      </c>
      <c r="Q26" s="6">
        <f t="shared" si="8"/>
        <v>3780.5276753572434</v>
      </c>
      <c r="R26" s="6">
        <f t="shared" si="8"/>
        <v>3900.5553006253231</v>
      </c>
      <c r="S26" s="6">
        <f t="shared" si="8"/>
        <v>3815.1095893184429</v>
      </c>
      <c r="T26" s="6">
        <f t="shared" si="8"/>
        <v>3699.4537372273771</v>
      </c>
      <c r="U26" s="6">
        <f t="shared" si="8"/>
        <v>3267.1285778523506</v>
      </c>
      <c r="V26" s="6">
        <f t="shared" si="8"/>
        <v>3278.8674876474106</v>
      </c>
      <c r="W26" s="6">
        <f t="shared" si="8"/>
        <v>3668.8835197669814</v>
      </c>
      <c r="X26" s="7">
        <f t="shared" si="8"/>
        <v>4288.6869654116672</v>
      </c>
      <c r="Y26" s="7">
        <f t="shared" si="8"/>
        <v>3887.4945732388333</v>
      </c>
      <c r="Z26" s="7">
        <f t="shared" si="8"/>
        <v>3438.2210008307302</v>
      </c>
      <c r="AA26" s="7">
        <f t="shared" si="8"/>
        <v>2858.162166555805</v>
      </c>
      <c r="AB26" s="7">
        <f t="shared" si="8"/>
        <v>3252.2587163266471</v>
      </c>
      <c r="AC26" s="8">
        <f t="shared" si="8"/>
        <v>1331.5917493172565</v>
      </c>
      <c r="AD26" s="8">
        <f t="shared" si="8"/>
        <v>3274.7887680249187</v>
      </c>
    </row>
    <row r="27" spans="1:30" ht="15.75">
      <c r="A27" s="5" t="s">
        <v>6</v>
      </c>
      <c r="B27" s="6">
        <f t="shared" si="8"/>
        <v>98</v>
      </c>
      <c r="C27" s="6">
        <f t="shared" si="8"/>
        <v>233</v>
      </c>
      <c r="D27" s="6">
        <f t="shared" si="8"/>
        <v>274</v>
      </c>
      <c r="E27" s="6">
        <f t="shared" si="8"/>
        <v>257</v>
      </c>
      <c r="F27" s="6">
        <f t="shared" si="8"/>
        <v>460.48412499999995</v>
      </c>
      <c r="G27" s="6">
        <f t="shared" si="8"/>
        <v>492.59600000000023</v>
      </c>
      <c r="H27" s="6">
        <f t="shared" si="8"/>
        <v>555.72899999999981</v>
      </c>
      <c r="I27" s="6">
        <f t="shared" si="8"/>
        <v>329.08999999999946</v>
      </c>
      <c r="J27" s="6">
        <f t="shared" si="8"/>
        <v>320.36899999999991</v>
      </c>
      <c r="K27" s="6">
        <f t="shared" si="8"/>
        <v>450.62998000000039</v>
      </c>
      <c r="L27" s="6">
        <f t="shared" si="8"/>
        <v>512.52557999999976</v>
      </c>
      <c r="M27" s="6">
        <f t="shared" si="8"/>
        <v>600.24033000000009</v>
      </c>
      <c r="N27" s="6">
        <f t="shared" si="8"/>
        <v>1001.0112800000002</v>
      </c>
      <c r="O27" s="6">
        <f t="shared" si="8"/>
        <v>1243.8639999999998</v>
      </c>
      <c r="P27" s="6">
        <f t="shared" si="8"/>
        <v>1177.3209999999999</v>
      </c>
      <c r="Q27" s="6">
        <f t="shared" si="8"/>
        <v>1366.9969999999998</v>
      </c>
      <c r="R27" s="6">
        <f t="shared" si="8"/>
        <v>1236.8109999999997</v>
      </c>
      <c r="S27" s="6">
        <f t="shared" si="8"/>
        <v>1244.3490000000002</v>
      </c>
      <c r="T27" s="6">
        <f t="shared" si="8"/>
        <v>1827.2130000000002</v>
      </c>
      <c r="U27" s="6">
        <f t="shared" si="8"/>
        <v>1459.6500000000005</v>
      </c>
      <c r="V27" s="6">
        <f t="shared" si="8"/>
        <v>1630.3450000000003</v>
      </c>
      <c r="W27" s="6">
        <f t="shared" si="8"/>
        <v>1561.6990000000001</v>
      </c>
      <c r="X27" s="7">
        <f t="shared" si="8"/>
        <v>1846.239</v>
      </c>
      <c r="Y27" s="7">
        <f t="shared" si="8"/>
        <v>2342.5839999999994</v>
      </c>
      <c r="Z27" s="7">
        <f t="shared" si="8"/>
        <v>2166.7080000000005</v>
      </c>
      <c r="AA27" s="7">
        <f t="shared" si="8"/>
        <v>2194.9855889999994</v>
      </c>
      <c r="AB27" s="7">
        <f t="shared" si="8"/>
        <v>2501.4132779999995</v>
      </c>
      <c r="AC27" s="8">
        <f t="shared" si="8"/>
        <v>1747.4903289999997</v>
      </c>
      <c r="AD27" s="8">
        <f t="shared" si="8"/>
        <v>3379.283167</v>
      </c>
    </row>
    <row r="28" spans="1:30" ht="15.75">
      <c r="A28" s="34" t="s">
        <v>7</v>
      </c>
      <c r="B28" s="48">
        <f>SUM(B25:B27)</f>
        <v>3221.0755675614018</v>
      </c>
      <c r="C28" s="48">
        <f t="shared" ref="C28:AD28" si="9">SUM(C25:C27)</f>
        <v>4316.613601340604</v>
      </c>
      <c r="D28" s="48">
        <f t="shared" si="9"/>
        <v>4236.8329509444166</v>
      </c>
      <c r="E28" s="48">
        <f t="shared" si="9"/>
        <v>4447.5253720093342</v>
      </c>
      <c r="F28" s="48">
        <f t="shared" si="9"/>
        <v>4753.2061919311982</v>
      </c>
      <c r="G28" s="48">
        <f t="shared" si="9"/>
        <v>5243.2353662601954</v>
      </c>
      <c r="H28" s="48">
        <f t="shared" si="9"/>
        <v>4604.5360662644125</v>
      </c>
      <c r="I28" s="48">
        <f t="shared" si="9"/>
        <v>3214.5811198188048</v>
      </c>
      <c r="J28" s="48">
        <f t="shared" si="9"/>
        <v>3720.4162325864399</v>
      </c>
      <c r="K28" s="48">
        <f t="shared" si="9"/>
        <v>3445.4901721848637</v>
      </c>
      <c r="L28" s="48">
        <f t="shared" si="9"/>
        <v>3808.7416150912277</v>
      </c>
      <c r="M28" s="48">
        <f t="shared" si="9"/>
        <v>4302.6074176688053</v>
      </c>
      <c r="N28" s="48">
        <f t="shared" si="9"/>
        <v>4909.3519593726687</v>
      </c>
      <c r="O28" s="48">
        <f t="shared" si="9"/>
        <v>5125.3816212901293</v>
      </c>
      <c r="P28" s="48">
        <f t="shared" si="9"/>
        <v>5578.4295944888408</v>
      </c>
      <c r="Q28" s="48">
        <f t="shared" si="9"/>
        <v>5348.5246753572428</v>
      </c>
      <c r="R28" s="48">
        <f t="shared" si="9"/>
        <v>5472.3663006253228</v>
      </c>
      <c r="S28" s="48">
        <f t="shared" si="9"/>
        <v>5333.458589318443</v>
      </c>
      <c r="T28" s="48">
        <f t="shared" si="9"/>
        <v>5979.6667372273769</v>
      </c>
      <c r="U28" s="48">
        <f t="shared" si="9"/>
        <v>5306.7785778523512</v>
      </c>
      <c r="V28" s="48">
        <f t="shared" si="9"/>
        <v>5339.2124876474109</v>
      </c>
      <c r="W28" s="48">
        <f t="shared" si="9"/>
        <v>5659.5825197669819</v>
      </c>
      <c r="X28" s="49">
        <f t="shared" si="9"/>
        <v>6536.9259654116668</v>
      </c>
      <c r="Y28" s="49">
        <f t="shared" si="9"/>
        <v>6607.0785732388322</v>
      </c>
      <c r="Z28" s="49">
        <f t="shared" si="9"/>
        <v>5871.9290008307307</v>
      </c>
      <c r="AA28" s="49">
        <f t="shared" si="9"/>
        <v>5432.1477555558049</v>
      </c>
      <c r="AB28" s="49">
        <f t="shared" si="9"/>
        <v>6033.6719943266471</v>
      </c>
      <c r="AC28" s="50">
        <f t="shared" si="9"/>
        <v>3370.0820783172562</v>
      </c>
      <c r="AD28" s="50">
        <f t="shared" si="9"/>
        <v>6397.0719350249183</v>
      </c>
    </row>
    <row r="29" spans="1:30" ht="15.75">
      <c r="A29" s="5" t="s">
        <v>24</v>
      </c>
      <c r="B29" s="6">
        <f t="shared" ref="B29:AD30" si="10">B40-B18-B7</f>
        <v>1469.0755675614018</v>
      </c>
      <c r="C29" s="6">
        <f t="shared" si="10"/>
        <v>1982.613601340604</v>
      </c>
      <c r="D29" s="6">
        <f t="shared" si="10"/>
        <v>1916.7789109444175</v>
      </c>
      <c r="E29" s="6">
        <f t="shared" si="10"/>
        <v>2100.707678009333</v>
      </c>
      <c r="F29" s="6">
        <f t="shared" si="10"/>
        <v>2301.112255931198</v>
      </c>
      <c r="G29" s="6">
        <f t="shared" si="10"/>
        <v>2498.3335302601954</v>
      </c>
      <c r="H29" s="6">
        <f t="shared" si="10"/>
        <v>2717.9411892644139</v>
      </c>
      <c r="I29" s="6">
        <f t="shared" si="10"/>
        <v>1750.3850848188058</v>
      </c>
      <c r="J29" s="6">
        <f t="shared" si="10"/>
        <v>2174.3855525864401</v>
      </c>
      <c r="K29" s="6">
        <f t="shared" si="10"/>
        <v>2136.4883671848638</v>
      </c>
      <c r="L29" s="6">
        <f t="shared" si="10"/>
        <v>2588.624447091227</v>
      </c>
      <c r="M29" s="6">
        <f t="shared" si="10"/>
        <v>2932.0824356688054</v>
      </c>
      <c r="N29" s="6">
        <f t="shared" si="10"/>
        <v>3480.0519593726676</v>
      </c>
      <c r="O29" s="6">
        <f t="shared" si="10"/>
        <v>4037.7376212901308</v>
      </c>
      <c r="P29" s="6">
        <f t="shared" si="10"/>
        <v>4001.6995944888413</v>
      </c>
      <c r="Q29" s="6">
        <f t="shared" si="10"/>
        <v>4041.2786753572418</v>
      </c>
      <c r="R29" s="6">
        <f t="shared" si="10"/>
        <v>4377.9503006253226</v>
      </c>
      <c r="S29" s="6">
        <f t="shared" si="10"/>
        <v>3981.3035893184415</v>
      </c>
      <c r="T29" s="6">
        <f t="shared" si="10"/>
        <v>4367.5697372273753</v>
      </c>
      <c r="U29" s="6">
        <f t="shared" si="10"/>
        <v>4219.8815778523531</v>
      </c>
      <c r="V29" s="6">
        <f t="shared" si="10"/>
        <v>4258.2174876474128</v>
      </c>
      <c r="W29" s="6">
        <f t="shared" si="10"/>
        <v>4354.9345197669827</v>
      </c>
      <c r="X29" s="7">
        <f t="shared" si="10"/>
        <v>5263.3919654116671</v>
      </c>
      <c r="Y29" s="7">
        <f t="shared" si="10"/>
        <v>5124.4295732388309</v>
      </c>
      <c r="Z29" s="7">
        <f t="shared" si="10"/>
        <v>4138.4980008307321</v>
      </c>
      <c r="AA29" s="7">
        <f t="shared" si="10"/>
        <v>3798.566798555803</v>
      </c>
      <c r="AB29" s="7">
        <f t="shared" si="10"/>
        <v>4678.2775273266452</v>
      </c>
      <c r="AC29" s="8">
        <f t="shared" si="10"/>
        <v>2693.7872013172546</v>
      </c>
      <c r="AD29" s="8">
        <f t="shared" si="10"/>
        <v>3015.2763280249201</v>
      </c>
    </row>
    <row r="30" spans="1:30" ht="15.75">
      <c r="A30" s="5" t="s">
        <v>9</v>
      </c>
      <c r="B30" s="6">
        <f t="shared" si="10"/>
        <v>1629</v>
      </c>
      <c r="C30" s="6">
        <f t="shared" si="10"/>
        <v>2234</v>
      </c>
      <c r="D30" s="6">
        <f t="shared" si="10"/>
        <v>2162.05404</v>
      </c>
      <c r="E30" s="6">
        <f t="shared" si="10"/>
        <v>2241.8176939999998</v>
      </c>
      <c r="F30" s="6">
        <f t="shared" si="10"/>
        <v>2230.0939360000002</v>
      </c>
      <c r="G30" s="6">
        <f t="shared" si="10"/>
        <v>2537.901836</v>
      </c>
      <c r="H30" s="6">
        <f t="shared" si="10"/>
        <v>1743.594877</v>
      </c>
      <c r="I30" s="6">
        <f t="shared" si="10"/>
        <v>1267.1960349999997</v>
      </c>
      <c r="J30" s="6">
        <f t="shared" si="10"/>
        <v>1368.0306799999998</v>
      </c>
      <c r="K30" s="6">
        <f t="shared" si="10"/>
        <v>1246.0018049999999</v>
      </c>
      <c r="L30" s="6">
        <f t="shared" si="10"/>
        <v>1137.1171679999998</v>
      </c>
      <c r="M30" s="6">
        <f t="shared" si="10"/>
        <v>1252.5249820000001</v>
      </c>
      <c r="N30" s="6">
        <f t="shared" si="10"/>
        <v>1229.2999999999997</v>
      </c>
      <c r="O30" s="6">
        <f t="shared" si="10"/>
        <v>962.64400000000023</v>
      </c>
      <c r="P30" s="6">
        <f t="shared" si="10"/>
        <v>1375.73</v>
      </c>
      <c r="Q30" s="6">
        <f t="shared" si="10"/>
        <v>972.24600000000009</v>
      </c>
      <c r="R30" s="6">
        <f t="shared" si="10"/>
        <v>820.41600000000017</v>
      </c>
      <c r="S30" s="6">
        <f t="shared" si="10"/>
        <v>899.1550000000002</v>
      </c>
      <c r="T30" s="6">
        <f t="shared" si="10"/>
        <v>1032.0970000000007</v>
      </c>
      <c r="U30" s="6">
        <f t="shared" si="10"/>
        <v>656.89699999999993</v>
      </c>
      <c r="V30" s="6">
        <f t="shared" si="10"/>
        <v>651.99499999999989</v>
      </c>
      <c r="W30" s="6">
        <f t="shared" si="10"/>
        <v>902.64799999999923</v>
      </c>
      <c r="X30" s="7">
        <f t="shared" si="10"/>
        <v>897.53399999999965</v>
      </c>
      <c r="Y30" s="7">
        <f t="shared" si="10"/>
        <v>1215.6490000000003</v>
      </c>
      <c r="Z30" s="7">
        <f t="shared" si="10"/>
        <v>1354.4310000000005</v>
      </c>
      <c r="AA30" s="7">
        <f t="shared" si="10"/>
        <v>1353.5809570000001</v>
      </c>
      <c r="AB30" s="7">
        <f t="shared" si="10"/>
        <v>1064.394467000001</v>
      </c>
      <c r="AC30" s="8">
        <f t="shared" si="10"/>
        <v>933.29487699999845</v>
      </c>
      <c r="AD30" s="8">
        <f t="shared" si="10"/>
        <v>2867.795607</v>
      </c>
    </row>
    <row r="31" spans="1:30" ht="15.75">
      <c r="A31" s="34" t="s">
        <v>12</v>
      </c>
      <c r="B31" s="48">
        <f>SUM(B29:B30)</f>
        <v>3098.0755675614018</v>
      </c>
      <c r="C31" s="48">
        <f t="shared" ref="C31:AD31" si="11">SUM(C29:C30)</f>
        <v>4216.613601340604</v>
      </c>
      <c r="D31" s="48">
        <f t="shared" si="11"/>
        <v>4078.8329509444175</v>
      </c>
      <c r="E31" s="48">
        <f t="shared" si="11"/>
        <v>4342.5253720093333</v>
      </c>
      <c r="F31" s="48">
        <f t="shared" si="11"/>
        <v>4531.2061919311982</v>
      </c>
      <c r="G31" s="48">
        <f t="shared" si="11"/>
        <v>5036.2353662601954</v>
      </c>
      <c r="H31" s="48">
        <f t="shared" si="11"/>
        <v>4461.5360662644143</v>
      </c>
      <c r="I31" s="48">
        <f t="shared" si="11"/>
        <v>3017.5811198188057</v>
      </c>
      <c r="J31" s="48">
        <f t="shared" si="11"/>
        <v>3542.4162325864399</v>
      </c>
      <c r="K31" s="48">
        <f t="shared" si="11"/>
        <v>3382.4901721848637</v>
      </c>
      <c r="L31" s="48">
        <f t="shared" si="11"/>
        <v>3725.7416150912268</v>
      </c>
      <c r="M31" s="48">
        <f t="shared" si="11"/>
        <v>4184.6074176688053</v>
      </c>
      <c r="N31" s="48">
        <f t="shared" si="11"/>
        <v>4709.3519593726669</v>
      </c>
      <c r="O31" s="48">
        <f t="shared" si="11"/>
        <v>5000.3816212901311</v>
      </c>
      <c r="P31" s="48">
        <f t="shared" si="11"/>
        <v>5377.4295944888418</v>
      </c>
      <c r="Q31" s="48">
        <f t="shared" si="11"/>
        <v>5013.5246753572419</v>
      </c>
      <c r="R31" s="48">
        <f t="shared" si="11"/>
        <v>5198.3663006253228</v>
      </c>
      <c r="S31" s="48">
        <f t="shared" si="11"/>
        <v>4880.4585893184412</v>
      </c>
      <c r="T31" s="48">
        <f t="shared" si="11"/>
        <v>5399.666737227376</v>
      </c>
      <c r="U31" s="48">
        <f t="shared" si="11"/>
        <v>4876.778577852353</v>
      </c>
      <c r="V31" s="48">
        <f t="shared" si="11"/>
        <v>4910.2124876474127</v>
      </c>
      <c r="W31" s="48">
        <f t="shared" si="11"/>
        <v>5257.5825197669819</v>
      </c>
      <c r="X31" s="49">
        <f t="shared" si="11"/>
        <v>6160.9259654116668</v>
      </c>
      <c r="Y31" s="49">
        <f t="shared" si="11"/>
        <v>6340.0785732388313</v>
      </c>
      <c r="Z31" s="49">
        <f t="shared" si="11"/>
        <v>5492.9290008307325</v>
      </c>
      <c r="AA31" s="49">
        <f t="shared" si="11"/>
        <v>5152.1477555558031</v>
      </c>
      <c r="AB31" s="49">
        <f t="shared" si="11"/>
        <v>5742.6719943266462</v>
      </c>
      <c r="AC31" s="50">
        <f t="shared" si="11"/>
        <v>3627.082078317253</v>
      </c>
      <c r="AD31" s="50">
        <f t="shared" si="11"/>
        <v>5883.0719350249201</v>
      </c>
    </row>
    <row r="32" spans="1:30" ht="16.5" thickBot="1">
      <c r="A32" s="41" t="s">
        <v>25</v>
      </c>
      <c r="B32" s="6">
        <f>B28-B31</f>
        <v>123</v>
      </c>
      <c r="C32" s="6">
        <f t="shared" ref="C32:AD32" si="12">C28-C31</f>
        <v>100</v>
      </c>
      <c r="D32" s="6">
        <f t="shared" si="12"/>
        <v>157.99999999999909</v>
      </c>
      <c r="E32" s="6">
        <f t="shared" si="12"/>
        <v>105.00000000000091</v>
      </c>
      <c r="F32" s="6">
        <f t="shared" si="12"/>
        <v>222</v>
      </c>
      <c r="G32" s="6">
        <f t="shared" si="12"/>
        <v>207</v>
      </c>
      <c r="H32" s="6">
        <f t="shared" si="12"/>
        <v>142.99999999999818</v>
      </c>
      <c r="I32" s="6">
        <f t="shared" si="12"/>
        <v>196.99999999999909</v>
      </c>
      <c r="J32" s="6">
        <f t="shared" si="12"/>
        <v>178</v>
      </c>
      <c r="K32" s="6">
        <f t="shared" si="12"/>
        <v>63</v>
      </c>
      <c r="L32" s="6">
        <f t="shared" si="12"/>
        <v>83.000000000000909</v>
      </c>
      <c r="M32" s="6">
        <f t="shared" si="12"/>
        <v>118</v>
      </c>
      <c r="N32" s="6">
        <f t="shared" si="12"/>
        <v>200.00000000000182</v>
      </c>
      <c r="O32" s="6">
        <f t="shared" si="12"/>
        <v>124.99999999999818</v>
      </c>
      <c r="P32" s="6">
        <f t="shared" si="12"/>
        <v>200.99999999999909</v>
      </c>
      <c r="Q32" s="6">
        <f t="shared" si="12"/>
        <v>335.00000000000091</v>
      </c>
      <c r="R32" s="6">
        <f t="shared" si="12"/>
        <v>274</v>
      </c>
      <c r="S32" s="6">
        <f t="shared" si="12"/>
        <v>453.00000000000182</v>
      </c>
      <c r="T32" s="6">
        <f t="shared" si="12"/>
        <v>580.00000000000091</v>
      </c>
      <c r="U32" s="6">
        <f t="shared" si="12"/>
        <v>429.99999999999818</v>
      </c>
      <c r="V32" s="6">
        <f t="shared" si="12"/>
        <v>428.99999999999818</v>
      </c>
      <c r="W32" s="6">
        <f t="shared" si="12"/>
        <v>402</v>
      </c>
      <c r="X32" s="7">
        <f t="shared" si="12"/>
        <v>376</v>
      </c>
      <c r="Y32" s="7">
        <f t="shared" si="12"/>
        <v>267.00000000000091</v>
      </c>
      <c r="Z32" s="7">
        <f t="shared" si="12"/>
        <v>378.99999999999818</v>
      </c>
      <c r="AA32" s="7">
        <f t="shared" si="12"/>
        <v>280.00000000000182</v>
      </c>
      <c r="AB32" s="7">
        <f t="shared" si="12"/>
        <v>291.00000000000091</v>
      </c>
      <c r="AC32" s="8">
        <f t="shared" si="12"/>
        <v>-256.99999999999682</v>
      </c>
      <c r="AD32" s="8">
        <f t="shared" si="12"/>
        <v>513.99999999999818</v>
      </c>
    </row>
    <row r="33" spans="1:30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>
      <c r="A34" s="1" t="s">
        <v>28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>
      <c r="A35" s="3"/>
      <c r="B35" s="4" t="str">
        <f t="shared" ref="B35:AD35" si="13">B2</f>
        <v xml:space="preserve">93/94 </v>
      </c>
      <c r="C35" s="4" t="str">
        <f t="shared" si="13"/>
        <v xml:space="preserve">94/95 </v>
      </c>
      <c r="D35" s="4" t="str">
        <f t="shared" si="13"/>
        <v xml:space="preserve">95/96 </v>
      </c>
      <c r="E35" s="4" t="str">
        <f t="shared" si="13"/>
        <v xml:space="preserve">96/97 </v>
      </c>
      <c r="F35" s="4" t="str">
        <f t="shared" si="13"/>
        <v xml:space="preserve">97/98 </v>
      </c>
      <c r="G35" s="4" t="str">
        <f t="shared" si="13"/>
        <v xml:space="preserve">98/99 </v>
      </c>
      <c r="H35" s="4" t="str">
        <f t="shared" si="13"/>
        <v xml:space="preserve">99/00 </v>
      </c>
      <c r="I35" s="4" t="str">
        <f t="shared" si="13"/>
        <v xml:space="preserve">00/01 </v>
      </c>
      <c r="J35" s="4" t="str">
        <f t="shared" si="13"/>
        <v xml:space="preserve">01/02 </v>
      </c>
      <c r="K35" s="4" t="str">
        <f t="shared" si="13"/>
        <v xml:space="preserve">02/03 </v>
      </c>
      <c r="L35" s="4" t="str">
        <f t="shared" si="13"/>
        <v xml:space="preserve">03/04 </v>
      </c>
      <c r="M35" s="4" t="str">
        <f t="shared" si="13"/>
        <v xml:space="preserve">04/05 </v>
      </c>
      <c r="N35" s="4" t="str">
        <f t="shared" si="13"/>
        <v xml:space="preserve">05/06 </v>
      </c>
      <c r="O35" s="4" t="str">
        <f t="shared" si="13"/>
        <v xml:space="preserve">06/07 </v>
      </c>
      <c r="P35" s="4" t="str">
        <f t="shared" si="13"/>
        <v xml:space="preserve">07/08 </v>
      </c>
      <c r="Q35" s="4" t="str">
        <f t="shared" si="13"/>
        <v xml:space="preserve">08/09 </v>
      </c>
      <c r="R35" s="4" t="str">
        <f t="shared" si="13"/>
        <v xml:space="preserve">09/10 </v>
      </c>
      <c r="S35" s="4" t="str">
        <f t="shared" si="13"/>
        <v xml:space="preserve">10/11 </v>
      </c>
      <c r="T35" s="4" t="str">
        <f t="shared" si="13"/>
        <v xml:space="preserve">11/12 </v>
      </c>
      <c r="U35" s="4" t="str">
        <f t="shared" si="13"/>
        <v xml:space="preserve">12/13 </v>
      </c>
      <c r="V35" s="4" t="str">
        <f t="shared" si="13"/>
        <v xml:space="preserve">13/14 </v>
      </c>
      <c r="W35" s="4" t="str">
        <f t="shared" si="13"/>
        <v xml:space="preserve">14/15 </v>
      </c>
      <c r="X35" s="4" t="str">
        <f t="shared" si="13"/>
        <v xml:space="preserve">15/16 </v>
      </c>
      <c r="Y35" s="4" t="str">
        <f t="shared" si="13"/>
        <v xml:space="preserve">16/17 </v>
      </c>
      <c r="Z35" s="4" t="str">
        <f t="shared" si="13"/>
        <v xml:space="preserve">17/18 </v>
      </c>
      <c r="AA35" s="4" t="str">
        <f t="shared" si="13"/>
        <v xml:space="preserve">18/19 </v>
      </c>
      <c r="AB35" s="4" t="str">
        <f t="shared" si="13"/>
        <v xml:space="preserve">19/20 </v>
      </c>
      <c r="AC35" s="4" t="str">
        <f t="shared" si="13"/>
        <v xml:space="preserve">20/21 </v>
      </c>
      <c r="AD35" s="4" t="str">
        <f t="shared" si="13"/>
        <v>21/22</v>
      </c>
    </row>
    <row r="36" spans="1:30" ht="15.75">
      <c r="A36" s="5" t="s">
        <v>23</v>
      </c>
      <c r="B36" s="52">
        <v>219</v>
      </c>
      <c r="C36" s="52">
        <v>193</v>
      </c>
      <c r="D36" s="52">
        <v>298</v>
      </c>
      <c r="E36" s="52">
        <v>494</v>
      </c>
      <c r="F36" s="52">
        <v>268</v>
      </c>
      <c r="G36" s="52">
        <v>362</v>
      </c>
      <c r="H36" s="52">
        <v>390</v>
      </c>
      <c r="I36" s="52">
        <v>396</v>
      </c>
      <c r="J36" s="52">
        <v>411</v>
      </c>
      <c r="K36" s="52">
        <v>351</v>
      </c>
      <c r="L36" s="52">
        <v>169</v>
      </c>
      <c r="M36" s="52">
        <v>218</v>
      </c>
      <c r="N36" s="52">
        <v>221</v>
      </c>
      <c r="O36" s="52">
        <v>313</v>
      </c>
      <c r="P36" s="52">
        <v>235</v>
      </c>
      <c r="Q36" s="52">
        <v>302</v>
      </c>
      <c r="R36" s="52">
        <v>807</v>
      </c>
      <c r="S36" s="52">
        <v>998</v>
      </c>
      <c r="T36" s="53">
        <v>1072</v>
      </c>
      <c r="U36" s="53">
        <v>1695</v>
      </c>
      <c r="V36" s="52">
        <v>786</v>
      </c>
      <c r="W36" s="53">
        <v>1385</v>
      </c>
      <c r="X36" s="7">
        <v>1493</v>
      </c>
      <c r="Y36" s="7">
        <v>1420</v>
      </c>
      <c r="Z36" s="7">
        <v>1284</v>
      </c>
      <c r="AA36" s="7">
        <v>1489</v>
      </c>
      <c r="AB36" s="7">
        <v>1562</v>
      </c>
      <c r="AC36" s="7">
        <v>1532</v>
      </c>
      <c r="AD36" s="7">
        <v>915</v>
      </c>
    </row>
    <row r="37" spans="1:30" ht="15.75">
      <c r="A37" s="5" t="s">
        <v>5</v>
      </c>
      <c r="B37" s="53">
        <v>8421</v>
      </c>
      <c r="C37" s="53">
        <v>9688</v>
      </c>
      <c r="D37" s="53">
        <v>10414</v>
      </c>
      <c r="E37" s="53">
        <v>10157</v>
      </c>
      <c r="F37" s="53">
        <v>9930</v>
      </c>
      <c r="G37" s="53">
        <v>10634</v>
      </c>
      <c r="H37" s="53">
        <v>10647</v>
      </c>
      <c r="I37" s="53">
        <v>9244</v>
      </c>
      <c r="J37" s="53">
        <v>8325</v>
      </c>
      <c r="K37" s="53">
        <v>9043</v>
      </c>
      <c r="L37" s="53">
        <v>10369</v>
      </c>
      <c r="M37" s="53">
        <v>10301</v>
      </c>
      <c r="N37" s="53">
        <v>11718</v>
      </c>
      <c r="O37" s="53">
        <v>11874</v>
      </c>
      <c r="P37" s="53">
        <v>11258</v>
      </c>
      <c r="Q37" s="53">
        <v>13083</v>
      </c>
      <c r="R37" s="53">
        <v>13418</v>
      </c>
      <c r="S37" s="53">
        <v>13305</v>
      </c>
      <c r="T37" s="53">
        <v>15602</v>
      </c>
      <c r="U37" s="53">
        <v>14135</v>
      </c>
      <c r="V37" s="53">
        <v>16809</v>
      </c>
      <c r="W37" s="53">
        <v>16136</v>
      </c>
      <c r="X37" s="7">
        <v>16528</v>
      </c>
      <c r="Y37" s="7">
        <v>19405</v>
      </c>
      <c r="Z37" s="7">
        <v>19959</v>
      </c>
      <c r="AA37" s="7">
        <v>20833</v>
      </c>
      <c r="AB37" s="7">
        <v>22150</v>
      </c>
      <c r="AC37" s="8">
        <v>20588</v>
      </c>
      <c r="AD37" s="8">
        <v>23227</v>
      </c>
    </row>
    <row r="38" spans="1:30" ht="15.75">
      <c r="A38" s="5" t="s">
        <v>6</v>
      </c>
      <c r="B38" s="53">
        <v>1635</v>
      </c>
      <c r="C38" s="53">
        <v>2079</v>
      </c>
      <c r="D38" s="53">
        <v>2163</v>
      </c>
      <c r="E38" s="53">
        <v>2249</v>
      </c>
      <c r="F38" s="53">
        <v>2323</v>
      </c>
      <c r="G38" s="53">
        <v>2571</v>
      </c>
      <c r="H38" s="53">
        <v>2539</v>
      </c>
      <c r="I38" s="53">
        <v>2230</v>
      </c>
      <c r="J38" s="53">
        <v>1915</v>
      </c>
      <c r="K38" s="53">
        <v>2204</v>
      </c>
      <c r="L38" s="53">
        <v>2653</v>
      </c>
      <c r="M38" s="53">
        <v>2552</v>
      </c>
      <c r="N38" s="53">
        <v>3354</v>
      </c>
      <c r="O38" s="53">
        <v>3441</v>
      </c>
      <c r="P38" s="53">
        <v>2959</v>
      </c>
      <c r="Q38" s="53">
        <v>4195</v>
      </c>
      <c r="R38" s="53">
        <v>3693</v>
      </c>
      <c r="S38" s="53">
        <v>4056</v>
      </c>
      <c r="T38" s="53">
        <v>6420</v>
      </c>
      <c r="U38" s="53">
        <v>4922</v>
      </c>
      <c r="V38" s="53">
        <v>5770</v>
      </c>
      <c r="W38" s="53">
        <v>5547</v>
      </c>
      <c r="X38" s="7">
        <v>5969</v>
      </c>
      <c r="Y38" s="7">
        <v>7102</v>
      </c>
      <c r="Z38" s="7">
        <v>6830</v>
      </c>
      <c r="AA38" s="7">
        <v>8067</v>
      </c>
      <c r="AB38" s="7">
        <v>8496</v>
      </c>
      <c r="AC38" s="8">
        <v>7375</v>
      </c>
      <c r="AD38" s="8">
        <v>8525</v>
      </c>
    </row>
    <row r="39" spans="1:30" ht="15.75">
      <c r="A39" s="34" t="s">
        <v>7</v>
      </c>
      <c r="B39" s="48">
        <f>B36+B37+B38</f>
        <v>10275</v>
      </c>
      <c r="C39" s="48">
        <f t="shared" ref="C39:AD39" si="14">C36+C37+C38</f>
        <v>11960</v>
      </c>
      <c r="D39" s="48">
        <f t="shared" si="14"/>
        <v>12875</v>
      </c>
      <c r="E39" s="48">
        <f t="shared" si="14"/>
        <v>12900</v>
      </c>
      <c r="F39" s="48">
        <f t="shared" si="14"/>
        <v>12521</v>
      </c>
      <c r="G39" s="48">
        <f t="shared" si="14"/>
        <v>13567</v>
      </c>
      <c r="H39" s="48">
        <f t="shared" si="14"/>
        <v>13576</v>
      </c>
      <c r="I39" s="48">
        <f t="shared" si="14"/>
        <v>11870</v>
      </c>
      <c r="J39" s="48">
        <f t="shared" si="14"/>
        <v>10651</v>
      </c>
      <c r="K39" s="48">
        <f t="shared" si="14"/>
        <v>11598</v>
      </c>
      <c r="L39" s="48">
        <f t="shared" si="14"/>
        <v>13191</v>
      </c>
      <c r="M39" s="48">
        <f t="shared" si="14"/>
        <v>13071</v>
      </c>
      <c r="N39" s="48">
        <f t="shared" si="14"/>
        <v>15293</v>
      </c>
      <c r="O39" s="48">
        <f t="shared" si="14"/>
        <v>15628</v>
      </c>
      <c r="P39" s="48">
        <f t="shared" si="14"/>
        <v>14452</v>
      </c>
      <c r="Q39" s="48">
        <f t="shared" si="14"/>
        <v>17580</v>
      </c>
      <c r="R39" s="48">
        <f t="shared" si="14"/>
        <v>17918</v>
      </c>
      <c r="S39" s="48">
        <f t="shared" si="14"/>
        <v>18359</v>
      </c>
      <c r="T39" s="48">
        <f t="shared" si="14"/>
        <v>23094</v>
      </c>
      <c r="U39" s="48">
        <f t="shared" si="14"/>
        <v>20752</v>
      </c>
      <c r="V39" s="48">
        <f t="shared" si="14"/>
        <v>23365</v>
      </c>
      <c r="W39" s="48">
        <f t="shared" si="14"/>
        <v>23068</v>
      </c>
      <c r="X39" s="49">
        <f t="shared" si="14"/>
        <v>23990</v>
      </c>
      <c r="Y39" s="49">
        <f t="shared" si="14"/>
        <v>27927</v>
      </c>
      <c r="Z39" s="49">
        <f t="shared" si="14"/>
        <v>28073</v>
      </c>
      <c r="AA39" s="49">
        <f t="shared" si="14"/>
        <v>30389</v>
      </c>
      <c r="AB39" s="49">
        <f t="shared" si="14"/>
        <v>32208</v>
      </c>
      <c r="AC39" s="50">
        <f t="shared" si="14"/>
        <v>29495</v>
      </c>
      <c r="AD39" s="50">
        <f t="shared" si="14"/>
        <v>32667</v>
      </c>
    </row>
    <row r="40" spans="1:30" ht="15.75">
      <c r="A40" s="5" t="s">
        <v>24</v>
      </c>
      <c r="B40" s="53">
        <v>8344</v>
      </c>
      <c r="C40" s="53">
        <v>9229</v>
      </c>
      <c r="D40" s="53">
        <v>10110</v>
      </c>
      <c r="E40" s="53">
        <v>10240</v>
      </c>
      <c r="F40" s="53">
        <v>9755</v>
      </c>
      <c r="G40" s="53">
        <v>10329</v>
      </c>
      <c r="H40" s="53">
        <v>10833</v>
      </c>
      <c r="I40" s="53">
        <v>9458</v>
      </c>
      <c r="J40" s="53">
        <v>8192</v>
      </c>
      <c r="K40" s="53">
        <v>9122</v>
      </c>
      <c r="L40" s="53">
        <v>10128</v>
      </c>
      <c r="M40" s="53">
        <v>10081</v>
      </c>
      <c r="N40" s="53">
        <v>11409</v>
      </c>
      <c r="O40" s="53">
        <v>11899</v>
      </c>
      <c r="P40" s="53">
        <v>10843</v>
      </c>
      <c r="Q40" s="53">
        <v>12474</v>
      </c>
      <c r="R40" s="53">
        <v>12829</v>
      </c>
      <c r="S40" s="53">
        <v>12720</v>
      </c>
      <c r="T40" s="53">
        <v>14599</v>
      </c>
      <c r="U40" s="53">
        <v>14833</v>
      </c>
      <c r="V40" s="53">
        <v>15753</v>
      </c>
      <c r="W40" s="53">
        <v>15704</v>
      </c>
      <c r="X40" s="7">
        <v>16328</v>
      </c>
      <c r="Y40" s="7">
        <v>19030</v>
      </c>
      <c r="Z40" s="7">
        <v>19423</v>
      </c>
      <c r="AA40" s="7">
        <v>20662</v>
      </c>
      <c r="AB40" s="7">
        <v>21849</v>
      </c>
      <c r="AC40" s="8">
        <v>20815</v>
      </c>
      <c r="AD40" s="8">
        <v>22128</v>
      </c>
    </row>
    <row r="41" spans="1:30" ht="15.75">
      <c r="A41" s="5" t="s">
        <v>9</v>
      </c>
      <c r="B41" s="53">
        <v>1738</v>
      </c>
      <c r="C41" s="53">
        <v>2433</v>
      </c>
      <c r="D41" s="53">
        <v>2271</v>
      </c>
      <c r="E41" s="53">
        <v>2392</v>
      </c>
      <c r="F41" s="53">
        <v>2404</v>
      </c>
      <c r="G41" s="53">
        <v>2848</v>
      </c>
      <c r="H41" s="53">
        <v>2347</v>
      </c>
      <c r="I41" s="53">
        <v>2001</v>
      </c>
      <c r="J41" s="53">
        <v>2108</v>
      </c>
      <c r="K41" s="53">
        <v>2307</v>
      </c>
      <c r="L41" s="53">
        <v>2845</v>
      </c>
      <c r="M41" s="53">
        <v>2769</v>
      </c>
      <c r="N41" s="53">
        <v>3571</v>
      </c>
      <c r="O41" s="53">
        <v>3494</v>
      </c>
      <c r="P41" s="53">
        <v>3307</v>
      </c>
      <c r="Q41" s="53">
        <v>4299</v>
      </c>
      <c r="R41" s="53">
        <v>4091</v>
      </c>
      <c r="S41" s="53">
        <v>4567</v>
      </c>
      <c r="T41" s="53">
        <v>6800</v>
      </c>
      <c r="U41" s="53">
        <v>5133</v>
      </c>
      <c r="V41" s="53">
        <v>6227</v>
      </c>
      <c r="W41" s="53">
        <v>5871</v>
      </c>
      <c r="X41" s="7">
        <v>6243</v>
      </c>
      <c r="Y41" s="7">
        <v>7613</v>
      </c>
      <c r="Z41" s="7">
        <v>7161</v>
      </c>
      <c r="AA41" s="7">
        <v>8165</v>
      </c>
      <c r="AB41" s="7">
        <v>8827</v>
      </c>
      <c r="AC41" s="8">
        <v>7765</v>
      </c>
      <c r="AD41" s="8">
        <v>8913</v>
      </c>
    </row>
    <row r="42" spans="1:30" ht="15.75">
      <c r="A42" s="34" t="s">
        <v>12</v>
      </c>
      <c r="B42" s="48">
        <f>B40+B41</f>
        <v>10082</v>
      </c>
      <c r="C42" s="48">
        <f t="shared" ref="C42:AD42" si="15">C40+C41</f>
        <v>11662</v>
      </c>
      <c r="D42" s="48">
        <f t="shared" si="15"/>
        <v>12381</v>
      </c>
      <c r="E42" s="48">
        <f t="shared" si="15"/>
        <v>12632</v>
      </c>
      <c r="F42" s="48">
        <f t="shared" si="15"/>
        <v>12159</v>
      </c>
      <c r="G42" s="48">
        <f t="shared" si="15"/>
        <v>13177</v>
      </c>
      <c r="H42" s="48">
        <f t="shared" si="15"/>
        <v>13180</v>
      </c>
      <c r="I42" s="48">
        <f t="shared" si="15"/>
        <v>11459</v>
      </c>
      <c r="J42" s="48">
        <f t="shared" si="15"/>
        <v>10300</v>
      </c>
      <c r="K42" s="48">
        <f t="shared" si="15"/>
        <v>11429</v>
      </c>
      <c r="L42" s="48">
        <f t="shared" si="15"/>
        <v>12973</v>
      </c>
      <c r="M42" s="48">
        <f t="shared" si="15"/>
        <v>12850</v>
      </c>
      <c r="N42" s="48">
        <f t="shared" si="15"/>
        <v>14980</v>
      </c>
      <c r="O42" s="48">
        <f t="shared" si="15"/>
        <v>15393</v>
      </c>
      <c r="P42" s="48">
        <f t="shared" si="15"/>
        <v>14150</v>
      </c>
      <c r="Q42" s="48">
        <f t="shared" si="15"/>
        <v>16773</v>
      </c>
      <c r="R42" s="48">
        <f t="shared" si="15"/>
        <v>16920</v>
      </c>
      <c r="S42" s="48">
        <f t="shared" si="15"/>
        <v>17287</v>
      </c>
      <c r="T42" s="48">
        <f t="shared" si="15"/>
        <v>21399</v>
      </c>
      <c r="U42" s="48">
        <f t="shared" si="15"/>
        <v>19966</v>
      </c>
      <c r="V42" s="48">
        <f t="shared" si="15"/>
        <v>21980</v>
      </c>
      <c r="W42" s="48">
        <f t="shared" si="15"/>
        <v>21575</v>
      </c>
      <c r="X42" s="49">
        <f t="shared" si="15"/>
        <v>22571</v>
      </c>
      <c r="Y42" s="49">
        <f t="shared" si="15"/>
        <v>26643</v>
      </c>
      <c r="Z42" s="49">
        <f t="shared" si="15"/>
        <v>26584</v>
      </c>
      <c r="AA42" s="49">
        <f t="shared" si="15"/>
        <v>28827</v>
      </c>
      <c r="AB42" s="49">
        <f t="shared" si="15"/>
        <v>30676</v>
      </c>
      <c r="AC42" s="50">
        <f t="shared" si="15"/>
        <v>28580</v>
      </c>
      <c r="AD42" s="50">
        <f t="shared" si="15"/>
        <v>31041</v>
      </c>
    </row>
    <row r="43" spans="1:30" ht="16.5" thickBot="1">
      <c r="A43" s="41" t="s">
        <v>25</v>
      </c>
      <c r="B43" s="6">
        <f>B39-B42</f>
        <v>193</v>
      </c>
      <c r="C43" s="6">
        <f t="shared" ref="C43:AD43" si="16">C39-C42</f>
        <v>298</v>
      </c>
      <c r="D43" s="6">
        <f t="shared" si="16"/>
        <v>494</v>
      </c>
      <c r="E43" s="6">
        <f t="shared" si="16"/>
        <v>268</v>
      </c>
      <c r="F43" s="6">
        <f t="shared" si="16"/>
        <v>362</v>
      </c>
      <c r="G43" s="6">
        <f t="shared" si="16"/>
        <v>390</v>
      </c>
      <c r="H43" s="6">
        <f t="shared" si="16"/>
        <v>396</v>
      </c>
      <c r="I43" s="6">
        <f t="shared" si="16"/>
        <v>411</v>
      </c>
      <c r="J43" s="6">
        <f t="shared" si="16"/>
        <v>351</v>
      </c>
      <c r="K43" s="6">
        <f t="shared" si="16"/>
        <v>169</v>
      </c>
      <c r="L43" s="6">
        <f t="shared" si="16"/>
        <v>218</v>
      </c>
      <c r="M43" s="6">
        <f t="shared" si="16"/>
        <v>221</v>
      </c>
      <c r="N43" s="6">
        <f t="shared" si="16"/>
        <v>313</v>
      </c>
      <c r="O43" s="6">
        <f t="shared" si="16"/>
        <v>235</v>
      </c>
      <c r="P43" s="6">
        <f t="shared" si="16"/>
        <v>302</v>
      </c>
      <c r="Q43" s="6">
        <f t="shared" si="16"/>
        <v>807</v>
      </c>
      <c r="R43" s="6">
        <f t="shared" si="16"/>
        <v>998</v>
      </c>
      <c r="S43" s="6">
        <f t="shared" si="16"/>
        <v>1072</v>
      </c>
      <c r="T43" s="6">
        <f t="shared" si="16"/>
        <v>1695</v>
      </c>
      <c r="U43" s="6">
        <f t="shared" si="16"/>
        <v>786</v>
      </c>
      <c r="V43" s="6">
        <f t="shared" si="16"/>
        <v>1385</v>
      </c>
      <c r="W43" s="6">
        <f t="shared" si="16"/>
        <v>1493</v>
      </c>
      <c r="X43" s="7">
        <f t="shared" si="16"/>
        <v>1419</v>
      </c>
      <c r="Y43" s="7">
        <f t="shared" si="16"/>
        <v>1284</v>
      </c>
      <c r="Z43" s="7">
        <f t="shared" si="16"/>
        <v>1489</v>
      </c>
      <c r="AA43" s="7">
        <f t="shared" si="16"/>
        <v>1562</v>
      </c>
      <c r="AB43" s="7">
        <f t="shared" si="16"/>
        <v>1532</v>
      </c>
      <c r="AC43" s="8">
        <f t="shared" si="16"/>
        <v>915</v>
      </c>
      <c r="AD43" s="8">
        <f t="shared" si="16"/>
        <v>1626</v>
      </c>
    </row>
    <row r="44" spans="1:30">
      <c r="A44" s="25" t="s">
        <v>19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spans="1:30">
      <c r="A45" s="26" t="s">
        <v>20</v>
      </c>
    </row>
    <row r="48" spans="1:30" ht="16.5">
      <c r="A48" s="27" t="s">
        <v>21</v>
      </c>
      <c r="B48" s="6">
        <v>8269</v>
      </c>
      <c r="C48" s="6">
        <v>9152</v>
      </c>
      <c r="D48" s="6">
        <v>10030</v>
      </c>
      <c r="E48" s="6">
        <v>10162</v>
      </c>
      <c r="F48" s="6">
        <v>9689</v>
      </c>
      <c r="G48" s="6">
        <v>10247</v>
      </c>
      <c r="H48" s="6">
        <v>10752</v>
      </c>
      <c r="I48" s="6">
        <v>9377</v>
      </c>
      <c r="J48" s="6">
        <v>8116</v>
      </c>
      <c r="K48" s="6">
        <v>9040</v>
      </c>
      <c r="L48" s="6">
        <v>10046</v>
      </c>
      <c r="M48" s="6">
        <v>9998</v>
      </c>
      <c r="N48" s="6">
        <v>11325</v>
      </c>
      <c r="O48" s="6">
        <v>11855</v>
      </c>
      <c r="P48" s="6">
        <v>10799</v>
      </c>
      <c r="Q48" s="6">
        <v>12400</v>
      </c>
      <c r="R48" s="6">
        <v>12769</v>
      </c>
      <c r="S48" s="6">
        <v>12663</v>
      </c>
      <c r="T48" s="6">
        <v>14539</v>
      </c>
      <c r="U48" s="6">
        <v>14773</v>
      </c>
      <c r="V48" s="6">
        <v>15693</v>
      </c>
      <c r="W48" s="6">
        <v>15642</v>
      </c>
      <c r="X48" s="6">
        <v>16206</v>
      </c>
      <c r="Y48" s="6">
        <v>18908</v>
      </c>
      <c r="Z48" s="6">
        <v>19301</v>
      </c>
      <c r="AA48" s="6">
        <v>20540</v>
      </c>
      <c r="AB48" s="6">
        <v>21727</v>
      </c>
      <c r="AC48" s="6">
        <v>20693</v>
      </c>
      <c r="AD48" s="6">
        <v>22001</v>
      </c>
    </row>
  </sheetData>
  <pageMargins left="0.25" right="0.25" top="1" bottom="0.75" header="0.3" footer="0.3"/>
  <pageSetup scale="98" orientation="portrait" r:id="rId1"/>
  <headerFooter>
    <oddHeader>&amp;L&amp;G&amp;C&amp;"Arial,Bold"&amp;20
WORLD SUNFLOWER MEAL SUPPLY AND DEMAND</oddHeader>
    <oddFooter>&amp;L&amp;D&amp;C&amp;P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2A98-7896-4F0E-8583-4C7EA9D407D7}">
  <sheetPr>
    <pageSetUpPr fitToPage="1"/>
  </sheetPr>
  <dimension ref="A1:AD58"/>
  <sheetViews>
    <sheetView zoomScale="85" zoomScaleNormal="85" workbookViewId="0">
      <pane xSplit="1" ySplit="1" topLeftCell="Z13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11.42578125" defaultRowHeight="15"/>
  <cols>
    <col min="1" max="1" width="34" customWidth="1"/>
    <col min="2" max="25" width="0" hidden="1" customWidth="1"/>
    <col min="26" max="30" width="13.42578125" customWidth="1"/>
    <col min="31" max="53" width="11.42578125" customWidth="1"/>
    <col min="58" max="81" width="0" hidden="1" customWidth="1"/>
    <col min="86" max="109" width="0" hidden="1" customWidth="1"/>
    <col min="114" max="137" width="0" hidden="1" customWidth="1"/>
  </cols>
  <sheetData>
    <row r="1" spans="1:30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3" t="s">
        <v>1</v>
      </c>
      <c r="B2" s="4" t="str">
        <f>'EU Sun Complex'!B2</f>
        <v xml:space="preserve">93/94 </v>
      </c>
      <c r="C2" s="4" t="str">
        <f>'EU Sun Complex'!C2</f>
        <v xml:space="preserve">94/95 </v>
      </c>
      <c r="D2" s="4" t="str">
        <f>'EU Sun Complex'!D2</f>
        <v xml:space="preserve">95/96 </v>
      </c>
      <c r="E2" s="4" t="str">
        <f>'EU Sun Complex'!E2</f>
        <v xml:space="preserve">96/97 </v>
      </c>
      <c r="F2" s="4" t="str">
        <f>'EU Sun Complex'!F2</f>
        <v xml:space="preserve">97/98 </v>
      </c>
      <c r="G2" s="4" t="str">
        <f>'EU Sun Complex'!G2</f>
        <v xml:space="preserve">98/99 </v>
      </c>
      <c r="H2" s="4" t="str">
        <f>'EU Sun Complex'!H2</f>
        <v xml:space="preserve">99/00 </v>
      </c>
      <c r="I2" s="4" t="str">
        <f>'EU Sun Complex'!I2</f>
        <v xml:space="preserve">00/01 </v>
      </c>
      <c r="J2" s="4" t="str">
        <f>'EU Sun Complex'!J2</f>
        <v xml:space="preserve">01/02 </v>
      </c>
      <c r="K2" s="4" t="str">
        <f>'EU Sun Complex'!K2</f>
        <v xml:space="preserve">02/03 </v>
      </c>
      <c r="L2" s="4" t="str">
        <f>'EU Sun Complex'!L2</f>
        <v xml:space="preserve">03/04 </v>
      </c>
      <c r="M2" s="4" t="str">
        <f>'EU Sun Complex'!M2</f>
        <v xml:space="preserve">04/05 </v>
      </c>
      <c r="N2" s="4" t="str">
        <f>'EU Sun Complex'!N2</f>
        <v xml:space="preserve">05/06 </v>
      </c>
      <c r="O2" s="4" t="str">
        <f>'EU Sun Complex'!O2</f>
        <v xml:space="preserve">06/07 </v>
      </c>
      <c r="P2" s="4" t="str">
        <f>'EU Sun Complex'!P2</f>
        <v xml:space="preserve">07/08 </v>
      </c>
      <c r="Q2" s="4" t="str">
        <f>'EU Sun Complex'!Q2</f>
        <v xml:space="preserve">08/09 </v>
      </c>
      <c r="R2" s="4" t="str">
        <f>'EU Sun Complex'!R2</f>
        <v xml:space="preserve">09/10 </v>
      </c>
      <c r="S2" s="4" t="str">
        <f>'EU Sun Complex'!S2</f>
        <v xml:space="preserve">10/11 </v>
      </c>
      <c r="T2" s="4" t="str">
        <f>'EU Sun Complex'!T2</f>
        <v xml:space="preserve">11/12 </v>
      </c>
      <c r="U2" s="4" t="str">
        <f>'EU Sun Complex'!U2</f>
        <v xml:space="preserve">12/13 </v>
      </c>
      <c r="V2" s="4" t="str">
        <f>'EU Sun Complex'!V2</f>
        <v xml:space="preserve">13/14 </v>
      </c>
      <c r="W2" s="4" t="str">
        <f>'EU Sun Complex'!W2</f>
        <v xml:space="preserve">14/15 </v>
      </c>
      <c r="X2" s="4" t="str">
        <f>'EU Sun Complex'!X2</f>
        <v xml:space="preserve">15/16 </v>
      </c>
      <c r="Y2" s="4" t="str">
        <f>'EU Sun Complex'!Y2</f>
        <v xml:space="preserve">16/17 </v>
      </c>
      <c r="Z2" s="4" t="str">
        <f>'EU Sun Complex'!Z2</f>
        <v xml:space="preserve">17/18 </v>
      </c>
      <c r="AA2" s="4" t="str">
        <f>'EU Sun Complex'!AA2</f>
        <v xml:space="preserve">18/19 </v>
      </c>
      <c r="AB2" s="4" t="str">
        <f>'EU Sun Complex'!AB2</f>
        <v xml:space="preserve">19/20 </v>
      </c>
      <c r="AC2" s="4" t="str">
        <f>'EU Sun Complex'!AC2</f>
        <v xml:space="preserve">20/21 </v>
      </c>
      <c r="AD2" s="4" t="str">
        <f>'EU Sun Complex'!AD2</f>
        <v>21/22</v>
      </c>
    </row>
    <row r="3" spans="1:30" ht="15.75">
      <c r="A3" s="5" t="s">
        <v>23</v>
      </c>
      <c r="B3" s="6">
        <f>'EU Sun Complex'!B32+'Ukraine Sun Complex'!B32+'Russia Sun Complex'!B32</f>
        <v>438</v>
      </c>
      <c r="C3" s="6">
        <f>'EU Sun Complex'!C32+'Ukraine Sun Complex'!C32+'Russia Sun Complex'!C32</f>
        <v>421</v>
      </c>
      <c r="D3" s="6">
        <f>'EU Sun Complex'!D32+'Ukraine Sun Complex'!D32+'Russia Sun Complex'!D32</f>
        <v>411</v>
      </c>
      <c r="E3" s="6">
        <f>'EU Sun Complex'!E32+'Ukraine Sun Complex'!E32+'Russia Sun Complex'!E32</f>
        <v>760</v>
      </c>
      <c r="F3" s="6">
        <f>'EU Sun Complex'!F32+'Ukraine Sun Complex'!F32+'Russia Sun Complex'!F32</f>
        <v>457</v>
      </c>
      <c r="G3" s="6">
        <f>'EU Sun Complex'!G32+'Ukraine Sun Complex'!G32+'Russia Sun Complex'!G32</f>
        <v>327</v>
      </c>
      <c r="H3" s="6">
        <f>'EU Sun Complex'!H32+'Ukraine Sun Complex'!H32+'Russia Sun Complex'!H32</f>
        <v>336</v>
      </c>
      <c r="I3" s="6">
        <f>'EU Sun Complex'!I32+'Ukraine Sun Complex'!I32+'Russia Sun Complex'!I32</f>
        <v>412</v>
      </c>
      <c r="J3" s="6">
        <f>'EU Sun Complex'!J32+'Ukraine Sun Complex'!J32+'Russia Sun Complex'!J32</f>
        <v>372</v>
      </c>
      <c r="K3" s="6">
        <f>'EU Sun Complex'!K32+'Ukraine Sun Complex'!K32+'Russia Sun Complex'!K32</f>
        <v>342</v>
      </c>
      <c r="L3" s="6">
        <f>'EU Sun Complex'!L32+'Ukraine Sun Complex'!L32+'Russia Sun Complex'!L32</f>
        <v>332</v>
      </c>
      <c r="M3" s="6">
        <f>'EU Sun Complex'!M32+'Ukraine Sun Complex'!M32+'Russia Sun Complex'!M32</f>
        <v>396</v>
      </c>
      <c r="N3" s="6">
        <f>'EU Sun Complex'!N32+'Ukraine Sun Complex'!N32+'Russia Sun Complex'!N32</f>
        <v>611</v>
      </c>
      <c r="O3" s="6">
        <f>'EU Sun Complex'!O32+'Ukraine Sun Complex'!O32+'Russia Sun Complex'!O32</f>
        <v>679</v>
      </c>
      <c r="P3" s="6">
        <f>'EU Sun Complex'!P32+'Ukraine Sun Complex'!P32+'Russia Sun Complex'!P32</f>
        <v>549</v>
      </c>
      <c r="Q3" s="6">
        <f>'EU Sun Complex'!Q32+'Ukraine Sun Complex'!Q32+'Russia Sun Complex'!Q32</f>
        <v>703</v>
      </c>
      <c r="R3" s="6">
        <f>'EU Sun Complex'!R32+'Ukraine Sun Complex'!R32+'Russia Sun Complex'!R32</f>
        <v>946</v>
      </c>
      <c r="S3" s="6">
        <f>'EU Sun Complex'!S32+'Ukraine Sun Complex'!S32+'Russia Sun Complex'!S32</f>
        <v>806</v>
      </c>
      <c r="T3" s="6">
        <f>'EU Sun Complex'!T32+'Ukraine Sun Complex'!T32+'Russia Sun Complex'!T32</f>
        <v>762</v>
      </c>
      <c r="U3" s="6">
        <f>'EU Sun Complex'!U32+'Ukraine Sun Complex'!U32+'Russia Sun Complex'!U32</f>
        <v>1111</v>
      </c>
      <c r="V3" s="6">
        <f>'EU Sun Complex'!V32+'Ukraine Sun Complex'!V32+'Russia Sun Complex'!V32</f>
        <v>663</v>
      </c>
      <c r="W3" s="6">
        <f>'EU Sun Complex'!W32+'Ukraine Sun Complex'!W32+'Russia Sun Complex'!W32</f>
        <v>750</v>
      </c>
      <c r="X3" s="7">
        <f>'EU Sun Complex'!X32+'Ukraine Sun Complex'!X32+'Russia Sun Complex'!X32</f>
        <v>595</v>
      </c>
      <c r="Y3" s="7">
        <f>'EU Sun Complex'!Y32+'Ukraine Sun Complex'!Y32+'Russia Sun Complex'!Y32</f>
        <v>575</v>
      </c>
      <c r="Z3" s="7">
        <f>'EU Sun Complex'!Z32+'Ukraine Sun Complex'!Z32+'Russia Sun Complex'!Z32</f>
        <v>829</v>
      </c>
      <c r="AA3" s="7">
        <f>'EU Sun Complex'!AA32+'Ukraine Sun Complex'!AA32+'Russia Sun Complex'!AA32</f>
        <v>646</v>
      </c>
      <c r="AB3" s="7">
        <f>'EU Sun Complex'!AB32+'Ukraine Sun Complex'!AB32+'Russia Sun Complex'!AB32</f>
        <v>660</v>
      </c>
      <c r="AC3" s="7">
        <f>'EU Sun Complex'!AC32+'Ukraine Sun Complex'!AC32+'Russia Sun Complex'!AC32</f>
        <v>1219</v>
      </c>
      <c r="AD3" s="8">
        <f>'EU Sun Complex'!AD32+'Ukraine Sun Complex'!AD32+'Russia Sun Complex'!AD32</f>
        <v>1040</v>
      </c>
    </row>
    <row r="4" spans="1:30" ht="15.75">
      <c r="A4" s="5" t="s">
        <v>5</v>
      </c>
      <c r="B4" s="28">
        <f>'EU Sun Complex'!B33+'Ukraine Sun Complex'!B33+'Russia Sun Complex'!B33</f>
        <v>3933.0116575615757</v>
      </c>
      <c r="C4" s="28">
        <f>'EU Sun Complex'!C33+'Ukraine Sun Complex'!C33+'Russia Sun Complex'!C33</f>
        <v>4051.6619361477751</v>
      </c>
      <c r="D4" s="28">
        <f>'EU Sun Complex'!D33+'Ukraine Sun Complex'!D33+'Russia Sun Complex'!D33</f>
        <v>4913.4713821068217</v>
      </c>
      <c r="E4" s="28">
        <f>'EU Sun Complex'!E33+'Ukraine Sun Complex'!E33+'Russia Sun Complex'!E33</f>
        <v>4308.1259161930348</v>
      </c>
      <c r="F4" s="28">
        <f>'EU Sun Complex'!F33+'Ukraine Sun Complex'!F33+'Russia Sun Complex'!F33</f>
        <v>4073.5679793222748</v>
      </c>
      <c r="G4" s="28">
        <f>'EU Sun Complex'!G33+'Ukraine Sun Complex'!G33+'Russia Sun Complex'!G33</f>
        <v>4309.1772704620425</v>
      </c>
      <c r="H4" s="28">
        <f>'EU Sun Complex'!H33+'Ukraine Sun Complex'!H33+'Russia Sun Complex'!H33</f>
        <v>4906.3614140003392</v>
      </c>
      <c r="I4" s="28">
        <f>'EU Sun Complex'!I33+'Ukraine Sun Complex'!I33+'Russia Sun Complex'!I33</f>
        <v>4701.6234399297055</v>
      </c>
      <c r="J4" s="28">
        <f>'EU Sun Complex'!J33+'Ukraine Sun Complex'!J33+'Russia Sun Complex'!J33</f>
        <v>3785.1576472550469</v>
      </c>
      <c r="K4" s="28">
        <f>'EU Sun Complex'!K33+'Ukraine Sun Complex'!K33+'Russia Sun Complex'!K33</f>
        <v>4579.5598082785173</v>
      </c>
      <c r="L4" s="28">
        <f>'EU Sun Complex'!L33+'Ukraine Sun Complex'!L33+'Russia Sun Complex'!L33</f>
        <v>5279.3193801060079</v>
      </c>
      <c r="M4" s="28">
        <f>'EU Sun Complex'!M33+'Ukraine Sun Complex'!M33+'Russia Sun Complex'!M33</f>
        <v>5026.3088824937531</v>
      </c>
      <c r="N4" s="28">
        <f>'EU Sun Complex'!N33+'Ukraine Sun Complex'!N33+'Russia Sun Complex'!N33</f>
        <v>6205.9528213652447</v>
      </c>
      <c r="O4" s="28">
        <f>'EU Sun Complex'!O33+'Ukraine Sun Complex'!O33+'Russia Sun Complex'!O33</f>
        <v>6666.0583412801225</v>
      </c>
      <c r="P4" s="28">
        <f>'EU Sun Complex'!P33+'Ukraine Sun Complex'!P33+'Russia Sun Complex'!P33</f>
        <v>5558.6767005521733</v>
      </c>
      <c r="Q4" s="28">
        <f>'EU Sun Complex'!Q33+'Ukraine Sun Complex'!Q33+'Russia Sun Complex'!Q33</f>
        <v>7493.5757552935229</v>
      </c>
      <c r="R4" s="28">
        <f>'EU Sun Complex'!R33+'Ukraine Sun Complex'!R33+'Russia Sun Complex'!R33</f>
        <v>7644.7459018831833</v>
      </c>
      <c r="S4" s="28">
        <f>'EU Sun Complex'!S33+'Ukraine Sun Complex'!S33+'Russia Sun Complex'!S33</f>
        <v>7508.6240262773117</v>
      </c>
      <c r="T4" s="28">
        <f>'EU Sun Complex'!T33+'Ukraine Sun Complex'!T33+'Russia Sun Complex'!T33</f>
        <v>9822.6730123778234</v>
      </c>
      <c r="U4" s="28">
        <f>'EU Sun Complex'!U33+'Ukraine Sun Complex'!U33+'Russia Sun Complex'!U33</f>
        <v>8653.3588940000009</v>
      </c>
      <c r="V4" s="28">
        <f>'EU Sun Complex'!V33+'Ukraine Sun Complex'!V33+'Russia Sun Complex'!V33</f>
        <v>11021.815019516855</v>
      </c>
      <c r="W4" s="28">
        <f>'EU Sun Complex'!W33+'Ukraine Sun Complex'!W33+'Russia Sun Complex'!W33</f>
        <v>10091.154373000001</v>
      </c>
      <c r="X4" s="54">
        <f>'EU Sun Complex'!X33+'Ukraine Sun Complex'!X33+'Russia Sun Complex'!X33</f>
        <v>10322.649483000001</v>
      </c>
      <c r="Y4" s="54">
        <f>'EU Sun Complex'!Y33+'Ukraine Sun Complex'!Y33+'Russia Sun Complex'!Y33</f>
        <v>14120.660296932912</v>
      </c>
      <c r="Z4" s="54">
        <f>'EU Sun Complex'!Z33+'Ukraine Sun Complex'!Z33+'Russia Sun Complex'!Z33</f>
        <v>13918.265483909574</v>
      </c>
      <c r="AA4" s="54">
        <f>'EU Sun Complex'!AA33+'Ukraine Sun Complex'!AA33+'Russia Sun Complex'!AA33</f>
        <v>14900.582521655509</v>
      </c>
      <c r="AB4" s="54">
        <f>'EU Sun Complex'!AB33+'Ukraine Sun Complex'!AB33+'Russia Sun Complex'!AB33</f>
        <v>16728.059668848924</v>
      </c>
      <c r="AC4" s="55">
        <f>'EU Sun Complex'!AC33+'Ukraine Sun Complex'!AC33+'Russia Sun Complex'!AC33</f>
        <v>14461.04</v>
      </c>
      <c r="AD4" s="55">
        <f>'EU Sun Complex'!AD33+'Ukraine Sun Complex'!AD33+'Russia Sun Complex'!AD33</f>
        <v>14257.619999999999</v>
      </c>
    </row>
    <row r="5" spans="1:30" ht="15.75">
      <c r="A5" s="5" t="s">
        <v>6</v>
      </c>
      <c r="B5" s="28">
        <f>'EU Sun Complex'!B34+'Ukraine Sun Complex'!B34+'Russia Sun Complex'!B34</f>
        <v>298</v>
      </c>
      <c r="C5" s="28">
        <f>'EU Sun Complex'!C34+'Ukraine Sun Complex'!C34+'Russia Sun Complex'!C34</f>
        <v>338</v>
      </c>
      <c r="D5" s="28">
        <f>'EU Sun Complex'!D34+'Ukraine Sun Complex'!D34+'Russia Sun Complex'!D34</f>
        <v>328</v>
      </c>
      <c r="E5" s="28">
        <f>'EU Sun Complex'!E34+'Ukraine Sun Complex'!E34+'Russia Sun Complex'!E34</f>
        <v>378</v>
      </c>
      <c r="F5" s="28">
        <f>'EU Sun Complex'!F34+'Ukraine Sun Complex'!F34+'Russia Sun Complex'!F34</f>
        <v>516.06099999999992</v>
      </c>
      <c r="G5" s="28">
        <f>'EU Sun Complex'!G34+'Ukraine Sun Complex'!G34+'Russia Sun Complex'!G34</f>
        <v>527.09999999999991</v>
      </c>
      <c r="H5" s="28">
        <f>'EU Sun Complex'!H34+'Ukraine Sun Complex'!H34+'Russia Sun Complex'!H34</f>
        <v>312.41999999999996</v>
      </c>
      <c r="I5" s="28">
        <f>'EU Sun Complex'!I34+'Ukraine Sun Complex'!I34+'Russia Sun Complex'!I34</f>
        <v>334.96599999999995</v>
      </c>
      <c r="J5" s="28">
        <f>'EU Sun Complex'!J34+'Ukraine Sun Complex'!J34+'Russia Sun Complex'!J34</f>
        <v>829.51766999999995</v>
      </c>
      <c r="K5" s="28">
        <f>'EU Sun Complex'!K34+'Ukraine Sun Complex'!K34+'Russia Sun Complex'!K34</f>
        <v>936.56806600000004</v>
      </c>
      <c r="L5" s="28">
        <f>'EU Sun Complex'!L34+'Ukraine Sun Complex'!L34+'Russia Sun Complex'!L34</f>
        <v>659.54240799999991</v>
      </c>
      <c r="M5" s="28">
        <f>'EU Sun Complex'!M34+'Ukraine Sun Complex'!M34+'Russia Sun Complex'!M34</f>
        <v>1021.4528839999998</v>
      </c>
      <c r="N5" s="28">
        <f>'EU Sun Complex'!N34+'Ukraine Sun Complex'!N34+'Russia Sun Complex'!N34</f>
        <v>1366.66561</v>
      </c>
      <c r="O5" s="28">
        <f>'EU Sun Complex'!O34+'Ukraine Sun Complex'!O34+'Russia Sun Complex'!O34</f>
        <v>1343.5914190000003</v>
      </c>
      <c r="P5" s="28">
        <f>'EU Sun Complex'!P34+'Ukraine Sun Complex'!P34+'Russia Sun Complex'!P34</f>
        <v>1344.0052090000001</v>
      </c>
      <c r="Q5" s="28">
        <f>'EU Sun Complex'!Q34+'Ukraine Sun Complex'!Q34+'Russia Sun Complex'!Q34</f>
        <v>1100.884804</v>
      </c>
      <c r="R5" s="28">
        <f>'EU Sun Complex'!R34+'Ukraine Sun Complex'!R34+'Russia Sun Complex'!R34</f>
        <v>1036.590627</v>
      </c>
      <c r="S5" s="28">
        <f>'EU Sun Complex'!S34+'Ukraine Sun Complex'!S34+'Russia Sun Complex'!S34</f>
        <v>969.12616700000012</v>
      </c>
      <c r="T5" s="28">
        <f>'EU Sun Complex'!T34+'Ukraine Sun Complex'!T34+'Russia Sun Complex'!T34</f>
        <v>1011.7628130000001</v>
      </c>
      <c r="U5" s="28">
        <f>'EU Sun Complex'!U34+'Ukraine Sun Complex'!U34+'Russia Sun Complex'!U34</f>
        <v>961.49610600000005</v>
      </c>
      <c r="V5" s="28">
        <f>'EU Sun Complex'!V34+'Ukraine Sun Complex'!V34+'Russia Sun Complex'!V34</f>
        <v>1053.2537669999999</v>
      </c>
      <c r="W5" s="28">
        <f>'EU Sun Complex'!W34+'Ukraine Sun Complex'!W34+'Russia Sun Complex'!W34</f>
        <v>829.70862699999998</v>
      </c>
      <c r="X5" s="54">
        <f>'EU Sun Complex'!X34+'Ukraine Sun Complex'!X34+'Russia Sun Complex'!X34</f>
        <v>1360.1995169999998</v>
      </c>
      <c r="Y5" s="54">
        <f>'EU Sun Complex'!Y34+'Ukraine Sun Complex'!Y34+'Russia Sun Complex'!Y34</f>
        <v>1839.3362900000002</v>
      </c>
      <c r="Z5" s="54">
        <f>'EU Sun Complex'!Z34+'Ukraine Sun Complex'!Z34+'Russia Sun Complex'!Z34</f>
        <v>1652.2946330000004</v>
      </c>
      <c r="AA5" s="54">
        <f>'EU Sun Complex'!AA34+'Ukraine Sun Complex'!AA34+'Russia Sun Complex'!AA34</f>
        <v>2018.8561710000004</v>
      </c>
      <c r="AB5" s="54">
        <f>'EU Sun Complex'!AB34+'Ukraine Sun Complex'!AB34+'Russia Sun Complex'!AB34</f>
        <v>2350.1094160000002</v>
      </c>
      <c r="AC5" s="55">
        <f>'EU Sun Complex'!AC34+'Ukraine Sun Complex'!AC34+'Russia Sun Complex'!AC34</f>
        <v>1593.0413859999999</v>
      </c>
      <c r="AD5" s="55">
        <f>'EU Sun Complex'!AD34+'Ukraine Sun Complex'!AD34+'Russia Sun Complex'!AD34</f>
        <v>2105.2829609999994</v>
      </c>
    </row>
    <row r="6" spans="1:30" ht="15.75">
      <c r="A6" s="34" t="s">
        <v>7</v>
      </c>
      <c r="B6" s="35">
        <f>SUM(B3:B5)</f>
        <v>4669.0116575615757</v>
      </c>
      <c r="C6" s="35">
        <f t="shared" ref="C6:AD6" si="0">SUM(C3:C5)</f>
        <v>4810.6619361477751</v>
      </c>
      <c r="D6" s="35">
        <f t="shared" si="0"/>
        <v>5652.4713821068217</v>
      </c>
      <c r="E6" s="35">
        <f t="shared" si="0"/>
        <v>5446.1259161930348</v>
      </c>
      <c r="F6" s="35">
        <f t="shared" si="0"/>
        <v>5046.628979322275</v>
      </c>
      <c r="G6" s="35">
        <f t="shared" si="0"/>
        <v>5163.277270462042</v>
      </c>
      <c r="H6" s="35">
        <f t="shared" si="0"/>
        <v>5554.7814140003393</v>
      </c>
      <c r="I6" s="35">
        <f t="shared" si="0"/>
        <v>5448.5894399297058</v>
      </c>
      <c r="J6" s="35">
        <f t="shared" si="0"/>
        <v>4986.675317255047</v>
      </c>
      <c r="K6" s="35">
        <f t="shared" si="0"/>
        <v>5858.1278742785171</v>
      </c>
      <c r="L6" s="35">
        <f t="shared" si="0"/>
        <v>6270.8617881060081</v>
      </c>
      <c r="M6" s="35">
        <f t="shared" si="0"/>
        <v>6443.7617664937534</v>
      </c>
      <c r="N6" s="35">
        <f t="shared" si="0"/>
        <v>8183.6184313652448</v>
      </c>
      <c r="O6" s="35">
        <f t="shared" si="0"/>
        <v>8688.6497602801228</v>
      </c>
      <c r="P6" s="35">
        <f t="shared" si="0"/>
        <v>7451.6819095521732</v>
      </c>
      <c r="Q6" s="35">
        <f t="shared" si="0"/>
        <v>9297.4605592935222</v>
      </c>
      <c r="R6" s="35">
        <f t="shared" si="0"/>
        <v>9627.3365288831828</v>
      </c>
      <c r="S6" s="35">
        <f t="shared" si="0"/>
        <v>9283.7501932773121</v>
      </c>
      <c r="T6" s="35">
        <f t="shared" si="0"/>
        <v>11596.435825377823</v>
      </c>
      <c r="U6" s="35">
        <f t="shared" si="0"/>
        <v>10725.855000000001</v>
      </c>
      <c r="V6" s="35">
        <f t="shared" si="0"/>
        <v>12738.068786516855</v>
      </c>
      <c r="W6" s="35">
        <f t="shared" si="0"/>
        <v>11670.863000000001</v>
      </c>
      <c r="X6" s="56">
        <f t="shared" si="0"/>
        <v>12277.849</v>
      </c>
      <c r="Y6" s="56">
        <f t="shared" si="0"/>
        <v>16534.996586932913</v>
      </c>
      <c r="Z6" s="56">
        <f t="shared" si="0"/>
        <v>16399.560116909575</v>
      </c>
      <c r="AA6" s="56">
        <f t="shared" si="0"/>
        <v>17565.438692655509</v>
      </c>
      <c r="AB6" s="56">
        <f t="shared" si="0"/>
        <v>19738.169084848923</v>
      </c>
      <c r="AC6" s="57">
        <f t="shared" si="0"/>
        <v>17273.081386000002</v>
      </c>
      <c r="AD6" s="57">
        <f t="shared" si="0"/>
        <v>17402.902961</v>
      </c>
    </row>
    <row r="7" spans="1:30" ht="15.75">
      <c r="A7" s="5" t="s">
        <v>24</v>
      </c>
      <c r="B7" s="28">
        <f>'EU Sun Complex'!B36+'Ukraine Sun Complex'!B36+'Russia Sun Complex'!B36</f>
        <v>3701.0116575615757</v>
      </c>
      <c r="C7" s="28">
        <f>'EU Sun Complex'!C36+'Ukraine Sun Complex'!C36+'Russia Sun Complex'!C36</f>
        <v>3997.6619361477751</v>
      </c>
      <c r="D7" s="28">
        <f>'EU Sun Complex'!D36+'Ukraine Sun Complex'!D36+'Russia Sun Complex'!D36</f>
        <v>4366.4713821068217</v>
      </c>
      <c r="E7" s="28">
        <f>'EU Sun Complex'!E36+'Ukraine Sun Complex'!E36+'Russia Sun Complex'!E36</f>
        <v>4332.0259161930353</v>
      </c>
      <c r="F7" s="28">
        <f>'EU Sun Complex'!F36+'Ukraine Sun Complex'!F36+'Russia Sun Complex'!F36</f>
        <v>4266.0078473222748</v>
      </c>
      <c r="G7" s="28">
        <f>'EU Sun Complex'!G36+'Ukraine Sun Complex'!G36+'Russia Sun Complex'!G36</f>
        <v>4300.7562554620426</v>
      </c>
      <c r="H7" s="28">
        <f>'EU Sun Complex'!H36+'Ukraine Sun Complex'!H36+'Russia Sun Complex'!H36</f>
        <v>4253.6398049903391</v>
      </c>
      <c r="I7" s="28">
        <f>'EU Sun Complex'!I36+'Ukraine Sun Complex'!I36+'Russia Sun Complex'!I36</f>
        <v>4204.9575819297052</v>
      </c>
      <c r="J7" s="28">
        <f>'EU Sun Complex'!J36+'Ukraine Sun Complex'!J36+'Russia Sun Complex'!J36</f>
        <v>4054.7616664050465</v>
      </c>
      <c r="K7" s="28">
        <f>'EU Sun Complex'!K36+'Ukraine Sun Complex'!K36+'Russia Sun Complex'!K36</f>
        <v>4366.8245042785184</v>
      </c>
      <c r="L7" s="28">
        <f>'EU Sun Complex'!L36+'Ukraine Sun Complex'!L36+'Russia Sun Complex'!L36</f>
        <v>4548.5817071060083</v>
      </c>
      <c r="M7" s="28">
        <f>'EU Sun Complex'!M36+'Ukraine Sun Complex'!M36+'Russia Sun Complex'!M36</f>
        <v>4760.8552514937537</v>
      </c>
      <c r="N7" s="28">
        <f>'EU Sun Complex'!N36+'Ukraine Sun Complex'!N36+'Russia Sun Complex'!N36</f>
        <v>5157.1294313652452</v>
      </c>
      <c r="O7" s="28">
        <f>'EU Sun Complex'!O36+'Ukraine Sun Complex'!O36+'Russia Sun Complex'!O36</f>
        <v>5464.7107602801225</v>
      </c>
      <c r="P7" s="28">
        <f>'EU Sun Complex'!P36+'Ukraine Sun Complex'!P36+'Russia Sun Complex'!P36</f>
        <v>4971.6319095521731</v>
      </c>
      <c r="Q7" s="28">
        <f>'EU Sun Complex'!Q36+'Ukraine Sun Complex'!Q36+'Russia Sun Complex'!Q36</f>
        <v>5229.1285592935237</v>
      </c>
      <c r="R7" s="28">
        <f>'EU Sun Complex'!R36+'Ukraine Sun Complex'!R36+'Russia Sun Complex'!R36</f>
        <v>5616.8415288831839</v>
      </c>
      <c r="S7" s="28">
        <f>'EU Sun Complex'!S36+'Ukraine Sun Complex'!S36+'Russia Sun Complex'!S36</f>
        <v>5512.1921932773112</v>
      </c>
      <c r="T7" s="28">
        <f>'EU Sun Complex'!T36+'Ukraine Sun Complex'!T36+'Russia Sun Complex'!T36</f>
        <v>5393.7298253778235</v>
      </c>
      <c r="U7" s="28">
        <f>'EU Sun Complex'!U36+'Ukraine Sun Complex'!U36+'Russia Sun Complex'!U36</f>
        <v>5654.7160000000003</v>
      </c>
      <c r="V7" s="28">
        <f>'EU Sun Complex'!V36+'Ukraine Sun Complex'!V36+'Russia Sun Complex'!V36</f>
        <v>5486.712786516855</v>
      </c>
      <c r="W7" s="28">
        <f>'EU Sun Complex'!W36+'Ukraine Sun Complex'!W36+'Russia Sun Complex'!W36</f>
        <v>5510.4</v>
      </c>
      <c r="X7" s="54">
        <f>'EU Sun Complex'!X36+'Ukraine Sun Complex'!X36+'Russia Sun Complex'!X36</f>
        <v>5115.4299999999985</v>
      </c>
      <c r="Y7" s="54">
        <f>'EU Sun Complex'!Y36+'Ukraine Sun Complex'!Y36+'Russia Sun Complex'!Y36</f>
        <v>7130.334875932911</v>
      </c>
      <c r="Z7" s="54">
        <f>'EU Sun Complex'!Z36+'Ukraine Sun Complex'!Z36+'Russia Sun Complex'!Z36</f>
        <v>7663.2666148398239</v>
      </c>
      <c r="AA7" s="54">
        <f>'EU Sun Complex'!AA36+'Ukraine Sun Complex'!AA36+'Russia Sun Complex'!AA36</f>
        <v>7617.9717850000015</v>
      </c>
      <c r="AB7" s="54">
        <f>'EU Sun Complex'!AB36+'Ukraine Sun Complex'!AB36+'Russia Sun Complex'!AB36</f>
        <v>7410.6277549999995</v>
      </c>
      <c r="AC7" s="55">
        <f>'EU Sun Complex'!AC36+'Ukraine Sun Complex'!AC36+'Russia Sun Complex'!AC36</f>
        <v>7510.5507369999996</v>
      </c>
      <c r="AD7" s="55">
        <f>'EU Sun Complex'!AD36+'Ukraine Sun Complex'!AD36+'Russia Sun Complex'!AD36</f>
        <v>7100.9862590000002</v>
      </c>
    </row>
    <row r="8" spans="1:30" ht="15.75">
      <c r="A8" s="5" t="s">
        <v>30</v>
      </c>
      <c r="B8" s="28">
        <f>'EU Sun Complex'!B37+'Ukraine Sun Complex'!B37+'Russia Sun Complex'!B37</f>
        <v>133</v>
      </c>
      <c r="C8" s="28">
        <f>'EU Sun Complex'!C37+'Ukraine Sun Complex'!C37+'Russia Sun Complex'!C37</f>
        <v>207</v>
      </c>
      <c r="D8" s="28">
        <f>'EU Sun Complex'!D37+'Ukraine Sun Complex'!D37+'Russia Sun Complex'!D37</f>
        <v>202</v>
      </c>
      <c r="E8" s="28">
        <f>'EU Sun Complex'!E37+'Ukraine Sun Complex'!E37+'Russia Sun Complex'!E37</f>
        <v>265</v>
      </c>
      <c r="F8" s="28">
        <f>'EU Sun Complex'!F37+'Ukraine Sun Complex'!F37+'Russia Sun Complex'!F37</f>
        <v>217</v>
      </c>
      <c r="G8" s="28">
        <f>'EU Sun Complex'!G37+'Ukraine Sun Complex'!G37+'Russia Sun Complex'!G37</f>
        <v>224</v>
      </c>
      <c r="H8" s="28">
        <f>'EU Sun Complex'!H37+'Ukraine Sun Complex'!H37+'Russia Sun Complex'!H37</f>
        <v>354</v>
      </c>
      <c r="I8" s="28">
        <f>'EU Sun Complex'!I37+'Ukraine Sun Complex'!I37+'Russia Sun Complex'!I37</f>
        <v>410</v>
      </c>
      <c r="J8" s="28">
        <f>'EU Sun Complex'!J37+'Ukraine Sun Complex'!J37+'Russia Sun Complex'!J37</f>
        <v>323</v>
      </c>
      <c r="K8" s="28">
        <f>'EU Sun Complex'!K37+'Ukraine Sun Complex'!K37+'Russia Sun Complex'!K37</f>
        <v>362</v>
      </c>
      <c r="L8" s="28">
        <f>'EU Sun Complex'!L37+'Ukraine Sun Complex'!L37+'Russia Sun Complex'!L37</f>
        <v>427</v>
      </c>
      <c r="M8" s="28">
        <f>'EU Sun Complex'!M37+'Ukraine Sun Complex'!M37+'Russia Sun Complex'!M37</f>
        <v>484</v>
      </c>
      <c r="N8" s="28">
        <f>'EU Sun Complex'!N37+'Ukraine Sun Complex'!N37+'Russia Sun Complex'!N37</f>
        <v>473</v>
      </c>
      <c r="O8" s="28">
        <f>'EU Sun Complex'!O37+'Ukraine Sun Complex'!O37+'Russia Sun Complex'!O37</f>
        <v>533</v>
      </c>
      <c r="P8" s="28">
        <f>'EU Sun Complex'!P37+'Ukraine Sun Complex'!P37+'Russia Sun Complex'!P37</f>
        <v>636</v>
      </c>
      <c r="Q8" s="28">
        <f>'EU Sun Complex'!Q37+'Ukraine Sun Complex'!Q37+'Russia Sun Complex'!Q37</f>
        <v>565</v>
      </c>
      <c r="R8" s="28">
        <f>'EU Sun Complex'!R37+'Ukraine Sun Complex'!R37+'Russia Sun Complex'!R37</f>
        <v>550</v>
      </c>
      <c r="S8" s="28">
        <f>'EU Sun Complex'!S37+'Ukraine Sun Complex'!S37+'Russia Sun Complex'!S37</f>
        <v>580</v>
      </c>
      <c r="T8" s="28">
        <f>'EU Sun Complex'!T37+'Ukraine Sun Complex'!T37+'Russia Sun Complex'!T37</f>
        <v>610</v>
      </c>
      <c r="U8" s="28">
        <f>'EU Sun Complex'!U37+'Ukraine Sun Complex'!U37+'Russia Sun Complex'!U37</f>
        <v>670</v>
      </c>
      <c r="V8" s="28">
        <f>'EU Sun Complex'!V37+'Ukraine Sun Complex'!V37+'Russia Sun Complex'!V37</f>
        <v>700</v>
      </c>
      <c r="W8" s="28">
        <f>'EU Sun Complex'!W37+'Ukraine Sun Complex'!W37+'Russia Sun Complex'!W37</f>
        <v>710</v>
      </c>
      <c r="X8" s="54">
        <f>'EU Sun Complex'!X37+'Ukraine Sun Complex'!X37+'Russia Sun Complex'!X37</f>
        <v>820</v>
      </c>
      <c r="Y8" s="54">
        <f>'EU Sun Complex'!Y37+'Ukraine Sun Complex'!Y37+'Russia Sun Complex'!Y37</f>
        <v>858</v>
      </c>
      <c r="Z8" s="54">
        <f>'EU Sun Complex'!Z37+'Ukraine Sun Complex'!Z37+'Russia Sun Complex'!Z37</f>
        <v>883</v>
      </c>
      <c r="AA8" s="54">
        <f>'EU Sun Complex'!AA37+'Ukraine Sun Complex'!AA37+'Russia Sun Complex'!AA37</f>
        <v>915</v>
      </c>
      <c r="AB8" s="54">
        <f>'EU Sun Complex'!AB37+'Ukraine Sun Complex'!AB37+'Russia Sun Complex'!AB37</f>
        <v>915</v>
      </c>
      <c r="AC8" s="55">
        <f>'EU Sun Complex'!AC37+'Ukraine Sun Complex'!AC37+'Russia Sun Complex'!AC37</f>
        <v>900</v>
      </c>
      <c r="AD8" s="55">
        <f>'EU Sun Complex'!AD37+'Ukraine Sun Complex'!AD37+'Russia Sun Complex'!AD37</f>
        <v>995</v>
      </c>
    </row>
    <row r="9" spans="1:30" ht="15.75">
      <c r="A9" s="5" t="s">
        <v>31</v>
      </c>
      <c r="B9" s="28">
        <f>'EU Sun Complex'!B38+'Ukraine Sun Complex'!B38+'Russia Sun Complex'!B38</f>
        <v>0</v>
      </c>
      <c r="C9" s="28">
        <f>'EU Sun Complex'!C38+'Ukraine Sun Complex'!C38+'Russia Sun Complex'!C38</f>
        <v>0</v>
      </c>
      <c r="D9" s="28">
        <f>'EU Sun Complex'!D38+'Ukraine Sun Complex'!D38+'Russia Sun Complex'!D38</f>
        <v>9</v>
      </c>
      <c r="E9" s="28">
        <f>'EU Sun Complex'!E38+'Ukraine Sun Complex'!E38+'Russia Sun Complex'!E38</f>
        <v>10</v>
      </c>
      <c r="F9" s="28">
        <f>'EU Sun Complex'!F38+'Ukraine Sun Complex'!F38+'Russia Sun Complex'!F38</f>
        <v>10</v>
      </c>
      <c r="G9" s="28">
        <f>'EU Sun Complex'!G38+'Ukraine Sun Complex'!G38+'Russia Sun Complex'!G38</f>
        <v>12</v>
      </c>
      <c r="H9" s="28">
        <f>'EU Sun Complex'!H38+'Ukraine Sun Complex'!H38+'Russia Sun Complex'!H38</f>
        <v>32</v>
      </c>
      <c r="I9" s="28">
        <f>'EU Sun Complex'!I38+'Ukraine Sun Complex'!I38+'Russia Sun Complex'!I38</f>
        <v>46</v>
      </c>
      <c r="J9" s="28">
        <f>'EU Sun Complex'!J38+'Ukraine Sun Complex'!J38+'Russia Sun Complex'!J38</f>
        <v>12</v>
      </c>
      <c r="K9" s="28">
        <f>'EU Sun Complex'!K38+'Ukraine Sun Complex'!K38+'Russia Sun Complex'!K38</f>
        <v>23</v>
      </c>
      <c r="L9" s="28">
        <f>'EU Sun Complex'!L38+'Ukraine Sun Complex'!L38+'Russia Sun Complex'!L38</f>
        <v>27</v>
      </c>
      <c r="M9" s="28">
        <f>'EU Sun Complex'!M38+'Ukraine Sun Complex'!M38+'Russia Sun Complex'!M38</f>
        <v>38</v>
      </c>
      <c r="N9" s="28">
        <f>'EU Sun Complex'!N38+'Ukraine Sun Complex'!N38+'Russia Sun Complex'!N38</f>
        <v>22</v>
      </c>
      <c r="O9" s="28">
        <f>'EU Sun Complex'!O38+'Ukraine Sun Complex'!O38+'Russia Sun Complex'!O38</f>
        <v>38</v>
      </c>
      <c r="P9" s="28">
        <f>'EU Sun Complex'!P38+'Ukraine Sun Complex'!P38+'Russia Sun Complex'!P38</f>
        <v>37</v>
      </c>
      <c r="Q9" s="28">
        <f>'EU Sun Complex'!Q38+'Ukraine Sun Complex'!Q38+'Russia Sun Complex'!Q38</f>
        <v>38</v>
      </c>
      <c r="R9" s="28">
        <f>'EU Sun Complex'!R38+'Ukraine Sun Complex'!R38+'Russia Sun Complex'!R38</f>
        <v>33</v>
      </c>
      <c r="S9" s="28">
        <f>'EU Sun Complex'!S38+'Ukraine Sun Complex'!S38+'Russia Sun Complex'!S38</f>
        <v>33</v>
      </c>
      <c r="T9" s="28">
        <f>'EU Sun Complex'!T38+'Ukraine Sun Complex'!T38+'Russia Sun Complex'!T38</f>
        <v>35</v>
      </c>
      <c r="U9" s="28">
        <f>'EU Sun Complex'!U38+'Ukraine Sun Complex'!U38+'Russia Sun Complex'!U38</f>
        <v>35</v>
      </c>
      <c r="V9" s="28">
        <f>'EU Sun Complex'!V38+'Ukraine Sun Complex'!V38+'Russia Sun Complex'!V38</f>
        <v>40</v>
      </c>
      <c r="W9" s="28">
        <f>'EU Sun Complex'!W38+'Ukraine Sun Complex'!W38+'Russia Sun Complex'!W38</f>
        <v>40</v>
      </c>
      <c r="X9" s="54">
        <f>'EU Sun Complex'!X38+'Ukraine Sun Complex'!X38+'Russia Sun Complex'!X38</f>
        <v>40</v>
      </c>
      <c r="Y9" s="54">
        <f>'EU Sun Complex'!Y38+'Ukraine Sun Complex'!Y38+'Russia Sun Complex'!Y38</f>
        <v>45</v>
      </c>
      <c r="Z9" s="54">
        <f>'EU Sun Complex'!Z38+'Ukraine Sun Complex'!Z38+'Russia Sun Complex'!Z38</f>
        <v>53</v>
      </c>
      <c r="AA9" s="54">
        <f>'EU Sun Complex'!AA38+'Ukraine Sun Complex'!AA38+'Russia Sun Complex'!AA38</f>
        <v>53</v>
      </c>
      <c r="AB9" s="54">
        <f>'EU Sun Complex'!AB38+'Ukraine Sun Complex'!AB38+'Russia Sun Complex'!AB38</f>
        <v>63</v>
      </c>
      <c r="AC9" s="55">
        <f>'EU Sun Complex'!AC38+'Ukraine Sun Complex'!AC38+'Russia Sun Complex'!AC38</f>
        <v>58</v>
      </c>
      <c r="AD9" s="55">
        <f>'EU Sun Complex'!AD38+'Ukraine Sun Complex'!AD38+'Russia Sun Complex'!AD38</f>
        <v>63</v>
      </c>
    </row>
    <row r="10" spans="1:30" ht="15.75">
      <c r="A10" s="5" t="s">
        <v>32</v>
      </c>
      <c r="B10" s="28">
        <f>'EU Sun Complex'!B39+'Ukraine Sun Complex'!B39+'Russia Sun Complex'!B39</f>
        <v>3568.0116575615757</v>
      </c>
      <c r="C10" s="28">
        <f>'EU Sun Complex'!C39+'Ukraine Sun Complex'!C39+'Russia Sun Complex'!C39</f>
        <v>3790.6619361477751</v>
      </c>
      <c r="D10" s="28">
        <f>'EU Sun Complex'!D39+'Ukraine Sun Complex'!D39+'Russia Sun Complex'!D39</f>
        <v>4155.4713821068217</v>
      </c>
      <c r="E10" s="28">
        <f>'EU Sun Complex'!E39+'Ukraine Sun Complex'!E39+'Russia Sun Complex'!E39</f>
        <v>4057.0259161930348</v>
      </c>
      <c r="F10" s="28">
        <f>'EU Sun Complex'!F39+'Ukraine Sun Complex'!F39+'Russia Sun Complex'!F39</f>
        <v>4039.0078473222748</v>
      </c>
      <c r="G10" s="28">
        <f>'EU Sun Complex'!G39+'Ukraine Sun Complex'!G39+'Russia Sun Complex'!G39</f>
        <v>4066.7562554620426</v>
      </c>
      <c r="H10" s="28">
        <f>'EU Sun Complex'!H39+'Ukraine Sun Complex'!H39+'Russia Sun Complex'!H39</f>
        <v>3889.6398049903391</v>
      </c>
      <c r="I10" s="28">
        <f>'EU Sun Complex'!I39+'Ukraine Sun Complex'!I39+'Russia Sun Complex'!I39</f>
        <v>3764.9575819297052</v>
      </c>
      <c r="J10" s="28">
        <f>'EU Sun Complex'!J39+'Ukraine Sun Complex'!J39+'Russia Sun Complex'!J39</f>
        <v>3721.7616664050465</v>
      </c>
      <c r="K10" s="28">
        <f>'EU Sun Complex'!K39+'Ukraine Sun Complex'!K39+'Russia Sun Complex'!K39</f>
        <v>3984.8245042785179</v>
      </c>
      <c r="L10" s="28">
        <f>'EU Sun Complex'!L39+'Ukraine Sun Complex'!L39+'Russia Sun Complex'!L39</f>
        <v>4097.5817071060083</v>
      </c>
      <c r="M10" s="28">
        <f>'EU Sun Complex'!M39+'Ukraine Sun Complex'!M39+'Russia Sun Complex'!M39</f>
        <v>4241.8552514937537</v>
      </c>
      <c r="N10" s="28">
        <f>'EU Sun Complex'!N39+'Ukraine Sun Complex'!N39+'Russia Sun Complex'!N39</f>
        <v>4664.1294313652452</v>
      </c>
      <c r="O10" s="28">
        <f>'EU Sun Complex'!O39+'Ukraine Sun Complex'!O39+'Russia Sun Complex'!O39</f>
        <v>4896.7107602801225</v>
      </c>
      <c r="P10" s="28">
        <f>'EU Sun Complex'!P39+'Ukraine Sun Complex'!P39+'Russia Sun Complex'!P39</f>
        <v>4300.6319095521731</v>
      </c>
      <c r="Q10" s="28">
        <f>'EU Sun Complex'!Q39+'Ukraine Sun Complex'!Q39+'Russia Sun Complex'!Q39</f>
        <v>4629.1285592935237</v>
      </c>
      <c r="R10" s="28">
        <f>'EU Sun Complex'!R39+'Ukraine Sun Complex'!R39+'Russia Sun Complex'!R39</f>
        <v>5036.8415288831839</v>
      </c>
      <c r="S10" s="28">
        <f>'EU Sun Complex'!S39+'Ukraine Sun Complex'!S39+'Russia Sun Complex'!S39</f>
        <v>4902.1921932773112</v>
      </c>
      <c r="T10" s="28">
        <f>'EU Sun Complex'!T39+'Ukraine Sun Complex'!T39+'Russia Sun Complex'!T39</f>
        <v>4753.7298253778235</v>
      </c>
      <c r="U10" s="28">
        <f>'EU Sun Complex'!U39+'Ukraine Sun Complex'!U39+'Russia Sun Complex'!U39</f>
        <v>4954.7160000000003</v>
      </c>
      <c r="V10" s="28">
        <f>'EU Sun Complex'!V39+'Ukraine Sun Complex'!V39+'Russia Sun Complex'!V39</f>
        <v>4756.712786516855</v>
      </c>
      <c r="W10" s="28">
        <f>'EU Sun Complex'!W39+'Ukraine Sun Complex'!W39+'Russia Sun Complex'!W39</f>
        <v>4770.3999999999996</v>
      </c>
      <c r="X10" s="54">
        <f>'EU Sun Complex'!X39+'Ukraine Sun Complex'!X39+'Russia Sun Complex'!X39</f>
        <v>4265.4299999999985</v>
      </c>
      <c r="Y10" s="54">
        <f>'EU Sun Complex'!Y39+'Ukraine Sun Complex'!Y39+'Russia Sun Complex'!Y39</f>
        <v>6237.334875932911</v>
      </c>
      <c r="Z10" s="54">
        <f>'EU Sun Complex'!Z39+'Ukraine Sun Complex'!Z39+'Russia Sun Complex'!Z39</f>
        <v>6740.2666148398239</v>
      </c>
      <c r="AA10" s="54">
        <f>'EU Sun Complex'!AA39+'Ukraine Sun Complex'!AA39+'Russia Sun Complex'!AA39</f>
        <v>6662.9717850000015</v>
      </c>
      <c r="AB10" s="54">
        <f>'EU Sun Complex'!AB39+'Ukraine Sun Complex'!AB39+'Russia Sun Complex'!AB39</f>
        <v>6445.6277549999995</v>
      </c>
      <c r="AC10" s="55">
        <f>'EU Sun Complex'!AC39+'Ukraine Sun Complex'!AC39+'Russia Sun Complex'!AC39</f>
        <v>6552.5507369999996</v>
      </c>
      <c r="AD10" s="55">
        <f>'EU Sun Complex'!AD39+'Ukraine Sun Complex'!AD39+'Russia Sun Complex'!AD39</f>
        <v>6042.9862590000002</v>
      </c>
    </row>
    <row r="11" spans="1:30" ht="15.75">
      <c r="A11" s="34" t="s">
        <v>9</v>
      </c>
      <c r="B11" s="58">
        <f>'EU Sun Complex'!B40+'Ukraine Sun Complex'!B40+'Russia Sun Complex'!B40</f>
        <v>547</v>
      </c>
      <c r="C11" s="58">
        <f>'EU Sun Complex'!C40+'Ukraine Sun Complex'!C40+'Russia Sun Complex'!C40</f>
        <v>402</v>
      </c>
      <c r="D11" s="58">
        <f>'EU Sun Complex'!D40+'Ukraine Sun Complex'!D40+'Russia Sun Complex'!D40</f>
        <v>526</v>
      </c>
      <c r="E11" s="58">
        <f>'EU Sun Complex'!E40+'Ukraine Sun Complex'!E40+'Russia Sun Complex'!E40</f>
        <v>657.1</v>
      </c>
      <c r="F11" s="58">
        <f>'EU Sun Complex'!F40+'Ukraine Sun Complex'!F40+'Russia Sun Complex'!F40</f>
        <v>453.62113199999999</v>
      </c>
      <c r="G11" s="58">
        <f>'EU Sun Complex'!G40+'Ukraine Sun Complex'!G40+'Russia Sun Complex'!G40</f>
        <v>526.52101500000003</v>
      </c>
      <c r="H11" s="58">
        <f>'EU Sun Complex'!H40+'Ukraine Sun Complex'!H40+'Russia Sun Complex'!H40</f>
        <v>889.14160900999991</v>
      </c>
      <c r="I11" s="58">
        <f>'EU Sun Complex'!I40+'Ukraine Sun Complex'!I40+'Russia Sun Complex'!I40</f>
        <v>871.63185800000008</v>
      </c>
      <c r="J11" s="58">
        <f>'EU Sun Complex'!J40+'Ukraine Sun Complex'!J40+'Russia Sun Complex'!J40</f>
        <v>589.91365085000007</v>
      </c>
      <c r="K11" s="58">
        <f>'EU Sun Complex'!K40+'Ukraine Sun Complex'!K40+'Russia Sun Complex'!K40</f>
        <v>1159.3033699999999</v>
      </c>
      <c r="L11" s="58">
        <f>'EU Sun Complex'!L40+'Ukraine Sun Complex'!L40+'Russia Sun Complex'!L40</f>
        <v>1326.2800809999999</v>
      </c>
      <c r="M11" s="58">
        <f>'EU Sun Complex'!M40+'Ukraine Sun Complex'!M40+'Russia Sun Complex'!M40</f>
        <v>1071.9065149999997</v>
      </c>
      <c r="N11" s="58">
        <f>'EU Sun Complex'!N40+'Ukraine Sun Complex'!N40+'Russia Sun Complex'!N40</f>
        <v>2347.489</v>
      </c>
      <c r="O11" s="58">
        <f>'EU Sun Complex'!O40+'Ukraine Sun Complex'!O40+'Russia Sun Complex'!O40</f>
        <v>2674.9390000000003</v>
      </c>
      <c r="P11" s="58">
        <f>'EU Sun Complex'!P40+'Ukraine Sun Complex'!P40+'Russia Sun Complex'!P40</f>
        <v>1777.0500000000002</v>
      </c>
      <c r="Q11" s="58">
        <f>'EU Sun Complex'!Q40+'Ukraine Sun Complex'!Q40+'Russia Sun Complex'!Q40</f>
        <v>3122.3320000000003</v>
      </c>
      <c r="R11" s="58">
        <f>'EU Sun Complex'!R40+'Ukraine Sun Complex'!R40+'Russia Sun Complex'!R40</f>
        <v>3204.4949999999999</v>
      </c>
      <c r="S11" s="58">
        <f>'EU Sun Complex'!S40+'Ukraine Sun Complex'!S40+'Russia Sun Complex'!S40</f>
        <v>3009.558</v>
      </c>
      <c r="T11" s="58">
        <f>'EU Sun Complex'!T40+'Ukraine Sun Complex'!T40+'Russia Sun Complex'!T40</f>
        <v>5091.7060000000001</v>
      </c>
      <c r="U11" s="58">
        <f>'EU Sun Complex'!U40+'Ukraine Sun Complex'!U40+'Russia Sun Complex'!U40</f>
        <v>4408.1390000000001</v>
      </c>
      <c r="V11" s="58">
        <f>'EU Sun Complex'!V40+'Ukraine Sun Complex'!V40+'Russia Sun Complex'!V40</f>
        <v>6501.3559999999998</v>
      </c>
      <c r="W11" s="58">
        <f>'EU Sun Complex'!W40+'Ukraine Sun Complex'!W40+'Russia Sun Complex'!W40</f>
        <v>5565.4629999999997</v>
      </c>
      <c r="X11" s="59">
        <f>'EU Sun Complex'!X40+'Ukraine Sun Complex'!X40+'Russia Sun Complex'!X40</f>
        <v>6587.4189999999999</v>
      </c>
      <c r="Y11" s="59">
        <f>'EU Sun Complex'!Y40+'Ukraine Sun Complex'!Y40+'Russia Sun Complex'!Y40</f>
        <v>8575.6617110000007</v>
      </c>
      <c r="Z11" s="59">
        <f>'EU Sun Complex'!Z40+'Ukraine Sun Complex'!Z40+'Russia Sun Complex'!Z40</f>
        <v>8073.7262050000008</v>
      </c>
      <c r="AA11" s="59">
        <f>'EU Sun Complex'!AA40+'Ukraine Sun Complex'!AA40+'Russia Sun Complex'!AA40</f>
        <v>9334.9737689999984</v>
      </c>
      <c r="AB11" s="59">
        <f>'EU Sun Complex'!AB40+'Ukraine Sun Complex'!AB40+'Russia Sun Complex'!AB40</f>
        <v>10972.740240000001</v>
      </c>
      <c r="AC11" s="60">
        <f>'EU Sun Complex'!AC40+'Ukraine Sun Complex'!AC40+'Russia Sun Complex'!AC40</f>
        <v>9052.791819</v>
      </c>
      <c r="AD11" s="60">
        <f>'EU Sun Complex'!AD40+'Ukraine Sun Complex'!AD40+'Russia Sun Complex'!AD40</f>
        <v>8768.6167019999993</v>
      </c>
    </row>
    <row r="12" spans="1:30" ht="15.75">
      <c r="A12" s="5" t="s">
        <v>12</v>
      </c>
      <c r="B12" s="61">
        <f>B6-B13</f>
        <v>4248.0116575615757</v>
      </c>
      <c r="C12" s="61">
        <f t="shared" ref="C12:AD12" si="1">C6-C13</f>
        <v>4399.6619361477751</v>
      </c>
      <c r="D12" s="61">
        <f t="shared" si="1"/>
        <v>4892.4713821068217</v>
      </c>
      <c r="E12" s="61">
        <f t="shared" si="1"/>
        <v>4989.1259161930348</v>
      </c>
      <c r="F12" s="61">
        <f t="shared" si="1"/>
        <v>4719.628979322275</v>
      </c>
      <c r="G12" s="61">
        <f t="shared" si="1"/>
        <v>4827.277270462042</v>
      </c>
      <c r="H12" s="61">
        <f t="shared" si="1"/>
        <v>5142.7814140003393</v>
      </c>
      <c r="I12" s="61">
        <f t="shared" si="1"/>
        <v>5076.5894399297058</v>
      </c>
      <c r="J12" s="61">
        <f t="shared" si="1"/>
        <v>4644.675317255047</v>
      </c>
      <c r="K12" s="61">
        <f t="shared" si="1"/>
        <v>5526.1278742785171</v>
      </c>
      <c r="L12" s="61">
        <f t="shared" si="1"/>
        <v>5874.8617881060081</v>
      </c>
      <c r="M12" s="61">
        <f t="shared" si="1"/>
        <v>5832.7617664937534</v>
      </c>
      <c r="N12" s="61">
        <f t="shared" si="1"/>
        <v>7504.6184313652448</v>
      </c>
      <c r="O12" s="61">
        <f t="shared" si="1"/>
        <v>8139.6497602801228</v>
      </c>
      <c r="P12" s="61">
        <f t="shared" si="1"/>
        <v>6748.6819095521732</v>
      </c>
      <c r="Q12" s="61">
        <f t="shared" si="1"/>
        <v>8351.4605592935222</v>
      </c>
      <c r="R12" s="61">
        <f t="shared" si="1"/>
        <v>8821.3365288831828</v>
      </c>
      <c r="S12" s="61">
        <f t="shared" si="1"/>
        <v>8521.7501932773121</v>
      </c>
      <c r="T12" s="61">
        <f t="shared" si="1"/>
        <v>10485.435825377823</v>
      </c>
      <c r="U12" s="61">
        <f t="shared" si="1"/>
        <v>10062.855000000001</v>
      </c>
      <c r="V12" s="61">
        <f t="shared" si="1"/>
        <v>11988.068786516855</v>
      </c>
      <c r="W12" s="61">
        <f t="shared" si="1"/>
        <v>11075.863000000001</v>
      </c>
      <c r="X12" s="62">
        <f t="shared" si="1"/>
        <v>11702.849</v>
      </c>
      <c r="Y12" s="62">
        <f t="shared" si="1"/>
        <v>15705.996586932913</v>
      </c>
      <c r="Z12" s="62">
        <f t="shared" si="1"/>
        <v>15753.560116909575</v>
      </c>
      <c r="AA12" s="62">
        <f t="shared" si="1"/>
        <v>16905.438692655509</v>
      </c>
      <c r="AB12" s="62">
        <f t="shared" si="1"/>
        <v>18519.169084848923</v>
      </c>
      <c r="AC12" s="63">
        <f t="shared" si="1"/>
        <v>16233.081386000002</v>
      </c>
      <c r="AD12" s="63">
        <f t="shared" si="1"/>
        <v>15869.602961000001</v>
      </c>
    </row>
    <row r="13" spans="1:30" ht="16.5" thickBot="1">
      <c r="A13" s="41" t="s">
        <v>25</v>
      </c>
      <c r="B13" s="6">
        <f>'EU Sun Complex'!B42+'Ukraine Sun Complex'!B42+'Russia Sun Complex'!B42</f>
        <v>421</v>
      </c>
      <c r="C13" s="6">
        <f>'EU Sun Complex'!C42+'Ukraine Sun Complex'!C42+'Russia Sun Complex'!C42</f>
        <v>411</v>
      </c>
      <c r="D13" s="6">
        <f>'EU Sun Complex'!D42+'Ukraine Sun Complex'!D42+'Russia Sun Complex'!D42</f>
        <v>760</v>
      </c>
      <c r="E13" s="6">
        <f>'EU Sun Complex'!E42+'Ukraine Sun Complex'!E42+'Russia Sun Complex'!E42</f>
        <v>457</v>
      </c>
      <c r="F13" s="6">
        <f>'EU Sun Complex'!F42+'Ukraine Sun Complex'!F42+'Russia Sun Complex'!F42</f>
        <v>327</v>
      </c>
      <c r="G13" s="6">
        <f>'EU Sun Complex'!G42+'Ukraine Sun Complex'!G42+'Russia Sun Complex'!G42</f>
        <v>336</v>
      </c>
      <c r="H13" s="6">
        <f>'EU Sun Complex'!H42+'Ukraine Sun Complex'!H42+'Russia Sun Complex'!H42</f>
        <v>412</v>
      </c>
      <c r="I13" s="6">
        <f>'EU Sun Complex'!I42+'Ukraine Sun Complex'!I42+'Russia Sun Complex'!I42</f>
        <v>372</v>
      </c>
      <c r="J13" s="6">
        <f>'EU Sun Complex'!J42+'Ukraine Sun Complex'!J42+'Russia Sun Complex'!J42</f>
        <v>342</v>
      </c>
      <c r="K13" s="6">
        <f>'EU Sun Complex'!K42+'Ukraine Sun Complex'!K42+'Russia Sun Complex'!K42</f>
        <v>332</v>
      </c>
      <c r="L13" s="6">
        <f>'EU Sun Complex'!L42+'Ukraine Sun Complex'!L42+'Russia Sun Complex'!L42</f>
        <v>396</v>
      </c>
      <c r="M13" s="6">
        <f>'EU Sun Complex'!M42+'Ukraine Sun Complex'!M42+'Russia Sun Complex'!M42</f>
        <v>611</v>
      </c>
      <c r="N13" s="6">
        <f>'EU Sun Complex'!N42+'Ukraine Sun Complex'!N42+'Russia Sun Complex'!N42</f>
        <v>679</v>
      </c>
      <c r="O13" s="6">
        <f>'EU Sun Complex'!O42+'Ukraine Sun Complex'!O42+'Russia Sun Complex'!O42</f>
        <v>549</v>
      </c>
      <c r="P13" s="6">
        <f>'EU Sun Complex'!P42+'Ukraine Sun Complex'!P42+'Russia Sun Complex'!P42</f>
        <v>703</v>
      </c>
      <c r="Q13" s="6">
        <f>'EU Sun Complex'!Q42+'Ukraine Sun Complex'!Q42+'Russia Sun Complex'!Q42</f>
        <v>946</v>
      </c>
      <c r="R13" s="6">
        <f>'EU Sun Complex'!R42+'Ukraine Sun Complex'!R42+'Russia Sun Complex'!R42</f>
        <v>806</v>
      </c>
      <c r="S13" s="6">
        <f>'EU Sun Complex'!S42+'Ukraine Sun Complex'!S42+'Russia Sun Complex'!S42</f>
        <v>762</v>
      </c>
      <c r="T13" s="6">
        <f>'EU Sun Complex'!T42+'Ukraine Sun Complex'!T42+'Russia Sun Complex'!T42</f>
        <v>1111</v>
      </c>
      <c r="U13" s="6">
        <f>'EU Sun Complex'!U42+'Ukraine Sun Complex'!U42+'Russia Sun Complex'!U42</f>
        <v>663</v>
      </c>
      <c r="V13" s="6">
        <f>'EU Sun Complex'!V42+'Ukraine Sun Complex'!V42+'Russia Sun Complex'!V42</f>
        <v>750</v>
      </c>
      <c r="W13" s="6">
        <f>'EU Sun Complex'!W42+'Ukraine Sun Complex'!W42+'Russia Sun Complex'!W42</f>
        <v>595</v>
      </c>
      <c r="X13" s="7">
        <f>'EU Sun Complex'!X42+'Ukraine Sun Complex'!X42+'Russia Sun Complex'!X42</f>
        <v>575</v>
      </c>
      <c r="Y13" s="7">
        <f>'EU Sun Complex'!Y42+'Ukraine Sun Complex'!Y42+'Russia Sun Complex'!Y42</f>
        <v>829</v>
      </c>
      <c r="Z13" s="7">
        <f>'EU Sun Complex'!Z42+'Ukraine Sun Complex'!Z42+'Russia Sun Complex'!Z42</f>
        <v>646</v>
      </c>
      <c r="AA13" s="7">
        <f>'EU Sun Complex'!AA42+'Ukraine Sun Complex'!AA42+'Russia Sun Complex'!AA42</f>
        <v>660</v>
      </c>
      <c r="AB13" s="7">
        <f>'EU Sun Complex'!AB42+'Ukraine Sun Complex'!AB42+'Russia Sun Complex'!AB42</f>
        <v>1219</v>
      </c>
      <c r="AC13" s="8">
        <f>'EU Sun Complex'!AC42+'Ukraine Sun Complex'!AC42+'Russia Sun Complex'!AC42</f>
        <v>1040</v>
      </c>
      <c r="AD13" s="8">
        <f>'EU Sun Complex'!AD42+'Ukraine Sun Complex'!AD42+'Russia Sun Complex'!AD42</f>
        <v>1533.3000000000002</v>
      </c>
    </row>
    <row r="14" spans="1:30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>
      <c r="A15" s="1" t="s">
        <v>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>
      <c r="A16" s="3" t="s">
        <v>34</v>
      </c>
      <c r="B16" s="4" t="str">
        <f>B2</f>
        <v xml:space="preserve">93/94 </v>
      </c>
      <c r="C16" s="4" t="str">
        <f t="shared" ref="C16:AD16" si="2">C2</f>
        <v xml:space="preserve">94/95 </v>
      </c>
      <c r="D16" s="4" t="str">
        <f t="shared" si="2"/>
        <v xml:space="preserve">95/96 </v>
      </c>
      <c r="E16" s="4" t="str">
        <f t="shared" si="2"/>
        <v xml:space="preserve">96/97 </v>
      </c>
      <c r="F16" s="4" t="str">
        <f t="shared" si="2"/>
        <v xml:space="preserve">97/98 </v>
      </c>
      <c r="G16" s="4" t="str">
        <f t="shared" si="2"/>
        <v xml:space="preserve">98/99 </v>
      </c>
      <c r="H16" s="4" t="str">
        <f t="shared" si="2"/>
        <v xml:space="preserve">99/00 </v>
      </c>
      <c r="I16" s="4" t="str">
        <f t="shared" si="2"/>
        <v xml:space="preserve">00/01 </v>
      </c>
      <c r="J16" s="4" t="str">
        <f t="shared" si="2"/>
        <v xml:space="preserve">01/02 </v>
      </c>
      <c r="K16" s="4" t="str">
        <f t="shared" si="2"/>
        <v xml:space="preserve">02/03 </v>
      </c>
      <c r="L16" s="4" t="str">
        <f t="shared" si="2"/>
        <v xml:space="preserve">03/04 </v>
      </c>
      <c r="M16" s="4" t="str">
        <f t="shared" si="2"/>
        <v xml:space="preserve">04/05 </v>
      </c>
      <c r="N16" s="4" t="str">
        <f t="shared" si="2"/>
        <v xml:space="preserve">05/06 </v>
      </c>
      <c r="O16" s="4" t="str">
        <f t="shared" si="2"/>
        <v xml:space="preserve">06/07 </v>
      </c>
      <c r="P16" s="4" t="str">
        <f t="shared" si="2"/>
        <v xml:space="preserve">07/08 </v>
      </c>
      <c r="Q16" s="4" t="str">
        <f t="shared" si="2"/>
        <v xml:space="preserve">08/09 </v>
      </c>
      <c r="R16" s="4" t="str">
        <f t="shared" si="2"/>
        <v xml:space="preserve">09/10 </v>
      </c>
      <c r="S16" s="4" t="str">
        <f t="shared" si="2"/>
        <v xml:space="preserve">10/11 </v>
      </c>
      <c r="T16" s="4" t="str">
        <f t="shared" si="2"/>
        <v xml:space="preserve">11/12 </v>
      </c>
      <c r="U16" s="4" t="str">
        <f t="shared" si="2"/>
        <v xml:space="preserve">12/13 </v>
      </c>
      <c r="V16" s="4" t="str">
        <f t="shared" si="2"/>
        <v xml:space="preserve">13/14 </v>
      </c>
      <c r="W16" s="4" t="str">
        <f t="shared" si="2"/>
        <v xml:space="preserve">14/15 </v>
      </c>
      <c r="X16" s="4" t="str">
        <f t="shared" si="2"/>
        <v xml:space="preserve">15/16 </v>
      </c>
      <c r="Y16" s="4" t="str">
        <f t="shared" si="2"/>
        <v xml:space="preserve">16/17 </v>
      </c>
      <c r="Z16" s="4" t="str">
        <f t="shared" si="2"/>
        <v xml:space="preserve">17/18 </v>
      </c>
      <c r="AA16" s="4" t="str">
        <f t="shared" si="2"/>
        <v xml:space="preserve">18/19 </v>
      </c>
      <c r="AB16" s="4" t="str">
        <f t="shared" si="2"/>
        <v xml:space="preserve">19/20 </v>
      </c>
      <c r="AC16" s="4" t="str">
        <f t="shared" si="2"/>
        <v xml:space="preserve">20/21 </v>
      </c>
      <c r="AD16" s="4" t="str">
        <f t="shared" si="2"/>
        <v>21/22</v>
      </c>
    </row>
    <row r="17" spans="1:30" ht="15.75">
      <c r="A17" s="5" t="s">
        <v>23</v>
      </c>
      <c r="B17" s="6">
        <f>'India Sun Complex'!B32+'China Sun Complex'!B32</f>
        <v>0</v>
      </c>
      <c r="C17" s="6">
        <f>'India Sun Complex'!C32+'China Sun Complex'!C32</f>
        <v>0</v>
      </c>
      <c r="D17" s="6">
        <f>'India Sun Complex'!D32+'China Sun Complex'!D32</f>
        <v>0</v>
      </c>
      <c r="E17" s="6">
        <f>'India Sun Complex'!E32+'China Sun Complex'!E32</f>
        <v>0</v>
      </c>
      <c r="F17" s="6">
        <f>'India Sun Complex'!F32+'China Sun Complex'!F32</f>
        <v>0</v>
      </c>
      <c r="G17" s="6">
        <f>'India Sun Complex'!G32+'China Sun Complex'!G32</f>
        <v>0</v>
      </c>
      <c r="H17" s="6">
        <f>'India Sun Complex'!H32+'China Sun Complex'!H32</f>
        <v>70</v>
      </c>
      <c r="I17" s="6">
        <f>'India Sun Complex'!I32+'China Sun Complex'!I32</f>
        <v>98</v>
      </c>
      <c r="J17" s="6">
        <f>'India Sun Complex'!J32+'China Sun Complex'!J32</f>
        <v>71</v>
      </c>
      <c r="K17" s="6">
        <f>'India Sun Complex'!K32+'China Sun Complex'!K32</f>
        <v>52</v>
      </c>
      <c r="L17" s="6">
        <f>'India Sun Complex'!L32+'China Sun Complex'!L32</f>
        <v>56</v>
      </c>
      <c r="M17" s="6">
        <f>'India Sun Complex'!M32+'China Sun Complex'!M32</f>
        <v>69</v>
      </c>
      <c r="N17" s="6">
        <f>'India Sun Complex'!N32+'China Sun Complex'!N32</f>
        <v>31</v>
      </c>
      <c r="O17" s="6">
        <f>'India Sun Complex'!O32+'China Sun Complex'!O32</f>
        <v>50</v>
      </c>
      <c r="P17" s="6">
        <f>'India Sun Complex'!P32+'China Sun Complex'!P32</f>
        <v>141</v>
      </c>
      <c r="Q17" s="6">
        <f>'India Sun Complex'!Q32+'China Sun Complex'!Q32</f>
        <v>34</v>
      </c>
      <c r="R17" s="6">
        <f>'India Sun Complex'!R32+'China Sun Complex'!R32</f>
        <v>167</v>
      </c>
      <c r="S17" s="6">
        <f>'India Sun Complex'!S32+'China Sun Complex'!S32</f>
        <v>205</v>
      </c>
      <c r="T17" s="6">
        <f>'India Sun Complex'!T32+'China Sun Complex'!T32</f>
        <v>138</v>
      </c>
      <c r="U17" s="6">
        <f>'India Sun Complex'!U32+'China Sun Complex'!U32</f>
        <v>204</v>
      </c>
      <c r="V17" s="6">
        <f>'India Sun Complex'!V32+'China Sun Complex'!V32</f>
        <v>150</v>
      </c>
      <c r="W17" s="6">
        <f>'India Sun Complex'!W32+'China Sun Complex'!W32</f>
        <v>343</v>
      </c>
      <c r="X17" s="7">
        <f>'India Sun Complex'!X32+'China Sun Complex'!X32</f>
        <v>335</v>
      </c>
      <c r="Y17" s="7">
        <f>'India Sun Complex'!Y32+'China Sun Complex'!Y32</f>
        <v>264</v>
      </c>
      <c r="Z17" s="7">
        <f>'India Sun Complex'!Z32+'China Sun Complex'!Z32</f>
        <v>516</v>
      </c>
      <c r="AA17" s="7">
        <f>'India Sun Complex'!AA32+'China Sun Complex'!AA32</f>
        <v>563</v>
      </c>
      <c r="AB17" s="7">
        <f>'India Sun Complex'!AB32+'China Sun Complex'!AB32</f>
        <v>395</v>
      </c>
      <c r="AC17" s="7">
        <f>'India Sun Complex'!AC32+'China Sun Complex'!AC32</f>
        <v>250</v>
      </c>
      <c r="AD17" s="8">
        <f>'India Sun Complex'!AD32+'China Sun Complex'!AD32</f>
        <v>105</v>
      </c>
    </row>
    <row r="18" spans="1:30" ht="15.75">
      <c r="A18" s="5" t="s">
        <v>5</v>
      </c>
      <c r="B18" s="28">
        <f>'India Sun Complex'!B33+'China Sun Complex'!B33</f>
        <v>655</v>
      </c>
      <c r="C18" s="28">
        <f>'India Sun Complex'!C33+'China Sun Complex'!C33</f>
        <v>603.07376399999998</v>
      </c>
      <c r="D18" s="28">
        <f>'India Sun Complex'!D33+'China Sun Complex'!D33</f>
        <v>638.12476000000004</v>
      </c>
      <c r="E18" s="28">
        <f>'India Sun Complex'!E33+'China Sun Complex'!E33</f>
        <v>611.74080500000014</v>
      </c>
      <c r="F18" s="28">
        <f>'India Sun Complex'!F33+'China Sun Complex'!F33</f>
        <v>538.67874599999993</v>
      </c>
      <c r="G18" s="28">
        <f>'India Sun Complex'!G33+'China Sun Complex'!G33</f>
        <v>571.87966700000004</v>
      </c>
      <c r="H18" s="28">
        <f>'India Sun Complex'!H33+'China Sun Complex'!H33</f>
        <v>623.82145100000002</v>
      </c>
      <c r="I18" s="28">
        <f>'India Sun Complex'!I33+'China Sun Complex'!I33</f>
        <v>742.54601400000001</v>
      </c>
      <c r="J18" s="28">
        <f>'India Sun Complex'!J33+'China Sun Complex'!J33</f>
        <v>703.05589600000008</v>
      </c>
      <c r="K18" s="28">
        <f>'India Sun Complex'!K33+'China Sun Complex'!K33</f>
        <v>837.36458399999992</v>
      </c>
      <c r="L18" s="28">
        <f>'India Sun Complex'!L33+'China Sun Complex'!L33</f>
        <v>835.953982</v>
      </c>
      <c r="M18" s="28">
        <f>'India Sun Complex'!M33+'China Sun Complex'!M33</f>
        <v>814.69874100000015</v>
      </c>
      <c r="N18" s="28">
        <f>'India Sun Complex'!N33+'China Sun Complex'!N33</f>
        <v>940.95184399999994</v>
      </c>
      <c r="O18" s="28">
        <f>'India Sun Complex'!O33+'China Sun Complex'!O33</f>
        <v>777.38099999999997</v>
      </c>
      <c r="P18" s="28">
        <f>'India Sun Complex'!P33+'China Sun Complex'!P33</f>
        <v>725.7059999999999</v>
      </c>
      <c r="Q18" s="28">
        <f>'India Sun Complex'!Q33+'China Sun Complex'!Q33</f>
        <v>693.82500000000027</v>
      </c>
      <c r="R18" s="28">
        <f>'India Sun Complex'!R33+'China Sun Complex'!R33</f>
        <v>645.68999999999983</v>
      </c>
      <c r="S18" s="28">
        <f>'India Sun Complex'!S33+'China Sun Complex'!S33</f>
        <v>538.65200000000004</v>
      </c>
      <c r="T18" s="28">
        <f>'India Sun Complex'!T33+'China Sun Complex'!T33</f>
        <v>543.54400000000021</v>
      </c>
      <c r="U18" s="28">
        <f>'India Sun Complex'!U33+'China Sun Complex'!U33</f>
        <v>669.42899999999986</v>
      </c>
      <c r="V18" s="28">
        <f>'India Sun Complex'!V33+'China Sun Complex'!V33</f>
        <v>645.23</v>
      </c>
      <c r="W18" s="28">
        <f>'India Sun Complex'!W33+'China Sun Complex'!W33</f>
        <v>586.51999999999953</v>
      </c>
      <c r="X18" s="54">
        <f>'India Sun Complex'!X33+'China Sun Complex'!X33</f>
        <v>610.16800000000012</v>
      </c>
      <c r="Y18" s="54">
        <f>'India Sun Complex'!Y33+'China Sun Complex'!Y33</f>
        <v>718.09251999999947</v>
      </c>
      <c r="Z18" s="54">
        <f>'India Sun Complex'!Z33+'China Sun Complex'!Z33</f>
        <v>737.53567200000032</v>
      </c>
      <c r="AA18" s="54">
        <f>'India Sun Complex'!AA33+'China Sun Complex'!AA33</f>
        <v>524.95235500000001</v>
      </c>
      <c r="AB18" s="54">
        <f>'India Sun Complex'!AB33+'China Sun Complex'!AB33</f>
        <v>467.68057600000009</v>
      </c>
      <c r="AC18" s="55">
        <f>'India Sun Complex'!AC33+'China Sun Complex'!AC33</f>
        <v>492.1052631578948</v>
      </c>
      <c r="AD18" s="55">
        <f>'India Sun Complex'!AD33+'China Sun Complex'!AD33</f>
        <v>690.39172652301136</v>
      </c>
    </row>
    <row r="19" spans="1:30" ht="15.75">
      <c r="A19" s="5" t="s">
        <v>6</v>
      </c>
      <c r="B19" s="6">
        <f>'India Sun Complex'!B34+'China Sun Complex'!B34</f>
        <v>0</v>
      </c>
      <c r="C19" s="6">
        <f>'India Sun Complex'!C34+'China Sun Complex'!C34</f>
        <v>71.3</v>
      </c>
      <c r="D19" s="6">
        <f>'India Sun Complex'!D34+'China Sun Complex'!D34</f>
        <v>86.008432999999997</v>
      </c>
      <c r="E19" s="6">
        <f>'India Sun Complex'!E34+'China Sun Complex'!E34</f>
        <v>422.36580300000003</v>
      </c>
      <c r="F19" s="6">
        <f>'India Sun Complex'!F34+'China Sun Complex'!F34</f>
        <v>125.676541</v>
      </c>
      <c r="G19" s="6">
        <f>'India Sun Complex'!G34+'China Sun Complex'!G34</f>
        <v>551.20540200000005</v>
      </c>
      <c r="H19" s="6">
        <f>'India Sun Complex'!H34+'China Sun Complex'!H34</f>
        <v>503.29170300000004</v>
      </c>
      <c r="I19" s="6">
        <f>'India Sun Complex'!I34+'China Sun Complex'!I34</f>
        <v>365.94258600000001</v>
      </c>
      <c r="J19" s="6">
        <f>'India Sun Complex'!J34+'China Sun Complex'!J34</f>
        <v>21.039644000000003</v>
      </c>
      <c r="K19" s="6">
        <f>'India Sun Complex'!K34+'China Sun Complex'!K34</f>
        <v>80.620463999999998</v>
      </c>
      <c r="L19" s="6">
        <f>'India Sun Complex'!L34+'China Sun Complex'!L34</f>
        <v>156.21666400000001</v>
      </c>
      <c r="M19" s="6">
        <f>'India Sun Complex'!M34+'China Sun Complex'!M34</f>
        <v>10.103839000000001</v>
      </c>
      <c r="N19" s="6">
        <f>'India Sun Complex'!N34+'China Sun Complex'!N34</f>
        <v>96.837511000000006</v>
      </c>
      <c r="O19" s="6">
        <f>'India Sun Complex'!O34+'China Sun Complex'!O34</f>
        <v>295.17400000000004</v>
      </c>
      <c r="P19" s="6">
        <f>'India Sun Complex'!P34+'China Sun Complex'!P34</f>
        <v>24.431000000000001</v>
      </c>
      <c r="Q19" s="6">
        <f>'India Sun Complex'!Q34+'China Sun Complex'!Q34</f>
        <v>679.58699999999999</v>
      </c>
      <c r="R19" s="6">
        <f>'India Sun Complex'!R34+'China Sun Complex'!R34</f>
        <v>736.66699999999992</v>
      </c>
      <c r="S19" s="6">
        <f>'India Sun Complex'!S34+'China Sun Complex'!S34</f>
        <v>658.59800000000007</v>
      </c>
      <c r="T19" s="6">
        <f>'India Sun Complex'!T34+'China Sun Complex'!T34</f>
        <v>1194.066</v>
      </c>
      <c r="U19" s="6">
        <f>'India Sun Complex'!U34+'China Sun Complex'!U34</f>
        <v>1315.922</v>
      </c>
      <c r="V19" s="6">
        <f>'India Sun Complex'!V34+'China Sun Complex'!V34</f>
        <v>2046.4499999999998</v>
      </c>
      <c r="W19" s="6">
        <f>'India Sun Complex'!W34+'China Sun Complex'!W34</f>
        <v>2108.6309999999994</v>
      </c>
      <c r="X19" s="7">
        <f>'India Sun Complex'!X34+'China Sun Complex'!X34</f>
        <v>2366.6970000000001</v>
      </c>
      <c r="Y19" s="7">
        <f>'India Sun Complex'!Y34+'China Sun Complex'!Y34</f>
        <v>2870.6980349999999</v>
      </c>
      <c r="Z19" s="7">
        <f>'India Sun Complex'!Z34+'China Sun Complex'!Z34</f>
        <v>3243.4885389999999</v>
      </c>
      <c r="AA19" s="7">
        <f>'India Sun Complex'!AA34+'China Sun Complex'!AA34</f>
        <v>3359.90445</v>
      </c>
      <c r="AB19" s="7">
        <f>'India Sun Complex'!AB34+'China Sun Complex'!AB34</f>
        <v>4263.08806</v>
      </c>
      <c r="AC19" s="8">
        <f>'India Sun Complex'!AC34+'China Sun Complex'!AC34</f>
        <v>4046.7748390000002</v>
      </c>
      <c r="AD19" s="8">
        <f>'India Sun Complex'!AD34+'China Sun Complex'!AD34</f>
        <v>2886</v>
      </c>
    </row>
    <row r="20" spans="1:30" ht="15.75">
      <c r="A20" s="34" t="s">
        <v>7</v>
      </c>
      <c r="B20" s="48">
        <f>SUM(B17:B19)</f>
        <v>655</v>
      </c>
      <c r="C20" s="48">
        <f t="shared" ref="C20:AD20" si="3">SUM(C17:C19)</f>
        <v>674.37376399999994</v>
      </c>
      <c r="D20" s="48">
        <f t="shared" si="3"/>
        <v>724.13319300000001</v>
      </c>
      <c r="E20" s="48">
        <f t="shared" si="3"/>
        <v>1034.1066080000001</v>
      </c>
      <c r="F20" s="48">
        <f t="shared" si="3"/>
        <v>664.35528699999998</v>
      </c>
      <c r="G20" s="48">
        <f t="shared" si="3"/>
        <v>1123.0850690000002</v>
      </c>
      <c r="H20" s="48">
        <f t="shared" si="3"/>
        <v>1197.1131540000001</v>
      </c>
      <c r="I20" s="48">
        <f t="shared" si="3"/>
        <v>1206.4886000000001</v>
      </c>
      <c r="J20" s="48">
        <f t="shared" si="3"/>
        <v>795.09554000000003</v>
      </c>
      <c r="K20" s="48">
        <f t="shared" si="3"/>
        <v>969.98504799999989</v>
      </c>
      <c r="L20" s="48">
        <f t="shared" si="3"/>
        <v>1048.170646</v>
      </c>
      <c r="M20" s="48">
        <f t="shared" si="3"/>
        <v>893.80258000000015</v>
      </c>
      <c r="N20" s="48">
        <f t="shared" si="3"/>
        <v>1068.7893549999999</v>
      </c>
      <c r="O20" s="48">
        <f t="shared" si="3"/>
        <v>1122.5550000000001</v>
      </c>
      <c r="P20" s="48">
        <f t="shared" si="3"/>
        <v>891.13699999999994</v>
      </c>
      <c r="Q20" s="48">
        <f t="shared" si="3"/>
        <v>1407.4120000000003</v>
      </c>
      <c r="R20" s="48">
        <f t="shared" si="3"/>
        <v>1549.3569999999997</v>
      </c>
      <c r="S20" s="48">
        <f t="shared" si="3"/>
        <v>1402.25</v>
      </c>
      <c r="T20" s="48">
        <f t="shared" si="3"/>
        <v>1875.6100000000001</v>
      </c>
      <c r="U20" s="48">
        <f t="shared" si="3"/>
        <v>2189.3509999999997</v>
      </c>
      <c r="V20" s="48">
        <f t="shared" si="3"/>
        <v>2841.68</v>
      </c>
      <c r="W20" s="48">
        <f t="shared" si="3"/>
        <v>3038.1509999999989</v>
      </c>
      <c r="X20" s="49">
        <f t="shared" si="3"/>
        <v>3311.8650000000002</v>
      </c>
      <c r="Y20" s="49">
        <f t="shared" si="3"/>
        <v>3852.7905549999996</v>
      </c>
      <c r="Z20" s="49">
        <f t="shared" si="3"/>
        <v>4497.0242109999999</v>
      </c>
      <c r="AA20" s="49">
        <f t="shared" si="3"/>
        <v>4447.8568049999994</v>
      </c>
      <c r="AB20" s="49">
        <f t="shared" si="3"/>
        <v>5125.7686359999998</v>
      </c>
      <c r="AC20" s="50">
        <f t="shared" si="3"/>
        <v>4788.8801021578947</v>
      </c>
      <c r="AD20" s="50">
        <f t="shared" si="3"/>
        <v>3681.3917265230111</v>
      </c>
    </row>
    <row r="21" spans="1:30" ht="15.75">
      <c r="A21" s="5" t="s">
        <v>24</v>
      </c>
      <c r="B21" s="6">
        <f>'India Sun Complex'!B36+'China Sun Complex'!B36</f>
        <v>655</v>
      </c>
      <c r="C21" s="6">
        <f>'India Sun Complex'!C36+'China Sun Complex'!C36</f>
        <v>674</v>
      </c>
      <c r="D21" s="6">
        <f>'India Sun Complex'!D36+'China Sun Complex'!D36</f>
        <v>723</v>
      </c>
      <c r="E21" s="6">
        <f>'India Sun Complex'!E36+'China Sun Complex'!E36</f>
        <v>1032</v>
      </c>
      <c r="F21" s="6">
        <f>'India Sun Complex'!F36+'China Sun Complex'!F36</f>
        <v>664</v>
      </c>
      <c r="G21" s="6">
        <f>'India Sun Complex'!G36+'China Sun Complex'!G36</f>
        <v>1053</v>
      </c>
      <c r="H21" s="6">
        <f>'India Sun Complex'!H36+'China Sun Complex'!H36</f>
        <v>1099</v>
      </c>
      <c r="I21" s="6">
        <f>'India Sun Complex'!I36+'China Sun Complex'!I36</f>
        <v>1135</v>
      </c>
      <c r="J21" s="6">
        <f>'India Sun Complex'!J36+'China Sun Complex'!J36</f>
        <v>740</v>
      </c>
      <c r="K21" s="6">
        <f>'India Sun Complex'!K36+'China Sun Complex'!K36</f>
        <v>913</v>
      </c>
      <c r="L21" s="6">
        <f>'India Sun Complex'!L36+'China Sun Complex'!L36</f>
        <v>979</v>
      </c>
      <c r="M21" s="6">
        <f>'India Sun Complex'!M36+'China Sun Complex'!M36</f>
        <v>862</v>
      </c>
      <c r="N21" s="6">
        <f>'India Sun Complex'!N36+'China Sun Complex'!N36</f>
        <v>1010</v>
      </c>
      <c r="O21" s="6">
        <f>'India Sun Complex'!O36+'China Sun Complex'!O36</f>
        <v>979</v>
      </c>
      <c r="P21" s="6">
        <f>'India Sun Complex'!P36+'China Sun Complex'!P36</f>
        <v>847</v>
      </c>
      <c r="Q21" s="6">
        <f>'India Sun Complex'!Q36+'China Sun Complex'!Q36</f>
        <v>1239</v>
      </c>
      <c r="R21" s="6">
        <f>'India Sun Complex'!R36+'China Sun Complex'!R36</f>
        <v>1343</v>
      </c>
      <c r="S21" s="6">
        <f>'India Sun Complex'!S36+'China Sun Complex'!S36</f>
        <v>1262</v>
      </c>
      <c r="T21" s="6">
        <f>'India Sun Complex'!T36+'China Sun Complex'!T36</f>
        <v>1669</v>
      </c>
      <c r="U21" s="6">
        <f>'India Sun Complex'!U36+'China Sun Complex'!U36</f>
        <v>2037</v>
      </c>
      <c r="V21" s="6">
        <f>'India Sun Complex'!V36+'China Sun Complex'!V36</f>
        <v>2495</v>
      </c>
      <c r="W21" s="6">
        <f>'India Sun Complex'!W36+'China Sun Complex'!W36</f>
        <v>2698</v>
      </c>
      <c r="X21" s="7">
        <f>'India Sun Complex'!X36+'China Sun Complex'!X36</f>
        <v>3044</v>
      </c>
      <c r="Y21" s="7">
        <f>'India Sun Complex'!Y36+'China Sun Complex'!Y36</f>
        <v>3332</v>
      </c>
      <c r="Z21" s="7">
        <f>'India Sun Complex'!Z36+'China Sun Complex'!Z36</f>
        <v>3928</v>
      </c>
      <c r="AA21" s="7">
        <f>'India Sun Complex'!AA36+'China Sun Complex'!AA36</f>
        <v>4046</v>
      </c>
      <c r="AB21" s="7">
        <f>'India Sun Complex'!AB36+'China Sun Complex'!AB36</f>
        <v>4869</v>
      </c>
      <c r="AC21" s="8">
        <f>'India Sun Complex'!AC36+'China Sun Complex'!AC36</f>
        <v>4677</v>
      </c>
      <c r="AD21" s="8">
        <f>'India Sun Complex'!AD36+'China Sun Complex'!AD36</f>
        <v>4890</v>
      </c>
    </row>
    <row r="22" spans="1:30" ht="15.75">
      <c r="A22" s="5" t="s">
        <v>30</v>
      </c>
      <c r="B22" s="6">
        <f>'India Sun Complex'!B37+'China Sun Complex'!B37</f>
        <v>0</v>
      </c>
      <c r="C22" s="6">
        <f>'India Sun Complex'!C37+'China Sun Complex'!C37</f>
        <v>0</v>
      </c>
      <c r="D22" s="6">
        <f>'India Sun Complex'!D37+'China Sun Complex'!D37</f>
        <v>0</v>
      </c>
      <c r="E22" s="6">
        <f>'India Sun Complex'!E37+'China Sun Complex'!E37</f>
        <v>0</v>
      </c>
      <c r="F22" s="6">
        <f>'India Sun Complex'!F37+'China Sun Complex'!F37</f>
        <v>0</v>
      </c>
      <c r="G22" s="6">
        <f>'India Sun Complex'!G37+'China Sun Complex'!G37</f>
        <v>0</v>
      </c>
      <c r="H22" s="6">
        <f>'India Sun Complex'!H37+'China Sun Complex'!H37</f>
        <v>0</v>
      </c>
      <c r="I22" s="6">
        <f>'India Sun Complex'!I37+'China Sun Complex'!I37</f>
        <v>0</v>
      </c>
      <c r="J22" s="6">
        <f>'India Sun Complex'!J37+'China Sun Complex'!J37</f>
        <v>0</v>
      </c>
      <c r="K22" s="6">
        <f>'India Sun Complex'!K37+'China Sun Complex'!K37</f>
        <v>0</v>
      </c>
      <c r="L22" s="6">
        <f>'India Sun Complex'!L37+'China Sun Complex'!L37</f>
        <v>0</v>
      </c>
      <c r="M22" s="6">
        <f>'India Sun Complex'!M37+'China Sun Complex'!M37</f>
        <v>0</v>
      </c>
      <c r="N22" s="6">
        <f>'India Sun Complex'!N37+'China Sun Complex'!N37</f>
        <v>0</v>
      </c>
      <c r="O22" s="6">
        <f>'India Sun Complex'!O37+'China Sun Complex'!O37</f>
        <v>0</v>
      </c>
      <c r="P22" s="6">
        <f>'India Sun Complex'!P37+'China Sun Complex'!P37</f>
        <v>0</v>
      </c>
      <c r="Q22" s="6">
        <f>'India Sun Complex'!Q37+'China Sun Complex'!Q37</f>
        <v>0</v>
      </c>
      <c r="R22" s="6">
        <f>'India Sun Complex'!R37+'China Sun Complex'!R37</f>
        <v>0</v>
      </c>
      <c r="S22" s="6">
        <f>'India Sun Complex'!S37+'China Sun Complex'!S37</f>
        <v>0</v>
      </c>
      <c r="T22" s="6">
        <f>'India Sun Complex'!T37+'China Sun Complex'!T37</f>
        <v>0</v>
      </c>
      <c r="U22" s="6">
        <f>'India Sun Complex'!U37+'China Sun Complex'!U37</f>
        <v>0</v>
      </c>
      <c r="V22" s="6">
        <f>'India Sun Complex'!V37+'China Sun Complex'!V37</f>
        <v>0</v>
      </c>
      <c r="W22" s="6">
        <f>'India Sun Complex'!W37+'China Sun Complex'!W37</f>
        <v>0</v>
      </c>
      <c r="X22" s="7">
        <f>'India Sun Complex'!X37+'China Sun Complex'!X37</f>
        <v>0</v>
      </c>
      <c r="Y22" s="7">
        <f>'India Sun Complex'!Y37+'China Sun Complex'!Y37</f>
        <v>0</v>
      </c>
      <c r="Z22" s="7">
        <f>'India Sun Complex'!Z37+'China Sun Complex'!Z37</f>
        <v>0</v>
      </c>
      <c r="AA22" s="7">
        <f>'India Sun Complex'!AA37+'China Sun Complex'!AA37</f>
        <v>0</v>
      </c>
      <c r="AB22" s="7">
        <f>'India Sun Complex'!AB37+'China Sun Complex'!AB37</f>
        <v>0</v>
      </c>
      <c r="AC22" s="8">
        <f>'India Sun Complex'!AC37+'China Sun Complex'!AC37</f>
        <v>0</v>
      </c>
      <c r="AD22" s="8">
        <f>'India Sun Complex'!AD37+'China Sun Complex'!AD37</f>
        <v>0</v>
      </c>
    </row>
    <row r="23" spans="1:30" ht="15.75">
      <c r="A23" s="5" t="s">
        <v>31</v>
      </c>
      <c r="B23" s="6">
        <f>'India Sun Complex'!B38+'China Sun Complex'!B38</f>
        <v>0</v>
      </c>
      <c r="C23" s="6">
        <f>'India Sun Complex'!C38+'China Sun Complex'!C38</f>
        <v>0</v>
      </c>
      <c r="D23" s="6">
        <f>'India Sun Complex'!D38+'China Sun Complex'!D38</f>
        <v>0</v>
      </c>
      <c r="E23" s="6">
        <f>'India Sun Complex'!E38+'China Sun Complex'!E38</f>
        <v>0</v>
      </c>
      <c r="F23" s="6">
        <f>'India Sun Complex'!F38+'China Sun Complex'!F38</f>
        <v>0</v>
      </c>
      <c r="G23" s="6">
        <f>'India Sun Complex'!G38+'China Sun Complex'!G38</f>
        <v>0</v>
      </c>
      <c r="H23" s="6">
        <f>'India Sun Complex'!H38+'China Sun Complex'!H38</f>
        <v>0</v>
      </c>
      <c r="I23" s="6">
        <f>'India Sun Complex'!I38+'China Sun Complex'!I38</f>
        <v>0</v>
      </c>
      <c r="J23" s="6">
        <f>'India Sun Complex'!J38+'China Sun Complex'!J38</f>
        <v>0</v>
      </c>
      <c r="K23" s="6">
        <f>'India Sun Complex'!K38+'China Sun Complex'!K38</f>
        <v>0</v>
      </c>
      <c r="L23" s="6">
        <f>'India Sun Complex'!L38+'China Sun Complex'!L38</f>
        <v>0</v>
      </c>
      <c r="M23" s="6">
        <f>'India Sun Complex'!M38+'China Sun Complex'!M38</f>
        <v>0</v>
      </c>
      <c r="N23" s="6">
        <f>'India Sun Complex'!N38+'China Sun Complex'!N38</f>
        <v>0</v>
      </c>
      <c r="O23" s="6">
        <f>'India Sun Complex'!O38+'China Sun Complex'!O38</f>
        <v>0</v>
      </c>
      <c r="P23" s="6">
        <f>'India Sun Complex'!P38+'China Sun Complex'!P38</f>
        <v>0</v>
      </c>
      <c r="Q23" s="6">
        <f>'India Sun Complex'!Q38+'China Sun Complex'!Q38</f>
        <v>0</v>
      </c>
      <c r="R23" s="6">
        <f>'India Sun Complex'!R38+'China Sun Complex'!R38</f>
        <v>0</v>
      </c>
      <c r="S23" s="6">
        <f>'India Sun Complex'!S38+'China Sun Complex'!S38</f>
        <v>0</v>
      </c>
      <c r="T23" s="6">
        <f>'India Sun Complex'!T38+'China Sun Complex'!T38</f>
        <v>0</v>
      </c>
      <c r="U23" s="6">
        <f>'India Sun Complex'!U38+'China Sun Complex'!U38</f>
        <v>0</v>
      </c>
      <c r="V23" s="6">
        <f>'India Sun Complex'!V38+'China Sun Complex'!V38</f>
        <v>0</v>
      </c>
      <c r="W23" s="6">
        <f>'India Sun Complex'!W38+'China Sun Complex'!W38</f>
        <v>0</v>
      </c>
      <c r="X23" s="7">
        <f>'India Sun Complex'!X38+'China Sun Complex'!X38</f>
        <v>0</v>
      </c>
      <c r="Y23" s="7">
        <f>'India Sun Complex'!Y38+'China Sun Complex'!Y38</f>
        <v>0</v>
      </c>
      <c r="Z23" s="7">
        <f>'India Sun Complex'!Z38+'China Sun Complex'!Z38</f>
        <v>0</v>
      </c>
      <c r="AA23" s="7">
        <f>'India Sun Complex'!AA38+'China Sun Complex'!AA38</f>
        <v>0</v>
      </c>
      <c r="AB23" s="7">
        <f>'India Sun Complex'!AB38+'China Sun Complex'!AB38</f>
        <v>0</v>
      </c>
      <c r="AC23" s="8">
        <f>'India Sun Complex'!AC38+'China Sun Complex'!AC38</f>
        <v>0</v>
      </c>
      <c r="AD23" s="8">
        <f>'India Sun Complex'!AD38+'China Sun Complex'!AD38</f>
        <v>0</v>
      </c>
    </row>
    <row r="24" spans="1:30" ht="15.75">
      <c r="A24" s="5" t="s">
        <v>32</v>
      </c>
      <c r="B24" s="6">
        <f>'India Sun Complex'!B39+'China Sun Complex'!B39</f>
        <v>655</v>
      </c>
      <c r="C24" s="6">
        <f>'India Sun Complex'!C39+'China Sun Complex'!C39</f>
        <v>674</v>
      </c>
      <c r="D24" s="6">
        <f>'India Sun Complex'!D39+'China Sun Complex'!D39</f>
        <v>723</v>
      </c>
      <c r="E24" s="6">
        <f>'India Sun Complex'!E39+'China Sun Complex'!E39</f>
        <v>1032</v>
      </c>
      <c r="F24" s="6">
        <f>'India Sun Complex'!F39+'China Sun Complex'!F39</f>
        <v>664</v>
      </c>
      <c r="G24" s="6">
        <f>'India Sun Complex'!G39+'China Sun Complex'!G39</f>
        <v>1053</v>
      </c>
      <c r="H24" s="6">
        <f>'India Sun Complex'!H39+'China Sun Complex'!H39</f>
        <v>1099</v>
      </c>
      <c r="I24" s="6">
        <f>'India Sun Complex'!I39+'China Sun Complex'!I39</f>
        <v>1135</v>
      </c>
      <c r="J24" s="6">
        <f>'India Sun Complex'!J39+'China Sun Complex'!J39</f>
        <v>740</v>
      </c>
      <c r="K24" s="6">
        <f>'India Sun Complex'!K39+'China Sun Complex'!K39</f>
        <v>913</v>
      </c>
      <c r="L24" s="6">
        <f>'India Sun Complex'!L39+'China Sun Complex'!L39</f>
        <v>979</v>
      </c>
      <c r="M24" s="6">
        <f>'India Sun Complex'!M39+'China Sun Complex'!M39</f>
        <v>862</v>
      </c>
      <c r="N24" s="6">
        <f>'India Sun Complex'!N39+'China Sun Complex'!N39</f>
        <v>1010</v>
      </c>
      <c r="O24" s="6">
        <f>'India Sun Complex'!O39+'China Sun Complex'!O39</f>
        <v>979</v>
      </c>
      <c r="P24" s="6">
        <f>'India Sun Complex'!P39+'China Sun Complex'!P39</f>
        <v>847</v>
      </c>
      <c r="Q24" s="6">
        <f>'India Sun Complex'!Q39+'China Sun Complex'!Q39</f>
        <v>1239</v>
      </c>
      <c r="R24" s="6">
        <f>'India Sun Complex'!R39+'China Sun Complex'!R39</f>
        <v>1343</v>
      </c>
      <c r="S24" s="6">
        <f>'India Sun Complex'!S39+'China Sun Complex'!S39</f>
        <v>1262</v>
      </c>
      <c r="T24" s="6">
        <f>'India Sun Complex'!T39+'China Sun Complex'!T39</f>
        <v>1669</v>
      </c>
      <c r="U24" s="6">
        <f>'India Sun Complex'!U39+'China Sun Complex'!U39</f>
        <v>2037</v>
      </c>
      <c r="V24" s="6">
        <f>'India Sun Complex'!V39+'China Sun Complex'!V39</f>
        <v>2495</v>
      </c>
      <c r="W24" s="6">
        <f>'India Sun Complex'!W39+'China Sun Complex'!W39</f>
        <v>2698</v>
      </c>
      <c r="X24" s="7">
        <f>'India Sun Complex'!X39+'China Sun Complex'!X39</f>
        <v>3044</v>
      </c>
      <c r="Y24" s="7">
        <f>'India Sun Complex'!Y39+'China Sun Complex'!Y39</f>
        <v>3332</v>
      </c>
      <c r="Z24" s="7">
        <f>'India Sun Complex'!Z39+'China Sun Complex'!Z39</f>
        <v>3928</v>
      </c>
      <c r="AA24" s="7">
        <f>'India Sun Complex'!AA39+'China Sun Complex'!AA39</f>
        <v>4046</v>
      </c>
      <c r="AB24" s="7">
        <f>'India Sun Complex'!AB39+'China Sun Complex'!AB39</f>
        <v>4869</v>
      </c>
      <c r="AC24" s="8">
        <f>'India Sun Complex'!AC39+'China Sun Complex'!AC39</f>
        <v>4677</v>
      </c>
      <c r="AD24" s="8">
        <f>'India Sun Complex'!AD39+'China Sun Complex'!AD39</f>
        <v>4890</v>
      </c>
    </row>
    <row r="25" spans="1:30" ht="15.75">
      <c r="A25" s="5" t="s">
        <v>9</v>
      </c>
      <c r="B25" s="6">
        <f>'India Sun Complex'!B40+'China Sun Complex'!B40</f>
        <v>0</v>
      </c>
      <c r="C25" s="6">
        <f>'India Sun Complex'!C40+'China Sun Complex'!C40</f>
        <v>0.4</v>
      </c>
      <c r="D25" s="6">
        <f>'India Sun Complex'!D40+'China Sun Complex'!D40</f>
        <v>1.1331929999999999</v>
      </c>
      <c r="E25" s="6">
        <f>'India Sun Complex'!E40+'China Sun Complex'!E40</f>
        <v>2.106608</v>
      </c>
      <c r="F25" s="6">
        <f>'India Sun Complex'!F40+'China Sun Complex'!F40</f>
        <v>0.35528700000000002</v>
      </c>
      <c r="G25" s="6">
        <f>'India Sun Complex'!G40+'China Sun Complex'!G40</f>
        <v>6.8999999999999997E-5</v>
      </c>
      <c r="H25" s="6">
        <f>'India Sun Complex'!H40+'China Sun Complex'!H40</f>
        <v>0.113154</v>
      </c>
      <c r="I25" s="6">
        <f>'India Sun Complex'!I40+'China Sun Complex'!I40</f>
        <v>0.48860000000000003</v>
      </c>
      <c r="J25" s="6">
        <f>'India Sun Complex'!J40+'China Sun Complex'!J40</f>
        <v>3.0955400000000006</v>
      </c>
      <c r="K25" s="6">
        <f>'India Sun Complex'!K40+'China Sun Complex'!K40</f>
        <v>0.98504799999999992</v>
      </c>
      <c r="L25" s="6">
        <f>'India Sun Complex'!L40+'China Sun Complex'!L40</f>
        <v>0.17064600000000002</v>
      </c>
      <c r="M25" s="6">
        <f>'India Sun Complex'!M40+'China Sun Complex'!M40</f>
        <v>0.80258000000000007</v>
      </c>
      <c r="N25" s="6">
        <f>'India Sun Complex'!N40+'China Sun Complex'!N40</f>
        <v>8.7893550000000005</v>
      </c>
      <c r="O25" s="6">
        <f>'India Sun Complex'!O40+'China Sun Complex'!O40</f>
        <v>2.5550000000000002</v>
      </c>
      <c r="P25" s="6">
        <f>'India Sun Complex'!P40+'China Sun Complex'!P40</f>
        <v>10.137</v>
      </c>
      <c r="Q25" s="6">
        <f>'India Sun Complex'!Q40+'China Sun Complex'!Q40</f>
        <v>1.4119999999999999</v>
      </c>
      <c r="R25" s="6">
        <f>'India Sun Complex'!R40+'China Sun Complex'!R40</f>
        <v>1.357</v>
      </c>
      <c r="S25" s="6">
        <f>'India Sun Complex'!S40+'China Sun Complex'!S40</f>
        <v>2.25</v>
      </c>
      <c r="T25" s="6">
        <f>'India Sun Complex'!T40+'China Sun Complex'!T40</f>
        <v>2.6099999999999994</v>
      </c>
      <c r="U25" s="6">
        <f>'India Sun Complex'!U40+'China Sun Complex'!U40</f>
        <v>2.351</v>
      </c>
      <c r="V25" s="6">
        <f>'India Sun Complex'!V40+'China Sun Complex'!V40</f>
        <v>3.6800000000000006</v>
      </c>
      <c r="W25" s="6">
        <f>'India Sun Complex'!W40+'China Sun Complex'!W40</f>
        <v>5.1510000000000007</v>
      </c>
      <c r="X25" s="7">
        <f>'India Sun Complex'!X40+'China Sun Complex'!X40</f>
        <v>3.8650000000000002</v>
      </c>
      <c r="Y25" s="7">
        <f>'India Sun Complex'!Y40+'China Sun Complex'!Y40</f>
        <v>4.7905549999999995</v>
      </c>
      <c r="Z25" s="7">
        <f>'India Sun Complex'!Z40+'China Sun Complex'!Z40</f>
        <v>6.0242110000000002</v>
      </c>
      <c r="AA25" s="7">
        <f>'India Sun Complex'!AA40+'China Sun Complex'!AA40</f>
        <v>6.8568050000000014</v>
      </c>
      <c r="AB25" s="7">
        <f>'India Sun Complex'!AB40+'China Sun Complex'!AB40</f>
        <v>6.7686359999999999</v>
      </c>
      <c r="AC25" s="8">
        <f>'India Sun Complex'!AC40+'China Sun Complex'!AC40</f>
        <v>6.6532400000000003</v>
      </c>
      <c r="AD25" s="8">
        <f>'India Sun Complex'!AD40+'China Sun Complex'!AD40</f>
        <v>9.4</v>
      </c>
    </row>
    <row r="26" spans="1:30" ht="15.75">
      <c r="A26" s="34" t="s">
        <v>12</v>
      </c>
      <c r="B26" s="48">
        <f>B20-B27</f>
        <v>655</v>
      </c>
      <c r="C26" s="48">
        <f t="shared" ref="C26:AD26" si="4">C20-C27</f>
        <v>674.37376399999994</v>
      </c>
      <c r="D26" s="48">
        <f t="shared" si="4"/>
        <v>724.13319300000001</v>
      </c>
      <c r="E26" s="48">
        <f t="shared" si="4"/>
        <v>1034.1066080000001</v>
      </c>
      <c r="F26" s="48">
        <f t="shared" si="4"/>
        <v>664.35528699999998</v>
      </c>
      <c r="G26" s="48">
        <f t="shared" si="4"/>
        <v>1053.0850690000002</v>
      </c>
      <c r="H26" s="48">
        <f t="shared" si="4"/>
        <v>1099.1131540000001</v>
      </c>
      <c r="I26" s="48">
        <f t="shared" si="4"/>
        <v>1135.4886000000001</v>
      </c>
      <c r="J26" s="48">
        <f t="shared" si="4"/>
        <v>743.09554000000003</v>
      </c>
      <c r="K26" s="48">
        <f t="shared" si="4"/>
        <v>913.98504799999989</v>
      </c>
      <c r="L26" s="48">
        <f t="shared" si="4"/>
        <v>979.17064600000003</v>
      </c>
      <c r="M26" s="48">
        <f t="shared" si="4"/>
        <v>862.80258000000015</v>
      </c>
      <c r="N26" s="48">
        <f t="shared" si="4"/>
        <v>1018.7893549999999</v>
      </c>
      <c r="O26" s="48">
        <f t="shared" si="4"/>
        <v>981.55500000000006</v>
      </c>
      <c r="P26" s="48">
        <f t="shared" si="4"/>
        <v>857.13699999999994</v>
      </c>
      <c r="Q26" s="48">
        <f t="shared" si="4"/>
        <v>1240.4120000000003</v>
      </c>
      <c r="R26" s="48">
        <f t="shared" si="4"/>
        <v>1344.3569999999997</v>
      </c>
      <c r="S26" s="48">
        <f t="shared" si="4"/>
        <v>1264.25</v>
      </c>
      <c r="T26" s="48">
        <f t="shared" si="4"/>
        <v>1671.6100000000001</v>
      </c>
      <c r="U26" s="48">
        <f t="shared" si="4"/>
        <v>2039.3509999999997</v>
      </c>
      <c r="V26" s="48">
        <f t="shared" si="4"/>
        <v>2498.6799999999998</v>
      </c>
      <c r="W26" s="48">
        <f t="shared" si="4"/>
        <v>2703.1509999999989</v>
      </c>
      <c r="X26" s="49">
        <f t="shared" si="4"/>
        <v>3047.8650000000002</v>
      </c>
      <c r="Y26" s="49">
        <f t="shared" si="4"/>
        <v>3336.7905549999996</v>
      </c>
      <c r="Z26" s="49">
        <f t="shared" si="4"/>
        <v>3934.0242109999999</v>
      </c>
      <c r="AA26" s="49">
        <f t="shared" si="4"/>
        <v>4052.8568049999994</v>
      </c>
      <c r="AB26" s="49">
        <f t="shared" si="4"/>
        <v>4875.7686359999998</v>
      </c>
      <c r="AC26" s="50">
        <f t="shared" si="4"/>
        <v>4683.8801021578947</v>
      </c>
      <c r="AD26" s="50">
        <f t="shared" si="4"/>
        <v>3571.3917265230111</v>
      </c>
    </row>
    <row r="27" spans="1:30" ht="16.5" thickBot="1">
      <c r="A27" s="41" t="s">
        <v>25</v>
      </c>
      <c r="B27" s="6">
        <f>'India Sun Complex'!B42+'China Sun Complex'!B42</f>
        <v>0</v>
      </c>
      <c r="C27" s="6">
        <f>'India Sun Complex'!C42+'China Sun Complex'!C42</f>
        <v>0</v>
      </c>
      <c r="D27" s="6">
        <f>'India Sun Complex'!D42+'China Sun Complex'!D42</f>
        <v>0</v>
      </c>
      <c r="E27" s="6">
        <f>'India Sun Complex'!E42+'China Sun Complex'!E42</f>
        <v>0</v>
      </c>
      <c r="F27" s="6">
        <f>'India Sun Complex'!F42+'China Sun Complex'!F42</f>
        <v>0</v>
      </c>
      <c r="G27" s="6">
        <f>'India Sun Complex'!G42+'China Sun Complex'!G42</f>
        <v>70</v>
      </c>
      <c r="H27" s="6">
        <f>'India Sun Complex'!H42+'China Sun Complex'!H42</f>
        <v>98</v>
      </c>
      <c r="I27" s="6">
        <f>'India Sun Complex'!I42+'China Sun Complex'!I42</f>
        <v>71</v>
      </c>
      <c r="J27" s="6">
        <f>'India Sun Complex'!J42+'China Sun Complex'!J42</f>
        <v>52</v>
      </c>
      <c r="K27" s="6">
        <f>'India Sun Complex'!K42+'China Sun Complex'!K42</f>
        <v>56</v>
      </c>
      <c r="L27" s="6">
        <f>'India Sun Complex'!L42+'China Sun Complex'!L42</f>
        <v>69</v>
      </c>
      <c r="M27" s="6">
        <f>'India Sun Complex'!M42+'China Sun Complex'!M42</f>
        <v>31</v>
      </c>
      <c r="N27" s="6">
        <f>'India Sun Complex'!N42+'China Sun Complex'!N42</f>
        <v>50</v>
      </c>
      <c r="O27" s="6">
        <f>'India Sun Complex'!O42+'China Sun Complex'!O42</f>
        <v>141</v>
      </c>
      <c r="P27" s="6">
        <f>'India Sun Complex'!P42+'China Sun Complex'!P42</f>
        <v>34</v>
      </c>
      <c r="Q27" s="6">
        <f>'India Sun Complex'!Q42+'China Sun Complex'!Q42</f>
        <v>167</v>
      </c>
      <c r="R27" s="6">
        <f>'India Sun Complex'!R42+'China Sun Complex'!R42</f>
        <v>205</v>
      </c>
      <c r="S27" s="6">
        <f>'India Sun Complex'!S42+'China Sun Complex'!S42</f>
        <v>138</v>
      </c>
      <c r="T27" s="6">
        <f>'India Sun Complex'!T42+'China Sun Complex'!T42</f>
        <v>204</v>
      </c>
      <c r="U27" s="6">
        <f>'India Sun Complex'!U42+'China Sun Complex'!U42</f>
        <v>150</v>
      </c>
      <c r="V27" s="6">
        <f>'India Sun Complex'!V42+'China Sun Complex'!V42</f>
        <v>343</v>
      </c>
      <c r="W27" s="6">
        <f>'India Sun Complex'!W42+'China Sun Complex'!W42</f>
        <v>335</v>
      </c>
      <c r="X27" s="7">
        <f>'India Sun Complex'!X42+'China Sun Complex'!X42</f>
        <v>264</v>
      </c>
      <c r="Y27" s="7">
        <f>'India Sun Complex'!Y42+'China Sun Complex'!Y42</f>
        <v>516</v>
      </c>
      <c r="Z27" s="7">
        <f>'India Sun Complex'!Z42+'China Sun Complex'!Z42</f>
        <v>563</v>
      </c>
      <c r="AA27" s="7">
        <f>'India Sun Complex'!AA42+'China Sun Complex'!AA42</f>
        <v>395</v>
      </c>
      <c r="AB27" s="7">
        <f>'India Sun Complex'!AB42+'China Sun Complex'!AB42</f>
        <v>250</v>
      </c>
      <c r="AC27" s="8">
        <f>'India Sun Complex'!AC42+'China Sun Complex'!AC42</f>
        <v>105</v>
      </c>
      <c r="AD27" s="8">
        <f>'India Sun Complex'!AD42+'China Sun Complex'!AD42</f>
        <v>110</v>
      </c>
    </row>
    <row r="28" spans="1:30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0">
      <c r="A29" s="1" t="s">
        <v>35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>
      <c r="A30" s="3"/>
      <c r="B30" s="4" t="str">
        <f>B2</f>
        <v xml:space="preserve">93/94 </v>
      </c>
      <c r="C30" s="4" t="str">
        <f t="shared" ref="C30:AD30" si="5">C2</f>
        <v xml:space="preserve">94/95 </v>
      </c>
      <c r="D30" s="4" t="str">
        <f t="shared" si="5"/>
        <v xml:space="preserve">95/96 </v>
      </c>
      <c r="E30" s="4" t="str">
        <f t="shared" si="5"/>
        <v xml:space="preserve">96/97 </v>
      </c>
      <c r="F30" s="4" t="str">
        <f t="shared" si="5"/>
        <v xml:space="preserve">97/98 </v>
      </c>
      <c r="G30" s="4" t="str">
        <f t="shared" si="5"/>
        <v xml:space="preserve">98/99 </v>
      </c>
      <c r="H30" s="4" t="str">
        <f t="shared" si="5"/>
        <v xml:space="preserve">99/00 </v>
      </c>
      <c r="I30" s="4" t="str">
        <f t="shared" si="5"/>
        <v xml:space="preserve">00/01 </v>
      </c>
      <c r="J30" s="4" t="str">
        <f t="shared" si="5"/>
        <v xml:space="preserve">01/02 </v>
      </c>
      <c r="K30" s="4" t="str">
        <f t="shared" si="5"/>
        <v xml:space="preserve">02/03 </v>
      </c>
      <c r="L30" s="4" t="str">
        <f t="shared" si="5"/>
        <v xml:space="preserve">03/04 </v>
      </c>
      <c r="M30" s="4" t="str">
        <f t="shared" si="5"/>
        <v xml:space="preserve">04/05 </v>
      </c>
      <c r="N30" s="4" t="str">
        <f t="shared" si="5"/>
        <v xml:space="preserve">05/06 </v>
      </c>
      <c r="O30" s="4" t="str">
        <f t="shared" si="5"/>
        <v xml:space="preserve">06/07 </v>
      </c>
      <c r="P30" s="4" t="str">
        <f t="shared" si="5"/>
        <v xml:space="preserve">07/08 </v>
      </c>
      <c r="Q30" s="4" t="str">
        <f t="shared" si="5"/>
        <v xml:space="preserve">08/09 </v>
      </c>
      <c r="R30" s="4" t="str">
        <f t="shared" si="5"/>
        <v xml:space="preserve">09/10 </v>
      </c>
      <c r="S30" s="4" t="str">
        <f t="shared" si="5"/>
        <v xml:space="preserve">10/11 </v>
      </c>
      <c r="T30" s="4" t="str">
        <f t="shared" si="5"/>
        <v xml:space="preserve">11/12 </v>
      </c>
      <c r="U30" s="4" t="str">
        <f t="shared" si="5"/>
        <v xml:space="preserve">12/13 </v>
      </c>
      <c r="V30" s="4" t="str">
        <f t="shared" si="5"/>
        <v xml:space="preserve">13/14 </v>
      </c>
      <c r="W30" s="4" t="str">
        <f t="shared" si="5"/>
        <v xml:space="preserve">14/15 </v>
      </c>
      <c r="X30" s="4" t="str">
        <f t="shared" si="5"/>
        <v xml:space="preserve">15/16 </v>
      </c>
      <c r="Y30" s="4" t="str">
        <f t="shared" si="5"/>
        <v xml:space="preserve">16/17 </v>
      </c>
      <c r="Z30" s="4" t="str">
        <f t="shared" si="5"/>
        <v xml:space="preserve">17/18 </v>
      </c>
      <c r="AA30" s="4" t="str">
        <f t="shared" si="5"/>
        <v xml:space="preserve">18/19 </v>
      </c>
      <c r="AB30" s="4" t="str">
        <f t="shared" si="5"/>
        <v xml:space="preserve">19/20 </v>
      </c>
      <c r="AC30" s="4" t="str">
        <f t="shared" si="5"/>
        <v xml:space="preserve">20/21 </v>
      </c>
      <c r="AD30" s="4" t="str">
        <f t="shared" si="5"/>
        <v>21/22</v>
      </c>
    </row>
    <row r="31" spans="1:30" ht="15.75">
      <c r="A31" s="5" t="s">
        <v>23</v>
      </c>
      <c r="B31" s="6">
        <f>B45-B17-B3</f>
        <v>378</v>
      </c>
      <c r="C31" s="6">
        <f t="shared" ref="C31:AD33" si="6">C45-C17-C3</f>
        <v>253</v>
      </c>
      <c r="D31" s="6">
        <f t="shared" si="6"/>
        <v>234</v>
      </c>
      <c r="E31" s="6">
        <f t="shared" si="6"/>
        <v>534</v>
      </c>
      <c r="F31" s="6">
        <f t="shared" si="6"/>
        <v>561</v>
      </c>
      <c r="G31" s="6">
        <f t="shared" si="6"/>
        <v>514</v>
      </c>
      <c r="H31" s="6">
        <f t="shared" si="6"/>
        <v>799</v>
      </c>
      <c r="I31" s="6">
        <f t="shared" si="6"/>
        <v>766</v>
      </c>
      <c r="J31" s="6">
        <f t="shared" si="6"/>
        <v>535</v>
      </c>
      <c r="K31" s="6">
        <f t="shared" si="6"/>
        <v>339</v>
      </c>
      <c r="L31" s="6">
        <f t="shared" si="6"/>
        <v>415</v>
      </c>
      <c r="M31" s="6">
        <f t="shared" si="6"/>
        <v>360</v>
      </c>
      <c r="N31" s="6">
        <f t="shared" si="6"/>
        <v>381</v>
      </c>
      <c r="O31" s="6">
        <f t="shared" si="6"/>
        <v>478</v>
      </c>
      <c r="P31" s="6">
        <f t="shared" si="6"/>
        <v>516</v>
      </c>
      <c r="Q31" s="6">
        <f t="shared" si="6"/>
        <v>461</v>
      </c>
      <c r="R31" s="6">
        <f t="shared" si="6"/>
        <v>826</v>
      </c>
      <c r="S31" s="6">
        <f t="shared" si="6"/>
        <v>907</v>
      </c>
      <c r="T31" s="6">
        <f t="shared" si="6"/>
        <v>948</v>
      </c>
      <c r="U31" s="6">
        <f t="shared" si="6"/>
        <v>1737</v>
      </c>
      <c r="V31" s="6">
        <f t="shared" si="6"/>
        <v>1462</v>
      </c>
      <c r="W31" s="6">
        <f t="shared" si="6"/>
        <v>1856</v>
      </c>
      <c r="X31" s="7">
        <f t="shared" si="6"/>
        <v>1608</v>
      </c>
      <c r="Y31" s="7">
        <f t="shared" si="6"/>
        <v>1136</v>
      </c>
      <c r="Z31" s="7">
        <f t="shared" si="6"/>
        <v>1018</v>
      </c>
      <c r="AA31" s="7">
        <f t="shared" si="6"/>
        <v>1059</v>
      </c>
      <c r="AB31" s="7">
        <f t="shared" si="6"/>
        <v>804</v>
      </c>
      <c r="AC31" s="7">
        <f t="shared" si="6"/>
        <v>978</v>
      </c>
      <c r="AD31" s="8">
        <f t="shared" si="6"/>
        <v>476</v>
      </c>
    </row>
    <row r="32" spans="1:30" ht="15.75">
      <c r="A32" s="5" t="s">
        <v>5</v>
      </c>
      <c r="B32" s="51">
        <f>B46-B18-B4</f>
        <v>2560.9883424384243</v>
      </c>
      <c r="C32" s="51">
        <f t="shared" si="6"/>
        <v>3618.2642998522251</v>
      </c>
      <c r="D32" s="51">
        <f t="shared" si="6"/>
        <v>3532.4038578931777</v>
      </c>
      <c r="E32" s="51">
        <f t="shared" si="6"/>
        <v>3740.1332788069649</v>
      </c>
      <c r="F32" s="51">
        <f t="shared" si="6"/>
        <v>3853.7532746777256</v>
      </c>
      <c r="G32" s="51">
        <f t="shared" si="6"/>
        <v>4384.9430625379582</v>
      </c>
      <c r="H32" s="51">
        <f t="shared" si="6"/>
        <v>3722.817134999661</v>
      </c>
      <c r="I32" s="51">
        <f t="shared" si="6"/>
        <v>2554.830546070295</v>
      </c>
      <c r="J32" s="51">
        <f t="shared" si="6"/>
        <v>2850.7864567449533</v>
      </c>
      <c r="K32" s="51">
        <f t="shared" si="6"/>
        <v>2594.0756077214828</v>
      </c>
      <c r="L32" s="51">
        <f t="shared" si="6"/>
        <v>2991.726637893993</v>
      </c>
      <c r="M32" s="51">
        <f t="shared" si="6"/>
        <v>3343.9923765062467</v>
      </c>
      <c r="N32" s="51">
        <f t="shared" si="6"/>
        <v>3415.095334634756</v>
      </c>
      <c r="O32" s="51">
        <f t="shared" si="6"/>
        <v>3298.5606587198781</v>
      </c>
      <c r="P32" s="51">
        <f t="shared" si="6"/>
        <v>3972.6172994478266</v>
      </c>
      <c r="Q32" s="51">
        <f t="shared" si="6"/>
        <v>3703.5992447064764</v>
      </c>
      <c r="R32" s="51">
        <f t="shared" si="6"/>
        <v>3827.5640981168162</v>
      </c>
      <c r="S32" s="51">
        <f t="shared" si="6"/>
        <v>4033.7239737226882</v>
      </c>
      <c r="T32" s="51">
        <f t="shared" si="6"/>
        <v>3980.7829876221767</v>
      </c>
      <c r="U32" s="51">
        <f t="shared" si="6"/>
        <v>3527.212105999999</v>
      </c>
      <c r="V32" s="51">
        <f t="shared" si="6"/>
        <v>3948.9549804831458</v>
      </c>
      <c r="W32" s="51">
        <f t="shared" si="6"/>
        <v>4257.3256269999983</v>
      </c>
      <c r="X32" s="64">
        <f t="shared" si="6"/>
        <v>4466.1825169999993</v>
      </c>
      <c r="Y32" s="64">
        <f t="shared" si="6"/>
        <v>3378.2471830670893</v>
      </c>
      <c r="Z32" s="64">
        <f t="shared" si="6"/>
        <v>3866.1988440904242</v>
      </c>
      <c r="AA32" s="64">
        <f t="shared" si="6"/>
        <v>4068.4651233444893</v>
      </c>
      <c r="AB32" s="64">
        <f t="shared" si="6"/>
        <v>4230.2597551510771</v>
      </c>
      <c r="AC32" s="65">
        <f t="shared" si="6"/>
        <v>4237.8547368421059</v>
      </c>
      <c r="AD32" s="65">
        <f t="shared" si="6"/>
        <v>6840.988273476989</v>
      </c>
    </row>
    <row r="33" spans="1:30" ht="15.75">
      <c r="A33" s="5" t="s">
        <v>6</v>
      </c>
      <c r="B33" s="6">
        <f>B47-B19-B5</f>
        <v>1506</v>
      </c>
      <c r="C33" s="6">
        <f t="shared" si="6"/>
        <v>2234.6999999999998</v>
      </c>
      <c r="D33" s="6">
        <f t="shared" si="6"/>
        <v>2118.991567</v>
      </c>
      <c r="E33" s="6">
        <f t="shared" si="6"/>
        <v>2245.6341969999999</v>
      </c>
      <c r="F33" s="6">
        <f t="shared" si="6"/>
        <v>1992.2624590000003</v>
      </c>
      <c r="G33" s="6">
        <f t="shared" si="6"/>
        <v>1823.694598</v>
      </c>
      <c r="H33" s="6">
        <f t="shared" si="6"/>
        <v>1525.2882970000001</v>
      </c>
      <c r="I33" s="6">
        <f t="shared" si="6"/>
        <v>1206.091414</v>
      </c>
      <c r="J33" s="6">
        <f t="shared" si="6"/>
        <v>977.44268600000009</v>
      </c>
      <c r="K33" s="6">
        <f t="shared" si="6"/>
        <v>919.81146999999987</v>
      </c>
      <c r="L33" s="6">
        <f t="shared" si="6"/>
        <v>1166.2409280000002</v>
      </c>
      <c r="M33" s="6">
        <f t="shared" si="6"/>
        <v>1144.4432770000003</v>
      </c>
      <c r="N33" s="6">
        <f t="shared" si="6"/>
        <v>1852.4968789999998</v>
      </c>
      <c r="O33" s="6">
        <f t="shared" si="6"/>
        <v>1833.2345809999997</v>
      </c>
      <c r="P33" s="6">
        <f t="shared" si="6"/>
        <v>1414.5637909999998</v>
      </c>
      <c r="Q33" s="6">
        <f t="shared" si="6"/>
        <v>2400.5281960000002</v>
      </c>
      <c r="R33" s="6">
        <f t="shared" si="6"/>
        <v>2061.742373</v>
      </c>
      <c r="S33" s="6">
        <f t="shared" si="6"/>
        <v>2089.2758329999997</v>
      </c>
      <c r="T33" s="6">
        <f t="shared" si="6"/>
        <v>3673.1711869999999</v>
      </c>
      <c r="U33" s="6">
        <f t="shared" si="6"/>
        <v>2812.5818939999999</v>
      </c>
      <c r="V33" s="6">
        <f t="shared" si="6"/>
        <v>3947.296233</v>
      </c>
      <c r="W33" s="6">
        <f t="shared" si="6"/>
        <v>3394.6603730000006</v>
      </c>
      <c r="X33" s="7">
        <f t="shared" si="6"/>
        <v>3460.1034829999999</v>
      </c>
      <c r="Y33" s="7">
        <f t="shared" si="6"/>
        <v>4598.9656750000004</v>
      </c>
      <c r="Z33" s="7">
        <f t="shared" si="6"/>
        <v>4253.2168279999996</v>
      </c>
      <c r="AA33" s="7">
        <f t="shared" si="6"/>
        <v>4325.2393789999996</v>
      </c>
      <c r="AB33" s="7">
        <f t="shared" si="6"/>
        <v>5083.8025239999997</v>
      </c>
      <c r="AC33" s="8">
        <f t="shared" si="6"/>
        <v>4415.1837750000004</v>
      </c>
      <c r="AD33" s="8">
        <f t="shared" si="6"/>
        <v>6829.717039000001</v>
      </c>
    </row>
    <row r="34" spans="1:30" ht="15.75">
      <c r="A34" s="34" t="s">
        <v>7</v>
      </c>
      <c r="B34" s="48">
        <f>SUM(B31:B33)</f>
        <v>4444.9883424384243</v>
      </c>
      <c r="C34" s="48">
        <f t="shared" ref="C34:AD34" si="7">SUM(C31:C33)</f>
        <v>6105.9642998522249</v>
      </c>
      <c r="D34" s="48">
        <f t="shared" si="7"/>
        <v>5885.3954248931777</v>
      </c>
      <c r="E34" s="48">
        <f t="shared" si="7"/>
        <v>6519.7674758069643</v>
      </c>
      <c r="F34" s="48">
        <f t="shared" si="7"/>
        <v>6407.0157336777256</v>
      </c>
      <c r="G34" s="48">
        <f t="shared" si="7"/>
        <v>6722.6376605379583</v>
      </c>
      <c r="H34" s="48">
        <f t="shared" si="7"/>
        <v>6047.1054319996611</v>
      </c>
      <c r="I34" s="48">
        <f t="shared" si="7"/>
        <v>4526.9219600702945</v>
      </c>
      <c r="J34" s="48">
        <f t="shared" si="7"/>
        <v>4363.2291427449536</v>
      </c>
      <c r="K34" s="48">
        <f t="shared" si="7"/>
        <v>3852.8870777214825</v>
      </c>
      <c r="L34" s="48">
        <f t="shared" si="7"/>
        <v>4572.9675658939932</v>
      </c>
      <c r="M34" s="48">
        <f t="shared" si="7"/>
        <v>4848.435653506247</v>
      </c>
      <c r="N34" s="48">
        <f t="shared" si="7"/>
        <v>5648.5922136347563</v>
      </c>
      <c r="O34" s="48">
        <f t="shared" si="7"/>
        <v>5609.7952397198778</v>
      </c>
      <c r="P34" s="48">
        <f t="shared" si="7"/>
        <v>5903.1810904478261</v>
      </c>
      <c r="Q34" s="48">
        <f t="shared" si="7"/>
        <v>6565.1274407064766</v>
      </c>
      <c r="R34" s="48">
        <f t="shared" si="7"/>
        <v>6715.3064711168163</v>
      </c>
      <c r="S34" s="48">
        <f t="shared" si="7"/>
        <v>7029.9998067226879</v>
      </c>
      <c r="T34" s="48">
        <f t="shared" si="7"/>
        <v>8601.9541746221767</v>
      </c>
      <c r="U34" s="48">
        <f t="shared" si="7"/>
        <v>8076.793999999999</v>
      </c>
      <c r="V34" s="48">
        <f t="shared" si="7"/>
        <v>9358.251213483145</v>
      </c>
      <c r="W34" s="48">
        <f t="shared" si="7"/>
        <v>9507.985999999999</v>
      </c>
      <c r="X34" s="49">
        <f t="shared" si="7"/>
        <v>9534.2860000000001</v>
      </c>
      <c r="Y34" s="49">
        <f t="shared" si="7"/>
        <v>9113.2128580670906</v>
      </c>
      <c r="Z34" s="49">
        <f t="shared" si="7"/>
        <v>9137.4156720904248</v>
      </c>
      <c r="AA34" s="49">
        <f t="shared" si="7"/>
        <v>9452.704502344488</v>
      </c>
      <c r="AB34" s="49">
        <f t="shared" si="7"/>
        <v>10118.062279151076</v>
      </c>
      <c r="AC34" s="50">
        <f t="shared" si="7"/>
        <v>9631.0385118421073</v>
      </c>
      <c r="AD34" s="50">
        <f t="shared" si="7"/>
        <v>14146.70531247699</v>
      </c>
    </row>
    <row r="35" spans="1:30" ht="15.75">
      <c r="A35" s="5" t="s">
        <v>24</v>
      </c>
      <c r="B35" s="6">
        <f>B49-B21-B7</f>
        <v>2956.9883424384243</v>
      </c>
      <c r="C35" s="6">
        <f t="shared" ref="C35:AD39" si="8">C49-C21-C7</f>
        <v>3364.3380638522249</v>
      </c>
      <c r="D35" s="6">
        <f t="shared" si="8"/>
        <v>3309.5286178931783</v>
      </c>
      <c r="E35" s="6">
        <f t="shared" si="8"/>
        <v>3354.9740838069647</v>
      </c>
      <c r="F35" s="6">
        <f t="shared" si="8"/>
        <v>3292.9921526777252</v>
      </c>
      <c r="G35" s="6">
        <f t="shared" si="8"/>
        <v>3276.2437445379574</v>
      </c>
      <c r="H35" s="6">
        <f t="shared" si="8"/>
        <v>3274.3601950096609</v>
      </c>
      <c r="I35" s="6">
        <f t="shared" si="8"/>
        <v>2628.0424180702948</v>
      </c>
      <c r="J35" s="6">
        <f t="shared" si="8"/>
        <v>2687.2383335949535</v>
      </c>
      <c r="K35" s="6">
        <f t="shared" si="8"/>
        <v>2283.1754957214816</v>
      </c>
      <c r="L35" s="6">
        <f t="shared" si="8"/>
        <v>2860.4182928939917</v>
      </c>
      <c r="M35" s="6">
        <f t="shared" si="8"/>
        <v>2963.1447485062463</v>
      </c>
      <c r="N35" s="6">
        <f t="shared" si="8"/>
        <v>3605.8705686347548</v>
      </c>
      <c r="O35" s="6">
        <f t="shared" si="8"/>
        <v>3723.2892397198775</v>
      </c>
      <c r="P35" s="6">
        <f t="shared" si="8"/>
        <v>3701.3680904478269</v>
      </c>
      <c r="Q35" s="6">
        <f t="shared" si="8"/>
        <v>4313.8714407064763</v>
      </c>
      <c r="R35" s="6">
        <f t="shared" si="8"/>
        <v>4513.1584711168161</v>
      </c>
      <c r="S35" s="6">
        <f t="shared" si="8"/>
        <v>4555.8078067226888</v>
      </c>
      <c r="T35" s="6">
        <f t="shared" si="8"/>
        <v>5481.2701746221765</v>
      </c>
      <c r="U35" s="6">
        <f t="shared" si="8"/>
        <v>5480.2839999999997</v>
      </c>
      <c r="V35" s="6">
        <f t="shared" si="8"/>
        <v>6230.287213483145</v>
      </c>
      <c r="W35" s="6">
        <f t="shared" si="8"/>
        <v>6026.6</v>
      </c>
      <c r="X35" s="7">
        <f t="shared" si="8"/>
        <v>6897.5700000000015</v>
      </c>
      <c r="Y35" s="7">
        <f t="shared" si="8"/>
        <v>5920.665124067089</v>
      </c>
      <c r="Z35" s="7">
        <f t="shared" si="8"/>
        <v>5847.7333851601761</v>
      </c>
      <c r="AA35" s="7">
        <f t="shared" si="8"/>
        <v>6440.0282149999985</v>
      </c>
      <c r="AB35" s="7">
        <f t="shared" si="8"/>
        <v>7128.3722450000005</v>
      </c>
      <c r="AC35" s="8">
        <f t="shared" si="8"/>
        <v>6766.4492630000004</v>
      </c>
      <c r="AD35" s="8">
        <f t="shared" si="8"/>
        <v>8109.0137409999998</v>
      </c>
    </row>
    <row r="36" spans="1:30" ht="15.75">
      <c r="A36" s="5" t="s">
        <v>30</v>
      </c>
      <c r="B36" s="6">
        <f>B50-B22-B8</f>
        <v>156</v>
      </c>
      <c r="C36" s="6">
        <f t="shared" si="8"/>
        <v>152</v>
      </c>
      <c r="D36" s="6">
        <f t="shared" si="8"/>
        <v>153</v>
      </c>
      <c r="E36" s="6">
        <f t="shared" si="8"/>
        <v>150</v>
      </c>
      <c r="F36" s="6">
        <f t="shared" si="8"/>
        <v>126</v>
      </c>
      <c r="G36" s="6">
        <f t="shared" si="8"/>
        <v>120</v>
      </c>
      <c r="H36" s="6">
        <f t="shared" si="8"/>
        <v>24</v>
      </c>
      <c r="I36" s="6">
        <f t="shared" si="8"/>
        <v>12</v>
      </c>
      <c r="J36" s="6">
        <f t="shared" si="8"/>
        <v>10</v>
      </c>
      <c r="K36" s="6">
        <f t="shared" si="8"/>
        <v>11</v>
      </c>
      <c r="L36" s="6">
        <f t="shared" si="8"/>
        <v>13</v>
      </c>
      <c r="M36" s="6">
        <f t="shared" si="8"/>
        <v>19</v>
      </c>
      <c r="N36" s="6">
        <f t="shared" si="8"/>
        <v>23</v>
      </c>
      <c r="O36" s="6">
        <f t="shared" si="8"/>
        <v>24</v>
      </c>
      <c r="P36" s="6">
        <f t="shared" si="8"/>
        <v>24</v>
      </c>
      <c r="Q36" s="6">
        <f t="shared" si="8"/>
        <v>24</v>
      </c>
      <c r="R36" s="6">
        <f t="shared" si="8"/>
        <v>24</v>
      </c>
      <c r="S36" s="6">
        <f t="shared" si="8"/>
        <v>28</v>
      </c>
      <c r="T36" s="6">
        <f t="shared" si="8"/>
        <v>32</v>
      </c>
      <c r="U36" s="6">
        <f t="shared" si="8"/>
        <v>42</v>
      </c>
      <c r="V36" s="6">
        <f t="shared" si="8"/>
        <v>32</v>
      </c>
      <c r="W36" s="6">
        <f t="shared" si="8"/>
        <v>22</v>
      </c>
      <c r="X36" s="7">
        <f t="shared" si="8"/>
        <v>27</v>
      </c>
      <c r="Y36" s="7">
        <f t="shared" si="8"/>
        <v>22</v>
      </c>
      <c r="Z36" s="7">
        <f t="shared" si="8"/>
        <v>22</v>
      </c>
      <c r="AA36" s="7">
        <f t="shared" si="8"/>
        <v>23</v>
      </c>
      <c r="AB36" s="7">
        <f t="shared" si="8"/>
        <v>33</v>
      </c>
      <c r="AC36" s="8">
        <f t="shared" si="8"/>
        <v>48</v>
      </c>
      <c r="AD36" s="8">
        <f t="shared" si="8"/>
        <v>18</v>
      </c>
    </row>
    <row r="37" spans="1:30" ht="15.75">
      <c r="A37" s="5" t="s">
        <v>31</v>
      </c>
      <c r="B37" s="6">
        <f>B51-B23-B9</f>
        <v>30</v>
      </c>
      <c r="C37" s="6">
        <f t="shared" si="8"/>
        <v>25</v>
      </c>
      <c r="D37" s="6">
        <f t="shared" si="8"/>
        <v>27</v>
      </c>
      <c r="E37" s="6">
        <f t="shared" si="8"/>
        <v>25</v>
      </c>
      <c r="F37" s="6">
        <f t="shared" si="8"/>
        <v>30</v>
      </c>
      <c r="G37" s="6">
        <f t="shared" si="8"/>
        <v>50</v>
      </c>
      <c r="H37" s="6">
        <f t="shared" si="8"/>
        <v>40</v>
      </c>
      <c r="I37" s="6">
        <f t="shared" si="8"/>
        <v>17</v>
      </c>
      <c r="J37" s="6">
        <f t="shared" si="8"/>
        <v>14</v>
      </c>
      <c r="K37" s="6">
        <f t="shared" si="8"/>
        <v>16</v>
      </c>
      <c r="L37" s="6">
        <f t="shared" si="8"/>
        <v>25</v>
      </c>
      <c r="M37" s="6">
        <f t="shared" si="8"/>
        <v>25</v>
      </c>
      <c r="N37" s="6">
        <f t="shared" si="8"/>
        <v>25</v>
      </c>
      <c r="O37" s="6">
        <f t="shared" si="8"/>
        <v>25</v>
      </c>
      <c r="P37" s="6">
        <f t="shared" si="8"/>
        <v>37</v>
      </c>
      <c r="Q37" s="6">
        <f t="shared" si="8"/>
        <v>43</v>
      </c>
      <c r="R37" s="6">
        <f t="shared" si="8"/>
        <v>41</v>
      </c>
      <c r="S37" s="6">
        <f t="shared" si="8"/>
        <v>40</v>
      </c>
      <c r="T37" s="6">
        <f t="shared" si="8"/>
        <v>45</v>
      </c>
      <c r="U37" s="6">
        <f t="shared" si="8"/>
        <v>45</v>
      </c>
      <c r="V37" s="6">
        <f t="shared" si="8"/>
        <v>40</v>
      </c>
      <c r="W37" s="6">
        <f t="shared" si="8"/>
        <v>31</v>
      </c>
      <c r="X37" s="7">
        <f t="shared" si="8"/>
        <v>30</v>
      </c>
      <c r="Y37" s="7">
        <f t="shared" si="8"/>
        <v>30</v>
      </c>
      <c r="Z37" s="7">
        <f t="shared" si="8"/>
        <v>30</v>
      </c>
      <c r="AA37" s="7">
        <f t="shared" si="8"/>
        <v>21</v>
      </c>
      <c r="AB37" s="7">
        <f t="shared" si="8"/>
        <v>20</v>
      </c>
      <c r="AC37" s="8">
        <f t="shared" si="8"/>
        <v>20</v>
      </c>
      <c r="AD37" s="8">
        <f t="shared" si="8"/>
        <v>20</v>
      </c>
    </row>
    <row r="38" spans="1:30" ht="15.75">
      <c r="A38" s="5" t="s">
        <v>32</v>
      </c>
      <c r="B38" s="6">
        <f>B52-B24-B10</f>
        <v>2770.9883424384243</v>
      </c>
      <c r="C38" s="6">
        <f t="shared" si="8"/>
        <v>3187.3380638522249</v>
      </c>
      <c r="D38" s="6">
        <f t="shared" si="8"/>
        <v>3129.5286178931783</v>
      </c>
      <c r="E38" s="6">
        <f t="shared" si="8"/>
        <v>3179.9740838069652</v>
      </c>
      <c r="F38" s="6">
        <f t="shared" si="8"/>
        <v>3136.9921526777252</v>
      </c>
      <c r="G38" s="6">
        <f t="shared" si="8"/>
        <v>3104.2437445379574</v>
      </c>
      <c r="H38" s="6">
        <f t="shared" si="8"/>
        <v>3188.3601950096609</v>
      </c>
      <c r="I38" s="6">
        <f t="shared" si="8"/>
        <v>2583.0424180702948</v>
      </c>
      <c r="J38" s="6">
        <f t="shared" si="8"/>
        <v>2661.2383335949535</v>
      </c>
      <c r="K38" s="6">
        <f t="shared" si="8"/>
        <v>2253.1754957214821</v>
      </c>
      <c r="L38" s="6">
        <f t="shared" si="8"/>
        <v>2819.4182928939917</v>
      </c>
      <c r="M38" s="6">
        <f t="shared" si="8"/>
        <v>2916.1447485062463</v>
      </c>
      <c r="N38" s="6">
        <f t="shared" si="8"/>
        <v>3555.8705686347548</v>
      </c>
      <c r="O38" s="6">
        <f t="shared" si="8"/>
        <v>3671.2892397198775</v>
      </c>
      <c r="P38" s="6">
        <f t="shared" si="8"/>
        <v>3638.3680904478269</v>
      </c>
      <c r="Q38" s="6">
        <f t="shared" si="8"/>
        <v>4243.8714407064763</v>
      </c>
      <c r="R38" s="6">
        <f t="shared" si="8"/>
        <v>4445.1584711168161</v>
      </c>
      <c r="S38" s="6">
        <f t="shared" si="8"/>
        <v>4484.8078067226888</v>
      </c>
      <c r="T38" s="6">
        <f t="shared" si="8"/>
        <v>5399.2701746221765</v>
      </c>
      <c r="U38" s="6">
        <f t="shared" si="8"/>
        <v>5388.2839999999997</v>
      </c>
      <c r="V38" s="6">
        <f t="shared" si="8"/>
        <v>6148.287213483145</v>
      </c>
      <c r="W38" s="6">
        <f t="shared" si="8"/>
        <v>5963.6</v>
      </c>
      <c r="X38" s="7">
        <f t="shared" si="8"/>
        <v>6830.5700000000015</v>
      </c>
      <c r="Y38" s="7">
        <f t="shared" si="8"/>
        <v>5858.665124067089</v>
      </c>
      <c r="Z38" s="7">
        <f t="shared" si="8"/>
        <v>5782.7333851601761</v>
      </c>
      <c r="AA38" s="7">
        <f t="shared" si="8"/>
        <v>6383.0282149999985</v>
      </c>
      <c r="AB38" s="7">
        <f t="shared" si="8"/>
        <v>7062.3722450000005</v>
      </c>
      <c r="AC38" s="8">
        <f t="shared" si="8"/>
        <v>6698.4492630000004</v>
      </c>
      <c r="AD38" s="8">
        <f t="shared" si="8"/>
        <v>8071.0137409999998</v>
      </c>
    </row>
    <row r="39" spans="1:30" ht="15.75">
      <c r="A39" s="5" t="s">
        <v>9</v>
      </c>
      <c r="B39" s="6">
        <f>B53-B25-B11</f>
        <v>1235</v>
      </c>
      <c r="C39" s="6">
        <f t="shared" si="8"/>
        <v>2507.6</v>
      </c>
      <c r="D39" s="6">
        <f t="shared" si="8"/>
        <v>2041.8668069999999</v>
      </c>
      <c r="E39" s="6">
        <f t="shared" si="8"/>
        <v>2603.793392</v>
      </c>
      <c r="F39" s="6">
        <f t="shared" si="8"/>
        <v>2600.0235810000004</v>
      </c>
      <c r="G39" s="6">
        <f t="shared" si="8"/>
        <v>2607.478916</v>
      </c>
      <c r="H39" s="6">
        <f t="shared" si="8"/>
        <v>2006.74523699</v>
      </c>
      <c r="I39" s="6">
        <f t="shared" si="8"/>
        <v>1363.8795419999997</v>
      </c>
      <c r="J39" s="6">
        <f t="shared" si="8"/>
        <v>1336.9908091499999</v>
      </c>
      <c r="K39" s="6">
        <f t="shared" si="8"/>
        <v>1154.7115820000001</v>
      </c>
      <c r="L39" s="6">
        <f t="shared" si="8"/>
        <v>1352.5492730000001</v>
      </c>
      <c r="M39" s="6">
        <f t="shared" si="8"/>
        <v>1504.2909050000003</v>
      </c>
      <c r="N39" s="6">
        <f t="shared" si="8"/>
        <v>1564.7216450000001</v>
      </c>
      <c r="O39" s="6">
        <f t="shared" si="8"/>
        <v>1370.5059999999999</v>
      </c>
      <c r="P39" s="6">
        <f t="shared" si="8"/>
        <v>1740.8129999999996</v>
      </c>
      <c r="Q39" s="6">
        <f t="shared" si="8"/>
        <v>1425.2559999999994</v>
      </c>
      <c r="R39" s="6">
        <f t="shared" si="8"/>
        <v>1295.1480000000001</v>
      </c>
      <c r="S39" s="6">
        <f t="shared" si="8"/>
        <v>1526.192</v>
      </c>
      <c r="T39" s="6">
        <f t="shared" si="8"/>
        <v>1383.6840000000002</v>
      </c>
      <c r="U39" s="6">
        <f t="shared" si="8"/>
        <v>1134.5100000000002</v>
      </c>
      <c r="V39" s="6">
        <f t="shared" si="8"/>
        <v>1271.9639999999999</v>
      </c>
      <c r="W39" s="6">
        <f t="shared" si="8"/>
        <v>1873.3860000000004</v>
      </c>
      <c r="X39" s="7">
        <f t="shared" si="8"/>
        <v>1584.7160000000003</v>
      </c>
      <c r="Y39" s="7">
        <f t="shared" si="8"/>
        <v>2174.5477339999998</v>
      </c>
      <c r="Z39" s="7">
        <f t="shared" si="8"/>
        <v>2247.2495839999992</v>
      </c>
      <c r="AA39" s="7">
        <f t="shared" si="8"/>
        <v>2161.1694260000022</v>
      </c>
      <c r="AB39" s="7">
        <f t="shared" si="8"/>
        <v>2147.4911239999983</v>
      </c>
      <c r="AC39" s="8">
        <f t="shared" si="8"/>
        <v>2058.5549410000003</v>
      </c>
      <c r="AD39" s="8">
        <f t="shared" si="8"/>
        <v>4269.983298000001</v>
      </c>
    </row>
    <row r="40" spans="1:30" ht="15.75">
      <c r="A40" s="34" t="s">
        <v>12</v>
      </c>
      <c r="B40" s="48">
        <f>B34-B41</f>
        <v>4191.9883424384243</v>
      </c>
      <c r="C40" s="48">
        <f t="shared" ref="C40:AD40" si="9">C34-C41</f>
        <v>5871.9642998522249</v>
      </c>
      <c r="D40" s="48">
        <f t="shared" si="9"/>
        <v>5351.3954248931777</v>
      </c>
      <c r="E40" s="48">
        <f t="shared" si="9"/>
        <v>5958.7674758069643</v>
      </c>
      <c r="F40" s="48">
        <f t="shared" si="9"/>
        <v>5893.0157336777256</v>
      </c>
      <c r="G40" s="48">
        <f t="shared" si="9"/>
        <v>5883.6376605379583</v>
      </c>
      <c r="H40" s="48">
        <f t="shared" si="9"/>
        <v>5281.1054319996611</v>
      </c>
      <c r="I40" s="48">
        <f t="shared" si="9"/>
        <v>3991.9219600702945</v>
      </c>
      <c r="J40" s="48">
        <f t="shared" si="9"/>
        <v>4024.2291427449536</v>
      </c>
      <c r="K40" s="48">
        <f t="shared" si="9"/>
        <v>3437.8870777214825</v>
      </c>
      <c r="L40" s="48">
        <f t="shared" si="9"/>
        <v>4212.9675658939932</v>
      </c>
      <c r="M40" s="48">
        <f t="shared" si="9"/>
        <v>4467.435653506247</v>
      </c>
      <c r="N40" s="48">
        <f t="shared" si="9"/>
        <v>5170.5922136347563</v>
      </c>
      <c r="O40" s="48">
        <f t="shared" si="9"/>
        <v>5093.7952397198778</v>
      </c>
      <c r="P40" s="48">
        <f t="shared" si="9"/>
        <v>5442.1810904478261</v>
      </c>
      <c r="Q40" s="48">
        <f t="shared" si="9"/>
        <v>5739.1274407064766</v>
      </c>
      <c r="R40" s="48">
        <f t="shared" si="9"/>
        <v>5808.3064711168163</v>
      </c>
      <c r="S40" s="48">
        <f t="shared" si="9"/>
        <v>6081.9998067226879</v>
      </c>
      <c r="T40" s="48">
        <f t="shared" si="9"/>
        <v>6864.9541746221767</v>
      </c>
      <c r="U40" s="48">
        <f t="shared" si="9"/>
        <v>6614.793999999999</v>
      </c>
      <c r="V40" s="48">
        <f t="shared" si="9"/>
        <v>7502.251213483145</v>
      </c>
      <c r="W40" s="48">
        <f t="shared" si="9"/>
        <v>7899.985999999999</v>
      </c>
      <c r="X40" s="49">
        <f t="shared" si="9"/>
        <v>8482.2860000000001</v>
      </c>
      <c r="Y40" s="49">
        <f t="shared" si="9"/>
        <v>8095.2128580670906</v>
      </c>
      <c r="Z40" s="49">
        <f t="shared" si="9"/>
        <v>8078.4156720904248</v>
      </c>
      <c r="AA40" s="49">
        <f t="shared" si="9"/>
        <v>8648.704502344488</v>
      </c>
      <c r="AB40" s="49">
        <f t="shared" si="9"/>
        <v>9140.0622791510759</v>
      </c>
      <c r="AC40" s="50">
        <f t="shared" si="9"/>
        <v>9155.0385118421073</v>
      </c>
      <c r="AD40" s="50">
        <f t="shared" si="9"/>
        <v>13707.005312476991</v>
      </c>
    </row>
    <row r="41" spans="1:30" ht="16.5" thickBot="1">
      <c r="A41" s="41" t="s">
        <v>25</v>
      </c>
      <c r="B41" s="6">
        <f>B55-B27-B13</f>
        <v>253</v>
      </c>
      <c r="C41" s="6">
        <f t="shared" ref="C41:AD41" si="10">C55-C27-C13</f>
        <v>234</v>
      </c>
      <c r="D41" s="6">
        <f t="shared" si="10"/>
        <v>534</v>
      </c>
      <c r="E41" s="6">
        <f t="shared" si="10"/>
        <v>561</v>
      </c>
      <c r="F41" s="6">
        <f t="shared" si="10"/>
        <v>514</v>
      </c>
      <c r="G41" s="6">
        <f t="shared" si="10"/>
        <v>839</v>
      </c>
      <c r="H41" s="6">
        <f t="shared" si="10"/>
        <v>766</v>
      </c>
      <c r="I41" s="6">
        <f t="shared" si="10"/>
        <v>535</v>
      </c>
      <c r="J41" s="6">
        <f t="shared" si="10"/>
        <v>339</v>
      </c>
      <c r="K41" s="6">
        <f t="shared" si="10"/>
        <v>415</v>
      </c>
      <c r="L41" s="6">
        <f t="shared" si="10"/>
        <v>360</v>
      </c>
      <c r="M41" s="6">
        <f t="shared" si="10"/>
        <v>381</v>
      </c>
      <c r="N41" s="6">
        <f t="shared" si="10"/>
        <v>478</v>
      </c>
      <c r="O41" s="6">
        <f t="shared" si="10"/>
        <v>516</v>
      </c>
      <c r="P41" s="6">
        <f t="shared" si="10"/>
        <v>461</v>
      </c>
      <c r="Q41" s="6">
        <f t="shared" si="10"/>
        <v>826</v>
      </c>
      <c r="R41" s="6">
        <f t="shared" si="10"/>
        <v>907</v>
      </c>
      <c r="S41" s="6">
        <f t="shared" si="10"/>
        <v>948</v>
      </c>
      <c r="T41" s="6">
        <f t="shared" si="10"/>
        <v>1737</v>
      </c>
      <c r="U41" s="6">
        <f t="shared" si="10"/>
        <v>1462</v>
      </c>
      <c r="V41" s="6">
        <f t="shared" si="10"/>
        <v>1856</v>
      </c>
      <c r="W41" s="6">
        <f t="shared" si="10"/>
        <v>1608</v>
      </c>
      <c r="X41" s="7">
        <f t="shared" si="10"/>
        <v>1052</v>
      </c>
      <c r="Y41" s="7">
        <f t="shared" si="10"/>
        <v>1018</v>
      </c>
      <c r="Z41" s="7">
        <f t="shared" si="10"/>
        <v>1059</v>
      </c>
      <c r="AA41" s="7">
        <f t="shared" si="10"/>
        <v>804</v>
      </c>
      <c r="AB41" s="7">
        <f t="shared" si="10"/>
        <v>978</v>
      </c>
      <c r="AC41" s="8">
        <f t="shared" si="10"/>
        <v>476</v>
      </c>
      <c r="AD41" s="8">
        <f t="shared" si="10"/>
        <v>439.69999999999982</v>
      </c>
    </row>
    <row r="42" spans="1:30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0">
      <c r="A43" s="1" t="s">
        <v>36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>
      <c r="A44" s="3"/>
      <c r="B44" s="4" t="str">
        <f>B2</f>
        <v xml:space="preserve">93/94 </v>
      </c>
      <c r="C44" s="4" t="str">
        <f t="shared" ref="C44:AD44" si="11">C2</f>
        <v xml:space="preserve">94/95 </v>
      </c>
      <c r="D44" s="4" t="str">
        <f t="shared" si="11"/>
        <v xml:space="preserve">95/96 </v>
      </c>
      <c r="E44" s="4" t="str">
        <f t="shared" si="11"/>
        <v xml:space="preserve">96/97 </v>
      </c>
      <c r="F44" s="4" t="str">
        <f t="shared" si="11"/>
        <v xml:space="preserve">97/98 </v>
      </c>
      <c r="G44" s="4" t="str">
        <f t="shared" si="11"/>
        <v xml:space="preserve">98/99 </v>
      </c>
      <c r="H44" s="4" t="str">
        <f t="shared" si="11"/>
        <v xml:space="preserve">99/00 </v>
      </c>
      <c r="I44" s="4" t="str">
        <f t="shared" si="11"/>
        <v xml:space="preserve">00/01 </v>
      </c>
      <c r="J44" s="4" t="str">
        <f t="shared" si="11"/>
        <v xml:space="preserve">01/02 </v>
      </c>
      <c r="K44" s="4" t="str">
        <f t="shared" si="11"/>
        <v xml:space="preserve">02/03 </v>
      </c>
      <c r="L44" s="4" t="str">
        <f t="shared" si="11"/>
        <v xml:space="preserve">03/04 </v>
      </c>
      <c r="M44" s="4" t="str">
        <f t="shared" si="11"/>
        <v xml:space="preserve">04/05 </v>
      </c>
      <c r="N44" s="4" t="str">
        <f t="shared" si="11"/>
        <v xml:space="preserve">05/06 </v>
      </c>
      <c r="O44" s="4" t="str">
        <f t="shared" si="11"/>
        <v xml:space="preserve">06/07 </v>
      </c>
      <c r="P44" s="4" t="str">
        <f t="shared" si="11"/>
        <v xml:space="preserve">07/08 </v>
      </c>
      <c r="Q44" s="4" t="str">
        <f t="shared" si="11"/>
        <v xml:space="preserve">08/09 </v>
      </c>
      <c r="R44" s="4" t="str">
        <f t="shared" si="11"/>
        <v xml:space="preserve">09/10 </v>
      </c>
      <c r="S44" s="4" t="str">
        <f t="shared" si="11"/>
        <v xml:space="preserve">10/11 </v>
      </c>
      <c r="T44" s="4" t="str">
        <f t="shared" si="11"/>
        <v xml:space="preserve">11/12 </v>
      </c>
      <c r="U44" s="4" t="str">
        <f t="shared" si="11"/>
        <v xml:space="preserve">12/13 </v>
      </c>
      <c r="V44" s="4" t="str">
        <f t="shared" si="11"/>
        <v xml:space="preserve">13/14 </v>
      </c>
      <c r="W44" s="4" t="str">
        <f t="shared" si="11"/>
        <v xml:space="preserve">14/15 </v>
      </c>
      <c r="X44" s="4" t="str">
        <f t="shared" si="11"/>
        <v xml:space="preserve">15/16 </v>
      </c>
      <c r="Y44" s="4" t="str">
        <f t="shared" si="11"/>
        <v xml:space="preserve">16/17 </v>
      </c>
      <c r="Z44" s="4" t="str">
        <f t="shared" si="11"/>
        <v xml:space="preserve">17/18 </v>
      </c>
      <c r="AA44" s="4" t="str">
        <f t="shared" si="11"/>
        <v xml:space="preserve">18/19 </v>
      </c>
      <c r="AB44" s="4" t="str">
        <f t="shared" si="11"/>
        <v xml:space="preserve">19/20 </v>
      </c>
      <c r="AC44" s="4" t="str">
        <f t="shared" si="11"/>
        <v xml:space="preserve">20/21 </v>
      </c>
      <c r="AD44" s="4" t="str">
        <f t="shared" si="11"/>
        <v>21/22</v>
      </c>
    </row>
    <row r="45" spans="1:30" ht="15.75">
      <c r="A45" s="5" t="s">
        <v>23</v>
      </c>
      <c r="B45" s="52">
        <v>816</v>
      </c>
      <c r="C45" s="52">
        <v>674</v>
      </c>
      <c r="D45" s="52">
        <v>645</v>
      </c>
      <c r="E45" s="53">
        <v>1294</v>
      </c>
      <c r="F45" s="53">
        <v>1018</v>
      </c>
      <c r="G45" s="52">
        <v>841</v>
      </c>
      <c r="H45" s="53">
        <v>1205</v>
      </c>
      <c r="I45" s="53">
        <v>1276</v>
      </c>
      <c r="J45" s="52">
        <v>978</v>
      </c>
      <c r="K45" s="52">
        <v>733</v>
      </c>
      <c r="L45" s="52">
        <v>803</v>
      </c>
      <c r="M45" s="52">
        <v>825</v>
      </c>
      <c r="N45" s="53">
        <v>1023</v>
      </c>
      <c r="O45" s="53">
        <v>1207</v>
      </c>
      <c r="P45" s="53">
        <v>1206</v>
      </c>
      <c r="Q45" s="53">
        <v>1198</v>
      </c>
      <c r="R45" s="53">
        <v>1939</v>
      </c>
      <c r="S45" s="53">
        <v>1918</v>
      </c>
      <c r="T45" s="53">
        <v>1848</v>
      </c>
      <c r="U45" s="53">
        <v>3052</v>
      </c>
      <c r="V45" s="53">
        <v>2275</v>
      </c>
      <c r="W45" s="53">
        <v>2949</v>
      </c>
      <c r="X45" s="66">
        <v>2538</v>
      </c>
      <c r="Y45" s="66">
        <v>1975</v>
      </c>
      <c r="Z45" s="66">
        <v>2363</v>
      </c>
      <c r="AA45" s="66">
        <v>2268</v>
      </c>
      <c r="AB45" s="66">
        <v>1859</v>
      </c>
      <c r="AC45" s="66">
        <v>2447</v>
      </c>
      <c r="AD45" s="67">
        <v>1621</v>
      </c>
    </row>
    <row r="46" spans="1:30" ht="15.75">
      <c r="A46" s="5" t="s">
        <v>5</v>
      </c>
      <c r="B46" s="53">
        <v>7149</v>
      </c>
      <c r="C46" s="53">
        <v>8273</v>
      </c>
      <c r="D46" s="53">
        <v>9084</v>
      </c>
      <c r="E46" s="53">
        <v>8660</v>
      </c>
      <c r="F46" s="53">
        <v>8466</v>
      </c>
      <c r="G46" s="53">
        <v>9266</v>
      </c>
      <c r="H46" s="53">
        <v>9253</v>
      </c>
      <c r="I46" s="53">
        <v>7999</v>
      </c>
      <c r="J46" s="53">
        <v>7339</v>
      </c>
      <c r="K46" s="53">
        <v>8011</v>
      </c>
      <c r="L46" s="53">
        <v>9107</v>
      </c>
      <c r="M46" s="53">
        <v>9185</v>
      </c>
      <c r="N46" s="53">
        <v>10562</v>
      </c>
      <c r="O46" s="53">
        <v>10742</v>
      </c>
      <c r="P46" s="53">
        <v>10257</v>
      </c>
      <c r="Q46" s="53">
        <v>11891</v>
      </c>
      <c r="R46" s="53">
        <v>12118</v>
      </c>
      <c r="S46" s="53">
        <v>12081</v>
      </c>
      <c r="T46" s="53">
        <v>14347</v>
      </c>
      <c r="U46" s="53">
        <v>12850</v>
      </c>
      <c r="V46" s="53">
        <v>15616</v>
      </c>
      <c r="W46" s="53">
        <v>14935</v>
      </c>
      <c r="X46" s="66">
        <v>15399</v>
      </c>
      <c r="Y46" s="66">
        <v>18217</v>
      </c>
      <c r="Z46" s="66">
        <v>18522</v>
      </c>
      <c r="AA46" s="66">
        <v>19494</v>
      </c>
      <c r="AB46" s="66">
        <v>21426</v>
      </c>
      <c r="AC46" s="67">
        <v>19191</v>
      </c>
      <c r="AD46" s="67">
        <v>21789</v>
      </c>
    </row>
    <row r="47" spans="1:30" ht="15.75">
      <c r="A47" s="5" t="s">
        <v>6</v>
      </c>
      <c r="B47" s="53">
        <v>1804</v>
      </c>
      <c r="C47" s="53">
        <v>2644</v>
      </c>
      <c r="D47" s="53">
        <v>2533</v>
      </c>
      <c r="E47" s="53">
        <v>3046</v>
      </c>
      <c r="F47" s="53">
        <v>2634</v>
      </c>
      <c r="G47" s="53">
        <v>2902</v>
      </c>
      <c r="H47" s="53">
        <v>2341</v>
      </c>
      <c r="I47" s="53">
        <v>1907</v>
      </c>
      <c r="J47" s="53">
        <v>1828</v>
      </c>
      <c r="K47" s="53">
        <v>1937</v>
      </c>
      <c r="L47" s="53">
        <v>1982</v>
      </c>
      <c r="M47" s="53">
        <v>2176</v>
      </c>
      <c r="N47" s="53">
        <v>3316</v>
      </c>
      <c r="O47" s="53">
        <v>3472</v>
      </c>
      <c r="P47" s="53">
        <v>2783</v>
      </c>
      <c r="Q47" s="53">
        <v>4181</v>
      </c>
      <c r="R47" s="53">
        <v>3835</v>
      </c>
      <c r="S47" s="53">
        <v>3717</v>
      </c>
      <c r="T47" s="53">
        <v>5879</v>
      </c>
      <c r="U47" s="53">
        <v>5090</v>
      </c>
      <c r="V47" s="53">
        <v>7047</v>
      </c>
      <c r="W47" s="53">
        <v>6333</v>
      </c>
      <c r="X47" s="66">
        <v>7187</v>
      </c>
      <c r="Y47" s="66">
        <v>9309</v>
      </c>
      <c r="Z47" s="66">
        <v>9149</v>
      </c>
      <c r="AA47" s="66">
        <v>9704</v>
      </c>
      <c r="AB47" s="66">
        <v>11697</v>
      </c>
      <c r="AC47" s="67">
        <v>10055</v>
      </c>
      <c r="AD47" s="67">
        <v>11821</v>
      </c>
    </row>
    <row r="48" spans="1:30" ht="15.75">
      <c r="A48" s="34" t="s">
        <v>7</v>
      </c>
      <c r="B48" s="68">
        <f>SUM(B45:B47)</f>
        <v>9769</v>
      </c>
      <c r="C48" s="68">
        <f t="shared" ref="C48:AD48" si="12">SUM(C45:C47)</f>
        <v>11591</v>
      </c>
      <c r="D48" s="68">
        <f t="shared" si="12"/>
        <v>12262</v>
      </c>
      <c r="E48" s="68">
        <f t="shared" si="12"/>
        <v>13000</v>
      </c>
      <c r="F48" s="68">
        <f t="shared" si="12"/>
        <v>12118</v>
      </c>
      <c r="G48" s="68">
        <f t="shared" si="12"/>
        <v>13009</v>
      </c>
      <c r="H48" s="68">
        <f t="shared" si="12"/>
        <v>12799</v>
      </c>
      <c r="I48" s="68">
        <f t="shared" si="12"/>
        <v>11182</v>
      </c>
      <c r="J48" s="68">
        <f t="shared" si="12"/>
        <v>10145</v>
      </c>
      <c r="K48" s="68">
        <f t="shared" si="12"/>
        <v>10681</v>
      </c>
      <c r="L48" s="68">
        <f t="shared" si="12"/>
        <v>11892</v>
      </c>
      <c r="M48" s="68">
        <f t="shared" si="12"/>
        <v>12186</v>
      </c>
      <c r="N48" s="68">
        <f t="shared" si="12"/>
        <v>14901</v>
      </c>
      <c r="O48" s="68">
        <f t="shared" si="12"/>
        <v>15421</v>
      </c>
      <c r="P48" s="68">
        <f t="shared" si="12"/>
        <v>14246</v>
      </c>
      <c r="Q48" s="68">
        <f t="shared" si="12"/>
        <v>17270</v>
      </c>
      <c r="R48" s="68">
        <f t="shared" si="12"/>
        <v>17892</v>
      </c>
      <c r="S48" s="68">
        <f t="shared" si="12"/>
        <v>17716</v>
      </c>
      <c r="T48" s="68">
        <f t="shared" si="12"/>
        <v>22074</v>
      </c>
      <c r="U48" s="68">
        <f t="shared" si="12"/>
        <v>20992</v>
      </c>
      <c r="V48" s="68">
        <f t="shared" si="12"/>
        <v>24938</v>
      </c>
      <c r="W48" s="68">
        <f t="shared" si="12"/>
        <v>24217</v>
      </c>
      <c r="X48" s="69">
        <f t="shared" si="12"/>
        <v>25124</v>
      </c>
      <c r="Y48" s="69">
        <f t="shared" si="12"/>
        <v>29501</v>
      </c>
      <c r="Z48" s="69">
        <f t="shared" si="12"/>
        <v>30034</v>
      </c>
      <c r="AA48" s="69">
        <f t="shared" si="12"/>
        <v>31466</v>
      </c>
      <c r="AB48" s="69">
        <f t="shared" si="12"/>
        <v>34982</v>
      </c>
      <c r="AC48" s="70">
        <f t="shared" si="12"/>
        <v>31693</v>
      </c>
      <c r="AD48" s="70">
        <f t="shared" si="12"/>
        <v>35231</v>
      </c>
    </row>
    <row r="49" spans="1:30" ht="15.75">
      <c r="A49" s="5" t="s">
        <v>24</v>
      </c>
      <c r="B49" s="53">
        <v>7313</v>
      </c>
      <c r="C49" s="53">
        <v>8036</v>
      </c>
      <c r="D49" s="53">
        <v>8399</v>
      </c>
      <c r="E49" s="53">
        <v>8719</v>
      </c>
      <c r="F49" s="53">
        <v>8223</v>
      </c>
      <c r="G49" s="53">
        <v>8630</v>
      </c>
      <c r="H49" s="53">
        <v>8627</v>
      </c>
      <c r="I49" s="53">
        <v>7968</v>
      </c>
      <c r="J49" s="53">
        <v>7482</v>
      </c>
      <c r="K49" s="53">
        <v>7563</v>
      </c>
      <c r="L49" s="53">
        <v>8388</v>
      </c>
      <c r="M49" s="53">
        <v>8586</v>
      </c>
      <c r="N49" s="53">
        <v>9773</v>
      </c>
      <c r="O49" s="53">
        <v>10167</v>
      </c>
      <c r="P49" s="53">
        <v>9520</v>
      </c>
      <c r="Q49" s="53">
        <v>10782</v>
      </c>
      <c r="R49" s="53">
        <v>11473</v>
      </c>
      <c r="S49" s="53">
        <v>11330</v>
      </c>
      <c r="T49" s="53">
        <v>12544</v>
      </c>
      <c r="U49" s="53">
        <v>13172</v>
      </c>
      <c r="V49" s="53">
        <v>14212</v>
      </c>
      <c r="W49" s="53">
        <v>14235</v>
      </c>
      <c r="X49" s="66">
        <v>15057</v>
      </c>
      <c r="Y49" s="66">
        <v>16383</v>
      </c>
      <c r="Z49" s="66">
        <v>17439</v>
      </c>
      <c r="AA49" s="66">
        <v>18104</v>
      </c>
      <c r="AB49" s="66">
        <v>19408</v>
      </c>
      <c r="AC49" s="67">
        <v>18954</v>
      </c>
      <c r="AD49" s="67">
        <v>20100</v>
      </c>
    </row>
    <row r="50" spans="1:30" ht="15.75">
      <c r="A50" s="5" t="s">
        <v>30</v>
      </c>
      <c r="B50" s="52">
        <v>289</v>
      </c>
      <c r="C50" s="52">
        <v>359</v>
      </c>
      <c r="D50" s="52">
        <v>355</v>
      </c>
      <c r="E50" s="52">
        <v>415</v>
      </c>
      <c r="F50" s="52">
        <v>343</v>
      </c>
      <c r="G50" s="52">
        <v>344</v>
      </c>
      <c r="H50" s="52">
        <v>378</v>
      </c>
      <c r="I50" s="52">
        <v>422</v>
      </c>
      <c r="J50" s="52">
        <v>333</v>
      </c>
      <c r="K50" s="52">
        <v>373</v>
      </c>
      <c r="L50" s="52">
        <v>440</v>
      </c>
      <c r="M50" s="52">
        <v>503</v>
      </c>
      <c r="N50" s="52">
        <v>496</v>
      </c>
      <c r="O50" s="52">
        <v>557</v>
      </c>
      <c r="P50" s="52">
        <v>660</v>
      </c>
      <c r="Q50" s="52">
        <v>589</v>
      </c>
      <c r="R50" s="52">
        <v>574</v>
      </c>
      <c r="S50" s="52">
        <v>608</v>
      </c>
      <c r="T50" s="52">
        <v>642</v>
      </c>
      <c r="U50" s="52">
        <v>712</v>
      </c>
      <c r="V50" s="52">
        <v>732</v>
      </c>
      <c r="W50" s="52">
        <v>732</v>
      </c>
      <c r="X50" s="71">
        <v>847</v>
      </c>
      <c r="Y50" s="71">
        <v>880</v>
      </c>
      <c r="Z50" s="71">
        <v>905</v>
      </c>
      <c r="AA50" s="71">
        <v>938</v>
      </c>
      <c r="AB50" s="71">
        <v>948</v>
      </c>
      <c r="AC50" s="72">
        <v>948</v>
      </c>
      <c r="AD50" s="67">
        <v>1013</v>
      </c>
    </row>
    <row r="51" spans="1:30" ht="15.75">
      <c r="A51" s="5" t="s">
        <v>31</v>
      </c>
      <c r="B51" s="52">
        <v>30</v>
      </c>
      <c r="C51" s="52">
        <v>25</v>
      </c>
      <c r="D51" s="52">
        <v>36</v>
      </c>
      <c r="E51" s="52">
        <v>35</v>
      </c>
      <c r="F51" s="52">
        <v>40</v>
      </c>
      <c r="G51" s="52">
        <v>62</v>
      </c>
      <c r="H51" s="52">
        <v>72</v>
      </c>
      <c r="I51" s="52">
        <v>63</v>
      </c>
      <c r="J51" s="52">
        <v>26</v>
      </c>
      <c r="K51" s="52">
        <v>39</v>
      </c>
      <c r="L51" s="52">
        <v>52</v>
      </c>
      <c r="M51" s="52">
        <v>63</v>
      </c>
      <c r="N51" s="52">
        <v>47</v>
      </c>
      <c r="O51" s="52">
        <v>63</v>
      </c>
      <c r="P51" s="52">
        <v>74</v>
      </c>
      <c r="Q51" s="52">
        <v>81</v>
      </c>
      <c r="R51" s="52">
        <v>74</v>
      </c>
      <c r="S51" s="52">
        <v>73</v>
      </c>
      <c r="T51" s="52">
        <v>80</v>
      </c>
      <c r="U51" s="52">
        <v>80</v>
      </c>
      <c r="V51" s="52">
        <v>80</v>
      </c>
      <c r="W51" s="52">
        <v>71</v>
      </c>
      <c r="X51" s="71">
        <v>70</v>
      </c>
      <c r="Y51" s="71">
        <v>75</v>
      </c>
      <c r="Z51" s="71">
        <v>83</v>
      </c>
      <c r="AA51" s="71">
        <v>74</v>
      </c>
      <c r="AB51" s="71">
        <v>83</v>
      </c>
      <c r="AC51" s="72">
        <v>78</v>
      </c>
      <c r="AD51" s="72">
        <v>83</v>
      </c>
    </row>
    <row r="52" spans="1:30" ht="15.75">
      <c r="A52" s="5" t="s">
        <v>32</v>
      </c>
      <c r="B52" s="53">
        <v>6994</v>
      </c>
      <c r="C52" s="53">
        <v>7652</v>
      </c>
      <c r="D52" s="53">
        <v>8008</v>
      </c>
      <c r="E52" s="53">
        <v>8269</v>
      </c>
      <c r="F52" s="53">
        <v>7840</v>
      </c>
      <c r="G52" s="53">
        <v>8224</v>
      </c>
      <c r="H52" s="53">
        <v>8177</v>
      </c>
      <c r="I52" s="53">
        <v>7483</v>
      </c>
      <c r="J52" s="53">
        <v>7123</v>
      </c>
      <c r="K52" s="53">
        <v>7151</v>
      </c>
      <c r="L52" s="53">
        <v>7896</v>
      </c>
      <c r="M52" s="53">
        <v>8020</v>
      </c>
      <c r="N52" s="53">
        <v>9230</v>
      </c>
      <c r="O52" s="53">
        <v>9547</v>
      </c>
      <c r="P52" s="53">
        <v>8786</v>
      </c>
      <c r="Q52" s="53">
        <v>10112</v>
      </c>
      <c r="R52" s="53">
        <v>10825</v>
      </c>
      <c r="S52" s="53">
        <v>10649</v>
      </c>
      <c r="T52" s="53">
        <v>11822</v>
      </c>
      <c r="U52" s="53">
        <v>12380</v>
      </c>
      <c r="V52" s="53">
        <v>13400</v>
      </c>
      <c r="W52" s="53">
        <v>13432</v>
      </c>
      <c r="X52" s="66">
        <v>14140</v>
      </c>
      <c r="Y52" s="66">
        <v>15428</v>
      </c>
      <c r="Z52" s="66">
        <v>16451</v>
      </c>
      <c r="AA52" s="66">
        <v>17092</v>
      </c>
      <c r="AB52" s="66">
        <v>18377</v>
      </c>
      <c r="AC52" s="67">
        <v>17928</v>
      </c>
      <c r="AD52" s="67">
        <v>19004</v>
      </c>
    </row>
    <row r="53" spans="1:30" ht="15.75">
      <c r="A53" s="5" t="s">
        <v>9</v>
      </c>
      <c r="B53" s="53">
        <v>1782</v>
      </c>
      <c r="C53" s="53">
        <v>2910</v>
      </c>
      <c r="D53" s="53">
        <v>2569</v>
      </c>
      <c r="E53" s="53">
        <v>3263</v>
      </c>
      <c r="F53" s="53">
        <v>3054</v>
      </c>
      <c r="G53" s="53">
        <v>3134</v>
      </c>
      <c r="H53" s="53">
        <v>2896</v>
      </c>
      <c r="I53" s="53">
        <v>2236</v>
      </c>
      <c r="J53" s="53">
        <v>1930</v>
      </c>
      <c r="K53" s="53">
        <v>2315</v>
      </c>
      <c r="L53" s="53">
        <v>2679</v>
      </c>
      <c r="M53" s="53">
        <v>2577</v>
      </c>
      <c r="N53" s="53">
        <v>3921</v>
      </c>
      <c r="O53" s="53">
        <v>4048</v>
      </c>
      <c r="P53" s="53">
        <v>3528</v>
      </c>
      <c r="Q53" s="53">
        <v>4549</v>
      </c>
      <c r="R53" s="53">
        <v>4501</v>
      </c>
      <c r="S53" s="53">
        <v>4538</v>
      </c>
      <c r="T53" s="53">
        <v>6478</v>
      </c>
      <c r="U53" s="53">
        <v>5545</v>
      </c>
      <c r="V53" s="53">
        <v>7777</v>
      </c>
      <c r="W53" s="53">
        <v>7444</v>
      </c>
      <c r="X53" s="66">
        <v>8176</v>
      </c>
      <c r="Y53" s="66">
        <v>10755</v>
      </c>
      <c r="Z53" s="66">
        <v>10327</v>
      </c>
      <c r="AA53" s="66">
        <v>11503</v>
      </c>
      <c r="AB53" s="66">
        <v>13127</v>
      </c>
      <c r="AC53" s="67">
        <v>11118</v>
      </c>
      <c r="AD53" s="67">
        <v>13048</v>
      </c>
    </row>
    <row r="54" spans="1:30" ht="15.75">
      <c r="A54" s="34" t="s">
        <v>12</v>
      </c>
      <c r="B54" s="73">
        <f>B48-B55</f>
        <v>9095</v>
      </c>
      <c r="C54" s="73">
        <f t="shared" ref="C54:AD54" si="13">C48-C55</f>
        <v>10946</v>
      </c>
      <c r="D54" s="73">
        <f t="shared" si="13"/>
        <v>10968</v>
      </c>
      <c r="E54" s="73">
        <f t="shared" si="13"/>
        <v>11982</v>
      </c>
      <c r="F54" s="73">
        <f t="shared" si="13"/>
        <v>11277</v>
      </c>
      <c r="G54" s="73">
        <f t="shared" si="13"/>
        <v>11764</v>
      </c>
      <c r="H54" s="73">
        <f t="shared" si="13"/>
        <v>11523</v>
      </c>
      <c r="I54" s="73">
        <f t="shared" si="13"/>
        <v>10204</v>
      </c>
      <c r="J54" s="73">
        <f t="shared" si="13"/>
        <v>9412</v>
      </c>
      <c r="K54" s="73">
        <f t="shared" si="13"/>
        <v>9878</v>
      </c>
      <c r="L54" s="73">
        <f t="shared" si="13"/>
        <v>11067</v>
      </c>
      <c r="M54" s="73">
        <f t="shared" si="13"/>
        <v>11163</v>
      </c>
      <c r="N54" s="73">
        <f t="shared" si="13"/>
        <v>13694</v>
      </c>
      <c r="O54" s="73">
        <f t="shared" si="13"/>
        <v>14215</v>
      </c>
      <c r="P54" s="73">
        <f t="shared" si="13"/>
        <v>13048</v>
      </c>
      <c r="Q54" s="73">
        <f t="shared" si="13"/>
        <v>15331</v>
      </c>
      <c r="R54" s="73">
        <f t="shared" si="13"/>
        <v>15974</v>
      </c>
      <c r="S54" s="73">
        <f t="shared" si="13"/>
        <v>15868</v>
      </c>
      <c r="T54" s="73">
        <f t="shared" si="13"/>
        <v>19022</v>
      </c>
      <c r="U54" s="73">
        <f t="shared" si="13"/>
        <v>18717</v>
      </c>
      <c r="V54" s="73">
        <f t="shared" si="13"/>
        <v>21989</v>
      </c>
      <c r="W54" s="73">
        <f t="shared" si="13"/>
        <v>21679</v>
      </c>
      <c r="X54" s="74">
        <f t="shared" si="13"/>
        <v>23233</v>
      </c>
      <c r="Y54" s="74">
        <f t="shared" si="13"/>
        <v>27138</v>
      </c>
      <c r="Z54" s="74">
        <f t="shared" si="13"/>
        <v>27766</v>
      </c>
      <c r="AA54" s="74">
        <f t="shared" si="13"/>
        <v>29607</v>
      </c>
      <c r="AB54" s="74">
        <f t="shared" si="13"/>
        <v>32535</v>
      </c>
      <c r="AC54" s="75">
        <f t="shared" si="13"/>
        <v>30072</v>
      </c>
      <c r="AD54" s="75">
        <f t="shared" si="13"/>
        <v>33148</v>
      </c>
    </row>
    <row r="55" spans="1:30" ht="16.5" thickBot="1">
      <c r="A55" s="41" t="s">
        <v>25</v>
      </c>
      <c r="B55" s="52">
        <v>674</v>
      </c>
      <c r="C55" s="52">
        <v>645</v>
      </c>
      <c r="D55" s="53">
        <v>1294</v>
      </c>
      <c r="E55" s="53">
        <v>1018</v>
      </c>
      <c r="F55" s="52">
        <v>841</v>
      </c>
      <c r="G55" s="53">
        <v>1245</v>
      </c>
      <c r="H55" s="53">
        <v>1276</v>
      </c>
      <c r="I55" s="52">
        <v>978</v>
      </c>
      <c r="J55" s="52">
        <v>733</v>
      </c>
      <c r="K55" s="52">
        <v>803</v>
      </c>
      <c r="L55" s="52">
        <v>825</v>
      </c>
      <c r="M55" s="53">
        <v>1023</v>
      </c>
      <c r="N55" s="53">
        <v>1207</v>
      </c>
      <c r="O55" s="53">
        <v>1206</v>
      </c>
      <c r="P55" s="53">
        <v>1198</v>
      </c>
      <c r="Q55" s="53">
        <v>1939</v>
      </c>
      <c r="R55" s="53">
        <v>1918</v>
      </c>
      <c r="S55" s="53">
        <v>1848</v>
      </c>
      <c r="T55" s="53">
        <v>3052</v>
      </c>
      <c r="U55" s="53">
        <v>2275</v>
      </c>
      <c r="V55" s="53">
        <v>2949</v>
      </c>
      <c r="W55" s="53">
        <v>2538</v>
      </c>
      <c r="X55" s="66">
        <v>1891</v>
      </c>
      <c r="Y55" s="66">
        <v>2363</v>
      </c>
      <c r="Z55" s="66">
        <v>2268</v>
      </c>
      <c r="AA55" s="66">
        <v>1859</v>
      </c>
      <c r="AB55" s="66">
        <v>2447</v>
      </c>
      <c r="AC55" s="67">
        <v>1621</v>
      </c>
      <c r="AD55" s="67">
        <v>2083</v>
      </c>
    </row>
    <row r="56" spans="1:30">
      <c r="A56" s="25" t="s">
        <v>19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spans="1:30">
      <c r="A57" s="26" t="s">
        <v>20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>
      <c r="E58" s="6"/>
    </row>
  </sheetData>
  <pageMargins left="0.25" right="0.25" top="1" bottom="0.75" header="0.3" footer="0.3"/>
  <pageSetup scale="77" orientation="portrait" r:id="rId1"/>
  <headerFooter>
    <oddHeader>&amp;L&amp;G&amp;C&amp;"Arial,Bold"&amp;20
WORLD SUNFLOWER OIL SUPPLY AND DEMAND</oddHeader>
    <oddFooter>&amp;L&amp;D&amp;C&amp;P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30BD-98E0-4347-B000-F0E92C951A86}">
  <sheetPr>
    <pageSetUpPr fitToPage="1"/>
  </sheetPr>
  <dimension ref="A1:S468"/>
  <sheetViews>
    <sheetView zoomScale="85" zoomScaleNormal="85" workbookViewId="0">
      <pane xSplit="1" ySplit="2" topLeftCell="B3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sheetData>
    <row r="1" spans="1:19" ht="15.75">
      <c r="A1" s="76" t="s">
        <v>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15.75" thickBot="1">
      <c r="A2" s="78"/>
      <c r="B2" s="79" t="s">
        <v>38</v>
      </c>
      <c r="C2" s="79" t="s">
        <v>39</v>
      </c>
      <c r="D2" s="79" t="s">
        <v>40</v>
      </c>
      <c r="E2" s="79" t="s">
        <v>41</v>
      </c>
      <c r="F2" s="79" t="s">
        <v>42</v>
      </c>
      <c r="G2" s="79" t="s">
        <v>43</v>
      </c>
      <c r="H2" s="79" t="s">
        <v>44</v>
      </c>
      <c r="I2" s="79" t="s">
        <v>45</v>
      </c>
      <c r="J2" s="79" t="s">
        <v>46</v>
      </c>
      <c r="K2" s="79" t="s">
        <v>47</v>
      </c>
      <c r="L2" s="79" t="s">
        <v>48</v>
      </c>
      <c r="M2" s="79" t="s">
        <v>49</v>
      </c>
      <c r="N2" s="79" t="s">
        <v>50</v>
      </c>
      <c r="O2" s="79"/>
      <c r="P2" s="79" t="s">
        <v>51</v>
      </c>
      <c r="Q2" s="79" t="s">
        <v>52</v>
      </c>
      <c r="R2" s="79" t="s">
        <v>53</v>
      </c>
      <c r="S2" s="79" t="s">
        <v>54</v>
      </c>
    </row>
    <row r="3" spans="1:19" ht="16.5">
      <c r="A3" s="80" t="s">
        <v>55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ht="16.5" hidden="1">
      <c r="A4" s="8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27"/>
      <c r="P4" s="82"/>
      <c r="Q4" s="82"/>
      <c r="R4" s="82"/>
      <c r="S4" s="82"/>
    </row>
    <row r="5" spans="1:19" ht="16.5" hidden="1">
      <c r="A5" s="81" t="s">
        <v>56</v>
      </c>
      <c r="B5" s="82">
        <f>'[2]EU Sunflower Exports'!AQ$88</f>
        <v>0</v>
      </c>
      <c r="C5" s="82">
        <f>'[2]EU Sunflower Exports'!AR$88</f>
        <v>0</v>
      </c>
      <c r="D5" s="82">
        <f>'[2]EU Sunflower Exports'!AS$88</f>
        <v>0</v>
      </c>
      <c r="E5" s="82">
        <f>'[2]EU Sunflower Exports'!AT$88</f>
        <v>0</v>
      </c>
      <c r="F5" s="82">
        <f>'[2]EU Sunflower Exports'!AU$88</f>
        <v>0</v>
      </c>
      <c r="G5" s="82">
        <f>'[2]EU Sunflower Exports'!AV$88</f>
        <v>0</v>
      </c>
      <c r="H5" s="82">
        <f>'[2]EU Sunflower Exports'!AW$88</f>
        <v>0</v>
      </c>
      <c r="I5" s="82">
        <f>'[2]EU Sunflower Exports'!AX$88</f>
        <v>0</v>
      </c>
      <c r="J5" s="82">
        <f>'[2]EU Sunflower Exports'!AY$88</f>
        <v>0</v>
      </c>
      <c r="K5" s="82">
        <f>'[2]EU Sunflower Exports'!AZ$88</f>
        <v>0</v>
      </c>
      <c r="L5" s="82">
        <f>'[2]EU Sunflower Exports'!BA$88</f>
        <v>0</v>
      </c>
      <c r="M5" s="82">
        <f>'[2]EU Sunflower Exports'!BB$88</f>
        <v>0</v>
      </c>
      <c r="N5" s="82">
        <f>SUM(B5:M5)</f>
        <v>0</v>
      </c>
      <c r="O5" s="82"/>
      <c r="P5" s="82">
        <f>SUM(B5:D5)</f>
        <v>0</v>
      </c>
      <c r="Q5" s="82">
        <f>SUM(E5:G5)</f>
        <v>0</v>
      </c>
      <c r="R5" s="82">
        <f>SUM(H5:J5)</f>
        <v>0</v>
      </c>
      <c r="S5" s="82">
        <f>SUM(K5:M5)</f>
        <v>0</v>
      </c>
    </row>
    <row r="6" spans="1:19" ht="16.5" hidden="1">
      <c r="A6" s="81" t="s">
        <v>57</v>
      </c>
      <c r="B6" s="82">
        <f>'[2]EU Sunflower Exports'!BC$88</f>
        <v>0</v>
      </c>
      <c r="C6" s="82">
        <f>'[2]EU Sunflower Exports'!BD$88</f>
        <v>0</v>
      </c>
      <c r="D6" s="82">
        <f>'[2]EU Sunflower Exports'!BE$88</f>
        <v>0</v>
      </c>
      <c r="E6" s="82">
        <f>'[2]EU Sunflower Exports'!BF$88</f>
        <v>0</v>
      </c>
      <c r="F6" s="82">
        <f>'[2]EU Sunflower Exports'!BG$88</f>
        <v>0</v>
      </c>
      <c r="G6" s="82">
        <f>'[2]EU Sunflower Exports'!BH$88</f>
        <v>0</v>
      </c>
      <c r="H6" s="82">
        <f>'[2]EU Sunflower Exports'!BI$88</f>
        <v>0</v>
      </c>
      <c r="I6" s="82">
        <f>'[2]EU Sunflower Exports'!BJ$88</f>
        <v>0</v>
      </c>
      <c r="J6" s="82">
        <f>'[2]EU Sunflower Exports'!BK$88</f>
        <v>0</v>
      </c>
      <c r="K6" s="82">
        <f>'[2]EU Sunflower Exports'!BL$88</f>
        <v>0</v>
      </c>
      <c r="L6" s="82">
        <f>'[2]EU Sunflower Exports'!BM$88</f>
        <v>0</v>
      </c>
      <c r="M6" s="82">
        <f>'[2]EU Sunflower Exports'!BN$88</f>
        <v>0</v>
      </c>
      <c r="N6" s="82">
        <f t="shared" ref="N6:N30" si="0">SUM(B6:M6)</f>
        <v>0</v>
      </c>
      <c r="O6" s="27"/>
      <c r="P6" s="82">
        <f t="shared" ref="P6:P30" si="1">SUM(B6:D6)</f>
        <v>0</v>
      </c>
      <c r="Q6" s="82">
        <f t="shared" ref="Q6:Q31" si="2">SUM(E6:G6)</f>
        <v>0</v>
      </c>
      <c r="R6" s="82">
        <f t="shared" ref="R6:R31" si="3">SUM(H6:J6)</f>
        <v>0</v>
      </c>
      <c r="S6" s="82">
        <f t="shared" ref="S6:S31" si="4">SUM(K6:M6)</f>
        <v>0</v>
      </c>
    </row>
    <row r="7" spans="1:19" ht="16.5" hidden="1">
      <c r="A7" s="81" t="s">
        <v>58</v>
      </c>
      <c r="B7" s="82">
        <f>'[2]EU Sunflower Exports'!BO$88</f>
        <v>0</v>
      </c>
      <c r="C7" s="82">
        <f>'[2]EU Sunflower Exports'!BP$88</f>
        <v>0</v>
      </c>
      <c r="D7" s="82">
        <f>'[2]EU Sunflower Exports'!BQ$88</f>
        <v>0</v>
      </c>
      <c r="E7" s="82">
        <f>'[2]EU Sunflower Exports'!BR$88</f>
        <v>0</v>
      </c>
      <c r="F7" s="82">
        <f>'[2]EU Sunflower Exports'!BS$88</f>
        <v>0</v>
      </c>
      <c r="G7" s="82">
        <f>'[2]EU Sunflower Exports'!BT$88</f>
        <v>0</v>
      </c>
      <c r="H7" s="82">
        <f>'[2]EU Sunflower Exports'!BU$88</f>
        <v>1E-3</v>
      </c>
      <c r="I7" s="82">
        <f>'[2]EU Sunflower Exports'!BV$88</f>
        <v>0</v>
      </c>
      <c r="J7" s="82">
        <f>'[2]EU Sunflower Exports'!BW$88</f>
        <v>0</v>
      </c>
      <c r="K7" s="82">
        <f>'[2]EU Sunflower Exports'!BX$88</f>
        <v>0</v>
      </c>
      <c r="L7" s="82">
        <f>'[2]EU Sunflower Exports'!BY$88</f>
        <v>0</v>
      </c>
      <c r="M7" s="82">
        <f>'[2]EU Sunflower Exports'!BZ$88</f>
        <v>0</v>
      </c>
      <c r="N7" s="82">
        <f t="shared" si="0"/>
        <v>1E-3</v>
      </c>
      <c r="O7" s="27"/>
      <c r="P7" s="82">
        <f t="shared" si="1"/>
        <v>0</v>
      </c>
      <c r="Q7" s="82">
        <f t="shared" si="2"/>
        <v>0</v>
      </c>
      <c r="R7" s="82">
        <f t="shared" si="3"/>
        <v>1E-3</v>
      </c>
      <c r="S7" s="82">
        <f t="shared" si="4"/>
        <v>0</v>
      </c>
    </row>
    <row r="8" spans="1:19" ht="16.5" hidden="1">
      <c r="A8" s="81" t="s">
        <v>59</v>
      </c>
      <c r="B8" s="82">
        <f>'[2]EU Sunflower Exports'!CA$88</f>
        <v>0</v>
      </c>
      <c r="C8" s="82">
        <f>'[2]EU Sunflower Exports'!CB$88</f>
        <v>0</v>
      </c>
      <c r="D8" s="82">
        <f>'[2]EU Sunflower Exports'!CC$88</f>
        <v>0</v>
      </c>
      <c r="E8" s="82">
        <f>'[2]EU Sunflower Exports'!CD$88</f>
        <v>0</v>
      </c>
      <c r="F8" s="82">
        <f>'[2]EU Sunflower Exports'!CE$88</f>
        <v>5.8000000000000003E-2</v>
      </c>
      <c r="G8" s="82">
        <f>'[2]EU Sunflower Exports'!CF$88</f>
        <v>0</v>
      </c>
      <c r="H8" s="82">
        <f>'[2]EU Sunflower Exports'!CG$88</f>
        <v>1E-3</v>
      </c>
      <c r="I8" s="82">
        <f>'[2]EU Sunflower Exports'!CH$88</f>
        <v>0</v>
      </c>
      <c r="J8" s="82">
        <f>'[2]EU Sunflower Exports'!CI$88</f>
        <v>0</v>
      </c>
      <c r="K8" s="82">
        <f>'[2]EU Sunflower Exports'!CJ$88</f>
        <v>0</v>
      </c>
      <c r="L8" s="82">
        <f>'[2]EU Sunflower Exports'!CK$88</f>
        <v>0</v>
      </c>
      <c r="M8" s="82">
        <f>'[2]EU Sunflower Exports'!CL$88</f>
        <v>0</v>
      </c>
      <c r="N8" s="82">
        <f t="shared" si="0"/>
        <v>5.9000000000000004E-2</v>
      </c>
      <c r="O8" s="27"/>
      <c r="P8" s="82">
        <f t="shared" si="1"/>
        <v>0</v>
      </c>
      <c r="Q8" s="82">
        <f t="shared" si="2"/>
        <v>5.8000000000000003E-2</v>
      </c>
      <c r="R8" s="82">
        <f t="shared" si="3"/>
        <v>1E-3</v>
      </c>
      <c r="S8" s="82">
        <f t="shared" si="4"/>
        <v>0</v>
      </c>
    </row>
    <row r="9" spans="1:19" ht="16.5" hidden="1">
      <c r="A9" s="81" t="s">
        <v>60</v>
      </c>
      <c r="B9" s="82">
        <f>'[2]EU Sunflower Exports'!CM$88</f>
        <v>0</v>
      </c>
      <c r="C9" s="82">
        <f>'[2]EU Sunflower Exports'!CN$88</f>
        <v>0</v>
      </c>
      <c r="D9" s="82">
        <f>'[2]EU Sunflower Exports'!CO$88</f>
        <v>0</v>
      </c>
      <c r="E9" s="82">
        <f>'[2]EU Sunflower Exports'!CP$88</f>
        <v>0</v>
      </c>
      <c r="F9" s="82">
        <f>'[2]EU Sunflower Exports'!CQ$88</f>
        <v>0.04</v>
      </c>
      <c r="G9" s="82">
        <f>'[2]EU Sunflower Exports'!CR$88</f>
        <v>7.0000000000000001E-3</v>
      </c>
      <c r="H9" s="82">
        <f>'[2]EU Sunflower Exports'!CS$88</f>
        <v>2E-3</v>
      </c>
      <c r="I9" s="82">
        <f>'[2]EU Sunflower Exports'!CT$88</f>
        <v>0</v>
      </c>
      <c r="J9" s="82">
        <f>'[2]EU Sunflower Exports'!CU$88</f>
        <v>0</v>
      </c>
      <c r="K9" s="82">
        <f>'[2]EU Sunflower Exports'!CV$88</f>
        <v>0</v>
      </c>
      <c r="L9" s="82">
        <f>'[2]EU Sunflower Exports'!CW$88</f>
        <v>0</v>
      </c>
      <c r="M9" s="82">
        <f>'[2]EU Sunflower Exports'!CX$88</f>
        <v>0</v>
      </c>
      <c r="N9" s="82">
        <f t="shared" si="0"/>
        <v>4.9000000000000002E-2</v>
      </c>
      <c r="O9" s="27"/>
      <c r="P9" s="82">
        <f t="shared" si="1"/>
        <v>0</v>
      </c>
      <c r="Q9" s="82">
        <f t="shared" si="2"/>
        <v>4.7E-2</v>
      </c>
      <c r="R9" s="82">
        <f t="shared" si="3"/>
        <v>2E-3</v>
      </c>
      <c r="S9" s="82">
        <f t="shared" si="4"/>
        <v>0</v>
      </c>
    </row>
    <row r="10" spans="1:19" ht="16.5" hidden="1">
      <c r="A10" s="81" t="s">
        <v>61</v>
      </c>
      <c r="B10" s="82">
        <f>'[2]EU Sunflower Exports'!CY$88</f>
        <v>0</v>
      </c>
      <c r="C10" s="82">
        <f>'[2]EU Sunflower Exports'!CZ$88</f>
        <v>0</v>
      </c>
      <c r="D10" s="82">
        <f>'[2]EU Sunflower Exports'!DA$88</f>
        <v>0</v>
      </c>
      <c r="E10" s="82">
        <f>'[2]EU Sunflower Exports'!DB$88</f>
        <v>0</v>
      </c>
      <c r="F10" s="82">
        <f>'[2]EU Sunflower Exports'!DC$88</f>
        <v>0</v>
      </c>
      <c r="G10" s="82">
        <f>'[2]EU Sunflower Exports'!DD$88</f>
        <v>0</v>
      </c>
      <c r="H10" s="82">
        <f>'[2]EU Sunflower Exports'!DE$88</f>
        <v>2.1000000000000001E-2</v>
      </c>
      <c r="I10" s="82">
        <f>'[2]EU Sunflower Exports'!DF$88</f>
        <v>0</v>
      </c>
      <c r="J10" s="82">
        <f>'[2]EU Sunflower Exports'!DG$88</f>
        <v>0</v>
      </c>
      <c r="K10" s="82">
        <f>'[2]EU Sunflower Exports'!DH$88</f>
        <v>0</v>
      </c>
      <c r="L10" s="82">
        <f>'[2]EU Sunflower Exports'!DI$88</f>
        <v>0</v>
      </c>
      <c r="M10" s="82">
        <f>'[2]EU Sunflower Exports'!DJ$88</f>
        <v>0</v>
      </c>
      <c r="N10" s="82">
        <f t="shared" si="0"/>
        <v>2.1000000000000001E-2</v>
      </c>
      <c r="O10" s="27"/>
      <c r="P10" s="82">
        <f t="shared" si="1"/>
        <v>0</v>
      </c>
      <c r="Q10" s="82">
        <f t="shared" si="2"/>
        <v>0</v>
      </c>
      <c r="R10" s="82">
        <f t="shared" si="3"/>
        <v>2.1000000000000001E-2</v>
      </c>
      <c r="S10" s="82">
        <f t="shared" si="4"/>
        <v>0</v>
      </c>
    </row>
    <row r="11" spans="1:19" ht="16.5" hidden="1">
      <c r="A11" s="81" t="s">
        <v>62</v>
      </c>
      <c r="B11" s="82">
        <f>'[2]EU Sunflower Exports'!DK$88</f>
        <v>0</v>
      </c>
      <c r="C11" s="82">
        <f>'[2]EU Sunflower Exports'!DL$88</f>
        <v>0</v>
      </c>
      <c r="D11" s="82">
        <f>'[2]EU Sunflower Exports'!DM$88</f>
        <v>0</v>
      </c>
      <c r="E11" s="82">
        <f>'[2]EU Sunflower Exports'!DN$88</f>
        <v>0</v>
      </c>
      <c r="F11" s="82">
        <f>'[2]EU Sunflower Exports'!DO$88</f>
        <v>0</v>
      </c>
      <c r="G11" s="82">
        <f>'[2]EU Sunflower Exports'!DP$88</f>
        <v>2E-3</v>
      </c>
      <c r="H11" s="82">
        <f>'[2]EU Sunflower Exports'!DQ$88</f>
        <v>1E-3</v>
      </c>
      <c r="I11" s="82">
        <f>'[2]EU Sunflower Exports'!DR$88</f>
        <v>0</v>
      </c>
      <c r="J11" s="82">
        <f>'[2]EU Sunflower Exports'!DS$88</f>
        <v>0</v>
      </c>
      <c r="K11" s="82">
        <f>'[2]EU Sunflower Exports'!DT$88</f>
        <v>0</v>
      </c>
      <c r="L11" s="82">
        <f>'[2]EU Sunflower Exports'!DU$88</f>
        <v>0</v>
      </c>
      <c r="M11" s="82">
        <f>'[2]EU Sunflower Exports'!DV$88</f>
        <v>0</v>
      </c>
      <c r="N11" s="82">
        <f t="shared" si="0"/>
        <v>3.0000000000000001E-3</v>
      </c>
      <c r="O11" s="27"/>
      <c r="P11" s="82">
        <f t="shared" si="1"/>
        <v>0</v>
      </c>
      <c r="Q11" s="82">
        <f t="shared" si="2"/>
        <v>2E-3</v>
      </c>
      <c r="R11" s="82">
        <f t="shared" si="3"/>
        <v>1E-3</v>
      </c>
      <c r="S11" s="82">
        <f t="shared" si="4"/>
        <v>0</v>
      </c>
    </row>
    <row r="12" spans="1:19" ht="16.5" hidden="1">
      <c r="A12" s="81" t="s">
        <v>63</v>
      </c>
      <c r="B12" s="82">
        <f>'[2]EU Sunflower Exports'!DW$88</f>
        <v>0</v>
      </c>
      <c r="C12" s="82">
        <f>'[2]EU Sunflower Exports'!DX$88</f>
        <v>0</v>
      </c>
      <c r="D12" s="82">
        <f>'[2]EU Sunflower Exports'!DY$88</f>
        <v>0</v>
      </c>
      <c r="E12" s="82">
        <f>'[2]EU Sunflower Exports'!DZ$88</f>
        <v>0</v>
      </c>
      <c r="F12" s="82">
        <f>'[2]EU Sunflower Exports'!EA$88</f>
        <v>0</v>
      </c>
      <c r="G12" s="82">
        <f>'[2]EU Sunflower Exports'!EB$88</f>
        <v>0</v>
      </c>
      <c r="H12" s="82">
        <f>'[2]EU Sunflower Exports'!EC$88</f>
        <v>1.2E-2</v>
      </c>
      <c r="I12" s="82">
        <f>'[2]EU Sunflower Exports'!ED$88</f>
        <v>2E-3</v>
      </c>
      <c r="J12" s="82">
        <f>'[2]EU Sunflower Exports'!EE$88</f>
        <v>0</v>
      </c>
      <c r="K12" s="82">
        <f>'[2]EU Sunflower Exports'!EF$88</f>
        <v>0</v>
      </c>
      <c r="L12" s="82">
        <f>'[2]EU Sunflower Exports'!EG$88</f>
        <v>0</v>
      </c>
      <c r="M12" s="82">
        <f>'[2]EU Sunflower Exports'!EH$88</f>
        <v>1E-3</v>
      </c>
      <c r="N12" s="82">
        <f t="shared" si="0"/>
        <v>1.4999999999999999E-2</v>
      </c>
      <c r="O12" s="27"/>
      <c r="P12" s="82">
        <f t="shared" si="1"/>
        <v>0</v>
      </c>
      <c r="Q12" s="82">
        <f t="shared" si="2"/>
        <v>0</v>
      </c>
      <c r="R12" s="82">
        <f t="shared" si="3"/>
        <v>1.4E-2</v>
      </c>
      <c r="S12" s="82">
        <f t="shared" si="4"/>
        <v>1E-3</v>
      </c>
    </row>
    <row r="13" spans="1:19" ht="16.5" hidden="1">
      <c r="A13" s="81" t="s">
        <v>64</v>
      </c>
      <c r="B13" s="82">
        <f>'[2]EU Sunflower Exports'!EI$88</f>
        <v>0</v>
      </c>
      <c r="C13" s="82">
        <f>'[2]EU Sunflower Exports'!EJ$88</f>
        <v>0</v>
      </c>
      <c r="D13" s="82">
        <f>'[2]EU Sunflower Exports'!EK$88</f>
        <v>0</v>
      </c>
      <c r="E13" s="82">
        <f>'[2]EU Sunflower Exports'!EL$88</f>
        <v>0</v>
      </c>
      <c r="F13" s="82">
        <f>'[2]EU Sunflower Exports'!EM$88</f>
        <v>6.0000000000000001E-3</v>
      </c>
      <c r="G13" s="82">
        <f>'[2]EU Sunflower Exports'!EN$88</f>
        <v>1.4999999999999999E-2</v>
      </c>
      <c r="H13" s="82">
        <f>'[2]EU Sunflower Exports'!EO$88</f>
        <v>1E-3</v>
      </c>
      <c r="I13" s="82">
        <f>'[2]EU Sunflower Exports'!EP$88</f>
        <v>1.7000000000000001E-2</v>
      </c>
      <c r="J13" s="82">
        <f>'[2]EU Sunflower Exports'!EQ$88</f>
        <v>3.4000000000000002E-2</v>
      </c>
      <c r="K13" s="82">
        <f>'[2]EU Sunflower Exports'!ER$88</f>
        <v>1.7999999999999999E-2</v>
      </c>
      <c r="L13" s="82">
        <f>'[2]EU Sunflower Exports'!ES$88</f>
        <v>0</v>
      </c>
      <c r="M13" s="82">
        <f>'[2]EU Sunflower Exports'!ET$88</f>
        <v>0.01</v>
      </c>
      <c r="N13" s="82">
        <f t="shared" si="0"/>
        <v>0.10100000000000001</v>
      </c>
      <c r="O13" s="27"/>
      <c r="P13" s="82">
        <f t="shared" si="1"/>
        <v>0</v>
      </c>
      <c r="Q13" s="82">
        <f t="shared" si="2"/>
        <v>2.0999999999999998E-2</v>
      </c>
      <c r="R13" s="82">
        <f t="shared" si="3"/>
        <v>5.2000000000000005E-2</v>
      </c>
      <c r="S13" s="82">
        <f t="shared" si="4"/>
        <v>2.7999999999999997E-2</v>
      </c>
    </row>
    <row r="14" spans="1:19" ht="16.5" hidden="1">
      <c r="A14" s="83" t="s">
        <v>65</v>
      </c>
      <c r="B14" s="82">
        <f>'[2]EU Sunflower Exports'!EU$88</f>
        <v>0</v>
      </c>
      <c r="C14" s="82">
        <f>'[2]EU Sunflower Exports'!EV$88</f>
        <v>0</v>
      </c>
      <c r="D14" s="82">
        <f>'[2]EU Sunflower Exports'!EW$88</f>
        <v>8.0000000000000002E-3</v>
      </c>
      <c r="E14" s="82">
        <f>'[2]EU Sunflower Exports'!EX$88</f>
        <v>0</v>
      </c>
      <c r="F14" s="82">
        <f>'[2]EU Sunflower Exports'!EY$88</f>
        <v>0</v>
      </c>
      <c r="G14" s="82">
        <f>'[2]EU Sunflower Exports'!EZ$88</f>
        <v>3.2000000000000001E-2</v>
      </c>
      <c r="H14" s="82">
        <f>'[2]EU Sunflower Exports'!FA$88</f>
        <v>1E-3</v>
      </c>
      <c r="I14" s="82">
        <f>'[2]EU Sunflower Exports'!FB$88</f>
        <v>1E-3</v>
      </c>
      <c r="J14" s="82">
        <f>'[2]EU Sunflower Exports'!FC$88</f>
        <v>0</v>
      </c>
      <c r="K14" s="82">
        <f>'[2]EU Sunflower Exports'!FD$88</f>
        <v>0</v>
      </c>
      <c r="L14" s="82">
        <f>'[2]EU Sunflower Exports'!FE$88</f>
        <v>0</v>
      </c>
      <c r="M14" s="82">
        <f>'[2]EU Sunflower Exports'!FF$88</f>
        <v>0</v>
      </c>
      <c r="N14" s="82">
        <f t="shared" si="0"/>
        <v>4.2000000000000003E-2</v>
      </c>
      <c r="O14" s="27"/>
      <c r="P14" s="82">
        <f t="shared" si="1"/>
        <v>8.0000000000000002E-3</v>
      </c>
      <c r="Q14" s="82">
        <f t="shared" si="2"/>
        <v>3.2000000000000001E-2</v>
      </c>
      <c r="R14" s="82">
        <f t="shared" si="3"/>
        <v>2E-3</v>
      </c>
      <c r="S14" s="82">
        <f t="shared" si="4"/>
        <v>0</v>
      </c>
    </row>
    <row r="15" spans="1:19" ht="16.5" hidden="1">
      <c r="A15" s="83" t="s">
        <v>66</v>
      </c>
      <c r="B15" s="82">
        <f>'[2]EU Sunflower Exports'!FG$88</f>
        <v>0</v>
      </c>
      <c r="C15" s="82">
        <f>'[2]EU Sunflower Exports'!FH$88</f>
        <v>0</v>
      </c>
      <c r="D15" s="82">
        <f>'[2]EU Sunflower Exports'!FI$88</f>
        <v>0.01</v>
      </c>
      <c r="E15" s="82">
        <f>'[2]EU Sunflower Exports'!FJ$88</f>
        <v>0</v>
      </c>
      <c r="F15" s="82">
        <f>'[2]EU Sunflower Exports'!FK$88</f>
        <v>0.02</v>
      </c>
      <c r="G15" s="82">
        <f>'[2]EU Sunflower Exports'!FL$88</f>
        <v>1E-3</v>
      </c>
      <c r="H15" s="82">
        <f>'[2]EU Sunflower Exports'!FM$88</f>
        <v>3.6999999999999998E-2</v>
      </c>
      <c r="I15" s="82">
        <f>'[2]EU Sunflower Exports'!FN$88</f>
        <v>5.8000000000000003E-2</v>
      </c>
      <c r="J15" s="82">
        <f>'[2]EU Sunflower Exports'!FO$88</f>
        <v>7.1999999999999995E-2</v>
      </c>
      <c r="K15" s="82">
        <f>'[2]EU Sunflower Exports'!FP$88</f>
        <v>2.4E-2</v>
      </c>
      <c r="L15" s="82">
        <f>'[2]EU Sunflower Exports'!FQ$88</f>
        <v>0</v>
      </c>
      <c r="M15" s="82">
        <f>'[2]EU Sunflower Exports'!FR$88</f>
        <v>0</v>
      </c>
      <c r="N15" s="82">
        <f t="shared" si="0"/>
        <v>0.222</v>
      </c>
      <c r="O15" s="27"/>
      <c r="P15" s="82">
        <f t="shared" si="1"/>
        <v>0.01</v>
      </c>
      <c r="Q15" s="82">
        <f t="shared" si="2"/>
        <v>2.1000000000000001E-2</v>
      </c>
      <c r="R15" s="82">
        <f t="shared" si="3"/>
        <v>0.16699999999999998</v>
      </c>
      <c r="S15" s="82">
        <f t="shared" si="4"/>
        <v>2.4E-2</v>
      </c>
    </row>
    <row r="16" spans="1:19" ht="16.5" hidden="1">
      <c r="A16" s="84" t="s">
        <v>67</v>
      </c>
      <c r="B16" s="82">
        <f>'[2]EU Sunflower Exports'!FS$88</f>
        <v>0</v>
      </c>
      <c r="C16" s="82">
        <f>'[2]EU Sunflower Exports'!FT$88</f>
        <v>7.0000000000000001E-3</v>
      </c>
      <c r="D16" s="82">
        <f>'[2]EU Sunflower Exports'!FU$88</f>
        <v>0</v>
      </c>
      <c r="E16" s="82">
        <f>'[2]EU Sunflower Exports'!FV$88</f>
        <v>0</v>
      </c>
      <c r="F16" s="82">
        <f>'[2]EU Sunflower Exports'!FW$88</f>
        <v>0</v>
      </c>
      <c r="G16" s="82">
        <f>'[2]EU Sunflower Exports'!FX$88</f>
        <v>0.11799999999999999</v>
      </c>
      <c r="H16" s="82">
        <f>'[2]EU Sunflower Exports'!FY$88</f>
        <v>0</v>
      </c>
      <c r="I16" s="82">
        <f>'[2]EU Sunflower Exports'!FZ$88</f>
        <v>0</v>
      </c>
      <c r="J16" s="82">
        <f>'[2]EU Sunflower Exports'!GA$88</f>
        <v>0</v>
      </c>
      <c r="K16" s="82">
        <f>'[2]EU Sunflower Exports'!GB$88</f>
        <v>0</v>
      </c>
      <c r="L16" s="82">
        <f>'[2]EU Sunflower Exports'!GC$88</f>
        <v>0</v>
      </c>
      <c r="M16" s="82">
        <f>'[2]EU Sunflower Exports'!GD$88</f>
        <v>0</v>
      </c>
      <c r="N16" s="82">
        <f t="shared" si="0"/>
        <v>0.125</v>
      </c>
      <c r="O16" s="27"/>
      <c r="P16" s="82">
        <f t="shared" si="1"/>
        <v>7.0000000000000001E-3</v>
      </c>
      <c r="Q16" s="82">
        <f t="shared" si="2"/>
        <v>0.11799999999999999</v>
      </c>
      <c r="R16" s="82">
        <f t="shared" si="3"/>
        <v>0</v>
      </c>
      <c r="S16" s="82">
        <f t="shared" si="4"/>
        <v>0</v>
      </c>
    </row>
    <row r="17" spans="1:19" ht="16.5" hidden="1">
      <c r="A17" s="83" t="s">
        <v>68</v>
      </c>
      <c r="B17" s="82">
        <f>'[2]EU Sunflower Exports'!GE$88</f>
        <v>1.7999999999999999E-2</v>
      </c>
      <c r="C17" s="82">
        <f>'[2]EU Sunflower Exports'!GF$88</f>
        <v>0</v>
      </c>
      <c r="D17" s="82">
        <f>'[2]EU Sunflower Exports'!GG$88</f>
        <v>0</v>
      </c>
      <c r="E17" s="82">
        <f>'[2]EU Sunflower Exports'!GH$88</f>
        <v>0</v>
      </c>
      <c r="F17" s="82">
        <f>'[2]EU Sunflower Exports'!GI$88</f>
        <v>0.01</v>
      </c>
      <c r="G17" s="82">
        <f>'[2]EU Sunflower Exports'!GJ$88</f>
        <v>0</v>
      </c>
      <c r="H17" s="82">
        <f>'[2]EU Sunflower Exports'!GK$88</f>
        <v>0.13600000000000001</v>
      </c>
      <c r="I17" s="82">
        <f>'[2]EU Sunflower Exports'!GL$88</f>
        <v>0</v>
      </c>
      <c r="J17" s="82">
        <f>'[2]EU Sunflower Exports'!GM$88</f>
        <v>0</v>
      </c>
      <c r="K17" s="82">
        <f>'[2]EU Sunflower Exports'!GN$88</f>
        <v>0</v>
      </c>
      <c r="L17" s="82">
        <f>'[2]EU Sunflower Exports'!GO$88</f>
        <v>0</v>
      </c>
      <c r="M17" s="82">
        <f>'[2]EU Sunflower Exports'!GP$88</f>
        <v>0</v>
      </c>
      <c r="N17" s="82">
        <f t="shared" si="0"/>
        <v>0.16400000000000001</v>
      </c>
      <c r="O17" s="27"/>
      <c r="P17" s="82">
        <f t="shared" si="1"/>
        <v>1.7999999999999999E-2</v>
      </c>
      <c r="Q17" s="82">
        <f t="shared" si="2"/>
        <v>0.01</v>
      </c>
      <c r="R17" s="82">
        <f t="shared" si="3"/>
        <v>0.13600000000000001</v>
      </c>
      <c r="S17" s="82">
        <f t="shared" si="4"/>
        <v>0</v>
      </c>
    </row>
    <row r="18" spans="1:19" ht="16.5" hidden="1">
      <c r="A18" s="84" t="s">
        <v>69</v>
      </c>
      <c r="B18" s="82">
        <f>'[2]EU Sunflower Exports'!GQ$88</f>
        <v>0</v>
      </c>
      <c r="C18" s="82">
        <f>'[2]EU Sunflower Exports'!GR$88</f>
        <v>0</v>
      </c>
      <c r="D18" s="82">
        <f>'[2]EU Sunflower Exports'!GS$88</f>
        <v>0</v>
      </c>
      <c r="E18" s="82">
        <f>'[2]EU Sunflower Exports'!GT$88</f>
        <v>0</v>
      </c>
      <c r="F18" s="82">
        <f>'[2]EU Sunflower Exports'!GU$88</f>
        <v>0</v>
      </c>
      <c r="G18" s="82">
        <f>'[2]EU Sunflower Exports'!GV$88</f>
        <v>3.5999999999999997E-2</v>
      </c>
      <c r="H18" s="82">
        <f>'[2]EU Sunflower Exports'!GW$88</f>
        <v>0.09</v>
      </c>
      <c r="I18" s="82">
        <f>'[2]EU Sunflower Exports'!GX$88</f>
        <v>0</v>
      </c>
      <c r="J18" s="82">
        <f>'[2]EU Sunflower Exports'!GY$88</f>
        <v>0</v>
      </c>
      <c r="K18" s="82">
        <f>'[2]EU Sunflower Exports'!GZ$88</f>
        <v>0</v>
      </c>
      <c r="L18" s="82">
        <f>'[2]EU Sunflower Exports'!HA$88</f>
        <v>0</v>
      </c>
      <c r="M18" s="82">
        <f>'[2]EU Sunflower Exports'!HB$88</f>
        <v>0</v>
      </c>
      <c r="N18" s="82">
        <f t="shared" si="0"/>
        <v>0.126</v>
      </c>
      <c r="O18" s="27"/>
      <c r="P18" s="82">
        <f t="shared" si="1"/>
        <v>0</v>
      </c>
      <c r="Q18" s="82">
        <f t="shared" si="2"/>
        <v>3.5999999999999997E-2</v>
      </c>
      <c r="R18" s="82">
        <f t="shared" si="3"/>
        <v>0.09</v>
      </c>
      <c r="S18" s="82">
        <f t="shared" si="4"/>
        <v>0</v>
      </c>
    </row>
    <row r="19" spans="1:19" ht="16.5" hidden="1">
      <c r="A19" s="84" t="s">
        <v>70</v>
      </c>
      <c r="B19" s="82">
        <f>'[2]EU Sunflower Exports'!HC$88</f>
        <v>0</v>
      </c>
      <c r="C19" s="82">
        <f>'[2]EU Sunflower Exports'!HD$88</f>
        <v>0.01</v>
      </c>
      <c r="D19" s="82">
        <f>'[2]EU Sunflower Exports'!HE$88</f>
        <v>2E-3</v>
      </c>
      <c r="E19" s="82">
        <f>'[2]EU Sunflower Exports'!HF$88</f>
        <v>1E-3</v>
      </c>
      <c r="F19" s="82">
        <f>'[2]EU Sunflower Exports'!HG$88</f>
        <v>0</v>
      </c>
      <c r="G19" s="82">
        <f>'[2]EU Sunflower Exports'!HH$88</f>
        <v>5.6000000000000001E-2</v>
      </c>
      <c r="H19" s="82">
        <f>'[2]EU Sunflower Exports'!HI$88</f>
        <v>3.0000000000000001E-3</v>
      </c>
      <c r="I19" s="82">
        <f>'[2]EU Sunflower Exports'!HJ$88</f>
        <v>0</v>
      </c>
      <c r="J19" s="82">
        <f>'[2]EU Sunflower Exports'!HK$88</f>
        <v>1.2999999999999999E-2</v>
      </c>
      <c r="K19" s="82">
        <f>'[2]EU Sunflower Exports'!HL$88</f>
        <v>1.7999999999999999E-2</v>
      </c>
      <c r="L19" s="82">
        <f>'[2]EU Sunflower Exports'!HM$88</f>
        <v>0</v>
      </c>
      <c r="M19" s="82">
        <f>'[2]EU Sunflower Exports'!HN$88</f>
        <v>0</v>
      </c>
      <c r="N19" s="82">
        <f t="shared" si="0"/>
        <v>0.10300000000000001</v>
      </c>
      <c r="O19" s="27"/>
      <c r="P19" s="82">
        <f t="shared" si="1"/>
        <v>1.2E-2</v>
      </c>
      <c r="Q19" s="82">
        <f t="shared" si="2"/>
        <v>5.7000000000000002E-2</v>
      </c>
      <c r="R19" s="82">
        <f t="shared" si="3"/>
        <v>1.6E-2</v>
      </c>
      <c r="S19" s="82">
        <f t="shared" si="4"/>
        <v>1.7999999999999999E-2</v>
      </c>
    </row>
    <row r="20" spans="1:19" ht="16.5" hidden="1">
      <c r="A20" s="83" t="s">
        <v>71</v>
      </c>
      <c r="B20" s="82">
        <f>'[2]EU Sunflower Exports'!HO$88</f>
        <v>0</v>
      </c>
      <c r="C20" s="82">
        <f>'[2]EU Sunflower Exports'!HP$88</f>
        <v>2.9000000000000001E-2</v>
      </c>
      <c r="D20" s="82">
        <f>'[2]EU Sunflower Exports'!HQ$88</f>
        <v>0</v>
      </c>
      <c r="E20" s="82">
        <f>'[2]EU Sunflower Exports'!HR$88</f>
        <v>0</v>
      </c>
      <c r="F20" s="82">
        <f>'[2]EU Sunflower Exports'!HS$88</f>
        <v>4.7E-2</v>
      </c>
      <c r="G20" s="82">
        <f>'[2]EU Sunflower Exports'!HT$88</f>
        <v>0.19400000000000001</v>
      </c>
      <c r="H20" s="82">
        <f>'[2]EU Sunflower Exports'!HU$88</f>
        <v>1E-3</v>
      </c>
      <c r="I20" s="82">
        <f>'[2]EU Sunflower Exports'!HV$88</f>
        <v>4.0000000000000001E-3</v>
      </c>
      <c r="J20" s="82">
        <f>'[2]EU Sunflower Exports'!HW$88</f>
        <v>0</v>
      </c>
      <c r="K20" s="82">
        <f>'[2]EU Sunflower Exports'!HX$88</f>
        <v>1.7999999999999999E-2</v>
      </c>
      <c r="L20" s="82">
        <f>'[2]EU Sunflower Exports'!HY$88</f>
        <v>0</v>
      </c>
      <c r="M20" s="82">
        <f>'[2]EU Sunflower Exports'!HZ$88</f>
        <v>0</v>
      </c>
      <c r="N20" s="82">
        <f t="shared" si="0"/>
        <v>0.29300000000000004</v>
      </c>
      <c r="O20" s="27"/>
      <c r="P20" s="82">
        <f t="shared" si="1"/>
        <v>2.9000000000000001E-2</v>
      </c>
      <c r="Q20" s="82">
        <f t="shared" si="2"/>
        <v>0.24099999999999999</v>
      </c>
      <c r="R20" s="82">
        <f t="shared" si="3"/>
        <v>5.0000000000000001E-3</v>
      </c>
      <c r="S20" s="82">
        <f t="shared" si="4"/>
        <v>1.7999999999999999E-2</v>
      </c>
    </row>
    <row r="21" spans="1:19" ht="16.5" hidden="1">
      <c r="A21" s="84" t="s">
        <v>72</v>
      </c>
      <c r="B21" s="82">
        <f>'[2]EU Sunflower Exports'!IA$88</f>
        <v>0</v>
      </c>
      <c r="C21" s="82">
        <f>'[2]EU Sunflower Exports'!IB$88</f>
        <v>1E-3</v>
      </c>
      <c r="D21" s="82">
        <f>'[2]EU Sunflower Exports'!IC$88</f>
        <v>0</v>
      </c>
      <c r="E21" s="82">
        <f>'[2]EU Sunflower Exports'!ID$88</f>
        <v>0</v>
      </c>
      <c r="F21" s="82">
        <f>'[2]EU Sunflower Exports'!IE$88</f>
        <v>3.7999999999999999E-2</v>
      </c>
      <c r="G21" s="82">
        <f>'[2]EU Sunflower Exports'!IF$88</f>
        <v>6.0000000000000001E-3</v>
      </c>
      <c r="H21" s="82">
        <f>'[2]EU Sunflower Exports'!IG$88</f>
        <v>1.2999999999999999E-2</v>
      </c>
      <c r="I21" s="82">
        <f>'[2]EU Sunflower Exports'!IH$88</f>
        <v>1E-3</v>
      </c>
      <c r="J21" s="82">
        <f>'[2]EU Sunflower Exports'!II$88</f>
        <v>1E-3</v>
      </c>
      <c r="K21" s="82">
        <f>'[2]EU Sunflower Exports'!IJ$88</f>
        <v>0</v>
      </c>
      <c r="L21" s="82">
        <f>'[2]EU Sunflower Exports'!IK$88</f>
        <v>2E-3</v>
      </c>
      <c r="M21" s="82">
        <f>'[2]EU Sunflower Exports'!IL$88</f>
        <v>0</v>
      </c>
      <c r="N21" s="82">
        <f t="shared" si="0"/>
        <v>6.2E-2</v>
      </c>
      <c r="O21" s="27"/>
      <c r="P21" s="82">
        <f t="shared" si="1"/>
        <v>1E-3</v>
      </c>
      <c r="Q21" s="82">
        <f t="shared" si="2"/>
        <v>4.3999999999999997E-2</v>
      </c>
      <c r="R21" s="82">
        <f t="shared" si="3"/>
        <v>1.4999999999999999E-2</v>
      </c>
      <c r="S21" s="82">
        <f t="shared" si="4"/>
        <v>2E-3</v>
      </c>
    </row>
    <row r="22" spans="1:19" ht="16.5" hidden="1">
      <c r="A22" s="83" t="s">
        <v>73</v>
      </c>
      <c r="B22" s="82">
        <f>'[2]EU Sunflower Exports'!IM$88</f>
        <v>0</v>
      </c>
      <c r="C22" s="82">
        <f>'[2]EU Sunflower Exports'!IN$88</f>
        <v>0</v>
      </c>
      <c r="D22" s="82">
        <f>'[2]EU Sunflower Exports'!IO$88</f>
        <v>4.1000000000000002E-2</v>
      </c>
      <c r="E22" s="82">
        <f>'[2]EU Sunflower Exports'!IP$88</f>
        <v>0</v>
      </c>
      <c r="F22" s="82">
        <f>'[2]EU Sunflower Exports'!IQ$88</f>
        <v>0</v>
      </c>
      <c r="G22" s="82">
        <f>'[2]EU Sunflower Exports'!IR$88</f>
        <v>8.9999999999999993E-3</v>
      </c>
      <c r="H22" s="82">
        <f>'[2]EU Sunflower Exports'!IS$88</f>
        <v>0</v>
      </c>
      <c r="I22" s="82">
        <f>'[2]EU Sunflower Exports'!IT$88</f>
        <v>0</v>
      </c>
      <c r="J22" s="82">
        <f>'[2]EU Sunflower Exports'!IU$88</f>
        <v>2.1999999999999999E-2</v>
      </c>
      <c r="K22" s="82">
        <f>'[2]EU Sunflower Exports'!IV$88</f>
        <v>0</v>
      </c>
      <c r="L22" s="82">
        <f>'[2]EU Sunflower Exports'!IW$88</f>
        <v>0</v>
      </c>
      <c r="M22" s="82">
        <f>'[2]EU Sunflower Exports'!IX$88</f>
        <v>0</v>
      </c>
      <c r="N22" s="82">
        <f t="shared" si="0"/>
        <v>7.2000000000000008E-2</v>
      </c>
      <c r="O22" s="27"/>
      <c r="P22" s="82">
        <f t="shared" si="1"/>
        <v>4.1000000000000002E-2</v>
      </c>
      <c r="Q22" s="82">
        <f t="shared" si="2"/>
        <v>8.9999999999999993E-3</v>
      </c>
      <c r="R22" s="82">
        <f t="shared" si="3"/>
        <v>2.1999999999999999E-2</v>
      </c>
      <c r="S22" s="82">
        <f t="shared" si="4"/>
        <v>0</v>
      </c>
    </row>
    <row r="23" spans="1:19" ht="16.5" hidden="1">
      <c r="A23" s="83" t="s">
        <v>74</v>
      </c>
      <c r="B23" s="82">
        <f>'[2]EU Sunflower Exports'!IY$88</f>
        <v>0</v>
      </c>
      <c r="C23" s="82">
        <f>'[2]EU Sunflower Exports'!IZ$88</f>
        <v>0</v>
      </c>
      <c r="D23" s="82">
        <f>'[2]EU Sunflower Exports'!JA$88</f>
        <v>0</v>
      </c>
      <c r="E23" s="82">
        <f>'[2]EU Sunflower Exports'!JB$88</f>
        <v>0.02</v>
      </c>
      <c r="F23" s="82">
        <f>'[2]EU Sunflower Exports'!JC$88</f>
        <v>0</v>
      </c>
      <c r="G23" s="82">
        <f>'[2]EU Sunflower Exports'!JD$88</f>
        <v>1E-3</v>
      </c>
      <c r="H23" s="82">
        <f>'[2]EU Sunflower Exports'!JE$88</f>
        <v>1.0999999999999999E-2</v>
      </c>
      <c r="I23" s="82">
        <f>'[2]EU Sunflower Exports'!JF$88</f>
        <v>0</v>
      </c>
      <c r="J23" s="82">
        <f>'[2]EU Sunflower Exports'!JG$88</f>
        <v>0</v>
      </c>
      <c r="K23" s="82">
        <f>'[2]EU Sunflower Exports'!JH$88</f>
        <v>6.0000000000000001E-3</v>
      </c>
      <c r="L23" s="82">
        <f>'[2]EU Sunflower Exports'!JI$88</f>
        <v>0</v>
      </c>
      <c r="M23" s="82">
        <f>'[2]EU Sunflower Exports'!JJ$88</f>
        <v>0</v>
      </c>
      <c r="N23" s="82">
        <f t="shared" si="0"/>
        <v>3.7999999999999999E-2</v>
      </c>
      <c r="O23" s="27"/>
      <c r="P23" s="82">
        <f t="shared" si="1"/>
        <v>0</v>
      </c>
      <c r="Q23" s="82">
        <f t="shared" si="2"/>
        <v>2.1000000000000001E-2</v>
      </c>
      <c r="R23" s="82">
        <f t="shared" si="3"/>
        <v>1.0999999999999999E-2</v>
      </c>
      <c r="S23" s="82">
        <f t="shared" si="4"/>
        <v>6.0000000000000001E-3</v>
      </c>
    </row>
    <row r="24" spans="1:19" ht="16.5" hidden="1">
      <c r="A24" s="83" t="s">
        <v>75</v>
      </c>
      <c r="B24" s="82">
        <f>'[2]EU Sunflower Exports'!JK$88</f>
        <v>1.7999999999999999E-2</v>
      </c>
      <c r="C24" s="82">
        <f>'[2]EU Sunflower Exports'!JL$88</f>
        <v>0.36499999999999999</v>
      </c>
      <c r="D24" s="82">
        <f>'[2]EU Sunflower Exports'!JM$88</f>
        <v>0.11</v>
      </c>
      <c r="E24" s="82">
        <f>'[2]EU Sunflower Exports'!JN$88</f>
        <v>0.217</v>
      </c>
      <c r="F24" s="82">
        <f>'[2]EU Sunflower Exports'!JO$88</f>
        <v>0</v>
      </c>
      <c r="G24" s="82">
        <f>'[2]EU Sunflower Exports'!JP$88</f>
        <v>0</v>
      </c>
      <c r="H24" s="82">
        <f>'[2]EU Sunflower Exports'!JQ$88</f>
        <v>8.0000000000000002E-3</v>
      </c>
      <c r="I24" s="82">
        <f>'[2]EU Sunflower Exports'!JR$88</f>
        <v>2.5999999999999999E-2</v>
      </c>
      <c r="J24" s="82">
        <f>'[2]EU Sunflower Exports'!JS$88</f>
        <v>0</v>
      </c>
      <c r="K24" s="82">
        <f>'[2]EU Sunflower Exports'!JT$88</f>
        <v>1E-3</v>
      </c>
      <c r="L24" s="82">
        <f>'[2]EU Sunflower Exports'!JU$88</f>
        <v>0</v>
      </c>
      <c r="M24" s="82">
        <f>'[2]EU Sunflower Exports'!JV$88</f>
        <v>5.0000000000000001E-3</v>
      </c>
      <c r="N24" s="82">
        <f t="shared" si="0"/>
        <v>0.75</v>
      </c>
      <c r="O24" s="27"/>
      <c r="P24" s="82">
        <f t="shared" si="1"/>
        <v>0.49299999999999999</v>
      </c>
      <c r="Q24" s="82">
        <f t="shared" si="2"/>
        <v>0.217</v>
      </c>
      <c r="R24" s="82">
        <f t="shared" si="3"/>
        <v>3.4000000000000002E-2</v>
      </c>
      <c r="S24" s="82">
        <f t="shared" si="4"/>
        <v>6.0000000000000001E-3</v>
      </c>
    </row>
    <row r="25" spans="1:19" ht="16.5" hidden="1">
      <c r="A25" s="83" t="s">
        <v>76</v>
      </c>
      <c r="B25" s="82">
        <f>'[2]EU Sunflower Exports'!JW$88</f>
        <v>2.5999999999999999E-2</v>
      </c>
      <c r="C25" s="82">
        <f>'[2]EU Sunflower Exports'!JX$88</f>
        <v>0</v>
      </c>
      <c r="D25" s="82">
        <f>'[2]EU Sunflower Exports'!JY$88</f>
        <v>0</v>
      </c>
      <c r="E25" s="82">
        <f>'[2]EU Sunflower Exports'!JZ$88</f>
        <v>0</v>
      </c>
      <c r="F25" s="82">
        <f>'[2]EU Sunflower Exports'!KA$88</f>
        <v>0</v>
      </c>
      <c r="G25" s="82">
        <f>'[2]EU Sunflower Exports'!KB$88</f>
        <v>0.02</v>
      </c>
      <c r="H25" s="82">
        <f>'[2]EU Sunflower Exports'!KC$88</f>
        <v>3.0000000000000001E-3</v>
      </c>
      <c r="I25" s="82">
        <f>'[2]EU Sunflower Exports'!KD$88</f>
        <v>0</v>
      </c>
      <c r="J25" s="82">
        <f>'[2]EU Sunflower Exports'!KE$88</f>
        <v>0</v>
      </c>
      <c r="K25" s="82">
        <f>'[2]EU Sunflower Exports'!KF$88</f>
        <v>0</v>
      </c>
      <c r="L25" s="82">
        <f>'[2]EU Sunflower Exports'!KG$88</f>
        <v>0</v>
      </c>
      <c r="M25" s="82">
        <f>'[2]EU Sunflower Exports'!KH$88</f>
        <v>0</v>
      </c>
      <c r="N25" s="82">
        <f t="shared" si="0"/>
        <v>4.9000000000000002E-2</v>
      </c>
      <c r="O25" s="27"/>
      <c r="P25" s="82">
        <f>SUM(B25:D25)</f>
        <v>2.5999999999999999E-2</v>
      </c>
      <c r="Q25" s="82">
        <f t="shared" si="2"/>
        <v>0.02</v>
      </c>
      <c r="R25" s="82">
        <f t="shared" si="3"/>
        <v>3.0000000000000001E-3</v>
      </c>
      <c r="S25" s="82">
        <f t="shared" si="4"/>
        <v>0</v>
      </c>
    </row>
    <row r="26" spans="1:19" ht="16.5" hidden="1">
      <c r="A26" s="83" t="s">
        <v>77</v>
      </c>
      <c r="B26" s="82">
        <f>'[2]EU Sunflower Exports'!KI$88</f>
        <v>0</v>
      </c>
      <c r="C26" s="82">
        <f>'[2]EU Sunflower Exports'!KJ$88</f>
        <v>0</v>
      </c>
      <c r="D26" s="82">
        <f>'[2]EU Sunflower Exports'!KK$88</f>
        <v>0</v>
      </c>
      <c r="E26" s="82">
        <f>'[2]EU Sunflower Exports'!KL$88</f>
        <v>1.9E-2</v>
      </c>
      <c r="F26" s="82">
        <f>'[2]EU Sunflower Exports'!KM$88</f>
        <v>3.0000000000000001E-3</v>
      </c>
      <c r="G26" s="82">
        <f>'[2]EU Sunflower Exports'!KN$88</f>
        <v>8.0000000000000002E-3</v>
      </c>
      <c r="H26" s="82">
        <f>'[2]EU Sunflower Exports'!KO$88</f>
        <v>1E-3</v>
      </c>
      <c r="I26" s="82">
        <f>'[2]EU Sunflower Exports'!KP$88</f>
        <v>0</v>
      </c>
      <c r="J26" s="82">
        <f>'[2]EU Sunflower Exports'!KQ$88</f>
        <v>0</v>
      </c>
      <c r="K26" s="82">
        <f>'[2]EU Sunflower Exports'!KR$88</f>
        <v>0</v>
      </c>
      <c r="L26" s="82">
        <f>'[2]EU Sunflower Exports'!KS$88</f>
        <v>0</v>
      </c>
      <c r="M26" s="82">
        <f>'[2]EU Sunflower Exports'!KT$88</f>
        <v>3.2000000000000001E-2</v>
      </c>
      <c r="N26" s="82">
        <f t="shared" si="0"/>
        <v>6.3E-2</v>
      </c>
      <c r="O26" s="27"/>
      <c r="P26" s="82">
        <f t="shared" si="1"/>
        <v>0</v>
      </c>
      <c r="Q26" s="82">
        <f t="shared" si="2"/>
        <v>0.03</v>
      </c>
      <c r="R26" s="82">
        <f t="shared" si="3"/>
        <v>1E-3</v>
      </c>
      <c r="S26" s="82">
        <f t="shared" si="4"/>
        <v>3.2000000000000001E-2</v>
      </c>
    </row>
    <row r="27" spans="1:19" ht="16.5" hidden="1">
      <c r="A27" s="83" t="s">
        <v>78</v>
      </c>
      <c r="B27" s="82">
        <f>'[2]EU Sunflower Exports'!KU$88</f>
        <v>0</v>
      </c>
      <c r="C27" s="82">
        <f>'[2]EU Sunflower Exports'!KV$88</f>
        <v>0</v>
      </c>
      <c r="D27" s="82">
        <f>'[2]EU Sunflower Exports'!KW$88</f>
        <v>1.7999999999999999E-2</v>
      </c>
      <c r="E27" s="82">
        <f>'[2]EU Sunflower Exports'!KX$88</f>
        <v>0</v>
      </c>
      <c r="F27" s="82" t="str">
        <f>'[2]EU Sunflower Exports'!KY$88</f>
        <v/>
      </c>
      <c r="G27" s="82">
        <f>'[2]EU Sunflower Exports'!KZ$88</f>
        <v>0.01</v>
      </c>
      <c r="H27" s="82">
        <f>'[2]EU Sunflower Exports'!LA$88</f>
        <v>1.0999999999999999E-2</v>
      </c>
      <c r="I27" s="82" t="str">
        <f>'[2]EU Sunflower Exports'!LB$88</f>
        <v/>
      </c>
      <c r="J27" s="82" t="str">
        <f>'[2]EU Sunflower Exports'!LC$88</f>
        <v/>
      </c>
      <c r="K27" s="82">
        <f>'[2]EU Sunflower Exports'!LD$88</f>
        <v>1E-3</v>
      </c>
      <c r="L27" s="82" t="str">
        <f>'[2]EU Sunflower Exports'!LE$88</f>
        <v/>
      </c>
      <c r="M27" s="82" t="str">
        <f>'[2]EU Sunflower Exports'!LF$88</f>
        <v/>
      </c>
      <c r="N27" s="82">
        <f t="shared" si="0"/>
        <v>3.9999999999999994E-2</v>
      </c>
      <c r="O27" s="27"/>
      <c r="P27" s="82">
        <f t="shared" si="1"/>
        <v>1.7999999999999999E-2</v>
      </c>
      <c r="Q27" s="82">
        <f t="shared" si="2"/>
        <v>0.01</v>
      </c>
      <c r="R27" s="82">
        <f t="shared" si="3"/>
        <v>1.0999999999999999E-2</v>
      </c>
      <c r="S27" s="82">
        <f t="shared" si="4"/>
        <v>1E-3</v>
      </c>
    </row>
    <row r="28" spans="1:19" ht="16.5" hidden="1">
      <c r="A28" s="83" t="s">
        <v>79</v>
      </c>
      <c r="B28" s="82">
        <f>'[2]EU Sunflower Exports'!LG$88</f>
        <v>6.3E-2</v>
      </c>
      <c r="C28" s="82" t="str">
        <f>'[2]EU Sunflower Exports'!LH$88</f>
        <v/>
      </c>
      <c r="D28" s="82" t="str">
        <f>'[2]EU Sunflower Exports'!LI$88</f>
        <v/>
      </c>
      <c r="E28" s="82">
        <f>'[2]EU Sunflower Exports'!LJ$88</f>
        <v>1.9E-2</v>
      </c>
      <c r="F28" s="82" t="str">
        <f>'[2]EU Sunflower Exports'!LK$88</f>
        <v/>
      </c>
      <c r="G28" s="82" t="str">
        <f>'[2]EU Sunflower Exports'!LL$88</f>
        <v/>
      </c>
      <c r="H28" s="82">
        <f>'[2]EU Sunflower Exports'!LM$88</f>
        <v>2E-3</v>
      </c>
      <c r="I28" s="82">
        <f>'[2]EU Sunflower Exports'!LN$88</f>
        <v>6.0000000000000001E-3</v>
      </c>
      <c r="J28" s="82">
        <f>'[2]EU Sunflower Exports'!LO$88</f>
        <v>0.217</v>
      </c>
      <c r="K28" s="82" t="str">
        <f>'[2]EU Sunflower Exports'!LP$88</f>
        <v/>
      </c>
      <c r="L28" s="82" t="str">
        <f>'[2]EU Sunflower Exports'!LQ$88</f>
        <v/>
      </c>
      <c r="M28" s="82" t="str">
        <f>'[2]EU Sunflower Exports'!LR$88</f>
        <v/>
      </c>
      <c r="N28" s="82">
        <f t="shared" si="0"/>
        <v>0.307</v>
      </c>
      <c r="O28" s="27"/>
      <c r="P28" s="82">
        <f t="shared" si="1"/>
        <v>6.3E-2</v>
      </c>
      <c r="Q28" s="82">
        <f t="shared" si="2"/>
        <v>1.9E-2</v>
      </c>
      <c r="R28" s="82">
        <f t="shared" si="3"/>
        <v>0.22500000000000001</v>
      </c>
      <c r="S28" s="82">
        <f t="shared" si="4"/>
        <v>0</v>
      </c>
    </row>
    <row r="29" spans="1:19" ht="16.5">
      <c r="A29" s="85" t="s">
        <v>80</v>
      </c>
      <c r="B29" s="86">
        <f>'[2]EU Sunflower Exports'!LS$88</f>
        <v>2E-3</v>
      </c>
      <c r="C29" s="86" t="str">
        <f>'[2]EU Sunflower Exports'!LT$88</f>
        <v/>
      </c>
      <c r="D29" s="86">
        <f>'[2]EU Sunflower Exports'!LU$88</f>
        <v>1.548</v>
      </c>
      <c r="E29" s="86">
        <f>'[2]EU Sunflower Exports'!LV$88</f>
        <v>2.2429999999999999</v>
      </c>
      <c r="F29" s="86">
        <f>'[2]EU Sunflower Exports'!LW$88</f>
        <v>2.609</v>
      </c>
      <c r="G29" s="86">
        <f>'[2]EU Sunflower Exports'!LX$88</f>
        <v>0.73</v>
      </c>
      <c r="H29" s="86">
        <f>'[2]EU Sunflower Exports'!LY$88</f>
        <v>1.099</v>
      </c>
      <c r="I29" s="86">
        <f>'[2]EU Sunflower Exports'!LZ$88</f>
        <v>0.27400000000000002</v>
      </c>
      <c r="J29" s="86">
        <f>'[2]EU Sunflower Exports'!MA$88</f>
        <v>1.89</v>
      </c>
      <c r="K29" s="86">
        <f>'[2]EU Sunflower Exports'!MB$88</f>
        <v>2.1880000000000002</v>
      </c>
      <c r="L29" s="86">
        <f>'[2]EU Sunflower Exports'!MC$88</f>
        <v>0.28899999999999998</v>
      </c>
      <c r="M29" s="86">
        <f>'[2]EU Sunflower Exports'!MD$88</f>
        <v>1.5329999999999999</v>
      </c>
      <c r="N29" s="86">
        <f t="shared" si="0"/>
        <v>14.404999999999999</v>
      </c>
      <c r="O29" s="27"/>
      <c r="P29" s="87">
        <f>SUM(B29:D29)</f>
        <v>1.55</v>
      </c>
      <c r="Q29" s="87">
        <f>SUM(E29:G29)</f>
        <v>5.5820000000000007</v>
      </c>
      <c r="R29" s="87">
        <f>SUM(H29:J29)</f>
        <v>3.2629999999999999</v>
      </c>
      <c r="S29" s="87">
        <f t="shared" si="4"/>
        <v>4.01</v>
      </c>
    </row>
    <row r="30" spans="1:19" ht="16.5">
      <c r="A30" s="85" t="s">
        <v>81</v>
      </c>
      <c r="B30" s="86">
        <f>'[2]EU Sunflower Exports'!ME$88</f>
        <v>2.7570000000000001</v>
      </c>
      <c r="C30" s="86">
        <f>'[2]EU Sunflower Exports'!MF$88</f>
        <v>2.069</v>
      </c>
      <c r="D30" s="86">
        <f>'[2]EU Sunflower Exports'!MG$88</f>
        <v>1.996</v>
      </c>
      <c r="E30" s="86">
        <f>'[2]EU Sunflower Exports'!MH$88</f>
        <v>1.714</v>
      </c>
      <c r="F30" s="86">
        <f>'[2]EU Sunflower Exports'!MI$88</f>
        <v>5.4630000000000001</v>
      </c>
      <c r="G30" s="86">
        <f>'[2]EU Sunflower Exports'!MJ$88</f>
        <v>1.3480000000000001</v>
      </c>
      <c r="H30" s="86">
        <f>'[2]EU Sunflower Exports'!MK$88</f>
        <v>2.871</v>
      </c>
      <c r="I30" s="86">
        <f>'[2]EU Sunflower Exports'!ML$88</f>
        <v>5.0979999999999999</v>
      </c>
      <c r="J30" s="86">
        <f>'[2]EU Sunflower Exports'!MM$88</f>
        <v>7.0149999999999997</v>
      </c>
      <c r="K30" s="86">
        <f>'[2]EU Sunflower Exports'!MN$88</f>
        <v>5.5789999999999997</v>
      </c>
      <c r="L30" s="86">
        <f>'[2]EU Sunflower Exports'!MO$88</f>
        <v>7.4580000000000002</v>
      </c>
      <c r="M30" s="86">
        <f>'[2]EU Sunflower Exports'!MP$88</f>
        <v>2.5270000000000001</v>
      </c>
      <c r="N30" s="86">
        <f t="shared" si="0"/>
        <v>45.895000000000003</v>
      </c>
      <c r="O30" s="27"/>
      <c r="P30" s="87">
        <f t="shared" si="1"/>
        <v>6.822000000000001</v>
      </c>
      <c r="Q30" s="87">
        <f t="shared" si="2"/>
        <v>8.5250000000000004</v>
      </c>
      <c r="R30" s="87">
        <f t="shared" si="3"/>
        <v>14.983999999999998</v>
      </c>
      <c r="S30" s="87">
        <f t="shared" si="4"/>
        <v>15.564</v>
      </c>
    </row>
    <row r="31" spans="1:19" ht="17.25" thickBot="1">
      <c r="A31" s="88" t="s">
        <v>82</v>
      </c>
      <c r="B31" s="89">
        <f>'[2]EU Sunflower Exports'!MQ$88</f>
        <v>5.2969999999999997</v>
      </c>
      <c r="C31" s="89">
        <f>'[2]EU Sunflower Exports'!MR$88</f>
        <v>4.95</v>
      </c>
      <c r="D31" s="89">
        <f>'[2]EU Sunflower Exports'!MS$88</f>
        <v>6.3970000000000002</v>
      </c>
      <c r="E31" s="89">
        <f>'[2]EU Sunflower Exports'!MT$88</f>
        <v>4.8959999999999999</v>
      </c>
      <c r="F31" s="89">
        <f>'[2]EU Sunflower Exports'!MU$88</f>
        <v>4.1879999999999997</v>
      </c>
      <c r="G31" s="89">
        <f>'[2]EU Sunflower Exports'!MV$88</f>
        <v>2.298</v>
      </c>
      <c r="H31" s="89">
        <f>'[2]EU Sunflower Exports'!MW$88</f>
        <v>2.73</v>
      </c>
      <c r="I31" s="90">
        <f>(AVERAGE(I26:I30)/AVERAGE($N26:$N30))*$N31</f>
        <v>5.8911290561686718</v>
      </c>
      <c r="J31" s="90">
        <f>(AVERAGE(J26:J30)/AVERAGE($N26:$N30))*$N31</f>
        <v>9.9923538955691011</v>
      </c>
      <c r="K31" s="90">
        <f>(AVERAGE(K26:K30)/AVERAGE($N26:$N30))*$N31</f>
        <v>8.5091652116620011</v>
      </c>
      <c r="L31" s="90">
        <f t="shared" ref="L31" si="5">(AVERAGE(L26:L30)/AVERAGE($N26:$N30))*$N31</f>
        <v>11.314882062263219</v>
      </c>
      <c r="M31" s="90">
        <f>N31-SUM(B31:L31)</f>
        <v>-13.261530225662987</v>
      </c>
      <c r="N31" s="90">
        <f>'Sun Matrix'!AC7</f>
        <v>53.202000000000005</v>
      </c>
      <c r="O31" s="91"/>
      <c r="P31" s="92">
        <f>SUM(B31:D31)</f>
        <v>16.643999999999998</v>
      </c>
      <c r="Q31" s="92">
        <f t="shared" si="2"/>
        <v>11.382</v>
      </c>
      <c r="R31" s="93">
        <f t="shared" si="3"/>
        <v>18.613482951737772</v>
      </c>
      <c r="S31" s="93">
        <f t="shared" si="4"/>
        <v>6.562517048262233</v>
      </c>
    </row>
    <row r="32" spans="1:19" ht="16.5">
      <c r="A32" s="80" t="s">
        <v>83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27"/>
      <c r="P32" s="87"/>
      <c r="Q32" s="87"/>
      <c r="R32" s="87"/>
      <c r="S32" s="87"/>
    </row>
    <row r="33" spans="1:19" ht="16.5" hidden="1">
      <c r="A33" s="81" t="s">
        <v>84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27"/>
      <c r="P33" s="87"/>
      <c r="Q33" s="87"/>
      <c r="R33" s="87"/>
      <c r="S33" s="87"/>
    </row>
    <row r="34" spans="1:19" ht="16.5" hidden="1">
      <c r="A34" s="81" t="s">
        <v>56</v>
      </c>
      <c r="B34" s="86">
        <f>'[2]Russia Sunflower Exports'!AQ$88</f>
        <v>0</v>
      </c>
      <c r="C34" s="86">
        <f>'[2]Russia Sunflower Exports'!AR$88</f>
        <v>0</v>
      </c>
      <c r="D34" s="86">
        <f>'[2]Russia Sunflower Exports'!AS$88</f>
        <v>0</v>
      </c>
      <c r="E34" s="86">
        <f>'[2]Russia Sunflower Exports'!AT$88</f>
        <v>0</v>
      </c>
      <c r="F34" s="86">
        <f>'[2]Russia Sunflower Exports'!AU$88</f>
        <v>0</v>
      </c>
      <c r="G34" s="86">
        <f>'[2]Russia Sunflower Exports'!AV$88</f>
        <v>0</v>
      </c>
      <c r="H34" s="86">
        <f>'[2]Russia Sunflower Exports'!AW$88</f>
        <v>0</v>
      </c>
      <c r="I34" s="86">
        <f>'[2]Russia Sunflower Exports'!AX$88</f>
        <v>0</v>
      </c>
      <c r="J34" s="86">
        <f>'[2]Russia Sunflower Exports'!AY$88</f>
        <v>0</v>
      </c>
      <c r="K34" s="86">
        <f>'[2]Russia Sunflower Exports'!AZ$88</f>
        <v>0</v>
      </c>
      <c r="L34" s="86">
        <f>'[2]Russia Sunflower Exports'!BA$88</f>
        <v>0</v>
      </c>
      <c r="M34" s="86">
        <f>'[2]Russia Sunflower Exports'!BB$88</f>
        <v>0</v>
      </c>
      <c r="N34" s="86">
        <f>SUM(B34:M34)</f>
        <v>0</v>
      </c>
      <c r="O34" s="82"/>
      <c r="P34" s="87">
        <f>SUM(B34:D34)</f>
        <v>0</v>
      </c>
      <c r="Q34" s="87">
        <f>SUM(E34:G34)</f>
        <v>0</v>
      </c>
      <c r="R34" s="87">
        <f>SUM(H34:J34)</f>
        <v>0</v>
      </c>
      <c r="S34" s="87">
        <f>SUM(K34:M34)</f>
        <v>0</v>
      </c>
    </row>
    <row r="35" spans="1:19" ht="16.5" hidden="1">
      <c r="A35" s="81" t="s">
        <v>57</v>
      </c>
      <c r="B35" s="86">
        <f>'[2]Russia Sunflower Exports'!BC$88</f>
        <v>0</v>
      </c>
      <c r="C35" s="86">
        <f>'[2]Russia Sunflower Exports'!BD$88</f>
        <v>0</v>
      </c>
      <c r="D35" s="86">
        <f>'[2]Russia Sunflower Exports'!BE$88</f>
        <v>0</v>
      </c>
      <c r="E35" s="86">
        <f>'[2]Russia Sunflower Exports'!BF$88</f>
        <v>0</v>
      </c>
      <c r="F35" s="86">
        <f>'[2]Russia Sunflower Exports'!BG$88</f>
        <v>0</v>
      </c>
      <c r="G35" s="86">
        <f>'[2]Russia Sunflower Exports'!BH$88</f>
        <v>0</v>
      </c>
      <c r="H35" s="86">
        <f>'[2]Russia Sunflower Exports'!BI$88</f>
        <v>0</v>
      </c>
      <c r="I35" s="86">
        <f>'[2]Russia Sunflower Exports'!BJ$88</f>
        <v>0</v>
      </c>
      <c r="J35" s="86">
        <f>'[2]Russia Sunflower Exports'!BK$88</f>
        <v>0</v>
      </c>
      <c r="K35" s="86">
        <f>'[2]Russia Sunflower Exports'!BL$88</f>
        <v>0</v>
      </c>
      <c r="L35" s="86">
        <f>'[2]Russia Sunflower Exports'!BM$88</f>
        <v>0</v>
      </c>
      <c r="M35" s="86">
        <f>'[2]Russia Sunflower Exports'!BN$88</f>
        <v>0</v>
      </c>
      <c r="N35" s="86">
        <f t="shared" ref="N35:N59" si="6">SUM(B35:M35)</f>
        <v>0</v>
      </c>
      <c r="O35" s="82"/>
      <c r="P35" s="87">
        <f t="shared" ref="P35:P53" si="7">SUM(B35:D35)</f>
        <v>0</v>
      </c>
      <c r="Q35" s="87">
        <f t="shared" ref="Q35:Q60" si="8">SUM(E35:G35)</f>
        <v>0</v>
      </c>
      <c r="R35" s="87">
        <f t="shared" ref="R35:R60" si="9">SUM(H35:J35)</f>
        <v>0</v>
      </c>
      <c r="S35" s="87">
        <f t="shared" ref="S35:S60" si="10">SUM(K35:M35)</f>
        <v>0</v>
      </c>
    </row>
    <row r="36" spans="1:19" ht="16.5" hidden="1">
      <c r="A36" s="81" t="s">
        <v>58</v>
      </c>
      <c r="B36" s="86">
        <f>'[2]Russia Sunflower Exports'!BO$88</f>
        <v>0</v>
      </c>
      <c r="C36" s="86">
        <f>'[2]Russia Sunflower Exports'!BP$88</f>
        <v>0</v>
      </c>
      <c r="D36" s="86">
        <f>'[2]Russia Sunflower Exports'!BQ$88</f>
        <v>0</v>
      </c>
      <c r="E36" s="86">
        <f>'[2]Russia Sunflower Exports'!BR$88</f>
        <v>0</v>
      </c>
      <c r="F36" s="86">
        <f>'[2]Russia Sunflower Exports'!BS$88</f>
        <v>0</v>
      </c>
      <c r="G36" s="86">
        <f>'[2]Russia Sunflower Exports'!BT$88</f>
        <v>0</v>
      </c>
      <c r="H36" s="86">
        <f>'[2]Russia Sunflower Exports'!BU$88</f>
        <v>0</v>
      </c>
      <c r="I36" s="86">
        <f>'[2]Russia Sunflower Exports'!BV$88</f>
        <v>0</v>
      </c>
      <c r="J36" s="86">
        <f>'[2]Russia Sunflower Exports'!BW$88</f>
        <v>0</v>
      </c>
      <c r="K36" s="86">
        <f>'[2]Russia Sunflower Exports'!BX$88</f>
        <v>0</v>
      </c>
      <c r="L36" s="86">
        <f>'[2]Russia Sunflower Exports'!BY$88</f>
        <v>0</v>
      </c>
      <c r="M36" s="86">
        <f>'[2]Russia Sunflower Exports'!BZ$88</f>
        <v>0</v>
      </c>
      <c r="N36" s="86">
        <f t="shared" si="6"/>
        <v>0</v>
      </c>
      <c r="O36" s="82"/>
      <c r="P36" s="87">
        <f t="shared" si="7"/>
        <v>0</v>
      </c>
      <c r="Q36" s="87">
        <f t="shared" si="8"/>
        <v>0</v>
      </c>
      <c r="R36" s="87">
        <f t="shared" si="9"/>
        <v>0</v>
      </c>
      <c r="S36" s="87">
        <f t="shared" si="10"/>
        <v>0</v>
      </c>
    </row>
    <row r="37" spans="1:19" ht="16.5" hidden="1">
      <c r="A37" s="81" t="s">
        <v>59</v>
      </c>
      <c r="B37" s="86">
        <f>'[2]Russia Sunflower Exports'!CA$88</f>
        <v>0</v>
      </c>
      <c r="C37" s="86">
        <f>'[2]Russia Sunflower Exports'!CB$88</f>
        <v>0</v>
      </c>
      <c r="D37" s="86">
        <f>'[2]Russia Sunflower Exports'!CC$88</f>
        <v>0</v>
      </c>
      <c r="E37" s="86">
        <f>'[2]Russia Sunflower Exports'!CD$88</f>
        <v>0</v>
      </c>
      <c r="F37" s="86">
        <f>'[2]Russia Sunflower Exports'!CE$88</f>
        <v>0</v>
      </c>
      <c r="G37" s="86">
        <f>'[2]Russia Sunflower Exports'!CF$88</f>
        <v>0</v>
      </c>
      <c r="H37" s="86">
        <f>'[2]Russia Sunflower Exports'!CG$88</f>
        <v>0</v>
      </c>
      <c r="I37" s="86">
        <f>'[2]Russia Sunflower Exports'!CH$88</f>
        <v>0</v>
      </c>
      <c r="J37" s="86">
        <f>'[2]Russia Sunflower Exports'!CI$88</f>
        <v>0</v>
      </c>
      <c r="K37" s="86">
        <f>'[2]Russia Sunflower Exports'!CJ$88</f>
        <v>0</v>
      </c>
      <c r="L37" s="86">
        <f>'[2]Russia Sunflower Exports'!CK$88</f>
        <v>0</v>
      </c>
      <c r="M37" s="86">
        <f>'[2]Russia Sunflower Exports'!CL$88</f>
        <v>0</v>
      </c>
      <c r="N37" s="86">
        <f t="shared" si="6"/>
        <v>0</v>
      </c>
      <c r="O37" s="82"/>
      <c r="P37" s="87">
        <f t="shared" si="7"/>
        <v>0</v>
      </c>
      <c r="Q37" s="87">
        <f t="shared" si="8"/>
        <v>0</v>
      </c>
      <c r="R37" s="87">
        <f t="shared" si="9"/>
        <v>0</v>
      </c>
      <c r="S37" s="87">
        <f t="shared" si="10"/>
        <v>0</v>
      </c>
    </row>
    <row r="38" spans="1:19" ht="16.5" hidden="1">
      <c r="A38" s="81" t="s">
        <v>60</v>
      </c>
      <c r="B38" s="86">
        <f>'[2]Russia Sunflower Exports'!CM$88</f>
        <v>0</v>
      </c>
      <c r="C38" s="86">
        <f>'[2]Russia Sunflower Exports'!CN$88</f>
        <v>0</v>
      </c>
      <c r="D38" s="86">
        <f>'[2]Russia Sunflower Exports'!CO$88</f>
        <v>0</v>
      </c>
      <c r="E38" s="86">
        <f>'[2]Russia Sunflower Exports'!CP$88</f>
        <v>0</v>
      </c>
      <c r="F38" s="86">
        <f>'[2]Russia Sunflower Exports'!CQ$88</f>
        <v>0</v>
      </c>
      <c r="G38" s="86">
        <f>'[2]Russia Sunflower Exports'!CR$88</f>
        <v>0</v>
      </c>
      <c r="H38" s="86">
        <f>'[2]Russia Sunflower Exports'!CS$88</f>
        <v>0</v>
      </c>
      <c r="I38" s="86">
        <f>'[2]Russia Sunflower Exports'!CT$88</f>
        <v>0</v>
      </c>
      <c r="J38" s="86">
        <f>'[2]Russia Sunflower Exports'!CU$88</f>
        <v>0</v>
      </c>
      <c r="K38" s="86">
        <f>'[2]Russia Sunflower Exports'!CV$88</f>
        <v>0</v>
      </c>
      <c r="L38" s="86">
        <f>'[2]Russia Sunflower Exports'!CW$88</f>
        <v>0</v>
      </c>
      <c r="M38" s="86">
        <f>'[2]Russia Sunflower Exports'!CX$88</f>
        <v>0</v>
      </c>
      <c r="N38" s="86">
        <f t="shared" si="6"/>
        <v>0</v>
      </c>
      <c r="O38" s="82"/>
      <c r="P38" s="87">
        <f t="shared" si="7"/>
        <v>0</v>
      </c>
      <c r="Q38" s="87">
        <f t="shared" si="8"/>
        <v>0</v>
      </c>
      <c r="R38" s="87">
        <f t="shared" si="9"/>
        <v>0</v>
      </c>
      <c r="S38" s="87">
        <f t="shared" si="10"/>
        <v>0</v>
      </c>
    </row>
    <row r="39" spans="1:19" ht="16.5" hidden="1">
      <c r="A39" s="81" t="s">
        <v>61</v>
      </c>
      <c r="B39" s="86">
        <f>'[2]Russia Sunflower Exports'!CY$88</f>
        <v>0</v>
      </c>
      <c r="C39" s="86">
        <f>'[2]Russia Sunflower Exports'!CZ$88</f>
        <v>0</v>
      </c>
      <c r="D39" s="86">
        <f>'[2]Russia Sunflower Exports'!DA$88</f>
        <v>0</v>
      </c>
      <c r="E39" s="86">
        <f>'[2]Russia Sunflower Exports'!DB$88</f>
        <v>0</v>
      </c>
      <c r="F39" s="86">
        <f>'[2]Russia Sunflower Exports'!DC$88</f>
        <v>0</v>
      </c>
      <c r="G39" s="86">
        <f>'[2]Russia Sunflower Exports'!DD$88</f>
        <v>0</v>
      </c>
      <c r="H39" s="86">
        <f>'[2]Russia Sunflower Exports'!DE$88</f>
        <v>0</v>
      </c>
      <c r="I39" s="86">
        <f>'[2]Russia Sunflower Exports'!DF$88</f>
        <v>0</v>
      </c>
      <c r="J39" s="86">
        <f>'[2]Russia Sunflower Exports'!DG$88</f>
        <v>0</v>
      </c>
      <c r="K39" s="86">
        <f>'[2]Russia Sunflower Exports'!DH$88</f>
        <v>0</v>
      </c>
      <c r="L39" s="86">
        <f>'[2]Russia Sunflower Exports'!DI$88</f>
        <v>0</v>
      </c>
      <c r="M39" s="86">
        <f>'[2]Russia Sunflower Exports'!DJ$88</f>
        <v>0</v>
      </c>
      <c r="N39" s="86">
        <f t="shared" si="6"/>
        <v>0</v>
      </c>
      <c r="O39" s="82"/>
      <c r="P39" s="87">
        <f t="shared" si="7"/>
        <v>0</v>
      </c>
      <c r="Q39" s="87">
        <f t="shared" si="8"/>
        <v>0</v>
      </c>
      <c r="R39" s="87">
        <f t="shared" si="9"/>
        <v>0</v>
      </c>
      <c r="S39" s="87">
        <f t="shared" si="10"/>
        <v>0</v>
      </c>
    </row>
    <row r="40" spans="1:19" ht="16.5" hidden="1">
      <c r="A40" s="81" t="s">
        <v>62</v>
      </c>
      <c r="B40" s="86">
        <f>'[2]Russia Sunflower Exports'!DK$88</f>
        <v>0</v>
      </c>
      <c r="C40" s="86">
        <f>'[2]Russia Sunflower Exports'!DL$88</f>
        <v>0</v>
      </c>
      <c r="D40" s="86">
        <f>'[2]Russia Sunflower Exports'!DM$88</f>
        <v>0</v>
      </c>
      <c r="E40" s="86">
        <f>'[2]Russia Sunflower Exports'!DN$88</f>
        <v>0</v>
      </c>
      <c r="F40" s="86">
        <f>'[2]Russia Sunflower Exports'!DO$88</f>
        <v>0</v>
      </c>
      <c r="G40" s="86">
        <f>'[2]Russia Sunflower Exports'!DP$88</f>
        <v>0</v>
      </c>
      <c r="H40" s="86">
        <f>'[2]Russia Sunflower Exports'!DQ$88</f>
        <v>0</v>
      </c>
      <c r="I40" s="86">
        <f>'[2]Russia Sunflower Exports'!DR$88</f>
        <v>0</v>
      </c>
      <c r="J40" s="86">
        <f>'[2]Russia Sunflower Exports'!DS$88</f>
        <v>0</v>
      </c>
      <c r="K40" s="86">
        <f>'[2]Russia Sunflower Exports'!DT$88</f>
        <v>0</v>
      </c>
      <c r="L40" s="86">
        <f>'[2]Russia Sunflower Exports'!DU$88</f>
        <v>0</v>
      </c>
      <c r="M40" s="86">
        <f>'[2]Russia Sunflower Exports'!DV$88</f>
        <v>0</v>
      </c>
      <c r="N40" s="86">
        <f t="shared" si="6"/>
        <v>0</v>
      </c>
      <c r="O40" s="82"/>
      <c r="P40" s="87">
        <f t="shared" si="7"/>
        <v>0</v>
      </c>
      <c r="Q40" s="87">
        <f t="shared" si="8"/>
        <v>0</v>
      </c>
      <c r="R40" s="87">
        <f t="shared" si="9"/>
        <v>0</v>
      </c>
      <c r="S40" s="87">
        <f t="shared" si="10"/>
        <v>0</v>
      </c>
    </row>
    <row r="41" spans="1:19" ht="16.5" hidden="1">
      <c r="A41" s="81" t="s">
        <v>63</v>
      </c>
      <c r="B41" s="86">
        <f>'[2]Russia Sunflower Exports'!DW$88</f>
        <v>0</v>
      </c>
      <c r="C41" s="86">
        <f>'[2]Russia Sunflower Exports'!DX$88</f>
        <v>0</v>
      </c>
      <c r="D41" s="86">
        <f>'[2]Russia Sunflower Exports'!DY$88</f>
        <v>0</v>
      </c>
      <c r="E41" s="86">
        <f>'[2]Russia Sunflower Exports'!DZ$88</f>
        <v>0</v>
      </c>
      <c r="F41" s="86">
        <f>'[2]Russia Sunflower Exports'!EA$88</f>
        <v>0</v>
      </c>
      <c r="G41" s="86">
        <f>'[2]Russia Sunflower Exports'!EB$88</f>
        <v>0</v>
      </c>
      <c r="H41" s="86">
        <f>'[2]Russia Sunflower Exports'!EC$88</f>
        <v>0</v>
      </c>
      <c r="I41" s="86">
        <f>'[2]Russia Sunflower Exports'!ED$88</f>
        <v>0</v>
      </c>
      <c r="J41" s="86">
        <f>'[2]Russia Sunflower Exports'!EE$88</f>
        <v>0</v>
      </c>
      <c r="K41" s="86">
        <f>'[2]Russia Sunflower Exports'!EF$88</f>
        <v>0</v>
      </c>
      <c r="L41" s="86">
        <f>'[2]Russia Sunflower Exports'!EG$88</f>
        <v>0</v>
      </c>
      <c r="M41" s="86">
        <f>'[2]Russia Sunflower Exports'!EH$88</f>
        <v>0</v>
      </c>
      <c r="N41" s="86">
        <f t="shared" si="6"/>
        <v>0</v>
      </c>
      <c r="O41" s="82"/>
      <c r="P41" s="87">
        <f t="shared" si="7"/>
        <v>0</v>
      </c>
      <c r="Q41" s="87">
        <f t="shared" si="8"/>
        <v>0</v>
      </c>
      <c r="R41" s="87">
        <f t="shared" si="9"/>
        <v>0</v>
      </c>
      <c r="S41" s="87">
        <f t="shared" si="10"/>
        <v>0</v>
      </c>
    </row>
    <row r="42" spans="1:19" ht="16.5" hidden="1">
      <c r="A42" s="81" t="s">
        <v>64</v>
      </c>
      <c r="B42" s="86">
        <f>'[2]Russia Sunflower Exports'!EI$88</f>
        <v>0</v>
      </c>
      <c r="C42" s="86">
        <f>'[2]Russia Sunflower Exports'!EJ$88</f>
        <v>0</v>
      </c>
      <c r="D42" s="86">
        <f>'[2]Russia Sunflower Exports'!EK$88</f>
        <v>0</v>
      </c>
      <c r="E42" s="86">
        <f>'[2]Russia Sunflower Exports'!EL$88</f>
        <v>0</v>
      </c>
      <c r="F42" s="86">
        <f>'[2]Russia Sunflower Exports'!EM$88</f>
        <v>0</v>
      </c>
      <c r="G42" s="86">
        <f>'[2]Russia Sunflower Exports'!EN$88</f>
        <v>0</v>
      </c>
      <c r="H42" s="86">
        <f>'[2]Russia Sunflower Exports'!EO$88</f>
        <v>0</v>
      </c>
      <c r="I42" s="86">
        <f>'[2]Russia Sunflower Exports'!EP$88</f>
        <v>0</v>
      </c>
      <c r="J42" s="86">
        <f>'[2]Russia Sunflower Exports'!EQ$88</f>
        <v>0</v>
      </c>
      <c r="K42" s="86">
        <f>'[2]Russia Sunflower Exports'!ER$88</f>
        <v>0</v>
      </c>
      <c r="L42" s="86">
        <f>'[2]Russia Sunflower Exports'!ES$88</f>
        <v>0</v>
      </c>
      <c r="M42" s="86">
        <f>'[2]Russia Sunflower Exports'!ET$88</f>
        <v>0</v>
      </c>
      <c r="N42" s="86">
        <f t="shared" si="6"/>
        <v>0</v>
      </c>
      <c r="O42" s="82"/>
      <c r="P42" s="87">
        <f t="shared" si="7"/>
        <v>0</v>
      </c>
      <c r="Q42" s="87">
        <f t="shared" si="8"/>
        <v>0</v>
      </c>
      <c r="R42" s="87">
        <f t="shared" si="9"/>
        <v>0</v>
      </c>
      <c r="S42" s="87">
        <f t="shared" si="10"/>
        <v>0</v>
      </c>
    </row>
    <row r="43" spans="1:19" ht="16.5" hidden="1">
      <c r="A43" s="83" t="s">
        <v>65</v>
      </c>
      <c r="B43" s="86">
        <f>'[2]Russia Sunflower Exports'!EU$88</f>
        <v>0</v>
      </c>
      <c r="C43" s="86">
        <f>'[2]Russia Sunflower Exports'!EV$88</f>
        <v>0</v>
      </c>
      <c r="D43" s="86">
        <f>'[2]Russia Sunflower Exports'!EW$88</f>
        <v>0</v>
      </c>
      <c r="E43" s="86">
        <f>'[2]Russia Sunflower Exports'!EX$88</f>
        <v>0</v>
      </c>
      <c r="F43" s="86">
        <f>'[2]Russia Sunflower Exports'!EY$88</f>
        <v>0</v>
      </c>
      <c r="G43" s="86">
        <f>'[2]Russia Sunflower Exports'!EZ$88</f>
        <v>0</v>
      </c>
      <c r="H43" s="86">
        <f>'[2]Russia Sunflower Exports'!FA$88</f>
        <v>0</v>
      </c>
      <c r="I43" s="86">
        <f>'[2]Russia Sunflower Exports'!FB$88</f>
        <v>0</v>
      </c>
      <c r="J43" s="86">
        <f>'[2]Russia Sunflower Exports'!FC$88</f>
        <v>0</v>
      </c>
      <c r="K43" s="86">
        <f>'[2]Russia Sunflower Exports'!FD$88</f>
        <v>0</v>
      </c>
      <c r="L43" s="86">
        <f>'[2]Russia Sunflower Exports'!FE$88</f>
        <v>0</v>
      </c>
      <c r="M43" s="86">
        <f>'[2]Russia Sunflower Exports'!FF$88</f>
        <v>0</v>
      </c>
      <c r="N43" s="86">
        <f t="shared" si="6"/>
        <v>0</v>
      </c>
      <c r="O43" s="82"/>
      <c r="P43" s="87">
        <f t="shared" si="7"/>
        <v>0</v>
      </c>
      <c r="Q43" s="87">
        <f t="shared" si="8"/>
        <v>0</v>
      </c>
      <c r="R43" s="87">
        <f t="shared" si="9"/>
        <v>0</v>
      </c>
      <c r="S43" s="87">
        <f t="shared" si="10"/>
        <v>0</v>
      </c>
    </row>
    <row r="44" spans="1:19" ht="16.5" hidden="1">
      <c r="A44" s="83" t="s">
        <v>66</v>
      </c>
      <c r="B44" s="86">
        <f>'[2]Russia Sunflower Exports'!FG$88</f>
        <v>0</v>
      </c>
      <c r="C44" s="86">
        <f>'[2]Russia Sunflower Exports'!FH$88</f>
        <v>0</v>
      </c>
      <c r="D44" s="86">
        <f>'[2]Russia Sunflower Exports'!FI$88</f>
        <v>0</v>
      </c>
      <c r="E44" s="86">
        <f>'[2]Russia Sunflower Exports'!FJ$88</f>
        <v>0</v>
      </c>
      <c r="F44" s="86">
        <f>'[2]Russia Sunflower Exports'!FK$88</f>
        <v>0</v>
      </c>
      <c r="G44" s="86">
        <f>'[2]Russia Sunflower Exports'!FL$88</f>
        <v>0</v>
      </c>
      <c r="H44" s="86">
        <f>'[2]Russia Sunflower Exports'!FM$88</f>
        <v>0</v>
      </c>
      <c r="I44" s="86">
        <f>'[2]Russia Sunflower Exports'!FN$88</f>
        <v>0</v>
      </c>
      <c r="J44" s="86">
        <f>'[2]Russia Sunflower Exports'!FO$88</f>
        <v>0</v>
      </c>
      <c r="K44" s="86">
        <f>'[2]Russia Sunflower Exports'!FP$88</f>
        <v>0</v>
      </c>
      <c r="L44" s="86">
        <f>'[2]Russia Sunflower Exports'!FQ$88</f>
        <v>0</v>
      </c>
      <c r="M44" s="86">
        <f>'[2]Russia Sunflower Exports'!FR$88</f>
        <v>0</v>
      </c>
      <c r="N44" s="86">
        <f t="shared" si="6"/>
        <v>0</v>
      </c>
      <c r="O44" s="82"/>
      <c r="P44" s="87">
        <f t="shared" si="7"/>
        <v>0</v>
      </c>
      <c r="Q44" s="87">
        <f t="shared" si="8"/>
        <v>0</v>
      </c>
      <c r="R44" s="87">
        <f t="shared" si="9"/>
        <v>0</v>
      </c>
      <c r="S44" s="87">
        <f t="shared" si="10"/>
        <v>0</v>
      </c>
    </row>
    <row r="45" spans="1:19" ht="16.5" hidden="1">
      <c r="A45" s="84" t="s">
        <v>67</v>
      </c>
      <c r="B45" s="86">
        <f>'[2]Russia Sunflower Exports'!FS$88</f>
        <v>0</v>
      </c>
      <c r="C45" s="86">
        <f>'[2]Russia Sunflower Exports'!FT$88</f>
        <v>0</v>
      </c>
      <c r="D45" s="86">
        <f>'[2]Russia Sunflower Exports'!FU$88</f>
        <v>0</v>
      </c>
      <c r="E45" s="86">
        <f>'[2]Russia Sunflower Exports'!FV$88</f>
        <v>0</v>
      </c>
      <c r="F45" s="86">
        <f>'[2]Russia Sunflower Exports'!FW$88</f>
        <v>0</v>
      </c>
      <c r="G45" s="86">
        <f>'[2]Russia Sunflower Exports'!FX$88</f>
        <v>0</v>
      </c>
      <c r="H45" s="86">
        <f>'[2]Russia Sunflower Exports'!FY$88</f>
        <v>0</v>
      </c>
      <c r="I45" s="86">
        <f>'[2]Russia Sunflower Exports'!FZ$88</f>
        <v>0</v>
      </c>
      <c r="J45" s="86">
        <f>'[2]Russia Sunflower Exports'!GA$88</f>
        <v>0</v>
      </c>
      <c r="K45" s="86">
        <f>'[2]Russia Sunflower Exports'!GB$88</f>
        <v>0</v>
      </c>
      <c r="L45" s="86">
        <f>'[2]Russia Sunflower Exports'!GC$88</f>
        <v>0</v>
      </c>
      <c r="M45" s="86">
        <f>'[2]Russia Sunflower Exports'!GD$88</f>
        <v>0</v>
      </c>
      <c r="N45" s="86">
        <f t="shared" si="6"/>
        <v>0</v>
      </c>
      <c r="O45" s="82"/>
      <c r="P45" s="87">
        <f t="shared" si="7"/>
        <v>0</v>
      </c>
      <c r="Q45" s="87">
        <f t="shared" si="8"/>
        <v>0</v>
      </c>
      <c r="R45" s="87">
        <f t="shared" si="9"/>
        <v>0</v>
      </c>
      <c r="S45" s="87">
        <f t="shared" si="10"/>
        <v>0</v>
      </c>
    </row>
    <row r="46" spans="1:19" ht="16.5" hidden="1">
      <c r="A46" s="83" t="s">
        <v>68</v>
      </c>
      <c r="B46" s="86">
        <f>'[2]Russia Sunflower Exports'!GE$88</f>
        <v>0</v>
      </c>
      <c r="C46" s="86">
        <f>'[2]Russia Sunflower Exports'!GF$88</f>
        <v>0</v>
      </c>
      <c r="D46" s="86">
        <f>'[2]Russia Sunflower Exports'!GG$88</f>
        <v>0</v>
      </c>
      <c r="E46" s="86">
        <f>'[2]Russia Sunflower Exports'!GH$88</f>
        <v>0</v>
      </c>
      <c r="F46" s="86">
        <f>'[2]Russia Sunflower Exports'!GI$88</f>
        <v>0</v>
      </c>
      <c r="G46" s="86">
        <f>'[2]Russia Sunflower Exports'!GJ$88</f>
        <v>0</v>
      </c>
      <c r="H46" s="86">
        <f>'[2]Russia Sunflower Exports'!GK$88</f>
        <v>0</v>
      </c>
      <c r="I46" s="86">
        <f>'[2]Russia Sunflower Exports'!GL$88</f>
        <v>0</v>
      </c>
      <c r="J46" s="86">
        <f>'[2]Russia Sunflower Exports'!GM$88</f>
        <v>0</v>
      </c>
      <c r="K46" s="86">
        <f>'[2]Russia Sunflower Exports'!GN$88</f>
        <v>0</v>
      </c>
      <c r="L46" s="86">
        <f>'[2]Russia Sunflower Exports'!GO$88</f>
        <v>0</v>
      </c>
      <c r="M46" s="86">
        <f>'[2]Russia Sunflower Exports'!GP$88</f>
        <v>0</v>
      </c>
      <c r="N46" s="86">
        <f t="shared" si="6"/>
        <v>0</v>
      </c>
      <c r="O46" s="82"/>
      <c r="P46" s="87">
        <f t="shared" si="7"/>
        <v>0</v>
      </c>
      <c r="Q46" s="87">
        <f t="shared" si="8"/>
        <v>0</v>
      </c>
      <c r="R46" s="87">
        <f t="shared" si="9"/>
        <v>0</v>
      </c>
      <c r="S46" s="87">
        <f t="shared" si="10"/>
        <v>0</v>
      </c>
    </row>
    <row r="47" spans="1:19" ht="16.5" hidden="1">
      <c r="A47" s="84" t="s">
        <v>69</v>
      </c>
      <c r="B47" s="86">
        <f>'[2]Russia Sunflower Exports'!GQ$88</f>
        <v>0</v>
      </c>
      <c r="C47" s="86">
        <f>'[2]Russia Sunflower Exports'!GR$88</f>
        <v>0</v>
      </c>
      <c r="D47" s="86">
        <f>'[2]Russia Sunflower Exports'!GS$88</f>
        <v>0</v>
      </c>
      <c r="E47" s="86">
        <f>'[2]Russia Sunflower Exports'!GT$88</f>
        <v>0</v>
      </c>
      <c r="F47" s="86">
        <f>'[2]Russia Sunflower Exports'!GU$88</f>
        <v>0</v>
      </c>
      <c r="G47" s="86">
        <f>'[2]Russia Sunflower Exports'!GV$88</f>
        <v>0</v>
      </c>
      <c r="H47" s="86">
        <f>'[2]Russia Sunflower Exports'!GW$88</f>
        <v>0</v>
      </c>
      <c r="I47" s="86">
        <f>'[2]Russia Sunflower Exports'!GX$88</f>
        <v>0</v>
      </c>
      <c r="J47" s="86">
        <f>'[2]Russia Sunflower Exports'!GY$88</f>
        <v>0</v>
      </c>
      <c r="K47" s="86">
        <f>'[2]Russia Sunflower Exports'!GZ$88</f>
        <v>0</v>
      </c>
      <c r="L47" s="86">
        <f>'[2]Russia Sunflower Exports'!HA$88</f>
        <v>0</v>
      </c>
      <c r="M47" s="86">
        <f>'[2]Russia Sunflower Exports'!HB$88</f>
        <v>0</v>
      </c>
      <c r="N47" s="86">
        <f t="shared" si="6"/>
        <v>0</v>
      </c>
      <c r="O47" s="82"/>
      <c r="P47" s="87">
        <f t="shared" si="7"/>
        <v>0</v>
      </c>
      <c r="Q47" s="87">
        <f t="shared" si="8"/>
        <v>0</v>
      </c>
      <c r="R47" s="87">
        <f t="shared" si="9"/>
        <v>0</v>
      </c>
      <c r="S47" s="87">
        <f t="shared" si="10"/>
        <v>0</v>
      </c>
    </row>
    <row r="48" spans="1:19" ht="16.5" hidden="1">
      <c r="A48" s="84" t="s">
        <v>70</v>
      </c>
      <c r="B48" s="86">
        <f>'[2]Russia Sunflower Exports'!HC$88</f>
        <v>0</v>
      </c>
      <c r="C48" s="86">
        <f>'[2]Russia Sunflower Exports'!HD$88</f>
        <v>0</v>
      </c>
      <c r="D48" s="86">
        <f>'[2]Russia Sunflower Exports'!HE$88</f>
        <v>0</v>
      </c>
      <c r="E48" s="86">
        <f>'[2]Russia Sunflower Exports'!HF$88</f>
        <v>0</v>
      </c>
      <c r="F48" s="86">
        <f>'[2]Russia Sunflower Exports'!HG$88</f>
        <v>0</v>
      </c>
      <c r="G48" s="86">
        <f>'[2]Russia Sunflower Exports'!HH$88</f>
        <v>0</v>
      </c>
      <c r="H48" s="86">
        <f>'[2]Russia Sunflower Exports'!HI$88</f>
        <v>0</v>
      </c>
      <c r="I48" s="86">
        <f>'[2]Russia Sunflower Exports'!HJ$88</f>
        <v>0</v>
      </c>
      <c r="J48" s="86">
        <f>'[2]Russia Sunflower Exports'!HK$88</f>
        <v>0</v>
      </c>
      <c r="K48" s="86">
        <f>'[2]Russia Sunflower Exports'!HL$88</f>
        <v>0</v>
      </c>
      <c r="L48" s="86">
        <f>'[2]Russia Sunflower Exports'!HM$88</f>
        <v>0</v>
      </c>
      <c r="M48" s="86">
        <f>'[2]Russia Sunflower Exports'!HN$88</f>
        <v>0</v>
      </c>
      <c r="N48" s="86">
        <f t="shared" si="6"/>
        <v>0</v>
      </c>
      <c r="O48" s="82"/>
      <c r="P48" s="87">
        <f t="shared" si="7"/>
        <v>0</v>
      </c>
      <c r="Q48" s="87">
        <f t="shared" si="8"/>
        <v>0</v>
      </c>
      <c r="R48" s="87">
        <f t="shared" si="9"/>
        <v>0</v>
      </c>
      <c r="S48" s="87">
        <f t="shared" si="10"/>
        <v>0</v>
      </c>
    </row>
    <row r="49" spans="1:19" ht="16.5" hidden="1">
      <c r="A49" s="83" t="s">
        <v>71</v>
      </c>
      <c r="B49" s="86">
        <f>'[2]Russia Sunflower Exports'!HO$88</f>
        <v>0</v>
      </c>
      <c r="C49" s="86">
        <f>'[2]Russia Sunflower Exports'!HP$88</f>
        <v>0</v>
      </c>
      <c r="D49" s="86">
        <f>'[2]Russia Sunflower Exports'!HQ$88</f>
        <v>0</v>
      </c>
      <c r="E49" s="86">
        <f>'[2]Russia Sunflower Exports'!HR$88</f>
        <v>0</v>
      </c>
      <c r="F49" s="86">
        <f>'[2]Russia Sunflower Exports'!HS$88</f>
        <v>0</v>
      </c>
      <c r="G49" s="86">
        <f>'[2]Russia Sunflower Exports'!HT$88</f>
        <v>4.8000000000000001E-2</v>
      </c>
      <c r="H49" s="86">
        <f>'[2]Russia Sunflower Exports'!HU$88</f>
        <v>0</v>
      </c>
      <c r="I49" s="86">
        <f>'[2]Russia Sunflower Exports'!HV$88</f>
        <v>0</v>
      </c>
      <c r="J49" s="86">
        <f>'[2]Russia Sunflower Exports'!HW$88</f>
        <v>0</v>
      </c>
      <c r="K49" s="86">
        <f>'[2]Russia Sunflower Exports'!HX$88</f>
        <v>0</v>
      </c>
      <c r="L49" s="86">
        <f>'[2]Russia Sunflower Exports'!HY$88</f>
        <v>0</v>
      </c>
      <c r="M49" s="86">
        <f>'[2]Russia Sunflower Exports'!HZ$88</f>
        <v>0</v>
      </c>
      <c r="N49" s="86">
        <f t="shared" si="6"/>
        <v>4.8000000000000001E-2</v>
      </c>
      <c r="O49" s="82"/>
      <c r="P49" s="87">
        <f t="shared" si="7"/>
        <v>0</v>
      </c>
      <c r="Q49" s="87">
        <f t="shared" si="8"/>
        <v>4.8000000000000001E-2</v>
      </c>
      <c r="R49" s="87">
        <f t="shared" si="9"/>
        <v>0</v>
      </c>
      <c r="S49" s="87">
        <f t="shared" si="10"/>
        <v>0</v>
      </c>
    </row>
    <row r="50" spans="1:19" ht="16.5" hidden="1">
      <c r="A50" s="84" t="s">
        <v>72</v>
      </c>
      <c r="B50" s="86">
        <f>'[2]Russia Sunflower Exports'!IA$88</f>
        <v>0</v>
      </c>
      <c r="C50" s="86">
        <f>'[2]Russia Sunflower Exports'!IB$88</f>
        <v>0</v>
      </c>
      <c r="D50" s="86">
        <f>'[2]Russia Sunflower Exports'!IC$88</f>
        <v>0</v>
      </c>
      <c r="E50" s="86">
        <f>'[2]Russia Sunflower Exports'!ID$88</f>
        <v>0</v>
      </c>
      <c r="F50" s="86">
        <f>'[2]Russia Sunflower Exports'!IE$88</f>
        <v>0</v>
      </c>
      <c r="G50" s="86">
        <f>'[2]Russia Sunflower Exports'!IF$88</f>
        <v>0</v>
      </c>
      <c r="H50" s="86">
        <f>'[2]Russia Sunflower Exports'!IG$88</f>
        <v>0</v>
      </c>
      <c r="I50" s="86">
        <f>'[2]Russia Sunflower Exports'!IH$88</f>
        <v>0</v>
      </c>
      <c r="J50" s="86">
        <f>'[2]Russia Sunflower Exports'!II$88</f>
        <v>0</v>
      </c>
      <c r="K50" s="86">
        <f>'[2]Russia Sunflower Exports'!IJ$88</f>
        <v>0</v>
      </c>
      <c r="L50" s="86">
        <f>'[2]Russia Sunflower Exports'!IK$88</f>
        <v>0</v>
      </c>
      <c r="M50" s="86">
        <f>'[2]Russia Sunflower Exports'!IL$88</f>
        <v>0</v>
      </c>
      <c r="N50" s="86">
        <f t="shared" si="6"/>
        <v>0</v>
      </c>
      <c r="O50" s="82"/>
      <c r="P50" s="87">
        <f t="shared" si="7"/>
        <v>0</v>
      </c>
      <c r="Q50" s="87">
        <f t="shared" si="8"/>
        <v>0</v>
      </c>
      <c r="R50" s="87">
        <f t="shared" si="9"/>
        <v>0</v>
      </c>
      <c r="S50" s="87">
        <f t="shared" si="10"/>
        <v>0</v>
      </c>
    </row>
    <row r="51" spans="1:19" ht="16.5" hidden="1">
      <c r="A51" s="83" t="s">
        <v>73</v>
      </c>
      <c r="B51" s="86">
        <f>'[2]Russia Sunflower Exports'!IM$88</f>
        <v>0</v>
      </c>
      <c r="C51" s="86">
        <f>'[2]Russia Sunflower Exports'!IN$88</f>
        <v>0</v>
      </c>
      <c r="D51" s="86">
        <f>'[2]Russia Sunflower Exports'!IO$88</f>
        <v>0</v>
      </c>
      <c r="E51" s="86">
        <f>'[2]Russia Sunflower Exports'!IP$88</f>
        <v>0</v>
      </c>
      <c r="F51" s="86">
        <f>'[2]Russia Sunflower Exports'!IQ$88</f>
        <v>0</v>
      </c>
      <c r="G51" s="86">
        <f>'[2]Russia Sunflower Exports'!IR$88</f>
        <v>0</v>
      </c>
      <c r="H51" s="86">
        <f>'[2]Russia Sunflower Exports'!IS$88</f>
        <v>0</v>
      </c>
      <c r="I51" s="86">
        <f>'[2]Russia Sunflower Exports'!IT$88</f>
        <v>0</v>
      </c>
      <c r="J51" s="86">
        <f>'[2]Russia Sunflower Exports'!IU$88</f>
        <v>0</v>
      </c>
      <c r="K51" s="86">
        <f>'[2]Russia Sunflower Exports'!IV$88</f>
        <v>0</v>
      </c>
      <c r="L51" s="86">
        <f>'[2]Russia Sunflower Exports'!IW$88</f>
        <v>0</v>
      </c>
      <c r="M51" s="86">
        <f>'[2]Russia Sunflower Exports'!IX$88</f>
        <v>0</v>
      </c>
      <c r="N51" s="86">
        <f t="shared" si="6"/>
        <v>0</v>
      </c>
      <c r="O51" s="82"/>
      <c r="P51" s="87">
        <f t="shared" si="7"/>
        <v>0</v>
      </c>
      <c r="Q51" s="87">
        <f t="shared" si="8"/>
        <v>0</v>
      </c>
      <c r="R51" s="87">
        <f t="shared" si="9"/>
        <v>0</v>
      </c>
      <c r="S51" s="87">
        <f t="shared" si="10"/>
        <v>0</v>
      </c>
    </row>
    <row r="52" spans="1:19" ht="16.5" hidden="1">
      <c r="A52" s="83" t="s">
        <v>74</v>
      </c>
      <c r="B52" s="86">
        <f>'[2]Russia Sunflower Exports'!IY$88</f>
        <v>0</v>
      </c>
      <c r="C52" s="86">
        <f>'[2]Russia Sunflower Exports'!IZ$88</f>
        <v>0</v>
      </c>
      <c r="D52" s="86">
        <f>'[2]Russia Sunflower Exports'!JA$88</f>
        <v>0</v>
      </c>
      <c r="E52" s="86">
        <f>'[2]Russia Sunflower Exports'!JB$88</f>
        <v>0</v>
      </c>
      <c r="F52" s="86">
        <f>'[2]Russia Sunflower Exports'!JC$88</f>
        <v>0</v>
      </c>
      <c r="G52" s="86">
        <f>'[2]Russia Sunflower Exports'!JD$88</f>
        <v>0</v>
      </c>
      <c r="H52" s="86">
        <f>'[2]Russia Sunflower Exports'!JE$88</f>
        <v>0</v>
      </c>
      <c r="I52" s="86">
        <f>'[2]Russia Sunflower Exports'!JF$88</f>
        <v>0</v>
      </c>
      <c r="J52" s="86">
        <f>'[2]Russia Sunflower Exports'!JG$88</f>
        <v>0</v>
      </c>
      <c r="K52" s="86">
        <f>'[2]Russia Sunflower Exports'!JH$88</f>
        <v>0</v>
      </c>
      <c r="L52" s="86">
        <f>'[2]Russia Sunflower Exports'!JI$88</f>
        <v>0</v>
      </c>
      <c r="M52" s="86">
        <f>'[2]Russia Sunflower Exports'!JJ$88</f>
        <v>0</v>
      </c>
      <c r="N52" s="86">
        <f t="shared" si="6"/>
        <v>0</v>
      </c>
      <c r="O52" s="82"/>
      <c r="P52" s="87">
        <f t="shared" si="7"/>
        <v>0</v>
      </c>
      <c r="Q52" s="87">
        <f t="shared" si="8"/>
        <v>0</v>
      </c>
      <c r="R52" s="87">
        <f t="shared" si="9"/>
        <v>0</v>
      </c>
      <c r="S52" s="87">
        <f t="shared" si="10"/>
        <v>0</v>
      </c>
    </row>
    <row r="53" spans="1:19" ht="16.5" hidden="1">
      <c r="A53" s="83" t="s">
        <v>75</v>
      </c>
      <c r="B53" s="86">
        <f>'[2]Russia Sunflower Exports'!JK$88</f>
        <v>0</v>
      </c>
      <c r="C53" s="86">
        <f>'[2]Russia Sunflower Exports'!JL$88</f>
        <v>0</v>
      </c>
      <c r="D53" s="86">
        <f>'[2]Russia Sunflower Exports'!JM$88</f>
        <v>0</v>
      </c>
      <c r="E53" s="86">
        <f>'[2]Russia Sunflower Exports'!JN$88</f>
        <v>0</v>
      </c>
      <c r="F53" s="86">
        <f>'[2]Russia Sunflower Exports'!JO$88</f>
        <v>0</v>
      </c>
      <c r="G53" s="86">
        <f>'[2]Russia Sunflower Exports'!JP$88</f>
        <v>0</v>
      </c>
      <c r="H53" s="86">
        <f>'[2]Russia Sunflower Exports'!JQ$88</f>
        <v>0</v>
      </c>
      <c r="I53" s="86">
        <f>'[2]Russia Sunflower Exports'!JR$88</f>
        <v>4.7E-2</v>
      </c>
      <c r="J53" s="86">
        <f>'[2]Russia Sunflower Exports'!JS$88</f>
        <v>0</v>
      </c>
      <c r="K53" s="86">
        <f>'[2]Russia Sunflower Exports'!JT$88</f>
        <v>0</v>
      </c>
      <c r="L53" s="86">
        <f>'[2]Russia Sunflower Exports'!JU$88</f>
        <v>0</v>
      </c>
      <c r="M53" s="86">
        <f>'[2]Russia Sunflower Exports'!JV$88</f>
        <v>0</v>
      </c>
      <c r="N53" s="86">
        <f t="shared" si="6"/>
        <v>4.7E-2</v>
      </c>
      <c r="O53" s="82"/>
      <c r="P53" s="87">
        <f t="shared" si="7"/>
        <v>0</v>
      </c>
      <c r="Q53" s="87">
        <f t="shared" si="8"/>
        <v>0</v>
      </c>
      <c r="R53" s="87">
        <f t="shared" si="9"/>
        <v>4.7E-2</v>
      </c>
      <c r="S53" s="87">
        <f t="shared" si="10"/>
        <v>0</v>
      </c>
    </row>
    <row r="54" spans="1:19" ht="16.5" hidden="1">
      <c r="A54" s="83" t="s">
        <v>76</v>
      </c>
      <c r="B54" s="86">
        <f>'[2]Russia Sunflower Exports'!JW$88</f>
        <v>0</v>
      </c>
      <c r="C54" s="86">
        <f>'[2]Russia Sunflower Exports'!JX$88</f>
        <v>0</v>
      </c>
      <c r="D54" s="86">
        <f>'[2]Russia Sunflower Exports'!JY$88</f>
        <v>0</v>
      </c>
      <c r="E54" s="86">
        <f>'[2]Russia Sunflower Exports'!JZ$88</f>
        <v>0</v>
      </c>
      <c r="F54" s="86">
        <f>'[2]Russia Sunflower Exports'!KA$88</f>
        <v>0</v>
      </c>
      <c r="G54" s="86">
        <f>'[2]Russia Sunflower Exports'!KB$88</f>
        <v>0</v>
      </c>
      <c r="H54" s="86">
        <f>'[2]Russia Sunflower Exports'!KC$88</f>
        <v>0</v>
      </c>
      <c r="I54" s="86">
        <f>'[2]Russia Sunflower Exports'!KD$88</f>
        <v>0</v>
      </c>
      <c r="J54" s="86">
        <f>'[2]Russia Sunflower Exports'!KE$88</f>
        <v>0</v>
      </c>
      <c r="K54" s="86">
        <f>'[2]Russia Sunflower Exports'!KF$88</f>
        <v>0</v>
      </c>
      <c r="L54" s="86">
        <f>'[2]Russia Sunflower Exports'!KG$88</f>
        <v>0</v>
      </c>
      <c r="M54" s="86">
        <f>'[2]Russia Sunflower Exports'!KH$88</f>
        <v>0</v>
      </c>
      <c r="N54" s="86">
        <f t="shared" si="6"/>
        <v>0</v>
      </c>
      <c r="O54" s="82"/>
      <c r="P54" s="87">
        <f>SUM(B54:D54)</f>
        <v>0</v>
      </c>
      <c r="Q54" s="87">
        <f t="shared" si="8"/>
        <v>0</v>
      </c>
      <c r="R54" s="87">
        <f t="shared" si="9"/>
        <v>0</v>
      </c>
      <c r="S54" s="87">
        <f t="shared" si="10"/>
        <v>0</v>
      </c>
    </row>
    <row r="55" spans="1:19" ht="16.5" hidden="1">
      <c r="A55" s="83" t="s">
        <v>77</v>
      </c>
      <c r="B55" s="86">
        <f>'[2]Russia Sunflower Exports'!KI$88</f>
        <v>0</v>
      </c>
      <c r="C55" s="86">
        <f>'[2]Russia Sunflower Exports'!KJ$88</f>
        <v>0</v>
      </c>
      <c r="D55" s="86">
        <f>'[2]Russia Sunflower Exports'!KK$88</f>
        <v>0</v>
      </c>
      <c r="E55" s="86">
        <f>'[2]Russia Sunflower Exports'!KL$88</f>
        <v>5.0000000000000001E-3</v>
      </c>
      <c r="F55" s="86">
        <f>'[2]Russia Sunflower Exports'!KM$88</f>
        <v>0</v>
      </c>
      <c r="G55" s="86">
        <f>'[2]Russia Sunflower Exports'!KN$88</f>
        <v>0</v>
      </c>
      <c r="H55" s="86">
        <f>'[2]Russia Sunflower Exports'!KO$88</f>
        <v>0</v>
      </c>
      <c r="I55" s="86">
        <f>'[2]Russia Sunflower Exports'!KP$88</f>
        <v>0</v>
      </c>
      <c r="J55" s="86">
        <f>'[2]Russia Sunflower Exports'!KQ$88</f>
        <v>0</v>
      </c>
      <c r="K55" s="86">
        <f>'[2]Russia Sunflower Exports'!KR$88</f>
        <v>0</v>
      </c>
      <c r="L55" s="86">
        <f>'[2]Russia Sunflower Exports'!KS$88</f>
        <v>0</v>
      </c>
      <c r="M55" s="86">
        <f>'[2]Russia Sunflower Exports'!KT$88</f>
        <v>0</v>
      </c>
      <c r="N55" s="86">
        <f t="shared" si="6"/>
        <v>5.0000000000000001E-3</v>
      </c>
      <c r="O55" s="82"/>
      <c r="P55" s="87">
        <f t="shared" ref="P55:P60" si="11">SUM(B55:D55)</f>
        <v>0</v>
      </c>
      <c r="Q55" s="87">
        <f t="shared" si="8"/>
        <v>5.0000000000000001E-3</v>
      </c>
      <c r="R55" s="87">
        <f t="shared" si="9"/>
        <v>0</v>
      </c>
      <c r="S55" s="87">
        <f t="shared" si="10"/>
        <v>0</v>
      </c>
    </row>
    <row r="56" spans="1:19" ht="16.5" hidden="1">
      <c r="A56" s="83" t="s">
        <v>78</v>
      </c>
      <c r="B56" s="86">
        <f>'[2]Russia Sunflower Exports'!KU$88</f>
        <v>0</v>
      </c>
      <c r="C56" s="86">
        <f>'[2]Russia Sunflower Exports'!KV$88</f>
        <v>0</v>
      </c>
      <c r="D56" s="86">
        <f>'[2]Russia Sunflower Exports'!KW$88</f>
        <v>0</v>
      </c>
      <c r="E56" s="86">
        <f>'[2]Russia Sunflower Exports'!KX$88</f>
        <v>0</v>
      </c>
      <c r="F56" s="86">
        <f>'[2]Russia Sunflower Exports'!KY$88</f>
        <v>0.01</v>
      </c>
      <c r="G56" s="86">
        <f>'[2]Russia Sunflower Exports'!KZ$88</f>
        <v>0</v>
      </c>
      <c r="H56" s="86">
        <f>'[2]Russia Sunflower Exports'!LA$88</f>
        <v>0</v>
      </c>
      <c r="I56" s="86">
        <f>'[2]Russia Sunflower Exports'!LB$88</f>
        <v>0</v>
      </c>
      <c r="J56" s="86">
        <f>'[2]Russia Sunflower Exports'!LC$88</f>
        <v>0</v>
      </c>
      <c r="K56" s="86">
        <f>'[2]Russia Sunflower Exports'!LD$88</f>
        <v>0.222</v>
      </c>
      <c r="L56" s="86">
        <f>'[2]Russia Sunflower Exports'!LE$88</f>
        <v>0</v>
      </c>
      <c r="M56" s="86">
        <f>'[2]Russia Sunflower Exports'!LF$88</f>
        <v>0</v>
      </c>
      <c r="N56" s="86">
        <f t="shared" si="6"/>
        <v>0.23200000000000001</v>
      </c>
      <c r="O56" s="82"/>
      <c r="P56" s="87">
        <f t="shared" si="11"/>
        <v>0</v>
      </c>
      <c r="Q56" s="87">
        <f t="shared" si="8"/>
        <v>0.01</v>
      </c>
      <c r="R56" s="87">
        <f t="shared" si="9"/>
        <v>0</v>
      </c>
      <c r="S56" s="87">
        <f t="shared" si="10"/>
        <v>0.222</v>
      </c>
    </row>
    <row r="57" spans="1:19" ht="16.5" hidden="1">
      <c r="A57" s="83" t="s">
        <v>79</v>
      </c>
      <c r="B57" s="86">
        <f>'[2]Russia Sunflower Exports'!LG$88</f>
        <v>0</v>
      </c>
      <c r="C57" s="86">
        <f>'[2]Russia Sunflower Exports'!LH$88</f>
        <v>2.002E-2</v>
      </c>
      <c r="D57" s="86">
        <f>'[2]Russia Sunflower Exports'!LI$88</f>
        <v>2.002E-2</v>
      </c>
      <c r="E57" s="86">
        <f>'[2]Russia Sunflower Exports'!LJ$88</f>
        <v>0.51846000000000003</v>
      </c>
      <c r="F57" s="86">
        <f>'[2]Russia Sunflower Exports'!LK$88</f>
        <v>0.38904</v>
      </c>
      <c r="G57" s="86">
        <f>'[2]Russia Sunflower Exports'!LL$88</f>
        <v>0.93553500000000001</v>
      </c>
      <c r="H57" s="86">
        <f>'[2]Russia Sunflower Exports'!LM$88</f>
        <v>0.32400000000000001</v>
      </c>
      <c r="I57" s="86">
        <f>'[2]Russia Sunflower Exports'!LN$88</f>
        <v>0.1135</v>
      </c>
      <c r="J57" s="86">
        <f>'[2]Russia Sunflower Exports'!LO$88</f>
        <v>0</v>
      </c>
      <c r="K57" s="86">
        <f>'[2]Russia Sunflower Exports'!LP$88</f>
        <v>0</v>
      </c>
      <c r="L57" s="86">
        <f>'[2]Russia Sunflower Exports'!LQ$88</f>
        <v>0</v>
      </c>
      <c r="M57" s="86">
        <f>'[2]Russia Sunflower Exports'!LR$88</f>
        <v>0</v>
      </c>
      <c r="N57" s="86">
        <f t="shared" si="6"/>
        <v>2.3205750000000003</v>
      </c>
      <c r="O57" s="82"/>
      <c r="P57" s="87">
        <f t="shared" si="11"/>
        <v>4.0039999999999999E-2</v>
      </c>
      <c r="Q57" s="87">
        <f t="shared" si="8"/>
        <v>1.843035</v>
      </c>
      <c r="R57" s="87">
        <f t="shared" si="9"/>
        <v>0.4375</v>
      </c>
      <c r="S57" s="87">
        <f t="shared" si="10"/>
        <v>0</v>
      </c>
    </row>
    <row r="58" spans="1:19" ht="16.5">
      <c r="A58" s="85" t="s">
        <v>80</v>
      </c>
      <c r="B58" s="86">
        <f>'[2]Russia Sunflower Exports'!LS$88</f>
        <v>0</v>
      </c>
      <c r="C58" s="86">
        <f>'[2]Russia Sunflower Exports'!LT$88</f>
        <v>0</v>
      </c>
      <c r="D58" s="86">
        <f>'[2]Russia Sunflower Exports'!LU$88</f>
        <v>1.058829</v>
      </c>
      <c r="E58" s="86">
        <f>'[2]Russia Sunflower Exports'!LV$88</f>
        <v>3.40381</v>
      </c>
      <c r="F58" s="86">
        <f>'[2]Russia Sunflower Exports'!LW$88</f>
        <v>2.0482399999999998</v>
      </c>
      <c r="G58" s="86">
        <f>'[2]Russia Sunflower Exports'!LX$88</f>
        <v>1.473139</v>
      </c>
      <c r="H58" s="86">
        <f>'[2]Russia Sunflower Exports'!LY$88</f>
        <v>1.2010959999999999</v>
      </c>
      <c r="I58" s="86">
        <f>'[2]Russia Sunflower Exports'!LZ$88</f>
        <v>3.0355949999999998</v>
      </c>
      <c r="J58" s="86">
        <f>'[2]Russia Sunflower Exports'!MA$88</f>
        <v>2.005814</v>
      </c>
      <c r="K58" s="86">
        <f>'[2]Russia Sunflower Exports'!MB$88</f>
        <v>0.17901</v>
      </c>
      <c r="L58" s="86">
        <f>'[2]Russia Sunflower Exports'!MC$88</f>
        <v>0.26100000000000001</v>
      </c>
      <c r="M58" s="86">
        <f>'[2]Russia Sunflower Exports'!MD$88</f>
        <v>0</v>
      </c>
      <c r="N58" s="86">
        <f t="shared" si="6"/>
        <v>14.666532999999999</v>
      </c>
      <c r="O58" s="82"/>
      <c r="P58" s="87">
        <f t="shared" si="11"/>
        <v>1.058829</v>
      </c>
      <c r="Q58" s="87">
        <f t="shared" si="8"/>
        <v>6.9251889999999996</v>
      </c>
      <c r="R58" s="87">
        <f t="shared" si="9"/>
        <v>6.2425049999999995</v>
      </c>
      <c r="S58" s="87">
        <f t="shared" si="10"/>
        <v>0.44001000000000001</v>
      </c>
    </row>
    <row r="59" spans="1:19" ht="16.5">
      <c r="A59" s="85" t="s">
        <v>81</v>
      </c>
      <c r="B59" s="86">
        <f>'[2]Russia Sunflower Exports'!ME$88</f>
        <v>2.1417600000000001</v>
      </c>
      <c r="C59" s="86">
        <f>'[2]Russia Sunflower Exports'!MF$88</f>
        <v>9.1641499999999994</v>
      </c>
      <c r="D59" s="86">
        <f>'[2]Russia Sunflower Exports'!MG$88</f>
        <v>19.626125999999999</v>
      </c>
      <c r="E59" s="86">
        <f>'[2]Russia Sunflower Exports'!MH$88</f>
        <v>16.893477000000001</v>
      </c>
      <c r="F59" s="86">
        <f>'[2]Russia Sunflower Exports'!MI$88</f>
        <v>3.47959</v>
      </c>
      <c r="G59" s="86">
        <f>'[2]Russia Sunflower Exports'!MJ$88</f>
        <v>2.4601799999999998</v>
      </c>
      <c r="H59" s="86">
        <f>'[2]Russia Sunflower Exports'!MK$88</f>
        <v>2.889583</v>
      </c>
      <c r="I59" s="86">
        <f>'[2]Russia Sunflower Exports'!ML$88</f>
        <v>0.65580000000000005</v>
      </c>
      <c r="J59" s="86">
        <f>'[2]Russia Sunflower Exports'!MM$88</f>
        <v>0</v>
      </c>
      <c r="K59" s="86">
        <f>'[2]Russia Sunflower Exports'!MN$88</f>
        <v>0</v>
      </c>
      <c r="L59" s="86">
        <f>'[2]Russia Sunflower Exports'!MO$88</f>
        <v>0</v>
      </c>
      <c r="M59" s="86">
        <f>'[2]Russia Sunflower Exports'!MP$88</f>
        <v>0.125</v>
      </c>
      <c r="N59" s="86">
        <f t="shared" si="6"/>
        <v>57.435666000000005</v>
      </c>
      <c r="O59" s="82"/>
      <c r="P59" s="87">
        <f t="shared" si="11"/>
        <v>30.932035999999997</v>
      </c>
      <c r="Q59" s="87">
        <f t="shared" si="8"/>
        <v>22.833247</v>
      </c>
      <c r="R59" s="87">
        <f t="shared" si="9"/>
        <v>3.5453830000000002</v>
      </c>
      <c r="S59" s="87">
        <f t="shared" si="10"/>
        <v>0.125</v>
      </c>
    </row>
    <row r="60" spans="1:19" ht="17.25" thickBot="1">
      <c r="A60" s="88" t="s">
        <v>82</v>
      </c>
      <c r="B60" s="89">
        <f>'[2]Russia Sunflower Exports'!MQ$88</f>
        <v>0.20652799999999999</v>
      </c>
      <c r="C60" s="89">
        <f>'[2]Russia Sunflower Exports'!MR$88</f>
        <v>5.3065800000000003</v>
      </c>
      <c r="D60" s="89">
        <f>'[2]Russia Sunflower Exports'!MS$88</f>
        <v>21.328924000000001</v>
      </c>
      <c r="E60" s="89">
        <f>'[2]Russia Sunflower Exports'!MT$88</f>
        <v>21.929321999999999</v>
      </c>
      <c r="F60" s="89">
        <f>'[2]Russia Sunflower Exports'!MU$88</f>
        <v>9.3680000000000003</v>
      </c>
      <c r="G60" s="89">
        <f>'[2]Russia Sunflower Exports'!MV$88</f>
        <v>1.627</v>
      </c>
      <c r="H60" s="89">
        <f>'[2]Russia Sunflower Exports'!MW$88</f>
        <v>9.6280000000000001</v>
      </c>
      <c r="I60" s="89">
        <f>'[2]Russia Sunflower Exports'!MX$88</f>
        <v>1.06</v>
      </c>
      <c r="J60" s="90">
        <f>(AVERAGE(J55:J59)/AVERAGE($N55:$N59))*$N60-1.2</f>
        <v>0.76577228621340354</v>
      </c>
      <c r="K60" s="90">
        <f>(AVERAGE(K55:K59)/AVERAGE($N55:$N59))*$N60</f>
        <v>0.39300470756233474</v>
      </c>
      <c r="L60" s="90">
        <f>(AVERAGE(L55:L59)/AVERAGE($N55:$N59))*$N60</f>
        <v>0.25578970268514351</v>
      </c>
      <c r="M60" s="90">
        <f>N60-SUM(B60:L60)</f>
        <v>1.3004333035391085</v>
      </c>
      <c r="N60" s="90">
        <f>'Sun Matrix'!CI7</f>
        <v>73.169354000000013</v>
      </c>
      <c r="O60" s="94"/>
      <c r="P60" s="92">
        <f t="shared" si="11"/>
        <v>26.842032</v>
      </c>
      <c r="Q60" s="92">
        <f t="shared" si="8"/>
        <v>32.924322000000004</v>
      </c>
      <c r="R60" s="93">
        <f t="shared" si="9"/>
        <v>11.453772286213404</v>
      </c>
      <c r="S60" s="93">
        <f t="shared" si="10"/>
        <v>1.9492277137865868</v>
      </c>
    </row>
    <row r="61" spans="1:19" ht="16.5">
      <c r="A61" s="80" t="s">
        <v>85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27"/>
      <c r="P61" s="87"/>
      <c r="Q61" s="87"/>
      <c r="R61" s="87"/>
      <c r="S61" s="87"/>
    </row>
    <row r="62" spans="1:19" ht="16.5" hidden="1">
      <c r="A62" s="81" t="s">
        <v>84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27"/>
      <c r="P62" s="87"/>
      <c r="Q62" s="87"/>
      <c r="R62" s="87"/>
      <c r="S62" s="87"/>
    </row>
    <row r="63" spans="1:19" ht="16.5" hidden="1">
      <c r="A63" s="81" t="s">
        <v>56</v>
      </c>
      <c r="B63" s="86">
        <f>'[2]Ukraine Sunflower Exports'!AR$88</f>
        <v>0</v>
      </c>
      <c r="C63" s="86">
        <f>'[2]Ukraine Sunflower Exports'!AS$88</f>
        <v>0</v>
      </c>
      <c r="D63" s="86">
        <f>'[2]Ukraine Sunflower Exports'!AT$88</f>
        <v>0</v>
      </c>
      <c r="E63" s="86">
        <f>'[2]Ukraine Sunflower Exports'!AU$88</f>
        <v>0</v>
      </c>
      <c r="F63" s="86">
        <f>'[2]Ukraine Sunflower Exports'!AV$88</f>
        <v>0</v>
      </c>
      <c r="G63" s="86">
        <f>'[2]Ukraine Sunflower Exports'!AW$88</f>
        <v>0</v>
      </c>
      <c r="H63" s="86">
        <f>'[2]Ukraine Sunflower Exports'!AX$88</f>
        <v>0</v>
      </c>
      <c r="I63" s="86">
        <f>'[2]Ukraine Sunflower Exports'!AY$88</f>
        <v>0</v>
      </c>
      <c r="J63" s="86">
        <f>'[2]Ukraine Sunflower Exports'!AZ$88</f>
        <v>0</v>
      </c>
      <c r="K63" s="86">
        <f>'[2]Ukraine Sunflower Exports'!BA$88</f>
        <v>0</v>
      </c>
      <c r="L63" s="86">
        <f>'[2]Ukraine Sunflower Exports'!BB$88</f>
        <v>0</v>
      </c>
      <c r="M63" s="86">
        <f>'[2]Ukraine Sunflower Exports'!BC$88</f>
        <v>0</v>
      </c>
      <c r="N63" s="86">
        <f>SUM(B63:M63)</f>
        <v>0</v>
      </c>
      <c r="O63" s="27"/>
      <c r="P63" s="87">
        <f>SUM(B63:D63)</f>
        <v>0</v>
      </c>
      <c r="Q63" s="87">
        <f>SUM(E63:G63)</f>
        <v>0</v>
      </c>
      <c r="R63" s="87">
        <f>SUM(H63:J63)</f>
        <v>0</v>
      </c>
      <c r="S63" s="87">
        <f>SUM(K63:M63)</f>
        <v>0</v>
      </c>
    </row>
    <row r="64" spans="1:19" ht="16.5" hidden="1">
      <c r="A64" s="81" t="s">
        <v>57</v>
      </c>
      <c r="B64" s="86">
        <f>'[2]Ukraine Sunflower Exports'!BD$88</f>
        <v>0</v>
      </c>
      <c r="C64" s="86">
        <f>'[2]Ukraine Sunflower Exports'!BE$88</f>
        <v>0</v>
      </c>
      <c r="D64" s="86">
        <f>'[2]Ukraine Sunflower Exports'!BF$88</f>
        <v>0</v>
      </c>
      <c r="E64" s="86">
        <f>'[2]Ukraine Sunflower Exports'!BG$88</f>
        <v>0</v>
      </c>
      <c r="F64" s="86">
        <f>'[2]Ukraine Sunflower Exports'!BH$88</f>
        <v>0</v>
      </c>
      <c r="G64" s="86">
        <f>'[2]Ukraine Sunflower Exports'!BI$88</f>
        <v>0</v>
      </c>
      <c r="H64" s="86">
        <f>'[2]Ukraine Sunflower Exports'!BJ$88</f>
        <v>0</v>
      </c>
      <c r="I64" s="86">
        <f>'[2]Ukraine Sunflower Exports'!BK$88</f>
        <v>0</v>
      </c>
      <c r="J64" s="86">
        <f>'[2]Ukraine Sunflower Exports'!BL$88</f>
        <v>0</v>
      </c>
      <c r="K64" s="86">
        <f>'[2]Ukraine Sunflower Exports'!BM$88</f>
        <v>0</v>
      </c>
      <c r="L64" s="86">
        <f>'[2]Ukraine Sunflower Exports'!BN$88</f>
        <v>0</v>
      </c>
      <c r="M64" s="86">
        <f>'[2]Ukraine Sunflower Exports'!BO$88</f>
        <v>0</v>
      </c>
      <c r="N64" s="86">
        <f t="shared" ref="N64:N88" si="12">SUM(B64:M64)</f>
        <v>0</v>
      </c>
      <c r="O64" s="27"/>
      <c r="P64" s="87">
        <f t="shared" ref="P64:P82" si="13">SUM(B64:D64)</f>
        <v>0</v>
      </c>
      <c r="Q64" s="87">
        <f t="shared" ref="Q64:Q89" si="14">SUM(E64:G64)</f>
        <v>0</v>
      </c>
      <c r="R64" s="87">
        <f t="shared" ref="R64:R89" si="15">SUM(H64:J64)</f>
        <v>0</v>
      </c>
      <c r="S64" s="87">
        <f t="shared" ref="S64:S89" si="16">SUM(K64:M64)</f>
        <v>0</v>
      </c>
    </row>
    <row r="65" spans="1:19" ht="16.5" hidden="1">
      <c r="A65" s="81" t="s">
        <v>58</v>
      </c>
      <c r="B65" s="86">
        <f>'[2]Ukraine Sunflower Exports'!BP$88</f>
        <v>0</v>
      </c>
      <c r="C65" s="86">
        <f>'[2]Ukraine Sunflower Exports'!BQ$88</f>
        <v>0</v>
      </c>
      <c r="D65" s="86">
        <f>'[2]Ukraine Sunflower Exports'!BR$88</f>
        <v>0</v>
      </c>
      <c r="E65" s="86">
        <f>'[2]Ukraine Sunflower Exports'!BS$88</f>
        <v>0</v>
      </c>
      <c r="F65" s="86">
        <f>'[2]Ukraine Sunflower Exports'!BT$88</f>
        <v>0</v>
      </c>
      <c r="G65" s="86">
        <f>'[2]Ukraine Sunflower Exports'!BU$88</f>
        <v>0</v>
      </c>
      <c r="H65" s="86">
        <f>'[2]Ukraine Sunflower Exports'!BV$88</f>
        <v>0</v>
      </c>
      <c r="I65" s="86">
        <f>'[2]Ukraine Sunflower Exports'!BW$88</f>
        <v>0</v>
      </c>
      <c r="J65" s="86">
        <f>'[2]Ukraine Sunflower Exports'!BX$88</f>
        <v>0</v>
      </c>
      <c r="K65" s="86">
        <f>'[2]Ukraine Sunflower Exports'!BY$88</f>
        <v>0</v>
      </c>
      <c r="L65" s="86">
        <f>'[2]Ukraine Sunflower Exports'!BZ$88</f>
        <v>0</v>
      </c>
      <c r="M65" s="86">
        <f>'[2]Ukraine Sunflower Exports'!CA$88</f>
        <v>0</v>
      </c>
      <c r="N65" s="86">
        <f t="shared" si="12"/>
        <v>0</v>
      </c>
      <c r="O65" s="27"/>
      <c r="P65" s="87">
        <f t="shared" si="13"/>
        <v>0</v>
      </c>
      <c r="Q65" s="87">
        <f t="shared" si="14"/>
        <v>0</v>
      </c>
      <c r="R65" s="87">
        <f t="shared" si="15"/>
        <v>0</v>
      </c>
      <c r="S65" s="87">
        <f t="shared" si="16"/>
        <v>0</v>
      </c>
    </row>
    <row r="66" spans="1:19" ht="16.5" hidden="1">
      <c r="A66" s="81" t="s">
        <v>59</v>
      </c>
      <c r="B66" s="86">
        <f>'[2]Ukraine Sunflower Exports'!CB$88</f>
        <v>0</v>
      </c>
      <c r="C66" s="86">
        <f>'[2]Ukraine Sunflower Exports'!CC$88</f>
        <v>0</v>
      </c>
      <c r="D66" s="86">
        <f>'[2]Ukraine Sunflower Exports'!CD$88</f>
        <v>0</v>
      </c>
      <c r="E66" s="86">
        <f>'[2]Ukraine Sunflower Exports'!CE$88</f>
        <v>0</v>
      </c>
      <c r="F66" s="86">
        <f>'[2]Ukraine Sunflower Exports'!CF$88</f>
        <v>0</v>
      </c>
      <c r="G66" s="86">
        <f>'[2]Ukraine Sunflower Exports'!CG$88</f>
        <v>0</v>
      </c>
      <c r="H66" s="86">
        <f>'[2]Ukraine Sunflower Exports'!CH$88</f>
        <v>0</v>
      </c>
      <c r="I66" s="86">
        <f>'[2]Ukraine Sunflower Exports'!CI$88</f>
        <v>0</v>
      </c>
      <c r="J66" s="86">
        <f>'[2]Ukraine Sunflower Exports'!CJ$88</f>
        <v>0</v>
      </c>
      <c r="K66" s="86">
        <f>'[2]Ukraine Sunflower Exports'!CK$88</f>
        <v>0</v>
      </c>
      <c r="L66" s="86">
        <f>'[2]Ukraine Sunflower Exports'!CL$88</f>
        <v>0</v>
      </c>
      <c r="M66" s="86">
        <f>'[2]Ukraine Sunflower Exports'!CM$88</f>
        <v>0</v>
      </c>
      <c r="N66" s="86">
        <f t="shared" si="12"/>
        <v>0</v>
      </c>
      <c r="O66" s="27"/>
      <c r="P66" s="87">
        <f t="shared" si="13"/>
        <v>0</v>
      </c>
      <c r="Q66" s="87">
        <f t="shared" si="14"/>
        <v>0</v>
      </c>
      <c r="R66" s="87">
        <f t="shared" si="15"/>
        <v>0</v>
      </c>
      <c r="S66" s="87">
        <f t="shared" si="16"/>
        <v>0</v>
      </c>
    </row>
    <row r="67" spans="1:19" ht="16.5" hidden="1">
      <c r="A67" s="81" t="s">
        <v>60</v>
      </c>
      <c r="B67" s="86">
        <f>'[2]Ukraine Sunflower Exports'!CN$88</f>
        <v>0</v>
      </c>
      <c r="C67" s="86">
        <f>'[2]Ukraine Sunflower Exports'!CO$88</f>
        <v>0</v>
      </c>
      <c r="D67" s="86">
        <f>'[2]Ukraine Sunflower Exports'!CP$88</f>
        <v>0</v>
      </c>
      <c r="E67" s="86">
        <f>'[2]Ukraine Sunflower Exports'!CQ$88</f>
        <v>0</v>
      </c>
      <c r="F67" s="86">
        <f>'[2]Ukraine Sunflower Exports'!CR$88</f>
        <v>0</v>
      </c>
      <c r="G67" s="86">
        <f>'[2]Ukraine Sunflower Exports'!CS$88</f>
        <v>0</v>
      </c>
      <c r="H67" s="86">
        <f>'[2]Ukraine Sunflower Exports'!CT$88</f>
        <v>0</v>
      </c>
      <c r="I67" s="86">
        <f>'[2]Ukraine Sunflower Exports'!CU$88</f>
        <v>0</v>
      </c>
      <c r="J67" s="86">
        <f>'[2]Ukraine Sunflower Exports'!CV$88</f>
        <v>0</v>
      </c>
      <c r="K67" s="86">
        <f>'[2]Ukraine Sunflower Exports'!CW$88</f>
        <v>0</v>
      </c>
      <c r="L67" s="86">
        <f>'[2]Ukraine Sunflower Exports'!CX$88</f>
        <v>0</v>
      </c>
      <c r="M67" s="86">
        <f>'[2]Ukraine Sunflower Exports'!CY$88</f>
        <v>0</v>
      </c>
      <c r="N67" s="86">
        <f t="shared" si="12"/>
        <v>0</v>
      </c>
      <c r="O67" s="27"/>
      <c r="P67" s="87">
        <f t="shared" si="13"/>
        <v>0</v>
      </c>
      <c r="Q67" s="87">
        <f t="shared" si="14"/>
        <v>0</v>
      </c>
      <c r="R67" s="87">
        <f t="shared" si="15"/>
        <v>0</v>
      </c>
      <c r="S67" s="87">
        <f t="shared" si="16"/>
        <v>0</v>
      </c>
    </row>
    <row r="68" spans="1:19" ht="16.5" hidden="1">
      <c r="A68" s="81" t="s">
        <v>61</v>
      </c>
      <c r="B68" s="86">
        <f>'[2]Ukraine Sunflower Exports'!CZ$88</f>
        <v>0</v>
      </c>
      <c r="C68" s="86">
        <f>'[2]Ukraine Sunflower Exports'!DA$88</f>
        <v>0</v>
      </c>
      <c r="D68" s="86">
        <f>'[2]Ukraine Sunflower Exports'!DB$88</f>
        <v>0</v>
      </c>
      <c r="E68" s="86">
        <f>'[2]Ukraine Sunflower Exports'!DC$88</f>
        <v>0</v>
      </c>
      <c r="F68" s="86">
        <f>'[2]Ukraine Sunflower Exports'!DD$88</f>
        <v>0</v>
      </c>
      <c r="G68" s="86">
        <f>'[2]Ukraine Sunflower Exports'!DE$88</f>
        <v>0</v>
      </c>
      <c r="H68" s="86">
        <f>'[2]Ukraine Sunflower Exports'!DF$88</f>
        <v>0</v>
      </c>
      <c r="I68" s="86">
        <f>'[2]Ukraine Sunflower Exports'!DG$88</f>
        <v>0</v>
      </c>
      <c r="J68" s="86">
        <f>'[2]Ukraine Sunflower Exports'!DH$88</f>
        <v>0</v>
      </c>
      <c r="K68" s="86">
        <f>'[2]Ukraine Sunflower Exports'!DI$88</f>
        <v>0</v>
      </c>
      <c r="L68" s="86">
        <f>'[2]Ukraine Sunflower Exports'!DJ$88</f>
        <v>0</v>
      </c>
      <c r="M68" s="86">
        <f>'[2]Ukraine Sunflower Exports'!DK$88</f>
        <v>0</v>
      </c>
      <c r="N68" s="86">
        <f t="shared" si="12"/>
        <v>0</v>
      </c>
      <c r="O68" s="27"/>
      <c r="P68" s="87">
        <f t="shared" si="13"/>
        <v>0</v>
      </c>
      <c r="Q68" s="87">
        <f t="shared" si="14"/>
        <v>0</v>
      </c>
      <c r="R68" s="87">
        <f t="shared" si="15"/>
        <v>0</v>
      </c>
      <c r="S68" s="87">
        <f t="shared" si="16"/>
        <v>0</v>
      </c>
    </row>
    <row r="69" spans="1:19" ht="16.5" hidden="1">
      <c r="A69" s="81" t="s">
        <v>62</v>
      </c>
      <c r="B69" s="86">
        <f>'[2]Ukraine Sunflower Exports'!DL$88</f>
        <v>0</v>
      </c>
      <c r="C69" s="86">
        <f>'[2]Ukraine Sunflower Exports'!DM$88</f>
        <v>0</v>
      </c>
      <c r="D69" s="86">
        <f>'[2]Ukraine Sunflower Exports'!DN$88</f>
        <v>0</v>
      </c>
      <c r="E69" s="86">
        <f>'[2]Ukraine Sunflower Exports'!DO$88</f>
        <v>0</v>
      </c>
      <c r="F69" s="86">
        <f>'[2]Ukraine Sunflower Exports'!DP$88</f>
        <v>0</v>
      </c>
      <c r="G69" s="86">
        <f>'[2]Ukraine Sunflower Exports'!DQ$88</f>
        <v>0</v>
      </c>
      <c r="H69" s="86">
        <f>'[2]Ukraine Sunflower Exports'!DR$88</f>
        <v>0</v>
      </c>
      <c r="I69" s="86">
        <f>'[2]Ukraine Sunflower Exports'!DS$88</f>
        <v>0</v>
      </c>
      <c r="J69" s="86">
        <f>'[2]Ukraine Sunflower Exports'!DT$88</f>
        <v>0</v>
      </c>
      <c r="K69" s="86">
        <f>'[2]Ukraine Sunflower Exports'!DU$88</f>
        <v>0</v>
      </c>
      <c r="L69" s="86">
        <f>'[2]Ukraine Sunflower Exports'!DV$88</f>
        <v>0</v>
      </c>
      <c r="M69" s="86">
        <f>'[2]Ukraine Sunflower Exports'!DW$88</f>
        <v>0</v>
      </c>
      <c r="N69" s="86">
        <f t="shared" si="12"/>
        <v>0</v>
      </c>
      <c r="O69" s="27"/>
      <c r="P69" s="87">
        <f t="shared" si="13"/>
        <v>0</v>
      </c>
      <c r="Q69" s="87">
        <f t="shared" si="14"/>
        <v>0</v>
      </c>
      <c r="R69" s="87">
        <f t="shared" si="15"/>
        <v>0</v>
      </c>
      <c r="S69" s="87">
        <f t="shared" si="16"/>
        <v>0</v>
      </c>
    </row>
    <row r="70" spans="1:19" ht="16.5" hidden="1">
      <c r="A70" s="81" t="s">
        <v>63</v>
      </c>
      <c r="B70" s="86">
        <f>'[2]Ukraine Sunflower Exports'!DX$88</f>
        <v>0</v>
      </c>
      <c r="C70" s="86">
        <f>'[2]Ukraine Sunflower Exports'!DY$88</f>
        <v>0</v>
      </c>
      <c r="D70" s="86">
        <f>'[2]Ukraine Sunflower Exports'!DZ$88</f>
        <v>0</v>
      </c>
      <c r="E70" s="86">
        <f>'[2]Ukraine Sunflower Exports'!EA$88</f>
        <v>0</v>
      </c>
      <c r="F70" s="86">
        <f>'[2]Ukraine Sunflower Exports'!EB$88</f>
        <v>0</v>
      </c>
      <c r="G70" s="86">
        <f>'[2]Ukraine Sunflower Exports'!EC$88</f>
        <v>0</v>
      </c>
      <c r="H70" s="86">
        <f>'[2]Ukraine Sunflower Exports'!ED$88</f>
        <v>0</v>
      </c>
      <c r="I70" s="86">
        <f>'[2]Ukraine Sunflower Exports'!EE$88</f>
        <v>0</v>
      </c>
      <c r="J70" s="86">
        <f>'[2]Ukraine Sunflower Exports'!EF$88</f>
        <v>0</v>
      </c>
      <c r="K70" s="86">
        <f>'[2]Ukraine Sunflower Exports'!EG$88</f>
        <v>0</v>
      </c>
      <c r="L70" s="86">
        <f>'[2]Ukraine Sunflower Exports'!EH$88</f>
        <v>0</v>
      </c>
      <c r="M70" s="86">
        <f>'[2]Ukraine Sunflower Exports'!EI$88</f>
        <v>0</v>
      </c>
      <c r="N70" s="86">
        <f t="shared" si="12"/>
        <v>0</v>
      </c>
      <c r="O70" s="27"/>
      <c r="P70" s="87">
        <f t="shared" si="13"/>
        <v>0</v>
      </c>
      <c r="Q70" s="87">
        <f t="shared" si="14"/>
        <v>0</v>
      </c>
      <c r="R70" s="87">
        <f t="shared" si="15"/>
        <v>0</v>
      </c>
      <c r="S70" s="87">
        <f t="shared" si="16"/>
        <v>0</v>
      </c>
    </row>
    <row r="71" spans="1:19" ht="16.5" hidden="1">
      <c r="A71" s="81" t="s">
        <v>64</v>
      </c>
      <c r="B71" s="86">
        <f>'[2]Ukraine Sunflower Exports'!EJ$88</f>
        <v>0</v>
      </c>
      <c r="C71" s="86">
        <f>'[2]Ukraine Sunflower Exports'!EK$88</f>
        <v>0</v>
      </c>
      <c r="D71" s="86">
        <f>'[2]Ukraine Sunflower Exports'!EL$88</f>
        <v>0</v>
      </c>
      <c r="E71" s="86">
        <f>'[2]Ukraine Sunflower Exports'!EM$88</f>
        <v>0</v>
      </c>
      <c r="F71" s="86">
        <f>'[2]Ukraine Sunflower Exports'!EN$88</f>
        <v>0</v>
      </c>
      <c r="G71" s="86">
        <f>'[2]Ukraine Sunflower Exports'!EO$88</f>
        <v>0</v>
      </c>
      <c r="H71" s="86">
        <f>'[2]Ukraine Sunflower Exports'!EP$88</f>
        <v>0</v>
      </c>
      <c r="I71" s="86">
        <f>'[2]Ukraine Sunflower Exports'!EQ$88</f>
        <v>0</v>
      </c>
      <c r="J71" s="86">
        <f>'[2]Ukraine Sunflower Exports'!ER$88</f>
        <v>0</v>
      </c>
      <c r="K71" s="86">
        <f>'[2]Ukraine Sunflower Exports'!ES$88</f>
        <v>0</v>
      </c>
      <c r="L71" s="86">
        <f>'[2]Ukraine Sunflower Exports'!ET$88</f>
        <v>0</v>
      </c>
      <c r="M71" s="86">
        <f>'[2]Ukraine Sunflower Exports'!EU$88</f>
        <v>0</v>
      </c>
      <c r="N71" s="86">
        <f t="shared" si="12"/>
        <v>0</v>
      </c>
      <c r="O71" s="27"/>
      <c r="P71" s="87">
        <f t="shared" si="13"/>
        <v>0</v>
      </c>
      <c r="Q71" s="87">
        <f t="shared" si="14"/>
        <v>0</v>
      </c>
      <c r="R71" s="87">
        <f t="shared" si="15"/>
        <v>0</v>
      </c>
      <c r="S71" s="87">
        <f t="shared" si="16"/>
        <v>0</v>
      </c>
    </row>
    <row r="72" spans="1:19" ht="16.5" hidden="1">
      <c r="A72" s="83" t="s">
        <v>65</v>
      </c>
      <c r="B72" s="86">
        <f>'[2]Ukraine Sunflower Exports'!EV$88</f>
        <v>0</v>
      </c>
      <c r="C72" s="86">
        <f>'[2]Ukraine Sunflower Exports'!EW$88</f>
        <v>0</v>
      </c>
      <c r="D72" s="86">
        <f>'[2]Ukraine Sunflower Exports'!EX$88</f>
        <v>0</v>
      </c>
      <c r="E72" s="86">
        <f>'[2]Ukraine Sunflower Exports'!EY$88</f>
        <v>0</v>
      </c>
      <c r="F72" s="86">
        <f>'[2]Ukraine Sunflower Exports'!EZ$88</f>
        <v>0</v>
      </c>
      <c r="G72" s="86">
        <f>'[2]Ukraine Sunflower Exports'!FA$88</f>
        <v>0</v>
      </c>
      <c r="H72" s="86">
        <f>'[2]Ukraine Sunflower Exports'!FB$88</f>
        <v>0</v>
      </c>
      <c r="I72" s="86">
        <f>'[2]Ukraine Sunflower Exports'!FC$88</f>
        <v>0</v>
      </c>
      <c r="J72" s="86">
        <f>'[2]Ukraine Sunflower Exports'!FD$88</f>
        <v>0</v>
      </c>
      <c r="K72" s="86">
        <f>'[2]Ukraine Sunflower Exports'!FE$88</f>
        <v>0</v>
      </c>
      <c r="L72" s="86">
        <f>'[2]Ukraine Sunflower Exports'!FF$88</f>
        <v>0</v>
      </c>
      <c r="M72" s="86">
        <f>'[2]Ukraine Sunflower Exports'!FG$88</f>
        <v>0</v>
      </c>
      <c r="N72" s="86">
        <f t="shared" si="12"/>
        <v>0</v>
      </c>
      <c r="O72" s="27"/>
      <c r="P72" s="87">
        <f t="shared" si="13"/>
        <v>0</v>
      </c>
      <c r="Q72" s="87">
        <f t="shared" si="14"/>
        <v>0</v>
      </c>
      <c r="R72" s="87">
        <f t="shared" si="15"/>
        <v>0</v>
      </c>
      <c r="S72" s="87">
        <f t="shared" si="16"/>
        <v>0</v>
      </c>
    </row>
    <row r="73" spans="1:19" ht="16.5" hidden="1">
      <c r="A73" s="83" t="s">
        <v>66</v>
      </c>
      <c r="B73" s="86">
        <f>'[2]Ukraine Sunflower Exports'!FH$88</f>
        <v>0</v>
      </c>
      <c r="C73" s="86">
        <f>'[2]Ukraine Sunflower Exports'!FI$88</f>
        <v>0</v>
      </c>
      <c r="D73" s="86">
        <f>'[2]Ukraine Sunflower Exports'!FJ$88</f>
        <v>0</v>
      </c>
      <c r="E73" s="86">
        <f>'[2]Ukraine Sunflower Exports'!FK$88</f>
        <v>0</v>
      </c>
      <c r="F73" s="86">
        <f>'[2]Ukraine Sunflower Exports'!FL$88</f>
        <v>0</v>
      </c>
      <c r="G73" s="86">
        <f>'[2]Ukraine Sunflower Exports'!FM$88</f>
        <v>0</v>
      </c>
      <c r="H73" s="86">
        <f>'[2]Ukraine Sunflower Exports'!FN$88</f>
        <v>0</v>
      </c>
      <c r="I73" s="86">
        <f>'[2]Ukraine Sunflower Exports'!FO$88</f>
        <v>0</v>
      </c>
      <c r="J73" s="86">
        <f>'[2]Ukraine Sunflower Exports'!FP$88</f>
        <v>0</v>
      </c>
      <c r="K73" s="86">
        <f>'[2]Ukraine Sunflower Exports'!FQ$88</f>
        <v>0</v>
      </c>
      <c r="L73" s="86">
        <f>'[2]Ukraine Sunflower Exports'!FR$88</f>
        <v>0</v>
      </c>
      <c r="M73" s="86">
        <f>'[2]Ukraine Sunflower Exports'!FS$88</f>
        <v>0</v>
      </c>
      <c r="N73" s="86">
        <f t="shared" si="12"/>
        <v>0</v>
      </c>
      <c r="O73" s="27"/>
      <c r="P73" s="87">
        <f t="shared" si="13"/>
        <v>0</v>
      </c>
      <c r="Q73" s="87">
        <f t="shared" si="14"/>
        <v>0</v>
      </c>
      <c r="R73" s="87">
        <f t="shared" si="15"/>
        <v>0</v>
      </c>
      <c r="S73" s="87">
        <f t="shared" si="16"/>
        <v>0</v>
      </c>
    </row>
    <row r="74" spans="1:19" ht="16.5" hidden="1">
      <c r="A74" s="84" t="s">
        <v>67</v>
      </c>
      <c r="B74" s="86">
        <f>'[2]Ukraine Sunflower Exports'!FT$88</f>
        <v>0</v>
      </c>
      <c r="C74" s="86">
        <f>'[2]Ukraine Sunflower Exports'!FU$88</f>
        <v>0</v>
      </c>
      <c r="D74" s="86">
        <f>'[2]Ukraine Sunflower Exports'!FV$88</f>
        <v>0</v>
      </c>
      <c r="E74" s="86">
        <f>'[2]Ukraine Sunflower Exports'!FW$88</f>
        <v>0</v>
      </c>
      <c r="F74" s="86">
        <f>'[2]Ukraine Sunflower Exports'!FX$88</f>
        <v>0</v>
      </c>
      <c r="G74" s="86">
        <f>'[2]Ukraine Sunflower Exports'!FY$88</f>
        <v>0</v>
      </c>
      <c r="H74" s="86">
        <f>'[2]Ukraine Sunflower Exports'!FZ$88</f>
        <v>0</v>
      </c>
      <c r="I74" s="86">
        <f>'[2]Ukraine Sunflower Exports'!GA$88</f>
        <v>0</v>
      </c>
      <c r="J74" s="86">
        <f>'[2]Ukraine Sunflower Exports'!GB$88</f>
        <v>0</v>
      </c>
      <c r="K74" s="86">
        <f>'[2]Ukraine Sunflower Exports'!GC$88</f>
        <v>0</v>
      </c>
      <c r="L74" s="86">
        <f>'[2]Ukraine Sunflower Exports'!GD$88</f>
        <v>0</v>
      </c>
      <c r="M74" s="86">
        <f>'[2]Ukraine Sunflower Exports'!GE$88</f>
        <v>0</v>
      </c>
      <c r="N74" s="86">
        <f t="shared" si="12"/>
        <v>0</v>
      </c>
      <c r="O74" s="27"/>
      <c r="P74" s="87">
        <f t="shared" si="13"/>
        <v>0</v>
      </c>
      <c r="Q74" s="87">
        <f t="shared" si="14"/>
        <v>0</v>
      </c>
      <c r="R74" s="87">
        <f t="shared" si="15"/>
        <v>0</v>
      </c>
      <c r="S74" s="87">
        <f t="shared" si="16"/>
        <v>0</v>
      </c>
    </row>
    <row r="75" spans="1:19" ht="16.5" hidden="1">
      <c r="A75" s="83" t="s">
        <v>68</v>
      </c>
      <c r="B75" s="86">
        <f>'[2]Ukraine Sunflower Exports'!GF$88</f>
        <v>0</v>
      </c>
      <c r="C75" s="86">
        <f>'[2]Ukraine Sunflower Exports'!GG$88</f>
        <v>0</v>
      </c>
      <c r="D75" s="86">
        <f>'[2]Ukraine Sunflower Exports'!GH$88</f>
        <v>0</v>
      </c>
      <c r="E75" s="86">
        <f>'[2]Ukraine Sunflower Exports'!GI$88</f>
        <v>0</v>
      </c>
      <c r="F75" s="86">
        <f>'[2]Ukraine Sunflower Exports'!GJ$88</f>
        <v>0</v>
      </c>
      <c r="G75" s="86">
        <f>'[2]Ukraine Sunflower Exports'!GK$88</f>
        <v>0</v>
      </c>
      <c r="H75" s="86">
        <f>'[2]Ukraine Sunflower Exports'!GL$88</f>
        <v>0</v>
      </c>
      <c r="I75" s="86">
        <f>'[2]Ukraine Sunflower Exports'!GM$88</f>
        <v>0</v>
      </c>
      <c r="J75" s="86">
        <f>'[2]Ukraine Sunflower Exports'!GN$88</f>
        <v>0</v>
      </c>
      <c r="K75" s="86">
        <f>'[2]Ukraine Sunflower Exports'!GO$88</f>
        <v>0</v>
      </c>
      <c r="L75" s="86">
        <f>'[2]Ukraine Sunflower Exports'!GP$88</f>
        <v>0</v>
      </c>
      <c r="M75" s="86">
        <f>'[2]Ukraine Sunflower Exports'!GQ$88</f>
        <v>0</v>
      </c>
      <c r="N75" s="86">
        <f t="shared" si="12"/>
        <v>0</v>
      </c>
      <c r="O75" s="27"/>
      <c r="P75" s="87">
        <f t="shared" si="13"/>
        <v>0</v>
      </c>
      <c r="Q75" s="87">
        <f t="shared" si="14"/>
        <v>0</v>
      </c>
      <c r="R75" s="87">
        <f t="shared" si="15"/>
        <v>0</v>
      </c>
      <c r="S75" s="87">
        <f t="shared" si="16"/>
        <v>0</v>
      </c>
    </row>
    <row r="76" spans="1:19" ht="16.5" hidden="1">
      <c r="A76" s="84" t="s">
        <v>69</v>
      </c>
      <c r="B76" s="86">
        <f>'[2]Ukraine Sunflower Exports'!GR$88</f>
        <v>0</v>
      </c>
      <c r="C76" s="86">
        <f>'[2]Ukraine Sunflower Exports'!GS$88</f>
        <v>0</v>
      </c>
      <c r="D76" s="86">
        <f>'[2]Ukraine Sunflower Exports'!GT$88</f>
        <v>0</v>
      </c>
      <c r="E76" s="86">
        <f>'[2]Ukraine Sunflower Exports'!GU$88</f>
        <v>0</v>
      </c>
      <c r="F76" s="86">
        <f>'[2]Ukraine Sunflower Exports'!GV$88</f>
        <v>0</v>
      </c>
      <c r="G76" s="86">
        <f>'[2]Ukraine Sunflower Exports'!GW$88</f>
        <v>0</v>
      </c>
      <c r="H76" s="86">
        <f>'[2]Ukraine Sunflower Exports'!GX$88</f>
        <v>0</v>
      </c>
      <c r="I76" s="86">
        <f>'[2]Ukraine Sunflower Exports'!GY$88</f>
        <v>0</v>
      </c>
      <c r="J76" s="86">
        <f>'[2]Ukraine Sunflower Exports'!GZ$88</f>
        <v>0</v>
      </c>
      <c r="K76" s="86">
        <f>'[2]Ukraine Sunflower Exports'!HA$88</f>
        <v>0</v>
      </c>
      <c r="L76" s="86">
        <f>'[2]Ukraine Sunflower Exports'!HB$88</f>
        <v>0</v>
      </c>
      <c r="M76" s="86">
        <f>'[2]Ukraine Sunflower Exports'!HC$88</f>
        <v>0</v>
      </c>
      <c r="N76" s="86">
        <f t="shared" si="12"/>
        <v>0</v>
      </c>
      <c r="O76" s="27"/>
      <c r="P76" s="87">
        <f t="shared" si="13"/>
        <v>0</v>
      </c>
      <c r="Q76" s="87">
        <f t="shared" si="14"/>
        <v>0</v>
      </c>
      <c r="R76" s="87">
        <f t="shared" si="15"/>
        <v>0</v>
      </c>
      <c r="S76" s="87">
        <f t="shared" si="16"/>
        <v>0</v>
      </c>
    </row>
    <row r="77" spans="1:19" ht="16.5" hidden="1">
      <c r="A77" s="84" t="s">
        <v>70</v>
      </c>
      <c r="B77" s="86">
        <f>'[2]Ukraine Sunflower Exports'!HD$88</f>
        <v>0</v>
      </c>
      <c r="C77" s="86">
        <f>'[2]Ukraine Sunflower Exports'!HE$88</f>
        <v>0</v>
      </c>
      <c r="D77" s="86">
        <f>'[2]Ukraine Sunflower Exports'!HF$88</f>
        <v>0</v>
      </c>
      <c r="E77" s="86">
        <f>'[2]Ukraine Sunflower Exports'!HG$88</f>
        <v>0</v>
      </c>
      <c r="F77" s="86">
        <f>'[2]Ukraine Sunflower Exports'!HH$88</f>
        <v>0</v>
      </c>
      <c r="G77" s="86">
        <f>'[2]Ukraine Sunflower Exports'!HI$88</f>
        <v>0</v>
      </c>
      <c r="H77" s="86">
        <f>'[2]Ukraine Sunflower Exports'!HJ$88</f>
        <v>0</v>
      </c>
      <c r="I77" s="86">
        <f>'[2]Ukraine Sunflower Exports'!HK$88</f>
        <v>0</v>
      </c>
      <c r="J77" s="86">
        <f>'[2]Ukraine Sunflower Exports'!HL$88</f>
        <v>0</v>
      </c>
      <c r="K77" s="86">
        <f>'[2]Ukraine Sunflower Exports'!HM$88</f>
        <v>0</v>
      </c>
      <c r="L77" s="86">
        <f>'[2]Ukraine Sunflower Exports'!HN$88</f>
        <v>0</v>
      </c>
      <c r="M77" s="86">
        <f>'[2]Ukraine Sunflower Exports'!HO$88</f>
        <v>0</v>
      </c>
      <c r="N77" s="86">
        <f t="shared" si="12"/>
        <v>0</v>
      </c>
      <c r="O77" s="27"/>
      <c r="P77" s="87">
        <f t="shared" si="13"/>
        <v>0</v>
      </c>
      <c r="Q77" s="87">
        <f t="shared" si="14"/>
        <v>0</v>
      </c>
      <c r="R77" s="87">
        <f t="shared" si="15"/>
        <v>0</v>
      </c>
      <c r="S77" s="87">
        <f t="shared" si="16"/>
        <v>0</v>
      </c>
    </row>
    <row r="78" spans="1:19" ht="16.5" hidden="1">
      <c r="A78" s="83" t="s">
        <v>71</v>
      </c>
      <c r="B78" s="86">
        <f>'[2]Ukraine Sunflower Exports'!HP$88</f>
        <v>0</v>
      </c>
      <c r="C78" s="86">
        <f>'[2]Ukraine Sunflower Exports'!HQ$88</f>
        <v>0</v>
      </c>
      <c r="D78" s="86">
        <f>'[2]Ukraine Sunflower Exports'!HR$88</f>
        <v>0</v>
      </c>
      <c r="E78" s="86">
        <f>'[2]Ukraine Sunflower Exports'!HS$88</f>
        <v>0</v>
      </c>
      <c r="F78" s="86">
        <f>'[2]Ukraine Sunflower Exports'!HT$88</f>
        <v>0</v>
      </c>
      <c r="G78" s="86">
        <f>'[2]Ukraine Sunflower Exports'!HU$88</f>
        <v>0</v>
      </c>
      <c r="H78" s="86">
        <f>'[2]Ukraine Sunflower Exports'!HV$88</f>
        <v>0</v>
      </c>
      <c r="I78" s="86">
        <f>'[2]Ukraine Sunflower Exports'!HW$88</f>
        <v>0</v>
      </c>
      <c r="J78" s="86">
        <f>'[2]Ukraine Sunflower Exports'!HX$88</f>
        <v>0</v>
      </c>
      <c r="K78" s="86">
        <f>'[2]Ukraine Sunflower Exports'!HY$88</f>
        <v>0</v>
      </c>
      <c r="L78" s="86">
        <f>'[2]Ukraine Sunflower Exports'!HZ$88</f>
        <v>0</v>
      </c>
      <c r="M78" s="86">
        <f>'[2]Ukraine Sunflower Exports'!IA$88</f>
        <v>0</v>
      </c>
      <c r="N78" s="86">
        <f t="shared" si="12"/>
        <v>0</v>
      </c>
      <c r="O78" s="27"/>
      <c r="P78" s="87">
        <f t="shared" si="13"/>
        <v>0</v>
      </c>
      <c r="Q78" s="87">
        <f t="shared" si="14"/>
        <v>0</v>
      </c>
      <c r="R78" s="87">
        <f t="shared" si="15"/>
        <v>0</v>
      </c>
      <c r="S78" s="87">
        <f t="shared" si="16"/>
        <v>0</v>
      </c>
    </row>
    <row r="79" spans="1:19" ht="16.5" hidden="1">
      <c r="A79" s="84" t="s">
        <v>72</v>
      </c>
      <c r="B79" s="86">
        <f>'[2]Ukraine Sunflower Exports'!IB$88</f>
        <v>0</v>
      </c>
      <c r="C79" s="86">
        <f>'[2]Ukraine Sunflower Exports'!IC$88</f>
        <v>0</v>
      </c>
      <c r="D79" s="86">
        <f>'[2]Ukraine Sunflower Exports'!ID$88</f>
        <v>0</v>
      </c>
      <c r="E79" s="86">
        <f>'[2]Ukraine Sunflower Exports'!IE$88</f>
        <v>0</v>
      </c>
      <c r="F79" s="86">
        <f>'[2]Ukraine Sunflower Exports'!IF$88</f>
        <v>0</v>
      </c>
      <c r="G79" s="86">
        <f>'[2]Ukraine Sunflower Exports'!IG$88</f>
        <v>0</v>
      </c>
      <c r="H79" s="86">
        <f>'[2]Ukraine Sunflower Exports'!IH$88</f>
        <v>0</v>
      </c>
      <c r="I79" s="86">
        <f>'[2]Ukraine Sunflower Exports'!II$88</f>
        <v>0</v>
      </c>
      <c r="J79" s="86">
        <f>'[2]Ukraine Sunflower Exports'!IJ$88</f>
        <v>0</v>
      </c>
      <c r="K79" s="86">
        <f>'[2]Ukraine Sunflower Exports'!IK$88</f>
        <v>0</v>
      </c>
      <c r="L79" s="86">
        <f>'[2]Ukraine Sunflower Exports'!IL$88</f>
        <v>0</v>
      </c>
      <c r="M79" s="86">
        <f>'[2]Ukraine Sunflower Exports'!IM$88</f>
        <v>0</v>
      </c>
      <c r="N79" s="86">
        <f t="shared" si="12"/>
        <v>0</v>
      </c>
      <c r="O79" s="27"/>
      <c r="P79" s="87">
        <f t="shared" si="13"/>
        <v>0</v>
      </c>
      <c r="Q79" s="87">
        <f t="shared" si="14"/>
        <v>0</v>
      </c>
      <c r="R79" s="87">
        <f t="shared" si="15"/>
        <v>0</v>
      </c>
      <c r="S79" s="87">
        <f t="shared" si="16"/>
        <v>0</v>
      </c>
    </row>
    <row r="80" spans="1:19" ht="16.5" hidden="1">
      <c r="A80" s="83" t="s">
        <v>73</v>
      </c>
      <c r="B80" s="86">
        <f>'[2]Ukraine Sunflower Exports'!IN$88</f>
        <v>0</v>
      </c>
      <c r="C80" s="86">
        <f>'[2]Ukraine Sunflower Exports'!IO$88</f>
        <v>0</v>
      </c>
      <c r="D80" s="86">
        <f>'[2]Ukraine Sunflower Exports'!IP$88</f>
        <v>0</v>
      </c>
      <c r="E80" s="86">
        <f>'[2]Ukraine Sunflower Exports'!IQ$88</f>
        <v>0</v>
      </c>
      <c r="F80" s="86">
        <f>'[2]Ukraine Sunflower Exports'!IR$88</f>
        <v>0</v>
      </c>
      <c r="G80" s="86">
        <f>'[2]Ukraine Sunflower Exports'!IS$88</f>
        <v>0</v>
      </c>
      <c r="H80" s="86">
        <f>'[2]Ukraine Sunflower Exports'!IT$88</f>
        <v>0</v>
      </c>
      <c r="I80" s="86">
        <f>'[2]Ukraine Sunflower Exports'!IU$88</f>
        <v>0</v>
      </c>
      <c r="J80" s="86">
        <f>'[2]Ukraine Sunflower Exports'!IV$88</f>
        <v>0</v>
      </c>
      <c r="K80" s="86">
        <f>'[2]Ukraine Sunflower Exports'!IW$88</f>
        <v>0</v>
      </c>
      <c r="L80" s="86">
        <f>'[2]Ukraine Sunflower Exports'!IX$88</f>
        <v>0</v>
      </c>
      <c r="M80" s="86">
        <f>'[2]Ukraine Sunflower Exports'!IY$88</f>
        <v>0</v>
      </c>
      <c r="N80" s="86">
        <f t="shared" si="12"/>
        <v>0</v>
      </c>
      <c r="O80" s="27"/>
      <c r="P80" s="87">
        <f t="shared" si="13"/>
        <v>0</v>
      </c>
      <c r="Q80" s="87">
        <f t="shared" si="14"/>
        <v>0</v>
      </c>
      <c r="R80" s="87">
        <f t="shared" si="15"/>
        <v>0</v>
      </c>
      <c r="S80" s="87">
        <f t="shared" si="16"/>
        <v>0</v>
      </c>
    </row>
    <row r="81" spans="1:19" ht="16.5" hidden="1">
      <c r="A81" s="83" t="s">
        <v>74</v>
      </c>
      <c r="B81" s="86">
        <f>'[2]Ukraine Sunflower Exports'!IZ$88</f>
        <v>0</v>
      </c>
      <c r="C81" s="86">
        <f>'[2]Ukraine Sunflower Exports'!JA$88</f>
        <v>0</v>
      </c>
      <c r="D81" s="86">
        <f>'[2]Ukraine Sunflower Exports'!JB$88</f>
        <v>0</v>
      </c>
      <c r="E81" s="86">
        <f>'[2]Ukraine Sunflower Exports'!JC$88</f>
        <v>0</v>
      </c>
      <c r="F81" s="86">
        <f>'[2]Ukraine Sunflower Exports'!JD$88</f>
        <v>0</v>
      </c>
      <c r="G81" s="86">
        <f>'[2]Ukraine Sunflower Exports'!JE$88</f>
        <v>0</v>
      </c>
      <c r="H81" s="86">
        <f>'[2]Ukraine Sunflower Exports'!JF$88</f>
        <v>0</v>
      </c>
      <c r="I81" s="86">
        <f>'[2]Ukraine Sunflower Exports'!JG$88</f>
        <v>0</v>
      </c>
      <c r="J81" s="86">
        <f>'[2]Ukraine Sunflower Exports'!JH$88</f>
        <v>0</v>
      </c>
      <c r="K81" s="86">
        <f>'[2]Ukraine Sunflower Exports'!JI$88</f>
        <v>0</v>
      </c>
      <c r="L81" s="86">
        <f>'[2]Ukraine Sunflower Exports'!JJ$88</f>
        <v>0</v>
      </c>
      <c r="M81" s="86">
        <f>'[2]Ukraine Sunflower Exports'!JK$88</f>
        <v>0</v>
      </c>
      <c r="N81" s="86">
        <f t="shared" si="12"/>
        <v>0</v>
      </c>
      <c r="O81" s="27"/>
      <c r="P81" s="87">
        <f t="shared" si="13"/>
        <v>0</v>
      </c>
      <c r="Q81" s="87">
        <f t="shared" si="14"/>
        <v>0</v>
      </c>
      <c r="R81" s="87">
        <f t="shared" si="15"/>
        <v>0</v>
      </c>
      <c r="S81" s="87">
        <f t="shared" si="16"/>
        <v>0</v>
      </c>
    </row>
    <row r="82" spans="1:19" ht="16.5" hidden="1">
      <c r="A82" s="83" t="s">
        <v>75</v>
      </c>
      <c r="B82" s="86">
        <f>'[2]Ukraine Sunflower Exports'!JL$88</f>
        <v>0</v>
      </c>
      <c r="C82" s="86">
        <f>'[2]Ukraine Sunflower Exports'!JM$88</f>
        <v>0</v>
      </c>
      <c r="D82" s="86">
        <f>'[2]Ukraine Sunflower Exports'!JN$88</f>
        <v>0</v>
      </c>
      <c r="E82" s="86">
        <f>'[2]Ukraine Sunflower Exports'!JO$88</f>
        <v>1.7000000000000001E-2</v>
      </c>
      <c r="F82" s="86">
        <f>'[2]Ukraine Sunflower Exports'!JP$88</f>
        <v>0</v>
      </c>
      <c r="G82" s="86">
        <f>'[2]Ukraine Sunflower Exports'!JQ$88</f>
        <v>0</v>
      </c>
      <c r="H82" s="86">
        <f>'[2]Ukraine Sunflower Exports'!JR$88</f>
        <v>0</v>
      </c>
      <c r="I82" s="86">
        <f>'[2]Ukraine Sunflower Exports'!JS$88</f>
        <v>0</v>
      </c>
      <c r="J82" s="86">
        <f>'[2]Ukraine Sunflower Exports'!JT$88</f>
        <v>0</v>
      </c>
      <c r="K82" s="86">
        <f>'[2]Ukraine Sunflower Exports'!JU$88</f>
        <v>0</v>
      </c>
      <c r="L82" s="86">
        <f>'[2]Ukraine Sunflower Exports'!JV$88</f>
        <v>0</v>
      </c>
      <c r="M82" s="86">
        <f>'[2]Ukraine Sunflower Exports'!JW$88</f>
        <v>0</v>
      </c>
      <c r="N82" s="86">
        <f t="shared" si="12"/>
        <v>1.7000000000000001E-2</v>
      </c>
      <c r="O82" s="27"/>
      <c r="P82" s="87">
        <f t="shared" si="13"/>
        <v>0</v>
      </c>
      <c r="Q82" s="87">
        <f t="shared" si="14"/>
        <v>1.7000000000000001E-2</v>
      </c>
      <c r="R82" s="87">
        <f t="shared" si="15"/>
        <v>0</v>
      </c>
      <c r="S82" s="87">
        <f t="shared" si="16"/>
        <v>0</v>
      </c>
    </row>
    <row r="83" spans="1:19" ht="16.5" hidden="1">
      <c r="A83" s="83" t="s">
        <v>76</v>
      </c>
      <c r="B83" s="86">
        <f>'[2]Ukraine Sunflower Exports'!JX$88</f>
        <v>0</v>
      </c>
      <c r="C83" s="86">
        <f>'[2]Ukraine Sunflower Exports'!JY$88</f>
        <v>0</v>
      </c>
      <c r="D83" s="86">
        <f>'[2]Ukraine Sunflower Exports'!JZ$88</f>
        <v>0</v>
      </c>
      <c r="E83" s="86">
        <f>'[2]Ukraine Sunflower Exports'!KA$88</f>
        <v>0</v>
      </c>
      <c r="F83" s="86">
        <f>'[2]Ukraine Sunflower Exports'!KB$88</f>
        <v>0</v>
      </c>
      <c r="G83" s="86">
        <f>'[2]Ukraine Sunflower Exports'!KC$88</f>
        <v>0</v>
      </c>
      <c r="H83" s="86">
        <f>'[2]Ukraine Sunflower Exports'!KD$88</f>
        <v>0</v>
      </c>
      <c r="I83" s="86">
        <f>'[2]Ukraine Sunflower Exports'!KE$88</f>
        <v>0</v>
      </c>
      <c r="J83" s="86">
        <f>'[2]Ukraine Sunflower Exports'!KF$88</f>
        <v>0</v>
      </c>
      <c r="K83" s="86">
        <f>'[2]Ukraine Sunflower Exports'!KG$88</f>
        <v>0</v>
      </c>
      <c r="L83" s="86">
        <f>'[2]Ukraine Sunflower Exports'!KH$88</f>
        <v>0</v>
      </c>
      <c r="M83" s="86">
        <f>'[2]Ukraine Sunflower Exports'!KI$88</f>
        <v>0</v>
      </c>
      <c r="N83" s="86">
        <f t="shared" si="12"/>
        <v>0</v>
      </c>
      <c r="O83" s="27"/>
      <c r="P83" s="87">
        <f>SUM(B83:D83)</f>
        <v>0</v>
      </c>
      <c r="Q83" s="87">
        <f t="shared" si="14"/>
        <v>0</v>
      </c>
      <c r="R83" s="87">
        <f t="shared" si="15"/>
        <v>0</v>
      </c>
      <c r="S83" s="87">
        <f t="shared" si="16"/>
        <v>0</v>
      </c>
    </row>
    <row r="84" spans="1:19" ht="16.5" hidden="1">
      <c r="A84" s="83" t="s">
        <v>77</v>
      </c>
      <c r="B84" s="86">
        <f>'[2]Ukraine Sunflower Exports'!KJ$88</f>
        <v>0</v>
      </c>
      <c r="C84" s="86">
        <f>'[2]Ukraine Sunflower Exports'!KK$88</f>
        <v>0</v>
      </c>
      <c r="D84" s="86">
        <f>'[2]Ukraine Sunflower Exports'!KL$88</f>
        <v>0</v>
      </c>
      <c r="E84" s="86">
        <f>'[2]Ukraine Sunflower Exports'!KM$88</f>
        <v>0</v>
      </c>
      <c r="F84" s="86">
        <f>'[2]Ukraine Sunflower Exports'!KN$88</f>
        <v>0</v>
      </c>
      <c r="G84" s="86">
        <f>'[2]Ukraine Sunflower Exports'!KO$88</f>
        <v>0</v>
      </c>
      <c r="H84" s="86">
        <f>'[2]Ukraine Sunflower Exports'!KP$88</f>
        <v>0</v>
      </c>
      <c r="I84" s="86">
        <f>'[2]Ukraine Sunflower Exports'!KQ$88</f>
        <v>0</v>
      </c>
      <c r="J84" s="86">
        <f>'[2]Ukraine Sunflower Exports'!KR$88</f>
        <v>0</v>
      </c>
      <c r="K84" s="86">
        <f>'[2]Ukraine Sunflower Exports'!KS$88</f>
        <v>0</v>
      </c>
      <c r="L84" s="86">
        <f>'[2]Ukraine Sunflower Exports'!KT$88</f>
        <v>0</v>
      </c>
      <c r="M84" s="86">
        <f>'[2]Ukraine Sunflower Exports'!KU$88</f>
        <v>0</v>
      </c>
      <c r="N84" s="86">
        <f t="shared" si="12"/>
        <v>0</v>
      </c>
      <c r="O84" s="27"/>
      <c r="P84" s="87">
        <f t="shared" ref="P84:P89" si="17">SUM(B84:D84)</f>
        <v>0</v>
      </c>
      <c r="Q84" s="87">
        <f t="shared" si="14"/>
        <v>0</v>
      </c>
      <c r="R84" s="87">
        <f t="shared" si="15"/>
        <v>0</v>
      </c>
      <c r="S84" s="87">
        <f t="shared" si="16"/>
        <v>0</v>
      </c>
    </row>
    <row r="85" spans="1:19" ht="16.5" hidden="1">
      <c r="A85" s="83" t="s">
        <v>78</v>
      </c>
      <c r="B85" s="86">
        <f>'[2]Ukraine Sunflower Exports'!KV$88</f>
        <v>0</v>
      </c>
      <c r="C85" s="86">
        <f>'[2]Ukraine Sunflower Exports'!KW$88</f>
        <v>0</v>
      </c>
      <c r="D85" s="86">
        <f>'[2]Ukraine Sunflower Exports'!KX$88</f>
        <v>0</v>
      </c>
      <c r="E85" s="86">
        <f>'[2]Ukraine Sunflower Exports'!KY$88</f>
        <v>0</v>
      </c>
      <c r="F85" s="86">
        <f>'[2]Ukraine Sunflower Exports'!KZ$88</f>
        <v>0</v>
      </c>
      <c r="G85" s="86">
        <f>'[2]Ukraine Sunflower Exports'!LA$88</f>
        <v>0</v>
      </c>
      <c r="H85" s="86">
        <f>'[2]Ukraine Sunflower Exports'!LB$88</f>
        <v>0</v>
      </c>
      <c r="I85" s="86">
        <f>'[2]Ukraine Sunflower Exports'!LC$88</f>
        <v>0</v>
      </c>
      <c r="J85" s="86">
        <f>'[2]Ukraine Sunflower Exports'!LD$88</f>
        <v>0</v>
      </c>
      <c r="K85" s="86">
        <f>'[2]Ukraine Sunflower Exports'!LE$88</f>
        <v>0</v>
      </c>
      <c r="L85" s="86">
        <f>'[2]Ukraine Sunflower Exports'!LF$88</f>
        <v>0</v>
      </c>
      <c r="M85" s="86">
        <f>'[2]Ukraine Sunflower Exports'!LG$88</f>
        <v>0</v>
      </c>
      <c r="N85" s="86">
        <f t="shared" si="12"/>
        <v>0</v>
      </c>
      <c r="O85" s="27"/>
      <c r="P85" s="87">
        <f t="shared" si="17"/>
        <v>0</v>
      </c>
      <c r="Q85" s="87">
        <f t="shared" si="14"/>
        <v>0</v>
      </c>
      <c r="R85" s="87">
        <f t="shared" si="15"/>
        <v>0</v>
      </c>
      <c r="S85" s="87">
        <f t="shared" si="16"/>
        <v>0</v>
      </c>
    </row>
    <row r="86" spans="1:19" ht="16.5" hidden="1">
      <c r="A86" s="83" t="s">
        <v>79</v>
      </c>
      <c r="B86" s="86">
        <f>'[2]Ukraine Sunflower Exports'!LH$88</f>
        <v>0</v>
      </c>
      <c r="C86" s="86">
        <f>'[2]Ukraine Sunflower Exports'!LI$88</f>
        <v>0</v>
      </c>
      <c r="D86" s="86">
        <f>'[2]Ukraine Sunflower Exports'!LJ$88</f>
        <v>0</v>
      </c>
      <c r="E86" s="86">
        <f>'[2]Ukraine Sunflower Exports'!LK$88</f>
        <v>0</v>
      </c>
      <c r="F86" s="86">
        <f>'[2]Ukraine Sunflower Exports'!LL$88</f>
        <v>0</v>
      </c>
      <c r="G86" s="86">
        <f>'[2]Ukraine Sunflower Exports'!LM$88</f>
        <v>0</v>
      </c>
      <c r="H86" s="86">
        <f>'[2]Ukraine Sunflower Exports'!LN$88</f>
        <v>0</v>
      </c>
      <c r="I86" s="86">
        <f>'[2]Ukraine Sunflower Exports'!LO$88</f>
        <v>0</v>
      </c>
      <c r="J86" s="86">
        <f>'[2]Ukraine Sunflower Exports'!LP$88</f>
        <v>0</v>
      </c>
      <c r="K86" s="86">
        <f>'[2]Ukraine Sunflower Exports'!LQ$88</f>
        <v>0</v>
      </c>
      <c r="L86" s="86">
        <f>'[2]Ukraine Sunflower Exports'!LR$88</f>
        <v>0</v>
      </c>
      <c r="M86" s="86">
        <f>'[2]Ukraine Sunflower Exports'!LS$88</f>
        <v>0</v>
      </c>
      <c r="N86" s="86">
        <f t="shared" si="12"/>
        <v>0</v>
      </c>
      <c r="O86" s="27"/>
      <c r="P86" s="87">
        <f t="shared" si="17"/>
        <v>0</v>
      </c>
      <c r="Q86" s="87">
        <f t="shared" si="14"/>
        <v>0</v>
      </c>
      <c r="R86" s="87">
        <f t="shared" si="15"/>
        <v>0</v>
      </c>
      <c r="S86" s="87">
        <f t="shared" si="16"/>
        <v>0</v>
      </c>
    </row>
    <row r="87" spans="1:19" ht="16.5">
      <c r="A87" s="85" t="s">
        <v>80</v>
      </c>
      <c r="B87" s="86">
        <f>'[2]Ukraine Sunflower Exports'!LT$88</f>
        <v>0</v>
      </c>
      <c r="C87" s="86">
        <f>'[2]Ukraine Sunflower Exports'!LU$88</f>
        <v>0</v>
      </c>
      <c r="D87" s="86">
        <f>'[2]Ukraine Sunflower Exports'!LV$88</f>
        <v>0</v>
      </c>
      <c r="E87" s="86">
        <f>'[2]Ukraine Sunflower Exports'!LW$88</f>
        <v>5.3999999999999999E-2</v>
      </c>
      <c r="F87" s="86">
        <f>'[2]Ukraine Sunflower Exports'!LX$88</f>
        <v>5.3999999999999999E-2</v>
      </c>
      <c r="G87" s="86">
        <f>'[2]Ukraine Sunflower Exports'!LY$88</f>
        <v>5.3999999999999999E-2</v>
      </c>
      <c r="H87" s="86">
        <f>'[2]Ukraine Sunflower Exports'!LZ$88</f>
        <v>2.8549999999999999E-2</v>
      </c>
      <c r="I87" s="86">
        <f>'[2]Ukraine Sunflower Exports'!MA$88</f>
        <v>0.25165199999999999</v>
      </c>
      <c r="J87" s="86">
        <f>'[2]Ukraine Sunflower Exports'!MB$88</f>
        <v>5.5024999999999998E-2</v>
      </c>
      <c r="K87" s="86">
        <f>'[2]Ukraine Sunflower Exports'!MC$88</f>
        <v>4.9175000000000003E-2</v>
      </c>
      <c r="L87" s="86">
        <f>'[2]Ukraine Sunflower Exports'!MD$88</f>
        <v>0</v>
      </c>
      <c r="M87" s="86">
        <f>'[2]Ukraine Sunflower Exports'!ME$88</f>
        <v>2.5000000000000001E-2</v>
      </c>
      <c r="N87" s="86">
        <f t="shared" si="12"/>
        <v>0.57140199999999997</v>
      </c>
      <c r="O87" s="27"/>
      <c r="P87" s="87">
        <f t="shared" si="17"/>
        <v>0</v>
      </c>
      <c r="Q87" s="87">
        <f t="shared" si="14"/>
        <v>0.16200000000000001</v>
      </c>
      <c r="R87" s="87">
        <f t="shared" si="15"/>
        <v>0.335227</v>
      </c>
      <c r="S87" s="87">
        <f t="shared" si="16"/>
        <v>7.4175000000000005E-2</v>
      </c>
    </row>
    <row r="88" spans="1:19" ht="16.5">
      <c r="A88" s="85" t="s">
        <v>81</v>
      </c>
      <c r="B88" s="86">
        <f>'[2]Ukraine Sunflower Exports'!MF$88</f>
        <v>0.16600000000000001</v>
      </c>
      <c r="C88" s="86">
        <f>'[2]Ukraine Sunflower Exports'!MG$88</f>
        <v>0.15504999999999999</v>
      </c>
      <c r="D88" s="86">
        <f>'[2]Ukraine Sunflower Exports'!MH$88</f>
        <v>0.114</v>
      </c>
      <c r="E88" s="86">
        <f>'[2]Ukraine Sunflower Exports'!MI$88</f>
        <v>0.14249999999999999</v>
      </c>
      <c r="F88" s="86">
        <f>'[2]Ukraine Sunflower Exports'!MJ$88</f>
        <v>0</v>
      </c>
      <c r="G88" s="86">
        <f>'[2]Ukraine Sunflower Exports'!MK$88</f>
        <v>0.24399999999999999</v>
      </c>
      <c r="H88" s="86">
        <f>'[2]Ukraine Sunflower Exports'!ML$88</f>
        <v>2.8500000000000001E-2</v>
      </c>
      <c r="I88" s="86">
        <f>'[2]Ukraine Sunflower Exports'!MM$88</f>
        <v>0.34200000000000003</v>
      </c>
      <c r="J88" s="86">
        <f>'[2]Ukraine Sunflower Exports'!MN$88</f>
        <v>0.15352499999999999</v>
      </c>
      <c r="K88" s="86">
        <f>'[2]Ukraine Sunflower Exports'!MO$88</f>
        <v>0</v>
      </c>
      <c r="L88" s="86">
        <f>'[2]Ukraine Sunflower Exports'!MP$88</f>
        <v>0.19950000000000001</v>
      </c>
      <c r="M88" s="86">
        <f>'[2]Ukraine Sunflower Exports'!MQ$88</f>
        <v>5.7000000000000002E-2</v>
      </c>
      <c r="N88" s="86">
        <f t="shared" si="12"/>
        <v>1.6020749999999999</v>
      </c>
      <c r="O88" s="27"/>
      <c r="P88" s="87">
        <f t="shared" si="17"/>
        <v>0.43504999999999999</v>
      </c>
      <c r="Q88" s="87">
        <f t="shared" si="14"/>
        <v>0.38649999999999995</v>
      </c>
      <c r="R88" s="87">
        <f t="shared" si="15"/>
        <v>0.52402500000000007</v>
      </c>
      <c r="S88" s="87">
        <f t="shared" si="16"/>
        <v>0.25650000000000001</v>
      </c>
    </row>
    <row r="89" spans="1:19" ht="17.25" thickBot="1">
      <c r="A89" s="88" t="s">
        <v>82</v>
      </c>
      <c r="B89" s="89">
        <f>'[2]Ukraine Sunflower Exports'!MR$88</f>
        <v>2.8500000000000001E-2</v>
      </c>
      <c r="C89" s="89">
        <f>'[2]Ukraine Sunflower Exports'!MS$88</f>
        <v>0.33684999999999998</v>
      </c>
      <c r="D89" s="89">
        <f>'[2]Ukraine Sunflower Exports'!MT$88</f>
        <v>0.1086</v>
      </c>
      <c r="E89" s="89">
        <f>'[2]Ukraine Sunflower Exports'!MU$88</f>
        <v>0</v>
      </c>
      <c r="F89" s="89">
        <f>'[2]Ukraine Sunflower Exports'!MV$88</f>
        <v>5.1999999999999998E-2</v>
      </c>
      <c r="G89" s="89" t="str">
        <f>'[2]Ukraine Sunflower Exports'!MW$88</f>
        <v/>
      </c>
      <c r="H89" s="89" t="str">
        <f>'[2]Ukraine Sunflower Exports'!MX$88</f>
        <v/>
      </c>
      <c r="I89" s="89" t="str">
        <f>'[2]Ukraine Sunflower Exports'!MY$88</f>
        <v/>
      </c>
      <c r="J89" s="90">
        <f>(AVERAGE(J84:J88)/AVERAGE($N84:$N88))*$N89-0.05</f>
        <v>1.3899398291309262E-2</v>
      </c>
      <c r="K89" s="90">
        <f t="shared" ref="K89" si="18">(AVERAGE(K84:K88)/AVERAGE($N84:$N88))*$N89</f>
        <v>1.5067144142772158E-2</v>
      </c>
      <c r="L89" s="90">
        <f>(AVERAGE(L84:L88)/AVERAGE($N84:$N88))*$N89-0.05</f>
        <v>1.1126492251815875E-2</v>
      </c>
      <c r="M89" s="90">
        <f>N89-SUM(B89:L89)</f>
        <v>9.9906965314102814E-2</v>
      </c>
      <c r="N89" s="90">
        <f>'Sun Matrix'!BF7</f>
        <v>0.66595000000000004</v>
      </c>
      <c r="O89" s="91"/>
      <c r="P89" s="92">
        <f t="shared" si="17"/>
        <v>0.47394999999999998</v>
      </c>
      <c r="Q89" s="92">
        <f t="shared" si="14"/>
        <v>5.1999999999999998E-2</v>
      </c>
      <c r="R89" s="93">
        <f t="shared" si="15"/>
        <v>1.3899398291309262E-2</v>
      </c>
      <c r="S89" s="93">
        <f t="shared" si="16"/>
        <v>0.12610060170869086</v>
      </c>
    </row>
    <row r="90" spans="1:19" ht="16.5">
      <c r="A90" s="80" t="s">
        <v>86</v>
      </c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27"/>
      <c r="P90" s="87"/>
      <c r="Q90" s="87"/>
      <c r="R90" s="87"/>
      <c r="S90" s="87"/>
    </row>
    <row r="91" spans="1:19" ht="16.5" hidden="1">
      <c r="A91" s="81" t="s">
        <v>84</v>
      </c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27"/>
      <c r="P91" s="87"/>
      <c r="Q91" s="87"/>
      <c r="R91" s="87"/>
      <c r="S91" s="87"/>
    </row>
    <row r="92" spans="1:19" ht="16.5" hidden="1">
      <c r="A92" s="81" t="s">
        <v>56</v>
      </c>
      <c r="B92" s="86">
        <f>SUM(B5,B34,B63)</f>
        <v>0</v>
      </c>
      <c r="C92" s="86">
        <f t="shared" ref="C92:M92" si="19">SUM(C5,C34,C63)</f>
        <v>0</v>
      </c>
      <c r="D92" s="86">
        <f t="shared" si="19"/>
        <v>0</v>
      </c>
      <c r="E92" s="86">
        <f t="shared" si="19"/>
        <v>0</v>
      </c>
      <c r="F92" s="86">
        <f t="shared" si="19"/>
        <v>0</v>
      </c>
      <c r="G92" s="86">
        <f t="shared" si="19"/>
        <v>0</v>
      </c>
      <c r="H92" s="86">
        <f t="shared" si="19"/>
        <v>0</v>
      </c>
      <c r="I92" s="86">
        <f t="shared" si="19"/>
        <v>0</v>
      </c>
      <c r="J92" s="86">
        <f t="shared" si="19"/>
        <v>0</v>
      </c>
      <c r="K92" s="86">
        <f t="shared" si="19"/>
        <v>0</v>
      </c>
      <c r="L92" s="86">
        <f t="shared" si="19"/>
        <v>0</v>
      </c>
      <c r="M92" s="86">
        <f t="shared" si="19"/>
        <v>0</v>
      </c>
      <c r="N92" s="86">
        <f>SUM(B92:M92)</f>
        <v>0</v>
      </c>
      <c r="O92" s="27"/>
      <c r="P92" s="87">
        <f>SUM(B92:D92)</f>
        <v>0</v>
      </c>
      <c r="Q92" s="87">
        <f>SUM(E92:G92)</f>
        <v>0</v>
      </c>
      <c r="R92" s="87">
        <f>SUM(H92:J92)</f>
        <v>0</v>
      </c>
      <c r="S92" s="87">
        <f>SUM(K92:M92)</f>
        <v>0</v>
      </c>
    </row>
    <row r="93" spans="1:19" ht="16.5" hidden="1">
      <c r="A93" s="81" t="s">
        <v>57</v>
      </c>
      <c r="B93" s="86">
        <f t="shared" ref="B93:M108" si="20">SUM(B6,B35,B64)</f>
        <v>0</v>
      </c>
      <c r="C93" s="86">
        <f t="shared" si="20"/>
        <v>0</v>
      </c>
      <c r="D93" s="86">
        <f t="shared" si="20"/>
        <v>0</v>
      </c>
      <c r="E93" s="86">
        <f t="shared" si="20"/>
        <v>0</v>
      </c>
      <c r="F93" s="86">
        <f t="shared" si="20"/>
        <v>0</v>
      </c>
      <c r="G93" s="86">
        <f t="shared" si="20"/>
        <v>0</v>
      </c>
      <c r="H93" s="86">
        <f t="shared" si="20"/>
        <v>0</v>
      </c>
      <c r="I93" s="86">
        <f t="shared" si="20"/>
        <v>0</v>
      </c>
      <c r="J93" s="86">
        <f t="shared" si="20"/>
        <v>0</v>
      </c>
      <c r="K93" s="86">
        <f t="shared" si="20"/>
        <v>0</v>
      </c>
      <c r="L93" s="86">
        <f t="shared" si="20"/>
        <v>0</v>
      </c>
      <c r="M93" s="86">
        <f t="shared" si="20"/>
        <v>0</v>
      </c>
      <c r="N93" s="86">
        <f t="shared" ref="N93:N118" si="21">SUM(B93:M93)</f>
        <v>0</v>
      </c>
      <c r="O93" s="27"/>
      <c r="P93" s="87">
        <f t="shared" ref="P93:P111" si="22">SUM(B93:D93)</f>
        <v>0</v>
      </c>
      <c r="Q93" s="87">
        <f t="shared" ref="Q93:Q118" si="23">SUM(E93:G93)</f>
        <v>0</v>
      </c>
      <c r="R93" s="87">
        <f t="shared" ref="R93:R118" si="24">SUM(H93:J93)</f>
        <v>0</v>
      </c>
      <c r="S93" s="87">
        <f t="shared" ref="S93:S118" si="25">SUM(K93:M93)</f>
        <v>0</v>
      </c>
    </row>
    <row r="94" spans="1:19" ht="16.5" hidden="1">
      <c r="A94" s="81" t="s">
        <v>58</v>
      </c>
      <c r="B94" s="86">
        <f t="shared" si="20"/>
        <v>0</v>
      </c>
      <c r="C94" s="86">
        <f t="shared" si="20"/>
        <v>0</v>
      </c>
      <c r="D94" s="86">
        <f t="shared" si="20"/>
        <v>0</v>
      </c>
      <c r="E94" s="86">
        <f t="shared" si="20"/>
        <v>0</v>
      </c>
      <c r="F94" s="86">
        <f t="shared" si="20"/>
        <v>0</v>
      </c>
      <c r="G94" s="86">
        <f t="shared" si="20"/>
        <v>0</v>
      </c>
      <c r="H94" s="86">
        <f t="shared" si="20"/>
        <v>1E-3</v>
      </c>
      <c r="I94" s="86">
        <f t="shared" si="20"/>
        <v>0</v>
      </c>
      <c r="J94" s="86">
        <f t="shared" si="20"/>
        <v>0</v>
      </c>
      <c r="K94" s="86">
        <f t="shared" si="20"/>
        <v>0</v>
      </c>
      <c r="L94" s="86">
        <f t="shared" si="20"/>
        <v>0</v>
      </c>
      <c r="M94" s="86">
        <f t="shared" si="20"/>
        <v>0</v>
      </c>
      <c r="N94" s="86">
        <f t="shared" si="21"/>
        <v>1E-3</v>
      </c>
      <c r="O94" s="27"/>
      <c r="P94" s="87">
        <f t="shared" si="22"/>
        <v>0</v>
      </c>
      <c r="Q94" s="87">
        <f t="shared" si="23"/>
        <v>0</v>
      </c>
      <c r="R94" s="87">
        <f t="shared" si="24"/>
        <v>1E-3</v>
      </c>
      <c r="S94" s="87">
        <f t="shared" si="25"/>
        <v>0</v>
      </c>
    </row>
    <row r="95" spans="1:19" ht="16.5" hidden="1">
      <c r="A95" s="81" t="s">
        <v>59</v>
      </c>
      <c r="B95" s="86">
        <f t="shared" si="20"/>
        <v>0</v>
      </c>
      <c r="C95" s="86">
        <f t="shared" si="20"/>
        <v>0</v>
      </c>
      <c r="D95" s="86">
        <f t="shared" si="20"/>
        <v>0</v>
      </c>
      <c r="E95" s="86">
        <f t="shared" si="20"/>
        <v>0</v>
      </c>
      <c r="F95" s="86">
        <f t="shared" si="20"/>
        <v>5.8000000000000003E-2</v>
      </c>
      <c r="G95" s="86">
        <f t="shared" si="20"/>
        <v>0</v>
      </c>
      <c r="H95" s="86">
        <f t="shared" si="20"/>
        <v>1E-3</v>
      </c>
      <c r="I95" s="86">
        <f t="shared" si="20"/>
        <v>0</v>
      </c>
      <c r="J95" s="86">
        <f t="shared" si="20"/>
        <v>0</v>
      </c>
      <c r="K95" s="86">
        <f t="shared" si="20"/>
        <v>0</v>
      </c>
      <c r="L95" s="86">
        <f t="shared" si="20"/>
        <v>0</v>
      </c>
      <c r="M95" s="86">
        <f t="shared" si="20"/>
        <v>0</v>
      </c>
      <c r="N95" s="86">
        <f t="shared" si="21"/>
        <v>5.9000000000000004E-2</v>
      </c>
      <c r="O95" s="27"/>
      <c r="P95" s="87">
        <f t="shared" si="22"/>
        <v>0</v>
      </c>
      <c r="Q95" s="87">
        <f t="shared" si="23"/>
        <v>5.8000000000000003E-2</v>
      </c>
      <c r="R95" s="87">
        <f t="shared" si="24"/>
        <v>1E-3</v>
      </c>
      <c r="S95" s="87">
        <f t="shared" si="25"/>
        <v>0</v>
      </c>
    </row>
    <row r="96" spans="1:19" ht="16.5" hidden="1">
      <c r="A96" s="81" t="s">
        <v>60</v>
      </c>
      <c r="B96" s="86">
        <f t="shared" si="20"/>
        <v>0</v>
      </c>
      <c r="C96" s="86">
        <f t="shared" si="20"/>
        <v>0</v>
      </c>
      <c r="D96" s="86">
        <f t="shared" si="20"/>
        <v>0</v>
      </c>
      <c r="E96" s="86">
        <f t="shared" si="20"/>
        <v>0</v>
      </c>
      <c r="F96" s="86">
        <f t="shared" si="20"/>
        <v>0.04</v>
      </c>
      <c r="G96" s="86">
        <f t="shared" si="20"/>
        <v>7.0000000000000001E-3</v>
      </c>
      <c r="H96" s="86">
        <f t="shared" si="20"/>
        <v>2E-3</v>
      </c>
      <c r="I96" s="86">
        <f t="shared" si="20"/>
        <v>0</v>
      </c>
      <c r="J96" s="86">
        <f t="shared" si="20"/>
        <v>0</v>
      </c>
      <c r="K96" s="86">
        <f t="shared" si="20"/>
        <v>0</v>
      </c>
      <c r="L96" s="86">
        <f t="shared" si="20"/>
        <v>0</v>
      </c>
      <c r="M96" s="86">
        <f t="shared" si="20"/>
        <v>0</v>
      </c>
      <c r="N96" s="86">
        <f t="shared" si="21"/>
        <v>4.9000000000000002E-2</v>
      </c>
      <c r="O96" s="27"/>
      <c r="P96" s="87">
        <f t="shared" si="22"/>
        <v>0</v>
      </c>
      <c r="Q96" s="87">
        <f t="shared" si="23"/>
        <v>4.7E-2</v>
      </c>
      <c r="R96" s="87">
        <f t="shared" si="24"/>
        <v>2E-3</v>
      </c>
      <c r="S96" s="87">
        <f t="shared" si="25"/>
        <v>0</v>
      </c>
    </row>
    <row r="97" spans="1:19" ht="16.5" hidden="1">
      <c r="A97" s="81" t="s">
        <v>61</v>
      </c>
      <c r="B97" s="86">
        <f t="shared" si="20"/>
        <v>0</v>
      </c>
      <c r="C97" s="86">
        <f t="shared" si="20"/>
        <v>0</v>
      </c>
      <c r="D97" s="86">
        <f t="shared" si="20"/>
        <v>0</v>
      </c>
      <c r="E97" s="86">
        <f t="shared" si="20"/>
        <v>0</v>
      </c>
      <c r="F97" s="86">
        <f t="shared" si="20"/>
        <v>0</v>
      </c>
      <c r="G97" s="86">
        <f t="shared" si="20"/>
        <v>0</v>
      </c>
      <c r="H97" s="86">
        <f t="shared" si="20"/>
        <v>2.1000000000000001E-2</v>
      </c>
      <c r="I97" s="86">
        <f t="shared" si="20"/>
        <v>0</v>
      </c>
      <c r="J97" s="86">
        <f t="shared" si="20"/>
        <v>0</v>
      </c>
      <c r="K97" s="86">
        <f t="shared" si="20"/>
        <v>0</v>
      </c>
      <c r="L97" s="86">
        <f t="shared" si="20"/>
        <v>0</v>
      </c>
      <c r="M97" s="86">
        <f t="shared" si="20"/>
        <v>0</v>
      </c>
      <c r="N97" s="86">
        <f t="shared" si="21"/>
        <v>2.1000000000000001E-2</v>
      </c>
      <c r="O97" s="27"/>
      <c r="P97" s="87">
        <f t="shared" si="22"/>
        <v>0</v>
      </c>
      <c r="Q97" s="87">
        <f t="shared" si="23"/>
        <v>0</v>
      </c>
      <c r="R97" s="87">
        <f t="shared" si="24"/>
        <v>2.1000000000000001E-2</v>
      </c>
      <c r="S97" s="87">
        <f t="shared" si="25"/>
        <v>0</v>
      </c>
    </row>
    <row r="98" spans="1:19" ht="16.5" hidden="1">
      <c r="A98" s="81" t="s">
        <v>62</v>
      </c>
      <c r="B98" s="86">
        <f t="shared" si="20"/>
        <v>0</v>
      </c>
      <c r="C98" s="86">
        <f t="shared" si="20"/>
        <v>0</v>
      </c>
      <c r="D98" s="86">
        <f t="shared" si="20"/>
        <v>0</v>
      </c>
      <c r="E98" s="86">
        <f t="shared" si="20"/>
        <v>0</v>
      </c>
      <c r="F98" s="86">
        <f t="shared" si="20"/>
        <v>0</v>
      </c>
      <c r="G98" s="86">
        <f t="shared" si="20"/>
        <v>2E-3</v>
      </c>
      <c r="H98" s="86">
        <f t="shared" si="20"/>
        <v>1E-3</v>
      </c>
      <c r="I98" s="86">
        <f t="shared" si="20"/>
        <v>0</v>
      </c>
      <c r="J98" s="86">
        <f t="shared" si="20"/>
        <v>0</v>
      </c>
      <c r="K98" s="86">
        <f t="shared" si="20"/>
        <v>0</v>
      </c>
      <c r="L98" s="86">
        <f t="shared" si="20"/>
        <v>0</v>
      </c>
      <c r="M98" s="86">
        <f t="shared" si="20"/>
        <v>0</v>
      </c>
      <c r="N98" s="86">
        <f t="shared" si="21"/>
        <v>3.0000000000000001E-3</v>
      </c>
      <c r="O98" s="27"/>
      <c r="P98" s="87">
        <f t="shared" si="22"/>
        <v>0</v>
      </c>
      <c r="Q98" s="87">
        <f t="shared" si="23"/>
        <v>2E-3</v>
      </c>
      <c r="R98" s="87">
        <f t="shared" si="24"/>
        <v>1E-3</v>
      </c>
      <c r="S98" s="87">
        <f t="shared" si="25"/>
        <v>0</v>
      </c>
    </row>
    <row r="99" spans="1:19" ht="16.5" hidden="1">
      <c r="A99" s="81" t="s">
        <v>63</v>
      </c>
      <c r="B99" s="86">
        <f t="shared" si="20"/>
        <v>0</v>
      </c>
      <c r="C99" s="86">
        <f t="shared" si="20"/>
        <v>0</v>
      </c>
      <c r="D99" s="86">
        <f t="shared" si="20"/>
        <v>0</v>
      </c>
      <c r="E99" s="86">
        <f t="shared" si="20"/>
        <v>0</v>
      </c>
      <c r="F99" s="86">
        <f t="shared" si="20"/>
        <v>0</v>
      </c>
      <c r="G99" s="86">
        <f t="shared" si="20"/>
        <v>0</v>
      </c>
      <c r="H99" s="86">
        <f t="shared" si="20"/>
        <v>1.2E-2</v>
      </c>
      <c r="I99" s="86">
        <f t="shared" si="20"/>
        <v>2E-3</v>
      </c>
      <c r="J99" s="86">
        <f t="shared" si="20"/>
        <v>0</v>
      </c>
      <c r="K99" s="86">
        <f t="shared" si="20"/>
        <v>0</v>
      </c>
      <c r="L99" s="86">
        <f t="shared" si="20"/>
        <v>0</v>
      </c>
      <c r="M99" s="86">
        <f t="shared" si="20"/>
        <v>1E-3</v>
      </c>
      <c r="N99" s="86">
        <f t="shared" si="21"/>
        <v>1.4999999999999999E-2</v>
      </c>
      <c r="O99" s="27"/>
      <c r="P99" s="87">
        <f t="shared" si="22"/>
        <v>0</v>
      </c>
      <c r="Q99" s="87">
        <f t="shared" si="23"/>
        <v>0</v>
      </c>
      <c r="R99" s="87">
        <f t="shared" si="24"/>
        <v>1.4E-2</v>
      </c>
      <c r="S99" s="87">
        <f t="shared" si="25"/>
        <v>1E-3</v>
      </c>
    </row>
    <row r="100" spans="1:19" ht="16.5" hidden="1">
      <c r="A100" s="81" t="s">
        <v>64</v>
      </c>
      <c r="B100" s="86">
        <f t="shared" si="20"/>
        <v>0</v>
      </c>
      <c r="C100" s="86">
        <f t="shared" si="20"/>
        <v>0</v>
      </c>
      <c r="D100" s="86">
        <f t="shared" si="20"/>
        <v>0</v>
      </c>
      <c r="E100" s="86">
        <f t="shared" si="20"/>
        <v>0</v>
      </c>
      <c r="F100" s="86">
        <f t="shared" si="20"/>
        <v>6.0000000000000001E-3</v>
      </c>
      <c r="G100" s="86">
        <f t="shared" si="20"/>
        <v>1.4999999999999999E-2</v>
      </c>
      <c r="H100" s="86">
        <f t="shared" si="20"/>
        <v>1E-3</v>
      </c>
      <c r="I100" s="86">
        <f t="shared" si="20"/>
        <v>1.7000000000000001E-2</v>
      </c>
      <c r="J100" s="86">
        <f t="shared" si="20"/>
        <v>3.4000000000000002E-2</v>
      </c>
      <c r="K100" s="86">
        <f t="shared" si="20"/>
        <v>1.7999999999999999E-2</v>
      </c>
      <c r="L100" s="86">
        <f t="shared" si="20"/>
        <v>0</v>
      </c>
      <c r="M100" s="86">
        <f t="shared" si="20"/>
        <v>0.01</v>
      </c>
      <c r="N100" s="86">
        <f t="shared" si="21"/>
        <v>0.10100000000000001</v>
      </c>
      <c r="O100" s="27"/>
      <c r="P100" s="87">
        <f t="shared" si="22"/>
        <v>0</v>
      </c>
      <c r="Q100" s="87">
        <f t="shared" si="23"/>
        <v>2.0999999999999998E-2</v>
      </c>
      <c r="R100" s="87">
        <f t="shared" si="24"/>
        <v>5.2000000000000005E-2</v>
      </c>
      <c r="S100" s="87">
        <f t="shared" si="25"/>
        <v>2.7999999999999997E-2</v>
      </c>
    </row>
    <row r="101" spans="1:19" ht="16.5" hidden="1">
      <c r="A101" s="83" t="s">
        <v>65</v>
      </c>
      <c r="B101" s="86">
        <f t="shared" si="20"/>
        <v>0</v>
      </c>
      <c r="C101" s="86">
        <f t="shared" si="20"/>
        <v>0</v>
      </c>
      <c r="D101" s="86">
        <f t="shared" si="20"/>
        <v>8.0000000000000002E-3</v>
      </c>
      <c r="E101" s="86">
        <f t="shared" si="20"/>
        <v>0</v>
      </c>
      <c r="F101" s="86">
        <f t="shared" si="20"/>
        <v>0</v>
      </c>
      <c r="G101" s="86">
        <f t="shared" si="20"/>
        <v>3.2000000000000001E-2</v>
      </c>
      <c r="H101" s="86">
        <f t="shared" si="20"/>
        <v>1E-3</v>
      </c>
      <c r="I101" s="86">
        <f t="shared" si="20"/>
        <v>1E-3</v>
      </c>
      <c r="J101" s="86">
        <f t="shared" si="20"/>
        <v>0</v>
      </c>
      <c r="K101" s="86">
        <f t="shared" si="20"/>
        <v>0</v>
      </c>
      <c r="L101" s="86">
        <f t="shared" si="20"/>
        <v>0</v>
      </c>
      <c r="M101" s="86">
        <f t="shared" si="20"/>
        <v>0</v>
      </c>
      <c r="N101" s="86">
        <f t="shared" si="21"/>
        <v>4.2000000000000003E-2</v>
      </c>
      <c r="O101" s="27"/>
      <c r="P101" s="87">
        <f t="shared" si="22"/>
        <v>8.0000000000000002E-3</v>
      </c>
      <c r="Q101" s="87">
        <f t="shared" si="23"/>
        <v>3.2000000000000001E-2</v>
      </c>
      <c r="R101" s="87">
        <f t="shared" si="24"/>
        <v>2E-3</v>
      </c>
      <c r="S101" s="87">
        <f t="shared" si="25"/>
        <v>0</v>
      </c>
    </row>
    <row r="102" spans="1:19" ht="16.5" hidden="1">
      <c r="A102" s="83" t="s">
        <v>66</v>
      </c>
      <c r="B102" s="86">
        <f t="shared" si="20"/>
        <v>0</v>
      </c>
      <c r="C102" s="86">
        <f t="shared" si="20"/>
        <v>0</v>
      </c>
      <c r="D102" s="86">
        <f t="shared" si="20"/>
        <v>0.01</v>
      </c>
      <c r="E102" s="86">
        <f t="shared" si="20"/>
        <v>0</v>
      </c>
      <c r="F102" s="86">
        <f t="shared" si="20"/>
        <v>0.02</v>
      </c>
      <c r="G102" s="86">
        <f t="shared" si="20"/>
        <v>1E-3</v>
      </c>
      <c r="H102" s="86">
        <f t="shared" si="20"/>
        <v>3.6999999999999998E-2</v>
      </c>
      <c r="I102" s="86">
        <f t="shared" si="20"/>
        <v>5.8000000000000003E-2</v>
      </c>
      <c r="J102" s="86">
        <f t="shared" si="20"/>
        <v>7.1999999999999995E-2</v>
      </c>
      <c r="K102" s="86">
        <f t="shared" si="20"/>
        <v>2.4E-2</v>
      </c>
      <c r="L102" s="86">
        <f t="shared" si="20"/>
        <v>0</v>
      </c>
      <c r="M102" s="86">
        <f t="shared" si="20"/>
        <v>0</v>
      </c>
      <c r="N102" s="86">
        <f t="shared" si="21"/>
        <v>0.222</v>
      </c>
      <c r="O102" s="27"/>
      <c r="P102" s="87">
        <f t="shared" si="22"/>
        <v>0.01</v>
      </c>
      <c r="Q102" s="87">
        <f t="shared" si="23"/>
        <v>2.1000000000000001E-2</v>
      </c>
      <c r="R102" s="87">
        <f t="shared" si="24"/>
        <v>0.16699999999999998</v>
      </c>
      <c r="S102" s="87">
        <f t="shared" si="25"/>
        <v>2.4E-2</v>
      </c>
    </row>
    <row r="103" spans="1:19" ht="16.5" hidden="1">
      <c r="A103" s="84" t="s">
        <v>67</v>
      </c>
      <c r="B103" s="86">
        <f t="shared" si="20"/>
        <v>0</v>
      </c>
      <c r="C103" s="86">
        <f t="shared" si="20"/>
        <v>7.0000000000000001E-3</v>
      </c>
      <c r="D103" s="86">
        <f t="shared" si="20"/>
        <v>0</v>
      </c>
      <c r="E103" s="86">
        <f t="shared" si="20"/>
        <v>0</v>
      </c>
      <c r="F103" s="86">
        <f t="shared" si="20"/>
        <v>0</v>
      </c>
      <c r="G103" s="86">
        <f t="shared" si="20"/>
        <v>0.11799999999999999</v>
      </c>
      <c r="H103" s="86">
        <f t="shared" si="20"/>
        <v>0</v>
      </c>
      <c r="I103" s="86">
        <f t="shared" si="20"/>
        <v>0</v>
      </c>
      <c r="J103" s="86">
        <f t="shared" si="20"/>
        <v>0</v>
      </c>
      <c r="K103" s="86">
        <f t="shared" si="20"/>
        <v>0</v>
      </c>
      <c r="L103" s="86">
        <f t="shared" si="20"/>
        <v>0</v>
      </c>
      <c r="M103" s="86">
        <f t="shared" si="20"/>
        <v>0</v>
      </c>
      <c r="N103" s="86">
        <f t="shared" si="21"/>
        <v>0.125</v>
      </c>
      <c r="O103" s="27"/>
      <c r="P103" s="87">
        <f t="shared" si="22"/>
        <v>7.0000000000000001E-3</v>
      </c>
      <c r="Q103" s="87">
        <f t="shared" si="23"/>
        <v>0.11799999999999999</v>
      </c>
      <c r="R103" s="87">
        <f t="shared" si="24"/>
        <v>0</v>
      </c>
      <c r="S103" s="87">
        <f t="shared" si="25"/>
        <v>0</v>
      </c>
    </row>
    <row r="104" spans="1:19" ht="16.5" hidden="1">
      <c r="A104" s="83" t="s">
        <v>68</v>
      </c>
      <c r="B104" s="86">
        <f t="shared" si="20"/>
        <v>1.7999999999999999E-2</v>
      </c>
      <c r="C104" s="86">
        <f t="shared" si="20"/>
        <v>0</v>
      </c>
      <c r="D104" s="86">
        <f t="shared" si="20"/>
        <v>0</v>
      </c>
      <c r="E104" s="86">
        <f t="shared" si="20"/>
        <v>0</v>
      </c>
      <c r="F104" s="86">
        <f t="shared" si="20"/>
        <v>0.01</v>
      </c>
      <c r="G104" s="86">
        <f t="shared" si="20"/>
        <v>0</v>
      </c>
      <c r="H104" s="86">
        <f t="shared" si="20"/>
        <v>0.13600000000000001</v>
      </c>
      <c r="I104" s="86">
        <f t="shared" si="20"/>
        <v>0</v>
      </c>
      <c r="J104" s="86">
        <f t="shared" si="20"/>
        <v>0</v>
      </c>
      <c r="K104" s="86">
        <f t="shared" si="20"/>
        <v>0</v>
      </c>
      <c r="L104" s="86">
        <f t="shared" si="20"/>
        <v>0</v>
      </c>
      <c r="M104" s="86">
        <f t="shared" si="20"/>
        <v>0</v>
      </c>
      <c r="N104" s="86">
        <f t="shared" si="21"/>
        <v>0.16400000000000001</v>
      </c>
      <c r="O104" s="27"/>
      <c r="P104" s="87">
        <f t="shared" si="22"/>
        <v>1.7999999999999999E-2</v>
      </c>
      <c r="Q104" s="87">
        <f t="shared" si="23"/>
        <v>0.01</v>
      </c>
      <c r="R104" s="87">
        <f t="shared" si="24"/>
        <v>0.13600000000000001</v>
      </c>
      <c r="S104" s="87">
        <f t="shared" si="25"/>
        <v>0</v>
      </c>
    </row>
    <row r="105" spans="1:19" ht="16.5" hidden="1">
      <c r="A105" s="84" t="s">
        <v>69</v>
      </c>
      <c r="B105" s="86">
        <f t="shared" si="20"/>
        <v>0</v>
      </c>
      <c r="C105" s="86">
        <f t="shared" si="20"/>
        <v>0</v>
      </c>
      <c r="D105" s="86">
        <f t="shared" si="20"/>
        <v>0</v>
      </c>
      <c r="E105" s="86">
        <f t="shared" si="20"/>
        <v>0</v>
      </c>
      <c r="F105" s="86">
        <f t="shared" si="20"/>
        <v>0</v>
      </c>
      <c r="G105" s="86">
        <f t="shared" si="20"/>
        <v>3.5999999999999997E-2</v>
      </c>
      <c r="H105" s="86">
        <f t="shared" si="20"/>
        <v>0.09</v>
      </c>
      <c r="I105" s="86">
        <f t="shared" si="20"/>
        <v>0</v>
      </c>
      <c r="J105" s="86">
        <f t="shared" si="20"/>
        <v>0</v>
      </c>
      <c r="K105" s="86">
        <f t="shared" si="20"/>
        <v>0</v>
      </c>
      <c r="L105" s="86">
        <f t="shared" si="20"/>
        <v>0</v>
      </c>
      <c r="M105" s="86">
        <f t="shared" si="20"/>
        <v>0</v>
      </c>
      <c r="N105" s="86">
        <f t="shared" si="21"/>
        <v>0.126</v>
      </c>
      <c r="O105" s="27"/>
      <c r="P105" s="87">
        <f t="shared" si="22"/>
        <v>0</v>
      </c>
      <c r="Q105" s="87">
        <f t="shared" si="23"/>
        <v>3.5999999999999997E-2</v>
      </c>
      <c r="R105" s="87">
        <f t="shared" si="24"/>
        <v>0.09</v>
      </c>
      <c r="S105" s="87">
        <f t="shared" si="25"/>
        <v>0</v>
      </c>
    </row>
    <row r="106" spans="1:19" ht="16.5" hidden="1">
      <c r="A106" s="84" t="s">
        <v>70</v>
      </c>
      <c r="B106" s="86">
        <f t="shared" si="20"/>
        <v>0</v>
      </c>
      <c r="C106" s="86">
        <f t="shared" si="20"/>
        <v>0.01</v>
      </c>
      <c r="D106" s="86">
        <f t="shared" si="20"/>
        <v>2E-3</v>
      </c>
      <c r="E106" s="86">
        <f t="shared" si="20"/>
        <v>1E-3</v>
      </c>
      <c r="F106" s="86">
        <f t="shared" si="20"/>
        <v>0</v>
      </c>
      <c r="G106" s="86">
        <f t="shared" si="20"/>
        <v>5.6000000000000001E-2</v>
      </c>
      <c r="H106" s="86">
        <f t="shared" si="20"/>
        <v>3.0000000000000001E-3</v>
      </c>
      <c r="I106" s="86">
        <f t="shared" si="20"/>
        <v>0</v>
      </c>
      <c r="J106" s="86">
        <f t="shared" si="20"/>
        <v>1.2999999999999999E-2</v>
      </c>
      <c r="K106" s="86">
        <f t="shared" si="20"/>
        <v>1.7999999999999999E-2</v>
      </c>
      <c r="L106" s="86">
        <f t="shared" si="20"/>
        <v>0</v>
      </c>
      <c r="M106" s="86">
        <f t="shared" si="20"/>
        <v>0</v>
      </c>
      <c r="N106" s="86">
        <f t="shared" si="21"/>
        <v>0.10300000000000001</v>
      </c>
      <c r="O106" s="27"/>
      <c r="P106" s="87">
        <f t="shared" si="22"/>
        <v>1.2E-2</v>
      </c>
      <c r="Q106" s="87">
        <f t="shared" si="23"/>
        <v>5.7000000000000002E-2</v>
      </c>
      <c r="R106" s="87">
        <f t="shared" si="24"/>
        <v>1.6E-2</v>
      </c>
      <c r="S106" s="87">
        <f t="shared" si="25"/>
        <v>1.7999999999999999E-2</v>
      </c>
    </row>
    <row r="107" spans="1:19" ht="16.5" hidden="1">
      <c r="A107" s="83" t="s">
        <v>71</v>
      </c>
      <c r="B107" s="86">
        <f t="shared" si="20"/>
        <v>0</v>
      </c>
      <c r="C107" s="86">
        <f t="shared" si="20"/>
        <v>2.9000000000000001E-2</v>
      </c>
      <c r="D107" s="86">
        <f t="shared" si="20"/>
        <v>0</v>
      </c>
      <c r="E107" s="86">
        <f t="shared" si="20"/>
        <v>0</v>
      </c>
      <c r="F107" s="86">
        <f t="shared" si="20"/>
        <v>4.7E-2</v>
      </c>
      <c r="G107" s="86">
        <f t="shared" si="20"/>
        <v>0.24199999999999999</v>
      </c>
      <c r="H107" s="86">
        <f t="shared" si="20"/>
        <v>1E-3</v>
      </c>
      <c r="I107" s="86">
        <f t="shared" si="20"/>
        <v>4.0000000000000001E-3</v>
      </c>
      <c r="J107" s="86">
        <f t="shared" si="20"/>
        <v>0</v>
      </c>
      <c r="K107" s="86">
        <f t="shared" si="20"/>
        <v>1.7999999999999999E-2</v>
      </c>
      <c r="L107" s="86">
        <f t="shared" si="20"/>
        <v>0</v>
      </c>
      <c r="M107" s="86">
        <f t="shared" si="20"/>
        <v>0</v>
      </c>
      <c r="N107" s="86">
        <f t="shared" si="21"/>
        <v>0.34100000000000003</v>
      </c>
      <c r="O107" s="27"/>
      <c r="P107" s="87">
        <f t="shared" si="22"/>
        <v>2.9000000000000001E-2</v>
      </c>
      <c r="Q107" s="87">
        <f t="shared" si="23"/>
        <v>0.28899999999999998</v>
      </c>
      <c r="R107" s="87">
        <f t="shared" si="24"/>
        <v>5.0000000000000001E-3</v>
      </c>
      <c r="S107" s="87">
        <f t="shared" si="25"/>
        <v>1.7999999999999999E-2</v>
      </c>
    </row>
    <row r="108" spans="1:19" ht="16.5" hidden="1">
      <c r="A108" s="84" t="s">
        <v>72</v>
      </c>
      <c r="B108" s="86">
        <f t="shared" si="20"/>
        <v>0</v>
      </c>
      <c r="C108" s="86">
        <f t="shared" si="20"/>
        <v>1E-3</v>
      </c>
      <c r="D108" s="86">
        <f t="shared" si="20"/>
        <v>0</v>
      </c>
      <c r="E108" s="86">
        <f t="shared" si="20"/>
        <v>0</v>
      </c>
      <c r="F108" s="86">
        <f t="shared" si="20"/>
        <v>3.7999999999999999E-2</v>
      </c>
      <c r="G108" s="86">
        <f t="shared" si="20"/>
        <v>6.0000000000000001E-3</v>
      </c>
      <c r="H108" s="86">
        <f t="shared" si="20"/>
        <v>1.2999999999999999E-2</v>
      </c>
      <c r="I108" s="86">
        <f t="shared" si="20"/>
        <v>1E-3</v>
      </c>
      <c r="J108" s="86">
        <f t="shared" si="20"/>
        <v>1E-3</v>
      </c>
      <c r="K108" s="86">
        <f t="shared" si="20"/>
        <v>0</v>
      </c>
      <c r="L108" s="86">
        <f t="shared" si="20"/>
        <v>2E-3</v>
      </c>
      <c r="M108" s="86">
        <f t="shared" si="20"/>
        <v>0</v>
      </c>
      <c r="N108" s="86">
        <f t="shared" si="21"/>
        <v>6.2E-2</v>
      </c>
      <c r="O108" s="27"/>
      <c r="P108" s="87">
        <f t="shared" si="22"/>
        <v>1E-3</v>
      </c>
      <c r="Q108" s="87">
        <f t="shared" si="23"/>
        <v>4.3999999999999997E-2</v>
      </c>
      <c r="R108" s="87">
        <f t="shared" si="24"/>
        <v>1.4999999999999999E-2</v>
      </c>
      <c r="S108" s="87">
        <f t="shared" si="25"/>
        <v>2E-3</v>
      </c>
    </row>
    <row r="109" spans="1:19" ht="16.5" hidden="1">
      <c r="A109" s="83" t="s">
        <v>73</v>
      </c>
      <c r="B109" s="86">
        <f t="shared" ref="B109:M118" si="26">SUM(B22,B51,B80)</f>
        <v>0</v>
      </c>
      <c r="C109" s="86">
        <f t="shared" si="26"/>
        <v>0</v>
      </c>
      <c r="D109" s="86">
        <f t="shared" si="26"/>
        <v>4.1000000000000002E-2</v>
      </c>
      <c r="E109" s="86">
        <f t="shared" si="26"/>
        <v>0</v>
      </c>
      <c r="F109" s="86">
        <f t="shared" si="26"/>
        <v>0</v>
      </c>
      <c r="G109" s="86">
        <f t="shared" si="26"/>
        <v>8.9999999999999993E-3</v>
      </c>
      <c r="H109" s="86">
        <f t="shared" si="26"/>
        <v>0</v>
      </c>
      <c r="I109" s="86">
        <f t="shared" si="26"/>
        <v>0</v>
      </c>
      <c r="J109" s="86">
        <f t="shared" si="26"/>
        <v>2.1999999999999999E-2</v>
      </c>
      <c r="K109" s="86">
        <f t="shared" si="26"/>
        <v>0</v>
      </c>
      <c r="L109" s="86">
        <f t="shared" si="26"/>
        <v>0</v>
      </c>
      <c r="M109" s="86">
        <f t="shared" si="26"/>
        <v>0</v>
      </c>
      <c r="N109" s="86">
        <f t="shared" si="21"/>
        <v>7.2000000000000008E-2</v>
      </c>
      <c r="O109" s="27"/>
      <c r="P109" s="87">
        <f t="shared" si="22"/>
        <v>4.1000000000000002E-2</v>
      </c>
      <c r="Q109" s="87">
        <f t="shared" si="23"/>
        <v>8.9999999999999993E-3</v>
      </c>
      <c r="R109" s="87">
        <f t="shared" si="24"/>
        <v>2.1999999999999999E-2</v>
      </c>
      <c r="S109" s="87">
        <f t="shared" si="25"/>
        <v>0</v>
      </c>
    </row>
    <row r="110" spans="1:19" ht="16.5" hidden="1">
      <c r="A110" s="83" t="s">
        <v>74</v>
      </c>
      <c r="B110" s="86">
        <f t="shared" si="26"/>
        <v>0</v>
      </c>
      <c r="C110" s="86">
        <f t="shared" si="26"/>
        <v>0</v>
      </c>
      <c r="D110" s="86">
        <f t="shared" si="26"/>
        <v>0</v>
      </c>
      <c r="E110" s="86">
        <f t="shared" si="26"/>
        <v>0.02</v>
      </c>
      <c r="F110" s="86">
        <f t="shared" si="26"/>
        <v>0</v>
      </c>
      <c r="G110" s="86">
        <f t="shared" si="26"/>
        <v>1E-3</v>
      </c>
      <c r="H110" s="86">
        <f t="shared" si="26"/>
        <v>1.0999999999999999E-2</v>
      </c>
      <c r="I110" s="86">
        <f t="shared" si="26"/>
        <v>0</v>
      </c>
      <c r="J110" s="86">
        <f t="shared" si="26"/>
        <v>0</v>
      </c>
      <c r="K110" s="86">
        <f t="shared" si="26"/>
        <v>6.0000000000000001E-3</v>
      </c>
      <c r="L110" s="86">
        <f t="shared" si="26"/>
        <v>0</v>
      </c>
      <c r="M110" s="86">
        <f t="shared" si="26"/>
        <v>0</v>
      </c>
      <c r="N110" s="86">
        <f t="shared" si="21"/>
        <v>3.7999999999999999E-2</v>
      </c>
      <c r="O110" s="27"/>
      <c r="P110" s="87">
        <f t="shared" si="22"/>
        <v>0</v>
      </c>
      <c r="Q110" s="87">
        <f t="shared" si="23"/>
        <v>2.1000000000000001E-2</v>
      </c>
      <c r="R110" s="87">
        <f t="shared" si="24"/>
        <v>1.0999999999999999E-2</v>
      </c>
      <c r="S110" s="87">
        <f t="shared" si="25"/>
        <v>6.0000000000000001E-3</v>
      </c>
    </row>
    <row r="111" spans="1:19" ht="16.5" hidden="1">
      <c r="A111" s="83" t="s">
        <v>75</v>
      </c>
      <c r="B111" s="86">
        <f t="shared" si="26"/>
        <v>1.7999999999999999E-2</v>
      </c>
      <c r="C111" s="86">
        <f t="shared" si="26"/>
        <v>0.36499999999999999</v>
      </c>
      <c r="D111" s="86">
        <f t="shared" si="26"/>
        <v>0.11</v>
      </c>
      <c r="E111" s="86">
        <f t="shared" si="26"/>
        <v>0.23399999999999999</v>
      </c>
      <c r="F111" s="86">
        <f t="shared" si="26"/>
        <v>0</v>
      </c>
      <c r="G111" s="86">
        <f t="shared" si="26"/>
        <v>0</v>
      </c>
      <c r="H111" s="86">
        <f t="shared" si="26"/>
        <v>8.0000000000000002E-3</v>
      </c>
      <c r="I111" s="86">
        <f t="shared" si="26"/>
        <v>7.2999999999999995E-2</v>
      </c>
      <c r="J111" s="86">
        <f t="shared" si="26"/>
        <v>0</v>
      </c>
      <c r="K111" s="86">
        <f t="shared" si="26"/>
        <v>1E-3</v>
      </c>
      <c r="L111" s="86">
        <f t="shared" si="26"/>
        <v>0</v>
      </c>
      <c r="M111" s="86">
        <f t="shared" si="26"/>
        <v>5.0000000000000001E-3</v>
      </c>
      <c r="N111" s="86">
        <f t="shared" si="21"/>
        <v>0.81399999999999995</v>
      </c>
      <c r="O111" s="27"/>
      <c r="P111" s="87">
        <f t="shared" si="22"/>
        <v>0.49299999999999999</v>
      </c>
      <c r="Q111" s="87">
        <f t="shared" si="23"/>
        <v>0.23399999999999999</v>
      </c>
      <c r="R111" s="87">
        <f t="shared" si="24"/>
        <v>8.0999999999999989E-2</v>
      </c>
      <c r="S111" s="87">
        <f t="shared" si="25"/>
        <v>6.0000000000000001E-3</v>
      </c>
    </row>
    <row r="112" spans="1:19" ht="16.5" hidden="1">
      <c r="A112" s="83" t="s">
        <v>76</v>
      </c>
      <c r="B112" s="86">
        <f t="shared" si="26"/>
        <v>2.5999999999999999E-2</v>
      </c>
      <c r="C112" s="86">
        <f t="shared" si="26"/>
        <v>0</v>
      </c>
      <c r="D112" s="86">
        <f t="shared" si="26"/>
        <v>0</v>
      </c>
      <c r="E112" s="86">
        <f t="shared" si="26"/>
        <v>0</v>
      </c>
      <c r="F112" s="86">
        <f t="shared" si="26"/>
        <v>0</v>
      </c>
      <c r="G112" s="86">
        <f t="shared" si="26"/>
        <v>0.02</v>
      </c>
      <c r="H112" s="86">
        <f t="shared" si="26"/>
        <v>3.0000000000000001E-3</v>
      </c>
      <c r="I112" s="86">
        <f t="shared" si="26"/>
        <v>0</v>
      </c>
      <c r="J112" s="86">
        <f t="shared" si="26"/>
        <v>0</v>
      </c>
      <c r="K112" s="86">
        <f t="shared" si="26"/>
        <v>0</v>
      </c>
      <c r="L112" s="86">
        <f t="shared" si="26"/>
        <v>0</v>
      </c>
      <c r="M112" s="86">
        <f t="shared" si="26"/>
        <v>0</v>
      </c>
      <c r="N112" s="86">
        <f t="shared" si="21"/>
        <v>4.9000000000000002E-2</v>
      </c>
      <c r="O112" s="27"/>
      <c r="P112" s="87">
        <f>SUM(B112:D112)</f>
        <v>2.5999999999999999E-2</v>
      </c>
      <c r="Q112" s="87">
        <f t="shared" si="23"/>
        <v>0.02</v>
      </c>
      <c r="R112" s="87">
        <f t="shared" si="24"/>
        <v>3.0000000000000001E-3</v>
      </c>
      <c r="S112" s="87">
        <f t="shared" si="25"/>
        <v>0</v>
      </c>
    </row>
    <row r="113" spans="1:19" ht="16.5" hidden="1">
      <c r="A113" s="83" t="s">
        <v>77</v>
      </c>
      <c r="B113" s="86">
        <f t="shared" si="26"/>
        <v>0</v>
      </c>
      <c r="C113" s="86">
        <f t="shared" si="26"/>
        <v>0</v>
      </c>
      <c r="D113" s="86">
        <f t="shared" si="26"/>
        <v>0</v>
      </c>
      <c r="E113" s="86">
        <f t="shared" si="26"/>
        <v>2.4E-2</v>
      </c>
      <c r="F113" s="86">
        <f t="shared" si="26"/>
        <v>3.0000000000000001E-3</v>
      </c>
      <c r="G113" s="86">
        <f t="shared" si="26"/>
        <v>8.0000000000000002E-3</v>
      </c>
      <c r="H113" s="86">
        <f t="shared" si="26"/>
        <v>1E-3</v>
      </c>
      <c r="I113" s="86">
        <f t="shared" si="26"/>
        <v>0</v>
      </c>
      <c r="J113" s="86">
        <f t="shared" si="26"/>
        <v>0</v>
      </c>
      <c r="K113" s="86">
        <f t="shared" si="26"/>
        <v>0</v>
      </c>
      <c r="L113" s="86">
        <f t="shared" si="26"/>
        <v>0</v>
      </c>
      <c r="M113" s="86">
        <f t="shared" si="26"/>
        <v>3.2000000000000001E-2</v>
      </c>
      <c r="N113" s="86">
        <f t="shared" si="21"/>
        <v>6.8000000000000005E-2</v>
      </c>
      <c r="O113" s="27"/>
      <c r="P113" s="87">
        <f t="shared" ref="P113:P118" si="27">SUM(B113:D113)</f>
        <v>0</v>
      </c>
      <c r="Q113" s="87">
        <f t="shared" si="23"/>
        <v>3.5000000000000003E-2</v>
      </c>
      <c r="R113" s="87">
        <f t="shared" si="24"/>
        <v>1E-3</v>
      </c>
      <c r="S113" s="87">
        <f t="shared" si="25"/>
        <v>3.2000000000000001E-2</v>
      </c>
    </row>
    <row r="114" spans="1:19" ht="16.5" hidden="1">
      <c r="A114" s="83" t="s">
        <v>78</v>
      </c>
      <c r="B114" s="86">
        <f t="shared" si="26"/>
        <v>0</v>
      </c>
      <c r="C114" s="86">
        <f t="shared" si="26"/>
        <v>0</v>
      </c>
      <c r="D114" s="86">
        <f t="shared" si="26"/>
        <v>1.7999999999999999E-2</v>
      </c>
      <c r="E114" s="86">
        <f t="shared" si="26"/>
        <v>0</v>
      </c>
      <c r="F114" s="86">
        <f t="shared" si="26"/>
        <v>0.01</v>
      </c>
      <c r="G114" s="86">
        <f t="shared" si="26"/>
        <v>0.01</v>
      </c>
      <c r="H114" s="86">
        <f t="shared" si="26"/>
        <v>1.0999999999999999E-2</v>
      </c>
      <c r="I114" s="86">
        <f t="shared" si="26"/>
        <v>0</v>
      </c>
      <c r="J114" s="86">
        <f t="shared" si="26"/>
        <v>0</v>
      </c>
      <c r="K114" s="86">
        <f t="shared" si="26"/>
        <v>0.223</v>
      </c>
      <c r="L114" s="86">
        <f t="shared" si="26"/>
        <v>0</v>
      </c>
      <c r="M114" s="86">
        <f t="shared" si="26"/>
        <v>0</v>
      </c>
      <c r="N114" s="86">
        <f t="shared" si="21"/>
        <v>0.27200000000000002</v>
      </c>
      <c r="O114" s="27"/>
      <c r="P114" s="87">
        <f t="shared" si="27"/>
        <v>1.7999999999999999E-2</v>
      </c>
      <c r="Q114" s="87">
        <f t="shared" si="23"/>
        <v>0.02</v>
      </c>
      <c r="R114" s="87">
        <f t="shared" si="24"/>
        <v>1.0999999999999999E-2</v>
      </c>
      <c r="S114" s="87">
        <f t="shared" si="25"/>
        <v>0.223</v>
      </c>
    </row>
    <row r="115" spans="1:19" ht="16.5" hidden="1">
      <c r="A115" s="83" t="s">
        <v>79</v>
      </c>
      <c r="B115" s="86">
        <f t="shared" si="26"/>
        <v>6.3E-2</v>
      </c>
      <c r="C115" s="86">
        <f t="shared" si="26"/>
        <v>2.002E-2</v>
      </c>
      <c r="D115" s="86">
        <f t="shared" si="26"/>
        <v>2.002E-2</v>
      </c>
      <c r="E115" s="86">
        <f t="shared" si="26"/>
        <v>0.53746000000000005</v>
      </c>
      <c r="F115" s="86">
        <f t="shared" si="26"/>
        <v>0.38904</v>
      </c>
      <c r="G115" s="86">
        <f t="shared" si="26"/>
        <v>0.93553500000000001</v>
      </c>
      <c r="H115" s="86">
        <f>SUM(H28,H57,H86)</f>
        <v>0.32600000000000001</v>
      </c>
      <c r="I115" s="86">
        <f t="shared" si="26"/>
        <v>0.11950000000000001</v>
      </c>
      <c r="J115" s="86">
        <f t="shared" si="26"/>
        <v>0.217</v>
      </c>
      <c r="K115" s="86">
        <f t="shared" si="26"/>
        <v>0</v>
      </c>
      <c r="L115" s="86">
        <f t="shared" si="26"/>
        <v>0</v>
      </c>
      <c r="M115" s="86">
        <f t="shared" si="26"/>
        <v>0</v>
      </c>
      <c r="N115" s="86">
        <f t="shared" si="21"/>
        <v>2.6275750000000002</v>
      </c>
      <c r="O115" s="27"/>
      <c r="P115" s="87">
        <f t="shared" si="27"/>
        <v>0.10303999999999999</v>
      </c>
      <c r="Q115" s="87">
        <f t="shared" si="23"/>
        <v>1.8620350000000001</v>
      </c>
      <c r="R115" s="87">
        <f t="shared" si="24"/>
        <v>0.66249999999999998</v>
      </c>
      <c r="S115" s="87">
        <f t="shared" si="25"/>
        <v>0</v>
      </c>
    </row>
    <row r="116" spans="1:19" ht="16.5">
      <c r="A116" s="85" t="s">
        <v>80</v>
      </c>
      <c r="B116" s="86">
        <f>SUM(B29,B58,B87)</f>
        <v>2E-3</v>
      </c>
      <c r="C116" s="86">
        <f t="shared" si="26"/>
        <v>0</v>
      </c>
      <c r="D116" s="86">
        <f t="shared" si="26"/>
        <v>2.6068290000000003</v>
      </c>
      <c r="E116" s="86">
        <f t="shared" si="26"/>
        <v>5.7008100000000006</v>
      </c>
      <c r="F116" s="86">
        <f t="shared" si="26"/>
        <v>4.7112400000000001</v>
      </c>
      <c r="G116" s="86">
        <f t="shared" si="26"/>
        <v>2.257139</v>
      </c>
      <c r="H116" s="86">
        <f t="shared" si="26"/>
        <v>2.328646</v>
      </c>
      <c r="I116" s="86">
        <f t="shared" si="26"/>
        <v>3.5612469999999998</v>
      </c>
      <c r="J116" s="86">
        <f t="shared" si="26"/>
        <v>3.9508389999999998</v>
      </c>
      <c r="K116" s="86">
        <f t="shared" si="26"/>
        <v>2.416185</v>
      </c>
      <c r="L116" s="86">
        <f t="shared" si="26"/>
        <v>0.55000000000000004</v>
      </c>
      <c r="M116" s="86">
        <f t="shared" si="26"/>
        <v>1.5579999999999998</v>
      </c>
      <c r="N116" s="86">
        <f t="shared" si="21"/>
        <v>29.642935000000001</v>
      </c>
      <c r="O116" s="27"/>
      <c r="P116" s="87">
        <f t="shared" si="27"/>
        <v>2.6088290000000001</v>
      </c>
      <c r="Q116" s="87">
        <f t="shared" si="23"/>
        <v>12.669189000000001</v>
      </c>
      <c r="R116" s="87">
        <f t="shared" si="24"/>
        <v>9.8407319999999991</v>
      </c>
      <c r="S116" s="87">
        <f t="shared" si="25"/>
        <v>4.5241850000000001</v>
      </c>
    </row>
    <row r="117" spans="1:19" ht="16.5">
      <c r="A117" s="85" t="s">
        <v>81</v>
      </c>
      <c r="B117" s="86">
        <f t="shared" si="26"/>
        <v>5.0647600000000006</v>
      </c>
      <c r="C117" s="86">
        <f t="shared" si="26"/>
        <v>11.388199999999998</v>
      </c>
      <c r="D117" s="86">
        <f t="shared" si="26"/>
        <v>21.736125999999999</v>
      </c>
      <c r="E117" s="86">
        <f t="shared" si="26"/>
        <v>18.749976999999998</v>
      </c>
      <c r="F117" s="86">
        <f t="shared" si="26"/>
        <v>8.9425899999999992</v>
      </c>
      <c r="G117" s="86">
        <f t="shared" si="26"/>
        <v>4.0521799999999999</v>
      </c>
      <c r="H117" s="86">
        <f t="shared" si="26"/>
        <v>5.7890830000000006</v>
      </c>
      <c r="I117" s="86">
        <f t="shared" si="26"/>
        <v>6.0957999999999997</v>
      </c>
      <c r="J117" s="86">
        <f t="shared" si="26"/>
        <v>7.1685249999999998</v>
      </c>
      <c r="K117" s="86">
        <f t="shared" si="26"/>
        <v>5.5789999999999997</v>
      </c>
      <c r="L117" s="86">
        <f t="shared" si="26"/>
        <v>7.6575000000000006</v>
      </c>
      <c r="M117" s="86">
        <f t="shared" si="26"/>
        <v>2.7090000000000001</v>
      </c>
      <c r="N117" s="86">
        <f t="shared" si="21"/>
        <v>104.93274099999999</v>
      </c>
      <c r="O117" s="27"/>
      <c r="P117" s="87">
        <f t="shared" si="27"/>
        <v>38.189085999999996</v>
      </c>
      <c r="Q117" s="87">
        <f t="shared" si="23"/>
        <v>31.744746999999997</v>
      </c>
      <c r="R117" s="87">
        <f t="shared" si="24"/>
        <v>19.053408000000001</v>
      </c>
      <c r="S117" s="87">
        <f t="shared" si="25"/>
        <v>15.945499999999999</v>
      </c>
    </row>
    <row r="118" spans="1:19" ht="17.25" thickBot="1">
      <c r="A118" s="88" t="s">
        <v>82</v>
      </c>
      <c r="B118" s="89">
        <f t="shared" si="26"/>
        <v>5.5320279999999995</v>
      </c>
      <c r="C118" s="89">
        <f t="shared" si="26"/>
        <v>10.59343</v>
      </c>
      <c r="D118" s="89">
        <f t="shared" si="26"/>
        <v>27.834523999999998</v>
      </c>
      <c r="E118" s="89">
        <f t="shared" si="26"/>
        <v>26.825322</v>
      </c>
      <c r="F118" s="89">
        <f t="shared" si="26"/>
        <v>13.608000000000001</v>
      </c>
      <c r="G118" s="89">
        <f t="shared" si="26"/>
        <v>3.9249999999999998</v>
      </c>
      <c r="H118" s="89">
        <f t="shared" si="26"/>
        <v>12.358000000000001</v>
      </c>
      <c r="I118" s="90">
        <f t="shared" si="26"/>
        <v>6.9511290561686714</v>
      </c>
      <c r="J118" s="90">
        <f t="shared" si="26"/>
        <v>10.772025580073814</v>
      </c>
      <c r="K118" s="90">
        <f t="shared" si="26"/>
        <v>8.917237063367109</v>
      </c>
      <c r="L118" s="90">
        <f t="shared" si="26"/>
        <v>11.581798257200179</v>
      </c>
      <c r="M118" s="90">
        <f>SUM(M31,M60,M89)</f>
        <v>-11.861189956809776</v>
      </c>
      <c r="N118" s="90">
        <f t="shared" si="21"/>
        <v>127.03730399999999</v>
      </c>
      <c r="O118" s="95"/>
      <c r="P118" s="92">
        <f t="shared" si="27"/>
        <v>43.959981999999997</v>
      </c>
      <c r="Q118" s="92">
        <f t="shared" si="23"/>
        <v>44.358322000000001</v>
      </c>
      <c r="R118" s="93">
        <f t="shared" si="24"/>
        <v>30.081154636242488</v>
      </c>
      <c r="S118" s="93">
        <f t="shared" si="25"/>
        <v>8.6378453637575117</v>
      </c>
    </row>
    <row r="119" spans="1:19" ht="16.5">
      <c r="A119" s="80" t="s">
        <v>87</v>
      </c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27"/>
      <c r="P119" s="87"/>
      <c r="Q119" s="87"/>
      <c r="R119" s="87"/>
      <c r="S119" s="87"/>
    </row>
    <row r="120" spans="1:19" ht="16.5" hidden="1">
      <c r="A120" s="96" t="s">
        <v>84</v>
      </c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27"/>
      <c r="P120" s="87"/>
      <c r="Q120" s="87"/>
      <c r="R120" s="87"/>
      <c r="S120" s="87"/>
    </row>
    <row r="121" spans="1:19" ht="16.5" hidden="1">
      <c r="A121" s="96" t="s">
        <v>56</v>
      </c>
      <c r="B121" s="86">
        <f>'[2]EU Sunflower Exports'!AQ$151</f>
        <v>0</v>
      </c>
      <c r="C121" s="86">
        <f>'[2]EU Sunflower Exports'!AR$151</f>
        <v>0</v>
      </c>
      <c r="D121" s="86">
        <f>'[2]EU Sunflower Exports'!AS$151</f>
        <v>0</v>
      </c>
      <c r="E121" s="86">
        <f>'[2]EU Sunflower Exports'!AT$151</f>
        <v>0</v>
      </c>
      <c r="F121" s="86">
        <f>'[2]EU Sunflower Exports'!AU$151</f>
        <v>0</v>
      </c>
      <c r="G121" s="86">
        <f>'[2]EU Sunflower Exports'!AV$151</f>
        <v>0</v>
      </c>
      <c r="H121" s="86">
        <f>'[2]EU Sunflower Exports'!AW$151</f>
        <v>0</v>
      </c>
      <c r="I121" s="86">
        <f>'[2]EU Sunflower Exports'!AX$151</f>
        <v>0</v>
      </c>
      <c r="J121" s="86">
        <f>'[2]EU Sunflower Exports'!AY$151</f>
        <v>0</v>
      </c>
      <c r="K121" s="86">
        <f>'[2]EU Sunflower Exports'!AZ$151</f>
        <v>0</v>
      </c>
      <c r="L121" s="86">
        <f>'[2]EU Sunflower Exports'!BA$151</f>
        <v>0</v>
      </c>
      <c r="M121" s="86">
        <f>'[2]EU Sunflower Exports'!BB$151</f>
        <v>0</v>
      </c>
      <c r="N121" s="86">
        <f>SUM(B121:M121)</f>
        <v>0</v>
      </c>
      <c r="O121" s="27"/>
      <c r="P121" s="87">
        <f>SUM(B121:D121)</f>
        <v>0</v>
      </c>
      <c r="Q121" s="87">
        <f>SUM(E121:G121)</f>
        <v>0</v>
      </c>
      <c r="R121" s="87">
        <f>SUM(H121:J121)</f>
        <v>0</v>
      </c>
      <c r="S121" s="87">
        <f>SUM(K121:M121)</f>
        <v>0</v>
      </c>
    </row>
    <row r="122" spans="1:19" ht="16.5" hidden="1">
      <c r="A122" s="96" t="s">
        <v>57</v>
      </c>
      <c r="B122" s="86">
        <f>'[2]EU Sunflower Exports'!BC$151</f>
        <v>0</v>
      </c>
      <c r="C122" s="86">
        <f>'[2]EU Sunflower Exports'!BD$151</f>
        <v>0</v>
      </c>
      <c r="D122" s="86">
        <f>'[2]EU Sunflower Exports'!BE$151</f>
        <v>0</v>
      </c>
      <c r="E122" s="86">
        <f>'[2]EU Sunflower Exports'!BF$151</f>
        <v>0</v>
      </c>
      <c r="F122" s="86">
        <f>'[2]EU Sunflower Exports'!BG$151</f>
        <v>0</v>
      </c>
      <c r="G122" s="86">
        <f>'[2]EU Sunflower Exports'!BH$151</f>
        <v>0</v>
      </c>
      <c r="H122" s="86">
        <f>'[2]EU Sunflower Exports'!BI$151</f>
        <v>0</v>
      </c>
      <c r="I122" s="86">
        <f>'[2]EU Sunflower Exports'!BJ$151</f>
        <v>0</v>
      </c>
      <c r="J122" s="86">
        <f>'[2]EU Sunflower Exports'!BK$151</f>
        <v>0</v>
      </c>
      <c r="K122" s="86">
        <f>'[2]EU Sunflower Exports'!BL$151</f>
        <v>0</v>
      </c>
      <c r="L122" s="86">
        <f>'[2]EU Sunflower Exports'!BM$151</f>
        <v>0</v>
      </c>
      <c r="M122" s="86">
        <f>'[2]EU Sunflower Exports'!BN$151</f>
        <v>0</v>
      </c>
      <c r="N122" s="86">
        <f t="shared" ref="N122:N146" si="28">SUM(B122:M122)</f>
        <v>0</v>
      </c>
      <c r="O122" s="27"/>
      <c r="P122" s="87">
        <f t="shared" ref="P122:P140" si="29">SUM(B122:D122)</f>
        <v>0</v>
      </c>
      <c r="Q122" s="87">
        <f t="shared" ref="Q122:Q147" si="30">SUM(E122:G122)</f>
        <v>0</v>
      </c>
      <c r="R122" s="87">
        <f t="shared" ref="R122:R147" si="31">SUM(H122:J122)</f>
        <v>0</v>
      </c>
      <c r="S122" s="87">
        <f t="shared" ref="S122:S147" si="32">SUM(K122:M122)</f>
        <v>0</v>
      </c>
    </row>
    <row r="123" spans="1:19" ht="16.5" hidden="1">
      <c r="A123" s="96" t="s">
        <v>58</v>
      </c>
      <c r="B123" s="86">
        <f>'[2]EU Sunflower Exports'!BO$151</f>
        <v>0</v>
      </c>
      <c r="C123" s="86">
        <f>'[2]EU Sunflower Exports'!BP$151</f>
        <v>0</v>
      </c>
      <c r="D123" s="86">
        <f>'[2]EU Sunflower Exports'!BQ$151</f>
        <v>0</v>
      </c>
      <c r="E123" s="86">
        <f>'[2]EU Sunflower Exports'!BR$151</f>
        <v>0</v>
      </c>
      <c r="F123" s="86">
        <f>'[2]EU Sunflower Exports'!BS$151</f>
        <v>2E-3</v>
      </c>
      <c r="G123" s="86">
        <f>'[2]EU Sunflower Exports'!BT$151</f>
        <v>5.0000000000000001E-3</v>
      </c>
      <c r="H123" s="86">
        <f>'[2]EU Sunflower Exports'!BU$151</f>
        <v>5.1999999999999998E-2</v>
      </c>
      <c r="I123" s="86">
        <f>'[2]EU Sunflower Exports'!BV$151</f>
        <v>4.5999999999999999E-2</v>
      </c>
      <c r="J123" s="86">
        <f>'[2]EU Sunflower Exports'!BW$151</f>
        <v>3.9E-2</v>
      </c>
      <c r="K123" s="86">
        <f>'[2]EU Sunflower Exports'!BX$151</f>
        <v>4.2069999999999999</v>
      </c>
      <c r="L123" s="86">
        <f>'[2]EU Sunflower Exports'!BY$151</f>
        <v>9.7240000000000002</v>
      </c>
      <c r="M123" s="86">
        <f>'[2]EU Sunflower Exports'!BZ$151</f>
        <v>7.3739999999999997</v>
      </c>
      <c r="N123" s="86">
        <f t="shared" si="28"/>
        <v>21.448999999999998</v>
      </c>
      <c r="O123" s="27"/>
      <c r="P123" s="87">
        <f t="shared" si="29"/>
        <v>0</v>
      </c>
      <c r="Q123" s="87">
        <f t="shared" si="30"/>
        <v>7.0000000000000001E-3</v>
      </c>
      <c r="R123" s="87">
        <f t="shared" si="31"/>
        <v>0.13700000000000001</v>
      </c>
      <c r="S123" s="87">
        <f t="shared" si="32"/>
        <v>21.305</v>
      </c>
    </row>
    <row r="124" spans="1:19" ht="16.5" hidden="1">
      <c r="A124" s="96" t="s">
        <v>59</v>
      </c>
      <c r="B124" s="86">
        <f>'[2]EU Sunflower Exports'!CA$151</f>
        <v>16.751000000000001</v>
      </c>
      <c r="C124" s="86">
        <f>'[2]EU Sunflower Exports'!CB$151</f>
        <v>1.8420000000000001</v>
      </c>
      <c r="D124" s="86">
        <f>'[2]EU Sunflower Exports'!CC$151</f>
        <v>0</v>
      </c>
      <c r="E124" s="86">
        <f>'[2]EU Sunflower Exports'!CD$151</f>
        <v>2.2629999999999999</v>
      </c>
      <c r="F124" s="86">
        <f>'[2]EU Sunflower Exports'!CE$151</f>
        <v>4.0000000000000001E-3</v>
      </c>
      <c r="G124" s="86">
        <f>'[2]EU Sunflower Exports'!CF$151</f>
        <v>2E-3</v>
      </c>
      <c r="H124" s="86">
        <f>'[2]EU Sunflower Exports'!CG$151</f>
        <v>0.35699999999999998</v>
      </c>
      <c r="I124" s="86">
        <f>'[2]EU Sunflower Exports'!CH$151</f>
        <v>1.4999999999999999E-2</v>
      </c>
      <c r="J124" s="86">
        <f>'[2]EU Sunflower Exports'!CI$151</f>
        <v>2.8000000000000001E-2</v>
      </c>
      <c r="K124" s="86">
        <f>'[2]EU Sunflower Exports'!CJ$151</f>
        <v>2E-3</v>
      </c>
      <c r="L124" s="86">
        <f>'[2]EU Sunflower Exports'!CK$151</f>
        <v>2.1000000000000001E-2</v>
      </c>
      <c r="M124" s="86">
        <f>'[2]EU Sunflower Exports'!CL$151</f>
        <v>5.65</v>
      </c>
      <c r="N124" s="86">
        <f t="shared" si="28"/>
        <v>26.935000000000002</v>
      </c>
      <c r="O124" s="27"/>
      <c r="P124" s="87">
        <f t="shared" si="29"/>
        <v>18.593</v>
      </c>
      <c r="Q124" s="87">
        <f t="shared" si="30"/>
        <v>2.2689999999999997</v>
      </c>
      <c r="R124" s="87">
        <f t="shared" si="31"/>
        <v>0.4</v>
      </c>
      <c r="S124" s="87">
        <f t="shared" si="32"/>
        <v>5.673</v>
      </c>
    </row>
    <row r="125" spans="1:19" ht="16.5" hidden="1">
      <c r="A125" s="96" t="s">
        <v>60</v>
      </c>
      <c r="B125" s="86">
        <f>'[2]EU Sunflower Exports'!CM$151</f>
        <v>3.0000000000000001E-3</v>
      </c>
      <c r="C125" s="86">
        <f>'[2]EU Sunflower Exports'!CN$151</f>
        <v>3.0000000000000001E-3</v>
      </c>
      <c r="D125" s="86">
        <f>'[2]EU Sunflower Exports'!CO$151</f>
        <v>0</v>
      </c>
      <c r="E125" s="86">
        <f>'[2]EU Sunflower Exports'!CP$151</f>
        <v>0.28999999999999998</v>
      </c>
      <c r="F125" s="86">
        <f>'[2]EU Sunflower Exports'!CQ$151</f>
        <v>2.214</v>
      </c>
      <c r="G125" s="86">
        <f>'[2]EU Sunflower Exports'!CR$151</f>
        <v>4.24</v>
      </c>
      <c r="H125" s="86">
        <f>'[2]EU Sunflower Exports'!CS$151</f>
        <v>0.77500000000000002</v>
      </c>
      <c r="I125" s="86">
        <f>'[2]EU Sunflower Exports'!CT$151</f>
        <v>9.9979999999999993</v>
      </c>
      <c r="J125" s="86">
        <f>'[2]EU Sunflower Exports'!CU$151</f>
        <v>14.372</v>
      </c>
      <c r="K125" s="86">
        <f>'[2]EU Sunflower Exports'!CV$151</f>
        <v>8.1809999999999992</v>
      </c>
      <c r="L125" s="86">
        <f>'[2]EU Sunflower Exports'!CW$151</f>
        <v>5.0000000000000001E-3</v>
      </c>
      <c r="M125" s="86">
        <f>'[2]EU Sunflower Exports'!CX$151</f>
        <v>1.694</v>
      </c>
      <c r="N125" s="86">
        <f t="shared" si="28"/>
        <v>41.775000000000006</v>
      </c>
      <c r="O125" s="27"/>
      <c r="P125" s="87">
        <f t="shared" si="29"/>
        <v>6.0000000000000001E-3</v>
      </c>
      <c r="Q125" s="87">
        <f t="shared" si="30"/>
        <v>6.7439999999999998</v>
      </c>
      <c r="R125" s="87">
        <f t="shared" si="31"/>
        <v>25.145</v>
      </c>
      <c r="S125" s="87">
        <f t="shared" si="32"/>
        <v>9.879999999999999</v>
      </c>
    </row>
    <row r="126" spans="1:19" ht="16.5" hidden="1">
      <c r="A126" s="96" t="s">
        <v>61</v>
      </c>
      <c r="B126" s="86">
        <f>'[2]EU Sunflower Exports'!CY$151</f>
        <v>5.2560000000000002</v>
      </c>
      <c r="C126" s="86">
        <f>'[2]EU Sunflower Exports'!CZ$151</f>
        <v>12.583</v>
      </c>
      <c r="D126" s="86">
        <f>'[2]EU Sunflower Exports'!DA$151</f>
        <v>15.457000000000001</v>
      </c>
      <c r="E126" s="86">
        <f>'[2]EU Sunflower Exports'!DB$151</f>
        <v>4.1539999999999999</v>
      </c>
      <c r="F126" s="86">
        <f>'[2]EU Sunflower Exports'!DC$151</f>
        <v>0.373</v>
      </c>
      <c r="G126" s="86">
        <f>'[2]EU Sunflower Exports'!DD$151</f>
        <v>4.92</v>
      </c>
      <c r="H126" s="86">
        <f>'[2]EU Sunflower Exports'!DE$151</f>
        <v>1.861</v>
      </c>
      <c r="I126" s="86">
        <f>'[2]EU Sunflower Exports'!DF$151</f>
        <v>2.8879999999999999</v>
      </c>
      <c r="J126" s="86">
        <f>'[2]EU Sunflower Exports'!DG$151</f>
        <v>2.92</v>
      </c>
      <c r="K126" s="86">
        <f>'[2]EU Sunflower Exports'!DH$151</f>
        <v>0.496</v>
      </c>
      <c r="L126" s="86">
        <f>'[2]EU Sunflower Exports'!DI$151</f>
        <v>9.2999999999999999E-2</v>
      </c>
      <c r="M126" s="86">
        <f>'[2]EU Sunflower Exports'!DJ$151</f>
        <v>2E-3</v>
      </c>
      <c r="N126" s="86">
        <f t="shared" si="28"/>
        <v>51.003000000000007</v>
      </c>
      <c r="O126" s="27"/>
      <c r="P126" s="87">
        <f t="shared" si="29"/>
        <v>33.295999999999999</v>
      </c>
      <c r="Q126" s="87">
        <f t="shared" si="30"/>
        <v>9.4469999999999992</v>
      </c>
      <c r="R126" s="87">
        <f t="shared" si="31"/>
        <v>7.6689999999999996</v>
      </c>
      <c r="S126" s="87">
        <f t="shared" si="32"/>
        <v>0.59099999999999997</v>
      </c>
    </row>
    <row r="127" spans="1:19" ht="16.5" hidden="1">
      <c r="A127" s="96" t="s">
        <v>62</v>
      </c>
      <c r="B127" s="86">
        <f>'[2]EU Sunflower Exports'!DK$151</f>
        <v>3.1269999999999998</v>
      </c>
      <c r="C127" s="86">
        <f>'[2]EU Sunflower Exports'!DL$151</f>
        <v>3.6829999999999998</v>
      </c>
      <c r="D127" s="86">
        <f>'[2]EU Sunflower Exports'!DM$151</f>
        <v>3.2290000000000001</v>
      </c>
      <c r="E127" s="86">
        <f>'[2]EU Sunflower Exports'!DN$151</f>
        <v>4.3010000000000002</v>
      </c>
      <c r="F127" s="86">
        <f>'[2]EU Sunflower Exports'!DO$151</f>
        <v>5.4320000000000004</v>
      </c>
      <c r="G127" s="86">
        <f>'[2]EU Sunflower Exports'!DP$151</f>
        <v>5.0659999999999998</v>
      </c>
      <c r="H127" s="86">
        <f>'[2]EU Sunflower Exports'!DQ$151</f>
        <v>0.36</v>
      </c>
      <c r="I127" s="86">
        <f>'[2]EU Sunflower Exports'!DR$151</f>
        <v>2.012</v>
      </c>
      <c r="J127" s="86">
        <f>'[2]EU Sunflower Exports'!DS$151</f>
        <v>0.82599999999999996</v>
      </c>
      <c r="K127" s="86">
        <f>'[2]EU Sunflower Exports'!DT$151</f>
        <v>5.5149999999999997</v>
      </c>
      <c r="L127" s="86">
        <f>'[2]EU Sunflower Exports'!DU$151</f>
        <v>0.876</v>
      </c>
      <c r="M127" s="86">
        <f>'[2]EU Sunflower Exports'!DV$151</f>
        <v>1.4E-2</v>
      </c>
      <c r="N127" s="86">
        <f t="shared" si="28"/>
        <v>34.440999999999995</v>
      </c>
      <c r="O127" s="27"/>
      <c r="P127" s="87">
        <f t="shared" si="29"/>
        <v>10.039</v>
      </c>
      <c r="Q127" s="87">
        <f t="shared" si="30"/>
        <v>14.798999999999999</v>
      </c>
      <c r="R127" s="87">
        <f t="shared" si="31"/>
        <v>3.198</v>
      </c>
      <c r="S127" s="87">
        <f t="shared" si="32"/>
        <v>6.4050000000000002</v>
      </c>
    </row>
    <row r="128" spans="1:19" ht="16.5" hidden="1">
      <c r="A128" s="96" t="s">
        <v>63</v>
      </c>
      <c r="B128" s="86">
        <f>'[2]EU Sunflower Exports'!DW$151</f>
        <v>0.29299999999999998</v>
      </c>
      <c r="C128" s="86">
        <f>'[2]EU Sunflower Exports'!DX$151</f>
        <v>7.0819999999999999</v>
      </c>
      <c r="D128" s="86">
        <f>'[2]EU Sunflower Exports'!DY$151</f>
        <v>31.225999999999999</v>
      </c>
      <c r="E128" s="86">
        <f>'[2]EU Sunflower Exports'!DZ$151</f>
        <v>4.1859999999999999</v>
      </c>
      <c r="F128" s="86">
        <f>'[2]EU Sunflower Exports'!EA$151</f>
        <v>13.615</v>
      </c>
      <c r="G128" s="86">
        <f>'[2]EU Sunflower Exports'!EB$151</f>
        <v>9.7189999999999994</v>
      </c>
      <c r="H128" s="86">
        <f>'[2]EU Sunflower Exports'!EC$151</f>
        <v>10.898999999999999</v>
      </c>
      <c r="I128" s="86">
        <f>'[2]EU Sunflower Exports'!ED$151</f>
        <v>19.338000000000001</v>
      </c>
      <c r="J128" s="86">
        <f>'[2]EU Sunflower Exports'!EE$151</f>
        <v>5.6289999999999996</v>
      </c>
      <c r="K128" s="86">
        <f>'[2]EU Sunflower Exports'!EF$151</f>
        <v>0.2</v>
      </c>
      <c r="L128" s="86">
        <f>'[2]EU Sunflower Exports'!EG$151</f>
        <v>0.17</v>
      </c>
      <c r="M128" s="86">
        <f>'[2]EU Sunflower Exports'!EH$151</f>
        <v>1.1970000000000001</v>
      </c>
      <c r="N128" s="86">
        <f t="shared" si="28"/>
        <v>103.55400000000002</v>
      </c>
      <c r="O128" s="27"/>
      <c r="P128" s="87">
        <f t="shared" si="29"/>
        <v>38.600999999999999</v>
      </c>
      <c r="Q128" s="87">
        <f t="shared" si="30"/>
        <v>27.520000000000003</v>
      </c>
      <c r="R128" s="87">
        <f t="shared" si="31"/>
        <v>35.866</v>
      </c>
      <c r="S128" s="87">
        <f t="shared" si="32"/>
        <v>1.5670000000000002</v>
      </c>
    </row>
    <row r="129" spans="1:19" ht="16.5" hidden="1">
      <c r="A129" s="96" t="s">
        <v>64</v>
      </c>
      <c r="B129" s="86">
        <f>'[2]EU Sunflower Exports'!EI$151</f>
        <v>4.734</v>
      </c>
      <c r="C129" s="86">
        <f>'[2]EU Sunflower Exports'!EJ$151</f>
        <v>9.1720000000000006</v>
      </c>
      <c r="D129" s="86">
        <f>'[2]EU Sunflower Exports'!EK$151</f>
        <v>2.1160000000000001</v>
      </c>
      <c r="E129" s="86">
        <f>'[2]EU Sunflower Exports'!EL$151</f>
        <v>3.855</v>
      </c>
      <c r="F129" s="86">
        <f>'[2]EU Sunflower Exports'!EM$151</f>
        <v>4.548</v>
      </c>
      <c r="G129" s="86">
        <f>'[2]EU Sunflower Exports'!EN$151</f>
        <v>2.7250000000000001</v>
      </c>
      <c r="H129" s="86">
        <f>'[2]EU Sunflower Exports'!EO$151</f>
        <v>0.29799999999999999</v>
      </c>
      <c r="I129" s="86">
        <f>'[2]EU Sunflower Exports'!EP$151</f>
        <v>2.8420000000000001</v>
      </c>
      <c r="J129" s="86">
        <f>'[2]EU Sunflower Exports'!EQ$151</f>
        <v>5.6740000000000004</v>
      </c>
      <c r="K129" s="86">
        <f>'[2]EU Sunflower Exports'!ER$151</f>
        <v>22.068999999999999</v>
      </c>
      <c r="L129" s="86">
        <f>'[2]EU Sunflower Exports'!ES$151</f>
        <v>14.77</v>
      </c>
      <c r="M129" s="86">
        <f>'[2]EU Sunflower Exports'!ET$151</f>
        <v>14.513</v>
      </c>
      <c r="N129" s="86">
        <f t="shared" si="28"/>
        <v>87.316000000000003</v>
      </c>
      <c r="O129" s="27"/>
      <c r="P129" s="87">
        <f t="shared" si="29"/>
        <v>16.022000000000002</v>
      </c>
      <c r="Q129" s="87">
        <f t="shared" si="30"/>
        <v>11.128</v>
      </c>
      <c r="R129" s="87">
        <f t="shared" si="31"/>
        <v>8.8140000000000001</v>
      </c>
      <c r="S129" s="87">
        <f t="shared" si="32"/>
        <v>51.351999999999997</v>
      </c>
    </row>
    <row r="130" spans="1:19" ht="16.5" hidden="1">
      <c r="A130" s="85" t="s">
        <v>65</v>
      </c>
      <c r="B130" s="86">
        <f>'[2]EU Sunflower Exports'!EU$151</f>
        <v>67.802000000000007</v>
      </c>
      <c r="C130" s="86">
        <f>'[2]EU Sunflower Exports'!EV$151</f>
        <v>50.029000000000003</v>
      </c>
      <c r="D130" s="86">
        <f>'[2]EU Sunflower Exports'!EW$151</f>
        <v>21.375</v>
      </c>
      <c r="E130" s="86">
        <f>'[2]EU Sunflower Exports'!EX$151</f>
        <v>4.5880000000000001</v>
      </c>
      <c r="F130" s="86">
        <f>'[2]EU Sunflower Exports'!EY$151</f>
        <v>1.4259999999999999</v>
      </c>
      <c r="G130" s="86">
        <f>'[2]EU Sunflower Exports'!EZ$151</f>
        <v>7.327</v>
      </c>
      <c r="H130" s="86">
        <f>'[2]EU Sunflower Exports'!FA$151</f>
        <v>10.483000000000001</v>
      </c>
      <c r="I130" s="86">
        <f>'[2]EU Sunflower Exports'!FB$151</f>
        <v>10.893000000000001</v>
      </c>
      <c r="J130" s="86">
        <f>'[2]EU Sunflower Exports'!FC$151</f>
        <v>10.279</v>
      </c>
      <c r="K130" s="86">
        <f>'[2]EU Sunflower Exports'!FD$151</f>
        <v>23.494</v>
      </c>
      <c r="L130" s="86">
        <f>'[2]EU Sunflower Exports'!FE$151</f>
        <v>6.7430000000000003</v>
      </c>
      <c r="M130" s="86">
        <f>'[2]EU Sunflower Exports'!FF$151</f>
        <v>22.797999999999998</v>
      </c>
      <c r="N130" s="86">
        <f t="shared" si="28"/>
        <v>237.23699999999999</v>
      </c>
      <c r="O130" s="27"/>
      <c r="P130" s="87">
        <f t="shared" si="29"/>
        <v>139.20600000000002</v>
      </c>
      <c r="Q130" s="87">
        <f t="shared" si="30"/>
        <v>13.341000000000001</v>
      </c>
      <c r="R130" s="87">
        <f t="shared" si="31"/>
        <v>31.655000000000001</v>
      </c>
      <c r="S130" s="87">
        <f t="shared" si="32"/>
        <v>53.034999999999997</v>
      </c>
    </row>
    <row r="131" spans="1:19" ht="16.5" hidden="1">
      <c r="A131" s="85" t="s">
        <v>66</v>
      </c>
      <c r="B131" s="86">
        <f>'[2]EU Sunflower Exports'!FG$151</f>
        <v>61.454999999999998</v>
      </c>
      <c r="C131" s="86">
        <f>'[2]EU Sunflower Exports'!FH$151</f>
        <v>50.064999999999998</v>
      </c>
      <c r="D131" s="86">
        <f>'[2]EU Sunflower Exports'!FI$151</f>
        <v>13.512</v>
      </c>
      <c r="E131" s="86">
        <f>'[2]EU Sunflower Exports'!FJ$151</f>
        <v>10.888</v>
      </c>
      <c r="F131" s="86">
        <f>'[2]EU Sunflower Exports'!FK$151</f>
        <v>33.353000000000002</v>
      </c>
      <c r="G131" s="86">
        <f>'[2]EU Sunflower Exports'!FL$151</f>
        <v>42.73</v>
      </c>
      <c r="H131" s="86">
        <f>'[2]EU Sunflower Exports'!FM$151</f>
        <v>66.165000000000006</v>
      </c>
      <c r="I131" s="86">
        <f>'[2]EU Sunflower Exports'!FN$151</f>
        <v>105.19799999999999</v>
      </c>
      <c r="J131" s="86">
        <f>'[2]EU Sunflower Exports'!FO$151</f>
        <v>49.338999999999999</v>
      </c>
      <c r="K131" s="86">
        <f>'[2]EU Sunflower Exports'!FP$151</f>
        <v>29.277000000000001</v>
      </c>
      <c r="L131" s="86">
        <f>'[2]EU Sunflower Exports'!FQ$151</f>
        <v>34.554000000000002</v>
      </c>
      <c r="M131" s="86">
        <f>'[2]EU Sunflower Exports'!FR$151</f>
        <v>6.8609999999999998</v>
      </c>
      <c r="N131" s="86">
        <f t="shared" si="28"/>
        <v>503.39699999999993</v>
      </c>
      <c r="O131" s="27"/>
      <c r="P131" s="87">
        <f t="shared" si="29"/>
        <v>125.032</v>
      </c>
      <c r="Q131" s="87">
        <f t="shared" si="30"/>
        <v>86.971000000000004</v>
      </c>
      <c r="R131" s="87">
        <f t="shared" si="31"/>
        <v>220.702</v>
      </c>
      <c r="S131" s="87">
        <f t="shared" si="32"/>
        <v>70.692000000000007</v>
      </c>
    </row>
    <row r="132" spans="1:19" ht="16.5" hidden="1">
      <c r="A132" s="97" t="s">
        <v>67</v>
      </c>
      <c r="B132" s="86">
        <f>'[2]EU Sunflower Exports'!FS$151</f>
        <v>15.27</v>
      </c>
      <c r="C132" s="86">
        <f>'[2]EU Sunflower Exports'!FT$151</f>
        <v>9.6549999999999994</v>
      </c>
      <c r="D132" s="86">
        <f>'[2]EU Sunflower Exports'!FU$151</f>
        <v>11.499000000000001</v>
      </c>
      <c r="E132" s="86">
        <f>'[2]EU Sunflower Exports'!FV$151</f>
        <v>16.8</v>
      </c>
      <c r="F132" s="86">
        <f>'[2]EU Sunflower Exports'!FW$151</f>
        <v>10.461</v>
      </c>
      <c r="G132" s="86">
        <f>'[2]EU Sunflower Exports'!FX$151</f>
        <v>29.478999999999999</v>
      </c>
      <c r="H132" s="86">
        <f>'[2]EU Sunflower Exports'!FY$151</f>
        <v>48.161999999999999</v>
      </c>
      <c r="I132" s="86">
        <f>'[2]EU Sunflower Exports'!FZ$151</f>
        <v>55.793999999999997</v>
      </c>
      <c r="J132" s="86">
        <f>'[2]EU Sunflower Exports'!GA$151</f>
        <v>36.183</v>
      </c>
      <c r="K132" s="86">
        <f>'[2]EU Sunflower Exports'!GB$151</f>
        <v>3.4929999999999999</v>
      </c>
      <c r="L132" s="86">
        <f>'[2]EU Sunflower Exports'!GC$151</f>
        <v>12.709</v>
      </c>
      <c r="M132" s="86">
        <f>'[2]EU Sunflower Exports'!GD$151</f>
        <v>8.0000000000000002E-3</v>
      </c>
      <c r="N132" s="86">
        <f t="shared" si="28"/>
        <v>249.51300000000001</v>
      </c>
      <c r="O132" s="27"/>
      <c r="P132" s="87">
        <f t="shared" si="29"/>
        <v>36.423999999999999</v>
      </c>
      <c r="Q132" s="87">
        <f t="shared" si="30"/>
        <v>56.74</v>
      </c>
      <c r="R132" s="87">
        <f t="shared" si="31"/>
        <v>140.13899999999998</v>
      </c>
      <c r="S132" s="87">
        <f t="shared" si="32"/>
        <v>16.209999999999997</v>
      </c>
    </row>
    <row r="133" spans="1:19" ht="16.5" hidden="1">
      <c r="A133" s="85" t="s">
        <v>68</v>
      </c>
      <c r="B133" s="86">
        <f>'[2]EU Sunflower Exports'!GE$151</f>
        <v>13.313000000000001</v>
      </c>
      <c r="C133" s="86">
        <f>'[2]EU Sunflower Exports'!GF$151</f>
        <v>25.763999999999999</v>
      </c>
      <c r="D133" s="86">
        <f>'[2]EU Sunflower Exports'!GG$151</f>
        <v>12.843</v>
      </c>
      <c r="E133" s="86">
        <f>'[2]EU Sunflower Exports'!GH$151</f>
        <v>7.9770000000000003</v>
      </c>
      <c r="F133" s="86">
        <f>'[2]EU Sunflower Exports'!GI$151</f>
        <v>42.488</v>
      </c>
      <c r="G133" s="86">
        <f>'[2]EU Sunflower Exports'!GJ$151</f>
        <v>51.331000000000003</v>
      </c>
      <c r="H133" s="86">
        <f>'[2]EU Sunflower Exports'!GK$151</f>
        <v>59.162999999999997</v>
      </c>
      <c r="I133" s="86">
        <f>'[2]EU Sunflower Exports'!GL$151</f>
        <v>96.254000000000005</v>
      </c>
      <c r="J133" s="86">
        <f>'[2]EU Sunflower Exports'!GM$151</f>
        <v>71.893000000000001</v>
      </c>
      <c r="K133" s="86">
        <f>'[2]EU Sunflower Exports'!GN$151</f>
        <v>14.391999999999999</v>
      </c>
      <c r="L133" s="86">
        <f>'[2]EU Sunflower Exports'!GO$151</f>
        <v>2.1110000000000002</v>
      </c>
      <c r="M133" s="86">
        <f>'[2]EU Sunflower Exports'!GP$151</f>
        <v>0.54700000000000004</v>
      </c>
      <c r="N133" s="86">
        <f t="shared" si="28"/>
        <v>398.07600000000008</v>
      </c>
      <c r="O133" s="27"/>
      <c r="P133" s="87">
        <f t="shared" si="29"/>
        <v>51.92</v>
      </c>
      <c r="Q133" s="87">
        <f t="shared" si="30"/>
        <v>101.79600000000001</v>
      </c>
      <c r="R133" s="87">
        <f t="shared" si="31"/>
        <v>227.31</v>
      </c>
      <c r="S133" s="87">
        <f t="shared" si="32"/>
        <v>17.05</v>
      </c>
    </row>
    <row r="134" spans="1:19" ht="16.5" hidden="1">
      <c r="A134" s="97" t="s">
        <v>69</v>
      </c>
      <c r="B134" s="86">
        <f>'[2]EU Sunflower Exports'!GQ$151</f>
        <v>8.7309999999999999</v>
      </c>
      <c r="C134" s="86">
        <f>'[2]EU Sunflower Exports'!GR$151</f>
        <v>50.393000000000001</v>
      </c>
      <c r="D134" s="86">
        <f>'[2]EU Sunflower Exports'!GS$151</f>
        <v>33.72</v>
      </c>
      <c r="E134" s="86">
        <f>'[2]EU Sunflower Exports'!GT$151</f>
        <v>30.111000000000001</v>
      </c>
      <c r="F134" s="86">
        <f>'[2]EU Sunflower Exports'!GU$151</f>
        <v>63.561999999999998</v>
      </c>
      <c r="G134" s="86">
        <f>'[2]EU Sunflower Exports'!GV$151</f>
        <v>55.652999999999999</v>
      </c>
      <c r="H134" s="86">
        <f>'[2]EU Sunflower Exports'!GW$151</f>
        <v>43.860999999999997</v>
      </c>
      <c r="I134" s="86">
        <f>'[2]EU Sunflower Exports'!GX$151</f>
        <v>48.658000000000001</v>
      </c>
      <c r="J134" s="86">
        <f>'[2]EU Sunflower Exports'!GY$151</f>
        <v>51.786999999999999</v>
      </c>
      <c r="K134" s="86">
        <f>'[2]EU Sunflower Exports'!GZ$151</f>
        <v>42.247999999999998</v>
      </c>
      <c r="L134" s="86">
        <f>'[2]EU Sunflower Exports'!HA$151</f>
        <v>2.8460000000000001</v>
      </c>
      <c r="M134" s="86">
        <f>'[2]EU Sunflower Exports'!HB$151</f>
        <v>0.217</v>
      </c>
      <c r="N134" s="86">
        <f t="shared" si="28"/>
        <v>431.78699999999998</v>
      </c>
      <c r="O134" s="27"/>
      <c r="P134" s="87">
        <f t="shared" si="29"/>
        <v>92.843999999999994</v>
      </c>
      <c r="Q134" s="87">
        <f t="shared" si="30"/>
        <v>149.32599999999999</v>
      </c>
      <c r="R134" s="87">
        <f t="shared" si="31"/>
        <v>144.30600000000001</v>
      </c>
      <c r="S134" s="87">
        <f t="shared" si="32"/>
        <v>45.310999999999993</v>
      </c>
    </row>
    <row r="135" spans="1:19" ht="16.5" hidden="1">
      <c r="A135" s="97" t="s">
        <v>70</v>
      </c>
      <c r="B135" s="86">
        <f>'[2]EU Sunflower Exports'!HC$151</f>
        <v>9.4309999999999992</v>
      </c>
      <c r="C135" s="86">
        <f>'[2]EU Sunflower Exports'!HD$151</f>
        <v>24.256</v>
      </c>
      <c r="D135" s="86">
        <f>'[2]EU Sunflower Exports'!HE$151</f>
        <v>15.515000000000001</v>
      </c>
      <c r="E135" s="86">
        <f>'[2]EU Sunflower Exports'!HF$151</f>
        <v>1.5229999999999999</v>
      </c>
      <c r="F135" s="86">
        <f>'[2]EU Sunflower Exports'!HG$151</f>
        <v>12.377000000000001</v>
      </c>
      <c r="G135" s="86">
        <f>'[2]EU Sunflower Exports'!HH$151</f>
        <v>29.97</v>
      </c>
      <c r="H135" s="86">
        <f>'[2]EU Sunflower Exports'!HI$151</f>
        <v>18.648</v>
      </c>
      <c r="I135" s="86">
        <f>'[2]EU Sunflower Exports'!HJ$151</f>
        <v>16.747</v>
      </c>
      <c r="J135" s="86">
        <f>'[2]EU Sunflower Exports'!HK$151</f>
        <v>39.146999999999998</v>
      </c>
      <c r="K135" s="86">
        <f>'[2]EU Sunflower Exports'!HL$151</f>
        <v>22.602</v>
      </c>
      <c r="L135" s="86">
        <f>'[2]EU Sunflower Exports'!HM$151</f>
        <v>13.343999999999999</v>
      </c>
      <c r="M135" s="86">
        <f>'[2]EU Sunflower Exports'!HN$151</f>
        <v>43.055</v>
      </c>
      <c r="N135" s="86">
        <f t="shared" si="28"/>
        <v>246.61499999999998</v>
      </c>
      <c r="O135" s="27"/>
      <c r="P135" s="87">
        <f t="shared" si="29"/>
        <v>49.201999999999998</v>
      </c>
      <c r="Q135" s="87">
        <f t="shared" si="30"/>
        <v>43.87</v>
      </c>
      <c r="R135" s="87">
        <f t="shared" si="31"/>
        <v>74.542000000000002</v>
      </c>
      <c r="S135" s="87">
        <f t="shared" si="32"/>
        <v>79.001000000000005</v>
      </c>
    </row>
    <row r="136" spans="1:19" ht="16.5" hidden="1">
      <c r="A136" s="85" t="s">
        <v>71</v>
      </c>
      <c r="B136" s="86">
        <f>'[2]EU Sunflower Exports'!HO$151</f>
        <v>52.386000000000003</v>
      </c>
      <c r="C136" s="86">
        <f>'[2]EU Sunflower Exports'!HP$151</f>
        <v>53.847999999999999</v>
      </c>
      <c r="D136" s="86">
        <f>'[2]EU Sunflower Exports'!HQ$151</f>
        <v>57.557000000000002</v>
      </c>
      <c r="E136" s="86">
        <f>'[2]EU Sunflower Exports'!HR$151</f>
        <v>44.817999999999998</v>
      </c>
      <c r="F136" s="86">
        <f>'[2]EU Sunflower Exports'!HS$151</f>
        <v>20.558</v>
      </c>
      <c r="G136" s="86">
        <f>'[2]EU Sunflower Exports'!HT$151</f>
        <v>35.424999999999997</v>
      </c>
      <c r="H136" s="86">
        <f>'[2]EU Sunflower Exports'!HU$151</f>
        <v>62.902999999999999</v>
      </c>
      <c r="I136" s="86">
        <f>'[2]EU Sunflower Exports'!HV$151</f>
        <v>47.737000000000002</v>
      </c>
      <c r="J136" s="86">
        <f>'[2]EU Sunflower Exports'!HW$151</f>
        <v>11.862</v>
      </c>
      <c r="K136" s="86">
        <f>'[2]EU Sunflower Exports'!HX$151</f>
        <v>14.986000000000001</v>
      </c>
      <c r="L136" s="86">
        <f>'[2]EU Sunflower Exports'!HY$151</f>
        <v>0.26600000000000001</v>
      </c>
      <c r="M136" s="86">
        <f>'[2]EU Sunflower Exports'!HZ$151</f>
        <v>0.99199999999999999</v>
      </c>
      <c r="N136" s="86">
        <f t="shared" si="28"/>
        <v>403.33800000000008</v>
      </c>
      <c r="O136" s="27"/>
      <c r="P136" s="87">
        <f t="shared" si="29"/>
        <v>163.791</v>
      </c>
      <c r="Q136" s="87">
        <f t="shared" si="30"/>
        <v>100.801</v>
      </c>
      <c r="R136" s="87">
        <f t="shared" si="31"/>
        <v>122.502</v>
      </c>
      <c r="S136" s="87">
        <f t="shared" si="32"/>
        <v>16.244</v>
      </c>
    </row>
    <row r="137" spans="1:19" ht="16.5" hidden="1">
      <c r="A137" s="97" t="s">
        <v>72</v>
      </c>
      <c r="B137" s="86">
        <f>'[2]EU Sunflower Exports'!IA$151</f>
        <v>9.8469999999999995</v>
      </c>
      <c r="C137" s="86">
        <f>'[2]EU Sunflower Exports'!IB$151</f>
        <v>15.135</v>
      </c>
      <c r="D137" s="86">
        <f>'[2]EU Sunflower Exports'!IC$151</f>
        <v>17.196000000000002</v>
      </c>
      <c r="E137" s="86">
        <f>'[2]EU Sunflower Exports'!ID$151</f>
        <v>15.324999999999999</v>
      </c>
      <c r="F137" s="86">
        <f>'[2]EU Sunflower Exports'!IE$151</f>
        <v>25.725000000000001</v>
      </c>
      <c r="G137" s="86">
        <f>'[2]EU Sunflower Exports'!IF$151</f>
        <v>18.468</v>
      </c>
      <c r="H137" s="86">
        <f>'[2]EU Sunflower Exports'!IG$151</f>
        <v>30.873000000000001</v>
      </c>
      <c r="I137" s="86">
        <f>'[2]EU Sunflower Exports'!IH$151</f>
        <v>45.572000000000003</v>
      </c>
      <c r="J137" s="86">
        <f>'[2]EU Sunflower Exports'!II$151</f>
        <v>81.501999999999995</v>
      </c>
      <c r="K137" s="86">
        <f>'[2]EU Sunflower Exports'!IJ$151</f>
        <v>72.498000000000005</v>
      </c>
      <c r="L137" s="86">
        <f>'[2]EU Sunflower Exports'!IK$151</f>
        <v>6.6959999999999997</v>
      </c>
      <c r="M137" s="86">
        <f>'[2]EU Sunflower Exports'!IL$151</f>
        <v>0.104</v>
      </c>
      <c r="N137" s="86">
        <f t="shared" si="28"/>
        <v>338.94100000000003</v>
      </c>
      <c r="O137" s="27"/>
      <c r="P137" s="87">
        <f t="shared" si="29"/>
        <v>42.177999999999997</v>
      </c>
      <c r="Q137" s="87">
        <f t="shared" si="30"/>
        <v>59.518000000000001</v>
      </c>
      <c r="R137" s="87">
        <f t="shared" si="31"/>
        <v>157.947</v>
      </c>
      <c r="S137" s="87">
        <f t="shared" si="32"/>
        <v>79.298000000000002</v>
      </c>
    </row>
    <row r="138" spans="1:19" ht="16.5" hidden="1">
      <c r="A138" s="85" t="s">
        <v>73</v>
      </c>
      <c r="B138" s="86">
        <f>'[2]EU Sunflower Exports'!IM$151</f>
        <v>38.067</v>
      </c>
      <c r="C138" s="86">
        <f>'[2]EU Sunflower Exports'!IN$151</f>
        <v>17.428999999999998</v>
      </c>
      <c r="D138" s="86">
        <f>'[2]EU Sunflower Exports'!IO$151</f>
        <v>19.286999999999999</v>
      </c>
      <c r="E138" s="86">
        <f>'[2]EU Sunflower Exports'!IP$151</f>
        <v>51.311999999999998</v>
      </c>
      <c r="F138" s="86">
        <f>'[2]EU Sunflower Exports'!IQ$151</f>
        <v>44.911999999999999</v>
      </c>
      <c r="G138" s="86">
        <f>'[2]EU Sunflower Exports'!IR$151</f>
        <v>16.178999999999998</v>
      </c>
      <c r="H138" s="86">
        <f>'[2]EU Sunflower Exports'!IS$151</f>
        <v>9.7360000000000007</v>
      </c>
      <c r="I138" s="86">
        <f>'[2]EU Sunflower Exports'!IT$151</f>
        <v>20.341000000000001</v>
      </c>
      <c r="J138" s="86">
        <f>'[2]EU Sunflower Exports'!IU$151</f>
        <v>20.536999999999999</v>
      </c>
      <c r="K138" s="86">
        <f>'[2]EU Sunflower Exports'!IV$151</f>
        <v>6.3630000000000004</v>
      </c>
      <c r="L138" s="86">
        <f>'[2]EU Sunflower Exports'!IW$151</f>
        <v>0.11</v>
      </c>
      <c r="M138" s="86">
        <f>'[2]EU Sunflower Exports'!IX$151</f>
        <v>8.2379999999999995</v>
      </c>
      <c r="N138" s="86">
        <f t="shared" si="28"/>
        <v>252.511</v>
      </c>
      <c r="O138" s="27"/>
      <c r="P138" s="87">
        <f t="shared" si="29"/>
        <v>74.782999999999987</v>
      </c>
      <c r="Q138" s="87">
        <f t="shared" si="30"/>
        <v>112.40299999999999</v>
      </c>
      <c r="R138" s="87">
        <f t="shared" si="31"/>
        <v>50.614000000000004</v>
      </c>
      <c r="S138" s="87">
        <f t="shared" si="32"/>
        <v>14.711</v>
      </c>
    </row>
    <row r="139" spans="1:19" ht="16.5" hidden="1">
      <c r="A139" s="85" t="s">
        <v>74</v>
      </c>
      <c r="B139" s="86">
        <f>'[2]EU Sunflower Exports'!IY$151</f>
        <v>37.375999999999998</v>
      </c>
      <c r="C139" s="86">
        <f>'[2]EU Sunflower Exports'!IZ$151</f>
        <v>27.2</v>
      </c>
      <c r="D139" s="86">
        <f>'[2]EU Sunflower Exports'!JA$151</f>
        <v>14.494</v>
      </c>
      <c r="E139" s="86">
        <f>'[2]EU Sunflower Exports'!JB$151</f>
        <v>17.516999999999999</v>
      </c>
      <c r="F139" s="86">
        <f>'[2]EU Sunflower Exports'!JC$151</f>
        <v>26.553000000000001</v>
      </c>
      <c r="G139" s="86">
        <f>'[2]EU Sunflower Exports'!JD$151</f>
        <v>44.293999999999997</v>
      </c>
      <c r="H139" s="86">
        <f>'[2]EU Sunflower Exports'!JE$151</f>
        <v>11.476000000000001</v>
      </c>
      <c r="I139" s="86">
        <f>'[2]EU Sunflower Exports'!JF$151</f>
        <v>17.312999999999999</v>
      </c>
      <c r="J139" s="86">
        <f>'[2]EU Sunflower Exports'!JG$151</f>
        <v>60.945999999999998</v>
      </c>
      <c r="K139" s="86">
        <f>'[2]EU Sunflower Exports'!JH$151</f>
        <v>69.206000000000003</v>
      </c>
      <c r="L139" s="86">
        <f>'[2]EU Sunflower Exports'!JI$151</f>
        <v>7.827</v>
      </c>
      <c r="M139" s="86">
        <f>'[2]EU Sunflower Exports'!JJ$151</f>
        <v>5.9459999999999997</v>
      </c>
      <c r="N139" s="86">
        <f t="shared" si="28"/>
        <v>340.14800000000002</v>
      </c>
      <c r="O139" s="27"/>
      <c r="P139" s="87">
        <f t="shared" si="29"/>
        <v>79.069999999999993</v>
      </c>
      <c r="Q139" s="87">
        <f t="shared" si="30"/>
        <v>88.364000000000004</v>
      </c>
      <c r="R139" s="87">
        <f t="shared" si="31"/>
        <v>89.734999999999999</v>
      </c>
      <c r="S139" s="87">
        <f t="shared" si="32"/>
        <v>82.978999999999999</v>
      </c>
    </row>
    <row r="140" spans="1:19" ht="16.5" hidden="1">
      <c r="A140" s="85" t="s">
        <v>75</v>
      </c>
      <c r="B140" s="86">
        <f>'[2]EU Sunflower Exports'!JK$151</f>
        <v>60.192999999999998</v>
      </c>
      <c r="C140" s="86">
        <f>'[2]EU Sunflower Exports'!JL$151</f>
        <v>40.661000000000001</v>
      </c>
      <c r="D140" s="86">
        <f>'[2]EU Sunflower Exports'!JM$151</f>
        <v>38.68</v>
      </c>
      <c r="E140" s="86">
        <f>'[2]EU Sunflower Exports'!JN$151</f>
        <v>31.805</v>
      </c>
      <c r="F140" s="86">
        <f>'[2]EU Sunflower Exports'!JO$151</f>
        <v>13.109</v>
      </c>
      <c r="G140" s="86">
        <f>'[2]EU Sunflower Exports'!JP$151</f>
        <v>12.747</v>
      </c>
      <c r="H140" s="86">
        <f>'[2]EU Sunflower Exports'!JQ$151</f>
        <v>11.238</v>
      </c>
      <c r="I140" s="86">
        <f>'[2]EU Sunflower Exports'!JR$151</f>
        <v>13.472</v>
      </c>
      <c r="J140" s="86">
        <f>'[2]EU Sunflower Exports'!JS$151</f>
        <v>27.824999999999999</v>
      </c>
      <c r="K140" s="86">
        <f>'[2]EU Sunflower Exports'!JT$151</f>
        <v>6.9260000000000002</v>
      </c>
      <c r="L140" s="86">
        <f>'[2]EU Sunflower Exports'!JU$151</f>
        <v>4.7489999999999997</v>
      </c>
      <c r="M140" s="86">
        <f>'[2]EU Sunflower Exports'!JV$151</f>
        <v>8.1000000000000003E-2</v>
      </c>
      <c r="N140" s="86">
        <f t="shared" si="28"/>
        <v>261.48600000000005</v>
      </c>
      <c r="O140" s="27"/>
      <c r="P140" s="87">
        <f t="shared" si="29"/>
        <v>139.53399999999999</v>
      </c>
      <c r="Q140" s="87">
        <f t="shared" si="30"/>
        <v>57.661000000000001</v>
      </c>
      <c r="R140" s="87">
        <f t="shared" si="31"/>
        <v>52.534999999999997</v>
      </c>
      <c r="S140" s="87">
        <f t="shared" si="32"/>
        <v>11.756</v>
      </c>
    </row>
    <row r="141" spans="1:19" ht="16.5" hidden="1">
      <c r="A141" s="85" t="s">
        <v>76</v>
      </c>
      <c r="B141" s="86">
        <f>'[2]EU Sunflower Exports'!JW$151</f>
        <v>62.298999999999999</v>
      </c>
      <c r="C141" s="86">
        <f>'[2]EU Sunflower Exports'!JX$151</f>
        <v>72.36</v>
      </c>
      <c r="D141" s="86">
        <f>'[2]EU Sunflower Exports'!JY$151</f>
        <v>33.917999999999999</v>
      </c>
      <c r="E141" s="86">
        <f>'[2]EU Sunflower Exports'!JZ$151</f>
        <v>9.6229999999999993</v>
      </c>
      <c r="F141" s="86">
        <f>'[2]EU Sunflower Exports'!KA$151</f>
        <v>10.481</v>
      </c>
      <c r="G141" s="86">
        <f>'[2]EU Sunflower Exports'!KB$151</f>
        <v>5.7080000000000002</v>
      </c>
      <c r="H141" s="86">
        <f>'[2]EU Sunflower Exports'!KC$151</f>
        <v>5.3419999999999996</v>
      </c>
      <c r="I141" s="86">
        <f>'[2]EU Sunflower Exports'!KD$151</f>
        <v>9.3870000000000005</v>
      </c>
      <c r="J141" s="86">
        <f>'[2]EU Sunflower Exports'!KE$151</f>
        <v>8.0530000000000008</v>
      </c>
      <c r="K141" s="86">
        <f>'[2]EU Sunflower Exports'!KF$151</f>
        <v>3.9649999999999999</v>
      </c>
      <c r="L141" s="86">
        <f>'[2]EU Sunflower Exports'!KG$151</f>
        <v>0.377</v>
      </c>
      <c r="M141" s="86">
        <f>'[2]EU Sunflower Exports'!KH$151</f>
        <v>0.79200000000000004</v>
      </c>
      <c r="N141" s="86">
        <f t="shared" si="28"/>
        <v>222.30500000000001</v>
      </c>
      <c r="O141" s="27"/>
      <c r="P141" s="87">
        <f>SUM(B141:D141)</f>
        <v>168.577</v>
      </c>
      <c r="Q141" s="87">
        <f t="shared" si="30"/>
        <v>25.811999999999998</v>
      </c>
      <c r="R141" s="87">
        <f t="shared" si="31"/>
        <v>22.782</v>
      </c>
      <c r="S141" s="87">
        <f t="shared" si="32"/>
        <v>5.1339999999999995</v>
      </c>
    </row>
    <row r="142" spans="1:19" ht="16.5" hidden="1">
      <c r="A142" s="85" t="s">
        <v>77</v>
      </c>
      <c r="B142" s="86">
        <f>'[2]EU Sunflower Exports'!KI$151</f>
        <v>20.742000000000001</v>
      </c>
      <c r="C142" s="86">
        <f>'[2]EU Sunflower Exports'!KJ$151</f>
        <v>25.064</v>
      </c>
      <c r="D142" s="86">
        <f>'[2]EU Sunflower Exports'!KK$151</f>
        <v>11.435</v>
      </c>
      <c r="E142" s="86">
        <f>'[2]EU Sunflower Exports'!KL$151</f>
        <v>15.164999999999999</v>
      </c>
      <c r="F142" s="86">
        <f>'[2]EU Sunflower Exports'!KM$151</f>
        <v>15.827999999999999</v>
      </c>
      <c r="G142" s="86">
        <f>'[2]EU Sunflower Exports'!KN$151</f>
        <v>17.236999999999998</v>
      </c>
      <c r="H142" s="86">
        <f>'[2]EU Sunflower Exports'!KO$151</f>
        <v>9.0950000000000006</v>
      </c>
      <c r="I142" s="86">
        <f>'[2]EU Sunflower Exports'!KP$151</f>
        <v>27.245000000000001</v>
      </c>
      <c r="J142" s="86">
        <f>'[2]EU Sunflower Exports'!KQ$151</f>
        <v>13.817</v>
      </c>
      <c r="K142" s="86">
        <f>'[2]EU Sunflower Exports'!KR$151</f>
        <v>16.206</v>
      </c>
      <c r="L142" s="86">
        <f>'[2]EU Sunflower Exports'!KS$151</f>
        <v>1.048</v>
      </c>
      <c r="M142" s="86">
        <f>'[2]EU Sunflower Exports'!KT$151</f>
        <v>0.45300000000000001</v>
      </c>
      <c r="N142" s="86">
        <f t="shared" si="28"/>
        <v>173.33500000000001</v>
      </c>
      <c r="O142" s="27"/>
      <c r="P142" s="87">
        <f t="shared" ref="P142:P147" si="33">SUM(B142:D142)</f>
        <v>57.241</v>
      </c>
      <c r="Q142" s="87">
        <f t="shared" si="30"/>
        <v>48.23</v>
      </c>
      <c r="R142" s="87">
        <f t="shared" si="31"/>
        <v>50.157000000000004</v>
      </c>
      <c r="S142" s="87">
        <f t="shared" si="32"/>
        <v>17.706999999999997</v>
      </c>
    </row>
    <row r="143" spans="1:19" ht="16.5" hidden="1">
      <c r="A143" s="85" t="s">
        <v>78</v>
      </c>
      <c r="B143" s="86">
        <f>'[2]EU Sunflower Exports'!KU$151</f>
        <v>0.35399999999999998</v>
      </c>
      <c r="C143" s="86">
        <f>'[2]EU Sunflower Exports'!KV$151</f>
        <v>5.2930000000000001</v>
      </c>
      <c r="D143" s="86">
        <f>'[2]EU Sunflower Exports'!KW$151</f>
        <v>3.5720000000000001</v>
      </c>
      <c r="E143" s="86">
        <f>'[2]EU Sunflower Exports'!KX$151</f>
        <v>1.044</v>
      </c>
      <c r="F143" s="86">
        <f>'[2]EU Sunflower Exports'!KY$151</f>
        <v>16.966000000000001</v>
      </c>
      <c r="G143" s="86">
        <f>'[2]EU Sunflower Exports'!KZ$151</f>
        <v>35.332000000000001</v>
      </c>
      <c r="H143" s="86">
        <f>'[2]EU Sunflower Exports'!LA$151</f>
        <v>19.074999999999999</v>
      </c>
      <c r="I143" s="86">
        <f>'[2]EU Sunflower Exports'!LB$151</f>
        <v>5.6989999999999998</v>
      </c>
      <c r="J143" s="86">
        <f>'[2]EU Sunflower Exports'!LC$151</f>
        <v>12.16</v>
      </c>
      <c r="K143" s="86">
        <f>'[2]EU Sunflower Exports'!LD$151</f>
        <v>22.09</v>
      </c>
      <c r="L143" s="86">
        <f>'[2]EU Sunflower Exports'!LE$151</f>
        <v>3.2639999999999998</v>
      </c>
      <c r="M143" s="86">
        <f>'[2]EU Sunflower Exports'!LF$151</f>
        <v>0.57999999999999996</v>
      </c>
      <c r="N143" s="86">
        <f t="shared" si="28"/>
        <v>125.429</v>
      </c>
      <c r="O143" s="27"/>
      <c r="P143" s="87">
        <f t="shared" si="33"/>
        <v>9.2190000000000012</v>
      </c>
      <c r="Q143" s="87">
        <f t="shared" si="30"/>
        <v>53.341999999999999</v>
      </c>
      <c r="R143" s="87">
        <f t="shared" si="31"/>
        <v>36.933999999999997</v>
      </c>
      <c r="S143" s="87">
        <f t="shared" si="32"/>
        <v>25.933999999999997</v>
      </c>
    </row>
    <row r="144" spans="1:19" ht="16.5" hidden="1">
      <c r="A144" s="85" t="s">
        <v>79</v>
      </c>
      <c r="B144" s="86">
        <f>'[2]EU Sunflower Exports'!LG$151</f>
        <v>2.88</v>
      </c>
      <c r="C144" s="86">
        <f>'[2]EU Sunflower Exports'!LH$151</f>
        <v>7.274</v>
      </c>
      <c r="D144" s="86">
        <f>'[2]EU Sunflower Exports'!LI$151</f>
        <v>3.3149999999999999</v>
      </c>
      <c r="E144" s="86">
        <f>'[2]EU Sunflower Exports'!LJ$151</f>
        <v>50.015999999999998</v>
      </c>
      <c r="F144" s="86">
        <f>'[2]EU Sunflower Exports'!LK$151</f>
        <v>17.059000000000001</v>
      </c>
      <c r="G144" s="86">
        <f>'[2]EU Sunflower Exports'!LL$151</f>
        <v>115.148</v>
      </c>
      <c r="H144" s="86">
        <f>'[2]EU Sunflower Exports'!LM$151</f>
        <v>21.75</v>
      </c>
      <c r="I144" s="86">
        <f>'[2]EU Sunflower Exports'!LN$151</f>
        <v>8.3450000000000006</v>
      </c>
      <c r="J144" s="86">
        <f>'[2]EU Sunflower Exports'!LO$151</f>
        <v>22.677</v>
      </c>
      <c r="K144" s="86">
        <f>'[2]EU Sunflower Exports'!LP$151</f>
        <v>50.680999999999997</v>
      </c>
      <c r="L144" s="86">
        <f>'[2]EU Sunflower Exports'!LQ$151</f>
        <v>37.918999999999997</v>
      </c>
      <c r="M144" s="86">
        <f>'[2]EU Sunflower Exports'!LR$151</f>
        <v>7.1999999999999995E-2</v>
      </c>
      <c r="N144" s="86">
        <f t="shared" si="28"/>
        <v>337.13599999999997</v>
      </c>
      <c r="O144" s="27"/>
      <c r="P144" s="87">
        <f t="shared" si="33"/>
        <v>13.468999999999999</v>
      </c>
      <c r="Q144" s="87">
        <f t="shared" si="30"/>
        <v>182.22300000000001</v>
      </c>
      <c r="R144" s="87">
        <f t="shared" si="31"/>
        <v>52.771999999999998</v>
      </c>
      <c r="S144" s="87">
        <f t="shared" si="32"/>
        <v>88.671999999999997</v>
      </c>
    </row>
    <row r="145" spans="1:19" ht="16.5">
      <c r="A145" s="85" t="s">
        <v>80</v>
      </c>
      <c r="B145" s="86">
        <f>'[2]EU Sunflower Exports'!LS$151</f>
        <v>0.55300000000000005</v>
      </c>
      <c r="C145" s="86">
        <f>'[2]EU Sunflower Exports'!LT$151</f>
        <v>21.271999999999998</v>
      </c>
      <c r="D145" s="86">
        <f>'[2]EU Sunflower Exports'!LU$151</f>
        <v>20.747</v>
      </c>
      <c r="E145" s="86">
        <f>'[2]EU Sunflower Exports'!LV$151</f>
        <v>2.1429999999999998</v>
      </c>
      <c r="F145" s="86">
        <f>'[2]EU Sunflower Exports'!LW$151</f>
        <v>30.898</v>
      </c>
      <c r="G145" s="86">
        <f>'[2]EU Sunflower Exports'!LX$151</f>
        <v>44.938000000000002</v>
      </c>
      <c r="H145" s="86">
        <f>'[2]EU Sunflower Exports'!LY$151</f>
        <v>71.180999999999997</v>
      </c>
      <c r="I145" s="86">
        <f>'[2]EU Sunflower Exports'!LZ$151</f>
        <v>72.105000000000004</v>
      </c>
      <c r="J145" s="86">
        <f>'[2]EU Sunflower Exports'!MA$151</f>
        <v>58.945</v>
      </c>
      <c r="K145" s="86">
        <f>'[2]EU Sunflower Exports'!MB$151</f>
        <v>7.2709999999999999</v>
      </c>
      <c r="L145" s="86">
        <f>'[2]EU Sunflower Exports'!MC$151</f>
        <v>0.38600000000000001</v>
      </c>
      <c r="M145" s="86">
        <f>'[2]EU Sunflower Exports'!MD$151</f>
        <v>9.7970000000000006</v>
      </c>
      <c r="N145" s="86">
        <f t="shared" si="28"/>
        <v>340.23600000000005</v>
      </c>
      <c r="O145" s="27"/>
      <c r="P145" s="87">
        <f>SUM(B145:D145)</f>
        <v>42.572000000000003</v>
      </c>
      <c r="Q145" s="87">
        <f>SUM(E145:G145)</f>
        <v>77.978999999999999</v>
      </c>
      <c r="R145" s="87">
        <f>SUM(H145:J145)</f>
        <v>202.23099999999999</v>
      </c>
      <c r="S145" s="87">
        <f>SUM(K145:M145)</f>
        <v>17.454000000000001</v>
      </c>
    </row>
    <row r="146" spans="1:19" ht="16.5">
      <c r="A146" s="85" t="s">
        <v>81</v>
      </c>
      <c r="B146" s="86">
        <f>'[2]EU Sunflower Exports'!ME$151</f>
        <v>95.613</v>
      </c>
      <c r="C146" s="86">
        <f>'[2]EU Sunflower Exports'!MF$151</f>
        <v>5.4539999999999997</v>
      </c>
      <c r="D146" s="86">
        <f>'[2]EU Sunflower Exports'!MG$151</f>
        <v>4.0869999999999997</v>
      </c>
      <c r="E146" s="86">
        <f>'[2]EU Sunflower Exports'!MH$151</f>
        <v>0.24099999999999999</v>
      </c>
      <c r="F146" s="86">
        <f>'[2]EU Sunflower Exports'!MI$151</f>
        <v>0.42599999999999999</v>
      </c>
      <c r="G146" s="86">
        <f>'[2]EU Sunflower Exports'!MJ$151</f>
        <v>6.6669999999999998</v>
      </c>
      <c r="H146" s="86">
        <f>'[2]EU Sunflower Exports'!MK$151</f>
        <v>17.477</v>
      </c>
      <c r="I146" s="86">
        <f>'[2]EU Sunflower Exports'!ML$151</f>
        <v>69.13</v>
      </c>
      <c r="J146" s="86">
        <f>'[2]EU Sunflower Exports'!MM$151</f>
        <v>86.951999999999998</v>
      </c>
      <c r="K146" s="86">
        <f>'[2]EU Sunflower Exports'!MN$151</f>
        <v>79.438000000000002</v>
      </c>
      <c r="L146" s="86">
        <f>'[2]EU Sunflower Exports'!MO$151</f>
        <v>0.192</v>
      </c>
      <c r="M146" s="86">
        <f>'[2]EU Sunflower Exports'!MP$151</f>
        <v>4.8209999999999997</v>
      </c>
      <c r="N146" s="86">
        <f t="shared" si="28"/>
        <v>370.49800000000005</v>
      </c>
      <c r="O146" s="27"/>
      <c r="P146" s="87">
        <f t="shared" si="33"/>
        <v>105.154</v>
      </c>
      <c r="Q146" s="87">
        <f t="shared" si="30"/>
        <v>7.3339999999999996</v>
      </c>
      <c r="R146" s="87">
        <f t="shared" si="31"/>
        <v>173.559</v>
      </c>
      <c r="S146" s="87">
        <f t="shared" si="32"/>
        <v>84.450999999999993</v>
      </c>
    </row>
    <row r="147" spans="1:19" ht="17.25" thickBot="1">
      <c r="A147" s="88" t="s">
        <v>82</v>
      </c>
      <c r="B147" s="89">
        <f>'[2]EU Sunflower Exports'!MQ$151</f>
        <v>14.454000000000001</v>
      </c>
      <c r="C147" s="89">
        <f>'[2]EU Sunflower Exports'!MR$151</f>
        <v>9.4459999999999997</v>
      </c>
      <c r="D147" s="89">
        <f>'[2]EU Sunflower Exports'!MS$151</f>
        <v>24.393000000000001</v>
      </c>
      <c r="E147" s="89">
        <f>'[2]EU Sunflower Exports'!MT$151</f>
        <v>66.281999999999996</v>
      </c>
      <c r="F147" s="89">
        <f>'[2]EU Sunflower Exports'!MU$151</f>
        <v>127.30200000000001</v>
      </c>
      <c r="G147" s="89">
        <f>'[2]EU Sunflower Exports'!MV$151</f>
        <v>107.39400000000001</v>
      </c>
      <c r="H147" s="89">
        <f>'[2]EU Sunflower Exports'!MW$151</f>
        <v>143.434</v>
      </c>
      <c r="I147" s="90">
        <f>(AVERAGE(I142:I146)/AVERAGE($N142:$N146))*$N147-15</f>
        <v>74.765357253715564</v>
      </c>
      <c r="J147" s="90">
        <f>(AVERAGE(J142:J146)/AVERAGE($N142:$N146))*$N147-25</f>
        <v>70.68023941546106</v>
      </c>
      <c r="K147" s="90">
        <f>(AVERAGE(K142:K146)/AVERAGE($N142:$N146))*$N147-20</f>
        <v>66.402426828670599</v>
      </c>
      <c r="L147" s="90">
        <f>(AVERAGE(L142:L146)/AVERAGE($N142:$N146))*$N147-5</f>
        <v>16.053478877705448</v>
      </c>
      <c r="M147" s="90">
        <f>N147-SUM(B147:L147)</f>
        <v>-58.331502375552759</v>
      </c>
      <c r="N147" s="90">
        <f>'Sun Matrix'!AC20</f>
        <v>662.27499999999998</v>
      </c>
      <c r="O147" s="91"/>
      <c r="P147" s="92">
        <f t="shared" si="33"/>
        <v>48.292999999999999</v>
      </c>
      <c r="Q147" s="92">
        <f t="shared" si="30"/>
        <v>300.97800000000001</v>
      </c>
      <c r="R147" s="93">
        <f t="shared" si="31"/>
        <v>288.87959666917664</v>
      </c>
      <c r="S147" s="93">
        <f t="shared" si="32"/>
        <v>24.124403330823284</v>
      </c>
    </row>
    <row r="148" spans="1:19" ht="16.5">
      <c r="A148" s="80" t="s">
        <v>88</v>
      </c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27"/>
      <c r="P148" s="87"/>
      <c r="Q148" s="87"/>
      <c r="R148" s="87"/>
      <c r="S148" s="87"/>
    </row>
    <row r="149" spans="1:19" ht="16.5" hidden="1">
      <c r="A149" s="81" t="s">
        <v>84</v>
      </c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27"/>
      <c r="P149" s="87"/>
      <c r="Q149" s="87"/>
      <c r="R149" s="87"/>
      <c r="S149" s="87"/>
    </row>
    <row r="150" spans="1:19" ht="16.5" hidden="1">
      <c r="A150" s="81" t="s">
        <v>56</v>
      </c>
      <c r="B150" s="86">
        <f>'[2]Russia Sunflower Exports'!AQ$151</f>
        <v>0</v>
      </c>
      <c r="C150" s="86">
        <f>'[2]Russia Sunflower Exports'!AR$151</f>
        <v>0</v>
      </c>
      <c r="D150" s="86">
        <f>'[2]Russia Sunflower Exports'!AS$151</f>
        <v>0</v>
      </c>
      <c r="E150" s="86">
        <f>'[2]Russia Sunflower Exports'!AT$151</f>
        <v>0</v>
      </c>
      <c r="F150" s="86">
        <f>'[2]Russia Sunflower Exports'!AU$151</f>
        <v>0</v>
      </c>
      <c r="G150" s="86">
        <f>'[2]Russia Sunflower Exports'!AV$151</f>
        <v>0</v>
      </c>
      <c r="H150" s="86">
        <f>'[2]Russia Sunflower Exports'!AW$151</f>
        <v>0</v>
      </c>
      <c r="I150" s="86">
        <f>'[2]Russia Sunflower Exports'!AX$151</f>
        <v>0</v>
      </c>
      <c r="J150" s="86">
        <f>'[2]Russia Sunflower Exports'!AY$151</f>
        <v>0</v>
      </c>
      <c r="K150" s="86">
        <f>'[2]Russia Sunflower Exports'!AZ$151</f>
        <v>0</v>
      </c>
      <c r="L150" s="86">
        <f>'[2]Russia Sunflower Exports'!BA$151</f>
        <v>0</v>
      </c>
      <c r="M150" s="86">
        <f>'[2]Russia Sunflower Exports'!BB$151</f>
        <v>0</v>
      </c>
      <c r="N150" s="86">
        <f>SUM(B150:M150)</f>
        <v>0</v>
      </c>
      <c r="O150" s="27"/>
      <c r="P150" s="87">
        <f>SUM(B150:D150)</f>
        <v>0</v>
      </c>
      <c r="Q150" s="87">
        <f>SUM(E150:G150)</f>
        <v>0</v>
      </c>
      <c r="R150" s="87">
        <f>SUM(H150:J150)</f>
        <v>0</v>
      </c>
      <c r="S150" s="87">
        <f>SUM(K150:M150)</f>
        <v>0</v>
      </c>
    </row>
    <row r="151" spans="1:19" ht="16.5" hidden="1">
      <c r="A151" s="81" t="s">
        <v>57</v>
      </c>
      <c r="B151" s="86">
        <f>'[2]Russia Sunflower Exports'!BC$151</f>
        <v>0</v>
      </c>
      <c r="C151" s="86">
        <f>'[2]Russia Sunflower Exports'!BD$151</f>
        <v>0</v>
      </c>
      <c r="D151" s="86">
        <f>'[2]Russia Sunflower Exports'!BE$151</f>
        <v>0</v>
      </c>
      <c r="E151" s="86">
        <f>'[2]Russia Sunflower Exports'!BF$151</f>
        <v>0</v>
      </c>
      <c r="F151" s="86">
        <f>'[2]Russia Sunflower Exports'!BG$151</f>
        <v>0</v>
      </c>
      <c r="G151" s="86">
        <f>'[2]Russia Sunflower Exports'!BH$151</f>
        <v>0</v>
      </c>
      <c r="H151" s="86">
        <f>'[2]Russia Sunflower Exports'!BI$151</f>
        <v>0</v>
      </c>
      <c r="I151" s="86">
        <f>'[2]Russia Sunflower Exports'!BJ$151</f>
        <v>0</v>
      </c>
      <c r="J151" s="86">
        <f>'[2]Russia Sunflower Exports'!BK$151</f>
        <v>0</v>
      </c>
      <c r="K151" s="86">
        <f>'[2]Russia Sunflower Exports'!BL$151</f>
        <v>0</v>
      </c>
      <c r="L151" s="86">
        <f>'[2]Russia Sunflower Exports'!BM$151</f>
        <v>0</v>
      </c>
      <c r="M151" s="86">
        <f>'[2]Russia Sunflower Exports'!BN$151</f>
        <v>0</v>
      </c>
      <c r="N151" s="86">
        <f t="shared" ref="N151:N175" si="34">SUM(B151:M151)</f>
        <v>0</v>
      </c>
      <c r="O151" s="27"/>
      <c r="P151" s="87">
        <f t="shared" ref="P151:P169" si="35">SUM(B151:D151)</f>
        <v>0</v>
      </c>
      <c r="Q151" s="87">
        <f t="shared" ref="Q151:Q176" si="36">SUM(E151:G151)</f>
        <v>0</v>
      </c>
      <c r="R151" s="87">
        <f t="shared" ref="R151:R176" si="37">SUM(H151:J151)</f>
        <v>0</v>
      </c>
      <c r="S151" s="87">
        <f t="shared" ref="S151:S176" si="38">SUM(K151:M151)</f>
        <v>0</v>
      </c>
    </row>
    <row r="152" spans="1:19" ht="16.5" hidden="1">
      <c r="A152" s="81" t="s">
        <v>58</v>
      </c>
      <c r="B152" s="86">
        <f>'[2]Russia Sunflower Exports'!BO$151</f>
        <v>0</v>
      </c>
      <c r="C152" s="86">
        <f>'[2]Russia Sunflower Exports'!BP$151</f>
        <v>0</v>
      </c>
      <c r="D152" s="86">
        <f>'[2]Russia Sunflower Exports'!BQ$151</f>
        <v>0</v>
      </c>
      <c r="E152" s="86">
        <f>'[2]Russia Sunflower Exports'!BR$151</f>
        <v>0</v>
      </c>
      <c r="F152" s="86">
        <f>'[2]Russia Sunflower Exports'!BS$151</f>
        <v>14.597340000000001</v>
      </c>
      <c r="G152" s="86">
        <f>'[2]Russia Sunflower Exports'!BT$151</f>
        <v>12.305</v>
      </c>
      <c r="H152" s="86">
        <f>'[2]Russia Sunflower Exports'!BU$151</f>
        <v>28.597083999999999</v>
      </c>
      <c r="I152" s="86">
        <f>'[2]Russia Sunflower Exports'!BV$151</f>
        <v>21.883626</v>
      </c>
      <c r="J152" s="86">
        <f>'[2]Russia Sunflower Exports'!BW$151</f>
        <v>12.974399999999999</v>
      </c>
      <c r="K152" s="86">
        <f>'[2]Russia Sunflower Exports'!BX$151</f>
        <v>8.8201809999999998</v>
      </c>
      <c r="L152" s="86">
        <f>'[2]Russia Sunflower Exports'!BY$151</f>
        <v>2.9413900000000002</v>
      </c>
      <c r="M152" s="86">
        <f>'[2]Russia Sunflower Exports'!BZ$151</f>
        <v>0</v>
      </c>
      <c r="N152" s="86">
        <f t="shared" si="34"/>
        <v>102.119021</v>
      </c>
      <c r="O152" s="27"/>
      <c r="P152" s="87">
        <f t="shared" si="35"/>
        <v>0</v>
      </c>
      <c r="Q152" s="87">
        <f t="shared" si="36"/>
        <v>26.902340000000002</v>
      </c>
      <c r="R152" s="87">
        <f t="shared" si="37"/>
        <v>63.455110000000005</v>
      </c>
      <c r="S152" s="87">
        <f t="shared" si="38"/>
        <v>11.761571</v>
      </c>
    </row>
    <row r="153" spans="1:19" ht="16.5" hidden="1">
      <c r="A153" s="81" t="s">
        <v>59</v>
      </c>
      <c r="B153" s="86">
        <f>'[2]Russia Sunflower Exports'!CA$151</f>
        <v>19.423393000000001</v>
      </c>
      <c r="C153" s="86">
        <f>'[2]Russia Sunflower Exports'!CB$151</f>
        <v>47.652437999999997</v>
      </c>
      <c r="D153" s="86">
        <f>'[2]Russia Sunflower Exports'!CC$151</f>
        <v>60.047384999999998</v>
      </c>
      <c r="E153" s="86">
        <f>'[2]Russia Sunflower Exports'!CD$151</f>
        <v>41.557380999999999</v>
      </c>
      <c r="F153" s="86">
        <f>'[2]Russia Sunflower Exports'!CE$151</f>
        <v>17.796987999999999</v>
      </c>
      <c r="G153" s="86">
        <f>'[2]Russia Sunflower Exports'!CF$151</f>
        <v>12.867592999999999</v>
      </c>
      <c r="H153" s="86">
        <f>'[2]Russia Sunflower Exports'!CG$151</f>
        <v>20.063488</v>
      </c>
      <c r="I153" s="86">
        <f>'[2]Russia Sunflower Exports'!CH$151</f>
        <v>24.671724999999999</v>
      </c>
      <c r="J153" s="86">
        <f>'[2]Russia Sunflower Exports'!CI$151</f>
        <v>14.165778</v>
      </c>
      <c r="K153" s="86">
        <f>'[2]Russia Sunflower Exports'!CJ$151</f>
        <v>5.2625770000000003</v>
      </c>
      <c r="L153" s="86">
        <f>'[2]Russia Sunflower Exports'!CK$151</f>
        <v>6.8754759999999999</v>
      </c>
      <c r="M153" s="86">
        <f>'[2]Russia Sunflower Exports'!CL$151</f>
        <v>0</v>
      </c>
      <c r="N153" s="86">
        <f t="shared" si="34"/>
        <v>270.38422200000002</v>
      </c>
      <c r="O153" s="27"/>
      <c r="P153" s="87">
        <f t="shared" si="35"/>
        <v>127.12321599999999</v>
      </c>
      <c r="Q153" s="87">
        <f t="shared" si="36"/>
        <v>72.221961999999991</v>
      </c>
      <c r="R153" s="87">
        <f t="shared" si="37"/>
        <v>58.900991000000005</v>
      </c>
      <c r="S153" s="87">
        <f t="shared" si="38"/>
        <v>12.138052999999999</v>
      </c>
    </row>
    <row r="154" spans="1:19" ht="16.5" hidden="1">
      <c r="A154" s="81" t="s">
        <v>60</v>
      </c>
      <c r="B154" s="86">
        <f>'[2]Russia Sunflower Exports'!CM$151</f>
        <v>17.795169999999999</v>
      </c>
      <c r="C154" s="86">
        <f>'[2]Russia Sunflower Exports'!CN$151</f>
        <v>148.87832700000001</v>
      </c>
      <c r="D154" s="86">
        <f>'[2]Russia Sunflower Exports'!CO$151</f>
        <v>78.980180000000004</v>
      </c>
      <c r="E154" s="86">
        <f>'[2]Russia Sunflower Exports'!CP$151</f>
        <v>47.471846999999997</v>
      </c>
      <c r="F154" s="86">
        <f>'[2]Russia Sunflower Exports'!CQ$151</f>
        <v>40.257919999999999</v>
      </c>
      <c r="G154" s="86">
        <f>'[2]Russia Sunflower Exports'!CR$151</f>
        <v>6.36036</v>
      </c>
      <c r="H154" s="86">
        <f>'[2]Russia Sunflower Exports'!CS$151</f>
        <v>3.1158549999999998</v>
      </c>
      <c r="I154" s="86">
        <f>'[2]Russia Sunflower Exports'!CT$151</f>
        <v>0.25145000000000001</v>
      </c>
      <c r="J154" s="86">
        <f>'[2]Russia Sunflower Exports'!CU$151</f>
        <v>0</v>
      </c>
      <c r="K154" s="86">
        <f>'[2]Russia Sunflower Exports'!CV$151</f>
        <v>0</v>
      </c>
      <c r="L154" s="86">
        <f>'[2]Russia Sunflower Exports'!CW$151</f>
        <v>0</v>
      </c>
      <c r="M154" s="86">
        <f>'[2]Russia Sunflower Exports'!CX$151</f>
        <v>0</v>
      </c>
      <c r="N154" s="86">
        <f t="shared" si="34"/>
        <v>343.11110900000006</v>
      </c>
      <c r="O154" s="27"/>
      <c r="P154" s="87">
        <f t="shared" si="35"/>
        <v>245.65367700000002</v>
      </c>
      <c r="Q154" s="87">
        <f t="shared" si="36"/>
        <v>94.090126999999995</v>
      </c>
      <c r="R154" s="87">
        <f t="shared" si="37"/>
        <v>3.367305</v>
      </c>
      <c r="S154" s="87">
        <f t="shared" si="38"/>
        <v>0</v>
      </c>
    </row>
    <row r="155" spans="1:19" ht="16.5" hidden="1">
      <c r="A155" s="81" t="s">
        <v>61</v>
      </c>
      <c r="B155" s="86">
        <f>'[2]Russia Sunflower Exports'!CY$151</f>
        <v>0</v>
      </c>
      <c r="C155" s="86">
        <f>'[2]Russia Sunflower Exports'!CZ$151</f>
        <v>6.0820160000000003</v>
      </c>
      <c r="D155" s="86">
        <f>'[2]Russia Sunflower Exports'!DA$151</f>
        <v>55.793872</v>
      </c>
      <c r="E155" s="86">
        <f>'[2]Russia Sunflower Exports'!DB$151</f>
        <v>28.84957</v>
      </c>
      <c r="F155" s="86">
        <f>'[2]Russia Sunflower Exports'!DC$151</f>
        <v>20.689468999999999</v>
      </c>
      <c r="G155" s="86">
        <f>'[2]Russia Sunflower Exports'!DD$151</f>
        <v>41.616022000000001</v>
      </c>
      <c r="H155" s="86">
        <f>'[2]Russia Sunflower Exports'!DE$151</f>
        <v>45.793480000000002</v>
      </c>
      <c r="I155" s="86">
        <f>'[2]Russia Sunflower Exports'!DF$151</f>
        <v>28.460864000000001</v>
      </c>
      <c r="J155" s="86">
        <f>'[2]Russia Sunflower Exports'!DG$151</f>
        <v>22.118805999999999</v>
      </c>
      <c r="K155" s="86">
        <f>'[2]Russia Sunflower Exports'!DH$151</f>
        <v>19.990425999999999</v>
      </c>
      <c r="L155" s="86">
        <f>'[2]Russia Sunflower Exports'!DI$151</f>
        <v>14.314069999999999</v>
      </c>
      <c r="M155" s="86">
        <f>'[2]Russia Sunflower Exports'!DJ$151</f>
        <v>4.0247609999999998</v>
      </c>
      <c r="N155" s="86">
        <f t="shared" si="34"/>
        <v>287.73335600000007</v>
      </c>
      <c r="O155" s="27"/>
      <c r="P155" s="87">
        <f t="shared" si="35"/>
        <v>61.875888000000003</v>
      </c>
      <c r="Q155" s="87">
        <f t="shared" si="36"/>
        <v>91.155061000000003</v>
      </c>
      <c r="R155" s="87">
        <f t="shared" si="37"/>
        <v>96.37315000000001</v>
      </c>
      <c r="S155" s="87">
        <f t="shared" si="38"/>
        <v>38.329256999999998</v>
      </c>
    </row>
    <row r="156" spans="1:19" ht="16.5" hidden="1">
      <c r="A156" s="81" t="s">
        <v>62</v>
      </c>
      <c r="B156" s="86">
        <f>'[2]Russia Sunflower Exports'!DK$151</f>
        <v>11.05664</v>
      </c>
      <c r="C156" s="86">
        <f>'[2]Russia Sunflower Exports'!DL$151</f>
        <v>65.996453000000002</v>
      </c>
      <c r="D156" s="86">
        <f>'[2]Russia Sunflower Exports'!DM$151</f>
        <v>89.903267</v>
      </c>
      <c r="E156" s="86">
        <f>'[2]Russia Sunflower Exports'!DN$151</f>
        <v>58.164098000000003</v>
      </c>
      <c r="F156" s="86">
        <f>'[2]Russia Sunflower Exports'!DO$151</f>
        <v>9.3665839999999996</v>
      </c>
      <c r="G156" s="86">
        <f>'[2]Russia Sunflower Exports'!DP$151</f>
        <v>16.393713000000002</v>
      </c>
      <c r="H156" s="86">
        <f>'[2]Russia Sunflower Exports'!DQ$151</f>
        <v>0</v>
      </c>
      <c r="I156" s="86">
        <f>'[2]Russia Sunflower Exports'!DR$151</f>
        <v>0</v>
      </c>
      <c r="J156" s="86">
        <f>'[2]Russia Sunflower Exports'!DS$151</f>
        <v>0</v>
      </c>
      <c r="K156" s="86">
        <f>'[2]Russia Sunflower Exports'!DT$151</f>
        <v>0</v>
      </c>
      <c r="L156" s="86">
        <f>'[2]Russia Sunflower Exports'!DU$151</f>
        <v>0</v>
      </c>
      <c r="M156" s="86">
        <f>'[2]Russia Sunflower Exports'!DV$151</f>
        <v>0</v>
      </c>
      <c r="N156" s="86">
        <f t="shared" si="34"/>
        <v>250.88075499999999</v>
      </c>
      <c r="O156" s="27"/>
      <c r="P156" s="87">
        <f t="shared" si="35"/>
        <v>166.95636000000002</v>
      </c>
      <c r="Q156" s="87">
        <f t="shared" si="36"/>
        <v>83.924395000000004</v>
      </c>
      <c r="R156" s="87">
        <f t="shared" si="37"/>
        <v>0</v>
      </c>
      <c r="S156" s="87">
        <f t="shared" si="38"/>
        <v>0</v>
      </c>
    </row>
    <row r="157" spans="1:19" ht="16.5" hidden="1">
      <c r="A157" s="81" t="s">
        <v>63</v>
      </c>
      <c r="B157" s="86">
        <f>'[2]Russia Sunflower Exports'!DW$151</f>
        <v>0</v>
      </c>
      <c r="C157" s="86">
        <f>'[2]Russia Sunflower Exports'!DX$151</f>
        <v>0</v>
      </c>
      <c r="D157" s="86">
        <f>'[2]Russia Sunflower Exports'!DY$151</f>
        <v>1.8099000000000001</v>
      </c>
      <c r="E157" s="86">
        <f>'[2]Russia Sunflower Exports'!DZ$151</f>
        <v>0</v>
      </c>
      <c r="F157" s="86">
        <f>'[2]Russia Sunflower Exports'!EA$151</f>
        <v>0</v>
      </c>
      <c r="G157" s="86">
        <f>'[2]Russia Sunflower Exports'!EB$151</f>
        <v>0</v>
      </c>
      <c r="H157" s="86">
        <f>'[2]Russia Sunflower Exports'!EC$151</f>
        <v>0</v>
      </c>
      <c r="I157" s="86">
        <f>'[2]Russia Sunflower Exports'!ED$151</f>
        <v>0</v>
      </c>
      <c r="J157" s="86">
        <f>'[2]Russia Sunflower Exports'!EE$151</f>
        <v>0</v>
      </c>
      <c r="K157" s="86">
        <f>'[2]Russia Sunflower Exports'!EF$151</f>
        <v>0</v>
      </c>
      <c r="L157" s="86">
        <f>'[2]Russia Sunflower Exports'!EG$151</f>
        <v>0</v>
      </c>
      <c r="M157" s="86">
        <f>'[2]Russia Sunflower Exports'!EH$151</f>
        <v>0</v>
      </c>
      <c r="N157" s="86">
        <f t="shared" si="34"/>
        <v>1.8099000000000001</v>
      </c>
      <c r="O157" s="27"/>
      <c r="P157" s="87">
        <f t="shared" si="35"/>
        <v>1.8099000000000001</v>
      </c>
      <c r="Q157" s="87">
        <f t="shared" si="36"/>
        <v>0</v>
      </c>
      <c r="R157" s="87">
        <f t="shared" si="37"/>
        <v>0</v>
      </c>
      <c r="S157" s="87">
        <f t="shared" si="38"/>
        <v>0</v>
      </c>
    </row>
    <row r="158" spans="1:19" ht="16.5" hidden="1">
      <c r="A158" s="81" t="s">
        <v>64</v>
      </c>
      <c r="B158" s="86">
        <f>'[2]Russia Sunflower Exports'!EI$151</f>
        <v>0</v>
      </c>
      <c r="C158" s="86">
        <f>'[2]Russia Sunflower Exports'!EJ$151</f>
        <v>3.7850000000000001</v>
      </c>
      <c r="D158" s="86">
        <f>'[2]Russia Sunflower Exports'!EK$151</f>
        <v>0.94899999999999995</v>
      </c>
      <c r="E158" s="86">
        <f>'[2]Russia Sunflower Exports'!EL$151</f>
        <v>0</v>
      </c>
      <c r="F158" s="86">
        <f>'[2]Russia Sunflower Exports'!EM$151</f>
        <v>3.9540000000000002</v>
      </c>
      <c r="G158" s="86">
        <f>'[2]Russia Sunflower Exports'!EN$151</f>
        <v>0</v>
      </c>
      <c r="H158" s="86">
        <f>'[2]Russia Sunflower Exports'!EO$151</f>
        <v>12.236000000000001</v>
      </c>
      <c r="I158" s="86">
        <f>'[2]Russia Sunflower Exports'!EP$151</f>
        <v>2.2410000000000001</v>
      </c>
      <c r="J158" s="86">
        <f>'[2]Russia Sunflower Exports'!EQ$151</f>
        <v>1.8</v>
      </c>
      <c r="K158" s="86">
        <f>'[2]Russia Sunflower Exports'!ER$151</f>
        <v>1.032</v>
      </c>
      <c r="L158" s="86">
        <f>'[2]Russia Sunflower Exports'!ES$151</f>
        <v>0</v>
      </c>
      <c r="M158" s="86">
        <f>'[2]Russia Sunflower Exports'!ET$151</f>
        <v>0</v>
      </c>
      <c r="N158" s="86">
        <f t="shared" si="34"/>
        <v>25.997</v>
      </c>
      <c r="O158" s="27"/>
      <c r="P158" s="87">
        <f t="shared" si="35"/>
        <v>4.734</v>
      </c>
      <c r="Q158" s="87">
        <f t="shared" si="36"/>
        <v>3.9540000000000002</v>
      </c>
      <c r="R158" s="87">
        <f t="shared" si="37"/>
        <v>16.277000000000001</v>
      </c>
      <c r="S158" s="87">
        <f t="shared" si="38"/>
        <v>1.032</v>
      </c>
    </row>
    <row r="159" spans="1:19" ht="16.5" hidden="1">
      <c r="A159" s="83" t="s">
        <v>65</v>
      </c>
      <c r="B159" s="86">
        <f>'[2]Russia Sunflower Exports'!EU$151</f>
        <v>0</v>
      </c>
      <c r="C159" s="86">
        <f>'[2]Russia Sunflower Exports'!EV$151</f>
        <v>16.878</v>
      </c>
      <c r="D159" s="86">
        <f>'[2]Russia Sunflower Exports'!EW$151</f>
        <v>39.302999999999997</v>
      </c>
      <c r="E159" s="86">
        <f>'[2]Russia Sunflower Exports'!EX$151</f>
        <v>29.664000000000001</v>
      </c>
      <c r="F159" s="86">
        <f>'[2]Russia Sunflower Exports'!EY$151</f>
        <v>14.473000000000001</v>
      </c>
      <c r="G159" s="86">
        <f>'[2]Russia Sunflower Exports'!EZ$151</f>
        <v>7.5919999999999996</v>
      </c>
      <c r="H159" s="86">
        <f>'[2]Russia Sunflower Exports'!FA$151</f>
        <v>5.1989999999999998</v>
      </c>
      <c r="I159" s="86">
        <f>'[2]Russia Sunflower Exports'!FB$151</f>
        <v>7.6639999999999997</v>
      </c>
      <c r="J159" s="86">
        <f>'[2]Russia Sunflower Exports'!FC$151</f>
        <v>0</v>
      </c>
      <c r="K159" s="86">
        <f>'[2]Russia Sunflower Exports'!FD$151</f>
        <v>0</v>
      </c>
      <c r="L159" s="86">
        <f>'[2]Russia Sunflower Exports'!FE$151</f>
        <v>4</v>
      </c>
      <c r="M159" s="86">
        <f>'[2]Russia Sunflower Exports'!FF$151</f>
        <v>0</v>
      </c>
      <c r="N159" s="86">
        <f t="shared" si="34"/>
        <v>124.773</v>
      </c>
      <c r="O159" s="27"/>
      <c r="P159" s="87">
        <f t="shared" si="35"/>
        <v>56.180999999999997</v>
      </c>
      <c r="Q159" s="87">
        <f t="shared" si="36"/>
        <v>51.728999999999999</v>
      </c>
      <c r="R159" s="87">
        <f t="shared" si="37"/>
        <v>12.863</v>
      </c>
      <c r="S159" s="87">
        <f t="shared" si="38"/>
        <v>4</v>
      </c>
    </row>
    <row r="160" spans="1:19" ht="16.5" hidden="1">
      <c r="A160" s="83" t="s">
        <v>66</v>
      </c>
      <c r="B160" s="86">
        <f>'[2]Russia Sunflower Exports'!FG$151</f>
        <v>0</v>
      </c>
      <c r="C160" s="86">
        <f>'[2]Russia Sunflower Exports'!FH$151</f>
        <v>0</v>
      </c>
      <c r="D160" s="86">
        <f>'[2]Russia Sunflower Exports'!FI$151</f>
        <v>0</v>
      </c>
      <c r="E160" s="86">
        <f>'[2]Russia Sunflower Exports'!FJ$151</f>
        <v>0</v>
      </c>
      <c r="F160" s="86">
        <f>'[2]Russia Sunflower Exports'!FK$151</f>
        <v>0</v>
      </c>
      <c r="G160" s="86">
        <f>'[2]Russia Sunflower Exports'!FL$151</f>
        <v>0</v>
      </c>
      <c r="H160" s="86">
        <f>'[2]Russia Sunflower Exports'!FM$151</f>
        <v>0</v>
      </c>
      <c r="I160" s="86">
        <f>'[2]Russia Sunflower Exports'!FN$151</f>
        <v>3.7349999999999999</v>
      </c>
      <c r="J160" s="86">
        <f>'[2]Russia Sunflower Exports'!FO$151</f>
        <v>7.4550000000000001</v>
      </c>
      <c r="K160" s="86">
        <f>'[2]Russia Sunflower Exports'!FP$151</f>
        <v>0</v>
      </c>
      <c r="L160" s="86">
        <f>'[2]Russia Sunflower Exports'!FQ$151</f>
        <v>0</v>
      </c>
      <c r="M160" s="86">
        <f>'[2]Russia Sunflower Exports'!FR$151</f>
        <v>0</v>
      </c>
      <c r="N160" s="86">
        <f t="shared" si="34"/>
        <v>11.19</v>
      </c>
      <c r="O160" s="27"/>
      <c r="P160" s="87">
        <f t="shared" si="35"/>
        <v>0</v>
      </c>
      <c r="Q160" s="87">
        <f t="shared" si="36"/>
        <v>0</v>
      </c>
      <c r="R160" s="87">
        <f t="shared" si="37"/>
        <v>11.19</v>
      </c>
      <c r="S160" s="87">
        <f t="shared" si="38"/>
        <v>0</v>
      </c>
    </row>
    <row r="161" spans="1:19" ht="16.5" hidden="1">
      <c r="A161" s="84" t="s">
        <v>67</v>
      </c>
      <c r="B161" s="86">
        <f>'[2]Russia Sunflower Exports'!FS$151</f>
        <v>3.8239999999999998</v>
      </c>
      <c r="C161" s="86">
        <f>'[2]Russia Sunflower Exports'!FT$151</f>
        <v>11.763999999999999</v>
      </c>
      <c r="D161" s="86">
        <f>'[2]Russia Sunflower Exports'!FU$151</f>
        <v>9.2829999999999995</v>
      </c>
      <c r="E161" s="86">
        <f>'[2]Russia Sunflower Exports'!FV$151</f>
        <v>30.224</v>
      </c>
      <c r="F161" s="86">
        <f>'[2]Russia Sunflower Exports'!FW$151</f>
        <v>7.4249999999999998</v>
      </c>
      <c r="G161" s="86">
        <f>'[2]Russia Sunflower Exports'!FX$151</f>
        <v>0</v>
      </c>
      <c r="H161" s="86">
        <f>'[2]Russia Sunflower Exports'!FY$151</f>
        <v>13.763999999999999</v>
      </c>
      <c r="I161" s="86">
        <f>'[2]Russia Sunflower Exports'!FZ$151</f>
        <v>9.6440000000000001</v>
      </c>
      <c r="J161" s="86">
        <f>'[2]Russia Sunflower Exports'!GA$151</f>
        <v>0</v>
      </c>
      <c r="K161" s="86">
        <f>'[2]Russia Sunflower Exports'!GB$151</f>
        <v>1.597</v>
      </c>
      <c r="L161" s="86">
        <f>'[2]Russia Sunflower Exports'!GC$151</f>
        <v>0</v>
      </c>
      <c r="M161" s="86">
        <f>'[2]Russia Sunflower Exports'!GD$151</f>
        <v>0</v>
      </c>
      <c r="N161" s="86">
        <f t="shared" si="34"/>
        <v>87.524999999999991</v>
      </c>
      <c r="O161" s="27"/>
      <c r="P161" s="87">
        <f t="shared" si="35"/>
        <v>24.870999999999999</v>
      </c>
      <c r="Q161" s="87">
        <f t="shared" si="36"/>
        <v>37.649000000000001</v>
      </c>
      <c r="R161" s="87">
        <f t="shared" si="37"/>
        <v>23.408000000000001</v>
      </c>
      <c r="S161" s="87">
        <f t="shared" si="38"/>
        <v>1.597</v>
      </c>
    </row>
    <row r="162" spans="1:19" ht="16.5" hidden="1">
      <c r="A162" s="83" t="s">
        <v>68</v>
      </c>
      <c r="B162" s="86">
        <f>'[2]Russia Sunflower Exports'!GE$151</f>
        <v>0</v>
      </c>
      <c r="C162" s="86">
        <f>'[2]Russia Sunflower Exports'!GF$151</f>
        <v>0</v>
      </c>
      <c r="D162" s="86">
        <f>'[2]Russia Sunflower Exports'!GG$151</f>
        <v>0</v>
      </c>
      <c r="E162" s="86">
        <f>'[2]Russia Sunflower Exports'!GH$151</f>
        <v>0</v>
      </c>
      <c r="F162" s="86">
        <f>'[2]Russia Sunflower Exports'!GI$151</f>
        <v>0</v>
      </c>
      <c r="G162" s="86">
        <f>'[2]Russia Sunflower Exports'!GJ$151</f>
        <v>0</v>
      </c>
      <c r="H162" s="86">
        <f>'[2]Russia Sunflower Exports'!GK$151</f>
        <v>5.2999999999999999E-2</v>
      </c>
      <c r="I162" s="86">
        <f>'[2]Russia Sunflower Exports'!GL$151</f>
        <v>0</v>
      </c>
      <c r="J162" s="86">
        <f>'[2]Russia Sunflower Exports'!GM$151</f>
        <v>0</v>
      </c>
      <c r="K162" s="86">
        <f>'[2]Russia Sunflower Exports'!GN$151</f>
        <v>0</v>
      </c>
      <c r="L162" s="86">
        <f>'[2]Russia Sunflower Exports'!GO$151</f>
        <v>0</v>
      </c>
      <c r="M162" s="86">
        <f>'[2]Russia Sunflower Exports'!GP$151</f>
        <v>0</v>
      </c>
      <c r="N162" s="86">
        <f t="shared" si="34"/>
        <v>5.2999999999999999E-2</v>
      </c>
      <c r="O162" s="27"/>
      <c r="P162" s="87">
        <f t="shared" si="35"/>
        <v>0</v>
      </c>
      <c r="Q162" s="87">
        <f t="shared" si="36"/>
        <v>0</v>
      </c>
      <c r="R162" s="87">
        <f t="shared" si="37"/>
        <v>5.2999999999999999E-2</v>
      </c>
      <c r="S162" s="87">
        <f t="shared" si="38"/>
        <v>0</v>
      </c>
    </row>
    <row r="163" spans="1:19" ht="16.5" hidden="1">
      <c r="A163" s="84" t="s">
        <v>69</v>
      </c>
      <c r="B163" s="86">
        <f>'[2]Russia Sunflower Exports'!GQ$151</f>
        <v>0</v>
      </c>
      <c r="C163" s="86">
        <f>'[2]Russia Sunflower Exports'!GR$151</f>
        <v>0</v>
      </c>
      <c r="D163" s="86">
        <f>'[2]Russia Sunflower Exports'!GS$151</f>
        <v>0</v>
      </c>
      <c r="E163" s="86">
        <f>'[2]Russia Sunflower Exports'!GT$151</f>
        <v>0</v>
      </c>
      <c r="F163" s="86">
        <f>'[2]Russia Sunflower Exports'!GU$151</f>
        <v>0</v>
      </c>
      <c r="G163" s="86">
        <f>'[2]Russia Sunflower Exports'!GV$151</f>
        <v>0</v>
      </c>
      <c r="H163" s="86">
        <f>'[2]Russia Sunflower Exports'!GW$151</f>
        <v>0</v>
      </c>
      <c r="I163" s="86">
        <f>'[2]Russia Sunflower Exports'!GX$151</f>
        <v>0</v>
      </c>
      <c r="J163" s="86">
        <f>'[2]Russia Sunflower Exports'!GY$151</f>
        <v>0</v>
      </c>
      <c r="K163" s="86">
        <f>'[2]Russia Sunflower Exports'!GZ$151</f>
        <v>0</v>
      </c>
      <c r="L163" s="86">
        <f>'[2]Russia Sunflower Exports'!HA$151</f>
        <v>0</v>
      </c>
      <c r="M163" s="86">
        <f>'[2]Russia Sunflower Exports'!HB$151</f>
        <v>0</v>
      </c>
      <c r="N163" s="86">
        <f t="shared" si="34"/>
        <v>0</v>
      </c>
      <c r="O163" s="27"/>
      <c r="P163" s="87">
        <f t="shared" si="35"/>
        <v>0</v>
      </c>
      <c r="Q163" s="87">
        <f t="shared" si="36"/>
        <v>0</v>
      </c>
      <c r="R163" s="87">
        <f t="shared" si="37"/>
        <v>0</v>
      </c>
      <c r="S163" s="87">
        <f t="shared" si="38"/>
        <v>0</v>
      </c>
    </row>
    <row r="164" spans="1:19" ht="16.5" hidden="1">
      <c r="A164" s="84" t="s">
        <v>70</v>
      </c>
      <c r="B164" s="86">
        <f>'[2]Russia Sunflower Exports'!HC$151</f>
        <v>0</v>
      </c>
      <c r="C164" s="86">
        <f>'[2]Russia Sunflower Exports'!HD$151</f>
        <v>0</v>
      </c>
      <c r="D164" s="86">
        <f>'[2]Russia Sunflower Exports'!HE$151</f>
        <v>3.9390000000000001</v>
      </c>
      <c r="E164" s="86">
        <f>'[2]Russia Sunflower Exports'!HF$151</f>
        <v>5.8659999999999997</v>
      </c>
      <c r="F164" s="86">
        <f>'[2]Russia Sunflower Exports'!HG$151</f>
        <v>0</v>
      </c>
      <c r="G164" s="86">
        <f>'[2]Russia Sunflower Exports'!HH$151</f>
        <v>0</v>
      </c>
      <c r="H164" s="86">
        <f>'[2]Russia Sunflower Exports'!HI$151</f>
        <v>0</v>
      </c>
      <c r="I164" s="86">
        <f>'[2]Russia Sunflower Exports'!HJ$151</f>
        <v>0</v>
      </c>
      <c r="J164" s="86">
        <f>'[2]Russia Sunflower Exports'!HK$151</f>
        <v>0</v>
      </c>
      <c r="K164" s="86">
        <f>'[2]Russia Sunflower Exports'!HL$151</f>
        <v>0</v>
      </c>
      <c r="L164" s="86">
        <f>'[2]Russia Sunflower Exports'!HM$151</f>
        <v>0</v>
      </c>
      <c r="M164" s="86">
        <f>'[2]Russia Sunflower Exports'!HN$151</f>
        <v>0</v>
      </c>
      <c r="N164" s="86">
        <f t="shared" si="34"/>
        <v>9.8049999999999997</v>
      </c>
      <c r="O164" s="27"/>
      <c r="P164" s="87">
        <f t="shared" si="35"/>
        <v>3.9390000000000001</v>
      </c>
      <c r="Q164" s="87">
        <f t="shared" si="36"/>
        <v>5.8659999999999997</v>
      </c>
      <c r="R164" s="87">
        <f t="shared" si="37"/>
        <v>0</v>
      </c>
      <c r="S164" s="87">
        <f t="shared" si="38"/>
        <v>0</v>
      </c>
    </row>
    <row r="165" spans="1:19" ht="16.5" hidden="1">
      <c r="A165" s="83" t="s">
        <v>71</v>
      </c>
      <c r="B165" s="86">
        <f>'[2]Russia Sunflower Exports'!HO$151</f>
        <v>0</v>
      </c>
      <c r="C165" s="86">
        <f>'[2]Russia Sunflower Exports'!HP$151</f>
        <v>0</v>
      </c>
      <c r="D165" s="86">
        <f>'[2]Russia Sunflower Exports'!HQ$151</f>
        <v>0</v>
      </c>
      <c r="E165" s="86">
        <f>'[2]Russia Sunflower Exports'!HR$151</f>
        <v>0</v>
      </c>
      <c r="F165" s="86">
        <f>'[2]Russia Sunflower Exports'!HS$151</f>
        <v>0</v>
      </c>
      <c r="G165" s="86">
        <f>'[2]Russia Sunflower Exports'!HT$151</f>
        <v>0</v>
      </c>
      <c r="H165" s="86">
        <f>'[2]Russia Sunflower Exports'!HU$151</f>
        <v>0</v>
      </c>
      <c r="I165" s="86">
        <f>'[2]Russia Sunflower Exports'!HV$151</f>
        <v>0</v>
      </c>
      <c r="J165" s="86">
        <f>'[2]Russia Sunflower Exports'!HW$151</f>
        <v>0</v>
      </c>
      <c r="K165" s="86">
        <f>'[2]Russia Sunflower Exports'!HX$151</f>
        <v>0</v>
      </c>
      <c r="L165" s="86">
        <f>'[2]Russia Sunflower Exports'!HY$151</f>
        <v>0</v>
      </c>
      <c r="M165" s="86">
        <f>'[2]Russia Sunflower Exports'!HZ$151</f>
        <v>0</v>
      </c>
      <c r="N165" s="86">
        <f t="shared" si="34"/>
        <v>0</v>
      </c>
      <c r="O165" s="27"/>
      <c r="P165" s="87">
        <f t="shared" si="35"/>
        <v>0</v>
      </c>
      <c r="Q165" s="87">
        <f t="shared" si="36"/>
        <v>0</v>
      </c>
      <c r="R165" s="87">
        <f t="shared" si="37"/>
        <v>0</v>
      </c>
      <c r="S165" s="87">
        <f t="shared" si="38"/>
        <v>0</v>
      </c>
    </row>
    <row r="166" spans="1:19" ht="16.5" hidden="1">
      <c r="A166" s="84" t="s">
        <v>72</v>
      </c>
      <c r="B166" s="86">
        <f>'[2]Russia Sunflower Exports'!IA$151</f>
        <v>0</v>
      </c>
      <c r="C166" s="86">
        <f>'[2]Russia Sunflower Exports'!IB$151</f>
        <v>0</v>
      </c>
      <c r="D166" s="86">
        <f>'[2]Russia Sunflower Exports'!IC$151</f>
        <v>0</v>
      </c>
      <c r="E166" s="86">
        <f>'[2]Russia Sunflower Exports'!ID$151</f>
        <v>0</v>
      </c>
      <c r="F166" s="86">
        <f>'[2]Russia Sunflower Exports'!IE$151</f>
        <v>0</v>
      </c>
      <c r="G166" s="86">
        <f>'[2]Russia Sunflower Exports'!IF$151</f>
        <v>0</v>
      </c>
      <c r="H166" s="86">
        <f>'[2]Russia Sunflower Exports'!IG$151</f>
        <v>0</v>
      </c>
      <c r="I166" s="86">
        <f>'[2]Russia Sunflower Exports'!IH$151</f>
        <v>0</v>
      </c>
      <c r="J166" s="86">
        <f>'[2]Russia Sunflower Exports'!II$151</f>
        <v>0</v>
      </c>
      <c r="K166" s="86">
        <f>'[2]Russia Sunflower Exports'!IJ$151</f>
        <v>0</v>
      </c>
      <c r="L166" s="86">
        <f>'[2]Russia Sunflower Exports'!IK$151</f>
        <v>0</v>
      </c>
      <c r="M166" s="86">
        <f>'[2]Russia Sunflower Exports'!IL$151</f>
        <v>0</v>
      </c>
      <c r="N166" s="86">
        <f t="shared" si="34"/>
        <v>0</v>
      </c>
      <c r="O166" s="27"/>
      <c r="P166" s="87">
        <f t="shared" si="35"/>
        <v>0</v>
      </c>
      <c r="Q166" s="87">
        <f t="shared" si="36"/>
        <v>0</v>
      </c>
      <c r="R166" s="87">
        <f t="shared" si="37"/>
        <v>0</v>
      </c>
      <c r="S166" s="87">
        <f t="shared" si="38"/>
        <v>0</v>
      </c>
    </row>
    <row r="167" spans="1:19" ht="16.5" hidden="1">
      <c r="A167" s="83" t="s">
        <v>73</v>
      </c>
      <c r="B167" s="86">
        <f>'[2]Russia Sunflower Exports'!IM$151</f>
        <v>0</v>
      </c>
      <c r="C167" s="86">
        <f>'[2]Russia Sunflower Exports'!IN$151</f>
        <v>4.6980000000000004</v>
      </c>
      <c r="D167" s="86">
        <f>'[2]Russia Sunflower Exports'!IO$151</f>
        <v>22.712</v>
      </c>
      <c r="E167" s="86">
        <f>'[2]Russia Sunflower Exports'!IP$151</f>
        <v>67.650000000000006</v>
      </c>
      <c r="F167" s="86">
        <f>'[2]Russia Sunflower Exports'!IQ$151</f>
        <v>18.684000000000001</v>
      </c>
      <c r="G167" s="86">
        <f>'[2]Russia Sunflower Exports'!IR$151</f>
        <v>4.5289999999999999</v>
      </c>
      <c r="H167" s="86">
        <f>'[2]Russia Sunflower Exports'!IS$151</f>
        <v>11.63</v>
      </c>
      <c r="I167" s="86">
        <f>'[2]Russia Sunflower Exports'!IT$151</f>
        <v>68.822999999999993</v>
      </c>
      <c r="J167" s="86">
        <f>'[2]Russia Sunflower Exports'!IU$151</f>
        <v>53.828000000000003</v>
      </c>
      <c r="K167" s="86">
        <f>'[2]Russia Sunflower Exports'!IV$151</f>
        <v>15.664</v>
      </c>
      <c r="L167" s="86">
        <f>'[2]Russia Sunflower Exports'!IW$151</f>
        <v>8.734</v>
      </c>
      <c r="M167" s="86">
        <f>'[2]Russia Sunflower Exports'!IX$151</f>
        <v>2.1000000000000001E-2</v>
      </c>
      <c r="N167" s="86">
        <f t="shared" si="34"/>
        <v>276.97300000000001</v>
      </c>
      <c r="O167" s="27"/>
      <c r="P167" s="87">
        <f t="shared" si="35"/>
        <v>27.41</v>
      </c>
      <c r="Q167" s="87">
        <f t="shared" si="36"/>
        <v>90.863</v>
      </c>
      <c r="R167" s="87">
        <f t="shared" si="37"/>
        <v>134.28100000000001</v>
      </c>
      <c r="S167" s="87">
        <f t="shared" si="38"/>
        <v>24.419</v>
      </c>
    </row>
    <row r="168" spans="1:19" ht="16.5" hidden="1">
      <c r="A168" s="83" t="s">
        <v>74</v>
      </c>
      <c r="B168" s="86">
        <f>'[2]Russia Sunflower Exports'!IY$151</f>
        <v>7.6630000000000003</v>
      </c>
      <c r="C168" s="86">
        <f>'[2]Russia Sunflower Exports'!IZ$151</f>
        <v>2.5310000000000001</v>
      </c>
      <c r="D168" s="86">
        <f>'[2]Russia Sunflower Exports'!JA$151</f>
        <v>0</v>
      </c>
      <c r="E168" s="86">
        <f>'[2]Russia Sunflower Exports'!JB$151</f>
        <v>1.66</v>
      </c>
      <c r="F168" s="86">
        <f>'[2]Russia Sunflower Exports'!JC$151</f>
        <v>0</v>
      </c>
      <c r="G168" s="86">
        <f>'[2]Russia Sunflower Exports'!JD$151</f>
        <v>0</v>
      </c>
      <c r="H168" s="86">
        <f>'[2]Russia Sunflower Exports'!JE$151</f>
        <v>0</v>
      </c>
      <c r="I168" s="86">
        <f>'[2]Russia Sunflower Exports'!JF$151</f>
        <v>0</v>
      </c>
      <c r="J168" s="86">
        <f>'[2]Russia Sunflower Exports'!JG$151</f>
        <v>0</v>
      </c>
      <c r="K168" s="86">
        <f>'[2]Russia Sunflower Exports'!JH$151</f>
        <v>0.34899999999999998</v>
      </c>
      <c r="L168" s="86">
        <f>'[2]Russia Sunflower Exports'!JI$151</f>
        <v>0.33700000000000002</v>
      </c>
      <c r="M168" s="86">
        <f>'[2]Russia Sunflower Exports'!JJ$151</f>
        <v>0</v>
      </c>
      <c r="N168" s="86">
        <f t="shared" si="34"/>
        <v>12.540000000000001</v>
      </c>
      <c r="O168" s="27"/>
      <c r="P168" s="87">
        <f t="shared" si="35"/>
        <v>10.194000000000001</v>
      </c>
      <c r="Q168" s="87">
        <f t="shared" si="36"/>
        <v>1.66</v>
      </c>
      <c r="R168" s="87">
        <f t="shared" si="37"/>
        <v>0</v>
      </c>
      <c r="S168" s="87">
        <f t="shared" si="38"/>
        <v>0.68599999999999994</v>
      </c>
    </row>
    <row r="169" spans="1:19" ht="16.5" hidden="1">
      <c r="A169" s="83" t="s">
        <v>75</v>
      </c>
      <c r="B169" s="86">
        <f>'[2]Russia Sunflower Exports'!JK$151</f>
        <v>0</v>
      </c>
      <c r="C169" s="86">
        <f>'[2]Russia Sunflower Exports'!JL$151</f>
        <v>0</v>
      </c>
      <c r="D169" s="86">
        <f>'[2]Russia Sunflower Exports'!JM$151</f>
        <v>18.780999999999999</v>
      </c>
      <c r="E169" s="86">
        <f>'[2]Russia Sunflower Exports'!JN$151</f>
        <v>15.452999999999999</v>
      </c>
      <c r="F169" s="86">
        <f>'[2]Russia Sunflower Exports'!JO$151</f>
        <v>8.5609999999999999</v>
      </c>
      <c r="G169" s="86">
        <f>'[2]Russia Sunflower Exports'!JP$151</f>
        <v>6.18</v>
      </c>
      <c r="H169" s="86">
        <f>'[2]Russia Sunflower Exports'!JQ$151</f>
        <v>9.4149999999999991</v>
      </c>
      <c r="I169" s="86">
        <f>'[2]Russia Sunflower Exports'!JR$151</f>
        <v>8.3789999999999996</v>
      </c>
      <c r="J169" s="86">
        <f>'[2]Russia Sunflower Exports'!JS$151</f>
        <v>6.0579999999999998</v>
      </c>
      <c r="K169" s="86">
        <f>'[2]Russia Sunflower Exports'!JT$151</f>
        <v>1.6559999999999999</v>
      </c>
      <c r="L169" s="86">
        <f>'[2]Russia Sunflower Exports'!JU$151</f>
        <v>0</v>
      </c>
      <c r="M169" s="86">
        <f>'[2]Russia Sunflower Exports'!JV$151</f>
        <v>0</v>
      </c>
      <c r="N169" s="86">
        <f t="shared" si="34"/>
        <v>74.483000000000004</v>
      </c>
      <c r="O169" s="27"/>
      <c r="P169" s="87">
        <f t="shared" si="35"/>
        <v>18.780999999999999</v>
      </c>
      <c r="Q169" s="87">
        <f t="shared" si="36"/>
        <v>30.193999999999999</v>
      </c>
      <c r="R169" s="87">
        <f t="shared" si="37"/>
        <v>23.851999999999997</v>
      </c>
      <c r="S169" s="87">
        <f t="shared" si="38"/>
        <v>1.6559999999999999</v>
      </c>
    </row>
    <row r="170" spans="1:19" ht="16.5" hidden="1">
      <c r="A170" s="83" t="s">
        <v>76</v>
      </c>
      <c r="B170" s="86">
        <f>'[2]Russia Sunflower Exports'!JW$151</f>
        <v>0</v>
      </c>
      <c r="C170" s="86">
        <f>'[2]Russia Sunflower Exports'!JX$151</f>
        <v>0</v>
      </c>
      <c r="D170" s="86">
        <f>'[2]Russia Sunflower Exports'!JY$151</f>
        <v>0</v>
      </c>
      <c r="E170" s="86">
        <f>'[2]Russia Sunflower Exports'!JZ$151</f>
        <v>4.03</v>
      </c>
      <c r="F170" s="86">
        <f>'[2]Russia Sunflower Exports'!KA$151</f>
        <v>4.5869999999999997</v>
      </c>
      <c r="G170" s="86">
        <f>'[2]Russia Sunflower Exports'!KB$151</f>
        <v>11.284000000000001</v>
      </c>
      <c r="H170" s="86">
        <f>'[2]Russia Sunflower Exports'!KC$151</f>
        <v>1.0900000000000001</v>
      </c>
      <c r="I170" s="86">
        <f>'[2]Russia Sunflower Exports'!KD$151</f>
        <v>1.036</v>
      </c>
      <c r="J170" s="86">
        <f>'[2]Russia Sunflower Exports'!KE$151</f>
        <v>0</v>
      </c>
      <c r="K170" s="86">
        <f>'[2]Russia Sunflower Exports'!KF$151</f>
        <v>0</v>
      </c>
      <c r="L170" s="86">
        <f>'[2]Russia Sunflower Exports'!KG$151</f>
        <v>0</v>
      </c>
      <c r="M170" s="86">
        <f>'[2]Russia Sunflower Exports'!KH$151</f>
        <v>0</v>
      </c>
      <c r="N170" s="86">
        <f t="shared" si="34"/>
        <v>22.027000000000005</v>
      </c>
      <c r="O170" s="27"/>
      <c r="P170" s="87">
        <f>SUM(B170:D170)</f>
        <v>0</v>
      </c>
      <c r="Q170" s="87">
        <f t="shared" si="36"/>
        <v>19.901000000000003</v>
      </c>
      <c r="R170" s="87">
        <f t="shared" si="37"/>
        <v>2.1260000000000003</v>
      </c>
      <c r="S170" s="87">
        <f t="shared" si="38"/>
        <v>0</v>
      </c>
    </row>
    <row r="171" spans="1:19" ht="16.5" hidden="1">
      <c r="A171" s="83" t="s">
        <v>77</v>
      </c>
      <c r="B171" s="86">
        <f>'[2]Russia Sunflower Exports'!KI$151</f>
        <v>0</v>
      </c>
      <c r="C171" s="86">
        <f>'[2]Russia Sunflower Exports'!KJ$151</f>
        <v>0</v>
      </c>
      <c r="D171" s="86">
        <f>'[2]Russia Sunflower Exports'!KK$151</f>
        <v>0</v>
      </c>
      <c r="E171" s="86">
        <f>'[2]Russia Sunflower Exports'!KL$151</f>
        <v>1.151</v>
      </c>
      <c r="F171" s="86">
        <f>'[2]Russia Sunflower Exports'!KM$151</f>
        <v>0.54500000000000004</v>
      </c>
      <c r="G171" s="86">
        <f>'[2]Russia Sunflower Exports'!KN$151</f>
        <v>7.1020000000000003</v>
      </c>
      <c r="H171" s="86">
        <f>'[2]Russia Sunflower Exports'!KO$151</f>
        <v>0.80600000000000005</v>
      </c>
      <c r="I171" s="86">
        <f>'[2]Russia Sunflower Exports'!KP$151</f>
        <v>7.5519999999999996</v>
      </c>
      <c r="J171" s="86">
        <f>'[2]Russia Sunflower Exports'!KQ$151</f>
        <v>8.2029999999999994</v>
      </c>
      <c r="K171" s="86">
        <f>'[2]Russia Sunflower Exports'!KR$151</f>
        <v>8.9039999999999999</v>
      </c>
      <c r="L171" s="86">
        <f>'[2]Russia Sunflower Exports'!KS$151</f>
        <v>0</v>
      </c>
      <c r="M171" s="86">
        <f>'[2]Russia Sunflower Exports'!KT$151</f>
        <v>0</v>
      </c>
      <c r="N171" s="86">
        <f t="shared" si="34"/>
        <v>34.262999999999998</v>
      </c>
      <c r="O171" s="27"/>
      <c r="P171" s="87">
        <f t="shared" ref="P171:P176" si="39">SUM(B171:D171)</f>
        <v>0</v>
      </c>
      <c r="Q171" s="87">
        <f t="shared" si="36"/>
        <v>8.798</v>
      </c>
      <c r="R171" s="87">
        <f t="shared" si="37"/>
        <v>16.561</v>
      </c>
      <c r="S171" s="87">
        <f t="shared" si="38"/>
        <v>8.9039999999999999</v>
      </c>
    </row>
    <row r="172" spans="1:19" ht="16.5" hidden="1">
      <c r="A172" s="83" t="s">
        <v>78</v>
      </c>
      <c r="B172" s="86">
        <f>'[2]Russia Sunflower Exports'!KU$151</f>
        <v>2.278</v>
      </c>
      <c r="C172" s="86">
        <f>'[2]Russia Sunflower Exports'!KV$151</f>
        <v>8.1989999999999998</v>
      </c>
      <c r="D172" s="86">
        <f>'[2]Russia Sunflower Exports'!KW$151</f>
        <v>21.474</v>
      </c>
      <c r="E172" s="86">
        <f>'[2]Russia Sunflower Exports'!KX$151</f>
        <v>16.036000000000001</v>
      </c>
      <c r="F172" s="86">
        <f>'[2]Russia Sunflower Exports'!KY$151</f>
        <v>4.2409999999999997</v>
      </c>
      <c r="G172" s="86">
        <f>'[2]Russia Sunflower Exports'!KZ$151</f>
        <v>13.680999999999999</v>
      </c>
      <c r="H172" s="86">
        <f>'[2]Russia Sunflower Exports'!LA$151</f>
        <v>33.573</v>
      </c>
      <c r="I172" s="86">
        <f>'[2]Russia Sunflower Exports'!LB$151</f>
        <v>45.18</v>
      </c>
      <c r="J172" s="86">
        <f>'[2]Russia Sunflower Exports'!LC$151</f>
        <v>66.491</v>
      </c>
      <c r="K172" s="86">
        <f>'[2]Russia Sunflower Exports'!LD$151</f>
        <v>17.779</v>
      </c>
      <c r="L172" s="86">
        <f>'[2]Russia Sunflower Exports'!LE$151</f>
        <v>1.512E-2</v>
      </c>
      <c r="M172" s="86">
        <f>'[2]Russia Sunflower Exports'!LF$151</f>
        <v>0.23122400000000001</v>
      </c>
      <c r="N172" s="86">
        <f t="shared" si="34"/>
        <v>229.17834400000001</v>
      </c>
      <c r="O172" s="27"/>
      <c r="P172" s="87">
        <f t="shared" si="39"/>
        <v>31.951000000000001</v>
      </c>
      <c r="Q172" s="87">
        <f t="shared" si="36"/>
        <v>33.957999999999998</v>
      </c>
      <c r="R172" s="87">
        <f t="shared" si="37"/>
        <v>145.244</v>
      </c>
      <c r="S172" s="87">
        <f t="shared" si="38"/>
        <v>18.025344</v>
      </c>
    </row>
    <row r="173" spans="1:19" ht="16.5" hidden="1">
      <c r="A173" s="83" t="s">
        <v>79</v>
      </c>
      <c r="B173" s="86">
        <f>'[2]Russia Sunflower Exports'!LG$151</f>
        <v>0.25025999999999998</v>
      </c>
      <c r="C173" s="86">
        <f>'[2]Russia Sunflower Exports'!LH$151</f>
        <v>0</v>
      </c>
      <c r="D173" s="86">
        <f>'[2]Russia Sunflower Exports'!LI$151</f>
        <v>15.76876</v>
      </c>
      <c r="E173" s="86">
        <f>'[2]Russia Sunflower Exports'!LJ$151</f>
        <v>3.8206600000000002</v>
      </c>
      <c r="F173" s="86">
        <f>'[2]Russia Sunflower Exports'!LK$151</f>
        <v>0.98355000000000004</v>
      </c>
      <c r="G173" s="86">
        <f>'[2]Russia Sunflower Exports'!LL$151</f>
        <v>1E-3</v>
      </c>
      <c r="H173" s="86">
        <f>'[2]Russia Sunflower Exports'!LM$151</f>
        <v>0</v>
      </c>
      <c r="I173" s="86">
        <f>'[2]Russia Sunflower Exports'!LN$151</f>
        <v>0</v>
      </c>
      <c r="J173" s="86">
        <f>'[2]Russia Sunflower Exports'!LO$151</f>
        <v>0</v>
      </c>
      <c r="K173" s="86">
        <f>'[2]Russia Sunflower Exports'!LP$151</f>
        <v>0</v>
      </c>
      <c r="L173" s="86">
        <f>'[2]Russia Sunflower Exports'!LQ$151</f>
        <v>0</v>
      </c>
      <c r="M173" s="86">
        <f>'[2]Russia Sunflower Exports'!LR$151</f>
        <v>0</v>
      </c>
      <c r="N173" s="86">
        <f t="shared" si="34"/>
        <v>20.824230000000004</v>
      </c>
      <c r="O173" s="27"/>
      <c r="P173" s="87">
        <f t="shared" si="39"/>
        <v>16.019020000000001</v>
      </c>
      <c r="Q173" s="87">
        <f t="shared" si="36"/>
        <v>4.8052100000000006</v>
      </c>
      <c r="R173" s="87">
        <f t="shared" si="37"/>
        <v>0</v>
      </c>
      <c r="S173" s="87">
        <f t="shared" si="38"/>
        <v>0</v>
      </c>
    </row>
    <row r="174" spans="1:19" ht="16.5">
      <c r="A174" s="85" t="s">
        <v>80</v>
      </c>
      <c r="B174" s="86">
        <f>'[2]Russia Sunflower Exports'!LS$151</f>
        <v>0</v>
      </c>
      <c r="C174" s="86">
        <f>'[2]Russia Sunflower Exports'!LT$151</f>
        <v>0.23183999999999999</v>
      </c>
      <c r="D174" s="86">
        <f>'[2]Russia Sunflower Exports'!LU$151</f>
        <v>0</v>
      </c>
      <c r="E174" s="86">
        <f>'[2]Russia Sunflower Exports'!LV$151</f>
        <v>0</v>
      </c>
      <c r="F174" s="86">
        <f>'[2]Russia Sunflower Exports'!LW$151</f>
        <v>0</v>
      </c>
      <c r="G174" s="86">
        <f>'[2]Russia Sunflower Exports'!LX$151</f>
        <v>0</v>
      </c>
      <c r="H174" s="86">
        <f>'[2]Russia Sunflower Exports'!LY$151</f>
        <v>7.9807899999999998</v>
      </c>
      <c r="I174" s="86">
        <f>'[2]Russia Sunflower Exports'!LZ$151</f>
        <v>20.432096999999999</v>
      </c>
      <c r="J174" s="86">
        <f>'[2]Russia Sunflower Exports'!MA$151</f>
        <v>55.890256000000001</v>
      </c>
      <c r="K174" s="86">
        <f>'[2]Russia Sunflower Exports'!MB$151</f>
        <v>99.757819999999995</v>
      </c>
      <c r="L174" s="86">
        <f>'[2]Russia Sunflower Exports'!MC$151</f>
        <v>23.188237999999998</v>
      </c>
      <c r="M174" s="86">
        <f>'[2]Russia Sunflower Exports'!MD$151</f>
        <v>0</v>
      </c>
      <c r="N174" s="86">
        <f t="shared" si="34"/>
        <v>207.481041</v>
      </c>
      <c r="O174" s="27"/>
      <c r="P174" s="87">
        <f t="shared" si="39"/>
        <v>0.23183999999999999</v>
      </c>
      <c r="Q174" s="87">
        <f t="shared" si="36"/>
        <v>0</v>
      </c>
      <c r="R174" s="87">
        <f t="shared" si="37"/>
        <v>84.303143000000006</v>
      </c>
      <c r="S174" s="87">
        <f t="shared" si="38"/>
        <v>122.94605799999999</v>
      </c>
    </row>
    <row r="175" spans="1:19" ht="16.5">
      <c r="A175" s="85" t="s">
        <v>81</v>
      </c>
      <c r="B175" s="86">
        <f>'[2]Russia Sunflower Exports'!ME$151</f>
        <v>0</v>
      </c>
      <c r="C175" s="86">
        <f>'[2]Russia Sunflower Exports'!MF$151</f>
        <v>36.660910000000001</v>
      </c>
      <c r="D175" s="86">
        <f>'[2]Russia Sunflower Exports'!MG$151</f>
        <v>26.971219999999999</v>
      </c>
      <c r="E175" s="86">
        <f>'[2]Russia Sunflower Exports'!MH$151</f>
        <v>80.180850000000007</v>
      </c>
      <c r="F175" s="86">
        <f>'[2]Russia Sunflower Exports'!MI$151</f>
        <v>81.135881999999995</v>
      </c>
      <c r="G175" s="86">
        <f>'[2]Russia Sunflower Exports'!MJ$151</f>
        <v>85.512023999999997</v>
      </c>
      <c r="H175" s="86">
        <f>'[2]Russia Sunflower Exports'!MK$151</f>
        <v>162.785293</v>
      </c>
      <c r="I175" s="86">
        <f>'[2]Russia Sunflower Exports'!ML$151</f>
        <v>55.262692999999999</v>
      </c>
      <c r="J175" s="86">
        <f>'[2]Russia Sunflower Exports'!MM$151</f>
        <v>37.063710999999998</v>
      </c>
      <c r="K175" s="86">
        <f>'[2]Russia Sunflower Exports'!MN$151</f>
        <v>7.5360399999999998</v>
      </c>
      <c r="L175" s="86">
        <f>'[2]Russia Sunflower Exports'!MO$151</f>
        <v>0</v>
      </c>
      <c r="M175" s="86">
        <f>'[2]Russia Sunflower Exports'!MP$151</f>
        <v>0</v>
      </c>
      <c r="N175" s="86">
        <f t="shared" si="34"/>
        <v>573.10862299999997</v>
      </c>
      <c r="O175" s="27"/>
      <c r="P175" s="87">
        <f t="shared" si="39"/>
        <v>63.632130000000004</v>
      </c>
      <c r="Q175" s="87">
        <f t="shared" si="36"/>
        <v>246.828756</v>
      </c>
      <c r="R175" s="87">
        <f t="shared" si="37"/>
        <v>255.11169699999999</v>
      </c>
      <c r="S175" s="87">
        <f t="shared" si="38"/>
        <v>7.5360399999999998</v>
      </c>
    </row>
    <row r="176" spans="1:19" ht="17.25" thickBot="1">
      <c r="A176" s="88" t="s">
        <v>82</v>
      </c>
      <c r="B176" s="89">
        <f>'[2]Russia Sunflower Exports'!MQ$151</f>
        <v>8.6656399999999998</v>
      </c>
      <c r="C176" s="89">
        <f>'[2]Russia Sunflower Exports'!MR$151</f>
        <v>47.599857999999998</v>
      </c>
      <c r="D176" s="89">
        <f>'[2]Russia Sunflower Exports'!MS$151</f>
        <v>61.857627999999998</v>
      </c>
      <c r="E176" s="89">
        <f>'[2]Russia Sunflower Exports'!MT$151</f>
        <v>38.260489999999997</v>
      </c>
      <c r="F176" s="89">
        <f>'[2]Russia Sunflower Exports'!MU$151</f>
        <v>0</v>
      </c>
      <c r="G176" s="89">
        <f>'[2]Russia Sunflower Exports'!MV$151</f>
        <v>0</v>
      </c>
      <c r="H176" s="89">
        <f>'[2]Russia Sunflower Exports'!MW$151</f>
        <v>0</v>
      </c>
      <c r="I176" s="89">
        <f>'[2]Russia Sunflower Exports'!MX$151</f>
        <v>3.9999999999999998E-6</v>
      </c>
      <c r="J176" s="90">
        <f>(AVERAGE(J171:J175)/AVERAGE($N171:$N175))*$N176-24.6</f>
        <v>2.0619807760695608E-2</v>
      </c>
      <c r="K176" s="90">
        <f>(AVERAGE(K171:K175)/AVERAGE($N171:$N175))*$N176-19.7</f>
        <v>-2.4286705501285866E-2</v>
      </c>
      <c r="L176" s="90">
        <f>(AVERAGE(L171:L175)/AVERAGE($N171:$N175))*$N176-3.4</f>
        <v>7.6229244185381795E-3</v>
      </c>
      <c r="M176" s="90">
        <f>N176-SUM(B176:L176)</f>
        <v>-3.9560266779687936E-3</v>
      </c>
      <c r="N176" s="90">
        <f>'Sun Matrix'!CI20</f>
        <v>156.38361999999998</v>
      </c>
      <c r="O176" s="91"/>
      <c r="P176" s="92">
        <f t="shared" si="39"/>
        <v>118.12312599999998</v>
      </c>
      <c r="Q176" s="92">
        <f t="shared" si="36"/>
        <v>38.260489999999997</v>
      </c>
      <c r="R176" s="93">
        <f t="shared" si="37"/>
        <v>2.0623807760695608E-2</v>
      </c>
      <c r="S176" s="93">
        <f t="shared" si="38"/>
        <v>-2.061980776071648E-2</v>
      </c>
    </row>
    <row r="177" spans="1:19" ht="16.5">
      <c r="A177" s="80" t="s">
        <v>89</v>
      </c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27"/>
      <c r="P177" s="87"/>
      <c r="Q177" s="87"/>
      <c r="R177" s="87"/>
      <c r="S177" s="87"/>
    </row>
    <row r="178" spans="1:19" ht="16.5" hidden="1">
      <c r="A178" s="81" t="s">
        <v>84</v>
      </c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27"/>
      <c r="P178" s="87"/>
      <c r="Q178" s="87"/>
      <c r="R178" s="87"/>
      <c r="S178" s="87"/>
    </row>
    <row r="179" spans="1:19" ht="16.5" hidden="1">
      <c r="A179" s="81" t="s">
        <v>56</v>
      </c>
      <c r="B179" s="86">
        <f>'[2]Ukraine Sunflower Exports'!AR$151</f>
        <v>7</v>
      </c>
      <c r="C179" s="86">
        <f>'[2]Ukraine Sunflower Exports'!AS$151</f>
        <v>0</v>
      </c>
      <c r="D179" s="86">
        <f>'[2]Ukraine Sunflower Exports'!AT$151</f>
        <v>0</v>
      </c>
      <c r="E179" s="86">
        <f>'[2]Ukraine Sunflower Exports'!AU$151</f>
        <v>0</v>
      </c>
      <c r="F179" s="86">
        <f>'[2]Ukraine Sunflower Exports'!AV$151</f>
        <v>0</v>
      </c>
      <c r="G179" s="86">
        <f>'[2]Ukraine Sunflower Exports'!AW$151</f>
        <v>0</v>
      </c>
      <c r="H179" s="86">
        <f>'[2]Ukraine Sunflower Exports'!AX$151</f>
        <v>0</v>
      </c>
      <c r="I179" s="86">
        <f>'[2]Ukraine Sunflower Exports'!AY$151</f>
        <v>0</v>
      </c>
      <c r="J179" s="86">
        <f>'[2]Ukraine Sunflower Exports'!AZ$151</f>
        <v>0</v>
      </c>
      <c r="K179" s="86">
        <f>'[2]Ukraine Sunflower Exports'!BA$151</f>
        <v>0</v>
      </c>
      <c r="L179" s="86">
        <f>'[2]Ukraine Sunflower Exports'!BB$151</f>
        <v>0</v>
      </c>
      <c r="M179" s="86">
        <f>'[2]Ukraine Sunflower Exports'!BC$151</f>
        <v>0</v>
      </c>
      <c r="N179" s="86">
        <f>SUM(B179:M179)</f>
        <v>7</v>
      </c>
      <c r="O179" s="27"/>
      <c r="P179" s="87">
        <f>SUM(B179:D179)</f>
        <v>7</v>
      </c>
      <c r="Q179" s="87">
        <f>SUM(E179:G179)</f>
        <v>0</v>
      </c>
      <c r="R179" s="87">
        <f>SUM(H179:J179)</f>
        <v>0</v>
      </c>
      <c r="S179" s="87">
        <f>SUM(K179:M179)</f>
        <v>0</v>
      </c>
    </row>
    <row r="180" spans="1:19" ht="16.5" hidden="1">
      <c r="A180" s="81" t="s">
        <v>57</v>
      </c>
      <c r="B180" s="86">
        <f>'[2]Ukraine Sunflower Exports'!BD$151</f>
        <v>24</v>
      </c>
      <c r="C180" s="86">
        <f>'[2]Ukraine Sunflower Exports'!BE$151</f>
        <v>0</v>
      </c>
      <c r="D180" s="86">
        <f>'[2]Ukraine Sunflower Exports'!BF$151</f>
        <v>0</v>
      </c>
      <c r="E180" s="86">
        <f>'[2]Ukraine Sunflower Exports'!BG$151</f>
        <v>23</v>
      </c>
      <c r="F180" s="86">
        <f>'[2]Ukraine Sunflower Exports'!BH$151</f>
        <v>0</v>
      </c>
      <c r="G180" s="86">
        <f>'[2]Ukraine Sunflower Exports'!BI$151</f>
        <v>0</v>
      </c>
      <c r="H180" s="86">
        <f>'[2]Ukraine Sunflower Exports'!BJ$151</f>
        <v>0</v>
      </c>
      <c r="I180" s="86">
        <f>'[2]Ukraine Sunflower Exports'!BK$151</f>
        <v>0</v>
      </c>
      <c r="J180" s="86">
        <f>'[2]Ukraine Sunflower Exports'!BL$151</f>
        <v>0</v>
      </c>
      <c r="K180" s="86">
        <f>'[2]Ukraine Sunflower Exports'!BM$151</f>
        <v>0</v>
      </c>
      <c r="L180" s="86">
        <f>'[2]Ukraine Sunflower Exports'!BN$151</f>
        <v>0</v>
      </c>
      <c r="M180" s="86">
        <f>'[2]Ukraine Sunflower Exports'!BO$151</f>
        <v>0</v>
      </c>
      <c r="N180" s="86">
        <f t="shared" ref="N180:N204" si="40">SUM(B180:M180)</f>
        <v>47</v>
      </c>
      <c r="O180" s="27"/>
      <c r="P180" s="87">
        <f t="shared" ref="P180:P198" si="41">SUM(B180:D180)</f>
        <v>24</v>
      </c>
      <c r="Q180" s="87">
        <f t="shared" ref="Q180:Q205" si="42">SUM(E180:G180)</f>
        <v>23</v>
      </c>
      <c r="R180" s="87">
        <f t="shared" ref="R180:R205" si="43">SUM(H180:J180)</f>
        <v>0</v>
      </c>
      <c r="S180" s="87">
        <f t="shared" ref="S180:S205" si="44">SUM(K180:M180)</f>
        <v>0</v>
      </c>
    </row>
    <row r="181" spans="1:19" ht="16.5" hidden="1">
      <c r="A181" s="81" t="s">
        <v>58</v>
      </c>
      <c r="B181" s="86">
        <f>'[2]Ukraine Sunflower Exports'!BP$151</f>
        <v>46.9</v>
      </c>
      <c r="C181" s="86">
        <f>'[2]Ukraine Sunflower Exports'!BQ$151</f>
        <v>0</v>
      </c>
      <c r="D181" s="86">
        <f>'[2]Ukraine Sunflower Exports'!BR$151</f>
        <v>0</v>
      </c>
      <c r="E181" s="86">
        <f>'[2]Ukraine Sunflower Exports'!BS$151</f>
        <v>0</v>
      </c>
      <c r="F181" s="86">
        <f>'[2]Ukraine Sunflower Exports'!BT$151</f>
        <v>0</v>
      </c>
      <c r="G181" s="86">
        <f>'[2]Ukraine Sunflower Exports'!BU$151</f>
        <v>0</v>
      </c>
      <c r="H181" s="86">
        <f>'[2]Ukraine Sunflower Exports'!BV$151</f>
        <v>0</v>
      </c>
      <c r="I181" s="86">
        <f>'[2]Ukraine Sunflower Exports'!BW$151</f>
        <v>0</v>
      </c>
      <c r="J181" s="86">
        <f>'[2]Ukraine Sunflower Exports'!BX$151</f>
        <v>0</v>
      </c>
      <c r="K181" s="86">
        <f>'[2]Ukraine Sunflower Exports'!BY$151</f>
        <v>0</v>
      </c>
      <c r="L181" s="86">
        <f>'[2]Ukraine Sunflower Exports'!BZ$151</f>
        <v>0</v>
      </c>
      <c r="M181" s="86">
        <f>'[2]Ukraine Sunflower Exports'!CA$151</f>
        <v>0</v>
      </c>
      <c r="N181" s="86">
        <f t="shared" si="40"/>
        <v>46.9</v>
      </c>
      <c r="O181" s="27"/>
      <c r="P181" s="87">
        <f t="shared" si="41"/>
        <v>46.9</v>
      </c>
      <c r="Q181" s="87">
        <f t="shared" si="42"/>
        <v>0</v>
      </c>
      <c r="R181" s="87">
        <f t="shared" si="43"/>
        <v>0</v>
      </c>
      <c r="S181" s="87">
        <f t="shared" si="44"/>
        <v>0</v>
      </c>
    </row>
    <row r="182" spans="1:19" ht="16.5" hidden="1">
      <c r="A182" s="81" t="s">
        <v>59</v>
      </c>
      <c r="B182" s="86">
        <f>'[2]Ukraine Sunflower Exports'!CB$151</f>
        <v>89</v>
      </c>
      <c r="C182" s="86">
        <f>'[2]Ukraine Sunflower Exports'!CC$151</f>
        <v>0</v>
      </c>
      <c r="D182" s="86">
        <f>'[2]Ukraine Sunflower Exports'!CD$151</f>
        <v>0</v>
      </c>
      <c r="E182" s="86">
        <f>'[2]Ukraine Sunflower Exports'!CE$151</f>
        <v>48</v>
      </c>
      <c r="F182" s="86">
        <f>'[2]Ukraine Sunflower Exports'!CF$151</f>
        <v>0</v>
      </c>
      <c r="G182" s="86">
        <f>'[2]Ukraine Sunflower Exports'!CG$151</f>
        <v>0</v>
      </c>
      <c r="H182" s="86">
        <f>'[2]Ukraine Sunflower Exports'!CH$151</f>
        <v>0</v>
      </c>
      <c r="I182" s="86">
        <f>'[2]Ukraine Sunflower Exports'!CI$151</f>
        <v>0</v>
      </c>
      <c r="J182" s="86">
        <f>'[2]Ukraine Sunflower Exports'!CJ$151</f>
        <v>0</v>
      </c>
      <c r="K182" s="86">
        <f>'[2]Ukraine Sunflower Exports'!CK$151</f>
        <v>0</v>
      </c>
      <c r="L182" s="86">
        <f>'[2]Ukraine Sunflower Exports'!CL$151</f>
        <v>0</v>
      </c>
      <c r="M182" s="86">
        <f>'[2]Ukraine Sunflower Exports'!CM$151</f>
        <v>0</v>
      </c>
      <c r="N182" s="86">
        <f t="shared" si="40"/>
        <v>137</v>
      </c>
      <c r="O182" s="27"/>
      <c r="P182" s="87">
        <f t="shared" si="41"/>
        <v>89</v>
      </c>
      <c r="Q182" s="87">
        <f t="shared" si="42"/>
        <v>48</v>
      </c>
      <c r="R182" s="87">
        <f t="shared" si="43"/>
        <v>0</v>
      </c>
      <c r="S182" s="87">
        <f t="shared" si="44"/>
        <v>0</v>
      </c>
    </row>
    <row r="183" spans="1:19" ht="16.5" hidden="1">
      <c r="A183" s="81" t="s">
        <v>60</v>
      </c>
      <c r="B183" s="86">
        <f>'[2]Ukraine Sunflower Exports'!CN$151</f>
        <v>55</v>
      </c>
      <c r="C183" s="86">
        <f>'[2]Ukraine Sunflower Exports'!CO$151</f>
        <v>0</v>
      </c>
      <c r="D183" s="86">
        <f>'[2]Ukraine Sunflower Exports'!CP$151</f>
        <v>0</v>
      </c>
      <c r="E183" s="86">
        <f>'[2]Ukraine Sunflower Exports'!CQ$151</f>
        <v>0</v>
      </c>
      <c r="F183" s="86">
        <f>'[2]Ukraine Sunflower Exports'!CR$151</f>
        <v>0</v>
      </c>
      <c r="G183" s="86">
        <f>'[2]Ukraine Sunflower Exports'!CS$151</f>
        <v>0</v>
      </c>
      <c r="H183" s="86">
        <f>'[2]Ukraine Sunflower Exports'!CT$151</f>
        <v>0</v>
      </c>
      <c r="I183" s="86">
        <f>'[2]Ukraine Sunflower Exports'!CU$151</f>
        <v>0</v>
      </c>
      <c r="J183" s="86">
        <f>'[2]Ukraine Sunflower Exports'!CV$151</f>
        <v>0</v>
      </c>
      <c r="K183" s="86">
        <f>'[2]Ukraine Sunflower Exports'!CW$151</f>
        <v>0</v>
      </c>
      <c r="L183" s="86">
        <f>'[2]Ukraine Sunflower Exports'!CX$151</f>
        <v>0</v>
      </c>
      <c r="M183" s="86">
        <f>'[2]Ukraine Sunflower Exports'!CY$151</f>
        <v>0</v>
      </c>
      <c r="N183" s="86">
        <f t="shared" si="40"/>
        <v>55</v>
      </c>
      <c r="O183" s="27"/>
      <c r="P183" s="87">
        <f t="shared" si="41"/>
        <v>55</v>
      </c>
      <c r="Q183" s="87">
        <f t="shared" si="42"/>
        <v>0</v>
      </c>
      <c r="R183" s="87">
        <f t="shared" si="43"/>
        <v>0</v>
      </c>
      <c r="S183" s="87">
        <f t="shared" si="44"/>
        <v>0</v>
      </c>
    </row>
    <row r="184" spans="1:19" ht="16.5" hidden="1">
      <c r="A184" s="81" t="s">
        <v>61</v>
      </c>
      <c r="B184" s="86">
        <f>'[2]Ukraine Sunflower Exports'!CZ$151</f>
        <v>24</v>
      </c>
      <c r="C184" s="86">
        <f>'[2]Ukraine Sunflower Exports'!DA$151</f>
        <v>0</v>
      </c>
      <c r="D184" s="86">
        <f>'[2]Ukraine Sunflower Exports'!DB$151</f>
        <v>0</v>
      </c>
      <c r="E184" s="86">
        <f>'[2]Ukraine Sunflower Exports'!DC$151</f>
        <v>0</v>
      </c>
      <c r="F184" s="86">
        <f>'[2]Ukraine Sunflower Exports'!DD$151</f>
        <v>0</v>
      </c>
      <c r="G184" s="86">
        <f>'[2]Ukraine Sunflower Exports'!DE$151</f>
        <v>0</v>
      </c>
      <c r="H184" s="86">
        <f>'[2]Ukraine Sunflower Exports'!DF$151</f>
        <v>0</v>
      </c>
      <c r="I184" s="86">
        <f>'[2]Ukraine Sunflower Exports'!DG$151</f>
        <v>0</v>
      </c>
      <c r="J184" s="86">
        <f>'[2]Ukraine Sunflower Exports'!DH$151</f>
        <v>0</v>
      </c>
      <c r="K184" s="86">
        <f>'[2]Ukraine Sunflower Exports'!DI$151</f>
        <v>0</v>
      </c>
      <c r="L184" s="86">
        <f>'[2]Ukraine Sunflower Exports'!DJ$151</f>
        <v>0</v>
      </c>
      <c r="M184" s="86">
        <f>'[2]Ukraine Sunflower Exports'!DK$151</f>
        <v>0</v>
      </c>
      <c r="N184" s="86">
        <f t="shared" si="40"/>
        <v>24</v>
      </c>
      <c r="O184" s="27"/>
      <c r="P184" s="87">
        <f t="shared" si="41"/>
        <v>24</v>
      </c>
      <c r="Q184" s="87">
        <f t="shared" si="42"/>
        <v>0</v>
      </c>
      <c r="R184" s="87">
        <f t="shared" si="43"/>
        <v>0</v>
      </c>
      <c r="S184" s="87">
        <f t="shared" si="44"/>
        <v>0</v>
      </c>
    </row>
    <row r="185" spans="1:19" ht="16.5" hidden="1">
      <c r="A185" s="81" t="s">
        <v>62</v>
      </c>
      <c r="B185" s="86">
        <f>'[2]Ukraine Sunflower Exports'!DL$151</f>
        <v>44</v>
      </c>
      <c r="C185" s="86">
        <f>'[2]Ukraine Sunflower Exports'!DM$151</f>
        <v>0</v>
      </c>
      <c r="D185" s="86">
        <f>'[2]Ukraine Sunflower Exports'!DN$151</f>
        <v>0</v>
      </c>
      <c r="E185" s="86">
        <f>'[2]Ukraine Sunflower Exports'!DO$151</f>
        <v>0</v>
      </c>
      <c r="F185" s="86">
        <f>'[2]Ukraine Sunflower Exports'!DP$151</f>
        <v>0</v>
      </c>
      <c r="G185" s="86">
        <f>'[2]Ukraine Sunflower Exports'!DQ$151</f>
        <v>0</v>
      </c>
      <c r="H185" s="86">
        <f>'[2]Ukraine Sunflower Exports'!DR$151</f>
        <v>0</v>
      </c>
      <c r="I185" s="86">
        <f>'[2]Ukraine Sunflower Exports'!DS$151</f>
        <v>0</v>
      </c>
      <c r="J185" s="86">
        <f>'[2]Ukraine Sunflower Exports'!DT$151</f>
        <v>0</v>
      </c>
      <c r="K185" s="86">
        <f>'[2]Ukraine Sunflower Exports'!DU$151</f>
        <v>0</v>
      </c>
      <c r="L185" s="86">
        <f>'[2]Ukraine Sunflower Exports'!DV$151</f>
        <v>0</v>
      </c>
      <c r="M185" s="86">
        <f>'[2]Ukraine Sunflower Exports'!DW$151</f>
        <v>0</v>
      </c>
      <c r="N185" s="86">
        <f t="shared" si="40"/>
        <v>44</v>
      </c>
      <c r="O185" s="27"/>
      <c r="P185" s="87">
        <f t="shared" si="41"/>
        <v>44</v>
      </c>
      <c r="Q185" s="87">
        <f t="shared" si="42"/>
        <v>0</v>
      </c>
      <c r="R185" s="87">
        <f t="shared" si="43"/>
        <v>0</v>
      </c>
      <c r="S185" s="87">
        <f t="shared" si="44"/>
        <v>0</v>
      </c>
    </row>
    <row r="186" spans="1:19" ht="16.5" hidden="1">
      <c r="A186" s="81" t="s">
        <v>63</v>
      </c>
      <c r="B186" s="86">
        <f>'[2]Ukraine Sunflower Exports'!DX$151</f>
        <v>82</v>
      </c>
      <c r="C186" s="86">
        <f>'[2]Ukraine Sunflower Exports'!DY$151</f>
        <v>0</v>
      </c>
      <c r="D186" s="86">
        <f>'[2]Ukraine Sunflower Exports'!DZ$151</f>
        <v>15.29623</v>
      </c>
      <c r="E186" s="86">
        <f>'[2]Ukraine Sunflower Exports'!EA$151</f>
        <v>7.6508229999999999</v>
      </c>
      <c r="F186" s="86">
        <f>'[2]Ukraine Sunflower Exports'!EB$151</f>
        <v>0</v>
      </c>
      <c r="G186" s="86">
        <f>'[2]Ukraine Sunflower Exports'!EC$151</f>
        <v>0.15651199999999998</v>
      </c>
      <c r="H186" s="86">
        <f>'[2]Ukraine Sunflower Exports'!ED$151</f>
        <v>8.0411699999999993</v>
      </c>
      <c r="I186" s="86">
        <f>'[2]Ukraine Sunflower Exports'!EE$151</f>
        <v>0</v>
      </c>
      <c r="J186" s="86">
        <f>'[2]Ukraine Sunflower Exports'!EF$151</f>
        <v>0</v>
      </c>
      <c r="K186" s="86">
        <f>'[2]Ukraine Sunflower Exports'!EG$151</f>
        <v>0</v>
      </c>
      <c r="L186" s="86">
        <f>'[2]Ukraine Sunflower Exports'!EH$151</f>
        <v>0</v>
      </c>
      <c r="M186" s="86">
        <f>'[2]Ukraine Sunflower Exports'!EI$151</f>
        <v>0</v>
      </c>
      <c r="N186" s="86">
        <f t="shared" si="40"/>
        <v>113.144735</v>
      </c>
      <c r="O186" s="27"/>
      <c r="P186" s="87">
        <f t="shared" si="41"/>
        <v>97.296229999999994</v>
      </c>
      <c r="Q186" s="87">
        <f t="shared" si="42"/>
        <v>7.8073350000000001</v>
      </c>
      <c r="R186" s="87">
        <f t="shared" si="43"/>
        <v>8.0411699999999993</v>
      </c>
      <c r="S186" s="87">
        <f t="shared" si="44"/>
        <v>0</v>
      </c>
    </row>
    <row r="187" spans="1:19" ht="16.5" hidden="1">
      <c r="A187" s="81" t="s">
        <v>64</v>
      </c>
      <c r="B187" s="86">
        <f>'[2]Ukraine Sunflower Exports'!EJ$151</f>
        <v>0</v>
      </c>
      <c r="C187" s="86">
        <f>'[2]Ukraine Sunflower Exports'!EK$151</f>
        <v>0</v>
      </c>
      <c r="D187" s="86">
        <f>'[2]Ukraine Sunflower Exports'!EL$151</f>
        <v>0</v>
      </c>
      <c r="E187" s="86">
        <f>'[2]Ukraine Sunflower Exports'!EM$151</f>
        <v>0</v>
      </c>
      <c r="F187" s="86">
        <f>'[2]Ukraine Sunflower Exports'!EN$151</f>
        <v>0</v>
      </c>
      <c r="G187" s="86">
        <f>'[2]Ukraine Sunflower Exports'!EO$151</f>
        <v>0</v>
      </c>
      <c r="H187" s="86">
        <f>'[2]Ukraine Sunflower Exports'!EP$151</f>
        <v>9.9420000000000002</v>
      </c>
      <c r="I187" s="86">
        <f>'[2]Ukraine Sunflower Exports'!EQ$151</f>
        <v>19.277999999999999</v>
      </c>
      <c r="J187" s="86">
        <f>'[2]Ukraine Sunflower Exports'!ER$151</f>
        <v>27.219000000000001</v>
      </c>
      <c r="K187" s="86">
        <f>'[2]Ukraine Sunflower Exports'!ES$151</f>
        <v>19.042999999999999</v>
      </c>
      <c r="L187" s="86">
        <f>'[2]Ukraine Sunflower Exports'!ET$151</f>
        <v>7.7750000000000004</v>
      </c>
      <c r="M187" s="86">
        <f>'[2]Ukraine Sunflower Exports'!EU$151</f>
        <v>0</v>
      </c>
      <c r="N187" s="86">
        <f t="shared" si="40"/>
        <v>83.257000000000005</v>
      </c>
      <c r="O187" s="27"/>
      <c r="P187" s="87">
        <f t="shared" si="41"/>
        <v>0</v>
      </c>
      <c r="Q187" s="87">
        <f t="shared" si="42"/>
        <v>0</v>
      </c>
      <c r="R187" s="87">
        <f t="shared" si="43"/>
        <v>56.439</v>
      </c>
      <c r="S187" s="87">
        <f t="shared" si="44"/>
        <v>26.817999999999998</v>
      </c>
    </row>
    <row r="188" spans="1:19" ht="16.5" hidden="1">
      <c r="A188" s="83" t="s">
        <v>65</v>
      </c>
      <c r="B188" s="86">
        <f>'[2]Ukraine Sunflower Exports'!EV$151</f>
        <v>4.6159999999999997</v>
      </c>
      <c r="C188" s="86">
        <f>'[2]Ukraine Sunflower Exports'!EW$151</f>
        <v>29.690999999999999</v>
      </c>
      <c r="D188" s="86">
        <f>'[2]Ukraine Sunflower Exports'!EX$151</f>
        <v>16.140999999999998</v>
      </c>
      <c r="E188" s="86">
        <f>'[2]Ukraine Sunflower Exports'!EY$151</f>
        <v>17.873999999999999</v>
      </c>
      <c r="F188" s="86">
        <f>'[2]Ukraine Sunflower Exports'!EZ$151</f>
        <v>4.5810000000000004</v>
      </c>
      <c r="G188" s="86">
        <f>'[2]Ukraine Sunflower Exports'!FA$151</f>
        <v>27.556999999999999</v>
      </c>
      <c r="H188" s="86">
        <f>'[2]Ukraine Sunflower Exports'!FB$151</f>
        <v>32.978000000000002</v>
      </c>
      <c r="I188" s="86">
        <f>'[2]Ukraine Sunflower Exports'!FC$151</f>
        <v>7.9640000000000004</v>
      </c>
      <c r="J188" s="86">
        <f>'[2]Ukraine Sunflower Exports'!FD$151</f>
        <v>0.56999999999999995</v>
      </c>
      <c r="K188" s="86">
        <f>'[2]Ukraine Sunflower Exports'!FE$151</f>
        <v>3.169</v>
      </c>
      <c r="L188" s="86">
        <f>'[2]Ukraine Sunflower Exports'!FF$151</f>
        <v>1.9690000000000001</v>
      </c>
      <c r="M188" s="86">
        <f>'[2]Ukraine Sunflower Exports'!FG$151</f>
        <v>0</v>
      </c>
      <c r="N188" s="86">
        <f t="shared" si="40"/>
        <v>147.11000000000001</v>
      </c>
      <c r="O188" s="27"/>
      <c r="P188" s="87">
        <f t="shared" si="41"/>
        <v>50.448</v>
      </c>
      <c r="Q188" s="87">
        <f t="shared" si="42"/>
        <v>50.012</v>
      </c>
      <c r="R188" s="87">
        <f t="shared" si="43"/>
        <v>41.512</v>
      </c>
      <c r="S188" s="87">
        <f t="shared" si="44"/>
        <v>5.1379999999999999</v>
      </c>
    </row>
    <row r="189" spans="1:19" ht="16.5" hidden="1">
      <c r="A189" s="83" t="s">
        <v>66</v>
      </c>
      <c r="B189" s="86">
        <f>'[2]Ukraine Sunflower Exports'!FH$151</f>
        <v>0</v>
      </c>
      <c r="C189" s="86">
        <f>'[2]Ukraine Sunflower Exports'!FI$151</f>
        <v>0.02</v>
      </c>
      <c r="D189" s="86">
        <f>'[2]Ukraine Sunflower Exports'!FJ$151</f>
        <v>0</v>
      </c>
      <c r="E189" s="86">
        <f>'[2]Ukraine Sunflower Exports'!FK$151</f>
        <v>0.02</v>
      </c>
      <c r="F189" s="86">
        <f>'[2]Ukraine Sunflower Exports'!FL$151</f>
        <v>0.02</v>
      </c>
      <c r="G189" s="86">
        <f>'[2]Ukraine Sunflower Exports'!FM$151</f>
        <v>8.1000000000000003E-2</v>
      </c>
      <c r="H189" s="86">
        <f>'[2]Ukraine Sunflower Exports'!FN$151</f>
        <v>0</v>
      </c>
      <c r="I189" s="86">
        <f>'[2]Ukraine Sunflower Exports'!FO$151</f>
        <v>0</v>
      </c>
      <c r="J189" s="86">
        <f>'[2]Ukraine Sunflower Exports'!FP$151</f>
        <v>0</v>
      </c>
      <c r="K189" s="86">
        <f>'[2]Ukraine Sunflower Exports'!FQ$151</f>
        <v>0</v>
      </c>
      <c r="L189" s="86">
        <f>'[2]Ukraine Sunflower Exports'!FR$151</f>
        <v>0</v>
      </c>
      <c r="M189" s="86">
        <f>'[2]Ukraine Sunflower Exports'!FS$151</f>
        <v>0</v>
      </c>
      <c r="N189" s="86">
        <f t="shared" si="40"/>
        <v>0.14100000000000001</v>
      </c>
      <c r="O189" s="27"/>
      <c r="P189" s="87">
        <f t="shared" si="41"/>
        <v>0.02</v>
      </c>
      <c r="Q189" s="87">
        <f t="shared" si="42"/>
        <v>0.121</v>
      </c>
      <c r="R189" s="87">
        <f t="shared" si="43"/>
        <v>0</v>
      </c>
      <c r="S189" s="87">
        <f t="shared" si="44"/>
        <v>0</v>
      </c>
    </row>
    <row r="190" spans="1:19" ht="16.5" hidden="1">
      <c r="A190" s="84" t="s">
        <v>67</v>
      </c>
      <c r="B190" s="86">
        <f>'[2]Ukraine Sunflower Exports'!FT$151</f>
        <v>0.12</v>
      </c>
      <c r="C190" s="86">
        <f>'[2]Ukraine Sunflower Exports'!FU$151</f>
        <v>8.9999999999999993E-3</v>
      </c>
      <c r="D190" s="86">
        <f>'[2]Ukraine Sunflower Exports'!FV$151</f>
        <v>0.02</v>
      </c>
      <c r="E190" s="86">
        <f>'[2]Ukraine Sunflower Exports'!FW$151</f>
        <v>0</v>
      </c>
      <c r="F190" s="86">
        <f>'[2]Ukraine Sunflower Exports'!FX$151</f>
        <v>0</v>
      </c>
      <c r="G190" s="86">
        <f>'[2]Ukraine Sunflower Exports'!FY$151</f>
        <v>0</v>
      </c>
      <c r="H190" s="86">
        <f>'[2]Ukraine Sunflower Exports'!FZ$151</f>
        <v>0</v>
      </c>
      <c r="I190" s="86">
        <f>'[2]Ukraine Sunflower Exports'!GA$151</f>
        <v>0</v>
      </c>
      <c r="J190" s="86">
        <f>'[2]Ukraine Sunflower Exports'!GB$151</f>
        <v>0</v>
      </c>
      <c r="K190" s="86">
        <f>'[2]Ukraine Sunflower Exports'!GC$151</f>
        <v>0</v>
      </c>
      <c r="L190" s="86">
        <f>'[2]Ukraine Sunflower Exports'!GD$151</f>
        <v>4.548</v>
      </c>
      <c r="M190" s="86">
        <f>'[2]Ukraine Sunflower Exports'!GE$151</f>
        <v>2.1000000000000001E-2</v>
      </c>
      <c r="N190" s="86">
        <f t="shared" si="40"/>
        <v>4.718</v>
      </c>
      <c r="O190" s="27"/>
      <c r="P190" s="87">
        <f t="shared" si="41"/>
        <v>0.14899999999999999</v>
      </c>
      <c r="Q190" s="87">
        <f t="shared" si="42"/>
        <v>0</v>
      </c>
      <c r="R190" s="87">
        <f t="shared" si="43"/>
        <v>0</v>
      </c>
      <c r="S190" s="87">
        <f t="shared" si="44"/>
        <v>4.569</v>
      </c>
    </row>
    <row r="191" spans="1:19" ht="16.5" hidden="1">
      <c r="A191" s="83" t="s">
        <v>68</v>
      </c>
      <c r="B191" s="86">
        <f>'[2]Ukraine Sunflower Exports'!GF$151</f>
        <v>8.4000000000000005E-2</v>
      </c>
      <c r="C191" s="86">
        <f>'[2]Ukraine Sunflower Exports'!GG$151</f>
        <v>0</v>
      </c>
      <c r="D191" s="86">
        <f>'[2]Ukraine Sunflower Exports'!GH$151</f>
        <v>0</v>
      </c>
      <c r="E191" s="86">
        <f>'[2]Ukraine Sunflower Exports'!GI$151</f>
        <v>0</v>
      </c>
      <c r="F191" s="86">
        <f>'[2]Ukraine Sunflower Exports'!GJ$151</f>
        <v>0</v>
      </c>
      <c r="G191" s="86">
        <f>'[2]Ukraine Sunflower Exports'!GK$151</f>
        <v>2.3039999999999998</v>
      </c>
      <c r="H191" s="86">
        <f>'[2]Ukraine Sunflower Exports'!GL$151</f>
        <v>2.5419999999999998</v>
      </c>
      <c r="I191" s="86">
        <f>'[2]Ukraine Sunflower Exports'!GM$151</f>
        <v>3.9060000000000001</v>
      </c>
      <c r="J191" s="86">
        <f>'[2]Ukraine Sunflower Exports'!GN$151</f>
        <v>4.1100000000000003</v>
      </c>
      <c r="K191" s="86">
        <f>'[2]Ukraine Sunflower Exports'!GO$151</f>
        <v>4.47</v>
      </c>
      <c r="L191" s="86">
        <f>'[2]Ukraine Sunflower Exports'!GP$151</f>
        <v>0</v>
      </c>
      <c r="M191" s="86">
        <f>'[2]Ukraine Sunflower Exports'!GQ$151</f>
        <v>0</v>
      </c>
      <c r="N191" s="86">
        <f t="shared" si="40"/>
        <v>17.416</v>
      </c>
      <c r="O191" s="27"/>
      <c r="P191" s="87">
        <f t="shared" si="41"/>
        <v>8.4000000000000005E-2</v>
      </c>
      <c r="Q191" s="87">
        <f t="shared" si="42"/>
        <v>2.3039999999999998</v>
      </c>
      <c r="R191" s="87">
        <f t="shared" si="43"/>
        <v>10.558</v>
      </c>
      <c r="S191" s="87">
        <f t="shared" si="44"/>
        <v>4.47</v>
      </c>
    </row>
    <row r="192" spans="1:19" ht="16.5" hidden="1">
      <c r="A192" s="84" t="s">
        <v>69</v>
      </c>
      <c r="B192" s="86">
        <f>'[2]Ukraine Sunflower Exports'!GR$151</f>
        <v>0.121</v>
      </c>
      <c r="C192" s="86">
        <f>'[2]Ukraine Sunflower Exports'!GS$151</f>
        <v>0</v>
      </c>
      <c r="D192" s="86">
        <f>'[2]Ukraine Sunflower Exports'!GT$151</f>
        <v>24.882000000000001</v>
      </c>
      <c r="E192" s="86">
        <f>'[2]Ukraine Sunflower Exports'!GU$151</f>
        <v>25.893999999999998</v>
      </c>
      <c r="F192" s="86">
        <f>'[2]Ukraine Sunflower Exports'!GV$151</f>
        <v>0</v>
      </c>
      <c r="G192" s="86">
        <f>'[2]Ukraine Sunflower Exports'!GW$151</f>
        <v>2.5150000000000001</v>
      </c>
      <c r="H192" s="86">
        <f>'[2]Ukraine Sunflower Exports'!GX$151</f>
        <v>0</v>
      </c>
      <c r="I192" s="86">
        <f>'[2]Ukraine Sunflower Exports'!GY$151</f>
        <v>0</v>
      </c>
      <c r="J192" s="86">
        <f>'[2]Ukraine Sunflower Exports'!GZ$151</f>
        <v>0</v>
      </c>
      <c r="K192" s="86">
        <f>'[2]Ukraine Sunflower Exports'!HA$151</f>
        <v>0</v>
      </c>
      <c r="L192" s="86">
        <f>'[2]Ukraine Sunflower Exports'!HB$151</f>
        <v>0</v>
      </c>
      <c r="M192" s="86">
        <f>'[2]Ukraine Sunflower Exports'!HC$151</f>
        <v>0</v>
      </c>
      <c r="N192" s="86">
        <f t="shared" si="40"/>
        <v>53.411999999999999</v>
      </c>
      <c r="O192" s="27"/>
      <c r="P192" s="87">
        <f t="shared" si="41"/>
        <v>25.003</v>
      </c>
      <c r="Q192" s="87">
        <f t="shared" si="42"/>
        <v>28.408999999999999</v>
      </c>
      <c r="R192" s="87">
        <f t="shared" si="43"/>
        <v>0</v>
      </c>
      <c r="S192" s="87">
        <f t="shared" si="44"/>
        <v>0</v>
      </c>
    </row>
    <row r="193" spans="1:19" ht="16.5" hidden="1">
      <c r="A193" s="84" t="s">
        <v>70</v>
      </c>
      <c r="B193" s="86">
        <f>'[2]Ukraine Sunflower Exports'!HD$151</f>
        <v>0</v>
      </c>
      <c r="C193" s="86">
        <f>'[2]Ukraine Sunflower Exports'!HE$151</f>
        <v>0</v>
      </c>
      <c r="D193" s="86">
        <f>'[2]Ukraine Sunflower Exports'!HF$151</f>
        <v>3.23</v>
      </c>
      <c r="E193" s="86">
        <f>'[2]Ukraine Sunflower Exports'!HG$151</f>
        <v>13.061</v>
      </c>
      <c r="F193" s="86">
        <f>'[2]Ukraine Sunflower Exports'!HH$151</f>
        <v>4.5620000000000003</v>
      </c>
      <c r="G193" s="86">
        <f>'[2]Ukraine Sunflower Exports'!HI$151</f>
        <v>10.259</v>
      </c>
      <c r="H193" s="86">
        <f>'[2]Ukraine Sunflower Exports'!HJ$151</f>
        <v>3.8069999999999999</v>
      </c>
      <c r="I193" s="86">
        <f>'[2]Ukraine Sunflower Exports'!HK$151</f>
        <v>12.776999999999999</v>
      </c>
      <c r="J193" s="86">
        <f>'[2]Ukraine Sunflower Exports'!HL$151</f>
        <v>0</v>
      </c>
      <c r="K193" s="86">
        <f>'[2]Ukraine Sunflower Exports'!HM$151</f>
        <v>60.395000000000003</v>
      </c>
      <c r="L193" s="86">
        <f>'[2]Ukraine Sunflower Exports'!HN$151</f>
        <v>19.565999999999999</v>
      </c>
      <c r="M193" s="86">
        <f>'[2]Ukraine Sunflower Exports'!HO$151</f>
        <v>1.5529999999999999</v>
      </c>
      <c r="N193" s="86">
        <f t="shared" si="40"/>
        <v>129.21</v>
      </c>
      <c r="O193" s="27"/>
      <c r="P193" s="87">
        <f t="shared" si="41"/>
        <v>3.23</v>
      </c>
      <c r="Q193" s="87">
        <f t="shared" si="42"/>
        <v>27.882000000000001</v>
      </c>
      <c r="R193" s="87">
        <f t="shared" si="43"/>
        <v>16.584</v>
      </c>
      <c r="S193" s="87">
        <f t="shared" si="44"/>
        <v>81.513999999999996</v>
      </c>
    </row>
    <row r="194" spans="1:19" ht="16.5" hidden="1">
      <c r="A194" s="83" t="s">
        <v>71</v>
      </c>
      <c r="B194" s="86">
        <f>'[2]Ukraine Sunflower Exports'!HP$151</f>
        <v>4.2000000000000003E-2</v>
      </c>
      <c r="C194" s="86">
        <f>'[2]Ukraine Sunflower Exports'!HQ$151</f>
        <v>0.438</v>
      </c>
      <c r="D194" s="86">
        <f>'[2]Ukraine Sunflower Exports'!HR$151</f>
        <v>3.7309999999999999</v>
      </c>
      <c r="E194" s="86">
        <f>'[2]Ukraine Sunflower Exports'!HS$151</f>
        <v>0.127</v>
      </c>
      <c r="F194" s="86">
        <f>'[2]Ukraine Sunflower Exports'!HT$151</f>
        <v>3.4630000000000001</v>
      </c>
      <c r="G194" s="86">
        <f>'[2]Ukraine Sunflower Exports'!HU$151</f>
        <v>0.157</v>
      </c>
      <c r="H194" s="86">
        <f>'[2]Ukraine Sunflower Exports'!HV$151</f>
        <v>33.408000000000001</v>
      </c>
      <c r="I194" s="86">
        <f>'[2]Ukraine Sunflower Exports'!HW$151</f>
        <v>65.906000000000006</v>
      </c>
      <c r="J194" s="86">
        <f>'[2]Ukraine Sunflower Exports'!HX$151</f>
        <v>63.244</v>
      </c>
      <c r="K194" s="86">
        <f>'[2]Ukraine Sunflower Exports'!HY$151</f>
        <v>65.933999999999997</v>
      </c>
      <c r="L194" s="86">
        <f>'[2]Ukraine Sunflower Exports'!HZ$151</f>
        <v>2.1539999999999999</v>
      </c>
      <c r="M194" s="86">
        <f>'[2]Ukraine Sunflower Exports'!IA$151</f>
        <v>0.125</v>
      </c>
      <c r="N194" s="86">
        <f t="shared" si="40"/>
        <v>238.72900000000001</v>
      </c>
      <c r="O194" s="27"/>
      <c r="P194" s="87">
        <f t="shared" si="41"/>
        <v>4.2110000000000003</v>
      </c>
      <c r="Q194" s="87">
        <f t="shared" si="42"/>
        <v>3.7469999999999999</v>
      </c>
      <c r="R194" s="87">
        <f t="shared" si="43"/>
        <v>162.55799999999999</v>
      </c>
      <c r="S194" s="87">
        <f t="shared" si="44"/>
        <v>68.212999999999994</v>
      </c>
    </row>
    <row r="195" spans="1:19" ht="16.5" hidden="1">
      <c r="A195" s="84" t="s">
        <v>72</v>
      </c>
      <c r="B195" s="86">
        <f>'[2]Ukraine Sunflower Exports'!IB$151</f>
        <v>0.128</v>
      </c>
      <c r="C195" s="86">
        <f>'[2]Ukraine Sunflower Exports'!IC$151</f>
        <v>4.3999999999999997E-2</v>
      </c>
      <c r="D195" s="86">
        <f>'[2]Ukraine Sunflower Exports'!ID$151</f>
        <v>12.656000000000001</v>
      </c>
      <c r="E195" s="86">
        <f>'[2]Ukraine Sunflower Exports'!IE$151</f>
        <v>31.942</v>
      </c>
      <c r="F195" s="86">
        <f>'[2]Ukraine Sunflower Exports'!IF$151</f>
        <v>41.36</v>
      </c>
      <c r="G195" s="86">
        <f>'[2]Ukraine Sunflower Exports'!IG$151</f>
        <v>45.085999999999999</v>
      </c>
      <c r="H195" s="86">
        <f>'[2]Ukraine Sunflower Exports'!IH$151</f>
        <v>36.920999999999999</v>
      </c>
      <c r="I195" s="86">
        <f>'[2]Ukraine Sunflower Exports'!II$151</f>
        <v>33.404000000000003</v>
      </c>
      <c r="J195" s="86">
        <f>'[2]Ukraine Sunflower Exports'!IJ$151</f>
        <v>9.0310000000000006</v>
      </c>
      <c r="K195" s="86">
        <f>'[2]Ukraine Sunflower Exports'!IK$151</f>
        <v>19.686</v>
      </c>
      <c r="L195" s="86">
        <f>'[2]Ukraine Sunflower Exports'!IL$151</f>
        <v>0.10299999999999999</v>
      </c>
      <c r="M195" s="86">
        <f>'[2]Ukraine Sunflower Exports'!IM$151</f>
        <v>0.06</v>
      </c>
      <c r="N195" s="86">
        <f t="shared" si="40"/>
        <v>230.42100000000002</v>
      </c>
      <c r="O195" s="27"/>
      <c r="P195" s="87">
        <f t="shared" si="41"/>
        <v>12.828000000000001</v>
      </c>
      <c r="Q195" s="87">
        <f t="shared" si="42"/>
        <v>118.38799999999999</v>
      </c>
      <c r="R195" s="87">
        <f t="shared" si="43"/>
        <v>79.356000000000009</v>
      </c>
      <c r="S195" s="87">
        <f t="shared" si="44"/>
        <v>19.849</v>
      </c>
    </row>
    <row r="196" spans="1:19" ht="16.5" hidden="1">
      <c r="A196" s="83" t="s">
        <v>73</v>
      </c>
      <c r="B196" s="86">
        <f>'[2]Ukraine Sunflower Exports'!IN$151</f>
        <v>0.94899999999999995</v>
      </c>
      <c r="C196" s="86">
        <f>'[2]Ukraine Sunflower Exports'!IO$151</f>
        <v>16.38</v>
      </c>
      <c r="D196" s="86">
        <f>'[2]Ukraine Sunflower Exports'!IP$151</f>
        <v>9.9410000000000007</v>
      </c>
      <c r="E196" s="86">
        <f>'[2]Ukraine Sunflower Exports'!IQ$151</f>
        <v>16.440999999999999</v>
      </c>
      <c r="F196" s="86">
        <f>'[2]Ukraine Sunflower Exports'!IR$151</f>
        <v>14.904</v>
      </c>
      <c r="G196" s="86">
        <f>'[2]Ukraine Sunflower Exports'!IS$151</f>
        <v>4.1980000000000004</v>
      </c>
      <c r="H196" s="86">
        <f>'[2]Ukraine Sunflower Exports'!IT$151</f>
        <v>25.850999999999999</v>
      </c>
      <c r="I196" s="86">
        <f>'[2]Ukraine Sunflower Exports'!IU$151</f>
        <v>31.97</v>
      </c>
      <c r="J196" s="86">
        <f>'[2]Ukraine Sunflower Exports'!IV$151</f>
        <v>42.561999999999998</v>
      </c>
      <c r="K196" s="86">
        <f>'[2]Ukraine Sunflower Exports'!IW$151</f>
        <v>34.796999999999997</v>
      </c>
      <c r="L196" s="86">
        <f>'[2]Ukraine Sunflower Exports'!IX$151</f>
        <v>0.02</v>
      </c>
      <c r="M196" s="86">
        <f>'[2]Ukraine Sunflower Exports'!IY$151</f>
        <v>1.66</v>
      </c>
      <c r="N196" s="86">
        <f t="shared" si="40"/>
        <v>199.67299999999997</v>
      </c>
      <c r="O196" s="27"/>
      <c r="P196" s="87">
        <f t="shared" si="41"/>
        <v>27.270000000000003</v>
      </c>
      <c r="Q196" s="87">
        <f t="shared" si="42"/>
        <v>35.542999999999999</v>
      </c>
      <c r="R196" s="87">
        <f t="shared" si="43"/>
        <v>100.383</v>
      </c>
      <c r="S196" s="87">
        <f t="shared" si="44"/>
        <v>36.476999999999997</v>
      </c>
    </row>
    <row r="197" spans="1:19" ht="16.5" hidden="1">
      <c r="A197" s="83" t="s">
        <v>74</v>
      </c>
      <c r="B197" s="86">
        <f>'[2]Ukraine Sunflower Exports'!IZ$151</f>
        <v>2.6789999999999998</v>
      </c>
      <c r="C197" s="86">
        <f>'[2]Ukraine Sunflower Exports'!JA$151</f>
        <v>14.083</v>
      </c>
      <c r="D197" s="86">
        <f>'[2]Ukraine Sunflower Exports'!JB$151</f>
        <v>15.16</v>
      </c>
      <c r="E197" s="86">
        <f>'[2]Ukraine Sunflower Exports'!JC$151</f>
        <v>16.061</v>
      </c>
      <c r="F197" s="86">
        <f>'[2]Ukraine Sunflower Exports'!JD$151</f>
        <v>8.468</v>
      </c>
      <c r="G197" s="86">
        <f>'[2]Ukraine Sunflower Exports'!JE$151</f>
        <v>16.155999999999999</v>
      </c>
      <c r="H197" s="86">
        <f>'[2]Ukraine Sunflower Exports'!JF$151</f>
        <v>10.343</v>
      </c>
      <c r="I197" s="86">
        <f>'[2]Ukraine Sunflower Exports'!JG$151</f>
        <v>0.23400000000000001</v>
      </c>
      <c r="J197" s="86">
        <f>'[2]Ukraine Sunflower Exports'!JH$151</f>
        <v>3.202</v>
      </c>
      <c r="K197" s="86">
        <f>'[2]Ukraine Sunflower Exports'!JI$151</f>
        <v>7.0000000000000007E-2</v>
      </c>
      <c r="L197" s="86">
        <f>'[2]Ukraine Sunflower Exports'!JJ$151</f>
        <v>9.2999999999999999E-2</v>
      </c>
      <c r="M197" s="86">
        <f>'[2]Ukraine Sunflower Exports'!JK$151</f>
        <v>5.7000000000000002E-2</v>
      </c>
      <c r="N197" s="86">
        <f t="shared" si="40"/>
        <v>86.605999999999995</v>
      </c>
      <c r="O197" s="27"/>
      <c r="P197" s="87">
        <f t="shared" si="41"/>
        <v>31.922000000000001</v>
      </c>
      <c r="Q197" s="87">
        <f t="shared" si="42"/>
        <v>40.685000000000002</v>
      </c>
      <c r="R197" s="87">
        <f t="shared" si="43"/>
        <v>13.779</v>
      </c>
      <c r="S197" s="87">
        <f t="shared" si="44"/>
        <v>0.22</v>
      </c>
    </row>
    <row r="198" spans="1:19" ht="16.5" hidden="1">
      <c r="A198" s="83" t="s">
        <v>75</v>
      </c>
      <c r="B198" s="86">
        <f>'[2]Ukraine Sunflower Exports'!JL$151</f>
        <v>0.111</v>
      </c>
      <c r="C198" s="86">
        <f>'[2]Ukraine Sunflower Exports'!JM$151</f>
        <v>0.34699999999999998</v>
      </c>
      <c r="D198" s="86">
        <f>'[2]Ukraine Sunflower Exports'!JN$151</f>
        <v>0.245</v>
      </c>
      <c r="E198" s="86">
        <f>'[2]Ukraine Sunflower Exports'!JO$151</f>
        <v>1.2E-2</v>
      </c>
      <c r="F198" s="86">
        <f>'[2]Ukraine Sunflower Exports'!JP$151</f>
        <v>2.4E-2</v>
      </c>
      <c r="G198" s="86">
        <f>'[2]Ukraine Sunflower Exports'!JQ$151</f>
        <v>2.1999999999999999E-2</v>
      </c>
      <c r="H198" s="86">
        <f>'[2]Ukraine Sunflower Exports'!JR$151</f>
        <v>0</v>
      </c>
      <c r="I198" s="86">
        <f>'[2]Ukraine Sunflower Exports'!JS$151</f>
        <v>2.4169999999999998</v>
      </c>
      <c r="J198" s="86">
        <f>'[2]Ukraine Sunflower Exports'!JT$151</f>
        <v>8.5850000000000009</v>
      </c>
      <c r="K198" s="86">
        <f>'[2]Ukraine Sunflower Exports'!JU$151</f>
        <v>3.0129999999999999</v>
      </c>
      <c r="L198" s="86">
        <f>'[2]Ukraine Sunflower Exports'!JV$151</f>
        <v>0.105</v>
      </c>
      <c r="M198" s="86">
        <f>'[2]Ukraine Sunflower Exports'!JW$151</f>
        <v>0</v>
      </c>
      <c r="N198" s="86">
        <f t="shared" si="40"/>
        <v>14.881000000000002</v>
      </c>
      <c r="O198" s="27"/>
      <c r="P198" s="87">
        <f t="shared" si="41"/>
        <v>0.70299999999999996</v>
      </c>
      <c r="Q198" s="87">
        <f t="shared" si="42"/>
        <v>5.8000000000000003E-2</v>
      </c>
      <c r="R198" s="87">
        <f t="shared" si="43"/>
        <v>11.002000000000001</v>
      </c>
      <c r="S198" s="87">
        <f t="shared" si="44"/>
        <v>3.1179999999999999</v>
      </c>
    </row>
    <row r="199" spans="1:19" ht="16.5" hidden="1">
      <c r="A199" s="83" t="s">
        <v>76</v>
      </c>
      <c r="B199" s="86">
        <f>'[2]Ukraine Sunflower Exports'!JX$151</f>
        <v>0.371</v>
      </c>
      <c r="C199" s="86">
        <f>'[2]Ukraine Sunflower Exports'!JY$151</f>
        <v>0.55400000000000005</v>
      </c>
      <c r="D199" s="86">
        <f>'[2]Ukraine Sunflower Exports'!JZ$151</f>
        <v>0.16900000000000001</v>
      </c>
      <c r="E199" s="86">
        <f>'[2]Ukraine Sunflower Exports'!KA$151</f>
        <v>0.13</v>
      </c>
      <c r="F199" s="86">
        <f>'[2]Ukraine Sunflower Exports'!KB$151</f>
        <v>0.10299999999999999</v>
      </c>
      <c r="G199" s="86">
        <f>'[2]Ukraine Sunflower Exports'!KC$151</f>
        <v>0.16900000000000001</v>
      </c>
      <c r="H199" s="86">
        <f>'[2]Ukraine Sunflower Exports'!KD$151</f>
        <v>0.126</v>
      </c>
      <c r="I199" s="86">
        <f>'[2]Ukraine Sunflower Exports'!KE$151</f>
        <v>0</v>
      </c>
      <c r="J199" s="86">
        <f>'[2]Ukraine Sunflower Exports'!KF$151</f>
        <v>2.1000000000000001E-2</v>
      </c>
      <c r="K199" s="86">
        <f>'[2]Ukraine Sunflower Exports'!KG$151</f>
        <v>2.1999999999999999E-2</v>
      </c>
      <c r="L199" s="86">
        <f>'[2]Ukraine Sunflower Exports'!KH$151</f>
        <v>2.1000000000000001E-2</v>
      </c>
      <c r="M199" s="86">
        <f>'[2]Ukraine Sunflower Exports'!KI$151</f>
        <v>0.15</v>
      </c>
      <c r="N199" s="86">
        <f t="shared" si="40"/>
        <v>1.8360000000000001</v>
      </c>
      <c r="O199" s="27"/>
      <c r="P199" s="87">
        <f>SUM(B199:D199)</f>
        <v>1.0940000000000001</v>
      </c>
      <c r="Q199" s="87">
        <f t="shared" si="42"/>
        <v>0.40200000000000002</v>
      </c>
      <c r="R199" s="87">
        <f t="shared" si="43"/>
        <v>0.14699999999999999</v>
      </c>
      <c r="S199" s="87">
        <f t="shared" si="44"/>
        <v>0.193</v>
      </c>
    </row>
    <row r="200" spans="1:19" ht="16.5" hidden="1">
      <c r="A200" s="83" t="s">
        <v>77</v>
      </c>
      <c r="B200" s="86">
        <f>'[2]Ukraine Sunflower Exports'!KJ$151</f>
        <v>0.41699999999999998</v>
      </c>
      <c r="C200" s="86">
        <f>'[2]Ukraine Sunflower Exports'!KK$151</f>
        <v>0.73</v>
      </c>
      <c r="D200" s="86">
        <f>'[2]Ukraine Sunflower Exports'!KL$151</f>
        <v>0.10299999999999999</v>
      </c>
      <c r="E200" s="86">
        <f>'[2]Ukraine Sunflower Exports'!KM$151</f>
        <v>4.2000000000000003E-2</v>
      </c>
      <c r="F200" s="86">
        <f>'[2]Ukraine Sunflower Exports'!KN$151</f>
        <v>0.16</v>
      </c>
      <c r="G200" s="86">
        <f>'[2]Ukraine Sunflower Exports'!KO$151</f>
        <v>0.28399999999999997</v>
      </c>
      <c r="H200" s="86">
        <f>'[2]Ukraine Sunflower Exports'!KP$151</f>
        <v>0.23499999999999999</v>
      </c>
      <c r="I200" s="86">
        <f>'[2]Ukraine Sunflower Exports'!KQ$151</f>
        <v>7.8330000000000002</v>
      </c>
      <c r="J200" s="86">
        <f>'[2]Ukraine Sunflower Exports'!KR$151</f>
        <v>5.8659999999999997</v>
      </c>
      <c r="K200" s="86">
        <f>'[2]Ukraine Sunflower Exports'!KS$151</f>
        <v>0.60399999999999998</v>
      </c>
      <c r="L200" s="86">
        <f>'[2]Ukraine Sunflower Exports'!KT$151</f>
        <v>0.22900000000000001</v>
      </c>
      <c r="M200" s="86">
        <f>'[2]Ukraine Sunflower Exports'!KU$151</f>
        <v>0.24199999999999999</v>
      </c>
      <c r="N200" s="86">
        <f t="shared" si="40"/>
        <v>16.745000000000001</v>
      </c>
      <c r="O200" s="27"/>
      <c r="P200" s="87">
        <f t="shared" ref="P200:P205" si="45">SUM(B200:D200)</f>
        <v>1.25</v>
      </c>
      <c r="Q200" s="87">
        <f t="shared" si="42"/>
        <v>0.48599999999999999</v>
      </c>
      <c r="R200" s="87">
        <f t="shared" si="43"/>
        <v>13.933999999999999</v>
      </c>
      <c r="S200" s="87">
        <f t="shared" si="44"/>
        <v>1.075</v>
      </c>
    </row>
    <row r="201" spans="1:19" ht="16.5" hidden="1">
      <c r="A201" s="83" t="s">
        <v>78</v>
      </c>
      <c r="B201" s="86">
        <f>'[2]Ukraine Sunflower Exports'!KV$151</f>
        <v>0.312</v>
      </c>
      <c r="C201" s="86">
        <f>'[2]Ukraine Sunflower Exports'!KW$151</f>
        <v>17.292999999999999</v>
      </c>
      <c r="D201" s="86">
        <f>'[2]Ukraine Sunflower Exports'!KX$151</f>
        <v>3.319</v>
      </c>
      <c r="E201" s="86">
        <f>'[2]Ukraine Sunflower Exports'!KY$151</f>
        <v>0.56699999999999995</v>
      </c>
      <c r="F201" s="86">
        <f>'[2]Ukraine Sunflower Exports'!KZ$151</f>
        <v>0.14799999999999999</v>
      </c>
      <c r="G201" s="86">
        <f>'[2]Ukraine Sunflower Exports'!LA$151</f>
        <v>7.8639999999999999</v>
      </c>
      <c r="H201" s="86">
        <f>'[2]Ukraine Sunflower Exports'!LB$151</f>
        <v>13.115</v>
      </c>
      <c r="I201" s="86">
        <f>'[2]Ukraine Sunflower Exports'!LC$151</f>
        <v>0.32100000000000001</v>
      </c>
      <c r="J201" s="86">
        <f>'[2]Ukraine Sunflower Exports'!LD$151</f>
        <v>0.17599999999999999</v>
      </c>
      <c r="K201" s="86">
        <f>'[2]Ukraine Sunflower Exports'!LE$151</f>
        <v>6.7699999999999996E-2</v>
      </c>
      <c r="L201" s="86">
        <f>'[2]Ukraine Sunflower Exports'!LF$151</f>
        <v>0</v>
      </c>
      <c r="M201" s="86">
        <f>'[2]Ukraine Sunflower Exports'!LG$151</f>
        <v>2.095E-2</v>
      </c>
      <c r="N201" s="86">
        <f t="shared" si="40"/>
        <v>43.203650000000003</v>
      </c>
      <c r="O201" s="27"/>
      <c r="P201" s="87">
        <f t="shared" si="45"/>
        <v>20.923999999999999</v>
      </c>
      <c r="Q201" s="87">
        <f t="shared" si="42"/>
        <v>8.5790000000000006</v>
      </c>
      <c r="R201" s="87">
        <f t="shared" si="43"/>
        <v>13.612</v>
      </c>
      <c r="S201" s="87">
        <f t="shared" si="44"/>
        <v>8.8649999999999993E-2</v>
      </c>
    </row>
    <row r="202" spans="1:19" ht="16.5" hidden="1">
      <c r="A202" s="83" t="s">
        <v>79</v>
      </c>
      <c r="B202" s="86">
        <f>'[2]Ukraine Sunflower Exports'!LH$151</f>
        <v>0.40973999999999999</v>
      </c>
      <c r="C202" s="86">
        <f>'[2]Ukraine Sunflower Exports'!LI$151</f>
        <v>0.23799999999999999</v>
      </c>
      <c r="D202" s="86">
        <f>'[2]Ukraine Sunflower Exports'!LJ$151</f>
        <v>0.12058000000000001</v>
      </c>
      <c r="E202" s="86">
        <f>'[2]Ukraine Sunflower Exports'!LK$151</f>
        <v>0.112</v>
      </c>
      <c r="F202" s="86">
        <f>'[2]Ukraine Sunflower Exports'!LL$151</f>
        <v>0.15079999999999999</v>
      </c>
      <c r="G202" s="86">
        <f>'[2]Ukraine Sunflower Exports'!LM$151</f>
        <v>0.26800000000000002</v>
      </c>
      <c r="H202" s="86">
        <f>'[2]Ukraine Sunflower Exports'!LN$151</f>
        <v>0.17810000000000001</v>
      </c>
      <c r="I202" s="86">
        <f>'[2]Ukraine Sunflower Exports'!LO$151</f>
        <v>9.1999999999999998E-2</v>
      </c>
      <c r="J202" s="86">
        <f>'[2]Ukraine Sunflower Exports'!LP$151</f>
        <v>0.112</v>
      </c>
      <c r="K202" s="86">
        <f>'[2]Ukraine Sunflower Exports'!LQ$151</f>
        <v>9.11E-2</v>
      </c>
      <c r="L202" s="86">
        <f>'[2]Ukraine Sunflower Exports'!LR$151</f>
        <v>0.13600000000000001</v>
      </c>
      <c r="M202" s="86">
        <f>'[2]Ukraine Sunflower Exports'!LS$151</f>
        <v>4.4999999999999998E-2</v>
      </c>
      <c r="N202" s="86">
        <f t="shared" si="40"/>
        <v>1.9533200000000002</v>
      </c>
      <c r="O202" s="27"/>
      <c r="P202" s="87">
        <f t="shared" si="45"/>
        <v>0.76832</v>
      </c>
      <c r="Q202" s="87">
        <f t="shared" si="42"/>
        <v>0.53079999999999994</v>
      </c>
      <c r="R202" s="87">
        <f t="shared" si="43"/>
        <v>0.3821</v>
      </c>
      <c r="S202" s="87">
        <f t="shared" si="44"/>
        <v>0.27210000000000001</v>
      </c>
    </row>
    <row r="203" spans="1:19" ht="16.5">
      <c r="A203" s="85" t="s">
        <v>80</v>
      </c>
      <c r="B203" s="86">
        <f>'[2]Ukraine Sunflower Exports'!LT$151</f>
        <v>0.17799999999999999</v>
      </c>
      <c r="C203" s="86">
        <f>'[2]Ukraine Sunflower Exports'!LU$151</f>
        <v>7.4067999999999996</v>
      </c>
      <c r="D203" s="86">
        <f>'[2]Ukraine Sunflower Exports'!LV$151</f>
        <v>7.49282</v>
      </c>
      <c r="E203" s="86">
        <f>'[2]Ukraine Sunflower Exports'!LW$151</f>
        <v>7.7272299999999996</v>
      </c>
      <c r="F203" s="86">
        <f>'[2]Ukraine Sunflower Exports'!LX$151</f>
        <v>8.8999999999999996E-2</v>
      </c>
      <c r="G203" s="86">
        <f>'[2]Ukraine Sunflower Exports'!LY$151</f>
        <v>13.027884999999999</v>
      </c>
      <c r="H203" s="86">
        <f>'[2]Ukraine Sunflower Exports'!LZ$151</f>
        <v>12.745901</v>
      </c>
      <c r="I203" s="86">
        <f>'[2]Ukraine Sunflower Exports'!MA$151</f>
        <v>13.889162000000001</v>
      </c>
      <c r="J203" s="86">
        <f>'[2]Ukraine Sunflower Exports'!MB$151</f>
        <v>0.32834400000000002</v>
      </c>
      <c r="K203" s="86">
        <f>'[2]Ukraine Sunflower Exports'!MC$151</f>
        <v>0</v>
      </c>
      <c r="L203" s="86">
        <f>'[2]Ukraine Sunflower Exports'!MD$151</f>
        <v>4.3999999999999997E-2</v>
      </c>
      <c r="M203" s="86">
        <f>'[2]Ukraine Sunflower Exports'!ME$151</f>
        <v>4.4999999999999998E-2</v>
      </c>
      <c r="N203" s="86">
        <f t="shared" si="40"/>
        <v>62.974142000000001</v>
      </c>
      <c r="O203" s="27"/>
      <c r="P203" s="87">
        <f t="shared" si="45"/>
        <v>15.07762</v>
      </c>
      <c r="Q203" s="87">
        <f t="shared" si="42"/>
        <v>20.844114999999999</v>
      </c>
      <c r="R203" s="87">
        <f t="shared" si="43"/>
        <v>26.963407000000004</v>
      </c>
      <c r="S203" s="87">
        <f t="shared" si="44"/>
        <v>8.8999999999999996E-2</v>
      </c>
    </row>
    <row r="204" spans="1:19" ht="16.5">
      <c r="A204" s="85" t="s">
        <v>81</v>
      </c>
      <c r="B204" s="86">
        <f>'[2]Ukraine Sunflower Exports'!MF$151</f>
        <v>6.9952E-2</v>
      </c>
      <c r="C204" s="86">
        <f>'[2]Ukraine Sunflower Exports'!MG$151</f>
        <v>0.15307999999999999</v>
      </c>
      <c r="D204" s="86">
        <f>'[2]Ukraine Sunflower Exports'!MH$151</f>
        <v>0.11</v>
      </c>
      <c r="E204" s="86">
        <f>'[2]Ukraine Sunflower Exports'!MI$151</f>
        <v>0.18516199999999999</v>
      </c>
      <c r="F204" s="86">
        <f>'[2]Ukraine Sunflower Exports'!MJ$151</f>
        <v>0.11544</v>
      </c>
      <c r="G204" s="86">
        <f>'[2]Ukraine Sunflower Exports'!MK$151</f>
        <v>0.11219999999999999</v>
      </c>
      <c r="H204" s="86">
        <f>'[2]Ukraine Sunflower Exports'!ML$151</f>
        <v>0.68289</v>
      </c>
      <c r="I204" s="86">
        <f>'[2]Ukraine Sunflower Exports'!MM$151</f>
        <v>3.2421530000000001</v>
      </c>
      <c r="J204" s="86">
        <f>'[2]Ukraine Sunflower Exports'!MN$151</f>
        <v>7.3419270000000001</v>
      </c>
      <c r="K204" s="86">
        <f>'[2]Ukraine Sunflower Exports'!MO$151</f>
        <v>0.14199999999999999</v>
      </c>
      <c r="L204" s="86">
        <f>'[2]Ukraine Sunflower Exports'!MP$151</f>
        <v>4.9000000000000002E-2</v>
      </c>
      <c r="M204" s="86">
        <f>'[2]Ukraine Sunflower Exports'!MQ$151</f>
        <v>0</v>
      </c>
      <c r="N204" s="86">
        <f t="shared" si="40"/>
        <v>12.203803999999998</v>
      </c>
      <c r="O204" s="27"/>
      <c r="P204" s="87">
        <f t="shared" si="45"/>
        <v>0.33303199999999999</v>
      </c>
      <c r="Q204" s="87">
        <f t="shared" si="42"/>
        <v>0.412802</v>
      </c>
      <c r="R204" s="87">
        <f t="shared" si="43"/>
        <v>11.266970000000001</v>
      </c>
      <c r="S204" s="87">
        <f t="shared" si="44"/>
        <v>0.191</v>
      </c>
    </row>
    <row r="205" spans="1:19" ht="17.25" thickBot="1">
      <c r="A205" s="88" t="s">
        <v>82</v>
      </c>
      <c r="B205" s="89">
        <f>'[2]Ukraine Sunflower Exports'!MR$151</f>
        <v>0</v>
      </c>
      <c r="C205" s="89">
        <f>'[2]Ukraine Sunflower Exports'!MS$151</f>
        <v>0</v>
      </c>
      <c r="D205" s="89">
        <f>'[2]Ukraine Sunflower Exports'!MT$151</f>
        <v>7.0805660000000001</v>
      </c>
      <c r="E205" s="89">
        <f>'[2]Ukraine Sunflower Exports'!MU$151</f>
        <v>22.744451999999999</v>
      </c>
      <c r="F205" s="89">
        <f>'[2]Ukraine Sunflower Exports'!MV$151</f>
        <v>21.161999999999999</v>
      </c>
      <c r="G205" s="89">
        <f>'[2]Ukraine Sunflower Exports'!MW$151</f>
        <v>35.783000000000001</v>
      </c>
      <c r="H205" s="89">
        <f>'[2]Ukraine Sunflower Exports'!MX$151</f>
        <v>0.13800000000000001</v>
      </c>
      <c r="I205" s="89" t="str">
        <f>'[2]Ukraine Sunflower Exports'!MY$151</f>
        <v/>
      </c>
      <c r="J205" s="90">
        <f>(AVERAGE(J200:J204)/AVERAGE($N200:$N204))*$N205-5.4</f>
        <v>3.4075845962867231</v>
      </c>
      <c r="K205" s="90">
        <f>(AVERAGE(K200:K204)/AVERAGE($N200:$N204))*$N205</f>
        <v>0.57645734395110071</v>
      </c>
      <c r="L205" s="90">
        <f>(AVERAGE(L200:L204)/AVERAGE($N200:$N204))*$N205</f>
        <v>0.29179648931211777</v>
      </c>
      <c r="M205" s="90">
        <f>N205-SUM(B205:L205)</f>
        <v>-3.8488384295499429</v>
      </c>
      <c r="N205" s="90">
        <f>'Sun Matrix'!BF20</f>
        <v>87.335018000000005</v>
      </c>
      <c r="O205" s="95"/>
      <c r="P205" s="92">
        <f t="shared" si="45"/>
        <v>7.0805660000000001</v>
      </c>
      <c r="Q205" s="92">
        <f t="shared" si="42"/>
        <v>79.689452000000003</v>
      </c>
      <c r="R205" s="93">
        <f t="shared" si="43"/>
        <v>3.545584596286723</v>
      </c>
      <c r="S205" s="93">
        <f t="shared" si="44"/>
        <v>-2.9805845962867243</v>
      </c>
    </row>
    <row r="206" spans="1:19" ht="16.5">
      <c r="A206" s="80" t="s">
        <v>90</v>
      </c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27"/>
      <c r="P206" s="87"/>
      <c r="Q206" s="87"/>
      <c r="R206" s="87"/>
      <c r="S206" s="87"/>
    </row>
    <row r="207" spans="1:19" ht="16.5" hidden="1">
      <c r="A207" s="81" t="s">
        <v>84</v>
      </c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27"/>
      <c r="P207" s="87"/>
      <c r="Q207" s="87"/>
      <c r="R207" s="87"/>
      <c r="S207" s="87"/>
    </row>
    <row r="208" spans="1:19" ht="16.5" hidden="1">
      <c r="A208" s="81" t="s">
        <v>56</v>
      </c>
      <c r="B208" s="86">
        <f>B121+B150+B179</f>
        <v>7</v>
      </c>
      <c r="C208" s="86">
        <f t="shared" ref="C208:M208" si="46">C121+C150+C179</f>
        <v>0</v>
      </c>
      <c r="D208" s="86">
        <f t="shared" si="46"/>
        <v>0</v>
      </c>
      <c r="E208" s="86">
        <f t="shared" si="46"/>
        <v>0</v>
      </c>
      <c r="F208" s="86">
        <f t="shared" si="46"/>
        <v>0</v>
      </c>
      <c r="G208" s="86">
        <f t="shared" si="46"/>
        <v>0</v>
      </c>
      <c r="H208" s="86">
        <f t="shared" si="46"/>
        <v>0</v>
      </c>
      <c r="I208" s="86">
        <f t="shared" si="46"/>
        <v>0</v>
      </c>
      <c r="J208" s="86">
        <f t="shared" si="46"/>
        <v>0</v>
      </c>
      <c r="K208" s="86">
        <f t="shared" si="46"/>
        <v>0</v>
      </c>
      <c r="L208" s="86">
        <f t="shared" si="46"/>
        <v>0</v>
      </c>
      <c r="M208" s="86">
        <f t="shared" si="46"/>
        <v>0</v>
      </c>
      <c r="N208" s="86">
        <f>SUM(B208:M208)</f>
        <v>7</v>
      </c>
      <c r="O208" s="27"/>
      <c r="P208" s="87">
        <f>SUM(B208:D208)</f>
        <v>7</v>
      </c>
      <c r="Q208" s="87">
        <f>SUM(E208:G208)</f>
        <v>0</v>
      </c>
      <c r="R208" s="87">
        <f>SUM(H208:J208)</f>
        <v>0</v>
      </c>
      <c r="S208" s="87">
        <f>SUM(K208:M208)</f>
        <v>0</v>
      </c>
    </row>
    <row r="209" spans="1:19" ht="16.5" hidden="1">
      <c r="A209" s="81" t="s">
        <v>57</v>
      </c>
      <c r="B209" s="86">
        <f t="shared" ref="B209:M224" si="47">B122+B151+B180</f>
        <v>24</v>
      </c>
      <c r="C209" s="86">
        <f t="shared" si="47"/>
        <v>0</v>
      </c>
      <c r="D209" s="86">
        <f t="shared" si="47"/>
        <v>0</v>
      </c>
      <c r="E209" s="86">
        <f t="shared" si="47"/>
        <v>23</v>
      </c>
      <c r="F209" s="86">
        <f t="shared" si="47"/>
        <v>0</v>
      </c>
      <c r="G209" s="86">
        <f t="shared" si="47"/>
        <v>0</v>
      </c>
      <c r="H209" s="86">
        <f t="shared" si="47"/>
        <v>0</v>
      </c>
      <c r="I209" s="86">
        <f t="shared" si="47"/>
        <v>0</v>
      </c>
      <c r="J209" s="86">
        <f t="shared" si="47"/>
        <v>0</v>
      </c>
      <c r="K209" s="86">
        <f t="shared" si="47"/>
        <v>0</v>
      </c>
      <c r="L209" s="86">
        <f t="shared" si="47"/>
        <v>0</v>
      </c>
      <c r="M209" s="86">
        <f t="shared" si="47"/>
        <v>0</v>
      </c>
      <c r="N209" s="86">
        <f t="shared" ref="N209:N234" si="48">SUM(B209:M209)</f>
        <v>47</v>
      </c>
      <c r="O209" s="27"/>
      <c r="P209" s="87">
        <f t="shared" ref="P209:P227" si="49">SUM(B209:D209)</f>
        <v>24</v>
      </c>
      <c r="Q209" s="87">
        <f t="shared" ref="Q209:Q234" si="50">SUM(E209:G209)</f>
        <v>23</v>
      </c>
      <c r="R209" s="87">
        <f t="shared" ref="R209:R234" si="51">SUM(H209:J209)</f>
        <v>0</v>
      </c>
      <c r="S209" s="87">
        <f t="shared" ref="S209:S234" si="52">SUM(K209:M209)</f>
        <v>0</v>
      </c>
    </row>
    <row r="210" spans="1:19" ht="16.5" hidden="1">
      <c r="A210" s="81" t="s">
        <v>58</v>
      </c>
      <c r="B210" s="86">
        <f t="shared" si="47"/>
        <v>46.9</v>
      </c>
      <c r="C210" s="86">
        <f t="shared" si="47"/>
        <v>0</v>
      </c>
      <c r="D210" s="86">
        <f t="shared" si="47"/>
        <v>0</v>
      </c>
      <c r="E210" s="86">
        <f t="shared" si="47"/>
        <v>0</v>
      </c>
      <c r="F210" s="86">
        <f t="shared" si="47"/>
        <v>14.599340000000002</v>
      </c>
      <c r="G210" s="86">
        <f t="shared" si="47"/>
        <v>12.31</v>
      </c>
      <c r="H210" s="86">
        <f t="shared" si="47"/>
        <v>28.649083999999998</v>
      </c>
      <c r="I210" s="86">
        <f t="shared" si="47"/>
        <v>21.929625999999999</v>
      </c>
      <c r="J210" s="86">
        <f t="shared" si="47"/>
        <v>13.013399999999999</v>
      </c>
      <c r="K210" s="86">
        <f t="shared" si="47"/>
        <v>13.027180999999999</v>
      </c>
      <c r="L210" s="86">
        <f t="shared" si="47"/>
        <v>12.66539</v>
      </c>
      <c r="M210" s="86">
        <f t="shared" si="47"/>
        <v>7.3739999999999997</v>
      </c>
      <c r="N210" s="86">
        <f t="shared" si="48"/>
        <v>170.46802099999999</v>
      </c>
      <c r="O210" s="27"/>
      <c r="P210" s="87">
        <f t="shared" si="49"/>
        <v>46.9</v>
      </c>
      <c r="Q210" s="87">
        <f t="shared" si="50"/>
        <v>26.90934</v>
      </c>
      <c r="R210" s="87">
        <f t="shared" si="51"/>
        <v>63.592109999999998</v>
      </c>
      <c r="S210" s="87">
        <f t="shared" si="52"/>
        <v>33.066571000000003</v>
      </c>
    </row>
    <row r="211" spans="1:19" ht="16.5" hidden="1">
      <c r="A211" s="81" t="s">
        <v>59</v>
      </c>
      <c r="B211" s="86">
        <f t="shared" si="47"/>
        <v>125.17439300000001</v>
      </c>
      <c r="C211" s="86">
        <f t="shared" si="47"/>
        <v>49.494437999999995</v>
      </c>
      <c r="D211" s="86">
        <f t="shared" si="47"/>
        <v>60.047384999999998</v>
      </c>
      <c r="E211" s="86">
        <f t="shared" si="47"/>
        <v>91.820380999999998</v>
      </c>
      <c r="F211" s="86">
        <f t="shared" si="47"/>
        <v>17.800988</v>
      </c>
      <c r="G211" s="86">
        <f t="shared" si="47"/>
        <v>12.869593</v>
      </c>
      <c r="H211" s="86">
        <f t="shared" si="47"/>
        <v>20.420487999999999</v>
      </c>
      <c r="I211" s="86">
        <f t="shared" si="47"/>
        <v>24.686724999999999</v>
      </c>
      <c r="J211" s="86">
        <f t="shared" si="47"/>
        <v>14.193778</v>
      </c>
      <c r="K211" s="86">
        <f t="shared" si="47"/>
        <v>5.2645770000000001</v>
      </c>
      <c r="L211" s="86">
        <f t="shared" si="47"/>
        <v>6.8964759999999998</v>
      </c>
      <c r="M211" s="86">
        <f t="shared" si="47"/>
        <v>5.65</v>
      </c>
      <c r="N211" s="86">
        <f t="shared" si="48"/>
        <v>434.31922200000002</v>
      </c>
      <c r="O211" s="27"/>
      <c r="P211" s="87">
        <f t="shared" si="49"/>
        <v>234.716216</v>
      </c>
      <c r="Q211" s="87">
        <f t="shared" si="50"/>
        <v>122.490962</v>
      </c>
      <c r="R211" s="87">
        <f t="shared" si="51"/>
        <v>59.300991000000003</v>
      </c>
      <c r="S211" s="87">
        <f t="shared" si="52"/>
        <v>17.811053000000001</v>
      </c>
    </row>
    <row r="212" spans="1:19" ht="16.5" hidden="1">
      <c r="A212" s="81" t="s">
        <v>60</v>
      </c>
      <c r="B212" s="86">
        <f t="shared" si="47"/>
        <v>72.798169999999999</v>
      </c>
      <c r="C212" s="86">
        <f t="shared" si="47"/>
        <v>148.881327</v>
      </c>
      <c r="D212" s="86">
        <f t="shared" si="47"/>
        <v>78.980180000000004</v>
      </c>
      <c r="E212" s="86">
        <f t="shared" si="47"/>
        <v>47.761846999999996</v>
      </c>
      <c r="F212" s="86">
        <f t="shared" si="47"/>
        <v>42.471919999999997</v>
      </c>
      <c r="G212" s="86">
        <f t="shared" si="47"/>
        <v>10.60036</v>
      </c>
      <c r="H212" s="86">
        <f t="shared" si="47"/>
        <v>3.8908549999999997</v>
      </c>
      <c r="I212" s="86">
        <f t="shared" si="47"/>
        <v>10.24945</v>
      </c>
      <c r="J212" s="86">
        <f t="shared" si="47"/>
        <v>14.372</v>
      </c>
      <c r="K212" s="86">
        <f t="shared" si="47"/>
        <v>8.1809999999999992</v>
      </c>
      <c r="L212" s="86">
        <f t="shared" si="47"/>
        <v>5.0000000000000001E-3</v>
      </c>
      <c r="M212" s="86">
        <f t="shared" si="47"/>
        <v>1.694</v>
      </c>
      <c r="N212" s="86">
        <f t="shared" si="48"/>
        <v>439.88610900000003</v>
      </c>
      <c r="O212" s="27"/>
      <c r="P212" s="87">
        <f t="shared" si="49"/>
        <v>300.65967699999999</v>
      </c>
      <c r="Q212" s="87">
        <f t="shared" si="50"/>
        <v>100.834127</v>
      </c>
      <c r="R212" s="87">
        <f t="shared" si="51"/>
        <v>28.512304999999998</v>
      </c>
      <c r="S212" s="87">
        <f t="shared" si="52"/>
        <v>9.879999999999999</v>
      </c>
    </row>
    <row r="213" spans="1:19" ht="16.5" hidden="1">
      <c r="A213" s="81" t="s">
        <v>61</v>
      </c>
      <c r="B213" s="86">
        <f t="shared" si="47"/>
        <v>29.256</v>
      </c>
      <c r="C213" s="86">
        <f t="shared" si="47"/>
        <v>18.665016000000001</v>
      </c>
      <c r="D213" s="86">
        <f t="shared" si="47"/>
        <v>71.250872000000001</v>
      </c>
      <c r="E213" s="86">
        <f t="shared" si="47"/>
        <v>33.003569999999996</v>
      </c>
      <c r="F213" s="86">
        <f t="shared" si="47"/>
        <v>21.062469</v>
      </c>
      <c r="G213" s="86">
        <f t="shared" si="47"/>
        <v>46.536022000000003</v>
      </c>
      <c r="H213" s="86">
        <f t="shared" si="47"/>
        <v>47.65448</v>
      </c>
      <c r="I213" s="86">
        <f t="shared" si="47"/>
        <v>31.348863999999999</v>
      </c>
      <c r="J213" s="86">
        <f t="shared" si="47"/>
        <v>25.038806000000001</v>
      </c>
      <c r="K213" s="86">
        <f t="shared" si="47"/>
        <v>20.486425999999998</v>
      </c>
      <c r="L213" s="86">
        <f t="shared" si="47"/>
        <v>14.407069999999999</v>
      </c>
      <c r="M213" s="86">
        <f t="shared" si="47"/>
        <v>4.0267609999999996</v>
      </c>
      <c r="N213" s="86">
        <f t="shared" si="48"/>
        <v>362.736356</v>
      </c>
      <c r="O213" s="27"/>
      <c r="P213" s="87">
        <f t="shared" si="49"/>
        <v>119.171888</v>
      </c>
      <c r="Q213" s="87">
        <f t="shared" si="50"/>
        <v>100.60206099999999</v>
      </c>
      <c r="R213" s="87">
        <f t="shared" si="51"/>
        <v>104.04214999999999</v>
      </c>
      <c r="S213" s="87">
        <f t="shared" si="52"/>
        <v>38.920256999999999</v>
      </c>
    </row>
    <row r="214" spans="1:19" ht="16.5" hidden="1">
      <c r="A214" s="81" t="s">
        <v>62</v>
      </c>
      <c r="B214" s="86">
        <f t="shared" si="47"/>
        <v>58.183639999999997</v>
      </c>
      <c r="C214" s="86">
        <f t="shared" si="47"/>
        <v>69.679452999999995</v>
      </c>
      <c r="D214" s="86">
        <f t="shared" si="47"/>
        <v>93.132266999999999</v>
      </c>
      <c r="E214" s="86">
        <f t="shared" si="47"/>
        <v>62.465098000000005</v>
      </c>
      <c r="F214" s="86">
        <f t="shared" si="47"/>
        <v>14.798584</v>
      </c>
      <c r="G214" s="86">
        <f t="shared" si="47"/>
        <v>21.459713000000001</v>
      </c>
      <c r="H214" s="86">
        <f t="shared" si="47"/>
        <v>0.36</v>
      </c>
      <c r="I214" s="86">
        <f t="shared" si="47"/>
        <v>2.012</v>
      </c>
      <c r="J214" s="86">
        <f t="shared" si="47"/>
        <v>0.82599999999999996</v>
      </c>
      <c r="K214" s="86">
        <f t="shared" si="47"/>
        <v>5.5149999999999997</v>
      </c>
      <c r="L214" s="86">
        <f t="shared" si="47"/>
        <v>0.876</v>
      </c>
      <c r="M214" s="86">
        <f t="shared" si="47"/>
        <v>1.4E-2</v>
      </c>
      <c r="N214" s="86">
        <f t="shared" si="48"/>
        <v>329.32175500000005</v>
      </c>
      <c r="O214" s="27"/>
      <c r="P214" s="87">
        <f t="shared" si="49"/>
        <v>220.99536000000001</v>
      </c>
      <c r="Q214" s="87">
        <f t="shared" si="50"/>
        <v>98.723395000000011</v>
      </c>
      <c r="R214" s="87">
        <f t="shared" si="51"/>
        <v>3.198</v>
      </c>
      <c r="S214" s="87">
        <f t="shared" si="52"/>
        <v>6.4050000000000002</v>
      </c>
    </row>
    <row r="215" spans="1:19" ht="16.5" hidden="1">
      <c r="A215" s="81" t="s">
        <v>63</v>
      </c>
      <c r="B215" s="86">
        <f t="shared" si="47"/>
        <v>82.293000000000006</v>
      </c>
      <c r="C215" s="86">
        <f t="shared" si="47"/>
        <v>7.0819999999999999</v>
      </c>
      <c r="D215" s="86">
        <f t="shared" si="47"/>
        <v>48.332129999999999</v>
      </c>
      <c r="E215" s="86">
        <f t="shared" si="47"/>
        <v>11.836822999999999</v>
      </c>
      <c r="F215" s="86">
        <f t="shared" si="47"/>
        <v>13.615</v>
      </c>
      <c r="G215" s="86">
        <f t="shared" si="47"/>
        <v>9.8755119999999987</v>
      </c>
      <c r="H215" s="86">
        <f t="shared" si="47"/>
        <v>18.940169999999998</v>
      </c>
      <c r="I215" s="86">
        <f t="shared" si="47"/>
        <v>19.338000000000001</v>
      </c>
      <c r="J215" s="86">
        <f t="shared" si="47"/>
        <v>5.6289999999999996</v>
      </c>
      <c r="K215" s="86">
        <f t="shared" si="47"/>
        <v>0.2</v>
      </c>
      <c r="L215" s="86">
        <f>L128+L157+L186</f>
        <v>0.17</v>
      </c>
      <c r="M215" s="86">
        <f t="shared" si="47"/>
        <v>1.1970000000000001</v>
      </c>
      <c r="N215" s="86">
        <f t="shared" si="48"/>
        <v>218.50863499999997</v>
      </c>
      <c r="O215" s="27"/>
      <c r="P215" s="87">
        <f t="shared" si="49"/>
        <v>137.70713000000001</v>
      </c>
      <c r="Q215" s="87">
        <f t="shared" si="50"/>
        <v>35.327334999999998</v>
      </c>
      <c r="R215" s="87">
        <f t="shared" si="51"/>
        <v>43.907170000000001</v>
      </c>
      <c r="S215" s="87">
        <f t="shared" si="52"/>
        <v>1.5670000000000002</v>
      </c>
    </row>
    <row r="216" spans="1:19" ht="16.5" hidden="1">
      <c r="A216" s="81" t="s">
        <v>64</v>
      </c>
      <c r="B216" s="86">
        <f t="shared" si="47"/>
        <v>4.734</v>
      </c>
      <c r="C216" s="86">
        <f t="shared" si="47"/>
        <v>12.957000000000001</v>
      </c>
      <c r="D216" s="86">
        <f t="shared" si="47"/>
        <v>3.0649999999999999</v>
      </c>
      <c r="E216" s="86">
        <f t="shared" si="47"/>
        <v>3.855</v>
      </c>
      <c r="F216" s="86">
        <f t="shared" si="47"/>
        <v>8.5020000000000007</v>
      </c>
      <c r="G216" s="86">
        <f t="shared" si="47"/>
        <v>2.7250000000000001</v>
      </c>
      <c r="H216" s="86">
        <f t="shared" si="47"/>
        <v>22.475999999999999</v>
      </c>
      <c r="I216" s="86">
        <f t="shared" si="47"/>
        <v>24.360999999999997</v>
      </c>
      <c r="J216" s="86">
        <f t="shared" si="47"/>
        <v>34.692999999999998</v>
      </c>
      <c r="K216" s="86">
        <f t="shared" si="47"/>
        <v>42.143999999999998</v>
      </c>
      <c r="L216" s="86">
        <f t="shared" si="47"/>
        <v>22.545000000000002</v>
      </c>
      <c r="M216" s="86">
        <f t="shared" si="47"/>
        <v>14.513</v>
      </c>
      <c r="N216" s="86">
        <f t="shared" si="48"/>
        <v>196.57000000000002</v>
      </c>
      <c r="O216" s="27"/>
      <c r="P216" s="87">
        <f t="shared" si="49"/>
        <v>20.756000000000004</v>
      </c>
      <c r="Q216" s="87">
        <f t="shared" si="50"/>
        <v>15.082000000000001</v>
      </c>
      <c r="R216" s="87">
        <f t="shared" si="51"/>
        <v>81.53</v>
      </c>
      <c r="S216" s="87">
        <f t="shared" si="52"/>
        <v>79.201999999999998</v>
      </c>
    </row>
    <row r="217" spans="1:19" ht="16.5" hidden="1">
      <c r="A217" s="83" t="s">
        <v>65</v>
      </c>
      <c r="B217" s="86">
        <f t="shared" si="47"/>
        <v>72.418000000000006</v>
      </c>
      <c r="C217" s="86">
        <f t="shared" si="47"/>
        <v>96.598000000000013</v>
      </c>
      <c r="D217" s="86">
        <f t="shared" si="47"/>
        <v>76.818999999999988</v>
      </c>
      <c r="E217" s="86">
        <f t="shared" si="47"/>
        <v>52.126000000000005</v>
      </c>
      <c r="F217" s="86">
        <f t="shared" si="47"/>
        <v>20.48</v>
      </c>
      <c r="G217" s="86">
        <f t="shared" si="47"/>
        <v>42.475999999999999</v>
      </c>
      <c r="H217" s="86">
        <f t="shared" si="47"/>
        <v>48.660000000000004</v>
      </c>
      <c r="I217" s="86">
        <f t="shared" si="47"/>
        <v>26.521000000000001</v>
      </c>
      <c r="J217" s="86">
        <f t="shared" si="47"/>
        <v>10.849</v>
      </c>
      <c r="K217" s="86">
        <f t="shared" si="47"/>
        <v>26.663</v>
      </c>
      <c r="L217" s="86">
        <f t="shared" si="47"/>
        <v>12.712</v>
      </c>
      <c r="M217" s="86">
        <f t="shared" si="47"/>
        <v>22.797999999999998</v>
      </c>
      <c r="N217" s="86">
        <f t="shared" si="48"/>
        <v>509.12000000000006</v>
      </c>
      <c r="O217" s="27"/>
      <c r="P217" s="87">
        <f t="shared" si="49"/>
        <v>245.83500000000001</v>
      </c>
      <c r="Q217" s="87">
        <f t="shared" si="50"/>
        <v>115.08200000000001</v>
      </c>
      <c r="R217" s="87">
        <f t="shared" si="51"/>
        <v>86.030000000000015</v>
      </c>
      <c r="S217" s="87">
        <f t="shared" si="52"/>
        <v>62.173000000000002</v>
      </c>
    </row>
    <row r="218" spans="1:19" ht="16.5" hidden="1">
      <c r="A218" s="83" t="s">
        <v>66</v>
      </c>
      <c r="B218" s="86">
        <f t="shared" si="47"/>
        <v>61.454999999999998</v>
      </c>
      <c r="C218" s="86">
        <f t="shared" si="47"/>
        <v>50.085000000000001</v>
      </c>
      <c r="D218" s="86">
        <f t="shared" si="47"/>
        <v>13.512</v>
      </c>
      <c r="E218" s="86">
        <f t="shared" si="47"/>
        <v>10.907999999999999</v>
      </c>
      <c r="F218" s="86">
        <f t="shared" si="47"/>
        <v>33.373000000000005</v>
      </c>
      <c r="G218" s="86">
        <f t="shared" si="47"/>
        <v>42.811</v>
      </c>
      <c r="H218" s="86">
        <f t="shared" si="47"/>
        <v>66.165000000000006</v>
      </c>
      <c r="I218" s="86">
        <f t="shared" si="47"/>
        <v>108.93299999999999</v>
      </c>
      <c r="J218" s="86">
        <f t="shared" si="47"/>
        <v>56.793999999999997</v>
      </c>
      <c r="K218" s="86">
        <f t="shared" si="47"/>
        <v>29.277000000000001</v>
      </c>
      <c r="L218" s="86">
        <f t="shared" si="47"/>
        <v>34.554000000000002</v>
      </c>
      <c r="M218" s="86">
        <f t="shared" si="47"/>
        <v>6.8609999999999998</v>
      </c>
      <c r="N218" s="86">
        <f t="shared" si="48"/>
        <v>514.72799999999995</v>
      </c>
      <c r="O218" s="27"/>
      <c r="P218" s="87">
        <f t="shared" si="49"/>
        <v>125.05199999999999</v>
      </c>
      <c r="Q218" s="87">
        <f t="shared" si="50"/>
        <v>87.092000000000013</v>
      </c>
      <c r="R218" s="87">
        <f t="shared" si="51"/>
        <v>231.892</v>
      </c>
      <c r="S218" s="87">
        <f t="shared" si="52"/>
        <v>70.692000000000007</v>
      </c>
    </row>
    <row r="219" spans="1:19" ht="16.5" hidden="1">
      <c r="A219" s="84" t="s">
        <v>67</v>
      </c>
      <c r="B219" s="86">
        <f t="shared" si="47"/>
        <v>19.214000000000002</v>
      </c>
      <c r="C219" s="86">
        <f t="shared" si="47"/>
        <v>21.427999999999997</v>
      </c>
      <c r="D219" s="86">
        <f t="shared" si="47"/>
        <v>20.802</v>
      </c>
      <c r="E219" s="86">
        <f t="shared" si="47"/>
        <v>47.024000000000001</v>
      </c>
      <c r="F219" s="86">
        <f t="shared" si="47"/>
        <v>17.885999999999999</v>
      </c>
      <c r="G219" s="86">
        <f t="shared" si="47"/>
        <v>29.478999999999999</v>
      </c>
      <c r="H219" s="86">
        <f t="shared" si="47"/>
        <v>61.926000000000002</v>
      </c>
      <c r="I219" s="86">
        <f t="shared" si="47"/>
        <v>65.438000000000002</v>
      </c>
      <c r="J219" s="86">
        <f t="shared" si="47"/>
        <v>36.183</v>
      </c>
      <c r="K219" s="86">
        <f t="shared" si="47"/>
        <v>5.09</v>
      </c>
      <c r="L219" s="86">
        <f t="shared" si="47"/>
        <v>17.256999999999998</v>
      </c>
      <c r="M219" s="86">
        <f t="shared" si="47"/>
        <v>2.9000000000000001E-2</v>
      </c>
      <c r="N219" s="86">
        <f t="shared" si="48"/>
        <v>341.75599999999991</v>
      </c>
      <c r="O219" s="27"/>
      <c r="P219" s="87">
        <f t="shared" si="49"/>
        <v>61.443999999999996</v>
      </c>
      <c r="Q219" s="87">
        <f t="shared" si="50"/>
        <v>94.388999999999996</v>
      </c>
      <c r="R219" s="87">
        <f t="shared" si="51"/>
        <v>163.547</v>
      </c>
      <c r="S219" s="87">
        <f t="shared" si="52"/>
        <v>22.375999999999998</v>
      </c>
    </row>
    <row r="220" spans="1:19" ht="16.5" hidden="1">
      <c r="A220" s="83" t="s">
        <v>68</v>
      </c>
      <c r="B220" s="86">
        <f t="shared" si="47"/>
        <v>13.397</v>
      </c>
      <c r="C220" s="86">
        <f t="shared" si="47"/>
        <v>25.763999999999999</v>
      </c>
      <c r="D220" s="86">
        <f t="shared" si="47"/>
        <v>12.843</v>
      </c>
      <c r="E220" s="86">
        <f t="shared" si="47"/>
        <v>7.9770000000000003</v>
      </c>
      <c r="F220" s="86">
        <f t="shared" si="47"/>
        <v>42.488</v>
      </c>
      <c r="G220" s="86">
        <f t="shared" si="47"/>
        <v>53.635000000000005</v>
      </c>
      <c r="H220" s="86">
        <f t="shared" si="47"/>
        <v>61.757999999999996</v>
      </c>
      <c r="I220" s="86">
        <f t="shared" si="47"/>
        <v>100.16000000000001</v>
      </c>
      <c r="J220" s="86">
        <f t="shared" si="47"/>
        <v>76.003</v>
      </c>
      <c r="K220" s="86">
        <f t="shared" si="47"/>
        <v>18.861999999999998</v>
      </c>
      <c r="L220" s="86">
        <f t="shared" si="47"/>
        <v>2.1110000000000002</v>
      </c>
      <c r="M220" s="86">
        <f t="shared" si="47"/>
        <v>0.54700000000000004</v>
      </c>
      <c r="N220" s="86">
        <f t="shared" si="48"/>
        <v>415.54500000000007</v>
      </c>
      <c r="O220" s="27"/>
      <c r="P220" s="87">
        <f t="shared" si="49"/>
        <v>52.004000000000005</v>
      </c>
      <c r="Q220" s="87">
        <f t="shared" si="50"/>
        <v>104.10000000000001</v>
      </c>
      <c r="R220" s="87">
        <f t="shared" si="51"/>
        <v>237.92099999999999</v>
      </c>
      <c r="S220" s="87">
        <f t="shared" si="52"/>
        <v>21.52</v>
      </c>
    </row>
    <row r="221" spans="1:19" ht="16.5" hidden="1">
      <c r="A221" s="84" t="s">
        <v>69</v>
      </c>
      <c r="B221" s="86">
        <f t="shared" si="47"/>
        <v>8.8520000000000003</v>
      </c>
      <c r="C221" s="86">
        <f t="shared" si="47"/>
        <v>50.393000000000001</v>
      </c>
      <c r="D221" s="86">
        <f t="shared" si="47"/>
        <v>58.602000000000004</v>
      </c>
      <c r="E221" s="86">
        <f t="shared" si="47"/>
        <v>56.004999999999995</v>
      </c>
      <c r="F221" s="86">
        <f t="shared" si="47"/>
        <v>63.561999999999998</v>
      </c>
      <c r="G221" s="86">
        <f t="shared" si="47"/>
        <v>58.167999999999999</v>
      </c>
      <c r="H221" s="86">
        <f t="shared" si="47"/>
        <v>43.860999999999997</v>
      </c>
      <c r="I221" s="86">
        <f t="shared" si="47"/>
        <v>48.658000000000001</v>
      </c>
      <c r="J221" s="86">
        <f t="shared" si="47"/>
        <v>51.786999999999999</v>
      </c>
      <c r="K221" s="86">
        <f t="shared" si="47"/>
        <v>42.247999999999998</v>
      </c>
      <c r="L221" s="86">
        <f t="shared" si="47"/>
        <v>2.8460000000000001</v>
      </c>
      <c r="M221" s="86">
        <f t="shared" si="47"/>
        <v>0.217</v>
      </c>
      <c r="N221" s="86">
        <f t="shared" si="48"/>
        <v>485.19899999999996</v>
      </c>
      <c r="O221" s="27"/>
      <c r="P221" s="87">
        <f t="shared" si="49"/>
        <v>117.84700000000001</v>
      </c>
      <c r="Q221" s="87">
        <f t="shared" si="50"/>
        <v>177.73499999999999</v>
      </c>
      <c r="R221" s="87">
        <f t="shared" si="51"/>
        <v>144.30600000000001</v>
      </c>
      <c r="S221" s="87">
        <f t="shared" si="52"/>
        <v>45.310999999999993</v>
      </c>
    </row>
    <row r="222" spans="1:19" ht="16.5" hidden="1">
      <c r="A222" s="84" t="s">
        <v>70</v>
      </c>
      <c r="B222" s="86">
        <f t="shared" si="47"/>
        <v>9.4309999999999992</v>
      </c>
      <c r="C222" s="86">
        <f t="shared" si="47"/>
        <v>24.256</v>
      </c>
      <c r="D222" s="86">
        <f t="shared" si="47"/>
        <v>22.684000000000001</v>
      </c>
      <c r="E222" s="86">
        <f t="shared" si="47"/>
        <v>20.45</v>
      </c>
      <c r="F222" s="86">
        <f t="shared" si="47"/>
        <v>16.939</v>
      </c>
      <c r="G222" s="86">
        <f t="shared" si="47"/>
        <v>40.228999999999999</v>
      </c>
      <c r="H222" s="86">
        <f t="shared" si="47"/>
        <v>22.454999999999998</v>
      </c>
      <c r="I222" s="86">
        <f t="shared" si="47"/>
        <v>29.524000000000001</v>
      </c>
      <c r="J222" s="86">
        <f t="shared" si="47"/>
        <v>39.146999999999998</v>
      </c>
      <c r="K222" s="86">
        <f t="shared" si="47"/>
        <v>82.997</v>
      </c>
      <c r="L222" s="86">
        <f t="shared" si="47"/>
        <v>32.909999999999997</v>
      </c>
      <c r="M222" s="86">
        <f t="shared" si="47"/>
        <v>44.607999999999997</v>
      </c>
      <c r="N222" s="86">
        <f t="shared" si="48"/>
        <v>385.62999999999994</v>
      </c>
      <c r="O222" s="27"/>
      <c r="P222" s="87">
        <f t="shared" si="49"/>
        <v>56.370999999999995</v>
      </c>
      <c r="Q222" s="87">
        <f t="shared" si="50"/>
        <v>77.617999999999995</v>
      </c>
      <c r="R222" s="87">
        <f t="shared" si="51"/>
        <v>91.126000000000005</v>
      </c>
      <c r="S222" s="87">
        <f t="shared" si="52"/>
        <v>160.51499999999999</v>
      </c>
    </row>
    <row r="223" spans="1:19" ht="16.5" hidden="1">
      <c r="A223" s="83" t="s">
        <v>71</v>
      </c>
      <c r="B223" s="86">
        <f t="shared" si="47"/>
        <v>52.428000000000004</v>
      </c>
      <c r="C223" s="86">
        <f t="shared" si="47"/>
        <v>54.286000000000001</v>
      </c>
      <c r="D223" s="86">
        <f t="shared" si="47"/>
        <v>61.288000000000004</v>
      </c>
      <c r="E223" s="86">
        <f t="shared" si="47"/>
        <v>44.945</v>
      </c>
      <c r="F223" s="86">
        <f t="shared" si="47"/>
        <v>24.021000000000001</v>
      </c>
      <c r="G223" s="86">
        <f t="shared" si="47"/>
        <v>35.581999999999994</v>
      </c>
      <c r="H223" s="86">
        <f t="shared" si="47"/>
        <v>96.311000000000007</v>
      </c>
      <c r="I223" s="86">
        <f t="shared" si="47"/>
        <v>113.643</v>
      </c>
      <c r="J223" s="86">
        <f t="shared" si="47"/>
        <v>75.105999999999995</v>
      </c>
      <c r="K223" s="86">
        <f t="shared" si="47"/>
        <v>80.92</v>
      </c>
      <c r="L223" s="86">
        <f t="shared" si="47"/>
        <v>2.42</v>
      </c>
      <c r="M223" s="86">
        <f t="shared" si="47"/>
        <v>1.117</v>
      </c>
      <c r="N223" s="86">
        <f t="shared" si="48"/>
        <v>642.06699999999989</v>
      </c>
      <c r="O223" s="27"/>
      <c r="P223" s="87">
        <f t="shared" si="49"/>
        <v>168.00200000000001</v>
      </c>
      <c r="Q223" s="87">
        <f t="shared" si="50"/>
        <v>104.548</v>
      </c>
      <c r="R223" s="87">
        <f t="shared" si="51"/>
        <v>285.06</v>
      </c>
      <c r="S223" s="87">
        <f t="shared" si="52"/>
        <v>84.457000000000008</v>
      </c>
    </row>
    <row r="224" spans="1:19" ht="16.5" hidden="1">
      <c r="A224" s="84" t="s">
        <v>72</v>
      </c>
      <c r="B224" s="86">
        <f t="shared" si="47"/>
        <v>9.9749999999999996</v>
      </c>
      <c r="C224" s="86">
        <f t="shared" si="47"/>
        <v>15.179</v>
      </c>
      <c r="D224" s="86">
        <f t="shared" si="47"/>
        <v>29.852000000000004</v>
      </c>
      <c r="E224" s="86">
        <f t="shared" si="47"/>
        <v>47.266999999999996</v>
      </c>
      <c r="F224" s="86">
        <f t="shared" si="47"/>
        <v>67.085000000000008</v>
      </c>
      <c r="G224" s="86">
        <f t="shared" si="47"/>
        <v>63.554000000000002</v>
      </c>
      <c r="H224" s="86">
        <f t="shared" si="47"/>
        <v>67.793999999999997</v>
      </c>
      <c r="I224" s="86">
        <f t="shared" si="47"/>
        <v>78.975999999999999</v>
      </c>
      <c r="J224" s="86">
        <f t="shared" si="47"/>
        <v>90.533000000000001</v>
      </c>
      <c r="K224" s="86">
        <f t="shared" si="47"/>
        <v>92.183999999999997</v>
      </c>
      <c r="L224" s="86">
        <f t="shared" si="47"/>
        <v>6.7989999999999995</v>
      </c>
      <c r="M224" s="86">
        <f t="shared" si="47"/>
        <v>0.16399999999999998</v>
      </c>
      <c r="N224" s="86">
        <f t="shared" si="48"/>
        <v>569.36199999999997</v>
      </c>
      <c r="O224" s="27"/>
      <c r="P224" s="87">
        <f t="shared" si="49"/>
        <v>55.006</v>
      </c>
      <c r="Q224" s="87">
        <f t="shared" si="50"/>
        <v>177.90600000000001</v>
      </c>
      <c r="R224" s="87">
        <f t="shared" si="51"/>
        <v>237.303</v>
      </c>
      <c r="S224" s="87">
        <f t="shared" si="52"/>
        <v>99.147000000000006</v>
      </c>
    </row>
    <row r="225" spans="1:19" ht="16.5" hidden="1">
      <c r="A225" s="83" t="s">
        <v>73</v>
      </c>
      <c r="B225" s="86">
        <f t="shared" ref="B225:M234" si="53">B138+B167+B196</f>
        <v>39.015999999999998</v>
      </c>
      <c r="C225" s="86">
        <f t="shared" si="53"/>
        <v>38.506999999999998</v>
      </c>
      <c r="D225" s="86">
        <f t="shared" si="53"/>
        <v>51.94</v>
      </c>
      <c r="E225" s="86">
        <f t="shared" si="53"/>
        <v>135.40299999999999</v>
      </c>
      <c r="F225" s="86">
        <f t="shared" si="53"/>
        <v>78.5</v>
      </c>
      <c r="G225" s="86">
        <f t="shared" si="53"/>
        <v>24.905999999999999</v>
      </c>
      <c r="H225" s="86">
        <f t="shared" si="53"/>
        <v>47.216999999999999</v>
      </c>
      <c r="I225" s="86">
        <f t="shared" si="53"/>
        <v>121.13399999999999</v>
      </c>
      <c r="J225" s="86">
        <f t="shared" si="53"/>
        <v>116.92700000000001</v>
      </c>
      <c r="K225" s="86">
        <f t="shared" si="53"/>
        <v>56.823999999999998</v>
      </c>
      <c r="L225" s="86">
        <f t="shared" si="53"/>
        <v>8.863999999999999</v>
      </c>
      <c r="M225" s="86">
        <f t="shared" si="53"/>
        <v>9.9190000000000005</v>
      </c>
      <c r="N225" s="86">
        <f t="shared" si="48"/>
        <v>729.15699999999993</v>
      </c>
      <c r="O225" s="27"/>
      <c r="P225" s="87">
        <f t="shared" si="49"/>
        <v>129.46299999999999</v>
      </c>
      <c r="Q225" s="87">
        <f t="shared" si="50"/>
        <v>238.809</v>
      </c>
      <c r="R225" s="87">
        <f t="shared" si="51"/>
        <v>285.27800000000002</v>
      </c>
      <c r="S225" s="87">
        <f t="shared" si="52"/>
        <v>75.606999999999999</v>
      </c>
    </row>
    <row r="226" spans="1:19" ht="16.5" hidden="1">
      <c r="A226" s="83" t="s">
        <v>74</v>
      </c>
      <c r="B226" s="86">
        <f t="shared" si="53"/>
        <v>47.718000000000004</v>
      </c>
      <c r="C226" s="86">
        <f t="shared" si="53"/>
        <v>43.814</v>
      </c>
      <c r="D226" s="86">
        <f t="shared" si="53"/>
        <v>29.654</v>
      </c>
      <c r="E226" s="86">
        <f t="shared" si="53"/>
        <v>35.238</v>
      </c>
      <c r="F226" s="86">
        <f t="shared" si="53"/>
        <v>35.021000000000001</v>
      </c>
      <c r="G226" s="86">
        <f t="shared" si="53"/>
        <v>60.449999999999996</v>
      </c>
      <c r="H226" s="86">
        <f t="shared" si="53"/>
        <v>21.819000000000003</v>
      </c>
      <c r="I226" s="86">
        <f t="shared" si="53"/>
        <v>17.547000000000001</v>
      </c>
      <c r="J226" s="86">
        <f t="shared" si="53"/>
        <v>64.147999999999996</v>
      </c>
      <c r="K226" s="86">
        <f t="shared" si="53"/>
        <v>69.625</v>
      </c>
      <c r="L226" s="86">
        <f t="shared" si="53"/>
        <v>8.2569999999999997</v>
      </c>
      <c r="M226" s="86">
        <f t="shared" si="53"/>
        <v>6.0030000000000001</v>
      </c>
      <c r="N226" s="86">
        <f t="shared" si="48"/>
        <v>439.29399999999998</v>
      </c>
      <c r="O226" s="27"/>
      <c r="P226" s="87">
        <f t="shared" si="49"/>
        <v>121.18600000000001</v>
      </c>
      <c r="Q226" s="87">
        <f t="shared" si="50"/>
        <v>130.709</v>
      </c>
      <c r="R226" s="87">
        <f t="shared" si="51"/>
        <v>103.514</v>
      </c>
      <c r="S226" s="87">
        <f t="shared" si="52"/>
        <v>83.885000000000005</v>
      </c>
    </row>
    <row r="227" spans="1:19" ht="16.5" hidden="1">
      <c r="A227" s="83" t="s">
        <v>75</v>
      </c>
      <c r="B227" s="86">
        <f t="shared" si="53"/>
        <v>60.303999999999995</v>
      </c>
      <c r="C227" s="86">
        <f t="shared" si="53"/>
        <v>41.008000000000003</v>
      </c>
      <c r="D227" s="86">
        <f t="shared" si="53"/>
        <v>57.705999999999996</v>
      </c>
      <c r="E227" s="86">
        <f t="shared" si="53"/>
        <v>47.269999999999996</v>
      </c>
      <c r="F227" s="86">
        <f t="shared" si="53"/>
        <v>21.694000000000003</v>
      </c>
      <c r="G227" s="86">
        <f t="shared" si="53"/>
        <v>18.948999999999998</v>
      </c>
      <c r="H227" s="86">
        <f t="shared" si="53"/>
        <v>20.652999999999999</v>
      </c>
      <c r="I227" s="86">
        <f t="shared" si="53"/>
        <v>24.268000000000001</v>
      </c>
      <c r="J227" s="86">
        <f t="shared" si="53"/>
        <v>42.467999999999996</v>
      </c>
      <c r="K227" s="86">
        <f t="shared" si="53"/>
        <v>11.595000000000001</v>
      </c>
      <c r="L227" s="86">
        <f t="shared" si="53"/>
        <v>4.8540000000000001</v>
      </c>
      <c r="M227" s="86">
        <f t="shared" si="53"/>
        <v>8.1000000000000003E-2</v>
      </c>
      <c r="N227" s="86">
        <f t="shared" si="48"/>
        <v>350.85000000000014</v>
      </c>
      <c r="O227" s="27"/>
      <c r="P227" s="87">
        <f t="shared" si="49"/>
        <v>159.018</v>
      </c>
      <c r="Q227" s="87">
        <f t="shared" si="50"/>
        <v>87.912999999999997</v>
      </c>
      <c r="R227" s="87">
        <f t="shared" si="51"/>
        <v>87.388999999999996</v>
      </c>
      <c r="S227" s="87">
        <f t="shared" si="52"/>
        <v>16.53</v>
      </c>
    </row>
    <row r="228" spans="1:19" ht="16.5" hidden="1">
      <c r="A228" s="83" t="s">
        <v>76</v>
      </c>
      <c r="B228" s="86">
        <f t="shared" si="53"/>
        <v>62.67</v>
      </c>
      <c r="C228" s="86">
        <f t="shared" si="53"/>
        <v>72.914000000000001</v>
      </c>
      <c r="D228" s="86">
        <f t="shared" si="53"/>
        <v>34.086999999999996</v>
      </c>
      <c r="E228" s="86">
        <f t="shared" si="53"/>
        <v>13.782999999999999</v>
      </c>
      <c r="F228" s="86">
        <f t="shared" si="53"/>
        <v>15.170999999999999</v>
      </c>
      <c r="G228" s="86">
        <f t="shared" si="53"/>
        <v>17.161000000000001</v>
      </c>
      <c r="H228" s="86">
        <f t="shared" si="53"/>
        <v>6.5579999999999998</v>
      </c>
      <c r="I228" s="86">
        <f t="shared" si="53"/>
        <v>10.423</v>
      </c>
      <c r="J228" s="86">
        <f t="shared" si="53"/>
        <v>8.0740000000000016</v>
      </c>
      <c r="K228" s="86">
        <f t="shared" si="53"/>
        <v>3.9869999999999997</v>
      </c>
      <c r="L228" s="86">
        <f t="shared" si="53"/>
        <v>0.39800000000000002</v>
      </c>
      <c r="M228" s="86">
        <f t="shared" si="53"/>
        <v>0.94200000000000006</v>
      </c>
      <c r="N228" s="86">
        <f t="shared" si="48"/>
        <v>246.16799999999998</v>
      </c>
      <c r="O228" s="27"/>
      <c r="P228" s="87">
        <f>SUM(B228:D228)</f>
        <v>169.67099999999999</v>
      </c>
      <c r="Q228" s="87">
        <f t="shared" si="50"/>
        <v>46.115000000000002</v>
      </c>
      <c r="R228" s="87">
        <f t="shared" si="51"/>
        <v>25.055000000000003</v>
      </c>
      <c r="S228" s="87">
        <f t="shared" si="52"/>
        <v>5.327</v>
      </c>
    </row>
    <row r="229" spans="1:19" ht="16.5" hidden="1">
      <c r="A229" s="83" t="s">
        <v>77</v>
      </c>
      <c r="B229" s="86">
        <f t="shared" si="53"/>
        <v>21.159000000000002</v>
      </c>
      <c r="C229" s="86">
        <f t="shared" si="53"/>
        <v>25.794</v>
      </c>
      <c r="D229" s="86">
        <f t="shared" si="53"/>
        <v>11.538</v>
      </c>
      <c r="E229" s="86">
        <f t="shared" si="53"/>
        <v>16.358000000000001</v>
      </c>
      <c r="F229" s="86">
        <f t="shared" si="53"/>
        <v>16.533000000000001</v>
      </c>
      <c r="G229" s="86">
        <f t="shared" si="53"/>
        <v>24.622999999999998</v>
      </c>
      <c r="H229" s="86">
        <f t="shared" si="53"/>
        <v>10.135999999999999</v>
      </c>
      <c r="I229" s="86">
        <f t="shared" si="53"/>
        <v>42.629999999999995</v>
      </c>
      <c r="J229" s="86">
        <f t="shared" si="53"/>
        <v>27.885999999999999</v>
      </c>
      <c r="K229" s="86">
        <f t="shared" si="53"/>
        <v>25.713999999999999</v>
      </c>
      <c r="L229" s="86">
        <f t="shared" si="53"/>
        <v>1.2770000000000001</v>
      </c>
      <c r="M229" s="86">
        <f t="shared" si="53"/>
        <v>0.69500000000000006</v>
      </c>
      <c r="N229" s="86">
        <f t="shared" si="48"/>
        <v>224.34299999999996</v>
      </c>
      <c r="O229" s="27"/>
      <c r="P229" s="87">
        <f t="shared" ref="P229:P234" si="54">SUM(B229:D229)</f>
        <v>58.491</v>
      </c>
      <c r="Q229" s="87">
        <f t="shared" si="50"/>
        <v>57.514000000000003</v>
      </c>
      <c r="R229" s="87">
        <f t="shared" si="51"/>
        <v>80.651999999999987</v>
      </c>
      <c r="S229" s="87">
        <f t="shared" si="52"/>
        <v>27.686</v>
      </c>
    </row>
    <row r="230" spans="1:19" ht="16.5" hidden="1">
      <c r="A230" s="83" t="s">
        <v>78</v>
      </c>
      <c r="B230" s="86">
        <f t="shared" si="53"/>
        <v>2.944</v>
      </c>
      <c r="C230" s="86">
        <f t="shared" si="53"/>
        <v>30.785</v>
      </c>
      <c r="D230" s="86">
        <f t="shared" si="53"/>
        <v>28.364999999999998</v>
      </c>
      <c r="E230" s="86">
        <f t="shared" si="53"/>
        <v>17.647000000000002</v>
      </c>
      <c r="F230" s="86">
        <f t="shared" si="53"/>
        <v>21.355</v>
      </c>
      <c r="G230" s="86">
        <f t="shared" si="53"/>
        <v>56.876999999999995</v>
      </c>
      <c r="H230" s="86">
        <f t="shared" si="53"/>
        <v>65.762999999999991</v>
      </c>
      <c r="I230" s="86">
        <f t="shared" si="53"/>
        <v>51.199999999999996</v>
      </c>
      <c r="J230" s="86">
        <f t="shared" si="53"/>
        <v>78.826999999999998</v>
      </c>
      <c r="K230" s="86">
        <f t="shared" si="53"/>
        <v>39.936700000000002</v>
      </c>
      <c r="L230" s="86">
        <f t="shared" si="53"/>
        <v>3.2791199999999998</v>
      </c>
      <c r="M230" s="86">
        <f t="shared" si="53"/>
        <v>0.83217399999999997</v>
      </c>
      <c r="N230" s="86">
        <f t="shared" si="48"/>
        <v>397.81099399999999</v>
      </c>
      <c r="O230" s="27"/>
      <c r="P230" s="87">
        <f t="shared" si="54"/>
        <v>62.093999999999994</v>
      </c>
      <c r="Q230" s="87">
        <f t="shared" si="50"/>
        <v>95.878999999999991</v>
      </c>
      <c r="R230" s="87">
        <f t="shared" si="51"/>
        <v>195.79</v>
      </c>
      <c r="S230" s="87">
        <f t="shared" si="52"/>
        <v>44.047994000000003</v>
      </c>
    </row>
    <row r="231" spans="1:19" ht="16.5" hidden="1">
      <c r="A231" s="83" t="s">
        <v>79</v>
      </c>
      <c r="B231" s="86">
        <f t="shared" si="53"/>
        <v>3.54</v>
      </c>
      <c r="C231" s="86">
        <f t="shared" si="53"/>
        <v>7.5120000000000005</v>
      </c>
      <c r="D231" s="86">
        <f t="shared" si="53"/>
        <v>19.204340000000002</v>
      </c>
      <c r="E231" s="86">
        <f t="shared" si="53"/>
        <v>53.948659999999997</v>
      </c>
      <c r="F231" s="86">
        <f t="shared" si="53"/>
        <v>18.193350000000002</v>
      </c>
      <c r="G231" s="86">
        <f t="shared" si="53"/>
        <v>115.417</v>
      </c>
      <c r="H231" s="86">
        <f t="shared" si="53"/>
        <v>21.928100000000001</v>
      </c>
      <c r="I231" s="86">
        <f t="shared" si="53"/>
        <v>8.4370000000000012</v>
      </c>
      <c r="J231" s="86">
        <f t="shared" si="53"/>
        <v>22.788999999999998</v>
      </c>
      <c r="K231" s="86">
        <f t="shared" si="53"/>
        <v>50.772099999999995</v>
      </c>
      <c r="L231" s="86">
        <f t="shared" si="53"/>
        <v>38.055</v>
      </c>
      <c r="M231" s="86">
        <f t="shared" si="53"/>
        <v>0.11699999999999999</v>
      </c>
      <c r="N231" s="86">
        <f t="shared" si="48"/>
        <v>359.91354999999999</v>
      </c>
      <c r="O231" s="27"/>
      <c r="P231" s="87">
        <f t="shared" si="54"/>
        <v>30.256340000000002</v>
      </c>
      <c r="Q231" s="87">
        <f t="shared" si="50"/>
        <v>187.55901</v>
      </c>
      <c r="R231" s="87">
        <f t="shared" si="51"/>
        <v>53.1541</v>
      </c>
      <c r="S231" s="87">
        <f t="shared" si="52"/>
        <v>88.944100000000006</v>
      </c>
    </row>
    <row r="232" spans="1:19" ht="16.5">
      <c r="A232" s="85" t="s">
        <v>80</v>
      </c>
      <c r="B232" s="86">
        <f t="shared" si="53"/>
        <v>0.73100000000000009</v>
      </c>
      <c r="C232" s="86">
        <f t="shared" si="53"/>
        <v>28.910639999999997</v>
      </c>
      <c r="D232" s="86">
        <f t="shared" si="53"/>
        <v>28.239820000000002</v>
      </c>
      <c r="E232" s="86">
        <f t="shared" si="53"/>
        <v>9.8702299999999994</v>
      </c>
      <c r="F232" s="86">
        <f t="shared" si="53"/>
        <v>30.986999999999998</v>
      </c>
      <c r="G232" s="86">
        <f t="shared" si="53"/>
        <v>57.965885</v>
      </c>
      <c r="H232" s="86">
        <f t="shared" si="53"/>
        <v>91.907691</v>
      </c>
      <c r="I232" s="86">
        <f t="shared" si="53"/>
        <v>106.426259</v>
      </c>
      <c r="J232" s="86">
        <f t="shared" si="53"/>
        <v>115.1636</v>
      </c>
      <c r="K232" s="86">
        <f t="shared" si="53"/>
        <v>107.02882</v>
      </c>
      <c r="L232" s="86">
        <f t="shared" si="53"/>
        <v>23.618237999999998</v>
      </c>
      <c r="M232" s="86">
        <f t="shared" si="53"/>
        <v>9.8420000000000005</v>
      </c>
      <c r="N232" s="86">
        <f t="shared" si="48"/>
        <v>610.69118300000002</v>
      </c>
      <c r="O232" s="27"/>
      <c r="P232" s="87">
        <f t="shared" si="54"/>
        <v>57.881460000000004</v>
      </c>
      <c r="Q232" s="87">
        <f t="shared" si="50"/>
        <v>98.823115000000001</v>
      </c>
      <c r="R232" s="87">
        <f t="shared" si="51"/>
        <v>313.49755000000005</v>
      </c>
      <c r="S232" s="87">
        <f t="shared" si="52"/>
        <v>140.489058</v>
      </c>
    </row>
    <row r="233" spans="1:19" ht="16.5">
      <c r="A233" s="85" t="s">
        <v>81</v>
      </c>
      <c r="B233" s="86">
        <f t="shared" si="53"/>
        <v>95.682952</v>
      </c>
      <c r="C233" s="86">
        <f t="shared" si="53"/>
        <v>42.267990000000005</v>
      </c>
      <c r="D233" s="86">
        <f t="shared" si="53"/>
        <v>31.168219999999998</v>
      </c>
      <c r="E233" s="86">
        <f t="shared" si="53"/>
        <v>80.607012000000012</v>
      </c>
      <c r="F233" s="86">
        <f t="shared" si="53"/>
        <v>81.677322000000004</v>
      </c>
      <c r="G233" s="86">
        <f t="shared" si="53"/>
        <v>92.291224</v>
      </c>
      <c r="H233" s="86">
        <f t="shared" si="53"/>
        <v>180.94518299999999</v>
      </c>
      <c r="I233" s="86">
        <f t="shared" si="53"/>
        <v>127.634846</v>
      </c>
      <c r="J233" s="86">
        <f t="shared" si="53"/>
        <v>131.35763800000001</v>
      </c>
      <c r="K233" s="86">
        <f t="shared" si="53"/>
        <v>87.116039999999998</v>
      </c>
      <c r="L233" s="86">
        <f t="shared" si="53"/>
        <v>0.24099999999999999</v>
      </c>
      <c r="M233" s="86">
        <f t="shared" si="53"/>
        <v>4.8209999999999997</v>
      </c>
      <c r="N233" s="86">
        <f t="shared" si="48"/>
        <v>955.81042700000012</v>
      </c>
      <c r="O233" s="27"/>
      <c r="P233" s="87">
        <f t="shared" si="54"/>
        <v>169.11916199999999</v>
      </c>
      <c r="Q233" s="87">
        <f t="shared" si="50"/>
        <v>254.575558</v>
      </c>
      <c r="R233" s="87">
        <f t="shared" si="51"/>
        <v>439.93766699999998</v>
      </c>
      <c r="S233" s="87">
        <f t="shared" si="52"/>
        <v>92.178039999999996</v>
      </c>
    </row>
    <row r="234" spans="1:19" ht="17.25" thickBot="1">
      <c r="A234" s="88" t="s">
        <v>82</v>
      </c>
      <c r="B234" s="89">
        <f t="shared" si="53"/>
        <v>23.11964</v>
      </c>
      <c r="C234" s="89">
        <f t="shared" si="53"/>
        <v>57.045857999999996</v>
      </c>
      <c r="D234" s="89">
        <f t="shared" si="53"/>
        <v>93.331194000000011</v>
      </c>
      <c r="E234" s="89">
        <f t="shared" si="53"/>
        <v>127.28694199999998</v>
      </c>
      <c r="F234" s="89">
        <f t="shared" si="53"/>
        <v>148.464</v>
      </c>
      <c r="G234" s="89">
        <f t="shared" si="53"/>
        <v>143.17700000000002</v>
      </c>
      <c r="H234" s="89">
        <f t="shared" si="53"/>
        <v>143.572</v>
      </c>
      <c r="I234" s="90" t="e">
        <f t="shared" si="53"/>
        <v>#VALUE!</v>
      </c>
      <c r="J234" s="90">
        <f t="shared" si="53"/>
        <v>74.10844381950848</v>
      </c>
      <c r="K234" s="90">
        <f t="shared" si="53"/>
        <v>66.954597467120422</v>
      </c>
      <c r="L234" s="90">
        <f t="shared" si="53"/>
        <v>16.352898291436105</v>
      </c>
      <c r="M234" s="90">
        <f t="shared" si="53"/>
        <v>-62.184296831780671</v>
      </c>
      <c r="N234" s="90" t="e">
        <f t="shared" si="48"/>
        <v>#VALUE!</v>
      </c>
      <c r="O234" s="91"/>
      <c r="P234" s="92">
        <f t="shared" si="54"/>
        <v>173.496692</v>
      </c>
      <c r="Q234" s="92">
        <f t="shared" si="50"/>
        <v>418.92794200000003</v>
      </c>
      <c r="R234" s="93" t="e">
        <f t="shared" si="51"/>
        <v>#VALUE!</v>
      </c>
      <c r="S234" s="93">
        <f t="shared" si="52"/>
        <v>21.123198926775856</v>
      </c>
    </row>
    <row r="235" spans="1:19" ht="16.5">
      <c r="A235" s="80" t="s">
        <v>91</v>
      </c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27"/>
      <c r="P235" s="87"/>
      <c r="Q235" s="87"/>
      <c r="R235" s="87"/>
      <c r="S235" s="87"/>
    </row>
    <row r="236" spans="1:19" ht="16.5" hidden="1">
      <c r="A236" s="81" t="s">
        <v>84</v>
      </c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27"/>
      <c r="P236" s="87"/>
      <c r="Q236" s="87"/>
      <c r="R236" s="87"/>
      <c r="S236" s="87"/>
    </row>
    <row r="237" spans="1:19" ht="16.5" hidden="1">
      <c r="A237" s="81" t="s">
        <v>56</v>
      </c>
      <c r="B237" s="86">
        <f>B353-B121-B5</f>
        <v>0</v>
      </c>
      <c r="C237" s="86">
        <f t="shared" ref="C237:M237" si="55">C353-C121-C5</f>
        <v>0</v>
      </c>
      <c r="D237" s="86">
        <f t="shared" si="55"/>
        <v>0</v>
      </c>
      <c r="E237" s="86">
        <f t="shared" si="55"/>
        <v>0</v>
      </c>
      <c r="F237" s="86">
        <f t="shared" si="55"/>
        <v>0</v>
      </c>
      <c r="G237" s="86">
        <f t="shared" si="55"/>
        <v>0</v>
      </c>
      <c r="H237" s="86">
        <f t="shared" si="55"/>
        <v>0</v>
      </c>
      <c r="I237" s="86">
        <f t="shared" si="55"/>
        <v>0</v>
      </c>
      <c r="J237" s="86">
        <f t="shared" si="55"/>
        <v>0</v>
      </c>
      <c r="K237" s="86">
        <f t="shared" si="55"/>
        <v>0</v>
      </c>
      <c r="L237" s="86">
        <f t="shared" si="55"/>
        <v>0</v>
      </c>
      <c r="M237" s="86">
        <f t="shared" si="55"/>
        <v>0</v>
      </c>
      <c r="N237" s="86">
        <f>SUM(B237:M237)</f>
        <v>0</v>
      </c>
      <c r="O237" s="27"/>
      <c r="P237" s="87">
        <f>SUM(B237:D237)</f>
        <v>0</v>
      </c>
      <c r="Q237" s="87">
        <f>SUM(E237:G237)</f>
        <v>0</v>
      </c>
      <c r="R237" s="87">
        <f>SUM(H237:J237)</f>
        <v>0</v>
      </c>
      <c r="S237" s="87">
        <f>SUM(K237:M237)</f>
        <v>0</v>
      </c>
    </row>
    <row r="238" spans="1:19" ht="16.5" hidden="1">
      <c r="A238" s="81" t="s">
        <v>57</v>
      </c>
      <c r="B238" s="86">
        <f t="shared" ref="B238:M253" si="56">B354-B122-B6</f>
        <v>0</v>
      </c>
      <c r="C238" s="86">
        <f t="shared" si="56"/>
        <v>0</v>
      </c>
      <c r="D238" s="86">
        <f t="shared" si="56"/>
        <v>0</v>
      </c>
      <c r="E238" s="86">
        <f t="shared" si="56"/>
        <v>0</v>
      </c>
      <c r="F238" s="86">
        <f t="shared" si="56"/>
        <v>0</v>
      </c>
      <c r="G238" s="86">
        <f t="shared" si="56"/>
        <v>0</v>
      </c>
      <c r="H238" s="86">
        <f t="shared" si="56"/>
        <v>0</v>
      </c>
      <c r="I238" s="86">
        <f t="shared" si="56"/>
        <v>0</v>
      </c>
      <c r="J238" s="86">
        <f t="shared" si="56"/>
        <v>0</v>
      </c>
      <c r="K238" s="86">
        <f t="shared" si="56"/>
        <v>0</v>
      </c>
      <c r="L238" s="86">
        <f t="shared" si="56"/>
        <v>0</v>
      </c>
      <c r="M238" s="86">
        <f t="shared" si="56"/>
        <v>0</v>
      </c>
      <c r="N238" s="86">
        <f t="shared" ref="N238:N263" si="57">SUM(B238:M238)</f>
        <v>0</v>
      </c>
      <c r="O238" s="27"/>
      <c r="P238" s="87">
        <f t="shared" ref="P238:P256" si="58">SUM(B238:D238)</f>
        <v>0</v>
      </c>
      <c r="Q238" s="87">
        <f t="shared" ref="Q238:Q263" si="59">SUM(E238:G238)</f>
        <v>0</v>
      </c>
      <c r="R238" s="87">
        <f t="shared" ref="R238:R263" si="60">SUM(H238:J238)</f>
        <v>0</v>
      </c>
      <c r="S238" s="87">
        <f t="shared" ref="S238:S263" si="61">SUM(K238:M238)</f>
        <v>0</v>
      </c>
    </row>
    <row r="239" spans="1:19" ht="16.5" hidden="1">
      <c r="A239" s="81" t="s">
        <v>58</v>
      </c>
      <c r="B239" s="86">
        <f t="shared" si="56"/>
        <v>0</v>
      </c>
      <c r="C239" s="86">
        <f t="shared" si="56"/>
        <v>0</v>
      </c>
      <c r="D239" s="86">
        <f t="shared" si="56"/>
        <v>0</v>
      </c>
      <c r="E239" s="86">
        <f t="shared" si="56"/>
        <v>0</v>
      </c>
      <c r="F239" s="86">
        <f t="shared" si="56"/>
        <v>1.3129999999999999</v>
      </c>
      <c r="G239" s="86">
        <f t="shared" si="56"/>
        <v>1.3379999999999999</v>
      </c>
      <c r="H239" s="86">
        <f t="shared" si="56"/>
        <v>22.653000000000002</v>
      </c>
      <c r="I239" s="86">
        <f t="shared" si="56"/>
        <v>0.86099999999999999</v>
      </c>
      <c r="J239" s="86">
        <f t="shared" si="56"/>
        <v>34.073999999999998</v>
      </c>
      <c r="K239" s="86">
        <f t="shared" si="56"/>
        <v>0.42799999999999994</v>
      </c>
      <c r="L239" s="86">
        <f t="shared" si="56"/>
        <v>0.10999999999999943</v>
      </c>
      <c r="M239" s="86">
        <f t="shared" si="56"/>
        <v>0.125</v>
      </c>
      <c r="N239" s="86">
        <f t="shared" si="57"/>
        <v>60.902000000000001</v>
      </c>
      <c r="O239" s="27"/>
      <c r="P239" s="87">
        <f t="shared" si="58"/>
        <v>0</v>
      </c>
      <c r="Q239" s="87">
        <f t="shared" si="59"/>
        <v>2.6509999999999998</v>
      </c>
      <c r="R239" s="87">
        <f t="shared" si="60"/>
        <v>57.588000000000001</v>
      </c>
      <c r="S239" s="87">
        <f t="shared" si="61"/>
        <v>0.66299999999999937</v>
      </c>
    </row>
    <row r="240" spans="1:19" ht="16.5" hidden="1">
      <c r="A240" s="81" t="s">
        <v>59</v>
      </c>
      <c r="B240" s="86">
        <f t="shared" si="56"/>
        <v>0.74800000000000111</v>
      </c>
      <c r="C240" s="86">
        <f t="shared" si="56"/>
        <v>0.63599999999999968</v>
      </c>
      <c r="D240" s="86">
        <f t="shared" si="56"/>
        <v>0.95500000000000007</v>
      </c>
      <c r="E240" s="86">
        <f t="shared" si="56"/>
        <v>24.333000000000006</v>
      </c>
      <c r="F240" s="86">
        <f t="shared" si="56"/>
        <v>12.576000000000001</v>
      </c>
      <c r="G240" s="86">
        <f t="shared" si="56"/>
        <v>1.2699999999999998</v>
      </c>
      <c r="H240" s="86">
        <f t="shared" si="56"/>
        <v>16.123000000000001</v>
      </c>
      <c r="I240" s="86">
        <f t="shared" si="56"/>
        <v>9.7539999999999996</v>
      </c>
      <c r="J240" s="86">
        <f t="shared" si="56"/>
        <v>0.54600000000000004</v>
      </c>
      <c r="K240" s="86">
        <f t="shared" si="56"/>
        <v>0.74800000000000011</v>
      </c>
      <c r="L240" s="86">
        <f t="shared" si="56"/>
        <v>0.74100000000000021</v>
      </c>
      <c r="M240" s="86">
        <f t="shared" si="56"/>
        <v>0.20800000000000018</v>
      </c>
      <c r="N240" s="86">
        <f t="shared" si="57"/>
        <v>68.638000000000019</v>
      </c>
      <c r="O240" s="27"/>
      <c r="P240" s="87">
        <f t="shared" si="58"/>
        <v>2.3390000000000009</v>
      </c>
      <c r="Q240" s="87">
        <f t="shared" si="59"/>
        <v>38.179000000000009</v>
      </c>
      <c r="R240" s="87">
        <f t="shared" si="60"/>
        <v>26.423000000000002</v>
      </c>
      <c r="S240" s="87">
        <f t="shared" si="61"/>
        <v>1.6970000000000005</v>
      </c>
    </row>
    <row r="241" spans="1:19" ht="16.5" hidden="1">
      <c r="A241" s="81" t="s">
        <v>60</v>
      </c>
      <c r="B241" s="86">
        <f t="shared" si="56"/>
        <v>2.4819999999999993</v>
      </c>
      <c r="C241" s="86">
        <f t="shared" si="56"/>
        <v>1.448</v>
      </c>
      <c r="D241" s="86">
        <f t="shared" si="56"/>
        <v>1.8370000000000002</v>
      </c>
      <c r="E241" s="86">
        <f t="shared" si="56"/>
        <v>1.6649999999999998</v>
      </c>
      <c r="F241" s="86">
        <f t="shared" si="56"/>
        <v>6.2079999999999993</v>
      </c>
      <c r="G241" s="86">
        <f t="shared" si="56"/>
        <v>3.8789999999999991</v>
      </c>
      <c r="H241" s="86">
        <f t="shared" si="56"/>
        <v>5.6040000000000001</v>
      </c>
      <c r="I241" s="86">
        <f t="shared" si="56"/>
        <v>2.418000000000001</v>
      </c>
      <c r="J241" s="86">
        <f t="shared" si="56"/>
        <v>7.1780000000000008</v>
      </c>
      <c r="K241" s="86">
        <f t="shared" si="56"/>
        <v>23.795999999999999</v>
      </c>
      <c r="L241" s="86">
        <f t="shared" si="56"/>
        <v>1.2410000000000001</v>
      </c>
      <c r="M241" s="86">
        <f t="shared" si="56"/>
        <v>0.38600000000000012</v>
      </c>
      <c r="N241" s="86">
        <f t="shared" si="57"/>
        <v>58.141999999999996</v>
      </c>
      <c r="O241" s="27"/>
      <c r="P241" s="87">
        <f t="shared" si="58"/>
        <v>5.7669999999999995</v>
      </c>
      <c r="Q241" s="87">
        <f t="shared" si="59"/>
        <v>11.751999999999999</v>
      </c>
      <c r="R241" s="87">
        <f t="shared" si="60"/>
        <v>15.200000000000003</v>
      </c>
      <c r="S241" s="87">
        <f t="shared" si="61"/>
        <v>25.422999999999998</v>
      </c>
    </row>
    <row r="242" spans="1:19" ht="16.5" hidden="1">
      <c r="A242" s="81" t="s">
        <v>61</v>
      </c>
      <c r="B242" s="86">
        <f t="shared" si="56"/>
        <v>18.596</v>
      </c>
      <c r="C242" s="86">
        <f t="shared" si="56"/>
        <v>47.594000000000001</v>
      </c>
      <c r="D242" s="86">
        <f t="shared" si="56"/>
        <v>24.292000000000002</v>
      </c>
      <c r="E242" s="86">
        <f t="shared" si="56"/>
        <v>5.76</v>
      </c>
      <c r="F242" s="86">
        <f t="shared" si="56"/>
        <v>2.6369999999999996</v>
      </c>
      <c r="G242" s="86">
        <f t="shared" si="56"/>
        <v>1.7469999999999999</v>
      </c>
      <c r="H242" s="86">
        <f t="shared" si="56"/>
        <v>1.385</v>
      </c>
      <c r="I242" s="86">
        <f t="shared" si="56"/>
        <v>1.5430000000000001</v>
      </c>
      <c r="J242" s="86">
        <f t="shared" si="56"/>
        <v>4.0940000000000003</v>
      </c>
      <c r="K242" s="86">
        <f t="shared" si="56"/>
        <v>5.3040000000000003</v>
      </c>
      <c r="L242" s="86">
        <f t="shared" si="56"/>
        <v>11.673999999999999</v>
      </c>
      <c r="M242" s="86">
        <f t="shared" si="56"/>
        <v>0.41899999999999998</v>
      </c>
      <c r="N242" s="86">
        <f t="shared" si="57"/>
        <v>125.045</v>
      </c>
      <c r="O242" s="27"/>
      <c r="P242" s="87">
        <f t="shared" si="58"/>
        <v>90.481999999999999</v>
      </c>
      <c r="Q242" s="87">
        <f t="shared" si="59"/>
        <v>10.143999999999998</v>
      </c>
      <c r="R242" s="87">
        <f t="shared" si="60"/>
        <v>7.0220000000000002</v>
      </c>
      <c r="S242" s="87">
        <f t="shared" si="61"/>
        <v>17.397000000000002</v>
      </c>
    </row>
    <row r="243" spans="1:19" ht="16.5" hidden="1">
      <c r="A243" s="81" t="s">
        <v>62</v>
      </c>
      <c r="B243" s="86">
        <f t="shared" si="56"/>
        <v>5.9230000000000009</v>
      </c>
      <c r="C243" s="86">
        <f t="shared" si="56"/>
        <v>2.6880000000000006</v>
      </c>
      <c r="D243" s="86">
        <f t="shared" si="56"/>
        <v>2.0469999999999997</v>
      </c>
      <c r="E243" s="86">
        <f t="shared" si="56"/>
        <v>1.5869999999999997</v>
      </c>
      <c r="F243" s="86">
        <f t="shared" si="56"/>
        <v>2.3239999999999998</v>
      </c>
      <c r="G243" s="86">
        <f t="shared" si="56"/>
        <v>2.2280000000000006</v>
      </c>
      <c r="H243" s="86">
        <f t="shared" si="56"/>
        <v>3.6080000000000001</v>
      </c>
      <c r="I243" s="86">
        <f t="shared" si="56"/>
        <v>1.3540000000000001</v>
      </c>
      <c r="J243" s="86">
        <f t="shared" si="56"/>
        <v>3.4170000000000003</v>
      </c>
      <c r="K243" s="86">
        <f t="shared" si="56"/>
        <v>1.867</v>
      </c>
      <c r="L243" s="86">
        <f t="shared" si="56"/>
        <v>0.30700000000000005</v>
      </c>
      <c r="M243" s="86">
        <f t="shared" si="56"/>
        <v>0.47799999999999998</v>
      </c>
      <c r="N243" s="86">
        <f t="shared" si="57"/>
        <v>27.828000000000003</v>
      </c>
      <c r="O243" s="27"/>
      <c r="P243" s="87">
        <f t="shared" si="58"/>
        <v>10.658000000000001</v>
      </c>
      <c r="Q243" s="87">
        <f t="shared" si="59"/>
        <v>6.1390000000000002</v>
      </c>
      <c r="R243" s="87">
        <f t="shared" si="60"/>
        <v>8.3789999999999996</v>
      </c>
      <c r="S243" s="87">
        <f t="shared" si="61"/>
        <v>2.6520000000000001</v>
      </c>
    </row>
    <row r="244" spans="1:19" ht="16.5" hidden="1">
      <c r="A244" s="81" t="s">
        <v>63</v>
      </c>
      <c r="B244" s="86">
        <f t="shared" si="56"/>
        <v>3.4499999999999997</v>
      </c>
      <c r="C244" s="86">
        <f t="shared" si="56"/>
        <v>8.6859999999999999</v>
      </c>
      <c r="D244" s="86">
        <f t="shared" si="56"/>
        <v>2.5450000000000017</v>
      </c>
      <c r="E244" s="86">
        <f t="shared" si="56"/>
        <v>12.202999999999999</v>
      </c>
      <c r="F244" s="86">
        <f t="shared" si="56"/>
        <v>6.3139999999999983</v>
      </c>
      <c r="G244" s="86">
        <f t="shared" si="56"/>
        <v>1.3159999999999989</v>
      </c>
      <c r="H244" s="86">
        <f t="shared" si="56"/>
        <v>1.7149999999999985</v>
      </c>
      <c r="I244" s="86">
        <f t="shared" si="56"/>
        <v>0.9720000000000002</v>
      </c>
      <c r="J244" s="86">
        <f t="shared" si="56"/>
        <v>5.4049999999999994</v>
      </c>
      <c r="K244" s="86">
        <f t="shared" si="56"/>
        <v>0.35200000000000004</v>
      </c>
      <c r="L244" s="86">
        <f t="shared" si="56"/>
        <v>0.223</v>
      </c>
      <c r="M244" s="86">
        <f t="shared" si="56"/>
        <v>0.2919999999999997</v>
      </c>
      <c r="N244" s="86">
        <f t="shared" si="57"/>
        <v>43.472999999999992</v>
      </c>
      <c r="O244" s="27"/>
      <c r="P244" s="87">
        <f t="shared" si="58"/>
        <v>14.681000000000001</v>
      </c>
      <c r="Q244" s="87">
        <f t="shared" si="59"/>
        <v>19.832999999999995</v>
      </c>
      <c r="R244" s="87">
        <f t="shared" si="60"/>
        <v>8.0919999999999987</v>
      </c>
      <c r="S244" s="87">
        <f t="shared" si="61"/>
        <v>0.86699999999999977</v>
      </c>
    </row>
    <row r="245" spans="1:19" ht="16.5" hidden="1">
      <c r="A245" s="81" t="s">
        <v>64</v>
      </c>
      <c r="B245" s="86">
        <f t="shared" si="56"/>
        <v>1.6040000000000001</v>
      </c>
      <c r="C245" s="86">
        <f t="shared" si="56"/>
        <v>20.125000000000004</v>
      </c>
      <c r="D245" s="86">
        <f t="shared" si="56"/>
        <v>10.837</v>
      </c>
      <c r="E245" s="86">
        <f t="shared" si="56"/>
        <v>1.4279999999999995</v>
      </c>
      <c r="F245" s="86">
        <f t="shared" si="56"/>
        <v>1.8580000000000008</v>
      </c>
      <c r="G245" s="86">
        <f t="shared" si="56"/>
        <v>1.8069999999999997</v>
      </c>
      <c r="H245" s="86">
        <f t="shared" si="56"/>
        <v>2.7</v>
      </c>
      <c r="I245" s="86">
        <f t="shared" si="56"/>
        <v>0.79899999999999982</v>
      </c>
      <c r="J245" s="86">
        <f t="shared" si="56"/>
        <v>0.49799999999999911</v>
      </c>
      <c r="K245" s="86">
        <f t="shared" si="56"/>
        <v>0.23999999999999913</v>
      </c>
      <c r="L245" s="86">
        <f t="shared" si="56"/>
        <v>0.23500000000000121</v>
      </c>
      <c r="M245" s="86">
        <f t="shared" si="56"/>
        <v>0.24799999999999733</v>
      </c>
      <c r="N245" s="86">
        <f t="shared" si="57"/>
        <v>42.379000000000005</v>
      </c>
      <c r="O245" s="27"/>
      <c r="P245" s="87">
        <f t="shared" si="58"/>
        <v>32.566000000000003</v>
      </c>
      <c r="Q245" s="87">
        <f t="shared" si="59"/>
        <v>5.093</v>
      </c>
      <c r="R245" s="87">
        <f t="shared" si="60"/>
        <v>3.996999999999999</v>
      </c>
      <c r="S245" s="87">
        <f t="shared" si="61"/>
        <v>0.72299999999999764</v>
      </c>
    </row>
    <row r="246" spans="1:19" ht="16.5" hidden="1">
      <c r="A246" s="83" t="s">
        <v>65</v>
      </c>
      <c r="B246" s="86">
        <f t="shared" si="56"/>
        <v>3.0720000000000027</v>
      </c>
      <c r="C246" s="86">
        <f t="shared" si="56"/>
        <v>5.2920000000000016</v>
      </c>
      <c r="D246" s="86">
        <f t="shared" si="56"/>
        <v>29.565000000000001</v>
      </c>
      <c r="E246" s="86">
        <f t="shared" si="56"/>
        <v>53.109000000000009</v>
      </c>
      <c r="F246" s="86">
        <f t="shared" si="56"/>
        <v>4.5269999999999992</v>
      </c>
      <c r="G246" s="86">
        <f t="shared" si="56"/>
        <v>16.459999999999997</v>
      </c>
      <c r="H246" s="86">
        <f t="shared" si="56"/>
        <v>16.713999999999999</v>
      </c>
      <c r="I246" s="86">
        <f t="shared" si="56"/>
        <v>3.9989999999999983</v>
      </c>
      <c r="J246" s="86">
        <f t="shared" si="56"/>
        <v>16.402999999999999</v>
      </c>
      <c r="K246" s="86">
        <f t="shared" si="56"/>
        <v>7.5330000000000013</v>
      </c>
      <c r="L246" s="86">
        <f t="shared" si="56"/>
        <v>0.37299999999999933</v>
      </c>
      <c r="M246" s="86">
        <f t="shared" si="56"/>
        <v>0.56900000000000261</v>
      </c>
      <c r="N246" s="86">
        <f t="shared" si="57"/>
        <v>157.61599999999999</v>
      </c>
      <c r="O246" s="27"/>
      <c r="P246" s="87">
        <f t="shared" si="58"/>
        <v>37.929000000000002</v>
      </c>
      <c r="Q246" s="87">
        <f t="shared" si="59"/>
        <v>74.096000000000004</v>
      </c>
      <c r="R246" s="87">
        <f t="shared" si="60"/>
        <v>37.116</v>
      </c>
      <c r="S246" s="87">
        <f t="shared" si="61"/>
        <v>8.4750000000000032</v>
      </c>
    </row>
    <row r="247" spans="1:19" ht="16.5" hidden="1">
      <c r="A247" s="83" t="s">
        <v>66</v>
      </c>
      <c r="B247" s="86">
        <f t="shared" si="56"/>
        <v>7.2459999999999951</v>
      </c>
      <c r="C247" s="86">
        <f t="shared" si="56"/>
        <v>15.471999999999994</v>
      </c>
      <c r="D247" s="86">
        <f t="shared" si="56"/>
        <v>13.508000000000004</v>
      </c>
      <c r="E247" s="86">
        <f t="shared" si="56"/>
        <v>6.5679999999999996</v>
      </c>
      <c r="F247" s="86">
        <f t="shared" si="56"/>
        <v>5.5189999999999948</v>
      </c>
      <c r="G247" s="86">
        <f t="shared" si="56"/>
        <v>8.996999999999991</v>
      </c>
      <c r="H247" s="86">
        <f t="shared" si="56"/>
        <v>13.060999999999998</v>
      </c>
      <c r="I247" s="86">
        <f t="shared" si="56"/>
        <v>7.6270000000000024</v>
      </c>
      <c r="J247" s="86">
        <f t="shared" si="56"/>
        <v>1.5879999999999965</v>
      </c>
      <c r="K247" s="86">
        <f t="shared" si="56"/>
        <v>1.0529999999999982</v>
      </c>
      <c r="L247" s="86">
        <f t="shared" si="56"/>
        <v>0.57400000000000517</v>
      </c>
      <c r="M247" s="86">
        <f t="shared" si="56"/>
        <v>0.5959999999999992</v>
      </c>
      <c r="N247" s="86">
        <f t="shared" si="57"/>
        <v>81.808999999999997</v>
      </c>
      <c r="O247" s="27"/>
      <c r="P247" s="87">
        <f t="shared" si="58"/>
        <v>36.225999999999992</v>
      </c>
      <c r="Q247" s="87">
        <f t="shared" si="59"/>
        <v>21.083999999999985</v>
      </c>
      <c r="R247" s="87">
        <f t="shared" si="60"/>
        <v>22.276</v>
      </c>
      <c r="S247" s="87">
        <f t="shared" si="61"/>
        <v>2.2230000000000025</v>
      </c>
    </row>
    <row r="248" spans="1:19" ht="16.5" hidden="1">
      <c r="A248" s="84" t="s">
        <v>67</v>
      </c>
      <c r="B248" s="86">
        <f t="shared" si="56"/>
        <v>5.7320000000000029</v>
      </c>
      <c r="C248" s="86">
        <f t="shared" si="56"/>
        <v>7.4329999999999998</v>
      </c>
      <c r="D248" s="86">
        <f t="shared" si="56"/>
        <v>8.0830000000000002</v>
      </c>
      <c r="E248" s="86">
        <f t="shared" si="56"/>
        <v>4.9120000000000026</v>
      </c>
      <c r="F248" s="86">
        <f t="shared" si="56"/>
        <v>3.7940000000000005</v>
      </c>
      <c r="G248" s="86">
        <f t="shared" si="56"/>
        <v>2.2829999999999964</v>
      </c>
      <c r="H248" s="86">
        <f t="shared" si="56"/>
        <v>4.3079999999999998</v>
      </c>
      <c r="I248" s="86">
        <f t="shared" si="56"/>
        <v>6.9740000000000038</v>
      </c>
      <c r="J248" s="86">
        <f t="shared" si="56"/>
        <v>2.3440000000000012</v>
      </c>
      <c r="K248" s="86">
        <f t="shared" si="56"/>
        <v>1.9279999999999995</v>
      </c>
      <c r="L248" s="86">
        <f t="shared" si="56"/>
        <v>18.213000000000001</v>
      </c>
      <c r="M248" s="86">
        <f t="shared" si="56"/>
        <v>0.89000000000000012</v>
      </c>
      <c r="N248" s="86">
        <f t="shared" si="57"/>
        <v>66.894000000000005</v>
      </c>
      <c r="O248" s="27"/>
      <c r="P248" s="87">
        <f t="shared" si="58"/>
        <v>21.248000000000005</v>
      </c>
      <c r="Q248" s="87">
        <f t="shared" si="59"/>
        <v>10.988999999999999</v>
      </c>
      <c r="R248" s="87">
        <f t="shared" si="60"/>
        <v>13.626000000000005</v>
      </c>
      <c r="S248" s="87">
        <f t="shared" si="61"/>
        <v>21.031000000000002</v>
      </c>
    </row>
    <row r="249" spans="1:19" ht="16.5" hidden="1">
      <c r="A249" s="83" t="s">
        <v>68</v>
      </c>
      <c r="B249" s="86">
        <f t="shared" si="56"/>
        <v>45.432999999999993</v>
      </c>
      <c r="C249" s="86">
        <f t="shared" si="56"/>
        <v>85.64700000000002</v>
      </c>
      <c r="D249" s="86">
        <f t="shared" si="56"/>
        <v>143.57300000000001</v>
      </c>
      <c r="E249" s="86">
        <f t="shared" si="56"/>
        <v>75.082999999999998</v>
      </c>
      <c r="F249" s="86">
        <f t="shared" si="56"/>
        <v>7.2330000000000023</v>
      </c>
      <c r="G249" s="86">
        <f t="shared" si="56"/>
        <v>12.933000000000007</v>
      </c>
      <c r="H249" s="86">
        <f t="shared" si="56"/>
        <v>8.9259999999999984</v>
      </c>
      <c r="I249" s="86">
        <f t="shared" si="56"/>
        <v>6.5760000000000076</v>
      </c>
      <c r="J249" s="86">
        <f t="shared" si="56"/>
        <v>7.5030000000000001</v>
      </c>
      <c r="K249" s="86">
        <f t="shared" si="56"/>
        <v>1.0650000000000013</v>
      </c>
      <c r="L249" s="86">
        <f t="shared" si="56"/>
        <v>0.79500000000000037</v>
      </c>
      <c r="M249" s="86">
        <f t="shared" si="56"/>
        <v>0.83800000000000019</v>
      </c>
      <c r="N249" s="86">
        <f t="shared" si="57"/>
        <v>395.60500000000002</v>
      </c>
      <c r="O249" s="27"/>
      <c r="P249" s="87">
        <f t="shared" si="58"/>
        <v>274.65300000000002</v>
      </c>
      <c r="Q249" s="87">
        <f t="shared" si="59"/>
        <v>95.249000000000009</v>
      </c>
      <c r="R249" s="87">
        <f t="shared" si="60"/>
        <v>23.005000000000006</v>
      </c>
      <c r="S249" s="87">
        <f t="shared" si="61"/>
        <v>2.6980000000000017</v>
      </c>
    </row>
    <row r="250" spans="1:19" ht="16.5" hidden="1">
      <c r="A250" s="84" t="s">
        <v>69</v>
      </c>
      <c r="B250" s="86">
        <f t="shared" si="56"/>
        <v>6.2189999999999994</v>
      </c>
      <c r="C250" s="86">
        <f t="shared" si="56"/>
        <v>17.780999999999992</v>
      </c>
      <c r="D250" s="86">
        <f t="shared" si="56"/>
        <v>11.964999999999996</v>
      </c>
      <c r="E250" s="86">
        <f t="shared" si="56"/>
        <v>4.7420000000000009</v>
      </c>
      <c r="F250" s="86">
        <f t="shared" si="56"/>
        <v>4.8089999999999975</v>
      </c>
      <c r="G250" s="86">
        <f t="shared" si="56"/>
        <v>4.3330000000000073</v>
      </c>
      <c r="H250" s="86">
        <f t="shared" si="56"/>
        <v>6.1999999999999993</v>
      </c>
      <c r="I250" s="86">
        <f t="shared" si="56"/>
        <v>5.8680000000000092</v>
      </c>
      <c r="J250" s="86">
        <f t="shared" si="56"/>
        <v>1.3369999999999962</v>
      </c>
      <c r="K250" s="86">
        <f t="shared" si="56"/>
        <v>0.8469999999999942</v>
      </c>
      <c r="L250" s="86">
        <f t="shared" si="56"/>
        <v>0.31199999999999983</v>
      </c>
      <c r="M250" s="86">
        <f t="shared" si="56"/>
        <v>0.83</v>
      </c>
      <c r="N250" s="86">
        <f t="shared" si="57"/>
        <v>65.242999999999995</v>
      </c>
      <c r="O250" s="27"/>
      <c r="P250" s="87">
        <f t="shared" si="58"/>
        <v>35.964999999999989</v>
      </c>
      <c r="Q250" s="87">
        <f t="shared" si="59"/>
        <v>13.884000000000006</v>
      </c>
      <c r="R250" s="87">
        <f t="shared" si="60"/>
        <v>13.405000000000005</v>
      </c>
      <c r="S250" s="87">
        <f t="shared" si="61"/>
        <v>1.9889999999999941</v>
      </c>
    </row>
    <row r="251" spans="1:19" ht="16.5" hidden="1">
      <c r="A251" s="84" t="s">
        <v>70</v>
      </c>
      <c r="B251" s="86">
        <f t="shared" si="56"/>
        <v>18.816000000000003</v>
      </c>
      <c r="C251" s="86">
        <f t="shared" si="56"/>
        <v>40.428999999999995</v>
      </c>
      <c r="D251" s="86">
        <f t="shared" si="56"/>
        <v>16.894000000000002</v>
      </c>
      <c r="E251" s="86">
        <f t="shared" si="56"/>
        <v>21.161999999999999</v>
      </c>
      <c r="F251" s="86">
        <f t="shared" si="56"/>
        <v>13.244000000000005</v>
      </c>
      <c r="G251" s="86">
        <f t="shared" si="56"/>
        <v>9.0669999999999984</v>
      </c>
      <c r="H251" s="86">
        <f t="shared" si="56"/>
        <v>8.1389999999999993</v>
      </c>
      <c r="I251" s="86">
        <f t="shared" si="56"/>
        <v>4.7200000000000024</v>
      </c>
      <c r="J251" s="86">
        <f t="shared" si="56"/>
        <v>2.984</v>
      </c>
      <c r="K251" s="86">
        <f t="shared" si="56"/>
        <v>5.8210000000000024</v>
      </c>
      <c r="L251" s="86">
        <f t="shared" si="56"/>
        <v>0.82099999999999973</v>
      </c>
      <c r="M251" s="86">
        <f t="shared" si="56"/>
        <v>3.3500000000000085</v>
      </c>
      <c r="N251" s="86">
        <f t="shared" si="57"/>
        <v>145.447</v>
      </c>
      <c r="O251" s="27"/>
      <c r="P251" s="87">
        <f t="shared" si="58"/>
        <v>76.138999999999996</v>
      </c>
      <c r="Q251" s="87">
        <f t="shared" si="59"/>
        <v>43.473000000000006</v>
      </c>
      <c r="R251" s="87">
        <f t="shared" si="60"/>
        <v>15.843000000000002</v>
      </c>
      <c r="S251" s="87">
        <f t="shared" si="61"/>
        <v>9.9920000000000115</v>
      </c>
    </row>
    <row r="252" spans="1:19" ht="16.5" hidden="1">
      <c r="A252" s="83" t="s">
        <v>71</v>
      </c>
      <c r="B252" s="86">
        <f t="shared" si="56"/>
        <v>78.123000000000019</v>
      </c>
      <c r="C252" s="86">
        <f t="shared" si="56"/>
        <v>117.35700000000004</v>
      </c>
      <c r="D252" s="86">
        <f t="shared" si="56"/>
        <v>17.726000000000013</v>
      </c>
      <c r="E252" s="86">
        <f t="shared" si="56"/>
        <v>7.8149999999999977</v>
      </c>
      <c r="F252" s="86">
        <f t="shared" si="56"/>
        <v>5.3090000000000019</v>
      </c>
      <c r="G252" s="86">
        <f t="shared" si="56"/>
        <v>8.0839999999999979</v>
      </c>
      <c r="H252" s="86">
        <f t="shared" si="56"/>
        <v>13.459999999999992</v>
      </c>
      <c r="I252" s="86">
        <f t="shared" si="56"/>
        <v>5.6979999999999986</v>
      </c>
      <c r="J252" s="86">
        <f t="shared" si="56"/>
        <v>1.9689999999999994</v>
      </c>
      <c r="K252" s="86">
        <f t="shared" si="56"/>
        <v>1.1970000000000034</v>
      </c>
      <c r="L252" s="86">
        <f t="shared" si="56"/>
        <v>2.0179999999999998</v>
      </c>
      <c r="M252" s="86">
        <f t="shared" si="56"/>
        <v>2.6369999999999996</v>
      </c>
      <c r="N252" s="86">
        <f t="shared" si="57"/>
        <v>261.39300000000003</v>
      </c>
      <c r="O252" s="27"/>
      <c r="P252" s="87">
        <f t="shared" si="58"/>
        <v>213.20600000000007</v>
      </c>
      <c r="Q252" s="87">
        <f t="shared" si="59"/>
        <v>21.207999999999998</v>
      </c>
      <c r="R252" s="87">
        <f t="shared" si="60"/>
        <v>21.126999999999988</v>
      </c>
      <c r="S252" s="87">
        <f t="shared" si="61"/>
        <v>5.852000000000003</v>
      </c>
    </row>
    <row r="253" spans="1:19" ht="16.5" hidden="1">
      <c r="A253" s="84" t="s">
        <v>72</v>
      </c>
      <c r="B253" s="86">
        <f t="shared" si="56"/>
        <v>22.588999999999999</v>
      </c>
      <c r="C253" s="86">
        <f t="shared" si="56"/>
        <v>76.254999999999995</v>
      </c>
      <c r="D253" s="86">
        <f t="shared" si="56"/>
        <v>19.138999999999999</v>
      </c>
      <c r="E253" s="86">
        <f t="shared" si="56"/>
        <v>14.910000000000004</v>
      </c>
      <c r="F253" s="86">
        <f t="shared" si="56"/>
        <v>8.718</v>
      </c>
      <c r="G253" s="86">
        <f t="shared" si="56"/>
        <v>13.246999999999996</v>
      </c>
      <c r="H253" s="86">
        <f t="shared" si="56"/>
        <v>11.979000000000001</v>
      </c>
      <c r="I253" s="86">
        <f t="shared" si="56"/>
        <v>7.5160000000000027</v>
      </c>
      <c r="J253" s="86">
        <f t="shared" si="56"/>
        <v>0.9119999999999967</v>
      </c>
      <c r="K253" s="86">
        <f t="shared" si="56"/>
        <v>1.0030000000000001</v>
      </c>
      <c r="L253" s="86">
        <f t="shared" si="56"/>
        <v>1.1610000000000003</v>
      </c>
      <c r="M253" s="86">
        <f t="shared" si="56"/>
        <v>1.7349999999999999</v>
      </c>
      <c r="N253" s="86">
        <f t="shared" si="57"/>
        <v>179.16399999999999</v>
      </c>
      <c r="O253" s="27"/>
      <c r="P253" s="87">
        <f t="shared" si="58"/>
        <v>117.98299999999999</v>
      </c>
      <c r="Q253" s="87">
        <f t="shared" si="59"/>
        <v>36.875</v>
      </c>
      <c r="R253" s="87">
        <f t="shared" si="60"/>
        <v>20.407</v>
      </c>
      <c r="S253" s="87">
        <f t="shared" si="61"/>
        <v>3.8990000000000005</v>
      </c>
    </row>
    <row r="254" spans="1:19" ht="16.5" hidden="1">
      <c r="A254" s="83" t="s">
        <v>73</v>
      </c>
      <c r="B254" s="86">
        <f t="shared" ref="B254:M263" si="62">B370-B138-B22</f>
        <v>72.767999999999972</v>
      </c>
      <c r="C254" s="86">
        <f t="shared" si="62"/>
        <v>149.614</v>
      </c>
      <c r="D254" s="86">
        <f t="shared" si="62"/>
        <v>82.579999999999984</v>
      </c>
      <c r="E254" s="86">
        <f t="shared" si="62"/>
        <v>53.188999999999993</v>
      </c>
      <c r="F254" s="86">
        <f t="shared" si="62"/>
        <v>9.2999999999999972</v>
      </c>
      <c r="G254" s="86">
        <f t="shared" si="62"/>
        <v>10.844999999999999</v>
      </c>
      <c r="H254" s="86">
        <f t="shared" si="62"/>
        <v>12.483000000000001</v>
      </c>
      <c r="I254" s="86">
        <f t="shared" si="62"/>
        <v>3.5240000000000009</v>
      </c>
      <c r="J254" s="86">
        <f t="shared" si="62"/>
        <v>3.8709999999999973</v>
      </c>
      <c r="K254" s="86">
        <f t="shared" si="62"/>
        <v>5.4040000000000008</v>
      </c>
      <c r="L254" s="86">
        <f t="shared" si="62"/>
        <v>3.1150000000000007</v>
      </c>
      <c r="M254" s="86">
        <f t="shared" si="62"/>
        <v>1.3369999999999997</v>
      </c>
      <c r="N254" s="86">
        <f t="shared" si="57"/>
        <v>408.02999999999992</v>
      </c>
      <c r="O254" s="27"/>
      <c r="P254" s="87">
        <f t="shared" si="58"/>
        <v>304.96199999999999</v>
      </c>
      <c r="Q254" s="87">
        <f t="shared" si="59"/>
        <v>73.333999999999989</v>
      </c>
      <c r="R254" s="87">
        <f t="shared" si="60"/>
        <v>19.878</v>
      </c>
      <c r="S254" s="87">
        <f t="shared" si="61"/>
        <v>9.8560000000000016</v>
      </c>
    </row>
    <row r="255" spans="1:19" ht="16.5" hidden="1">
      <c r="A255" s="83" t="s">
        <v>74</v>
      </c>
      <c r="B255" s="86">
        <f t="shared" si="62"/>
        <v>8.6639999999999944</v>
      </c>
      <c r="C255" s="86">
        <f t="shared" si="62"/>
        <v>22.373999999999999</v>
      </c>
      <c r="D255" s="86">
        <f t="shared" si="62"/>
        <v>16.635999999999999</v>
      </c>
      <c r="E255" s="86">
        <f t="shared" si="62"/>
        <v>13.042000000000002</v>
      </c>
      <c r="F255" s="86">
        <f t="shared" si="62"/>
        <v>12.946000000000002</v>
      </c>
      <c r="G255" s="86">
        <f t="shared" si="62"/>
        <v>10.181000000000003</v>
      </c>
      <c r="H255" s="86">
        <f t="shared" si="62"/>
        <v>8.1889999999999983</v>
      </c>
      <c r="I255" s="86">
        <f t="shared" si="62"/>
        <v>3.5229999999999997</v>
      </c>
      <c r="J255" s="86">
        <f t="shared" si="62"/>
        <v>1.7010000000000005</v>
      </c>
      <c r="K255" s="86">
        <f t="shared" si="62"/>
        <v>1.3470000000000086</v>
      </c>
      <c r="L255" s="86">
        <f t="shared" si="62"/>
        <v>1.2949999999999982</v>
      </c>
      <c r="M255" s="86">
        <f t="shared" si="62"/>
        <v>1.5899999999999999</v>
      </c>
      <c r="N255" s="86">
        <f t="shared" si="57"/>
        <v>101.48799999999999</v>
      </c>
      <c r="O255" s="27"/>
      <c r="P255" s="87">
        <f t="shared" si="58"/>
        <v>47.673999999999992</v>
      </c>
      <c r="Q255" s="87">
        <f t="shared" si="59"/>
        <v>36.169000000000004</v>
      </c>
      <c r="R255" s="87">
        <f t="shared" si="60"/>
        <v>13.412999999999998</v>
      </c>
      <c r="S255" s="87">
        <f t="shared" si="61"/>
        <v>4.2320000000000064</v>
      </c>
    </row>
    <row r="256" spans="1:19" ht="16.5" hidden="1">
      <c r="A256" s="83" t="s">
        <v>75</v>
      </c>
      <c r="B256" s="86">
        <f t="shared" si="62"/>
        <v>65.024999999999991</v>
      </c>
      <c r="C256" s="86">
        <f t="shared" si="62"/>
        <v>196.751</v>
      </c>
      <c r="D256" s="86">
        <f t="shared" si="62"/>
        <v>48.524000000000008</v>
      </c>
      <c r="E256" s="86">
        <f t="shared" si="62"/>
        <v>74.553999999999988</v>
      </c>
      <c r="F256" s="86">
        <f t="shared" si="62"/>
        <v>11.551999999999998</v>
      </c>
      <c r="G256" s="86">
        <f t="shared" si="62"/>
        <v>42.341999999999999</v>
      </c>
      <c r="H256" s="86">
        <f t="shared" si="62"/>
        <v>12.599000000000004</v>
      </c>
      <c r="I256" s="86">
        <f t="shared" si="62"/>
        <v>6.2140000000000004</v>
      </c>
      <c r="J256" s="86">
        <f>J372-J140-J24</f>
        <v>6.4950000000000081</v>
      </c>
      <c r="K256" s="86">
        <f t="shared" si="62"/>
        <v>4.0489999999999986</v>
      </c>
      <c r="L256" s="86">
        <f t="shared" si="62"/>
        <v>4.0769999999999991</v>
      </c>
      <c r="M256" s="86">
        <f t="shared" si="62"/>
        <v>2.3310000000000004</v>
      </c>
      <c r="N256" s="86">
        <f t="shared" si="57"/>
        <v>474.51299999999998</v>
      </c>
      <c r="O256" s="27"/>
      <c r="P256" s="87">
        <f t="shared" si="58"/>
        <v>310.3</v>
      </c>
      <c r="Q256" s="87">
        <f t="shared" si="59"/>
        <v>128.44799999999998</v>
      </c>
      <c r="R256" s="87">
        <f t="shared" si="60"/>
        <v>25.30800000000001</v>
      </c>
      <c r="S256" s="87">
        <f t="shared" si="61"/>
        <v>10.456999999999997</v>
      </c>
    </row>
    <row r="257" spans="1:19" ht="16.5" hidden="1">
      <c r="A257" s="83" t="s">
        <v>76</v>
      </c>
      <c r="B257" s="86">
        <f t="shared" si="62"/>
        <v>38.592999999999989</v>
      </c>
      <c r="C257" s="86">
        <f t="shared" si="62"/>
        <v>107.93700000000005</v>
      </c>
      <c r="D257" s="86">
        <f t="shared" si="62"/>
        <v>63.030999999999999</v>
      </c>
      <c r="E257" s="86">
        <f t="shared" si="62"/>
        <v>84.167999999999992</v>
      </c>
      <c r="F257" s="86">
        <f t="shared" si="62"/>
        <v>10.026999999999999</v>
      </c>
      <c r="G257" s="86">
        <f t="shared" si="62"/>
        <v>9.1820000000000004</v>
      </c>
      <c r="H257" s="86">
        <f t="shared" si="62"/>
        <v>11.495000000000001</v>
      </c>
      <c r="I257" s="86">
        <f t="shared" si="62"/>
        <v>7.652000000000001</v>
      </c>
      <c r="J257" s="86">
        <f t="shared" si="62"/>
        <v>4.477999999999998</v>
      </c>
      <c r="K257" s="86">
        <f t="shared" si="62"/>
        <v>3.9039999999999999</v>
      </c>
      <c r="L257" s="86">
        <f t="shared" si="62"/>
        <v>2.9270000000000005</v>
      </c>
      <c r="M257" s="86">
        <f t="shared" si="62"/>
        <v>3.1850000000000005</v>
      </c>
      <c r="N257" s="86">
        <f t="shared" si="57"/>
        <v>346.57900000000006</v>
      </c>
      <c r="O257" s="27"/>
      <c r="P257" s="87">
        <f>SUM(B257:D257)</f>
        <v>209.56100000000004</v>
      </c>
      <c r="Q257" s="87">
        <f t="shared" si="59"/>
        <v>103.377</v>
      </c>
      <c r="R257" s="87">
        <f t="shared" si="60"/>
        <v>23.625</v>
      </c>
      <c r="S257" s="87">
        <f t="shared" si="61"/>
        <v>10.016000000000002</v>
      </c>
    </row>
    <row r="258" spans="1:19" ht="16.5" hidden="1">
      <c r="A258" s="83" t="s">
        <v>77</v>
      </c>
      <c r="B258" s="86">
        <f t="shared" si="62"/>
        <v>29.827999999999999</v>
      </c>
      <c r="C258" s="86">
        <f t="shared" si="62"/>
        <v>48.410999999999994</v>
      </c>
      <c r="D258" s="86">
        <f t="shared" si="62"/>
        <v>14.100999999999997</v>
      </c>
      <c r="E258" s="86">
        <f t="shared" si="62"/>
        <v>23.061</v>
      </c>
      <c r="F258" s="86">
        <f t="shared" si="62"/>
        <v>11.580000000000002</v>
      </c>
      <c r="G258" s="86">
        <f t="shared" si="62"/>
        <v>30.015000000000001</v>
      </c>
      <c r="H258" s="86">
        <f t="shared" si="62"/>
        <v>36.393000000000001</v>
      </c>
      <c r="I258" s="86">
        <f t="shared" si="62"/>
        <v>8.9079999999999977</v>
      </c>
      <c r="J258" s="86">
        <f t="shared" si="62"/>
        <v>6.1129999999999995</v>
      </c>
      <c r="K258" s="86">
        <f t="shared" si="62"/>
        <v>5.3530000000000015</v>
      </c>
      <c r="L258" s="86">
        <f t="shared" si="62"/>
        <v>4.0089999999999995</v>
      </c>
      <c r="M258" s="86">
        <f t="shared" si="62"/>
        <v>5.044999999999999</v>
      </c>
      <c r="N258" s="86">
        <f t="shared" si="57"/>
        <v>222.81699999999995</v>
      </c>
      <c r="O258" s="27"/>
      <c r="P258" s="87">
        <f t="shared" ref="P258:P263" si="63">SUM(B258:D258)</f>
        <v>92.339999999999989</v>
      </c>
      <c r="Q258" s="87">
        <f t="shared" si="59"/>
        <v>64.656000000000006</v>
      </c>
      <c r="R258" s="87">
        <f t="shared" si="60"/>
        <v>51.414000000000001</v>
      </c>
      <c r="S258" s="87">
        <f t="shared" si="61"/>
        <v>14.407</v>
      </c>
    </row>
    <row r="259" spans="1:19" ht="16.5" hidden="1">
      <c r="A259" s="83" t="s">
        <v>78</v>
      </c>
      <c r="B259" s="86">
        <f t="shared" si="62"/>
        <v>80.981000000000009</v>
      </c>
      <c r="C259" s="86">
        <f t="shared" si="62"/>
        <v>41.255000000000003</v>
      </c>
      <c r="D259" s="86">
        <f t="shared" si="62"/>
        <v>34.762999999999998</v>
      </c>
      <c r="E259" s="86">
        <f t="shared" si="62"/>
        <v>42.205999999999996</v>
      </c>
      <c r="F259" s="86" t="e">
        <f t="shared" si="62"/>
        <v>#VALUE!</v>
      </c>
      <c r="G259" s="86">
        <f t="shared" si="62"/>
        <v>17.693999999999999</v>
      </c>
      <c r="H259" s="86">
        <f t="shared" si="62"/>
        <v>18.012999999999998</v>
      </c>
      <c r="I259" s="86" t="e">
        <f t="shared" si="62"/>
        <v>#VALUE!</v>
      </c>
      <c r="J259" s="86" t="e">
        <f t="shared" si="62"/>
        <v>#VALUE!</v>
      </c>
      <c r="K259" s="86">
        <f t="shared" si="62"/>
        <v>4.6729999999999992</v>
      </c>
      <c r="L259" s="86" t="e">
        <f t="shared" si="62"/>
        <v>#VALUE!</v>
      </c>
      <c r="M259" s="86" t="e">
        <f t="shared" si="62"/>
        <v>#VALUE!</v>
      </c>
      <c r="N259" s="86" t="e">
        <f t="shared" si="57"/>
        <v>#VALUE!</v>
      </c>
      <c r="O259" s="27"/>
      <c r="P259" s="87">
        <f t="shared" si="63"/>
        <v>156.99900000000002</v>
      </c>
      <c r="Q259" s="87" t="e">
        <f t="shared" si="59"/>
        <v>#VALUE!</v>
      </c>
      <c r="R259" s="87" t="e">
        <f t="shared" si="60"/>
        <v>#VALUE!</v>
      </c>
      <c r="S259" s="87" t="e">
        <f t="shared" si="61"/>
        <v>#VALUE!</v>
      </c>
    </row>
    <row r="260" spans="1:19" ht="16.5" hidden="1">
      <c r="A260" s="83" t="s">
        <v>79</v>
      </c>
      <c r="B260" s="86">
        <f t="shared" si="62"/>
        <v>25.095000000000002</v>
      </c>
      <c r="C260" s="86" t="e">
        <f t="shared" si="62"/>
        <v>#VALUE!</v>
      </c>
      <c r="D260" s="86" t="e">
        <f t="shared" si="62"/>
        <v>#VALUE!</v>
      </c>
      <c r="E260" s="86">
        <f t="shared" si="62"/>
        <v>18.879000000000005</v>
      </c>
      <c r="F260" s="86" t="e">
        <f t="shared" si="62"/>
        <v>#VALUE!</v>
      </c>
      <c r="G260" s="86" t="e">
        <f t="shared" si="62"/>
        <v>#VALUE!</v>
      </c>
      <c r="H260" s="86">
        <f t="shared" si="62"/>
        <v>20.965</v>
      </c>
      <c r="I260" s="86">
        <f t="shared" si="62"/>
        <v>36.252000000000002</v>
      </c>
      <c r="J260" s="86">
        <f t="shared" si="62"/>
        <v>11.353999999999997</v>
      </c>
      <c r="K260" s="86" t="e">
        <f t="shared" si="62"/>
        <v>#VALUE!</v>
      </c>
      <c r="L260" s="86" t="e">
        <f t="shared" si="62"/>
        <v>#VALUE!</v>
      </c>
      <c r="M260" s="86" t="e">
        <f t="shared" si="62"/>
        <v>#VALUE!</v>
      </c>
      <c r="N260" s="86" t="e">
        <f t="shared" si="57"/>
        <v>#VALUE!</v>
      </c>
      <c r="O260" s="27"/>
      <c r="P260" s="87" t="e">
        <f t="shared" si="63"/>
        <v>#VALUE!</v>
      </c>
      <c r="Q260" s="87" t="e">
        <f t="shared" si="59"/>
        <v>#VALUE!</v>
      </c>
      <c r="R260" s="87">
        <f t="shared" si="60"/>
        <v>68.570999999999998</v>
      </c>
      <c r="S260" s="87" t="e">
        <f t="shared" si="61"/>
        <v>#VALUE!</v>
      </c>
    </row>
    <row r="261" spans="1:19" ht="16.5">
      <c r="A261" s="85" t="s">
        <v>80</v>
      </c>
      <c r="B261" s="86">
        <f>B377-B145-B29</f>
        <v>11.913999999999998</v>
      </c>
      <c r="C261" s="86" t="e">
        <f t="shared" si="62"/>
        <v>#VALUE!</v>
      </c>
      <c r="D261" s="86">
        <f t="shared" si="62"/>
        <v>14.177000000000001</v>
      </c>
      <c r="E261" s="86">
        <f t="shared" si="62"/>
        <v>12.478</v>
      </c>
      <c r="F261" s="86">
        <f t="shared" si="62"/>
        <v>21.654000000000003</v>
      </c>
      <c r="G261" s="86">
        <f t="shared" si="62"/>
        <v>18.221</v>
      </c>
      <c r="H261" s="86">
        <f t="shared" si="62"/>
        <v>17.655000000000005</v>
      </c>
      <c r="I261" s="86">
        <f t="shared" si="62"/>
        <v>10.719999999999999</v>
      </c>
      <c r="J261" s="86">
        <f t="shared" si="62"/>
        <v>9.9130000000000038</v>
      </c>
      <c r="K261" s="86">
        <f t="shared" si="62"/>
        <v>8.5589999999999993</v>
      </c>
      <c r="L261" s="86">
        <f t="shared" si="62"/>
        <v>15031.404000000008</v>
      </c>
      <c r="M261" s="86">
        <f t="shared" si="62"/>
        <v>24649.211000000007</v>
      </c>
      <c r="N261" s="86" t="e">
        <f t="shared" si="57"/>
        <v>#VALUE!</v>
      </c>
      <c r="O261" s="27"/>
      <c r="P261" s="87" t="e">
        <f t="shared" si="63"/>
        <v>#VALUE!</v>
      </c>
      <c r="Q261" s="87">
        <f t="shared" si="59"/>
        <v>52.353000000000009</v>
      </c>
      <c r="R261" s="87">
        <f t="shared" si="60"/>
        <v>38.288000000000011</v>
      </c>
      <c r="S261" s="87">
        <f t="shared" si="61"/>
        <v>39689.174000000014</v>
      </c>
    </row>
    <row r="262" spans="1:19" ht="16.5">
      <c r="A262" s="85" t="s">
        <v>81</v>
      </c>
      <c r="B262" s="86">
        <f t="shared" si="62"/>
        <v>118404.47800000002</v>
      </c>
      <c r="C262" s="86">
        <f t="shared" si="62"/>
        <v>44044.796999999999</v>
      </c>
      <c r="D262" s="86">
        <f t="shared" si="62"/>
        <v>42627.337000000007</v>
      </c>
      <c r="E262" s="86">
        <f t="shared" si="62"/>
        <v>28324.703000000012</v>
      </c>
      <c r="F262" s="86">
        <f t="shared" si="62"/>
        <v>33442.250999999997</v>
      </c>
      <c r="G262" s="86">
        <f t="shared" si="62"/>
        <v>32411.242999999988</v>
      </c>
      <c r="H262" s="86">
        <f t="shared" si="62"/>
        <v>36930.77399999999</v>
      </c>
      <c r="I262" s="86">
        <f t="shared" si="62"/>
        <v>55224.030999999988</v>
      </c>
      <c r="J262" s="86">
        <f t="shared" si="62"/>
        <v>64642.426999999981</v>
      </c>
      <c r="K262" s="86">
        <f t="shared" si="62"/>
        <v>65173.388999999966</v>
      </c>
      <c r="L262" s="86">
        <f t="shared" si="62"/>
        <v>20556.879999999986</v>
      </c>
      <c r="M262" s="86">
        <f t="shared" si="62"/>
        <v>16039.015000000003</v>
      </c>
      <c r="N262" s="86">
        <f t="shared" si="57"/>
        <v>557821.32499999984</v>
      </c>
      <c r="O262" s="27"/>
      <c r="P262" s="87">
        <f t="shared" si="63"/>
        <v>205076.61200000002</v>
      </c>
      <c r="Q262" s="87">
        <f t="shared" si="59"/>
        <v>94178.197</v>
      </c>
      <c r="R262" s="87">
        <f t="shared" si="60"/>
        <v>156797.23199999996</v>
      </c>
      <c r="S262" s="87">
        <f t="shared" si="61"/>
        <v>101769.28399999996</v>
      </c>
    </row>
    <row r="263" spans="1:19" ht="17.25" thickBot="1">
      <c r="A263" s="88" t="s">
        <v>82</v>
      </c>
      <c r="B263" s="89">
        <f>B379-B147-B31</f>
        <v>87933.845000000001</v>
      </c>
      <c r="C263" s="89">
        <f t="shared" si="62"/>
        <v>41873.166999999987</v>
      </c>
      <c r="D263" s="89">
        <f t="shared" si="62"/>
        <v>39872.800999999999</v>
      </c>
      <c r="E263" s="89">
        <f t="shared" si="62"/>
        <v>62851.16599999999</v>
      </c>
      <c r="F263" s="89">
        <f t="shared" si="62"/>
        <v>86507.01400000001</v>
      </c>
      <c r="G263" s="89">
        <f t="shared" si="62"/>
        <v>80201.705999999962</v>
      </c>
      <c r="H263" s="89">
        <f t="shared" si="62"/>
        <v>99486.178</v>
      </c>
      <c r="I263" s="90">
        <f t="shared" si="62"/>
        <v>-24.066080309884228</v>
      </c>
      <c r="J263" s="90">
        <f t="shared" si="62"/>
        <v>-36.268019311030194</v>
      </c>
      <c r="K263" s="90">
        <f t="shared" si="62"/>
        <v>-42.469451040332586</v>
      </c>
      <c r="L263" s="90">
        <f t="shared" si="62"/>
        <v>-9.8363099399686611</v>
      </c>
      <c r="M263" s="90">
        <f t="shared" si="62"/>
        <v>86.773848601215747</v>
      </c>
      <c r="N263" s="90">
        <f t="shared" si="57"/>
        <v>498700.01098800002</v>
      </c>
      <c r="O263" s="95"/>
      <c r="P263" s="92">
        <f t="shared" si="63"/>
        <v>169679.81299999999</v>
      </c>
      <c r="Q263" s="92">
        <f t="shared" si="59"/>
        <v>229559.88599999994</v>
      </c>
      <c r="R263" s="93">
        <f t="shared" si="60"/>
        <v>99425.843900379085</v>
      </c>
      <c r="S263" s="93">
        <f t="shared" si="61"/>
        <v>34.468087620914503</v>
      </c>
    </row>
    <row r="264" spans="1:19" ht="16.5">
      <c r="A264" s="80" t="s">
        <v>92</v>
      </c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27"/>
      <c r="P264" s="87"/>
      <c r="Q264" s="87"/>
      <c r="R264" s="87"/>
      <c r="S264" s="87"/>
    </row>
    <row r="265" spans="1:19" ht="16.5" hidden="1">
      <c r="A265" s="81" t="s">
        <v>84</v>
      </c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27"/>
      <c r="P265" s="87"/>
      <c r="Q265" s="87"/>
      <c r="R265" s="87"/>
      <c r="S265" s="87"/>
    </row>
    <row r="266" spans="1:19" ht="16.5" hidden="1">
      <c r="A266" s="81" t="s">
        <v>56</v>
      </c>
      <c r="B266" s="86">
        <f>B382-B150-B34</f>
        <v>0</v>
      </c>
      <c r="C266" s="86">
        <f t="shared" ref="C266:M266" si="64">C382-C150-C34</f>
        <v>0</v>
      </c>
      <c r="D266" s="86">
        <f t="shared" si="64"/>
        <v>0</v>
      </c>
      <c r="E266" s="86">
        <f t="shared" si="64"/>
        <v>0</v>
      </c>
      <c r="F266" s="86">
        <f t="shared" si="64"/>
        <v>0</v>
      </c>
      <c r="G266" s="86">
        <f t="shared" si="64"/>
        <v>0</v>
      </c>
      <c r="H266" s="86">
        <f t="shared" si="64"/>
        <v>0</v>
      </c>
      <c r="I266" s="86">
        <f t="shared" si="64"/>
        <v>0</v>
      </c>
      <c r="J266" s="86">
        <f t="shared" si="64"/>
        <v>0</v>
      </c>
      <c r="K266" s="86">
        <f t="shared" si="64"/>
        <v>0</v>
      </c>
      <c r="L266" s="86">
        <f t="shared" si="64"/>
        <v>0</v>
      </c>
      <c r="M266" s="86">
        <f t="shared" si="64"/>
        <v>0</v>
      </c>
      <c r="N266" s="86">
        <f>SUM(B266:M266)</f>
        <v>0</v>
      </c>
      <c r="O266" s="27"/>
      <c r="P266" s="87">
        <f>SUM(B266:D266)</f>
        <v>0</v>
      </c>
      <c r="Q266" s="87">
        <f>SUM(E266:G266)</f>
        <v>0</v>
      </c>
      <c r="R266" s="87">
        <f>SUM(H266:J266)</f>
        <v>0</v>
      </c>
      <c r="S266" s="87">
        <f>SUM(K266:M266)</f>
        <v>0</v>
      </c>
    </row>
    <row r="267" spans="1:19" ht="16.5" hidden="1">
      <c r="A267" s="81" t="s">
        <v>57</v>
      </c>
      <c r="B267" s="86">
        <f t="shared" ref="B267:M282" si="65">B383-B151-B35</f>
        <v>2</v>
      </c>
      <c r="C267" s="86">
        <f t="shared" si="65"/>
        <v>61</v>
      </c>
      <c r="D267" s="86">
        <f t="shared" si="65"/>
        <v>114</v>
      </c>
      <c r="E267" s="86">
        <f t="shared" si="65"/>
        <v>155</v>
      </c>
      <c r="F267" s="86">
        <f t="shared" si="65"/>
        <v>116</v>
      </c>
      <c r="G267" s="86">
        <f t="shared" si="65"/>
        <v>111</v>
      </c>
      <c r="H267" s="86">
        <f t="shared" si="65"/>
        <v>140</v>
      </c>
      <c r="I267" s="86">
        <f t="shared" si="65"/>
        <v>168</v>
      </c>
      <c r="J267" s="86">
        <f t="shared" si="65"/>
        <v>133</v>
      </c>
      <c r="K267" s="86">
        <f t="shared" si="65"/>
        <v>94</v>
      </c>
      <c r="L267" s="86">
        <f t="shared" si="65"/>
        <v>65</v>
      </c>
      <c r="M267" s="86">
        <f t="shared" si="65"/>
        <v>51</v>
      </c>
      <c r="N267" s="86">
        <f t="shared" ref="N267:N292" si="66">SUM(B267:M267)</f>
        <v>1210</v>
      </c>
      <c r="O267" s="27"/>
      <c r="P267" s="87">
        <f t="shared" ref="P267:P285" si="67">SUM(B267:D267)</f>
        <v>177</v>
      </c>
      <c r="Q267" s="87">
        <f t="shared" ref="Q267:Q292" si="68">SUM(E267:G267)</f>
        <v>382</v>
      </c>
      <c r="R267" s="87">
        <f t="shared" ref="R267:R292" si="69">SUM(H267:J267)</f>
        <v>441</v>
      </c>
      <c r="S267" s="87">
        <f t="shared" ref="S267:S292" si="70">SUM(K267:M267)</f>
        <v>210</v>
      </c>
    </row>
    <row r="268" spans="1:19" ht="16.5" hidden="1">
      <c r="A268" s="81" t="s">
        <v>58</v>
      </c>
      <c r="B268" s="86">
        <f t="shared" si="65"/>
        <v>60</v>
      </c>
      <c r="C268" s="86">
        <f t="shared" si="65"/>
        <v>235</v>
      </c>
      <c r="D268" s="86">
        <f t="shared" si="65"/>
        <v>316</v>
      </c>
      <c r="E268" s="86">
        <f t="shared" si="65"/>
        <v>216</v>
      </c>
      <c r="F268" s="86">
        <f t="shared" si="65"/>
        <v>128.37883600000001</v>
      </c>
      <c r="G268" s="86">
        <f t="shared" si="65"/>
        <v>61.848741999999994</v>
      </c>
      <c r="H268" s="86">
        <f t="shared" si="65"/>
        <v>71.218483000000006</v>
      </c>
      <c r="I268" s="86">
        <f t="shared" si="65"/>
        <v>45.501934999999996</v>
      </c>
      <c r="J268" s="86">
        <f t="shared" si="65"/>
        <v>11.522665</v>
      </c>
      <c r="K268" s="86">
        <f t="shared" si="65"/>
        <v>2.2887529999999998</v>
      </c>
      <c r="L268" s="86">
        <f t="shared" si="65"/>
        <v>2.1910959999999999</v>
      </c>
      <c r="M268" s="86">
        <f t="shared" si="65"/>
        <v>0</v>
      </c>
      <c r="N268" s="86">
        <f t="shared" si="66"/>
        <v>1149.9505100000001</v>
      </c>
      <c r="O268" s="27"/>
      <c r="P268" s="87">
        <f t="shared" si="67"/>
        <v>611</v>
      </c>
      <c r="Q268" s="87">
        <f t="shared" si="68"/>
        <v>406.22757799999999</v>
      </c>
      <c r="R268" s="87">
        <f t="shared" si="69"/>
        <v>128.24308299999998</v>
      </c>
      <c r="S268" s="87">
        <f t="shared" si="70"/>
        <v>4.4798489999999997</v>
      </c>
    </row>
    <row r="269" spans="1:19" ht="16.5" hidden="1">
      <c r="A269" s="81" t="s">
        <v>59</v>
      </c>
      <c r="B269" s="86">
        <f t="shared" si="65"/>
        <v>12.438528999999999</v>
      </c>
      <c r="C269" s="86">
        <f t="shared" si="65"/>
        <v>88.020905999999997</v>
      </c>
      <c r="D269" s="86">
        <f t="shared" si="65"/>
        <v>177.68036000000001</v>
      </c>
      <c r="E269" s="86">
        <f t="shared" si="65"/>
        <v>177.27783100000002</v>
      </c>
      <c r="F269" s="86">
        <f t="shared" si="65"/>
        <v>77.982585</v>
      </c>
      <c r="G269" s="86">
        <f t="shared" si="65"/>
        <v>66.644873000000004</v>
      </c>
      <c r="H269" s="86">
        <f t="shared" si="65"/>
        <v>23.217925000000001</v>
      </c>
      <c r="I269" s="86">
        <f t="shared" si="65"/>
        <v>14.311296000000002</v>
      </c>
      <c r="J269" s="86">
        <f t="shared" si="65"/>
        <v>19.912333</v>
      </c>
      <c r="K269" s="86">
        <f t="shared" si="65"/>
        <v>11.725697</v>
      </c>
      <c r="L269" s="86">
        <f t="shared" si="65"/>
        <v>4.1999999999999815E-2</v>
      </c>
      <c r="M269" s="86">
        <f t="shared" si="65"/>
        <v>7.2679999999999995E-2</v>
      </c>
      <c r="N269" s="86">
        <f t="shared" si="66"/>
        <v>669.32701499999996</v>
      </c>
      <c r="O269" s="27"/>
      <c r="P269" s="87">
        <f t="shared" si="67"/>
        <v>278.13979499999999</v>
      </c>
      <c r="Q269" s="87">
        <f t="shared" si="68"/>
        <v>321.90528900000004</v>
      </c>
      <c r="R269" s="87">
        <f t="shared" si="69"/>
        <v>57.441554000000011</v>
      </c>
      <c r="S269" s="87">
        <f t="shared" si="70"/>
        <v>11.840377</v>
      </c>
    </row>
    <row r="270" spans="1:19" ht="16.5" hidden="1">
      <c r="A270" s="81" t="s">
        <v>60</v>
      </c>
      <c r="B270" s="86">
        <f t="shared" si="65"/>
        <v>9.8729600000000026</v>
      </c>
      <c r="C270" s="86">
        <f t="shared" si="65"/>
        <v>139.65044899999998</v>
      </c>
      <c r="D270" s="86">
        <f t="shared" si="65"/>
        <v>197.20681299999995</v>
      </c>
      <c r="E270" s="86">
        <f t="shared" si="65"/>
        <v>151.771005</v>
      </c>
      <c r="F270" s="86">
        <f t="shared" si="65"/>
        <v>46.454398999999995</v>
      </c>
      <c r="G270" s="86">
        <f t="shared" si="65"/>
        <v>6.9071230000000003</v>
      </c>
      <c r="H270" s="86">
        <f t="shared" si="65"/>
        <v>2.6749999999999998</v>
      </c>
      <c r="I270" s="86">
        <f t="shared" si="65"/>
        <v>2.7999999999999969E-2</v>
      </c>
      <c r="J270" s="86">
        <f t="shared" si="65"/>
        <v>0.1305</v>
      </c>
      <c r="K270" s="86">
        <f t="shared" si="65"/>
        <v>5.8400000000000001E-2</v>
      </c>
      <c r="L270" s="86">
        <f t="shared" si="65"/>
        <v>0.153</v>
      </c>
      <c r="M270" s="86">
        <f t="shared" si="65"/>
        <v>0</v>
      </c>
      <c r="N270" s="86">
        <f t="shared" si="66"/>
        <v>554.90764899999988</v>
      </c>
      <c r="O270" s="27"/>
      <c r="P270" s="87">
        <f t="shared" si="67"/>
        <v>346.73022199999991</v>
      </c>
      <c r="Q270" s="87">
        <f t="shared" si="68"/>
        <v>205.13252700000001</v>
      </c>
      <c r="R270" s="87">
        <f t="shared" si="69"/>
        <v>2.8334999999999999</v>
      </c>
      <c r="S270" s="87">
        <f t="shared" si="70"/>
        <v>0.2114</v>
      </c>
    </row>
    <row r="271" spans="1:19" ht="16.5" hidden="1">
      <c r="A271" s="81" t="s">
        <v>61</v>
      </c>
      <c r="B271" s="86">
        <f t="shared" si="65"/>
        <v>0</v>
      </c>
      <c r="C271" s="86">
        <f t="shared" si="65"/>
        <v>11.824436000000002</v>
      </c>
      <c r="D271" s="86">
        <f t="shared" si="65"/>
        <v>43.435156999999997</v>
      </c>
      <c r="E271" s="86">
        <f t="shared" si="65"/>
        <v>59.685855000000004</v>
      </c>
      <c r="F271" s="86">
        <f t="shared" si="65"/>
        <v>32.306961999999999</v>
      </c>
      <c r="G271" s="86">
        <f t="shared" si="65"/>
        <v>85.049966999999995</v>
      </c>
      <c r="H271" s="86">
        <f t="shared" si="65"/>
        <v>66.182273999999992</v>
      </c>
      <c r="I271" s="86">
        <f t="shared" si="65"/>
        <v>75.451352</v>
      </c>
      <c r="J271" s="86">
        <f t="shared" si="65"/>
        <v>95.419526999999988</v>
      </c>
      <c r="K271" s="86">
        <f t="shared" si="65"/>
        <v>46.732472999999999</v>
      </c>
      <c r="L271" s="86">
        <f t="shared" si="65"/>
        <v>33.381892000000001</v>
      </c>
      <c r="M271" s="86">
        <f t="shared" si="65"/>
        <v>10.03435</v>
      </c>
      <c r="N271" s="86">
        <f t="shared" si="66"/>
        <v>559.50424499999997</v>
      </c>
      <c r="O271" s="27"/>
      <c r="P271" s="87">
        <f t="shared" si="67"/>
        <v>55.259592999999995</v>
      </c>
      <c r="Q271" s="87">
        <f t="shared" si="68"/>
        <v>177.04278399999998</v>
      </c>
      <c r="R271" s="87">
        <f t="shared" si="69"/>
        <v>237.05315299999998</v>
      </c>
      <c r="S271" s="87">
        <f t="shared" si="70"/>
        <v>90.148714999999996</v>
      </c>
    </row>
    <row r="272" spans="1:19" ht="16.5" hidden="1">
      <c r="A272" s="81" t="s">
        <v>62</v>
      </c>
      <c r="B272" s="86">
        <f t="shared" si="65"/>
        <v>8.6728000000000804E-2</v>
      </c>
      <c r="C272" s="86">
        <f t="shared" si="65"/>
        <v>33.883368000000004</v>
      </c>
      <c r="D272" s="86">
        <f t="shared" si="65"/>
        <v>84.566185999999988</v>
      </c>
      <c r="E272" s="86">
        <f t="shared" si="65"/>
        <v>129.31271900000002</v>
      </c>
      <c r="F272" s="86">
        <f t="shared" si="65"/>
        <v>59.723229000000003</v>
      </c>
      <c r="G272" s="86">
        <f t="shared" si="65"/>
        <v>87.717461999999998</v>
      </c>
      <c r="H272" s="86">
        <f t="shared" si="65"/>
        <v>35.313966999999998</v>
      </c>
      <c r="I272" s="86">
        <f t="shared" si="65"/>
        <v>41.421241999999999</v>
      </c>
      <c r="J272" s="86">
        <f t="shared" si="65"/>
        <v>5.9562109999999997</v>
      </c>
      <c r="K272" s="86">
        <f t="shared" si="65"/>
        <v>0.466555</v>
      </c>
      <c r="L272" s="86">
        <f t="shared" si="65"/>
        <v>1.7319999999999999E-2</v>
      </c>
      <c r="M272" s="86">
        <f t="shared" si="65"/>
        <v>0</v>
      </c>
      <c r="N272" s="86">
        <f t="shared" si="66"/>
        <v>478.46498700000001</v>
      </c>
      <c r="O272" s="27"/>
      <c r="P272" s="87">
        <f t="shared" si="67"/>
        <v>118.536282</v>
      </c>
      <c r="Q272" s="87">
        <f t="shared" si="68"/>
        <v>276.75341000000003</v>
      </c>
      <c r="R272" s="87">
        <f t="shared" si="69"/>
        <v>82.691419999999994</v>
      </c>
      <c r="S272" s="87">
        <f t="shared" si="70"/>
        <v>0.483875</v>
      </c>
    </row>
    <row r="273" spans="1:19" ht="16.5" hidden="1">
      <c r="A273" s="81" t="s">
        <v>63</v>
      </c>
      <c r="B273" s="86">
        <f t="shared" si="65"/>
        <v>1.6603E-2</v>
      </c>
      <c r="C273" s="86">
        <f t="shared" si="65"/>
        <v>5.8516599999999999</v>
      </c>
      <c r="D273" s="86">
        <f t="shared" si="65"/>
        <v>1.82</v>
      </c>
      <c r="E273" s="86">
        <f t="shared" si="65"/>
        <v>3.8164099999999999</v>
      </c>
      <c r="F273" s="86">
        <f t="shared" si="65"/>
        <v>1.7290000000000001</v>
      </c>
      <c r="G273" s="86">
        <f t="shared" si="65"/>
        <v>2.81</v>
      </c>
      <c r="H273" s="86">
        <f t="shared" si="65"/>
        <v>1.4999999999999999E-2</v>
      </c>
      <c r="I273" s="86">
        <f t="shared" si="65"/>
        <v>3.1E-2</v>
      </c>
      <c r="J273" s="86">
        <f t="shared" si="65"/>
        <v>7.0000000000000001E-3</v>
      </c>
      <c r="K273" s="86">
        <f t="shared" si="65"/>
        <v>1.2E-2</v>
      </c>
      <c r="L273" s="86">
        <f t="shared" si="65"/>
        <v>1.2E-2</v>
      </c>
      <c r="M273" s="86">
        <f t="shared" si="65"/>
        <v>1E-3</v>
      </c>
      <c r="N273" s="86">
        <f t="shared" si="66"/>
        <v>16.121673000000001</v>
      </c>
      <c r="O273" s="27"/>
      <c r="P273" s="87">
        <f t="shared" si="67"/>
        <v>7.6882630000000001</v>
      </c>
      <c r="Q273" s="87">
        <f t="shared" si="68"/>
        <v>8.3554100000000009</v>
      </c>
      <c r="R273" s="87">
        <f t="shared" si="69"/>
        <v>5.2999999999999999E-2</v>
      </c>
      <c r="S273" s="87">
        <f t="shared" si="70"/>
        <v>2.5000000000000001E-2</v>
      </c>
    </row>
    <row r="274" spans="1:19" ht="16.5" hidden="1">
      <c r="A274" s="81" t="s">
        <v>64</v>
      </c>
      <c r="B274" s="86">
        <f t="shared" si="65"/>
        <v>0</v>
      </c>
      <c r="C274" s="86">
        <f t="shared" si="65"/>
        <v>13.988</v>
      </c>
      <c r="D274" s="86">
        <f t="shared" si="65"/>
        <v>45.188000000000002</v>
      </c>
      <c r="E274" s="86">
        <f t="shared" si="65"/>
        <v>17.187000000000001</v>
      </c>
      <c r="F274" s="86">
        <f t="shared" si="65"/>
        <v>14.366</v>
      </c>
      <c r="G274" s="86">
        <f t="shared" si="65"/>
        <v>16.347000000000001</v>
      </c>
      <c r="H274" s="86">
        <f t="shared" si="65"/>
        <v>11.116</v>
      </c>
      <c r="I274" s="86">
        <f t="shared" si="65"/>
        <v>13.371</v>
      </c>
      <c r="J274" s="86">
        <f t="shared" si="65"/>
        <v>27.669999999999998</v>
      </c>
      <c r="K274" s="86">
        <f t="shared" si="65"/>
        <v>0.25800000000000001</v>
      </c>
      <c r="L274" s="86">
        <f t="shared" si="65"/>
        <v>6.7000000000000004E-2</v>
      </c>
      <c r="M274" s="86">
        <f t="shared" si="65"/>
        <v>0</v>
      </c>
      <c r="N274" s="86">
        <f t="shared" si="66"/>
        <v>159.55799999999999</v>
      </c>
      <c r="O274" s="27"/>
      <c r="P274" s="87">
        <f t="shared" si="67"/>
        <v>59.176000000000002</v>
      </c>
      <c r="Q274" s="87">
        <f t="shared" si="68"/>
        <v>47.900000000000006</v>
      </c>
      <c r="R274" s="87">
        <f t="shared" si="69"/>
        <v>52.156999999999996</v>
      </c>
      <c r="S274" s="87">
        <f t="shared" si="70"/>
        <v>0.32500000000000001</v>
      </c>
    </row>
    <row r="275" spans="1:19" ht="16.5" hidden="1">
      <c r="A275" s="83" t="s">
        <v>65</v>
      </c>
      <c r="B275" s="86">
        <f t="shared" si="65"/>
        <v>0</v>
      </c>
      <c r="C275" s="86">
        <f t="shared" si="65"/>
        <v>7.2379999999999995</v>
      </c>
      <c r="D275" s="86">
        <f t="shared" si="65"/>
        <v>38.725999999999999</v>
      </c>
      <c r="E275" s="86">
        <f t="shared" si="65"/>
        <v>55.698999999999998</v>
      </c>
      <c r="F275" s="86">
        <f t="shared" si="65"/>
        <v>28.725999999999999</v>
      </c>
      <c r="G275" s="86">
        <f t="shared" si="65"/>
        <v>13.782</v>
      </c>
      <c r="H275" s="86">
        <f t="shared" si="65"/>
        <v>18.279000000000003</v>
      </c>
      <c r="I275" s="86">
        <f t="shared" si="65"/>
        <v>12.112</v>
      </c>
      <c r="J275" s="86">
        <f t="shared" si="65"/>
        <v>11.244999999999999</v>
      </c>
      <c r="K275" s="86">
        <f t="shared" si="65"/>
        <v>3.1E-2</v>
      </c>
      <c r="L275" s="86">
        <f t="shared" si="65"/>
        <v>2.2999999999999687E-2</v>
      </c>
      <c r="M275" s="86">
        <f t="shared" si="65"/>
        <v>3.0499999999999999E-4</v>
      </c>
      <c r="N275" s="86">
        <f t="shared" si="66"/>
        <v>185.86130500000002</v>
      </c>
      <c r="O275" s="27"/>
      <c r="P275" s="87">
        <f t="shared" si="67"/>
        <v>45.963999999999999</v>
      </c>
      <c r="Q275" s="87">
        <f t="shared" si="68"/>
        <v>98.206999999999994</v>
      </c>
      <c r="R275" s="87">
        <f t="shared" si="69"/>
        <v>41.636000000000003</v>
      </c>
      <c r="S275" s="87">
        <f t="shared" si="70"/>
        <v>5.4304999999999687E-2</v>
      </c>
    </row>
    <row r="276" spans="1:19" ht="16.5" hidden="1">
      <c r="A276" s="83" t="s">
        <v>66</v>
      </c>
      <c r="B276" s="86">
        <f t="shared" si="65"/>
        <v>0.02</v>
      </c>
      <c r="C276" s="86">
        <f t="shared" si="65"/>
        <v>0.29799999999999999</v>
      </c>
      <c r="D276" s="86">
        <f t="shared" si="65"/>
        <v>0.16900000000000001</v>
      </c>
      <c r="E276" s="86">
        <f t="shared" si="65"/>
        <v>0.84</v>
      </c>
      <c r="F276" s="86">
        <f t="shared" si="65"/>
        <v>0.108</v>
      </c>
      <c r="G276" s="86">
        <f t="shared" si="65"/>
        <v>0.27</v>
      </c>
      <c r="H276" s="86">
        <f t="shared" si="65"/>
        <v>0.32200000000000001</v>
      </c>
      <c r="I276" s="86">
        <f t="shared" si="65"/>
        <v>11.978</v>
      </c>
      <c r="J276" s="86">
        <f t="shared" si="65"/>
        <v>6.3490000000000002</v>
      </c>
      <c r="K276" s="86">
        <f t="shared" si="65"/>
        <v>2.9670000000000001</v>
      </c>
      <c r="L276" s="86">
        <f t="shared" si="65"/>
        <v>7.2610000000000001</v>
      </c>
      <c r="M276" s="86">
        <f t="shared" si="65"/>
        <v>3.27</v>
      </c>
      <c r="N276" s="86">
        <f t="shared" si="66"/>
        <v>33.851999999999997</v>
      </c>
      <c r="O276" s="27"/>
      <c r="P276" s="87">
        <f t="shared" si="67"/>
        <v>0.48699999999999999</v>
      </c>
      <c r="Q276" s="87">
        <f t="shared" si="68"/>
        <v>1.218</v>
      </c>
      <c r="R276" s="87">
        <f t="shared" si="69"/>
        <v>18.649000000000001</v>
      </c>
      <c r="S276" s="87">
        <f t="shared" si="70"/>
        <v>13.497999999999999</v>
      </c>
    </row>
    <row r="277" spans="1:19" ht="16.5" hidden="1">
      <c r="A277" s="84" t="s">
        <v>67</v>
      </c>
      <c r="B277" s="86">
        <f t="shared" si="65"/>
        <v>11.762</v>
      </c>
      <c r="C277" s="86">
        <f t="shared" si="65"/>
        <v>23.852999999999998</v>
      </c>
      <c r="D277" s="86">
        <f t="shared" si="65"/>
        <v>76.695999999999998</v>
      </c>
      <c r="E277" s="86">
        <f t="shared" si="65"/>
        <v>73.64</v>
      </c>
      <c r="F277" s="86">
        <f t="shared" si="65"/>
        <v>15.477</v>
      </c>
      <c r="G277" s="86">
        <f t="shared" si="65"/>
        <v>9.3490000000000002</v>
      </c>
      <c r="H277" s="86">
        <f t="shared" si="65"/>
        <v>43.852999999999994</v>
      </c>
      <c r="I277" s="86">
        <f t="shared" si="65"/>
        <v>21.079000000000001</v>
      </c>
      <c r="J277" s="86">
        <f t="shared" si="65"/>
        <v>16.678999999999998</v>
      </c>
      <c r="K277" s="86">
        <f t="shared" si="65"/>
        <v>4.3729999999999993</v>
      </c>
      <c r="L277" s="86">
        <f t="shared" si="65"/>
        <v>5.1749999999999998</v>
      </c>
      <c r="M277" s="86">
        <f t="shared" si="65"/>
        <v>6.1909999999999998</v>
      </c>
      <c r="N277" s="86">
        <f t="shared" si="66"/>
        <v>308.12699999999995</v>
      </c>
      <c r="O277" s="27"/>
      <c r="P277" s="87">
        <f t="shared" si="67"/>
        <v>112.31099999999999</v>
      </c>
      <c r="Q277" s="87">
        <f t="shared" si="68"/>
        <v>98.466000000000008</v>
      </c>
      <c r="R277" s="87">
        <f t="shared" si="69"/>
        <v>81.61099999999999</v>
      </c>
      <c r="S277" s="87">
        <f t="shared" si="70"/>
        <v>15.738999999999997</v>
      </c>
    </row>
    <row r="278" spans="1:19" ht="16.5" hidden="1">
      <c r="A278" s="83" t="s">
        <v>68</v>
      </c>
      <c r="B278" s="86">
        <f t="shared" si="65"/>
        <v>4.1029999999999998</v>
      </c>
      <c r="C278" s="86">
        <f t="shared" si="65"/>
        <v>20.956</v>
      </c>
      <c r="D278" s="86">
        <f t="shared" si="65"/>
        <v>13.226000000000001</v>
      </c>
      <c r="E278" s="86">
        <f t="shared" si="65"/>
        <v>40.643000000000001</v>
      </c>
      <c r="F278" s="86">
        <f t="shared" si="65"/>
        <v>12.676</v>
      </c>
      <c r="G278" s="86">
        <f t="shared" si="65"/>
        <v>17.393000000000001</v>
      </c>
      <c r="H278" s="86">
        <f t="shared" si="65"/>
        <v>21.867000000000001</v>
      </c>
      <c r="I278" s="86">
        <f t="shared" si="65"/>
        <v>14.811</v>
      </c>
      <c r="J278" s="86">
        <f t="shared" si="65"/>
        <v>4.8710000000000004</v>
      </c>
      <c r="K278" s="86">
        <f t="shared" si="65"/>
        <v>3.476</v>
      </c>
      <c r="L278" s="86">
        <f t="shared" si="65"/>
        <v>4.5590000000000002</v>
      </c>
      <c r="M278" s="86">
        <f t="shared" si="65"/>
        <v>3.4729999999999999</v>
      </c>
      <c r="N278" s="86">
        <f t="shared" si="66"/>
        <v>162.05400000000003</v>
      </c>
      <c r="O278" s="27"/>
      <c r="P278" s="87">
        <f t="shared" si="67"/>
        <v>38.284999999999997</v>
      </c>
      <c r="Q278" s="87">
        <f t="shared" si="68"/>
        <v>70.712000000000003</v>
      </c>
      <c r="R278" s="87">
        <f t="shared" si="69"/>
        <v>41.548999999999999</v>
      </c>
      <c r="S278" s="87">
        <f t="shared" si="70"/>
        <v>11.507999999999999</v>
      </c>
    </row>
    <row r="279" spans="1:19" ht="16.5" hidden="1">
      <c r="A279" s="84" t="s">
        <v>69</v>
      </c>
      <c r="B279" s="86">
        <f t="shared" si="65"/>
        <v>3.609</v>
      </c>
      <c r="C279" s="86">
        <f t="shared" si="65"/>
        <v>1.4239999999999999</v>
      </c>
      <c r="D279" s="86">
        <f t="shared" si="65"/>
        <v>6.6980000000000004</v>
      </c>
      <c r="E279" s="86">
        <f t="shared" si="65"/>
        <v>4.407</v>
      </c>
      <c r="F279" s="86">
        <f t="shared" si="65"/>
        <v>1.671</v>
      </c>
      <c r="G279" s="86">
        <f t="shared" si="65"/>
        <v>2.78</v>
      </c>
      <c r="H279" s="86">
        <f t="shared" si="65"/>
        <v>2.7210000000000001</v>
      </c>
      <c r="I279" s="86">
        <f t="shared" si="65"/>
        <v>4.718</v>
      </c>
      <c r="J279" s="86">
        <f t="shared" si="65"/>
        <v>3.7090000000000001</v>
      </c>
      <c r="K279" s="86">
        <f t="shared" si="65"/>
        <v>3.6429999999999998</v>
      </c>
      <c r="L279" s="86">
        <f t="shared" si="65"/>
        <v>1.0429999999999999</v>
      </c>
      <c r="M279" s="86">
        <f t="shared" si="65"/>
        <v>0.44700000000000001</v>
      </c>
      <c r="N279" s="86">
        <f t="shared" si="66"/>
        <v>36.869999999999997</v>
      </c>
      <c r="O279" s="27"/>
      <c r="P279" s="87">
        <f t="shared" si="67"/>
        <v>11.731</v>
      </c>
      <c r="Q279" s="87">
        <f t="shared" si="68"/>
        <v>8.8580000000000005</v>
      </c>
      <c r="R279" s="87">
        <f t="shared" si="69"/>
        <v>11.148</v>
      </c>
      <c r="S279" s="87">
        <f t="shared" si="70"/>
        <v>5.133</v>
      </c>
    </row>
    <row r="280" spans="1:19" ht="16.5" hidden="1">
      <c r="A280" s="84" t="s">
        <v>70</v>
      </c>
      <c r="B280" s="86">
        <f t="shared" si="65"/>
        <v>0.38</v>
      </c>
      <c r="C280" s="86">
        <f t="shared" si="65"/>
        <v>0.85099999999999998</v>
      </c>
      <c r="D280" s="86">
        <f t="shared" si="65"/>
        <v>13.916</v>
      </c>
      <c r="E280" s="86">
        <f t="shared" si="65"/>
        <v>39.343000000000004</v>
      </c>
      <c r="F280" s="86">
        <f t="shared" si="65"/>
        <v>32.119</v>
      </c>
      <c r="G280" s="86">
        <f t="shared" si="65"/>
        <v>7.1829999999999998</v>
      </c>
      <c r="H280" s="86">
        <f t="shared" si="65"/>
        <v>31.523</v>
      </c>
      <c r="I280" s="86">
        <f t="shared" si="65"/>
        <v>7.9809999999999999</v>
      </c>
      <c r="J280" s="86">
        <f t="shared" si="65"/>
        <v>1.333</v>
      </c>
      <c r="K280" s="86">
        <f t="shared" si="65"/>
        <v>4.3940000000000001</v>
      </c>
      <c r="L280" s="86">
        <f t="shared" si="65"/>
        <v>7.41</v>
      </c>
      <c r="M280" s="86">
        <f t="shared" si="65"/>
        <v>3.4529999999999998</v>
      </c>
      <c r="N280" s="86">
        <f t="shared" si="66"/>
        <v>149.886</v>
      </c>
      <c r="O280" s="27"/>
      <c r="P280" s="87">
        <f t="shared" si="67"/>
        <v>15.147</v>
      </c>
      <c r="Q280" s="87">
        <f t="shared" si="68"/>
        <v>78.64500000000001</v>
      </c>
      <c r="R280" s="87">
        <f t="shared" si="69"/>
        <v>40.836999999999996</v>
      </c>
      <c r="S280" s="87">
        <f t="shared" si="70"/>
        <v>15.257</v>
      </c>
    </row>
    <row r="281" spans="1:19" ht="16.5" hidden="1">
      <c r="A281" s="83" t="s">
        <v>71</v>
      </c>
      <c r="B281" s="86">
        <f t="shared" si="65"/>
        <v>2.109</v>
      </c>
      <c r="C281" s="86">
        <f t="shared" si="65"/>
        <v>4.157</v>
      </c>
      <c r="D281" s="86">
        <f t="shared" si="65"/>
        <v>0.99399999999999999</v>
      </c>
      <c r="E281" s="86">
        <f t="shared" si="65"/>
        <v>0.41799999999999998</v>
      </c>
      <c r="F281" s="86">
        <f t="shared" si="65"/>
        <v>8.5999999999999993E-2</v>
      </c>
      <c r="G281" s="86">
        <f t="shared" si="65"/>
        <v>0.30199999999999999</v>
      </c>
      <c r="H281" s="86">
        <f t="shared" si="65"/>
        <v>0.50700000000000001</v>
      </c>
      <c r="I281" s="86">
        <f t="shared" si="65"/>
        <v>0.38900000000000001</v>
      </c>
      <c r="J281" s="86">
        <f t="shared" si="65"/>
        <v>4.0679999999999996</v>
      </c>
      <c r="K281" s="86">
        <f t="shared" si="65"/>
        <v>3.1819999999999999</v>
      </c>
      <c r="L281" s="86">
        <f t="shared" si="65"/>
        <v>1.9179999999999999</v>
      </c>
      <c r="M281" s="86">
        <f t="shared" si="65"/>
        <v>2.1749999999999998</v>
      </c>
      <c r="N281" s="86">
        <f t="shared" si="66"/>
        <v>20.305</v>
      </c>
      <c r="O281" s="27"/>
      <c r="P281" s="87">
        <f t="shared" si="67"/>
        <v>7.26</v>
      </c>
      <c r="Q281" s="87">
        <f t="shared" si="68"/>
        <v>0.80600000000000005</v>
      </c>
      <c r="R281" s="87">
        <f t="shared" si="69"/>
        <v>4.9639999999999995</v>
      </c>
      <c r="S281" s="87">
        <f t="shared" si="70"/>
        <v>7.2749999999999995</v>
      </c>
    </row>
    <row r="282" spans="1:19" ht="16.5" hidden="1">
      <c r="A282" s="84" t="s">
        <v>72</v>
      </c>
      <c r="B282" s="86">
        <f t="shared" si="65"/>
        <v>0.24</v>
      </c>
      <c r="C282" s="86">
        <f t="shared" si="65"/>
        <v>0.89900000000000002</v>
      </c>
      <c r="D282" s="86">
        <f t="shared" si="65"/>
        <v>0.14499999999999999</v>
      </c>
      <c r="E282" s="86">
        <f t="shared" si="65"/>
        <v>0.51300000000000001</v>
      </c>
      <c r="F282" s="86">
        <f t="shared" si="65"/>
        <v>0.14299999999999999</v>
      </c>
      <c r="G282" s="86">
        <f t="shared" si="65"/>
        <v>2.1080000000000001</v>
      </c>
      <c r="H282" s="86">
        <f t="shared" si="65"/>
        <v>1.5620000000000001</v>
      </c>
      <c r="I282" s="86">
        <f t="shared" si="65"/>
        <v>1.262</v>
      </c>
      <c r="J282" s="86">
        <f t="shared" si="65"/>
        <v>1.3380000000000001</v>
      </c>
      <c r="K282" s="86">
        <f t="shared" si="65"/>
        <v>0.91800000000000004</v>
      </c>
      <c r="L282" s="86">
        <f t="shared" si="65"/>
        <v>0.438</v>
      </c>
      <c r="M282" s="86">
        <f t="shared" si="65"/>
        <v>0</v>
      </c>
      <c r="N282" s="86">
        <f t="shared" si="66"/>
        <v>9.5660000000000007</v>
      </c>
      <c r="O282" s="27"/>
      <c r="P282" s="87">
        <f t="shared" si="67"/>
        <v>1.284</v>
      </c>
      <c r="Q282" s="87">
        <f t="shared" si="68"/>
        <v>2.7640000000000002</v>
      </c>
      <c r="R282" s="87">
        <f t="shared" si="69"/>
        <v>4.1619999999999999</v>
      </c>
      <c r="S282" s="87">
        <f t="shared" si="70"/>
        <v>1.3560000000000001</v>
      </c>
    </row>
    <row r="283" spans="1:19" ht="16.5" hidden="1">
      <c r="A283" s="83" t="s">
        <v>73</v>
      </c>
      <c r="B283" s="86">
        <f t="shared" ref="B283:M292" si="71">B399-B167-B51</f>
        <v>3.3809999999999998</v>
      </c>
      <c r="C283" s="86">
        <f t="shared" si="71"/>
        <v>2.1709999999999994</v>
      </c>
      <c r="D283" s="86">
        <f t="shared" si="71"/>
        <v>2.1610000000000014</v>
      </c>
      <c r="E283" s="86">
        <f t="shared" si="71"/>
        <v>5.0719999999999885</v>
      </c>
      <c r="F283" s="86">
        <f t="shared" si="71"/>
        <v>2.009999999999998</v>
      </c>
      <c r="G283" s="86">
        <f t="shared" si="71"/>
        <v>1.8719999999999999</v>
      </c>
      <c r="H283" s="86">
        <f t="shared" si="71"/>
        <v>2.1379999999999999</v>
      </c>
      <c r="I283" s="86">
        <f t="shared" si="71"/>
        <v>2.8210000000000122</v>
      </c>
      <c r="J283" s="86">
        <f t="shared" si="71"/>
        <v>15.777999999999992</v>
      </c>
      <c r="K283" s="86">
        <f t="shared" si="71"/>
        <v>15.860999999999999</v>
      </c>
      <c r="L283" s="86">
        <f t="shared" si="71"/>
        <v>0.9480000000000004</v>
      </c>
      <c r="M283" s="86">
        <f t="shared" si="71"/>
        <v>0.33499999999999996</v>
      </c>
      <c r="N283" s="86">
        <f t="shared" si="66"/>
        <v>54.547999999999988</v>
      </c>
      <c r="O283" s="27"/>
      <c r="P283" s="87">
        <f t="shared" si="67"/>
        <v>7.713000000000001</v>
      </c>
      <c r="Q283" s="87">
        <f t="shared" si="68"/>
        <v>8.9539999999999864</v>
      </c>
      <c r="R283" s="87">
        <f t="shared" si="69"/>
        <v>20.737000000000002</v>
      </c>
      <c r="S283" s="87">
        <f t="shared" si="70"/>
        <v>17.143999999999998</v>
      </c>
    </row>
    <row r="284" spans="1:19" ht="16.5" hidden="1">
      <c r="A284" s="83" t="s">
        <v>74</v>
      </c>
      <c r="B284" s="86">
        <f t="shared" si="71"/>
        <v>1.0269999999999992</v>
      </c>
      <c r="C284" s="86">
        <f t="shared" si="71"/>
        <v>1.5580000000000003</v>
      </c>
      <c r="D284" s="86">
        <f t="shared" si="71"/>
        <v>2.4159999999999999</v>
      </c>
      <c r="E284" s="86">
        <f t="shared" si="71"/>
        <v>4.4139999999999997</v>
      </c>
      <c r="F284" s="86">
        <f t="shared" si="71"/>
        <v>1.363</v>
      </c>
      <c r="G284" s="86">
        <f t="shared" si="71"/>
        <v>2.706</v>
      </c>
      <c r="H284" s="86">
        <f t="shared" si="71"/>
        <v>1.8220000000000001</v>
      </c>
      <c r="I284" s="86">
        <f t="shared" si="71"/>
        <v>4.8369999999999997</v>
      </c>
      <c r="J284" s="86">
        <f t="shared" si="71"/>
        <v>2.8050000000000002</v>
      </c>
      <c r="K284" s="86">
        <f t="shared" si="71"/>
        <v>2.3029999999999999</v>
      </c>
      <c r="L284" s="86">
        <f t="shared" si="71"/>
        <v>1.137</v>
      </c>
      <c r="M284" s="86">
        <f t="shared" si="71"/>
        <v>0.42299999999999999</v>
      </c>
      <c r="N284" s="86">
        <f t="shared" si="66"/>
        <v>26.810999999999996</v>
      </c>
      <c r="O284" s="27"/>
      <c r="P284" s="87">
        <f t="shared" si="67"/>
        <v>5.0009999999999994</v>
      </c>
      <c r="Q284" s="87">
        <f t="shared" si="68"/>
        <v>8.4829999999999988</v>
      </c>
      <c r="R284" s="87">
        <f t="shared" si="69"/>
        <v>9.4640000000000004</v>
      </c>
      <c r="S284" s="87">
        <f t="shared" si="70"/>
        <v>3.863</v>
      </c>
    </row>
    <row r="285" spans="1:19" ht="16.5" hidden="1">
      <c r="A285" s="83" t="s">
        <v>75</v>
      </c>
      <c r="B285" s="86">
        <f t="shared" si="71"/>
        <v>5.8689999999999998</v>
      </c>
      <c r="C285" s="86">
        <f t="shared" si="71"/>
        <v>9.4499999999999993</v>
      </c>
      <c r="D285" s="86">
        <f t="shared" si="71"/>
        <v>6.1730000000000018</v>
      </c>
      <c r="E285" s="86">
        <f t="shared" si="71"/>
        <v>6.1560000000000024</v>
      </c>
      <c r="F285" s="86">
        <f t="shared" si="71"/>
        <v>5.1270000000000007</v>
      </c>
      <c r="G285" s="86">
        <f t="shared" si="71"/>
        <v>6.7100000000000009</v>
      </c>
      <c r="H285" s="86">
        <f t="shared" si="71"/>
        <v>7.5300000000000011</v>
      </c>
      <c r="I285" s="86">
        <f t="shared" si="71"/>
        <v>7.2240000000000011</v>
      </c>
      <c r="J285" s="86">
        <f t="shared" si="71"/>
        <v>2.0530000000000008</v>
      </c>
      <c r="K285" s="86">
        <f t="shared" si="71"/>
        <v>1.1530000000000002</v>
      </c>
      <c r="L285" s="86">
        <f t="shared" si="71"/>
        <v>1.87</v>
      </c>
      <c r="M285" s="86">
        <f t="shared" si="71"/>
        <v>1.403</v>
      </c>
      <c r="N285" s="86">
        <f t="shared" si="66"/>
        <v>60.718000000000011</v>
      </c>
      <c r="O285" s="27"/>
      <c r="P285" s="87">
        <f t="shared" si="67"/>
        <v>21.492000000000001</v>
      </c>
      <c r="Q285" s="87">
        <f t="shared" si="68"/>
        <v>17.993000000000002</v>
      </c>
      <c r="R285" s="87">
        <f t="shared" si="69"/>
        <v>16.807000000000002</v>
      </c>
      <c r="S285" s="87">
        <f t="shared" si="70"/>
        <v>4.4260000000000002</v>
      </c>
    </row>
    <row r="286" spans="1:19" ht="16.5" hidden="1">
      <c r="A286" s="83" t="s">
        <v>76</v>
      </c>
      <c r="B286" s="86">
        <f t="shared" si="71"/>
        <v>1.671</v>
      </c>
      <c r="C286" s="86">
        <f t="shared" si="71"/>
        <v>3.508</v>
      </c>
      <c r="D286" s="86">
        <f t="shared" si="71"/>
        <v>4.1109999999999998</v>
      </c>
      <c r="E286" s="86">
        <f t="shared" si="71"/>
        <v>4.1349999999999989</v>
      </c>
      <c r="F286" s="86">
        <f t="shared" si="71"/>
        <v>3.8469999999999995</v>
      </c>
      <c r="G286" s="86">
        <f t="shared" si="71"/>
        <v>4.1879999999999988</v>
      </c>
      <c r="H286" s="86">
        <f t="shared" si="71"/>
        <v>3.7309999999999999</v>
      </c>
      <c r="I286" s="86">
        <f t="shared" si="71"/>
        <v>3.9220000000000002</v>
      </c>
      <c r="J286" s="86">
        <f t="shared" si="71"/>
        <v>3.3010000000000002</v>
      </c>
      <c r="K286" s="86">
        <f t="shared" si="71"/>
        <v>2.883</v>
      </c>
      <c r="L286" s="86">
        <f t="shared" si="71"/>
        <v>2.4220000000000002</v>
      </c>
      <c r="M286" s="86">
        <f t="shared" si="71"/>
        <v>1.413</v>
      </c>
      <c r="N286" s="86">
        <f t="shared" si="66"/>
        <v>39.131999999999991</v>
      </c>
      <c r="O286" s="27"/>
      <c r="P286" s="87">
        <f>SUM(B286:D286)</f>
        <v>9.2899999999999991</v>
      </c>
      <c r="Q286" s="87">
        <f t="shared" si="68"/>
        <v>12.169999999999998</v>
      </c>
      <c r="R286" s="87">
        <f t="shared" si="69"/>
        <v>10.954000000000001</v>
      </c>
      <c r="S286" s="87">
        <f t="shared" si="70"/>
        <v>6.718</v>
      </c>
    </row>
    <row r="287" spans="1:19" ht="16.5" hidden="1">
      <c r="A287" s="83" t="s">
        <v>77</v>
      </c>
      <c r="B287" s="86">
        <f t="shared" si="71"/>
        <v>1.8480000000000001</v>
      </c>
      <c r="C287" s="86">
        <f t="shared" si="71"/>
        <v>4.133</v>
      </c>
      <c r="D287" s="86">
        <f t="shared" si="71"/>
        <v>4.5170000000000003</v>
      </c>
      <c r="E287" s="86">
        <f t="shared" si="71"/>
        <v>6.133</v>
      </c>
      <c r="F287" s="86">
        <f t="shared" si="71"/>
        <v>2.952</v>
      </c>
      <c r="G287" s="86">
        <f t="shared" si="71"/>
        <v>7.1760000000000002</v>
      </c>
      <c r="H287" s="86">
        <f t="shared" si="71"/>
        <v>11.291</v>
      </c>
      <c r="I287" s="86">
        <f t="shared" si="71"/>
        <v>15.257999999999999</v>
      </c>
      <c r="J287" s="86">
        <f t="shared" si="71"/>
        <v>7.0370000000000008</v>
      </c>
      <c r="K287" s="86">
        <f t="shared" si="71"/>
        <v>4.9030000000000005</v>
      </c>
      <c r="L287" s="86">
        <f t="shared" si="71"/>
        <v>2.601</v>
      </c>
      <c r="M287" s="86">
        <f t="shared" si="71"/>
        <v>1.784</v>
      </c>
      <c r="N287" s="86">
        <f t="shared" si="66"/>
        <v>69.632999999999996</v>
      </c>
      <c r="O287" s="27"/>
      <c r="P287" s="87">
        <f t="shared" ref="P287:P292" si="72">SUM(B287:D287)</f>
        <v>10.498000000000001</v>
      </c>
      <c r="Q287" s="87">
        <f t="shared" si="68"/>
        <v>16.261000000000003</v>
      </c>
      <c r="R287" s="87">
        <f t="shared" si="69"/>
        <v>33.585999999999999</v>
      </c>
      <c r="S287" s="87">
        <f t="shared" si="70"/>
        <v>9.2880000000000003</v>
      </c>
    </row>
    <row r="288" spans="1:19" ht="16.5" hidden="1">
      <c r="A288" s="83" t="s">
        <v>78</v>
      </c>
      <c r="B288" s="86">
        <f t="shared" si="71"/>
        <v>2.0130000000000003</v>
      </c>
      <c r="C288" s="86">
        <f t="shared" si="71"/>
        <v>11.927999999999999</v>
      </c>
      <c r="D288" s="86">
        <f t="shared" si="71"/>
        <v>30.922999999999998</v>
      </c>
      <c r="E288" s="86">
        <f t="shared" si="71"/>
        <v>7.5569999999999986</v>
      </c>
      <c r="F288" s="86">
        <f t="shared" si="71"/>
        <v>12.327</v>
      </c>
      <c r="G288" s="86">
        <f t="shared" si="71"/>
        <v>13.188000000000001</v>
      </c>
      <c r="H288" s="86">
        <f t="shared" si="71"/>
        <v>11.240000000000002</v>
      </c>
      <c r="I288" s="86">
        <f t="shared" si="71"/>
        <v>10.441000000000003</v>
      </c>
      <c r="J288" s="86">
        <f t="shared" si="71"/>
        <v>15.551000000000002</v>
      </c>
      <c r="K288" s="86">
        <f t="shared" si="71"/>
        <v>12.947000000000001</v>
      </c>
      <c r="L288" s="86">
        <f t="shared" si="71"/>
        <v>5.2930270000000004</v>
      </c>
      <c r="M288" s="86">
        <f t="shared" si="71"/>
        <v>4.63727</v>
      </c>
      <c r="N288" s="86">
        <f t="shared" si="66"/>
        <v>138.04529699999998</v>
      </c>
      <c r="O288" s="27"/>
      <c r="P288" s="87">
        <f t="shared" si="72"/>
        <v>44.863999999999997</v>
      </c>
      <c r="Q288" s="87">
        <f t="shared" si="68"/>
        <v>33.072000000000003</v>
      </c>
      <c r="R288" s="87">
        <f t="shared" si="69"/>
        <v>37.232000000000006</v>
      </c>
      <c r="S288" s="87">
        <f t="shared" si="70"/>
        <v>22.877297000000002</v>
      </c>
    </row>
    <row r="289" spans="1:19" ht="16.5" hidden="1">
      <c r="A289" s="83" t="s">
        <v>79</v>
      </c>
      <c r="B289" s="86">
        <f t="shared" si="71"/>
        <v>2.6430530000000001</v>
      </c>
      <c r="C289" s="86">
        <f t="shared" si="71"/>
        <v>6.7950300000000006</v>
      </c>
      <c r="D289" s="86">
        <f t="shared" si="71"/>
        <v>9.3705499999999997</v>
      </c>
      <c r="E289" s="86">
        <f t="shared" si="71"/>
        <v>7.3790389999999997</v>
      </c>
      <c r="F289" s="86">
        <f t="shared" si="71"/>
        <v>5.6526730000000001</v>
      </c>
      <c r="G289" s="86">
        <f t="shared" si="71"/>
        <v>8.643631000000001</v>
      </c>
      <c r="H289" s="86">
        <f t="shared" si="71"/>
        <v>9.0365310000000001</v>
      </c>
      <c r="I289" s="86">
        <f t="shared" si="71"/>
        <v>8.4322590000000002</v>
      </c>
      <c r="J289" s="86">
        <f t="shared" si="71"/>
        <v>5.0428639999999998</v>
      </c>
      <c r="K289" s="86">
        <f t="shared" si="71"/>
        <v>2.3552840000000002</v>
      </c>
      <c r="L289" s="86">
        <f t="shared" si="71"/>
        <v>3.2114630000000002</v>
      </c>
      <c r="M289" s="86">
        <f t="shared" si="71"/>
        <v>5.299696</v>
      </c>
      <c r="N289" s="86">
        <f t="shared" si="66"/>
        <v>73.862072999999995</v>
      </c>
      <c r="O289" s="27"/>
      <c r="P289" s="87">
        <f t="shared" si="72"/>
        <v>18.808633</v>
      </c>
      <c r="Q289" s="87">
        <f t="shared" si="68"/>
        <v>21.675342999999998</v>
      </c>
      <c r="R289" s="87">
        <f t="shared" si="69"/>
        <v>22.511654</v>
      </c>
      <c r="S289" s="87">
        <f t="shared" si="70"/>
        <v>10.866443</v>
      </c>
    </row>
    <row r="290" spans="1:19" ht="16.5">
      <c r="A290" s="85" t="s">
        <v>80</v>
      </c>
      <c r="B290" s="86">
        <f t="shared" si="71"/>
        <v>5.2542450000000001</v>
      </c>
      <c r="C290" s="86">
        <f t="shared" si="71"/>
        <v>5.2596639999999999</v>
      </c>
      <c r="D290" s="86">
        <f t="shared" si="71"/>
        <v>11.660509000000001</v>
      </c>
      <c r="E290" s="86">
        <f t="shared" si="71"/>
        <v>9.8033389999999994</v>
      </c>
      <c r="F290" s="86">
        <f t="shared" si="71"/>
        <v>11.419024</v>
      </c>
      <c r="G290" s="86">
        <f t="shared" si="71"/>
        <v>19.146841999999999</v>
      </c>
      <c r="H290" s="86">
        <f t="shared" si="71"/>
        <v>16.253834000000001</v>
      </c>
      <c r="I290" s="86">
        <f t="shared" si="71"/>
        <v>19.315064999999997</v>
      </c>
      <c r="J290" s="86">
        <f t="shared" si="71"/>
        <v>9.0372170000000054</v>
      </c>
      <c r="K290" s="86">
        <f t="shared" si="71"/>
        <v>9.2441960000000076</v>
      </c>
      <c r="L290" s="86">
        <f t="shared" si="71"/>
        <v>8.7158049999999996</v>
      </c>
      <c r="M290" s="86">
        <f t="shared" si="71"/>
        <v>4.2766320000000002</v>
      </c>
      <c r="N290" s="86">
        <f t="shared" si="66"/>
        <v>129.38637200000002</v>
      </c>
      <c r="O290" s="27"/>
      <c r="P290" s="87">
        <f t="shared" si="72"/>
        <v>22.174418000000003</v>
      </c>
      <c r="Q290" s="87">
        <f t="shared" si="68"/>
        <v>40.369205000000001</v>
      </c>
      <c r="R290" s="87">
        <f t="shared" si="69"/>
        <v>44.606116000000007</v>
      </c>
      <c r="S290" s="87">
        <f t="shared" si="70"/>
        <v>22.236633000000005</v>
      </c>
    </row>
    <row r="291" spans="1:19" ht="16.5">
      <c r="A291" s="85" t="s">
        <v>81</v>
      </c>
      <c r="B291" s="86">
        <f t="shared" si="71"/>
        <v>4.7790219999999994</v>
      </c>
      <c r="C291" s="86">
        <f t="shared" si="71"/>
        <v>32.193564000000002</v>
      </c>
      <c r="D291" s="86">
        <f t="shared" si="71"/>
        <v>66.384957999999997</v>
      </c>
      <c r="E291" s="86">
        <f t="shared" si="71"/>
        <v>97.490841999999986</v>
      </c>
      <c r="F291" s="86">
        <f t="shared" si="71"/>
        <v>72.804691000000005</v>
      </c>
      <c r="G291" s="86">
        <f t="shared" si="71"/>
        <v>108.63627700000002</v>
      </c>
      <c r="H291" s="86">
        <f t="shared" si="71"/>
        <v>175.68167199999999</v>
      </c>
      <c r="I291" s="86">
        <f t="shared" si="71"/>
        <v>16.489513000000002</v>
      </c>
      <c r="J291" s="86">
        <f t="shared" si="71"/>
        <v>24.167140000000003</v>
      </c>
      <c r="K291" s="86">
        <f t="shared" si="71"/>
        <v>2.0835080000000001</v>
      </c>
      <c r="L291" s="86">
        <f t="shared" si="71"/>
        <v>1.22011</v>
      </c>
      <c r="M291" s="86">
        <f t="shared" si="71"/>
        <v>1.89697</v>
      </c>
      <c r="N291" s="86">
        <f t="shared" si="66"/>
        <v>603.82826699999998</v>
      </c>
      <c r="O291" s="27"/>
      <c r="P291" s="87">
        <f t="shared" si="72"/>
        <v>103.35754399999999</v>
      </c>
      <c r="Q291" s="87">
        <f t="shared" si="68"/>
        <v>278.93180999999998</v>
      </c>
      <c r="R291" s="87">
        <f t="shared" si="69"/>
        <v>216.338325</v>
      </c>
      <c r="S291" s="87">
        <f t="shared" si="70"/>
        <v>5.2005879999999998</v>
      </c>
    </row>
    <row r="292" spans="1:19" ht="17.25" thickBot="1">
      <c r="A292" s="88" t="s">
        <v>82</v>
      </c>
      <c r="B292" s="89">
        <f>B408-B176-B60</f>
        <v>23.805918000000002</v>
      </c>
      <c r="C292" s="89">
        <f t="shared" si="71"/>
        <v>151.37296300000003</v>
      </c>
      <c r="D292" s="89">
        <f t="shared" si="71"/>
        <v>100.92932199999998</v>
      </c>
      <c r="E292" s="89">
        <f t="shared" si="71"/>
        <v>48.260235000000009</v>
      </c>
      <c r="F292" s="89">
        <f t="shared" si="71"/>
        <v>2.5399999999999991</v>
      </c>
      <c r="G292" s="89">
        <f t="shared" si="71"/>
        <v>4.2229999999999999</v>
      </c>
      <c r="H292" s="89">
        <f t="shared" si="71"/>
        <v>5.4410000000000007</v>
      </c>
      <c r="I292" s="89">
        <f t="shared" si="71"/>
        <v>4.1309959999999997</v>
      </c>
      <c r="J292" s="90">
        <f t="shared" si="71"/>
        <v>2.8136079060259007</v>
      </c>
      <c r="K292" s="90">
        <f t="shared" si="71"/>
        <v>2.6872819979389511</v>
      </c>
      <c r="L292" s="90">
        <f t="shared" si="71"/>
        <v>5.6035873728963175</v>
      </c>
      <c r="M292" s="90">
        <f t="shared" si="71"/>
        <v>1.8522723138860275E-2</v>
      </c>
      <c r="N292" s="90">
        <f t="shared" si="66"/>
        <v>351.82643400000001</v>
      </c>
      <c r="O292" s="91"/>
      <c r="P292" s="92">
        <f t="shared" si="72"/>
        <v>276.108203</v>
      </c>
      <c r="Q292" s="92">
        <f t="shared" si="68"/>
        <v>55.023235000000007</v>
      </c>
      <c r="R292" s="93">
        <f t="shared" si="69"/>
        <v>12.385603906025901</v>
      </c>
      <c r="S292" s="93">
        <f t="shared" si="70"/>
        <v>8.3093920939741288</v>
      </c>
    </row>
    <row r="293" spans="1:19" ht="16.5">
      <c r="A293" s="80" t="s">
        <v>93</v>
      </c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27"/>
      <c r="P293" s="87"/>
      <c r="Q293" s="87"/>
      <c r="R293" s="87"/>
      <c r="S293" s="87"/>
    </row>
    <row r="294" spans="1:19" ht="16.5" hidden="1">
      <c r="A294" s="81" t="s">
        <v>84</v>
      </c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27"/>
      <c r="P294" s="87"/>
      <c r="Q294" s="87"/>
      <c r="R294" s="87"/>
      <c r="S294" s="87"/>
    </row>
    <row r="295" spans="1:19" ht="16.5" hidden="1">
      <c r="A295" s="81" t="s">
        <v>56</v>
      </c>
      <c r="B295" s="86">
        <f>B411-B179-B63</f>
        <v>5.5</v>
      </c>
      <c r="C295" s="86">
        <f t="shared" ref="C295:M295" si="73">C411-C179-C63</f>
        <v>14.4</v>
      </c>
      <c r="D295" s="86">
        <f t="shared" si="73"/>
        <v>13.9</v>
      </c>
      <c r="E295" s="86">
        <f t="shared" si="73"/>
        <v>45.7</v>
      </c>
      <c r="F295" s="86">
        <f t="shared" si="73"/>
        <v>20.2</v>
      </c>
      <c r="G295" s="86">
        <f t="shared" si="73"/>
        <v>11.4</v>
      </c>
      <c r="H295" s="86">
        <f t="shared" si="73"/>
        <v>4.9000000000000004</v>
      </c>
      <c r="I295" s="86">
        <f t="shared" si="73"/>
        <v>0.7</v>
      </c>
      <c r="J295" s="86">
        <f t="shared" si="73"/>
        <v>0.1</v>
      </c>
      <c r="K295" s="86">
        <f t="shared" si="73"/>
        <v>1.9</v>
      </c>
      <c r="L295" s="86">
        <f t="shared" si="73"/>
        <v>0.6</v>
      </c>
      <c r="M295" s="86">
        <f t="shared" si="73"/>
        <v>0.2</v>
      </c>
      <c r="N295" s="86">
        <f>SUM(B295:M295)</f>
        <v>119.50000000000001</v>
      </c>
      <c r="O295" s="27"/>
      <c r="P295" s="87">
        <f>SUM(B295:D295)</f>
        <v>33.799999999999997</v>
      </c>
      <c r="Q295" s="87">
        <f>SUM(E295:G295)</f>
        <v>77.300000000000011</v>
      </c>
      <c r="R295" s="87">
        <f>SUM(H295:J295)</f>
        <v>5.7</v>
      </c>
      <c r="S295" s="87">
        <f>SUM(K295:M295)</f>
        <v>2.7</v>
      </c>
    </row>
    <row r="296" spans="1:19" ht="16.5" hidden="1">
      <c r="A296" s="81" t="s">
        <v>57</v>
      </c>
      <c r="B296" s="86">
        <f t="shared" ref="B296:M311" si="74">B412-B180-B64</f>
        <v>-14.8</v>
      </c>
      <c r="C296" s="86">
        <f t="shared" si="74"/>
        <v>8.5</v>
      </c>
      <c r="D296" s="86">
        <f t="shared" si="74"/>
        <v>5.5</v>
      </c>
      <c r="E296" s="86">
        <f t="shared" si="74"/>
        <v>39.5</v>
      </c>
      <c r="F296" s="86">
        <f t="shared" si="74"/>
        <v>68.3</v>
      </c>
      <c r="G296" s="86">
        <f t="shared" si="74"/>
        <v>45.7</v>
      </c>
      <c r="H296" s="86">
        <f t="shared" si="74"/>
        <v>35.799999999999997</v>
      </c>
      <c r="I296" s="86">
        <f t="shared" si="74"/>
        <v>51.1</v>
      </c>
      <c r="J296" s="86">
        <f t="shared" si="74"/>
        <v>55.1</v>
      </c>
      <c r="K296" s="86">
        <f t="shared" si="74"/>
        <v>50.6</v>
      </c>
      <c r="L296" s="86">
        <f t="shared" si="74"/>
        <v>23.9</v>
      </c>
      <c r="M296" s="86">
        <f t="shared" si="74"/>
        <v>52.9</v>
      </c>
      <c r="N296" s="86">
        <f t="shared" ref="N296:N321" si="75">SUM(B296:M296)</f>
        <v>422.09999999999997</v>
      </c>
      <c r="O296" s="27"/>
      <c r="P296" s="87">
        <f t="shared" ref="P296:P314" si="76">SUM(B296:D296)</f>
        <v>-0.80000000000000071</v>
      </c>
      <c r="Q296" s="87">
        <f t="shared" ref="Q296:Q321" si="77">SUM(E296:G296)</f>
        <v>153.5</v>
      </c>
      <c r="R296" s="87">
        <f t="shared" ref="R296:R321" si="78">SUM(H296:J296)</f>
        <v>142</v>
      </c>
      <c r="S296" s="87">
        <f t="shared" ref="S296:S321" si="79">SUM(K296:M296)</f>
        <v>127.4</v>
      </c>
    </row>
    <row r="297" spans="1:19" ht="16.5" hidden="1">
      <c r="A297" s="81" t="s">
        <v>58</v>
      </c>
      <c r="B297" s="86">
        <f t="shared" si="74"/>
        <v>-1.1999999999999957</v>
      </c>
      <c r="C297" s="86">
        <f t="shared" si="74"/>
        <v>34.200000000000003</v>
      </c>
      <c r="D297" s="86">
        <f t="shared" si="74"/>
        <v>61.7</v>
      </c>
      <c r="E297" s="86">
        <f t="shared" si="74"/>
        <v>329.8</v>
      </c>
      <c r="F297" s="86">
        <f t="shared" si="74"/>
        <v>180.2</v>
      </c>
      <c r="G297" s="86">
        <f t="shared" si="74"/>
        <v>217.1</v>
      </c>
      <c r="H297" s="86">
        <f t="shared" si="74"/>
        <v>133.69999999999999</v>
      </c>
      <c r="I297" s="86">
        <f t="shared" si="74"/>
        <v>61.9</v>
      </c>
      <c r="J297" s="86">
        <f t="shared" si="74"/>
        <v>36.9</v>
      </c>
      <c r="K297" s="86">
        <f t="shared" si="74"/>
        <v>23.5</v>
      </c>
      <c r="L297" s="86">
        <f t="shared" si="74"/>
        <v>6.5</v>
      </c>
      <c r="M297" s="86">
        <f t="shared" si="74"/>
        <v>1.7</v>
      </c>
      <c r="N297" s="86">
        <f t="shared" si="75"/>
        <v>1086</v>
      </c>
      <c r="O297" s="27"/>
      <c r="P297" s="87">
        <f t="shared" si="76"/>
        <v>94.700000000000017</v>
      </c>
      <c r="Q297" s="87">
        <f t="shared" si="77"/>
        <v>727.1</v>
      </c>
      <c r="R297" s="87">
        <f t="shared" si="78"/>
        <v>232.5</v>
      </c>
      <c r="S297" s="87">
        <f t="shared" si="79"/>
        <v>31.7</v>
      </c>
    </row>
    <row r="298" spans="1:19" ht="16.5" hidden="1">
      <c r="A298" s="81" t="s">
        <v>59</v>
      </c>
      <c r="B298" s="86">
        <f t="shared" si="74"/>
        <v>-88.2</v>
      </c>
      <c r="C298" s="86">
        <f t="shared" si="74"/>
        <v>70</v>
      </c>
      <c r="D298" s="86">
        <f t="shared" si="74"/>
        <v>166.1</v>
      </c>
      <c r="E298" s="86">
        <f t="shared" si="74"/>
        <v>128</v>
      </c>
      <c r="F298" s="86">
        <f t="shared" si="74"/>
        <v>148.80000000000001</v>
      </c>
      <c r="G298" s="86">
        <f t="shared" si="74"/>
        <v>88.1</v>
      </c>
      <c r="H298" s="86">
        <f t="shared" si="74"/>
        <v>36.200000000000003</v>
      </c>
      <c r="I298" s="86">
        <f t="shared" si="74"/>
        <v>16</v>
      </c>
      <c r="J298" s="86">
        <f t="shared" si="74"/>
        <v>11.9</v>
      </c>
      <c r="K298" s="86">
        <f t="shared" si="74"/>
        <v>0.4</v>
      </c>
      <c r="L298" s="86">
        <f t="shared" si="74"/>
        <v>0.1</v>
      </c>
      <c r="M298" s="86">
        <f t="shared" si="74"/>
        <v>0</v>
      </c>
      <c r="N298" s="86">
        <f t="shared" si="75"/>
        <v>577.4</v>
      </c>
      <c r="O298" s="27"/>
      <c r="P298" s="87">
        <f t="shared" si="76"/>
        <v>147.89999999999998</v>
      </c>
      <c r="Q298" s="87">
        <f t="shared" si="77"/>
        <v>364.9</v>
      </c>
      <c r="R298" s="87">
        <f t="shared" si="78"/>
        <v>64.100000000000009</v>
      </c>
      <c r="S298" s="87">
        <f t="shared" si="79"/>
        <v>0.5</v>
      </c>
    </row>
    <row r="299" spans="1:19" ht="16.5" hidden="1">
      <c r="A299" s="81" t="s">
        <v>60</v>
      </c>
      <c r="B299" s="86">
        <f t="shared" si="74"/>
        <v>-39.5</v>
      </c>
      <c r="C299" s="86">
        <f t="shared" si="74"/>
        <v>108</v>
      </c>
      <c r="D299" s="86">
        <f t="shared" si="74"/>
        <v>120</v>
      </c>
      <c r="E299" s="86">
        <f t="shared" si="74"/>
        <v>228</v>
      </c>
      <c r="F299" s="86">
        <f t="shared" si="74"/>
        <v>200</v>
      </c>
      <c r="G299" s="86">
        <f t="shared" si="74"/>
        <v>80</v>
      </c>
      <c r="H299" s="86">
        <f t="shared" si="74"/>
        <v>50</v>
      </c>
      <c r="I299" s="86">
        <f t="shared" si="74"/>
        <v>25</v>
      </c>
      <c r="J299" s="86">
        <f t="shared" si="74"/>
        <v>8</v>
      </c>
      <c r="K299" s="86">
        <f t="shared" si="74"/>
        <v>10</v>
      </c>
      <c r="L299" s="86">
        <f t="shared" si="74"/>
        <v>15</v>
      </c>
      <c r="M299" s="86">
        <f t="shared" si="74"/>
        <v>15</v>
      </c>
      <c r="N299" s="86">
        <f t="shared" si="75"/>
        <v>819.5</v>
      </c>
      <c r="O299" s="27"/>
      <c r="P299" s="87">
        <f t="shared" si="76"/>
        <v>188.5</v>
      </c>
      <c r="Q299" s="87">
        <f t="shared" si="77"/>
        <v>508</v>
      </c>
      <c r="R299" s="87">
        <f t="shared" si="78"/>
        <v>83</v>
      </c>
      <c r="S299" s="87">
        <f t="shared" si="79"/>
        <v>40</v>
      </c>
    </row>
    <row r="300" spans="1:19" ht="16.5" hidden="1">
      <c r="A300" s="81" t="s">
        <v>61</v>
      </c>
      <c r="B300" s="86">
        <f t="shared" si="74"/>
        <v>-9</v>
      </c>
      <c r="C300" s="86">
        <f t="shared" si="74"/>
        <v>16.909493000000001</v>
      </c>
      <c r="D300" s="86">
        <f t="shared" si="74"/>
        <v>27.558482999999999</v>
      </c>
      <c r="E300" s="86">
        <f t="shared" si="74"/>
        <v>33.729453999999997</v>
      </c>
      <c r="F300" s="86">
        <f t="shared" si="74"/>
        <v>32.104419999999998</v>
      </c>
      <c r="G300" s="86">
        <f t="shared" si="74"/>
        <v>50.616439000000007</v>
      </c>
      <c r="H300" s="86">
        <f t="shared" si="74"/>
        <v>39.355252000000007</v>
      </c>
      <c r="I300" s="86">
        <f t="shared" si="74"/>
        <v>51</v>
      </c>
      <c r="J300" s="86">
        <f t="shared" si="74"/>
        <v>31.550260999999999</v>
      </c>
      <c r="K300" s="86">
        <f t="shared" si="74"/>
        <v>61.7</v>
      </c>
      <c r="L300" s="86">
        <f t="shared" si="74"/>
        <v>38.680970000000002</v>
      </c>
      <c r="M300" s="86">
        <f t="shared" si="74"/>
        <v>18.7</v>
      </c>
      <c r="N300" s="86">
        <f t="shared" si="75"/>
        <v>392.90477199999998</v>
      </c>
      <c r="O300" s="27"/>
      <c r="P300" s="87">
        <f t="shared" si="76"/>
        <v>35.467976</v>
      </c>
      <c r="Q300" s="87">
        <f t="shared" si="77"/>
        <v>116.45031299999999</v>
      </c>
      <c r="R300" s="87">
        <f t="shared" si="78"/>
        <v>121.90551300000001</v>
      </c>
      <c r="S300" s="87">
        <f t="shared" si="79"/>
        <v>119.08097000000001</v>
      </c>
    </row>
    <row r="301" spans="1:19" ht="16.5" hidden="1">
      <c r="A301" s="81" t="s">
        <v>62</v>
      </c>
      <c r="B301" s="86">
        <f t="shared" si="74"/>
        <v>-20.2</v>
      </c>
      <c r="C301" s="86">
        <f t="shared" si="74"/>
        <v>56.2</v>
      </c>
      <c r="D301" s="86">
        <f t="shared" si="74"/>
        <v>172.8</v>
      </c>
      <c r="E301" s="86">
        <f t="shared" si="74"/>
        <v>257.10000000000002</v>
      </c>
      <c r="F301" s="86">
        <f t="shared" si="74"/>
        <v>116.1</v>
      </c>
      <c r="G301" s="86">
        <f t="shared" si="74"/>
        <v>104.9</v>
      </c>
      <c r="H301" s="86">
        <f t="shared" si="74"/>
        <v>157.19999999999999</v>
      </c>
      <c r="I301" s="86">
        <f t="shared" si="74"/>
        <v>86.6</v>
      </c>
      <c r="J301" s="86">
        <f t="shared" si="74"/>
        <v>24.6</v>
      </c>
      <c r="K301" s="86">
        <f t="shared" si="74"/>
        <v>29.3</v>
      </c>
      <c r="L301" s="86">
        <f t="shared" si="74"/>
        <v>1.7</v>
      </c>
      <c r="M301" s="86">
        <f t="shared" si="74"/>
        <v>10.5</v>
      </c>
      <c r="N301" s="86">
        <f t="shared" si="75"/>
        <v>996.8</v>
      </c>
      <c r="O301" s="27"/>
      <c r="P301" s="87">
        <f t="shared" si="76"/>
        <v>208.8</v>
      </c>
      <c r="Q301" s="87">
        <f t="shared" si="77"/>
        <v>478.1</v>
      </c>
      <c r="R301" s="87">
        <f t="shared" si="78"/>
        <v>268.39999999999998</v>
      </c>
      <c r="S301" s="87">
        <f t="shared" si="79"/>
        <v>41.5</v>
      </c>
    </row>
    <row r="302" spans="1:19" ht="16.5" hidden="1">
      <c r="A302" s="81" t="s">
        <v>63</v>
      </c>
      <c r="B302" s="86">
        <f t="shared" si="74"/>
        <v>-81.7</v>
      </c>
      <c r="C302" s="86">
        <f t="shared" si="74"/>
        <v>20.957678999999995</v>
      </c>
      <c r="D302" s="86">
        <f t="shared" si="74"/>
        <v>1.8578879999999973</v>
      </c>
      <c r="E302" s="86">
        <f t="shared" si="74"/>
        <v>7.6735850000000001</v>
      </c>
      <c r="F302" s="86">
        <f t="shared" si="74"/>
        <v>4.6778050000000002</v>
      </c>
      <c r="G302" s="86">
        <f t="shared" si="74"/>
        <v>5.3750099999999996</v>
      </c>
      <c r="H302" s="86">
        <f t="shared" si="74"/>
        <v>8.5455410000000054</v>
      </c>
      <c r="I302" s="86">
        <f t="shared" si="74"/>
        <v>0.46232300000000004</v>
      </c>
      <c r="J302" s="86">
        <f t="shared" si="74"/>
        <v>0.28329799999999999</v>
      </c>
      <c r="K302" s="86">
        <f t="shared" si="74"/>
        <v>0.300147</v>
      </c>
      <c r="L302" s="86">
        <f t="shared" si="74"/>
        <v>0.16303399999999998</v>
      </c>
      <c r="M302" s="86">
        <f t="shared" si="74"/>
        <v>3.9E-2</v>
      </c>
      <c r="N302" s="86">
        <f t="shared" si="75"/>
        <v>-31.36469</v>
      </c>
      <c r="O302" s="27"/>
      <c r="P302" s="87">
        <f t="shared" si="76"/>
        <v>-58.884433000000008</v>
      </c>
      <c r="Q302" s="87">
        <f t="shared" si="77"/>
        <v>17.726399999999998</v>
      </c>
      <c r="R302" s="87">
        <f t="shared" si="78"/>
        <v>9.2911620000000052</v>
      </c>
      <c r="S302" s="87">
        <f t="shared" si="79"/>
        <v>0.50218099999999999</v>
      </c>
    </row>
    <row r="303" spans="1:19" ht="16.5" hidden="1">
      <c r="A303" s="81" t="s">
        <v>64</v>
      </c>
      <c r="B303" s="86">
        <f t="shared" si="74"/>
        <v>0.14085</v>
      </c>
      <c r="C303" s="86">
        <f t="shared" si="74"/>
        <v>0.66900000000000004</v>
      </c>
      <c r="D303" s="86">
        <f t="shared" si="74"/>
        <v>6.0810000000000004</v>
      </c>
      <c r="E303" s="86">
        <f t="shared" si="74"/>
        <v>33.289000000000001</v>
      </c>
      <c r="F303" s="86">
        <f t="shared" si="74"/>
        <v>49.686</v>
      </c>
      <c r="G303" s="86">
        <f t="shared" si="74"/>
        <v>24.754999999999999</v>
      </c>
      <c r="H303" s="86">
        <f t="shared" si="74"/>
        <v>45.701000000000001</v>
      </c>
      <c r="I303" s="86">
        <f t="shared" si="74"/>
        <v>41.313000000000002</v>
      </c>
      <c r="J303" s="86">
        <f t="shared" si="74"/>
        <v>39.160999999999994</v>
      </c>
      <c r="K303" s="86">
        <f t="shared" si="74"/>
        <v>1.1870000000000012</v>
      </c>
      <c r="L303" s="86">
        <f t="shared" si="74"/>
        <v>5.4879999999999995</v>
      </c>
      <c r="M303" s="86">
        <f t="shared" si="74"/>
        <v>4.8000000000000001E-2</v>
      </c>
      <c r="N303" s="86">
        <f t="shared" si="75"/>
        <v>247.51884999999999</v>
      </c>
      <c r="O303" s="27"/>
      <c r="P303" s="87">
        <f t="shared" si="76"/>
        <v>6.8908500000000004</v>
      </c>
      <c r="Q303" s="87">
        <f t="shared" si="77"/>
        <v>107.72999999999999</v>
      </c>
      <c r="R303" s="87">
        <f t="shared" si="78"/>
        <v>126.17500000000001</v>
      </c>
      <c r="S303" s="87">
        <f t="shared" si="79"/>
        <v>6.7230000000000008</v>
      </c>
    </row>
    <row r="304" spans="1:19" ht="16.5" hidden="1">
      <c r="A304" s="83" t="s">
        <v>65</v>
      </c>
      <c r="B304" s="86">
        <f t="shared" si="74"/>
        <v>3.0820000000000007</v>
      </c>
      <c r="C304" s="86">
        <f t="shared" si="74"/>
        <v>133.72999999999999</v>
      </c>
      <c r="D304" s="86">
        <f t="shared" si="74"/>
        <v>145.33600000000001</v>
      </c>
      <c r="E304" s="86">
        <f t="shared" si="74"/>
        <v>226.48400000000001</v>
      </c>
      <c r="F304" s="86">
        <f t="shared" si="74"/>
        <v>51.741999999999997</v>
      </c>
      <c r="G304" s="86">
        <f t="shared" si="74"/>
        <v>62.203000000000003</v>
      </c>
      <c r="H304" s="86">
        <f t="shared" si="74"/>
        <v>52.439</v>
      </c>
      <c r="I304" s="86">
        <f t="shared" si="74"/>
        <v>53.158999999999999</v>
      </c>
      <c r="J304" s="86">
        <f t="shared" si="74"/>
        <v>20.225999999999999</v>
      </c>
      <c r="K304" s="86">
        <f t="shared" si="74"/>
        <v>22.091999999999999</v>
      </c>
      <c r="L304" s="86">
        <f t="shared" si="74"/>
        <v>4.0909999999999993</v>
      </c>
      <c r="M304" s="86">
        <f t="shared" si="74"/>
        <v>5.9790000000000001</v>
      </c>
      <c r="N304" s="86">
        <f t="shared" si="75"/>
        <v>780.56299999999999</v>
      </c>
      <c r="O304" s="27"/>
      <c r="P304" s="87">
        <f t="shared" si="76"/>
        <v>282.14800000000002</v>
      </c>
      <c r="Q304" s="87">
        <f t="shared" si="77"/>
        <v>340.42899999999997</v>
      </c>
      <c r="R304" s="87">
        <f t="shared" si="78"/>
        <v>125.824</v>
      </c>
      <c r="S304" s="87">
        <f t="shared" si="79"/>
        <v>32.161999999999999</v>
      </c>
    </row>
    <row r="305" spans="1:19" ht="16.5" hidden="1">
      <c r="A305" s="83" t="s">
        <v>66</v>
      </c>
      <c r="B305" s="86">
        <f t="shared" si="74"/>
        <v>0.11</v>
      </c>
      <c r="C305" s="86">
        <f t="shared" si="74"/>
        <v>0.78800000000000003</v>
      </c>
      <c r="D305" s="86">
        <f t="shared" si="74"/>
        <v>1.417</v>
      </c>
      <c r="E305" s="86">
        <f t="shared" si="74"/>
        <v>1.075</v>
      </c>
      <c r="F305" s="86">
        <f t="shared" si="74"/>
        <v>0.73199999999999998</v>
      </c>
      <c r="G305" s="86">
        <f t="shared" si="74"/>
        <v>0.82000000000000006</v>
      </c>
      <c r="H305" s="86">
        <f t="shared" si="74"/>
        <v>0.88</v>
      </c>
      <c r="I305" s="86">
        <f t="shared" si="74"/>
        <v>4.4649999999999999</v>
      </c>
      <c r="J305" s="86">
        <f t="shared" si="74"/>
        <v>0.313</v>
      </c>
      <c r="K305" s="86">
        <f t="shared" si="74"/>
        <v>0.63</v>
      </c>
      <c r="L305" s="86">
        <f t="shared" si="74"/>
        <v>7.8E-2</v>
      </c>
      <c r="M305" s="86">
        <f t="shared" si="74"/>
        <v>0.11</v>
      </c>
      <c r="N305" s="86">
        <f t="shared" si="75"/>
        <v>11.417999999999999</v>
      </c>
      <c r="O305" s="27"/>
      <c r="P305" s="87">
        <f t="shared" si="76"/>
        <v>2.3149999999999999</v>
      </c>
      <c r="Q305" s="87">
        <f t="shared" si="77"/>
        <v>2.6269999999999998</v>
      </c>
      <c r="R305" s="87">
        <f t="shared" si="78"/>
        <v>5.6579999999999995</v>
      </c>
      <c r="S305" s="87">
        <f t="shared" si="79"/>
        <v>0.81799999999999995</v>
      </c>
    </row>
    <row r="306" spans="1:19" ht="16.5" hidden="1">
      <c r="A306" s="84" t="s">
        <v>67</v>
      </c>
      <c r="B306" s="86">
        <f t="shared" si="74"/>
        <v>6.5000000000000002E-2</v>
      </c>
      <c r="C306" s="86">
        <f t="shared" si="74"/>
        <v>1.1000000000000001</v>
      </c>
      <c r="D306" s="86">
        <f t="shared" si="74"/>
        <v>1.5609999999999999</v>
      </c>
      <c r="E306" s="86">
        <f t="shared" si="74"/>
        <v>24.593</v>
      </c>
      <c r="F306" s="86">
        <f t="shared" si="74"/>
        <v>17.265000000000001</v>
      </c>
      <c r="G306" s="86">
        <f t="shared" si="74"/>
        <v>4.9770000000000003</v>
      </c>
      <c r="H306" s="86">
        <f t="shared" si="74"/>
        <v>92.524000000000001</v>
      </c>
      <c r="I306" s="86">
        <f t="shared" si="74"/>
        <v>36.869</v>
      </c>
      <c r="J306" s="86">
        <f t="shared" si="74"/>
        <v>28.486999999999998</v>
      </c>
      <c r="K306" s="86">
        <f t="shared" si="74"/>
        <v>7.1029999999999998</v>
      </c>
      <c r="L306" s="86">
        <f t="shared" si="74"/>
        <v>0.50499999999999989</v>
      </c>
      <c r="M306" s="86">
        <f t="shared" si="74"/>
        <v>4.7E-2</v>
      </c>
      <c r="N306" s="86">
        <f t="shared" si="75"/>
        <v>215.096</v>
      </c>
      <c r="O306" s="27"/>
      <c r="P306" s="87">
        <f t="shared" si="76"/>
        <v>2.726</v>
      </c>
      <c r="Q306" s="87">
        <f t="shared" si="77"/>
        <v>46.835000000000008</v>
      </c>
      <c r="R306" s="87">
        <f t="shared" si="78"/>
        <v>157.88</v>
      </c>
      <c r="S306" s="87">
        <f t="shared" si="79"/>
        <v>7.6549999999999994</v>
      </c>
    </row>
    <row r="307" spans="1:19" ht="16.5" hidden="1">
      <c r="A307" s="83" t="s">
        <v>68</v>
      </c>
      <c r="B307" s="86">
        <f t="shared" si="74"/>
        <v>0.58700000000000008</v>
      </c>
      <c r="C307" s="86">
        <f t="shared" si="74"/>
        <v>6.7679999999999998</v>
      </c>
      <c r="D307" s="86">
        <f t="shared" si="74"/>
        <v>3.109</v>
      </c>
      <c r="E307" s="86">
        <f t="shared" si="74"/>
        <v>26.611000000000001</v>
      </c>
      <c r="F307" s="86">
        <f t="shared" si="74"/>
        <v>5.4269999999999996</v>
      </c>
      <c r="G307" s="86">
        <f t="shared" si="74"/>
        <v>85.929999999999993</v>
      </c>
      <c r="H307" s="86">
        <f t="shared" si="74"/>
        <v>89.058999999999997</v>
      </c>
      <c r="I307" s="86">
        <f t="shared" si="74"/>
        <v>71.809999999999988</v>
      </c>
      <c r="J307" s="86">
        <f t="shared" si="74"/>
        <v>19.405000000000001</v>
      </c>
      <c r="K307" s="86">
        <f t="shared" si="74"/>
        <v>9.4460000000000015</v>
      </c>
      <c r="L307" s="86">
        <f t="shared" si="74"/>
        <v>0.45900000000000002</v>
      </c>
      <c r="M307" s="86">
        <f t="shared" si="74"/>
        <v>0.17599999999999999</v>
      </c>
      <c r="N307" s="86">
        <f t="shared" si="75"/>
        <v>318.78700000000003</v>
      </c>
      <c r="O307" s="27"/>
      <c r="P307" s="87">
        <f t="shared" si="76"/>
        <v>10.463999999999999</v>
      </c>
      <c r="Q307" s="87">
        <f t="shared" si="77"/>
        <v>117.96799999999999</v>
      </c>
      <c r="R307" s="87">
        <f t="shared" si="78"/>
        <v>180.27399999999997</v>
      </c>
      <c r="S307" s="87">
        <f t="shared" si="79"/>
        <v>10.081000000000001</v>
      </c>
    </row>
    <row r="308" spans="1:19" ht="16.5" hidden="1">
      <c r="A308" s="84" t="s">
        <v>69</v>
      </c>
      <c r="B308" s="86">
        <f t="shared" si="74"/>
        <v>2.089</v>
      </c>
      <c r="C308" s="86">
        <f t="shared" si="74"/>
        <v>4.3490000000000002</v>
      </c>
      <c r="D308" s="86">
        <f t="shared" si="74"/>
        <v>9.5909999999999975</v>
      </c>
      <c r="E308" s="86">
        <f t="shared" si="74"/>
        <v>4.3020000000000032</v>
      </c>
      <c r="F308" s="86">
        <f t="shared" si="74"/>
        <v>0.42799999999999999</v>
      </c>
      <c r="G308" s="86">
        <f t="shared" si="74"/>
        <v>0.58099999999999996</v>
      </c>
      <c r="H308" s="86">
        <f t="shared" si="74"/>
        <v>0.16</v>
      </c>
      <c r="I308" s="86">
        <f t="shared" si="74"/>
        <v>0.114</v>
      </c>
      <c r="J308" s="86">
        <f t="shared" si="74"/>
        <v>0.12</v>
      </c>
      <c r="K308" s="86">
        <f t="shared" si="74"/>
        <v>6.3E-2</v>
      </c>
      <c r="L308" s="86">
        <f t="shared" si="74"/>
        <v>0.14799999999999999</v>
      </c>
      <c r="M308" s="86">
        <f t="shared" si="74"/>
        <v>0.06</v>
      </c>
      <c r="N308" s="86">
        <f t="shared" si="75"/>
        <v>22.004999999999999</v>
      </c>
      <c r="O308" s="27"/>
      <c r="P308" s="87">
        <f t="shared" si="76"/>
        <v>16.028999999999996</v>
      </c>
      <c r="Q308" s="87">
        <f t="shared" si="77"/>
        <v>5.3110000000000035</v>
      </c>
      <c r="R308" s="87">
        <f t="shared" si="78"/>
        <v>0.39400000000000002</v>
      </c>
      <c r="S308" s="87">
        <f t="shared" si="79"/>
        <v>0.27100000000000002</v>
      </c>
    </row>
    <row r="309" spans="1:19" ht="16.5" hidden="1">
      <c r="A309" s="84" t="s">
        <v>70</v>
      </c>
      <c r="B309" s="86">
        <f t="shared" si="74"/>
        <v>0.38400000000000001</v>
      </c>
      <c r="C309" s="86">
        <f t="shared" si="74"/>
        <v>0.60299999999999998</v>
      </c>
      <c r="D309" s="86">
        <f t="shared" si="74"/>
        <v>33.109000000000002</v>
      </c>
      <c r="E309" s="86">
        <f t="shared" si="74"/>
        <v>42.591000000000001</v>
      </c>
      <c r="F309" s="86">
        <f t="shared" si="74"/>
        <v>71.418999999999997</v>
      </c>
      <c r="G309" s="86">
        <f t="shared" si="74"/>
        <v>138.69499999999999</v>
      </c>
      <c r="H309" s="86">
        <f t="shared" si="74"/>
        <v>131.23100000000002</v>
      </c>
      <c r="I309" s="86">
        <f t="shared" si="74"/>
        <v>63.004999999999995</v>
      </c>
      <c r="J309" s="86">
        <f t="shared" si="74"/>
        <v>45.962000000000003</v>
      </c>
      <c r="K309" s="86">
        <f t="shared" si="74"/>
        <v>41.847999999999992</v>
      </c>
      <c r="L309" s="86">
        <f t="shared" si="74"/>
        <v>51.242999999999995</v>
      </c>
      <c r="M309" s="86">
        <f t="shared" si="74"/>
        <v>17.934999999999999</v>
      </c>
      <c r="N309" s="86">
        <f t="shared" si="75"/>
        <v>638.02499999999986</v>
      </c>
      <c r="O309" s="27"/>
      <c r="P309" s="87">
        <f t="shared" si="76"/>
        <v>34.096000000000004</v>
      </c>
      <c r="Q309" s="87">
        <f t="shared" si="77"/>
        <v>252.70499999999998</v>
      </c>
      <c r="R309" s="87">
        <f t="shared" si="78"/>
        <v>240.19800000000004</v>
      </c>
      <c r="S309" s="87">
        <f t="shared" si="79"/>
        <v>111.02599999999998</v>
      </c>
    </row>
    <row r="310" spans="1:19" ht="16.5" hidden="1">
      <c r="A310" s="83" t="s">
        <v>71</v>
      </c>
      <c r="B310" s="86">
        <f t="shared" si="74"/>
        <v>6.6180000000000003</v>
      </c>
      <c r="C310" s="86">
        <f t="shared" si="74"/>
        <v>17.833000000000002</v>
      </c>
      <c r="D310" s="86">
        <f t="shared" si="74"/>
        <v>14.728</v>
      </c>
      <c r="E310" s="86">
        <f t="shared" si="74"/>
        <v>10.017999999999999</v>
      </c>
      <c r="F310" s="86">
        <f t="shared" si="74"/>
        <v>5.5409999999999995</v>
      </c>
      <c r="G310" s="86">
        <f t="shared" si="74"/>
        <v>4.0730000000000004</v>
      </c>
      <c r="H310" s="86">
        <f t="shared" si="74"/>
        <v>9.9159999999999968</v>
      </c>
      <c r="I310" s="86">
        <f t="shared" si="74"/>
        <v>8.6219999999999999</v>
      </c>
      <c r="J310" s="86">
        <f t="shared" si="74"/>
        <v>24.009</v>
      </c>
      <c r="K310" s="86">
        <f t="shared" si="74"/>
        <v>5.3670000000000044</v>
      </c>
      <c r="L310" s="86">
        <f t="shared" si="74"/>
        <v>6.7550000000000008</v>
      </c>
      <c r="M310" s="86">
        <f t="shared" si="74"/>
        <v>1.2390000000000001</v>
      </c>
      <c r="N310" s="86">
        <f t="shared" si="75"/>
        <v>114.71900000000001</v>
      </c>
      <c r="O310" s="27"/>
      <c r="P310" s="87">
        <f t="shared" si="76"/>
        <v>39.179000000000002</v>
      </c>
      <c r="Q310" s="87">
        <f t="shared" si="77"/>
        <v>19.631999999999998</v>
      </c>
      <c r="R310" s="87">
        <f t="shared" si="78"/>
        <v>42.546999999999997</v>
      </c>
      <c r="S310" s="87">
        <f t="shared" si="79"/>
        <v>13.361000000000006</v>
      </c>
    </row>
    <row r="311" spans="1:19" ht="16.5" hidden="1">
      <c r="A311" s="84" t="s">
        <v>72</v>
      </c>
      <c r="B311" s="86">
        <f t="shared" si="74"/>
        <v>2.7229999999999999</v>
      </c>
      <c r="C311" s="86">
        <f t="shared" si="74"/>
        <v>5.1860000000000008</v>
      </c>
      <c r="D311" s="86">
        <f t="shared" si="74"/>
        <v>10.305999999999999</v>
      </c>
      <c r="E311" s="86">
        <f t="shared" si="74"/>
        <v>46.832000000000001</v>
      </c>
      <c r="F311" s="86">
        <f t="shared" si="74"/>
        <v>38.980999999999995</v>
      </c>
      <c r="G311" s="86">
        <f t="shared" si="74"/>
        <v>9.1080000000000041</v>
      </c>
      <c r="H311" s="86">
        <f t="shared" si="74"/>
        <v>46.597000000000001</v>
      </c>
      <c r="I311" s="86">
        <f t="shared" si="74"/>
        <v>35.427</v>
      </c>
      <c r="J311" s="86">
        <f t="shared" si="74"/>
        <v>4.952</v>
      </c>
      <c r="K311" s="86">
        <f t="shared" si="74"/>
        <v>9.9209999999999994</v>
      </c>
      <c r="L311" s="86">
        <f t="shared" si="74"/>
        <v>2.5869999999999997</v>
      </c>
      <c r="M311" s="86">
        <f t="shared" si="74"/>
        <v>1.4159999999999999</v>
      </c>
      <c r="N311" s="86">
        <f t="shared" si="75"/>
        <v>214.03599999999997</v>
      </c>
      <c r="O311" s="27"/>
      <c r="P311" s="87">
        <f t="shared" si="76"/>
        <v>18.215</v>
      </c>
      <c r="Q311" s="87">
        <f t="shared" si="77"/>
        <v>94.920999999999992</v>
      </c>
      <c r="R311" s="87">
        <f t="shared" si="78"/>
        <v>86.975999999999999</v>
      </c>
      <c r="S311" s="87">
        <f t="shared" si="79"/>
        <v>13.923999999999999</v>
      </c>
    </row>
    <row r="312" spans="1:19" ht="16.5" hidden="1">
      <c r="A312" s="83" t="s">
        <v>73</v>
      </c>
      <c r="B312" s="86">
        <f t="shared" ref="B312:M321" si="80">B428-B196-B80</f>
        <v>3.4569999999999999</v>
      </c>
      <c r="C312" s="86">
        <f t="shared" si="80"/>
        <v>10.021000000000001</v>
      </c>
      <c r="D312" s="86">
        <f t="shared" si="80"/>
        <v>9.673</v>
      </c>
      <c r="E312" s="86">
        <f t="shared" si="80"/>
        <v>4.5690000000000026</v>
      </c>
      <c r="F312" s="86">
        <f t="shared" si="80"/>
        <v>2.6930000000000014</v>
      </c>
      <c r="G312" s="86">
        <f t="shared" si="80"/>
        <v>4.2839999999999989</v>
      </c>
      <c r="H312" s="86">
        <f t="shared" si="80"/>
        <v>4.1950000000000003</v>
      </c>
      <c r="I312" s="86">
        <f t="shared" si="80"/>
        <v>2.0760000000000005</v>
      </c>
      <c r="J312" s="86">
        <f t="shared" si="80"/>
        <v>2.7989999999999995</v>
      </c>
      <c r="K312" s="86">
        <f t="shared" si="80"/>
        <v>7.3160000000000025</v>
      </c>
      <c r="L312" s="86">
        <f t="shared" si="80"/>
        <v>30.59</v>
      </c>
      <c r="M312" s="86">
        <f t="shared" si="80"/>
        <v>0.82600000000000029</v>
      </c>
      <c r="N312" s="86">
        <f t="shared" si="75"/>
        <v>82.498999999999995</v>
      </c>
      <c r="O312" s="27"/>
      <c r="P312" s="87">
        <f t="shared" si="76"/>
        <v>23.151000000000003</v>
      </c>
      <c r="Q312" s="87">
        <f t="shared" si="77"/>
        <v>11.546000000000003</v>
      </c>
      <c r="R312" s="87">
        <f t="shared" si="78"/>
        <v>9.07</v>
      </c>
      <c r="S312" s="87">
        <f t="shared" si="79"/>
        <v>38.732000000000006</v>
      </c>
    </row>
    <row r="313" spans="1:19" ht="16.5" hidden="1">
      <c r="A313" s="83" t="s">
        <v>74</v>
      </c>
      <c r="B313" s="86">
        <f t="shared" si="80"/>
        <v>3.1760000000000006</v>
      </c>
      <c r="C313" s="86">
        <f t="shared" si="80"/>
        <v>14.065</v>
      </c>
      <c r="D313" s="86">
        <f t="shared" si="80"/>
        <v>4.8490000000000002</v>
      </c>
      <c r="E313" s="86">
        <f t="shared" si="80"/>
        <v>1.2830000000000013</v>
      </c>
      <c r="F313" s="86">
        <f t="shared" si="80"/>
        <v>1.1669999999999998</v>
      </c>
      <c r="G313" s="86">
        <f t="shared" si="80"/>
        <v>3.370000000000001</v>
      </c>
      <c r="H313" s="86">
        <f t="shared" si="80"/>
        <v>4.2859999999999996</v>
      </c>
      <c r="I313" s="86">
        <f t="shared" si="80"/>
        <v>3.7170000000000001</v>
      </c>
      <c r="J313" s="86">
        <f t="shared" si="80"/>
        <v>1.8259999999999996</v>
      </c>
      <c r="K313" s="86">
        <f t="shared" si="80"/>
        <v>1.702</v>
      </c>
      <c r="L313" s="86">
        <f t="shared" si="80"/>
        <v>0.69700000000000006</v>
      </c>
      <c r="M313" s="86">
        <f t="shared" si="80"/>
        <v>0.29399999999999998</v>
      </c>
      <c r="N313" s="86">
        <f t="shared" si="75"/>
        <v>40.431999999999995</v>
      </c>
      <c r="O313" s="27"/>
      <c r="P313" s="87">
        <f t="shared" si="76"/>
        <v>22.09</v>
      </c>
      <c r="Q313" s="87">
        <f t="shared" si="77"/>
        <v>5.8200000000000021</v>
      </c>
      <c r="R313" s="87">
        <f t="shared" si="78"/>
        <v>9.8290000000000006</v>
      </c>
      <c r="S313" s="87">
        <f t="shared" si="79"/>
        <v>2.6930000000000001</v>
      </c>
    </row>
    <row r="314" spans="1:19" ht="16.5" hidden="1">
      <c r="A314" s="83" t="s">
        <v>75</v>
      </c>
      <c r="B314" s="86">
        <f t="shared" si="80"/>
        <v>2.96</v>
      </c>
      <c r="C314" s="86">
        <f t="shared" si="80"/>
        <v>3.9239999999999999</v>
      </c>
      <c r="D314" s="86">
        <f t="shared" si="80"/>
        <v>4.12</v>
      </c>
      <c r="E314" s="86">
        <f t="shared" si="80"/>
        <v>2.819</v>
      </c>
      <c r="F314" s="86">
        <f t="shared" si="80"/>
        <v>3.0579999999999998</v>
      </c>
      <c r="G314" s="86">
        <f t="shared" si="80"/>
        <v>2.4020000000000001</v>
      </c>
      <c r="H314" s="86">
        <f t="shared" si="80"/>
        <v>5.4290000000000003</v>
      </c>
      <c r="I314" s="86">
        <f t="shared" si="80"/>
        <v>21.606999999999999</v>
      </c>
      <c r="J314" s="86">
        <f t="shared" si="80"/>
        <v>4.161999999999999</v>
      </c>
      <c r="K314" s="86">
        <f t="shared" si="80"/>
        <v>2.5259999999999998</v>
      </c>
      <c r="L314" s="86">
        <f t="shared" si="80"/>
        <v>1.3680000000000001</v>
      </c>
      <c r="M314" s="86">
        <f t="shared" si="80"/>
        <v>0.438</v>
      </c>
      <c r="N314" s="86">
        <f t="shared" si="75"/>
        <v>54.813000000000009</v>
      </c>
      <c r="O314" s="27"/>
      <c r="P314" s="87">
        <f t="shared" si="76"/>
        <v>11.004000000000001</v>
      </c>
      <c r="Q314" s="87">
        <f t="shared" si="77"/>
        <v>8.2789999999999999</v>
      </c>
      <c r="R314" s="87">
        <f t="shared" si="78"/>
        <v>31.198</v>
      </c>
      <c r="S314" s="87">
        <f t="shared" si="79"/>
        <v>4.3319999999999999</v>
      </c>
    </row>
    <row r="315" spans="1:19" ht="16.5" hidden="1">
      <c r="A315" s="83" t="s">
        <v>76</v>
      </c>
      <c r="B315" s="86">
        <f t="shared" si="80"/>
        <v>3.6019999999999999</v>
      </c>
      <c r="C315" s="86">
        <f t="shared" si="80"/>
        <v>6.5049999999999999</v>
      </c>
      <c r="D315" s="86">
        <f t="shared" si="80"/>
        <v>4.2990000000000004</v>
      </c>
      <c r="E315" s="86">
        <f t="shared" si="80"/>
        <v>3.1110000000000002</v>
      </c>
      <c r="F315" s="86">
        <f t="shared" si="80"/>
        <v>0.82100000000000006</v>
      </c>
      <c r="G315" s="86">
        <f t="shared" si="80"/>
        <v>1.327</v>
      </c>
      <c r="H315" s="86">
        <f t="shared" si="80"/>
        <v>1.008</v>
      </c>
      <c r="I315" s="86">
        <f t="shared" si="80"/>
        <v>20.120999999999999</v>
      </c>
      <c r="J315" s="86">
        <f t="shared" si="80"/>
        <v>0.49099999999999999</v>
      </c>
      <c r="K315" s="86">
        <f t="shared" si="80"/>
        <v>1.006</v>
      </c>
      <c r="L315" s="86">
        <f t="shared" si="80"/>
        <v>0.77400000000000002</v>
      </c>
      <c r="M315" s="86">
        <f t="shared" si="80"/>
        <v>0.46699999999999997</v>
      </c>
      <c r="N315" s="86">
        <f t="shared" si="75"/>
        <v>43.531999999999996</v>
      </c>
      <c r="O315" s="27"/>
      <c r="P315" s="87">
        <f>SUM(B315:D315)</f>
        <v>14.405999999999999</v>
      </c>
      <c r="Q315" s="87">
        <f t="shared" si="77"/>
        <v>5.2590000000000003</v>
      </c>
      <c r="R315" s="87">
        <f t="shared" si="78"/>
        <v>21.619999999999997</v>
      </c>
      <c r="S315" s="87">
        <f t="shared" si="79"/>
        <v>2.2469999999999999</v>
      </c>
    </row>
    <row r="316" spans="1:19" ht="16.5" hidden="1">
      <c r="A316" s="83" t="s">
        <v>77</v>
      </c>
      <c r="B316" s="86">
        <f t="shared" si="80"/>
        <v>0.97699999999999987</v>
      </c>
      <c r="C316" s="86">
        <f t="shared" si="80"/>
        <v>6.718</v>
      </c>
      <c r="D316" s="86">
        <f t="shared" si="80"/>
        <v>6.9160000000000004</v>
      </c>
      <c r="E316" s="86">
        <f t="shared" si="80"/>
        <v>5.1160000000000005</v>
      </c>
      <c r="F316" s="86">
        <f t="shared" si="80"/>
        <v>1.367</v>
      </c>
      <c r="G316" s="86">
        <f t="shared" si="80"/>
        <v>9.6209999999999987</v>
      </c>
      <c r="H316" s="86">
        <f t="shared" si="80"/>
        <v>3.5489999999999999</v>
      </c>
      <c r="I316" s="86">
        <f t="shared" si="80"/>
        <v>3.9220000000000006</v>
      </c>
      <c r="J316" s="86">
        <f t="shared" si="80"/>
        <v>22.461000000000002</v>
      </c>
      <c r="K316" s="86">
        <f t="shared" si="80"/>
        <v>2.5709999999999997</v>
      </c>
      <c r="L316" s="86">
        <f t="shared" si="80"/>
        <v>1.819</v>
      </c>
      <c r="M316" s="86">
        <f t="shared" si="80"/>
        <v>1.601</v>
      </c>
      <c r="N316" s="86">
        <f t="shared" si="75"/>
        <v>66.638000000000005</v>
      </c>
      <c r="O316" s="27"/>
      <c r="P316" s="87">
        <f t="shared" ref="P316:P321" si="81">SUM(B316:D316)</f>
        <v>14.611000000000001</v>
      </c>
      <c r="Q316" s="87">
        <f t="shared" si="77"/>
        <v>16.103999999999999</v>
      </c>
      <c r="R316" s="87">
        <f t="shared" si="78"/>
        <v>29.932000000000002</v>
      </c>
      <c r="S316" s="87">
        <f t="shared" si="79"/>
        <v>5.9909999999999997</v>
      </c>
    </row>
    <row r="317" spans="1:19" ht="16.5" hidden="1">
      <c r="A317" s="83" t="s">
        <v>78</v>
      </c>
      <c r="B317" s="86">
        <f t="shared" si="80"/>
        <v>2.8280000000000003</v>
      </c>
      <c r="C317" s="86">
        <f t="shared" si="80"/>
        <v>4.652000000000001</v>
      </c>
      <c r="D317" s="86">
        <f t="shared" si="80"/>
        <v>77.155000000000001</v>
      </c>
      <c r="E317" s="86">
        <f t="shared" si="80"/>
        <v>28.116</v>
      </c>
      <c r="F317" s="86">
        <f t="shared" si="80"/>
        <v>3.7649999999999997</v>
      </c>
      <c r="G317" s="86">
        <f t="shared" si="80"/>
        <v>3.6949999999999994</v>
      </c>
      <c r="H317" s="86">
        <f t="shared" si="80"/>
        <v>6.5370000000000008</v>
      </c>
      <c r="I317" s="86">
        <f t="shared" si="80"/>
        <v>7.3540000000000001</v>
      </c>
      <c r="J317" s="86">
        <f t="shared" si="80"/>
        <v>5.4959999999999996</v>
      </c>
      <c r="K317" s="86">
        <f t="shared" si="80"/>
        <v>5.5522299999999998</v>
      </c>
      <c r="L317" s="86">
        <f t="shared" si="80"/>
        <v>1.596638</v>
      </c>
      <c r="M317" s="86">
        <f t="shared" si="80"/>
        <v>1.307274</v>
      </c>
      <c r="N317" s="86">
        <f t="shared" si="75"/>
        <v>148.05414200000004</v>
      </c>
      <c r="O317" s="27"/>
      <c r="P317" s="87">
        <f t="shared" si="81"/>
        <v>84.635000000000005</v>
      </c>
      <c r="Q317" s="87">
        <f t="shared" si="77"/>
        <v>35.576000000000001</v>
      </c>
      <c r="R317" s="87">
        <f t="shared" si="78"/>
        <v>19.387</v>
      </c>
      <c r="S317" s="87">
        <f t="shared" si="79"/>
        <v>8.4561419999999998</v>
      </c>
    </row>
    <row r="318" spans="1:19" ht="16.5" hidden="1">
      <c r="A318" s="83" t="s">
        <v>79</v>
      </c>
      <c r="B318" s="86">
        <f t="shared" si="80"/>
        <v>1.932758</v>
      </c>
      <c r="C318" s="86">
        <f t="shared" si="80"/>
        <v>3.3865530000000001</v>
      </c>
      <c r="D318" s="86">
        <f t="shared" si="80"/>
        <v>3.7871100000000002</v>
      </c>
      <c r="E318" s="86">
        <f t="shared" si="80"/>
        <v>6.233409</v>
      </c>
      <c r="F318" s="86">
        <f t="shared" si="80"/>
        <v>2.2753770000000002</v>
      </c>
      <c r="G318" s="86">
        <f t="shared" si="80"/>
        <v>3.8576930000000003</v>
      </c>
      <c r="H318" s="86">
        <f t="shared" si="80"/>
        <v>1.6264590000000001</v>
      </c>
      <c r="I318" s="86">
        <f t="shared" si="80"/>
        <v>3.6748599999999998</v>
      </c>
      <c r="J318" s="86">
        <f t="shared" si="80"/>
        <v>1.2829389999999998</v>
      </c>
      <c r="K318" s="86">
        <f t="shared" si="80"/>
        <v>5.0543719999999999</v>
      </c>
      <c r="L318" s="86">
        <f t="shared" si="80"/>
        <v>1.8935109999999997</v>
      </c>
      <c r="M318" s="86">
        <f t="shared" si="80"/>
        <v>1.561993</v>
      </c>
      <c r="N318" s="86">
        <f t="shared" si="75"/>
        <v>36.567034</v>
      </c>
      <c r="O318" s="27"/>
      <c r="P318" s="87">
        <f t="shared" si="81"/>
        <v>9.106421000000001</v>
      </c>
      <c r="Q318" s="87">
        <f t="shared" si="77"/>
        <v>12.366479000000002</v>
      </c>
      <c r="R318" s="87">
        <f t="shared" si="78"/>
        <v>6.5842579999999993</v>
      </c>
      <c r="S318" s="87">
        <f t="shared" si="79"/>
        <v>8.5098759999999984</v>
      </c>
    </row>
    <row r="319" spans="1:19" ht="16.5">
      <c r="A319" s="85" t="s">
        <v>80</v>
      </c>
      <c r="B319" s="86">
        <f t="shared" si="80"/>
        <v>2.5156110000000003</v>
      </c>
      <c r="C319" s="86">
        <f t="shared" si="80"/>
        <v>2.9680229999999996</v>
      </c>
      <c r="D319" s="86">
        <f t="shared" si="80"/>
        <v>5.3321260000000006</v>
      </c>
      <c r="E319" s="86">
        <f t="shared" si="80"/>
        <v>2.7293350000000003</v>
      </c>
      <c r="F319" s="86">
        <f t="shared" si="80"/>
        <v>2.5257340000000004</v>
      </c>
      <c r="G319" s="86">
        <f t="shared" si="80"/>
        <v>2.2736970000000007</v>
      </c>
      <c r="H319" s="86">
        <f t="shared" si="80"/>
        <v>2.9221790000000007</v>
      </c>
      <c r="I319" s="86">
        <f t="shared" si="80"/>
        <v>8.0263979999999986</v>
      </c>
      <c r="J319" s="86">
        <f t="shared" si="80"/>
        <v>2.9873439999999998</v>
      </c>
      <c r="K319" s="86">
        <f t="shared" si="80"/>
        <v>3.857332</v>
      </c>
      <c r="L319" s="86">
        <f t="shared" si="80"/>
        <v>2.6992509999999998</v>
      </c>
      <c r="M319" s="86">
        <f t="shared" si="80"/>
        <v>2.1519490000000001</v>
      </c>
      <c r="N319" s="86">
        <f t="shared" si="75"/>
        <v>40.988979</v>
      </c>
      <c r="O319" s="27"/>
      <c r="P319" s="87">
        <f t="shared" si="81"/>
        <v>10.815760000000001</v>
      </c>
      <c r="Q319" s="87">
        <f t="shared" si="77"/>
        <v>7.528766000000001</v>
      </c>
      <c r="R319" s="87">
        <f t="shared" si="78"/>
        <v>13.935921</v>
      </c>
      <c r="S319" s="87">
        <f t="shared" si="79"/>
        <v>8.7085319999999999</v>
      </c>
    </row>
    <row r="320" spans="1:19" ht="16.5">
      <c r="A320" s="85" t="s">
        <v>81</v>
      </c>
      <c r="B320" s="86">
        <f t="shared" si="80"/>
        <v>2.1352980000000001</v>
      </c>
      <c r="C320" s="86">
        <f t="shared" si="80"/>
        <v>2.4427119999999998</v>
      </c>
      <c r="D320" s="86">
        <f t="shared" si="80"/>
        <v>3.3430280000000003</v>
      </c>
      <c r="E320" s="86">
        <f t="shared" si="80"/>
        <v>5.1280890000000001</v>
      </c>
      <c r="F320" s="86">
        <f t="shared" si="80"/>
        <v>5.0550379999999997</v>
      </c>
      <c r="G320" s="86">
        <f t="shared" si="80"/>
        <v>3.3645059999999996</v>
      </c>
      <c r="H320" s="86">
        <f t="shared" si="80"/>
        <v>2.955956</v>
      </c>
      <c r="I320" s="86">
        <f t="shared" si="80"/>
        <v>4.9365119999999996</v>
      </c>
      <c r="J320" s="86">
        <f t="shared" si="80"/>
        <v>2.5028170000000003</v>
      </c>
      <c r="K320" s="86">
        <f t="shared" si="80"/>
        <v>2.1698240000000002</v>
      </c>
      <c r="L320" s="86">
        <f t="shared" si="80"/>
        <v>3.1261710000000003</v>
      </c>
      <c r="M320" s="86">
        <f t="shared" si="80"/>
        <v>2.1277900000000001</v>
      </c>
      <c r="N320" s="86">
        <f t="shared" si="75"/>
        <v>39.287740999999997</v>
      </c>
      <c r="O320" s="27"/>
      <c r="P320" s="87">
        <f t="shared" si="81"/>
        <v>7.9210380000000002</v>
      </c>
      <c r="Q320" s="87">
        <f t="shared" si="77"/>
        <v>13.547632999999998</v>
      </c>
      <c r="R320" s="87">
        <f t="shared" si="78"/>
        <v>10.395284999999999</v>
      </c>
      <c r="S320" s="87">
        <f t="shared" si="79"/>
        <v>7.4237850000000005</v>
      </c>
    </row>
    <row r="321" spans="1:19" ht="17.25" thickBot="1">
      <c r="A321" s="88" t="s">
        <v>82</v>
      </c>
      <c r="B321" s="89">
        <f>B437-B205-B89</f>
        <v>7.6188940000000001</v>
      </c>
      <c r="C321" s="89">
        <f t="shared" si="80"/>
        <v>68.846610999999996</v>
      </c>
      <c r="D321" s="89">
        <f t="shared" si="80"/>
        <v>30.717402999999997</v>
      </c>
      <c r="E321" s="89">
        <f t="shared" si="80"/>
        <v>11.469657000000002</v>
      </c>
      <c r="F321" s="89">
        <f t="shared" si="80"/>
        <v>3.6360000000000023</v>
      </c>
      <c r="G321" s="89" t="e">
        <f t="shared" si="80"/>
        <v>#VALUE!</v>
      </c>
      <c r="H321" s="89" t="e">
        <f t="shared" si="80"/>
        <v>#VALUE!</v>
      </c>
      <c r="I321" s="90" t="e">
        <f t="shared" si="80"/>
        <v>#VALUE!</v>
      </c>
      <c r="J321" s="90">
        <f t="shared" si="80"/>
        <v>4.6255160054219679</v>
      </c>
      <c r="K321" s="90">
        <f t="shared" si="80"/>
        <v>0.59447551190612713</v>
      </c>
      <c r="L321" s="90">
        <f t="shared" si="80"/>
        <v>0.60507701843606643</v>
      </c>
      <c r="M321" s="90">
        <f t="shared" si="80"/>
        <v>5.2759314642358399</v>
      </c>
      <c r="N321" s="90" t="e">
        <f t="shared" si="75"/>
        <v>#VALUE!</v>
      </c>
      <c r="O321" s="91"/>
      <c r="P321" s="92">
        <f t="shared" si="81"/>
        <v>107.182908</v>
      </c>
      <c r="Q321" s="92" t="e">
        <f t="shared" si="77"/>
        <v>#VALUE!</v>
      </c>
      <c r="R321" s="93" t="e">
        <f t="shared" si="78"/>
        <v>#VALUE!</v>
      </c>
      <c r="S321" s="93">
        <f t="shared" si="79"/>
        <v>6.4754839945780329</v>
      </c>
    </row>
    <row r="322" spans="1:19" ht="16.5">
      <c r="A322" s="80" t="s">
        <v>94</v>
      </c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27"/>
      <c r="P322" s="87"/>
      <c r="Q322" s="87"/>
      <c r="R322" s="87"/>
      <c r="S322" s="87"/>
    </row>
    <row r="323" spans="1:19" ht="16.5" hidden="1">
      <c r="A323" s="81" t="s">
        <v>84</v>
      </c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27"/>
      <c r="P323" s="87"/>
      <c r="Q323" s="87"/>
      <c r="R323" s="87"/>
      <c r="S323" s="87"/>
    </row>
    <row r="324" spans="1:19" ht="16.5" hidden="1">
      <c r="A324" s="81" t="s">
        <v>56</v>
      </c>
      <c r="B324" s="86">
        <f>B237+B266+B295</f>
        <v>5.5</v>
      </c>
      <c r="C324" s="86">
        <f t="shared" ref="C324:M324" si="82">C237+C266+C295</f>
        <v>14.4</v>
      </c>
      <c r="D324" s="86">
        <f t="shared" si="82"/>
        <v>13.9</v>
      </c>
      <c r="E324" s="86">
        <f t="shared" si="82"/>
        <v>45.7</v>
      </c>
      <c r="F324" s="86">
        <f t="shared" si="82"/>
        <v>20.2</v>
      </c>
      <c r="G324" s="86">
        <f t="shared" si="82"/>
        <v>11.4</v>
      </c>
      <c r="H324" s="86">
        <f t="shared" si="82"/>
        <v>4.9000000000000004</v>
      </c>
      <c r="I324" s="86">
        <f t="shared" si="82"/>
        <v>0.7</v>
      </c>
      <c r="J324" s="86">
        <f t="shared" si="82"/>
        <v>0.1</v>
      </c>
      <c r="K324" s="86">
        <f t="shared" si="82"/>
        <v>1.9</v>
      </c>
      <c r="L324" s="86">
        <f t="shared" si="82"/>
        <v>0.6</v>
      </c>
      <c r="M324" s="86">
        <f t="shared" si="82"/>
        <v>0.2</v>
      </c>
      <c r="N324" s="86">
        <f>SUM(B324:M324)</f>
        <v>119.50000000000001</v>
      </c>
      <c r="O324" s="27"/>
      <c r="P324" s="87">
        <f>SUM(B324:D324)</f>
        <v>33.799999999999997</v>
      </c>
      <c r="Q324" s="87">
        <f>SUM(E324:G324)</f>
        <v>77.300000000000011</v>
      </c>
      <c r="R324" s="87">
        <f>SUM(H324:J324)</f>
        <v>5.7</v>
      </c>
      <c r="S324" s="87">
        <f>SUM(K324:M324)</f>
        <v>2.7</v>
      </c>
    </row>
    <row r="325" spans="1:19" ht="16.5" hidden="1">
      <c r="A325" s="81" t="s">
        <v>57</v>
      </c>
      <c r="B325" s="86">
        <f t="shared" ref="B325:M340" si="83">B238+B267+B296</f>
        <v>-12.8</v>
      </c>
      <c r="C325" s="86">
        <f t="shared" si="83"/>
        <v>69.5</v>
      </c>
      <c r="D325" s="86">
        <f t="shared" si="83"/>
        <v>119.5</v>
      </c>
      <c r="E325" s="86">
        <f t="shared" si="83"/>
        <v>194.5</v>
      </c>
      <c r="F325" s="86">
        <f t="shared" si="83"/>
        <v>184.3</v>
      </c>
      <c r="G325" s="86">
        <f t="shared" si="83"/>
        <v>156.69999999999999</v>
      </c>
      <c r="H325" s="86">
        <f t="shared" si="83"/>
        <v>175.8</v>
      </c>
      <c r="I325" s="86">
        <f t="shared" si="83"/>
        <v>219.1</v>
      </c>
      <c r="J325" s="86">
        <f t="shared" si="83"/>
        <v>188.1</v>
      </c>
      <c r="K325" s="86">
        <f t="shared" si="83"/>
        <v>144.6</v>
      </c>
      <c r="L325" s="86">
        <f t="shared" si="83"/>
        <v>88.9</v>
      </c>
      <c r="M325" s="86">
        <f t="shared" si="83"/>
        <v>103.9</v>
      </c>
      <c r="N325" s="86">
        <f t="shared" ref="N325:N350" si="84">SUM(B325:M325)</f>
        <v>1632.1</v>
      </c>
      <c r="O325" s="27"/>
      <c r="P325" s="87">
        <f t="shared" ref="P325:P343" si="85">SUM(B325:D325)</f>
        <v>176.2</v>
      </c>
      <c r="Q325" s="87">
        <f t="shared" ref="Q325:Q350" si="86">SUM(E325:G325)</f>
        <v>535.5</v>
      </c>
      <c r="R325" s="87">
        <f t="shared" ref="R325:R350" si="87">SUM(H325:J325)</f>
        <v>583</v>
      </c>
      <c r="S325" s="87">
        <f t="shared" ref="S325:S350" si="88">SUM(K325:M325)</f>
        <v>337.4</v>
      </c>
    </row>
    <row r="326" spans="1:19" ht="16.5" hidden="1">
      <c r="A326" s="81" t="s">
        <v>58</v>
      </c>
      <c r="B326" s="86">
        <f t="shared" si="83"/>
        <v>58.800000000000004</v>
      </c>
      <c r="C326" s="86">
        <f t="shared" si="83"/>
        <v>269.2</v>
      </c>
      <c r="D326" s="86">
        <f t="shared" si="83"/>
        <v>377.7</v>
      </c>
      <c r="E326" s="86">
        <f t="shared" si="83"/>
        <v>545.79999999999995</v>
      </c>
      <c r="F326" s="86">
        <f t="shared" si="83"/>
        <v>309.89183600000001</v>
      </c>
      <c r="G326" s="86">
        <f t="shared" si="83"/>
        <v>280.286742</v>
      </c>
      <c r="H326" s="86">
        <f t="shared" si="83"/>
        <v>227.571483</v>
      </c>
      <c r="I326" s="86">
        <f t="shared" si="83"/>
        <v>108.262935</v>
      </c>
      <c r="J326" s="86">
        <f t="shared" si="83"/>
        <v>82.496665000000007</v>
      </c>
      <c r="K326" s="86">
        <f t="shared" si="83"/>
        <v>26.216753000000001</v>
      </c>
      <c r="L326" s="86">
        <f t="shared" si="83"/>
        <v>8.8010959999999994</v>
      </c>
      <c r="M326" s="86">
        <f t="shared" si="83"/>
        <v>1.825</v>
      </c>
      <c r="N326" s="86">
        <f t="shared" si="84"/>
        <v>2296.8525100000006</v>
      </c>
      <c r="O326" s="27"/>
      <c r="P326" s="87">
        <f t="shared" si="85"/>
        <v>705.7</v>
      </c>
      <c r="Q326" s="87">
        <f t="shared" si="86"/>
        <v>1135.978578</v>
      </c>
      <c r="R326" s="87">
        <f t="shared" si="87"/>
        <v>418.33108300000004</v>
      </c>
      <c r="S326" s="87">
        <f t="shared" si="88"/>
        <v>36.842849000000001</v>
      </c>
    </row>
    <row r="327" spans="1:19" ht="16.5" hidden="1">
      <c r="A327" s="81" t="s">
        <v>59</v>
      </c>
      <c r="B327" s="86">
        <f t="shared" si="83"/>
        <v>-75.01347100000001</v>
      </c>
      <c r="C327" s="86">
        <f t="shared" si="83"/>
        <v>158.65690599999999</v>
      </c>
      <c r="D327" s="86">
        <f t="shared" si="83"/>
        <v>344.73536000000001</v>
      </c>
      <c r="E327" s="86">
        <f t="shared" si="83"/>
        <v>329.61083100000002</v>
      </c>
      <c r="F327" s="86">
        <f t="shared" si="83"/>
        <v>239.35858500000001</v>
      </c>
      <c r="G327" s="86">
        <f t="shared" si="83"/>
        <v>156.01487299999999</v>
      </c>
      <c r="H327" s="86">
        <f t="shared" si="83"/>
        <v>75.540925000000001</v>
      </c>
      <c r="I327" s="86">
        <f t="shared" si="83"/>
        <v>40.065296000000004</v>
      </c>
      <c r="J327" s="86">
        <f t="shared" si="83"/>
        <v>32.358333000000002</v>
      </c>
      <c r="K327" s="86">
        <f t="shared" si="83"/>
        <v>12.873697</v>
      </c>
      <c r="L327" s="86">
        <f t="shared" si="83"/>
        <v>0.88300000000000001</v>
      </c>
      <c r="M327" s="86">
        <f t="shared" si="83"/>
        <v>0.28068000000000015</v>
      </c>
      <c r="N327" s="86">
        <f t="shared" si="84"/>
        <v>1315.3650150000001</v>
      </c>
      <c r="O327" s="27"/>
      <c r="P327" s="87">
        <f t="shared" si="85"/>
        <v>428.37879499999997</v>
      </c>
      <c r="Q327" s="87">
        <f t="shared" si="86"/>
        <v>724.98428899999999</v>
      </c>
      <c r="R327" s="87">
        <f t="shared" si="87"/>
        <v>147.96455400000002</v>
      </c>
      <c r="S327" s="87">
        <f t="shared" si="88"/>
        <v>14.037376999999999</v>
      </c>
    </row>
    <row r="328" spans="1:19" ht="16.5" hidden="1">
      <c r="A328" s="81" t="s">
        <v>60</v>
      </c>
      <c r="B328" s="86">
        <f t="shared" si="83"/>
        <v>-27.145039999999998</v>
      </c>
      <c r="C328" s="86">
        <f t="shared" si="83"/>
        <v>249.09844899999999</v>
      </c>
      <c r="D328" s="86">
        <f t="shared" si="83"/>
        <v>319.04381299999994</v>
      </c>
      <c r="E328" s="86">
        <f t="shared" si="83"/>
        <v>381.43600500000002</v>
      </c>
      <c r="F328" s="86">
        <f t="shared" si="83"/>
        <v>252.66239899999999</v>
      </c>
      <c r="G328" s="86">
        <f t="shared" si="83"/>
        <v>90.786123000000003</v>
      </c>
      <c r="H328" s="86">
        <f t="shared" si="83"/>
        <v>58.278999999999996</v>
      </c>
      <c r="I328" s="86">
        <f t="shared" si="83"/>
        <v>27.446000000000002</v>
      </c>
      <c r="J328" s="86">
        <f t="shared" si="83"/>
        <v>15.3085</v>
      </c>
      <c r="K328" s="86">
        <f t="shared" si="83"/>
        <v>33.854399999999998</v>
      </c>
      <c r="L328" s="86">
        <f t="shared" si="83"/>
        <v>16.393999999999998</v>
      </c>
      <c r="M328" s="86">
        <f t="shared" si="83"/>
        <v>15.385999999999999</v>
      </c>
      <c r="N328" s="86">
        <f t="shared" si="84"/>
        <v>1432.549649</v>
      </c>
      <c r="O328" s="27"/>
      <c r="P328" s="87">
        <f t="shared" si="85"/>
        <v>540.99722199999997</v>
      </c>
      <c r="Q328" s="87">
        <f t="shared" si="86"/>
        <v>724.88452700000005</v>
      </c>
      <c r="R328" s="87">
        <f t="shared" si="87"/>
        <v>101.03349999999999</v>
      </c>
      <c r="S328" s="87">
        <f t="shared" si="88"/>
        <v>65.634399999999999</v>
      </c>
    </row>
    <row r="329" spans="1:19" ht="16.5" hidden="1">
      <c r="A329" s="81" t="s">
        <v>61</v>
      </c>
      <c r="B329" s="86">
        <f t="shared" si="83"/>
        <v>9.5960000000000001</v>
      </c>
      <c r="C329" s="86">
        <f t="shared" si="83"/>
        <v>76.327928999999997</v>
      </c>
      <c r="D329" s="86">
        <f t="shared" si="83"/>
        <v>95.285640000000001</v>
      </c>
      <c r="E329" s="86">
        <f t="shared" si="83"/>
        <v>99.175308999999999</v>
      </c>
      <c r="F329" s="86">
        <f t="shared" si="83"/>
        <v>67.048382000000004</v>
      </c>
      <c r="G329" s="86">
        <f t="shared" si="83"/>
        <v>137.41340600000001</v>
      </c>
      <c r="H329" s="86">
        <f t="shared" si="83"/>
        <v>106.922526</v>
      </c>
      <c r="I329" s="86">
        <f t="shared" si="83"/>
        <v>127.99435200000001</v>
      </c>
      <c r="J329" s="86">
        <f t="shared" si="83"/>
        <v>131.06378799999999</v>
      </c>
      <c r="K329" s="86">
        <f t="shared" si="83"/>
        <v>113.736473</v>
      </c>
      <c r="L329" s="86">
        <f t="shared" si="83"/>
        <v>83.736862000000002</v>
      </c>
      <c r="M329" s="86">
        <f t="shared" si="83"/>
        <v>29.15335</v>
      </c>
      <c r="N329" s="86">
        <f t="shared" si="84"/>
        <v>1077.4540170000002</v>
      </c>
      <c r="O329" s="27"/>
      <c r="P329" s="87">
        <f t="shared" si="85"/>
        <v>181.20956899999999</v>
      </c>
      <c r="Q329" s="87">
        <f t="shared" si="86"/>
        <v>303.63709700000004</v>
      </c>
      <c r="R329" s="87">
        <f t="shared" si="87"/>
        <v>365.98066599999999</v>
      </c>
      <c r="S329" s="87">
        <f t="shared" si="88"/>
        <v>226.62668500000001</v>
      </c>
    </row>
    <row r="330" spans="1:19" ht="16.5" hidden="1">
      <c r="A330" s="81" t="s">
        <v>62</v>
      </c>
      <c r="B330" s="86">
        <f t="shared" si="83"/>
        <v>-14.190271999999997</v>
      </c>
      <c r="C330" s="86">
        <f t="shared" si="83"/>
        <v>92.77136800000001</v>
      </c>
      <c r="D330" s="86">
        <f t="shared" si="83"/>
        <v>259.413186</v>
      </c>
      <c r="E330" s="86">
        <f t="shared" si="83"/>
        <v>387.99971900000003</v>
      </c>
      <c r="F330" s="86">
        <f t="shared" si="83"/>
        <v>178.14722899999998</v>
      </c>
      <c r="G330" s="86">
        <f t="shared" si="83"/>
        <v>194.845462</v>
      </c>
      <c r="H330" s="86">
        <f t="shared" si="83"/>
        <v>196.12196699999998</v>
      </c>
      <c r="I330" s="86">
        <f t="shared" si="83"/>
        <v>129.37524199999999</v>
      </c>
      <c r="J330" s="86">
        <f t="shared" si="83"/>
        <v>33.973210999999999</v>
      </c>
      <c r="K330" s="86">
        <f t="shared" si="83"/>
        <v>31.633555000000001</v>
      </c>
      <c r="L330" s="86">
        <f t="shared" si="83"/>
        <v>2.0243199999999999</v>
      </c>
      <c r="M330" s="86">
        <f t="shared" si="83"/>
        <v>10.978</v>
      </c>
      <c r="N330" s="86">
        <f t="shared" si="84"/>
        <v>1503.092987</v>
      </c>
      <c r="O330" s="27"/>
      <c r="P330" s="87">
        <f t="shared" si="85"/>
        <v>337.994282</v>
      </c>
      <c r="Q330" s="87">
        <f t="shared" si="86"/>
        <v>760.99241000000006</v>
      </c>
      <c r="R330" s="87">
        <f t="shared" si="87"/>
        <v>359.47041999999999</v>
      </c>
      <c r="S330" s="87">
        <f t="shared" si="88"/>
        <v>44.635875000000006</v>
      </c>
    </row>
    <row r="331" spans="1:19" ht="16.5" hidden="1">
      <c r="A331" s="81" t="s">
        <v>63</v>
      </c>
      <c r="B331" s="86">
        <f t="shared" si="83"/>
        <v>-78.233396999999997</v>
      </c>
      <c r="C331" s="86">
        <f t="shared" si="83"/>
        <v>35.495338999999994</v>
      </c>
      <c r="D331" s="86">
        <f t="shared" si="83"/>
        <v>6.2228879999999993</v>
      </c>
      <c r="E331" s="86">
        <f t="shared" si="83"/>
        <v>23.692995</v>
      </c>
      <c r="F331" s="86">
        <f t="shared" si="83"/>
        <v>12.720804999999999</v>
      </c>
      <c r="G331" s="86">
        <f t="shared" si="83"/>
        <v>9.5010099999999991</v>
      </c>
      <c r="H331" s="86">
        <f t="shared" si="83"/>
        <v>10.275541000000004</v>
      </c>
      <c r="I331" s="86">
        <f t="shared" si="83"/>
        <v>1.4653230000000002</v>
      </c>
      <c r="J331" s="86">
        <f t="shared" si="83"/>
        <v>5.6952979999999993</v>
      </c>
      <c r="K331" s="86">
        <f t="shared" si="83"/>
        <v>0.66414700000000004</v>
      </c>
      <c r="L331" s="86">
        <f t="shared" si="83"/>
        <v>0.398034</v>
      </c>
      <c r="M331" s="86">
        <f t="shared" si="83"/>
        <v>0.33199999999999968</v>
      </c>
      <c r="N331" s="86">
        <f t="shared" si="84"/>
        <v>28.229982999999994</v>
      </c>
      <c r="O331" s="27"/>
      <c r="P331" s="87">
        <f t="shared" si="85"/>
        <v>-36.515170000000005</v>
      </c>
      <c r="Q331" s="87">
        <f t="shared" si="86"/>
        <v>45.914809999999996</v>
      </c>
      <c r="R331" s="87">
        <f t="shared" si="87"/>
        <v>17.436162000000003</v>
      </c>
      <c r="S331" s="87">
        <f t="shared" si="88"/>
        <v>1.3941809999999997</v>
      </c>
    </row>
    <row r="332" spans="1:19" ht="16.5" hidden="1">
      <c r="A332" s="81" t="s">
        <v>64</v>
      </c>
      <c r="B332" s="86">
        <f t="shared" si="83"/>
        <v>1.74485</v>
      </c>
      <c r="C332" s="86">
        <f t="shared" si="83"/>
        <v>34.781999999999996</v>
      </c>
      <c r="D332" s="86">
        <f t="shared" si="83"/>
        <v>62.106000000000009</v>
      </c>
      <c r="E332" s="86">
        <f t="shared" si="83"/>
        <v>51.904000000000003</v>
      </c>
      <c r="F332" s="86">
        <f t="shared" si="83"/>
        <v>65.91</v>
      </c>
      <c r="G332" s="86">
        <f t="shared" si="83"/>
        <v>42.908999999999999</v>
      </c>
      <c r="H332" s="86">
        <f t="shared" si="83"/>
        <v>59.516999999999996</v>
      </c>
      <c r="I332" s="86">
        <f t="shared" si="83"/>
        <v>55.483000000000004</v>
      </c>
      <c r="J332" s="86">
        <f t="shared" si="83"/>
        <v>67.328999999999994</v>
      </c>
      <c r="K332" s="86">
        <f t="shared" si="83"/>
        <v>1.6850000000000003</v>
      </c>
      <c r="L332" s="86">
        <f t="shared" si="83"/>
        <v>5.7900000000000009</v>
      </c>
      <c r="M332" s="86">
        <f t="shared" si="83"/>
        <v>0.29599999999999732</v>
      </c>
      <c r="N332" s="86">
        <f t="shared" si="84"/>
        <v>449.45585000000005</v>
      </c>
      <c r="O332" s="27"/>
      <c r="P332" s="87">
        <f t="shared" si="85"/>
        <v>98.632850000000005</v>
      </c>
      <c r="Q332" s="87">
        <f t="shared" si="86"/>
        <v>160.72299999999998</v>
      </c>
      <c r="R332" s="87">
        <f t="shared" si="87"/>
        <v>182.32900000000001</v>
      </c>
      <c r="S332" s="87">
        <f t="shared" si="88"/>
        <v>7.770999999999999</v>
      </c>
    </row>
    <row r="333" spans="1:19" ht="16.5" hidden="1">
      <c r="A333" s="83" t="s">
        <v>65</v>
      </c>
      <c r="B333" s="86">
        <f t="shared" si="83"/>
        <v>6.1540000000000035</v>
      </c>
      <c r="C333" s="86">
        <f t="shared" si="83"/>
        <v>146.26</v>
      </c>
      <c r="D333" s="86">
        <f t="shared" si="83"/>
        <v>213.62700000000001</v>
      </c>
      <c r="E333" s="86">
        <f t="shared" si="83"/>
        <v>335.29200000000003</v>
      </c>
      <c r="F333" s="86">
        <f t="shared" si="83"/>
        <v>84.995000000000005</v>
      </c>
      <c r="G333" s="86">
        <f t="shared" si="83"/>
        <v>92.444999999999993</v>
      </c>
      <c r="H333" s="86">
        <f t="shared" si="83"/>
        <v>87.432000000000002</v>
      </c>
      <c r="I333" s="86">
        <f t="shared" si="83"/>
        <v>69.27</v>
      </c>
      <c r="J333" s="86">
        <f t="shared" si="83"/>
        <v>47.873999999999995</v>
      </c>
      <c r="K333" s="86">
        <f t="shared" si="83"/>
        <v>29.655999999999999</v>
      </c>
      <c r="L333" s="86">
        <f t="shared" si="83"/>
        <v>4.4869999999999983</v>
      </c>
      <c r="M333" s="86">
        <f t="shared" si="83"/>
        <v>6.5483050000000027</v>
      </c>
      <c r="N333" s="86">
        <f t="shared" si="84"/>
        <v>1124.0403050000002</v>
      </c>
      <c r="O333" s="27"/>
      <c r="P333" s="87">
        <f t="shared" si="85"/>
        <v>366.041</v>
      </c>
      <c r="Q333" s="87">
        <f t="shared" si="86"/>
        <v>512.73199999999997</v>
      </c>
      <c r="R333" s="87">
        <f t="shared" si="87"/>
        <v>204.57599999999999</v>
      </c>
      <c r="S333" s="87">
        <f t="shared" si="88"/>
        <v>40.691305</v>
      </c>
    </row>
    <row r="334" spans="1:19" ht="16.5" hidden="1">
      <c r="A334" s="83" t="s">
        <v>66</v>
      </c>
      <c r="B334" s="86">
        <f t="shared" si="83"/>
        <v>7.375999999999995</v>
      </c>
      <c r="C334" s="86">
        <f t="shared" si="83"/>
        <v>16.557999999999993</v>
      </c>
      <c r="D334" s="86">
        <f t="shared" si="83"/>
        <v>15.094000000000005</v>
      </c>
      <c r="E334" s="86">
        <f t="shared" si="83"/>
        <v>8.4829999999999988</v>
      </c>
      <c r="F334" s="86">
        <f t="shared" si="83"/>
        <v>6.3589999999999947</v>
      </c>
      <c r="G334" s="86">
        <f t="shared" si="83"/>
        <v>10.086999999999991</v>
      </c>
      <c r="H334" s="86">
        <f t="shared" si="83"/>
        <v>14.262999999999998</v>
      </c>
      <c r="I334" s="86">
        <f t="shared" si="83"/>
        <v>24.070000000000004</v>
      </c>
      <c r="J334" s="86">
        <f t="shared" si="83"/>
        <v>8.2499999999999964</v>
      </c>
      <c r="K334" s="86">
        <f t="shared" si="83"/>
        <v>4.6499999999999977</v>
      </c>
      <c r="L334" s="86">
        <f t="shared" si="83"/>
        <v>7.9130000000000056</v>
      </c>
      <c r="M334" s="86">
        <f t="shared" si="83"/>
        <v>3.9759999999999991</v>
      </c>
      <c r="N334" s="86">
        <f t="shared" si="84"/>
        <v>127.07899999999998</v>
      </c>
      <c r="O334" s="27"/>
      <c r="P334" s="87">
        <f t="shared" si="85"/>
        <v>39.027999999999992</v>
      </c>
      <c r="Q334" s="87">
        <f t="shared" si="86"/>
        <v>24.928999999999984</v>
      </c>
      <c r="R334" s="87">
        <f t="shared" si="87"/>
        <v>46.582999999999998</v>
      </c>
      <c r="S334" s="87">
        <f t="shared" si="88"/>
        <v>16.539000000000001</v>
      </c>
    </row>
    <row r="335" spans="1:19" ht="16.5" hidden="1">
      <c r="A335" s="84" t="s">
        <v>67</v>
      </c>
      <c r="B335" s="86">
        <f t="shared" si="83"/>
        <v>17.559000000000005</v>
      </c>
      <c r="C335" s="86">
        <f t="shared" si="83"/>
        <v>32.385999999999996</v>
      </c>
      <c r="D335" s="86">
        <f t="shared" si="83"/>
        <v>86.34</v>
      </c>
      <c r="E335" s="86">
        <f t="shared" si="83"/>
        <v>103.14500000000001</v>
      </c>
      <c r="F335" s="86">
        <f t="shared" si="83"/>
        <v>36.536000000000001</v>
      </c>
      <c r="G335" s="86">
        <f t="shared" si="83"/>
        <v>16.608999999999995</v>
      </c>
      <c r="H335" s="86">
        <f t="shared" si="83"/>
        <v>140.685</v>
      </c>
      <c r="I335" s="86">
        <f t="shared" si="83"/>
        <v>64.921999999999997</v>
      </c>
      <c r="J335" s="86">
        <f t="shared" si="83"/>
        <v>47.51</v>
      </c>
      <c r="K335" s="86">
        <f t="shared" si="83"/>
        <v>13.403999999999998</v>
      </c>
      <c r="L335" s="86">
        <f t="shared" si="83"/>
        <v>23.893000000000001</v>
      </c>
      <c r="M335" s="86">
        <f t="shared" si="83"/>
        <v>7.1279999999999992</v>
      </c>
      <c r="N335" s="86">
        <f t="shared" si="84"/>
        <v>590.11700000000008</v>
      </c>
      <c r="O335" s="27"/>
      <c r="P335" s="87">
        <f t="shared" si="85"/>
        <v>136.285</v>
      </c>
      <c r="Q335" s="87">
        <f t="shared" si="86"/>
        <v>156.29000000000002</v>
      </c>
      <c r="R335" s="87">
        <f t="shared" si="87"/>
        <v>253.11699999999999</v>
      </c>
      <c r="S335" s="87">
        <f t="shared" si="88"/>
        <v>44.424999999999997</v>
      </c>
    </row>
    <row r="336" spans="1:19" ht="16.5" hidden="1">
      <c r="A336" s="83" t="s">
        <v>68</v>
      </c>
      <c r="B336" s="86">
        <f t="shared" si="83"/>
        <v>50.122999999999998</v>
      </c>
      <c r="C336" s="86">
        <f t="shared" si="83"/>
        <v>113.37100000000002</v>
      </c>
      <c r="D336" s="86">
        <f t="shared" si="83"/>
        <v>159.90800000000002</v>
      </c>
      <c r="E336" s="86">
        <f t="shared" si="83"/>
        <v>142.33699999999999</v>
      </c>
      <c r="F336" s="86">
        <f t="shared" si="83"/>
        <v>25.336000000000002</v>
      </c>
      <c r="G336" s="86">
        <f t="shared" si="83"/>
        <v>116.256</v>
      </c>
      <c r="H336" s="86">
        <f t="shared" si="83"/>
        <v>119.852</v>
      </c>
      <c r="I336" s="86">
        <f t="shared" si="83"/>
        <v>93.197000000000003</v>
      </c>
      <c r="J336" s="86">
        <f t="shared" si="83"/>
        <v>31.779000000000003</v>
      </c>
      <c r="K336" s="86">
        <f t="shared" si="83"/>
        <v>13.987000000000002</v>
      </c>
      <c r="L336" s="86">
        <f t="shared" si="83"/>
        <v>5.8130000000000006</v>
      </c>
      <c r="M336" s="86">
        <f t="shared" si="83"/>
        <v>4.4870000000000001</v>
      </c>
      <c r="N336" s="86">
        <f t="shared" si="84"/>
        <v>876.44599999999991</v>
      </c>
      <c r="O336" s="27"/>
      <c r="P336" s="87">
        <f t="shared" si="85"/>
        <v>323.40200000000004</v>
      </c>
      <c r="Q336" s="87">
        <f t="shared" si="86"/>
        <v>283.92899999999997</v>
      </c>
      <c r="R336" s="87">
        <f t="shared" si="87"/>
        <v>244.828</v>
      </c>
      <c r="S336" s="87">
        <f t="shared" si="88"/>
        <v>24.287000000000006</v>
      </c>
    </row>
    <row r="337" spans="1:19" ht="16.5" hidden="1">
      <c r="A337" s="84" t="s">
        <v>69</v>
      </c>
      <c r="B337" s="86">
        <f t="shared" si="83"/>
        <v>11.917</v>
      </c>
      <c r="C337" s="86">
        <f t="shared" si="83"/>
        <v>23.553999999999991</v>
      </c>
      <c r="D337" s="86">
        <f t="shared" si="83"/>
        <v>28.253999999999994</v>
      </c>
      <c r="E337" s="86">
        <f t="shared" si="83"/>
        <v>13.451000000000004</v>
      </c>
      <c r="F337" s="86">
        <f t="shared" si="83"/>
        <v>6.9079999999999977</v>
      </c>
      <c r="G337" s="86">
        <f t="shared" si="83"/>
        <v>7.6940000000000062</v>
      </c>
      <c r="H337" s="86">
        <f t="shared" si="83"/>
        <v>9.0809999999999995</v>
      </c>
      <c r="I337" s="86">
        <f t="shared" si="83"/>
        <v>10.70000000000001</v>
      </c>
      <c r="J337" s="86">
        <f t="shared" si="83"/>
        <v>5.1659999999999959</v>
      </c>
      <c r="K337" s="86">
        <f t="shared" si="83"/>
        <v>4.5529999999999937</v>
      </c>
      <c r="L337" s="86">
        <f t="shared" si="83"/>
        <v>1.5029999999999997</v>
      </c>
      <c r="M337" s="86">
        <f t="shared" si="83"/>
        <v>1.337</v>
      </c>
      <c r="N337" s="86">
        <f t="shared" si="84"/>
        <v>124.11799999999999</v>
      </c>
      <c r="O337" s="27"/>
      <c r="P337" s="87">
        <f t="shared" si="85"/>
        <v>63.72499999999998</v>
      </c>
      <c r="Q337" s="87">
        <f t="shared" si="86"/>
        <v>28.053000000000008</v>
      </c>
      <c r="R337" s="87">
        <f t="shared" si="87"/>
        <v>24.947000000000006</v>
      </c>
      <c r="S337" s="87">
        <f t="shared" si="88"/>
        <v>7.3929999999999936</v>
      </c>
    </row>
    <row r="338" spans="1:19" ht="16.5" hidden="1">
      <c r="A338" s="84" t="s">
        <v>70</v>
      </c>
      <c r="B338" s="86">
        <f t="shared" si="83"/>
        <v>19.580000000000002</v>
      </c>
      <c r="C338" s="86">
        <f t="shared" si="83"/>
        <v>41.882999999999996</v>
      </c>
      <c r="D338" s="86">
        <f t="shared" si="83"/>
        <v>63.919000000000004</v>
      </c>
      <c r="E338" s="86">
        <f t="shared" si="83"/>
        <v>103.096</v>
      </c>
      <c r="F338" s="86">
        <f t="shared" si="83"/>
        <v>116.78200000000001</v>
      </c>
      <c r="G338" s="86">
        <f t="shared" si="83"/>
        <v>154.94499999999999</v>
      </c>
      <c r="H338" s="86">
        <f t="shared" si="83"/>
        <v>170.89300000000003</v>
      </c>
      <c r="I338" s="86">
        <f t="shared" si="83"/>
        <v>75.706000000000003</v>
      </c>
      <c r="J338" s="86">
        <f t="shared" si="83"/>
        <v>50.279000000000003</v>
      </c>
      <c r="K338" s="86">
        <f t="shared" si="83"/>
        <v>52.062999999999995</v>
      </c>
      <c r="L338" s="86">
        <f t="shared" si="83"/>
        <v>59.473999999999997</v>
      </c>
      <c r="M338" s="86">
        <f t="shared" si="83"/>
        <v>24.738000000000007</v>
      </c>
      <c r="N338" s="86">
        <f t="shared" si="84"/>
        <v>933.35800000000006</v>
      </c>
      <c r="O338" s="27"/>
      <c r="P338" s="87">
        <f t="shared" si="85"/>
        <v>125.38200000000001</v>
      </c>
      <c r="Q338" s="87">
        <f t="shared" si="86"/>
        <v>374.82299999999998</v>
      </c>
      <c r="R338" s="87">
        <f t="shared" si="87"/>
        <v>296.87800000000004</v>
      </c>
      <c r="S338" s="87">
        <f t="shared" si="88"/>
        <v>136.27500000000001</v>
      </c>
    </row>
    <row r="339" spans="1:19" ht="16.5" hidden="1">
      <c r="A339" s="83" t="s">
        <v>71</v>
      </c>
      <c r="B339" s="86">
        <f t="shared" si="83"/>
        <v>86.850000000000009</v>
      </c>
      <c r="C339" s="86">
        <f t="shared" si="83"/>
        <v>139.34700000000004</v>
      </c>
      <c r="D339" s="86">
        <f t="shared" si="83"/>
        <v>33.448000000000015</v>
      </c>
      <c r="E339" s="86">
        <f t="shared" si="83"/>
        <v>18.250999999999998</v>
      </c>
      <c r="F339" s="86">
        <f t="shared" si="83"/>
        <v>10.936000000000002</v>
      </c>
      <c r="G339" s="86">
        <f t="shared" si="83"/>
        <v>12.458999999999998</v>
      </c>
      <c r="H339" s="86">
        <f t="shared" si="83"/>
        <v>23.882999999999988</v>
      </c>
      <c r="I339" s="86">
        <f t="shared" si="83"/>
        <v>14.709</v>
      </c>
      <c r="J339" s="86">
        <f t="shared" si="83"/>
        <v>30.045999999999999</v>
      </c>
      <c r="K339" s="86">
        <f t="shared" si="83"/>
        <v>9.7460000000000075</v>
      </c>
      <c r="L339" s="86">
        <f t="shared" si="83"/>
        <v>10.691000000000001</v>
      </c>
      <c r="M339" s="86">
        <f t="shared" si="83"/>
        <v>6.0509999999999993</v>
      </c>
      <c r="N339" s="86">
        <f t="shared" si="84"/>
        <v>396.41699999999997</v>
      </c>
      <c r="O339" s="27"/>
      <c r="P339" s="87">
        <f t="shared" si="85"/>
        <v>259.6450000000001</v>
      </c>
      <c r="Q339" s="87">
        <f t="shared" si="86"/>
        <v>41.645999999999994</v>
      </c>
      <c r="R339" s="87">
        <f t="shared" si="87"/>
        <v>68.637999999999977</v>
      </c>
      <c r="S339" s="87">
        <f t="shared" si="88"/>
        <v>26.488000000000007</v>
      </c>
    </row>
    <row r="340" spans="1:19" ht="16.5" hidden="1">
      <c r="A340" s="84" t="s">
        <v>72</v>
      </c>
      <c r="B340" s="86">
        <f t="shared" si="83"/>
        <v>25.551999999999996</v>
      </c>
      <c r="C340" s="86">
        <f t="shared" si="83"/>
        <v>82.34</v>
      </c>
      <c r="D340" s="86">
        <f t="shared" si="83"/>
        <v>29.589999999999996</v>
      </c>
      <c r="E340" s="86">
        <f t="shared" si="83"/>
        <v>62.255000000000003</v>
      </c>
      <c r="F340" s="86">
        <f t="shared" si="83"/>
        <v>47.841999999999999</v>
      </c>
      <c r="G340" s="86">
        <f t="shared" si="83"/>
        <v>24.463000000000001</v>
      </c>
      <c r="H340" s="86">
        <f t="shared" si="83"/>
        <v>60.138000000000005</v>
      </c>
      <c r="I340" s="86">
        <f t="shared" si="83"/>
        <v>44.204999999999998</v>
      </c>
      <c r="J340" s="86">
        <f>J253+J282+J311</f>
        <v>7.2019999999999964</v>
      </c>
      <c r="K340" s="86">
        <f t="shared" si="83"/>
        <v>11.841999999999999</v>
      </c>
      <c r="L340" s="86">
        <f t="shared" si="83"/>
        <v>4.1859999999999999</v>
      </c>
      <c r="M340" s="86">
        <f t="shared" si="83"/>
        <v>3.1509999999999998</v>
      </c>
      <c r="N340" s="86">
        <f t="shared" si="84"/>
        <v>402.76600000000002</v>
      </c>
      <c r="O340" s="27"/>
      <c r="P340" s="87">
        <f t="shared" si="85"/>
        <v>137.482</v>
      </c>
      <c r="Q340" s="87">
        <f t="shared" si="86"/>
        <v>134.56</v>
      </c>
      <c r="R340" s="87">
        <f t="shared" si="87"/>
        <v>111.545</v>
      </c>
      <c r="S340" s="87">
        <f t="shared" si="88"/>
        <v>19.178999999999998</v>
      </c>
    </row>
    <row r="341" spans="1:19" ht="16.5" hidden="1">
      <c r="A341" s="83" t="s">
        <v>73</v>
      </c>
      <c r="B341" s="86">
        <f t="shared" ref="B341:M350" si="89">B254+B283+B312</f>
        <v>79.605999999999966</v>
      </c>
      <c r="C341" s="86">
        <f t="shared" si="89"/>
        <v>161.80599999999998</v>
      </c>
      <c r="D341" s="86">
        <f t="shared" si="89"/>
        <v>94.413999999999987</v>
      </c>
      <c r="E341" s="86">
        <f t="shared" si="89"/>
        <v>62.829999999999984</v>
      </c>
      <c r="F341" s="86">
        <f t="shared" si="89"/>
        <v>14.002999999999997</v>
      </c>
      <c r="G341" s="86">
        <f t="shared" si="89"/>
        <v>17.000999999999998</v>
      </c>
      <c r="H341" s="86">
        <f t="shared" si="89"/>
        <v>18.816000000000003</v>
      </c>
      <c r="I341" s="86">
        <f t="shared" si="89"/>
        <v>8.4210000000000136</v>
      </c>
      <c r="J341" s="86">
        <f t="shared" si="89"/>
        <v>22.44799999999999</v>
      </c>
      <c r="K341" s="86">
        <f t="shared" si="89"/>
        <v>28.581000000000003</v>
      </c>
      <c r="L341" s="86">
        <f t="shared" si="89"/>
        <v>34.652999999999999</v>
      </c>
      <c r="M341" s="86">
        <f t="shared" si="89"/>
        <v>2.4980000000000002</v>
      </c>
      <c r="N341" s="86">
        <f t="shared" si="84"/>
        <v>545.07699999999988</v>
      </c>
      <c r="O341" s="27"/>
      <c r="P341" s="87">
        <f t="shared" si="85"/>
        <v>335.82599999999991</v>
      </c>
      <c r="Q341" s="87">
        <f t="shared" si="86"/>
        <v>93.833999999999975</v>
      </c>
      <c r="R341" s="87">
        <f t="shared" si="87"/>
        <v>49.685000000000002</v>
      </c>
      <c r="S341" s="87">
        <f t="shared" si="88"/>
        <v>65.731999999999999</v>
      </c>
    </row>
    <row r="342" spans="1:19" ht="16.5" hidden="1">
      <c r="A342" s="83" t="s">
        <v>74</v>
      </c>
      <c r="B342" s="86">
        <f t="shared" si="89"/>
        <v>12.866999999999994</v>
      </c>
      <c r="C342" s="86">
        <f t="shared" si="89"/>
        <v>37.997</v>
      </c>
      <c r="D342" s="86">
        <f t="shared" si="89"/>
        <v>23.901</v>
      </c>
      <c r="E342" s="86">
        <f t="shared" si="89"/>
        <v>18.739000000000004</v>
      </c>
      <c r="F342" s="86">
        <f t="shared" si="89"/>
        <v>15.476000000000001</v>
      </c>
      <c r="G342" s="86">
        <f t="shared" si="89"/>
        <v>16.257000000000005</v>
      </c>
      <c r="H342" s="86">
        <f t="shared" si="89"/>
        <v>14.296999999999999</v>
      </c>
      <c r="I342" s="86">
        <f t="shared" si="89"/>
        <v>12.077</v>
      </c>
      <c r="J342" s="86">
        <f t="shared" si="89"/>
        <v>6.3319999999999999</v>
      </c>
      <c r="K342" s="86">
        <f t="shared" si="89"/>
        <v>5.3520000000000083</v>
      </c>
      <c r="L342" s="86">
        <f t="shared" si="89"/>
        <v>3.1289999999999982</v>
      </c>
      <c r="M342" s="86">
        <f t="shared" si="89"/>
        <v>2.3069999999999999</v>
      </c>
      <c r="N342" s="86">
        <f t="shared" si="84"/>
        <v>168.73099999999997</v>
      </c>
      <c r="O342" s="27"/>
      <c r="P342" s="87">
        <f t="shared" si="85"/>
        <v>74.764999999999986</v>
      </c>
      <c r="Q342" s="87">
        <f t="shared" si="86"/>
        <v>50.472000000000008</v>
      </c>
      <c r="R342" s="87">
        <f t="shared" si="87"/>
        <v>32.705999999999996</v>
      </c>
      <c r="S342" s="87">
        <f t="shared" si="88"/>
        <v>10.788000000000007</v>
      </c>
    </row>
    <row r="343" spans="1:19" ht="16.5" hidden="1">
      <c r="A343" s="83" t="s">
        <v>75</v>
      </c>
      <c r="B343" s="86">
        <f t="shared" si="89"/>
        <v>73.853999999999985</v>
      </c>
      <c r="C343" s="86">
        <f t="shared" si="89"/>
        <v>210.125</v>
      </c>
      <c r="D343" s="86">
        <f t="shared" si="89"/>
        <v>58.817000000000007</v>
      </c>
      <c r="E343" s="86">
        <f t="shared" si="89"/>
        <v>83.528999999999996</v>
      </c>
      <c r="F343" s="86">
        <f t="shared" si="89"/>
        <v>19.736999999999998</v>
      </c>
      <c r="G343" s="86">
        <f t="shared" si="89"/>
        <v>51.454000000000001</v>
      </c>
      <c r="H343" s="86">
        <f t="shared" si="89"/>
        <v>25.558000000000007</v>
      </c>
      <c r="I343" s="86">
        <f t="shared" si="89"/>
        <v>35.045000000000002</v>
      </c>
      <c r="J343" s="86">
        <f t="shared" si="89"/>
        <v>12.710000000000008</v>
      </c>
      <c r="K343" s="86">
        <f t="shared" si="89"/>
        <v>7.7279999999999989</v>
      </c>
      <c r="L343" s="86">
        <f t="shared" si="89"/>
        <v>7.3149999999999995</v>
      </c>
      <c r="M343" s="86">
        <f t="shared" si="89"/>
        <v>4.1720000000000006</v>
      </c>
      <c r="N343" s="86">
        <f t="shared" si="84"/>
        <v>590.0440000000001</v>
      </c>
      <c r="O343" s="27"/>
      <c r="P343" s="87">
        <f t="shared" si="85"/>
        <v>342.79599999999999</v>
      </c>
      <c r="Q343" s="87">
        <f t="shared" si="86"/>
        <v>154.72</v>
      </c>
      <c r="R343" s="87">
        <f t="shared" si="87"/>
        <v>73.313000000000017</v>
      </c>
      <c r="S343" s="87">
        <f t="shared" si="88"/>
        <v>19.215</v>
      </c>
    </row>
    <row r="344" spans="1:19" ht="16.5" hidden="1">
      <c r="A344" s="83" t="s">
        <v>76</v>
      </c>
      <c r="B344" s="86">
        <f t="shared" si="89"/>
        <v>43.865999999999985</v>
      </c>
      <c r="C344" s="86">
        <f t="shared" si="89"/>
        <v>117.95000000000005</v>
      </c>
      <c r="D344" s="86">
        <f t="shared" si="89"/>
        <v>71.441000000000003</v>
      </c>
      <c r="E344" s="86">
        <f t="shared" si="89"/>
        <v>91.414000000000001</v>
      </c>
      <c r="F344" s="86">
        <f t="shared" si="89"/>
        <v>14.694999999999999</v>
      </c>
      <c r="G344" s="86">
        <f t="shared" si="89"/>
        <v>14.696999999999999</v>
      </c>
      <c r="H344" s="86">
        <f t="shared" si="89"/>
        <v>16.234000000000002</v>
      </c>
      <c r="I344" s="86">
        <f t="shared" si="89"/>
        <v>31.695</v>
      </c>
      <c r="J344" s="86">
        <f t="shared" si="89"/>
        <v>8.2699999999999978</v>
      </c>
      <c r="K344" s="86">
        <f t="shared" si="89"/>
        <v>7.7930000000000001</v>
      </c>
      <c r="L344" s="86">
        <f t="shared" si="89"/>
        <v>6.1230000000000002</v>
      </c>
      <c r="M344" s="86">
        <f t="shared" si="89"/>
        <v>5.0650000000000004</v>
      </c>
      <c r="N344" s="86">
        <f t="shared" si="84"/>
        <v>429.24299999999999</v>
      </c>
      <c r="O344" s="27"/>
      <c r="P344" s="87">
        <f>SUM(B344:D344)</f>
        <v>233.25700000000003</v>
      </c>
      <c r="Q344" s="87">
        <f t="shared" si="86"/>
        <v>120.806</v>
      </c>
      <c r="R344" s="87">
        <f t="shared" si="87"/>
        <v>56.198999999999998</v>
      </c>
      <c r="S344" s="87">
        <f t="shared" si="88"/>
        <v>18.981000000000002</v>
      </c>
    </row>
    <row r="345" spans="1:19" ht="16.5" hidden="1">
      <c r="A345" s="83" t="s">
        <v>77</v>
      </c>
      <c r="B345" s="86">
        <f t="shared" si="89"/>
        <v>32.652999999999999</v>
      </c>
      <c r="C345" s="86">
        <f t="shared" si="89"/>
        <v>59.262</v>
      </c>
      <c r="D345" s="86">
        <f t="shared" si="89"/>
        <v>25.533999999999999</v>
      </c>
      <c r="E345" s="86">
        <f t="shared" si="89"/>
        <v>34.31</v>
      </c>
      <c r="F345" s="86">
        <f t="shared" si="89"/>
        <v>15.899000000000001</v>
      </c>
      <c r="G345" s="86">
        <f t="shared" si="89"/>
        <v>46.811999999999998</v>
      </c>
      <c r="H345" s="86">
        <f t="shared" si="89"/>
        <v>51.232999999999997</v>
      </c>
      <c r="I345" s="86">
        <f t="shared" si="89"/>
        <v>28.087999999999997</v>
      </c>
      <c r="J345" s="86">
        <f t="shared" si="89"/>
        <v>35.611000000000004</v>
      </c>
      <c r="K345" s="86">
        <f t="shared" si="89"/>
        <v>12.827000000000002</v>
      </c>
      <c r="L345" s="86">
        <f t="shared" si="89"/>
        <v>8.4289999999999985</v>
      </c>
      <c r="M345" s="86">
        <f t="shared" si="89"/>
        <v>8.43</v>
      </c>
      <c r="N345" s="86">
        <f t="shared" si="84"/>
        <v>359.08799999999997</v>
      </c>
      <c r="O345" s="27"/>
      <c r="P345" s="87">
        <f t="shared" ref="P345:P350" si="90">SUM(B345:D345)</f>
        <v>117.44899999999998</v>
      </c>
      <c r="Q345" s="87">
        <f t="shared" si="86"/>
        <v>97.021000000000001</v>
      </c>
      <c r="R345" s="87">
        <f t="shared" si="87"/>
        <v>114.932</v>
      </c>
      <c r="S345" s="87">
        <f t="shared" si="88"/>
        <v>29.686</v>
      </c>
    </row>
    <row r="346" spans="1:19" ht="16.5" hidden="1">
      <c r="A346" s="83" t="s">
        <v>78</v>
      </c>
      <c r="B346" s="86">
        <f t="shared" si="89"/>
        <v>85.822000000000017</v>
      </c>
      <c r="C346" s="86">
        <f t="shared" si="89"/>
        <v>57.835000000000001</v>
      </c>
      <c r="D346" s="86">
        <f t="shared" si="89"/>
        <v>142.84100000000001</v>
      </c>
      <c r="E346" s="86">
        <f t="shared" si="89"/>
        <v>77.878999999999991</v>
      </c>
      <c r="F346" s="86" t="e">
        <f t="shared" si="89"/>
        <v>#VALUE!</v>
      </c>
      <c r="G346" s="86">
        <f t="shared" si="89"/>
        <v>34.576999999999998</v>
      </c>
      <c r="H346" s="86">
        <f t="shared" si="89"/>
        <v>35.79</v>
      </c>
      <c r="I346" s="86" t="e">
        <f t="shared" si="89"/>
        <v>#VALUE!</v>
      </c>
      <c r="J346" s="86" t="e">
        <f t="shared" si="89"/>
        <v>#VALUE!</v>
      </c>
      <c r="K346" s="86">
        <f t="shared" si="89"/>
        <v>23.172229999999999</v>
      </c>
      <c r="L346" s="86" t="e">
        <f t="shared" si="89"/>
        <v>#VALUE!</v>
      </c>
      <c r="M346" s="86" t="e">
        <f t="shared" si="89"/>
        <v>#VALUE!</v>
      </c>
      <c r="N346" s="86" t="e">
        <f t="shared" si="84"/>
        <v>#VALUE!</v>
      </c>
      <c r="O346" s="27"/>
      <c r="P346" s="87">
        <f t="shared" si="90"/>
        <v>286.49800000000005</v>
      </c>
      <c r="Q346" s="87" t="e">
        <f t="shared" si="86"/>
        <v>#VALUE!</v>
      </c>
      <c r="R346" s="87" t="e">
        <f t="shared" si="87"/>
        <v>#VALUE!</v>
      </c>
      <c r="S346" s="87" t="e">
        <f t="shared" si="88"/>
        <v>#VALUE!</v>
      </c>
    </row>
    <row r="347" spans="1:19" ht="16.5" hidden="1">
      <c r="A347" s="83" t="s">
        <v>79</v>
      </c>
      <c r="B347" s="86">
        <f t="shared" si="89"/>
        <v>29.670811</v>
      </c>
      <c r="C347" s="86" t="e">
        <f t="shared" si="89"/>
        <v>#VALUE!</v>
      </c>
      <c r="D347" s="86" t="e">
        <f t="shared" si="89"/>
        <v>#VALUE!</v>
      </c>
      <c r="E347" s="86">
        <f t="shared" si="89"/>
        <v>32.491448000000005</v>
      </c>
      <c r="F347" s="86" t="e">
        <f t="shared" si="89"/>
        <v>#VALUE!</v>
      </c>
      <c r="G347" s="86" t="e">
        <f t="shared" si="89"/>
        <v>#VALUE!</v>
      </c>
      <c r="H347" s="86">
        <f t="shared" si="89"/>
        <v>31.62799</v>
      </c>
      <c r="I347" s="86">
        <f t="shared" si="89"/>
        <v>48.359119000000007</v>
      </c>
      <c r="J347" s="86">
        <f t="shared" si="89"/>
        <v>17.679802999999996</v>
      </c>
      <c r="K347" s="86" t="e">
        <f t="shared" si="89"/>
        <v>#VALUE!</v>
      </c>
      <c r="L347" s="86" t="e">
        <f t="shared" si="89"/>
        <v>#VALUE!</v>
      </c>
      <c r="M347" s="86" t="e">
        <f t="shared" si="89"/>
        <v>#VALUE!</v>
      </c>
      <c r="N347" s="86" t="e">
        <f t="shared" si="84"/>
        <v>#VALUE!</v>
      </c>
      <c r="O347" s="27"/>
      <c r="P347" s="87" t="e">
        <f t="shared" si="90"/>
        <v>#VALUE!</v>
      </c>
      <c r="Q347" s="87" t="e">
        <f t="shared" si="86"/>
        <v>#VALUE!</v>
      </c>
      <c r="R347" s="87">
        <f t="shared" si="87"/>
        <v>97.666911999999996</v>
      </c>
      <c r="S347" s="87" t="e">
        <f t="shared" si="88"/>
        <v>#VALUE!</v>
      </c>
    </row>
    <row r="348" spans="1:19" ht="16.5">
      <c r="A348" s="85" t="s">
        <v>80</v>
      </c>
      <c r="B348" s="86">
        <f>B261+B290+B319</f>
        <v>19.683855999999999</v>
      </c>
      <c r="C348" s="86" t="e">
        <f t="shared" si="89"/>
        <v>#VALUE!</v>
      </c>
      <c r="D348" s="86">
        <f t="shared" si="89"/>
        <v>31.169635000000007</v>
      </c>
      <c r="E348" s="86">
        <f t="shared" si="89"/>
        <v>25.010673999999998</v>
      </c>
      <c r="F348" s="86">
        <f t="shared" si="89"/>
        <v>35.598758000000004</v>
      </c>
      <c r="G348" s="86">
        <f t="shared" si="89"/>
        <v>39.641538999999995</v>
      </c>
      <c r="H348" s="86">
        <f t="shared" si="89"/>
        <v>36.831013000000006</v>
      </c>
      <c r="I348" s="86">
        <f t="shared" si="89"/>
        <v>38.061462999999996</v>
      </c>
      <c r="J348" s="86">
        <f t="shared" si="89"/>
        <v>21.937561000000009</v>
      </c>
      <c r="K348" s="86">
        <f t="shared" si="89"/>
        <v>21.660528000000006</v>
      </c>
      <c r="L348" s="86">
        <f t="shared" si="89"/>
        <v>15042.819056000008</v>
      </c>
      <c r="M348" s="86">
        <f t="shared" si="89"/>
        <v>24655.639581000007</v>
      </c>
      <c r="N348" s="86" t="e">
        <f t="shared" si="84"/>
        <v>#VALUE!</v>
      </c>
      <c r="O348" s="27"/>
      <c r="P348" s="87" t="e">
        <f t="shared" si="90"/>
        <v>#VALUE!</v>
      </c>
      <c r="Q348" s="87">
        <f t="shared" si="86"/>
        <v>100.25097099999999</v>
      </c>
      <c r="R348" s="87">
        <f t="shared" si="87"/>
        <v>96.830037000000004</v>
      </c>
      <c r="S348" s="87">
        <f t="shared" si="88"/>
        <v>39720.119165000011</v>
      </c>
    </row>
    <row r="349" spans="1:19" ht="16.5">
      <c r="A349" s="85" t="s">
        <v>81</v>
      </c>
      <c r="B349" s="86">
        <f t="shared" si="89"/>
        <v>118411.39232000001</v>
      </c>
      <c r="C349" s="86">
        <f t="shared" si="89"/>
        <v>44079.433275999996</v>
      </c>
      <c r="D349" s="86">
        <f t="shared" si="89"/>
        <v>42697.064986000012</v>
      </c>
      <c r="E349" s="86">
        <f t="shared" si="89"/>
        <v>28427.321931000013</v>
      </c>
      <c r="F349" s="86">
        <f t="shared" si="89"/>
        <v>33520.110728999993</v>
      </c>
      <c r="G349" s="86">
        <f t="shared" si="89"/>
        <v>32523.243782999991</v>
      </c>
      <c r="H349" s="86">
        <f t="shared" si="89"/>
        <v>37109.411627999987</v>
      </c>
      <c r="I349" s="86">
        <f t="shared" si="89"/>
        <v>55245.457024999989</v>
      </c>
      <c r="J349" s="86">
        <f t="shared" si="89"/>
        <v>64669.09695699998</v>
      </c>
      <c r="K349" s="86">
        <f t="shared" si="89"/>
        <v>65177.642331999967</v>
      </c>
      <c r="L349" s="86">
        <f t="shared" si="89"/>
        <v>20561.226280999985</v>
      </c>
      <c r="M349" s="86">
        <f t="shared" si="89"/>
        <v>16043.039760000003</v>
      </c>
      <c r="N349" s="86">
        <f t="shared" si="84"/>
        <v>558464.44100799982</v>
      </c>
      <c r="O349" s="27"/>
      <c r="P349" s="87">
        <f t="shared" si="90"/>
        <v>205187.89058200002</v>
      </c>
      <c r="Q349" s="87">
        <f t="shared" si="86"/>
        <v>94470.676443000004</v>
      </c>
      <c r="R349" s="87">
        <f t="shared" si="87"/>
        <v>157023.96560999996</v>
      </c>
      <c r="S349" s="87">
        <f t="shared" si="88"/>
        <v>101781.90837299995</v>
      </c>
    </row>
    <row r="350" spans="1:19" ht="17.25" thickBot="1">
      <c r="A350" s="88" t="s">
        <v>82</v>
      </c>
      <c r="B350" s="89">
        <f t="shared" si="89"/>
        <v>87965.269811999999</v>
      </c>
      <c r="C350" s="89">
        <f t="shared" si="89"/>
        <v>42093.386573999989</v>
      </c>
      <c r="D350" s="89">
        <f t="shared" si="89"/>
        <v>40004.447725000005</v>
      </c>
      <c r="E350" s="89">
        <f t="shared" si="89"/>
        <v>62910.895891999993</v>
      </c>
      <c r="F350" s="89">
        <f t="shared" si="89"/>
        <v>86513.19</v>
      </c>
      <c r="G350" s="89" t="e">
        <f t="shared" si="89"/>
        <v>#VALUE!</v>
      </c>
      <c r="H350" s="89" t="e">
        <f t="shared" si="89"/>
        <v>#VALUE!</v>
      </c>
      <c r="I350" s="90" t="e">
        <f t="shared" si="89"/>
        <v>#VALUE!</v>
      </c>
      <c r="J350" s="90">
        <f t="shared" si="89"/>
        <v>-28.828895399582326</v>
      </c>
      <c r="K350" s="90">
        <f t="shared" si="89"/>
        <v>-39.187693530487508</v>
      </c>
      <c r="L350" s="90">
        <f t="shared" si="89"/>
        <v>-3.6276455486362771</v>
      </c>
      <c r="M350" s="90">
        <f t="shared" si="89"/>
        <v>92.068302788590444</v>
      </c>
      <c r="N350" s="90" t="e">
        <f t="shared" si="84"/>
        <v>#VALUE!</v>
      </c>
      <c r="O350" s="91"/>
      <c r="P350" s="92">
        <f t="shared" si="90"/>
        <v>170063.10411099999</v>
      </c>
      <c r="Q350" s="92" t="e">
        <f t="shared" si="86"/>
        <v>#VALUE!</v>
      </c>
      <c r="R350" s="93" t="e">
        <f t="shared" si="87"/>
        <v>#VALUE!</v>
      </c>
      <c r="S350" s="93">
        <f t="shared" si="88"/>
        <v>49.252963709466655</v>
      </c>
    </row>
    <row r="351" spans="1:19" ht="16.5">
      <c r="A351" s="80" t="s">
        <v>95</v>
      </c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27"/>
      <c r="P351" s="87"/>
      <c r="Q351" s="87"/>
      <c r="R351" s="87"/>
      <c r="S351" s="87"/>
    </row>
    <row r="352" spans="1:19" ht="16.5" hidden="1">
      <c r="A352" s="96" t="s">
        <v>84</v>
      </c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27"/>
      <c r="P352" s="87"/>
      <c r="Q352" s="87"/>
      <c r="R352" s="87"/>
      <c r="S352" s="87"/>
    </row>
    <row r="353" spans="1:19" ht="16.5" hidden="1">
      <c r="A353" s="96" t="s">
        <v>56</v>
      </c>
      <c r="B353" s="86">
        <f>'[2]EU Sunflower Exports'!AQ$290</f>
        <v>0</v>
      </c>
      <c r="C353" s="86">
        <f>'[2]EU Sunflower Exports'!AR$290</f>
        <v>0</v>
      </c>
      <c r="D353" s="86">
        <f>'[2]EU Sunflower Exports'!AS$290</f>
        <v>0</v>
      </c>
      <c r="E353" s="86">
        <f>'[2]EU Sunflower Exports'!AT$290</f>
        <v>0</v>
      </c>
      <c r="F353" s="86">
        <f>'[2]EU Sunflower Exports'!AU$290</f>
        <v>0</v>
      </c>
      <c r="G353" s="86">
        <f>'[2]EU Sunflower Exports'!AV$290</f>
        <v>0</v>
      </c>
      <c r="H353" s="86">
        <f>'[2]EU Sunflower Exports'!AW$290</f>
        <v>0</v>
      </c>
      <c r="I353" s="86">
        <f>'[2]EU Sunflower Exports'!AX$290</f>
        <v>0</v>
      </c>
      <c r="J353" s="86">
        <f>'[2]EU Sunflower Exports'!AY$290</f>
        <v>0</v>
      </c>
      <c r="K353" s="86">
        <f>'[2]EU Sunflower Exports'!AZ$290</f>
        <v>0</v>
      </c>
      <c r="L353" s="86">
        <f>'[2]EU Sunflower Exports'!BA$290</f>
        <v>0</v>
      </c>
      <c r="M353" s="86">
        <f>'[2]EU Sunflower Exports'!BB$290</f>
        <v>0</v>
      </c>
      <c r="N353" s="86">
        <f>SUM(B353:M353)</f>
        <v>0</v>
      </c>
      <c r="O353" s="82"/>
      <c r="P353" s="87">
        <f>SUM(B353:D353)</f>
        <v>0</v>
      </c>
      <c r="Q353" s="87">
        <f>SUM(E353:G353)</f>
        <v>0</v>
      </c>
      <c r="R353" s="87">
        <f>SUM(H353:J353)</f>
        <v>0</v>
      </c>
      <c r="S353" s="87">
        <f>SUM(K353:M353)</f>
        <v>0</v>
      </c>
    </row>
    <row r="354" spans="1:19" ht="16.5" hidden="1">
      <c r="A354" s="96" t="s">
        <v>57</v>
      </c>
      <c r="B354" s="86">
        <f>'[2]EU Sunflower Exports'!BC$290</f>
        <v>0</v>
      </c>
      <c r="C354" s="86">
        <f>'[2]EU Sunflower Exports'!BD$290</f>
        <v>0</v>
      </c>
      <c r="D354" s="86">
        <f>'[2]EU Sunflower Exports'!BE$290</f>
        <v>0</v>
      </c>
      <c r="E354" s="86">
        <f>'[2]EU Sunflower Exports'!BF$290</f>
        <v>0</v>
      </c>
      <c r="F354" s="86">
        <f>'[2]EU Sunflower Exports'!BG$290</f>
        <v>0</v>
      </c>
      <c r="G354" s="86">
        <f>'[2]EU Sunflower Exports'!BH$290</f>
        <v>0</v>
      </c>
      <c r="H354" s="86">
        <f>'[2]EU Sunflower Exports'!BI$290</f>
        <v>0</v>
      </c>
      <c r="I354" s="86">
        <f>'[2]EU Sunflower Exports'!BJ$290</f>
        <v>0</v>
      </c>
      <c r="J354" s="86">
        <f>'[2]EU Sunflower Exports'!BK$290</f>
        <v>0</v>
      </c>
      <c r="K354" s="86">
        <f>'[2]EU Sunflower Exports'!BL$290</f>
        <v>0</v>
      </c>
      <c r="L354" s="86">
        <f>'[2]EU Sunflower Exports'!BM$290</f>
        <v>0</v>
      </c>
      <c r="M354" s="86">
        <f>'[2]EU Sunflower Exports'!BN$290</f>
        <v>0</v>
      </c>
      <c r="N354" s="86">
        <f t="shared" ref="N354:N378" si="91">SUM(B354:M354)</f>
        <v>0</v>
      </c>
      <c r="O354" s="82"/>
      <c r="P354" s="87">
        <f t="shared" ref="P354:P372" si="92">SUM(B354:D354)</f>
        <v>0</v>
      </c>
      <c r="Q354" s="87">
        <f t="shared" ref="Q354:Q379" si="93">SUM(E354:G354)</f>
        <v>0</v>
      </c>
      <c r="R354" s="87">
        <f t="shared" ref="R354:R379" si="94">SUM(H354:J354)</f>
        <v>0</v>
      </c>
      <c r="S354" s="87">
        <f t="shared" ref="S354:S379" si="95">SUM(K354:M354)</f>
        <v>0</v>
      </c>
    </row>
    <row r="355" spans="1:19" ht="16.5" hidden="1">
      <c r="A355" s="96" t="s">
        <v>58</v>
      </c>
      <c r="B355" s="86">
        <f>'[2]EU Sunflower Exports'!BO$290</f>
        <v>0</v>
      </c>
      <c r="C355" s="86">
        <f>'[2]EU Sunflower Exports'!BP$290</f>
        <v>0</v>
      </c>
      <c r="D355" s="86">
        <f>'[2]EU Sunflower Exports'!BQ$290</f>
        <v>0</v>
      </c>
      <c r="E355" s="86">
        <f>'[2]EU Sunflower Exports'!BR$290</f>
        <v>0</v>
      </c>
      <c r="F355" s="86">
        <f>'[2]EU Sunflower Exports'!BS$290</f>
        <v>1.3149999999999999</v>
      </c>
      <c r="G355" s="86">
        <f>'[2]EU Sunflower Exports'!BT$290</f>
        <v>1.3429999999999997</v>
      </c>
      <c r="H355" s="86">
        <f>'[2]EU Sunflower Exports'!BU$290</f>
        <v>22.706000000000003</v>
      </c>
      <c r="I355" s="86">
        <f>'[2]EU Sunflower Exports'!BV$290</f>
        <v>0.90700000000000003</v>
      </c>
      <c r="J355" s="86">
        <f>'[2]EU Sunflower Exports'!BW$290</f>
        <v>34.113</v>
      </c>
      <c r="K355" s="86">
        <f>'[2]EU Sunflower Exports'!BX$290</f>
        <v>4.6349999999999998</v>
      </c>
      <c r="L355" s="86">
        <f>'[2]EU Sunflower Exports'!BY$290</f>
        <v>9.8339999999999996</v>
      </c>
      <c r="M355" s="86">
        <f>'[2]EU Sunflower Exports'!BZ$290</f>
        <v>7.4989999999999997</v>
      </c>
      <c r="N355" s="86">
        <f t="shared" si="91"/>
        <v>82.352000000000004</v>
      </c>
      <c r="O355" s="82"/>
      <c r="P355" s="87">
        <f t="shared" si="92"/>
        <v>0</v>
      </c>
      <c r="Q355" s="87">
        <f t="shared" si="93"/>
        <v>2.6579999999999995</v>
      </c>
      <c r="R355" s="87">
        <f t="shared" si="94"/>
        <v>57.725999999999999</v>
      </c>
      <c r="S355" s="87">
        <f t="shared" si="95"/>
        <v>21.968</v>
      </c>
    </row>
    <row r="356" spans="1:19" ht="16.5" hidden="1">
      <c r="A356" s="96" t="s">
        <v>59</v>
      </c>
      <c r="B356" s="86">
        <f>'[2]EU Sunflower Exports'!CA$290</f>
        <v>17.499000000000002</v>
      </c>
      <c r="C356" s="86">
        <f>'[2]EU Sunflower Exports'!CB$290</f>
        <v>2.4779999999999998</v>
      </c>
      <c r="D356" s="86">
        <f>'[2]EU Sunflower Exports'!CC$290</f>
        <v>0.95500000000000007</v>
      </c>
      <c r="E356" s="86">
        <f>'[2]EU Sunflower Exports'!CD$290</f>
        <v>26.596000000000004</v>
      </c>
      <c r="F356" s="86">
        <f>'[2]EU Sunflower Exports'!CE$290</f>
        <v>12.638</v>
      </c>
      <c r="G356" s="86">
        <f>'[2]EU Sunflower Exports'!CF$290</f>
        <v>1.2719999999999998</v>
      </c>
      <c r="H356" s="86">
        <f>'[2]EU Sunflower Exports'!CG$290</f>
        <v>16.481000000000002</v>
      </c>
      <c r="I356" s="86">
        <f>'[2]EU Sunflower Exports'!CH$290</f>
        <v>9.7690000000000001</v>
      </c>
      <c r="J356" s="86">
        <f>'[2]EU Sunflower Exports'!CI$290</f>
        <v>0.57400000000000007</v>
      </c>
      <c r="K356" s="86">
        <f>'[2]EU Sunflower Exports'!CJ$290</f>
        <v>0.75000000000000011</v>
      </c>
      <c r="L356" s="86">
        <f>'[2]EU Sunflower Exports'!CK$290</f>
        <v>0.76200000000000023</v>
      </c>
      <c r="M356" s="86">
        <f>'[2]EU Sunflower Exports'!CL$290</f>
        <v>5.8580000000000005</v>
      </c>
      <c r="N356" s="86">
        <f t="shared" si="91"/>
        <v>95.632000000000019</v>
      </c>
      <c r="O356" s="82"/>
      <c r="P356" s="87">
        <f t="shared" si="92"/>
        <v>20.932000000000002</v>
      </c>
      <c r="Q356" s="87">
        <f t="shared" si="93"/>
        <v>40.506</v>
      </c>
      <c r="R356" s="87">
        <f t="shared" si="94"/>
        <v>26.824000000000002</v>
      </c>
      <c r="S356" s="87">
        <f t="shared" si="95"/>
        <v>7.370000000000001</v>
      </c>
    </row>
    <row r="357" spans="1:19" ht="16.5" hidden="1">
      <c r="A357" s="96" t="s">
        <v>60</v>
      </c>
      <c r="B357" s="86">
        <f>'[2]EU Sunflower Exports'!CM$290</f>
        <v>2.4849999999999994</v>
      </c>
      <c r="C357" s="86">
        <f>'[2]EU Sunflower Exports'!CN$290</f>
        <v>1.4509999999999998</v>
      </c>
      <c r="D357" s="86">
        <f>'[2]EU Sunflower Exports'!CO$290</f>
        <v>1.8370000000000002</v>
      </c>
      <c r="E357" s="86">
        <f>'[2]EU Sunflower Exports'!CP$290</f>
        <v>1.9549999999999998</v>
      </c>
      <c r="F357" s="86">
        <f>'[2]EU Sunflower Exports'!CQ$290</f>
        <v>8.4619999999999997</v>
      </c>
      <c r="G357" s="86">
        <f>'[2]EU Sunflower Exports'!CR$290</f>
        <v>8.1259999999999994</v>
      </c>
      <c r="H357" s="86">
        <f>'[2]EU Sunflower Exports'!CS$290</f>
        <v>6.3810000000000002</v>
      </c>
      <c r="I357" s="86">
        <f>'[2]EU Sunflower Exports'!CT$290</f>
        <v>12.416</v>
      </c>
      <c r="J357" s="86">
        <f>'[2]EU Sunflower Exports'!CU$290</f>
        <v>21.55</v>
      </c>
      <c r="K357" s="86">
        <f>'[2]EU Sunflower Exports'!CV$290</f>
        <v>31.977</v>
      </c>
      <c r="L357" s="86">
        <f>'[2]EU Sunflower Exports'!CW$290</f>
        <v>1.246</v>
      </c>
      <c r="M357" s="86">
        <f>'[2]EU Sunflower Exports'!CX$290</f>
        <v>2.08</v>
      </c>
      <c r="N357" s="86">
        <f t="shared" si="91"/>
        <v>99.965999999999994</v>
      </c>
      <c r="O357" s="82"/>
      <c r="P357" s="87">
        <f t="shared" si="92"/>
        <v>5.7729999999999997</v>
      </c>
      <c r="Q357" s="87">
        <f t="shared" si="93"/>
        <v>18.542999999999999</v>
      </c>
      <c r="R357" s="87">
        <f t="shared" si="94"/>
        <v>40.347000000000001</v>
      </c>
      <c r="S357" s="87">
        <f t="shared" si="95"/>
        <v>35.302999999999997</v>
      </c>
    </row>
    <row r="358" spans="1:19" ht="16.5" hidden="1">
      <c r="A358" s="96" t="s">
        <v>61</v>
      </c>
      <c r="B358" s="86">
        <f>'[2]EU Sunflower Exports'!CY$290</f>
        <v>23.852</v>
      </c>
      <c r="C358" s="86">
        <f>'[2]EU Sunflower Exports'!CZ$290</f>
        <v>60.177</v>
      </c>
      <c r="D358" s="86">
        <f>'[2]EU Sunflower Exports'!DA$290</f>
        <v>39.749000000000002</v>
      </c>
      <c r="E358" s="86">
        <f>'[2]EU Sunflower Exports'!DB$290</f>
        <v>9.9139999999999997</v>
      </c>
      <c r="F358" s="86">
        <f>'[2]EU Sunflower Exports'!DC$290</f>
        <v>3.01</v>
      </c>
      <c r="G358" s="86">
        <f>'[2]EU Sunflower Exports'!DD$290</f>
        <v>6.6669999999999998</v>
      </c>
      <c r="H358" s="86">
        <f>'[2]EU Sunflower Exports'!DE$290</f>
        <v>3.2669999999999999</v>
      </c>
      <c r="I358" s="86">
        <f>'[2]EU Sunflower Exports'!DF$290</f>
        <v>4.431</v>
      </c>
      <c r="J358" s="86">
        <f>'[2]EU Sunflower Exports'!DG$290</f>
        <v>7.0140000000000002</v>
      </c>
      <c r="K358" s="86">
        <f>'[2]EU Sunflower Exports'!DH$290</f>
        <v>5.8</v>
      </c>
      <c r="L358" s="86">
        <f>'[2]EU Sunflower Exports'!DI$290</f>
        <v>11.766999999999999</v>
      </c>
      <c r="M358" s="86">
        <f>'[2]EU Sunflower Exports'!DJ$290</f>
        <v>0.42099999999999999</v>
      </c>
      <c r="N358" s="86">
        <f t="shared" si="91"/>
        <v>176.06899999999999</v>
      </c>
      <c r="O358" s="82"/>
      <c r="P358" s="87">
        <f t="shared" si="92"/>
        <v>123.77799999999999</v>
      </c>
      <c r="Q358" s="87">
        <f t="shared" si="93"/>
        <v>19.591000000000001</v>
      </c>
      <c r="R358" s="87">
        <f t="shared" si="94"/>
        <v>14.712</v>
      </c>
      <c r="S358" s="87">
        <f t="shared" si="95"/>
        <v>17.988</v>
      </c>
    </row>
    <row r="359" spans="1:19" ht="16.5" hidden="1">
      <c r="A359" s="96" t="s">
        <v>62</v>
      </c>
      <c r="B359" s="86">
        <f>'[2]EU Sunflower Exports'!DK$290</f>
        <v>9.0500000000000007</v>
      </c>
      <c r="C359" s="86">
        <f>'[2]EU Sunflower Exports'!DL$290</f>
        <v>6.3710000000000004</v>
      </c>
      <c r="D359" s="86">
        <f>'[2]EU Sunflower Exports'!DM$290</f>
        <v>5.2759999999999998</v>
      </c>
      <c r="E359" s="86">
        <f>'[2]EU Sunflower Exports'!DN$290</f>
        <v>5.8879999999999999</v>
      </c>
      <c r="F359" s="86">
        <f>'[2]EU Sunflower Exports'!DO$290</f>
        <v>7.7560000000000002</v>
      </c>
      <c r="G359" s="86">
        <f>'[2]EU Sunflower Exports'!DP$290</f>
        <v>7.2960000000000003</v>
      </c>
      <c r="H359" s="86">
        <f>'[2]EU Sunflower Exports'!DQ$290</f>
        <v>3.9689999999999999</v>
      </c>
      <c r="I359" s="86">
        <f>'[2]EU Sunflower Exports'!DR$290</f>
        <v>3.3660000000000001</v>
      </c>
      <c r="J359" s="86">
        <f>'[2]EU Sunflower Exports'!DS$290</f>
        <v>4.2430000000000003</v>
      </c>
      <c r="K359" s="86">
        <f>'[2]EU Sunflower Exports'!DT$290</f>
        <v>7.3819999999999997</v>
      </c>
      <c r="L359" s="86">
        <f>'[2]EU Sunflower Exports'!DU$290</f>
        <v>1.1830000000000001</v>
      </c>
      <c r="M359" s="86">
        <f>'[2]EU Sunflower Exports'!DV$290</f>
        <v>0.49199999999999999</v>
      </c>
      <c r="N359" s="86">
        <f t="shared" si="91"/>
        <v>62.271999999999998</v>
      </c>
      <c r="O359" s="82"/>
      <c r="P359" s="87">
        <f t="shared" si="92"/>
        <v>20.697000000000003</v>
      </c>
      <c r="Q359" s="87">
        <f t="shared" si="93"/>
        <v>20.94</v>
      </c>
      <c r="R359" s="87">
        <f t="shared" si="94"/>
        <v>11.577999999999999</v>
      </c>
      <c r="S359" s="87">
        <f t="shared" si="95"/>
        <v>9.0569999999999986</v>
      </c>
    </row>
    <row r="360" spans="1:19" ht="16.5" hidden="1">
      <c r="A360" s="96" t="s">
        <v>63</v>
      </c>
      <c r="B360" s="86">
        <f>'[2]EU Sunflower Exports'!DW$290</f>
        <v>3.7429999999999999</v>
      </c>
      <c r="C360" s="86">
        <f>'[2]EU Sunflower Exports'!DX$290</f>
        <v>15.768000000000001</v>
      </c>
      <c r="D360" s="86">
        <f>'[2]EU Sunflower Exports'!DY$290</f>
        <v>33.771000000000001</v>
      </c>
      <c r="E360" s="86">
        <f>'[2]EU Sunflower Exports'!DZ$290</f>
        <v>16.388999999999999</v>
      </c>
      <c r="F360" s="86">
        <f>'[2]EU Sunflower Exports'!EA$290</f>
        <v>19.928999999999998</v>
      </c>
      <c r="G360" s="86">
        <f>'[2]EU Sunflower Exports'!EB$290</f>
        <v>11.034999999999998</v>
      </c>
      <c r="H360" s="86">
        <f>'[2]EU Sunflower Exports'!EC$290</f>
        <v>12.625999999999998</v>
      </c>
      <c r="I360" s="86">
        <f>'[2]EU Sunflower Exports'!ED$290</f>
        <v>20.312000000000001</v>
      </c>
      <c r="J360" s="86">
        <f>'[2]EU Sunflower Exports'!EE$290</f>
        <v>11.033999999999999</v>
      </c>
      <c r="K360" s="86">
        <f>'[2]EU Sunflower Exports'!EF$290</f>
        <v>0.55200000000000005</v>
      </c>
      <c r="L360" s="86">
        <f>'[2]EU Sunflower Exports'!EG$290</f>
        <v>0.39300000000000002</v>
      </c>
      <c r="M360" s="86">
        <f>'[2]EU Sunflower Exports'!EH$290</f>
        <v>1.4899999999999998</v>
      </c>
      <c r="N360" s="86">
        <f t="shared" si="91"/>
        <v>147.042</v>
      </c>
      <c r="O360" s="82"/>
      <c r="P360" s="87">
        <f t="shared" si="92"/>
        <v>53.281999999999996</v>
      </c>
      <c r="Q360" s="87">
        <f t="shared" si="93"/>
        <v>47.352999999999994</v>
      </c>
      <c r="R360" s="87">
        <f t="shared" si="94"/>
        <v>43.972000000000001</v>
      </c>
      <c r="S360" s="87">
        <f t="shared" si="95"/>
        <v>2.4349999999999996</v>
      </c>
    </row>
    <row r="361" spans="1:19" ht="16.5" hidden="1">
      <c r="A361" s="96" t="s">
        <v>64</v>
      </c>
      <c r="B361" s="86">
        <f>'[2]EU Sunflower Exports'!EI$290</f>
        <v>6.3380000000000001</v>
      </c>
      <c r="C361" s="86">
        <f>'[2]EU Sunflower Exports'!EJ$290</f>
        <v>29.297000000000004</v>
      </c>
      <c r="D361" s="86">
        <f>'[2]EU Sunflower Exports'!EK$290</f>
        <v>12.952999999999999</v>
      </c>
      <c r="E361" s="86">
        <f>'[2]EU Sunflower Exports'!EL$290</f>
        <v>5.2829999999999995</v>
      </c>
      <c r="F361" s="86">
        <f>'[2]EU Sunflower Exports'!EM$290</f>
        <v>6.4120000000000008</v>
      </c>
      <c r="G361" s="86">
        <f>'[2]EU Sunflower Exports'!EN$290</f>
        <v>4.5469999999999997</v>
      </c>
      <c r="H361" s="86">
        <f>'[2]EU Sunflower Exports'!EO$290</f>
        <v>2.9990000000000001</v>
      </c>
      <c r="I361" s="86">
        <f>'[2]EU Sunflower Exports'!EP$290</f>
        <v>3.6579999999999999</v>
      </c>
      <c r="J361" s="86">
        <f>'[2]EU Sunflower Exports'!EQ$290</f>
        <v>6.2059999999999995</v>
      </c>
      <c r="K361" s="86">
        <f>'[2]EU Sunflower Exports'!ER$290</f>
        <v>22.326999999999998</v>
      </c>
      <c r="L361" s="86">
        <f>'[2]EU Sunflower Exports'!ES$290</f>
        <v>15.005000000000001</v>
      </c>
      <c r="M361" s="86">
        <f>'[2]EU Sunflower Exports'!ET$290</f>
        <v>14.770999999999997</v>
      </c>
      <c r="N361" s="86">
        <f t="shared" si="91"/>
        <v>129.79599999999999</v>
      </c>
      <c r="O361" s="82"/>
      <c r="P361" s="87">
        <f t="shared" si="92"/>
        <v>48.588000000000008</v>
      </c>
      <c r="Q361" s="87">
        <f t="shared" si="93"/>
        <v>16.242000000000001</v>
      </c>
      <c r="R361" s="87">
        <f t="shared" si="94"/>
        <v>12.863</v>
      </c>
      <c r="S361" s="87">
        <f t="shared" si="95"/>
        <v>52.102999999999994</v>
      </c>
    </row>
    <row r="362" spans="1:19" ht="16.5" hidden="1">
      <c r="A362" s="85" t="s">
        <v>65</v>
      </c>
      <c r="B362" s="86">
        <f>'[2]EU Sunflower Exports'!EU$290</f>
        <v>70.874000000000009</v>
      </c>
      <c r="C362" s="86">
        <f>'[2]EU Sunflower Exports'!EV$290</f>
        <v>55.321000000000005</v>
      </c>
      <c r="D362" s="86">
        <f>'[2]EU Sunflower Exports'!EW$290</f>
        <v>50.948</v>
      </c>
      <c r="E362" s="86">
        <f>'[2]EU Sunflower Exports'!EX$290</f>
        <v>57.69700000000001</v>
      </c>
      <c r="F362" s="86">
        <f>'[2]EU Sunflower Exports'!EY$290</f>
        <v>5.9529999999999994</v>
      </c>
      <c r="G362" s="86">
        <f>'[2]EU Sunflower Exports'!EZ$290</f>
        <v>23.818999999999999</v>
      </c>
      <c r="H362" s="86">
        <f>'[2]EU Sunflower Exports'!FA$290</f>
        <v>27.198</v>
      </c>
      <c r="I362" s="86">
        <f>'[2]EU Sunflower Exports'!FB$290</f>
        <v>14.892999999999999</v>
      </c>
      <c r="J362" s="86">
        <f>'[2]EU Sunflower Exports'!FC$290</f>
        <v>26.681999999999999</v>
      </c>
      <c r="K362" s="86">
        <f>'[2]EU Sunflower Exports'!FD$290</f>
        <v>31.027000000000001</v>
      </c>
      <c r="L362" s="86">
        <f>'[2]EU Sunflower Exports'!FE$290</f>
        <v>7.1159999999999997</v>
      </c>
      <c r="M362" s="86">
        <f>'[2]EU Sunflower Exports'!FF$290</f>
        <v>23.367000000000001</v>
      </c>
      <c r="N362" s="86">
        <f t="shared" si="91"/>
        <v>394.89499999999998</v>
      </c>
      <c r="O362" s="82"/>
      <c r="P362" s="87">
        <f t="shared" si="92"/>
        <v>177.14300000000003</v>
      </c>
      <c r="Q362" s="87">
        <f t="shared" si="93"/>
        <v>87.469000000000008</v>
      </c>
      <c r="R362" s="87">
        <f t="shared" si="94"/>
        <v>68.772999999999996</v>
      </c>
      <c r="S362" s="87">
        <f t="shared" si="95"/>
        <v>61.510000000000005</v>
      </c>
    </row>
    <row r="363" spans="1:19" ht="16.5" hidden="1">
      <c r="A363" s="85" t="s">
        <v>66</v>
      </c>
      <c r="B363" s="86">
        <f>'[2]EU Sunflower Exports'!FG$290</f>
        <v>68.700999999999993</v>
      </c>
      <c r="C363" s="86">
        <f>'[2]EU Sunflower Exports'!FH$290</f>
        <v>65.536999999999992</v>
      </c>
      <c r="D363" s="86">
        <f>'[2]EU Sunflower Exports'!FI$290</f>
        <v>27.030000000000005</v>
      </c>
      <c r="E363" s="86">
        <f>'[2]EU Sunflower Exports'!FJ$290</f>
        <v>17.456</v>
      </c>
      <c r="F363" s="86">
        <f>'[2]EU Sunflower Exports'!FK$290</f>
        <v>38.891999999999996</v>
      </c>
      <c r="G363" s="86">
        <f>'[2]EU Sunflower Exports'!FL$290</f>
        <v>51.727999999999987</v>
      </c>
      <c r="H363" s="86">
        <f>'[2]EU Sunflower Exports'!FM$290</f>
        <v>79.263000000000005</v>
      </c>
      <c r="I363" s="86">
        <f>'[2]EU Sunflower Exports'!FN$290</f>
        <v>112.883</v>
      </c>
      <c r="J363" s="86">
        <f>'[2]EU Sunflower Exports'!FO$290</f>
        <v>50.998999999999995</v>
      </c>
      <c r="K363" s="86">
        <f>'[2]EU Sunflower Exports'!FP$290</f>
        <v>30.353999999999999</v>
      </c>
      <c r="L363" s="86">
        <f>'[2]EU Sunflower Exports'!FQ$290</f>
        <v>35.128000000000007</v>
      </c>
      <c r="M363" s="86">
        <f>'[2]EU Sunflower Exports'!FR$290</f>
        <v>7.456999999999999</v>
      </c>
      <c r="N363" s="86">
        <f t="shared" si="91"/>
        <v>585.428</v>
      </c>
      <c r="O363" s="82"/>
      <c r="P363" s="87">
        <f t="shared" si="92"/>
        <v>161.268</v>
      </c>
      <c r="Q363" s="87">
        <f t="shared" si="93"/>
        <v>108.07599999999999</v>
      </c>
      <c r="R363" s="87">
        <f t="shared" si="94"/>
        <v>243.14500000000001</v>
      </c>
      <c r="S363" s="87">
        <f t="shared" si="95"/>
        <v>72.938999999999993</v>
      </c>
    </row>
    <row r="364" spans="1:19" ht="16.5" hidden="1">
      <c r="A364" s="97" t="s">
        <v>67</v>
      </c>
      <c r="B364" s="86">
        <f>'[2]EU Sunflower Exports'!FS$290</f>
        <v>21.002000000000002</v>
      </c>
      <c r="C364" s="86">
        <f>'[2]EU Sunflower Exports'!FT$290</f>
        <v>17.094999999999999</v>
      </c>
      <c r="D364" s="86">
        <f>'[2]EU Sunflower Exports'!FU$290</f>
        <v>19.582000000000001</v>
      </c>
      <c r="E364" s="86">
        <f>'[2]EU Sunflower Exports'!FV$290</f>
        <v>21.712000000000003</v>
      </c>
      <c r="F364" s="86">
        <f>'[2]EU Sunflower Exports'!FW$290</f>
        <v>14.255000000000001</v>
      </c>
      <c r="G364" s="86">
        <f>'[2]EU Sunflower Exports'!FX$290</f>
        <v>31.879999999999995</v>
      </c>
      <c r="H364" s="86">
        <f>'[2]EU Sunflower Exports'!FY$290</f>
        <v>52.47</v>
      </c>
      <c r="I364" s="86">
        <f>'[2]EU Sunflower Exports'!FZ$290</f>
        <v>62.768000000000001</v>
      </c>
      <c r="J364" s="86">
        <f>'[2]EU Sunflower Exports'!GA$290</f>
        <v>38.527000000000001</v>
      </c>
      <c r="K364" s="86">
        <f>'[2]EU Sunflower Exports'!GB$290</f>
        <v>5.4209999999999994</v>
      </c>
      <c r="L364" s="86">
        <f>'[2]EU Sunflower Exports'!GC$290</f>
        <v>30.922000000000001</v>
      </c>
      <c r="M364" s="86">
        <f>'[2]EU Sunflower Exports'!GD$290</f>
        <v>0.89800000000000013</v>
      </c>
      <c r="N364" s="86">
        <f t="shared" si="91"/>
        <v>316.53200000000004</v>
      </c>
      <c r="O364" s="82"/>
      <c r="P364" s="87">
        <f t="shared" si="92"/>
        <v>57.679000000000002</v>
      </c>
      <c r="Q364" s="87">
        <f t="shared" si="93"/>
        <v>67.847000000000008</v>
      </c>
      <c r="R364" s="87">
        <f t="shared" si="94"/>
        <v>153.76499999999999</v>
      </c>
      <c r="S364" s="87">
        <f t="shared" si="95"/>
        <v>37.241000000000007</v>
      </c>
    </row>
    <row r="365" spans="1:19" ht="16.5" hidden="1">
      <c r="A365" s="85" t="s">
        <v>68</v>
      </c>
      <c r="B365" s="86">
        <f>'[2]EU Sunflower Exports'!GE$290</f>
        <v>58.763999999999996</v>
      </c>
      <c r="C365" s="86">
        <f>'[2]EU Sunflower Exports'!GF$290</f>
        <v>111.41100000000002</v>
      </c>
      <c r="D365" s="86">
        <f>'[2]EU Sunflower Exports'!GG$290</f>
        <v>156.416</v>
      </c>
      <c r="E365" s="86">
        <f>'[2]EU Sunflower Exports'!GH$290</f>
        <v>83.06</v>
      </c>
      <c r="F365" s="86">
        <f>'[2]EU Sunflower Exports'!GI$290</f>
        <v>49.731000000000002</v>
      </c>
      <c r="G365" s="86">
        <f>'[2]EU Sunflower Exports'!GJ$290</f>
        <v>64.26400000000001</v>
      </c>
      <c r="H365" s="86">
        <f>'[2]EU Sunflower Exports'!GK$290</f>
        <v>68.224999999999994</v>
      </c>
      <c r="I365" s="86">
        <f>'[2]EU Sunflower Exports'!GL$290</f>
        <v>102.83000000000001</v>
      </c>
      <c r="J365" s="86">
        <f>'[2]EU Sunflower Exports'!GM$290</f>
        <v>79.396000000000001</v>
      </c>
      <c r="K365" s="86">
        <f>'[2]EU Sunflower Exports'!GN$290</f>
        <v>15.457000000000001</v>
      </c>
      <c r="L365" s="86">
        <f>'[2]EU Sunflower Exports'!GO$290</f>
        <v>2.9060000000000006</v>
      </c>
      <c r="M365" s="86">
        <f>'[2]EU Sunflower Exports'!GP$290</f>
        <v>1.3850000000000002</v>
      </c>
      <c r="N365" s="86">
        <f t="shared" si="91"/>
        <v>793.84499999999991</v>
      </c>
      <c r="O365" s="82"/>
      <c r="P365" s="87">
        <f t="shared" si="92"/>
        <v>326.59100000000001</v>
      </c>
      <c r="Q365" s="87">
        <f t="shared" si="93"/>
        <v>197.05500000000001</v>
      </c>
      <c r="R365" s="87">
        <f t="shared" si="94"/>
        <v>250.45100000000002</v>
      </c>
      <c r="S365" s="87">
        <f t="shared" si="95"/>
        <v>19.748000000000001</v>
      </c>
    </row>
    <row r="366" spans="1:19" ht="16.5" hidden="1">
      <c r="A366" s="97" t="s">
        <v>69</v>
      </c>
      <c r="B366" s="86">
        <f>'[2]EU Sunflower Exports'!GQ$290</f>
        <v>14.95</v>
      </c>
      <c r="C366" s="86">
        <f>'[2]EU Sunflower Exports'!GR$290</f>
        <v>68.173999999999992</v>
      </c>
      <c r="D366" s="86">
        <f>'[2]EU Sunflower Exports'!GS$290</f>
        <v>45.684999999999995</v>
      </c>
      <c r="E366" s="86">
        <f>'[2]EU Sunflower Exports'!GT$290</f>
        <v>34.853000000000002</v>
      </c>
      <c r="F366" s="86">
        <f>'[2]EU Sunflower Exports'!GU$290</f>
        <v>68.370999999999995</v>
      </c>
      <c r="G366" s="86">
        <f>'[2]EU Sunflower Exports'!GV$290</f>
        <v>60.022000000000006</v>
      </c>
      <c r="H366" s="86">
        <f>'[2]EU Sunflower Exports'!GW$290</f>
        <v>50.150999999999996</v>
      </c>
      <c r="I366" s="86">
        <f>'[2]EU Sunflower Exports'!GX$290</f>
        <v>54.52600000000001</v>
      </c>
      <c r="J366" s="86">
        <f>'[2]EU Sunflower Exports'!GY$290</f>
        <v>53.123999999999995</v>
      </c>
      <c r="K366" s="86">
        <f>'[2]EU Sunflower Exports'!GZ$290</f>
        <v>43.094999999999992</v>
      </c>
      <c r="L366" s="86">
        <f>'[2]EU Sunflower Exports'!HA$290</f>
        <v>3.1579999999999999</v>
      </c>
      <c r="M366" s="86">
        <f>'[2]EU Sunflower Exports'!HB$290</f>
        <v>1.0469999999999999</v>
      </c>
      <c r="N366" s="86">
        <f t="shared" si="91"/>
        <v>497.15600000000001</v>
      </c>
      <c r="O366" s="82"/>
      <c r="P366" s="87">
        <f t="shared" si="92"/>
        <v>128.809</v>
      </c>
      <c r="Q366" s="87">
        <f t="shared" si="93"/>
        <v>163.24599999999998</v>
      </c>
      <c r="R366" s="87">
        <f t="shared" si="94"/>
        <v>157.80099999999999</v>
      </c>
      <c r="S366" s="87">
        <f t="shared" si="95"/>
        <v>47.29999999999999</v>
      </c>
    </row>
    <row r="367" spans="1:19" ht="16.5" hidden="1">
      <c r="A367" s="97" t="s">
        <v>70</v>
      </c>
      <c r="B367" s="86">
        <f>'[2]EU Sunflower Exports'!HC$290</f>
        <v>28.247</v>
      </c>
      <c r="C367" s="86">
        <f>'[2]EU Sunflower Exports'!HD$290</f>
        <v>64.694999999999993</v>
      </c>
      <c r="D367" s="86">
        <f>'[2]EU Sunflower Exports'!HE$290</f>
        <v>32.411000000000001</v>
      </c>
      <c r="E367" s="86">
        <f>'[2]EU Sunflower Exports'!HF$290</f>
        <v>22.686</v>
      </c>
      <c r="F367" s="86">
        <f>'[2]EU Sunflower Exports'!HG$290</f>
        <v>25.621000000000006</v>
      </c>
      <c r="G367" s="86">
        <f>'[2]EU Sunflower Exports'!HH$290</f>
        <v>39.092999999999996</v>
      </c>
      <c r="H367" s="86">
        <f>'[2]EU Sunflower Exports'!HI$290</f>
        <v>26.79</v>
      </c>
      <c r="I367" s="86">
        <f>'[2]EU Sunflower Exports'!HJ$290</f>
        <v>21.467000000000002</v>
      </c>
      <c r="J367" s="86">
        <f>'[2]EU Sunflower Exports'!HK$290</f>
        <v>42.143999999999998</v>
      </c>
      <c r="K367" s="86">
        <f>'[2]EU Sunflower Exports'!HL$290</f>
        <v>28.441000000000003</v>
      </c>
      <c r="L367" s="86">
        <f>'[2]EU Sunflower Exports'!HM$290</f>
        <v>14.164999999999999</v>
      </c>
      <c r="M367" s="86">
        <f>'[2]EU Sunflower Exports'!HN$290</f>
        <v>46.405000000000008</v>
      </c>
      <c r="N367" s="86">
        <f t="shared" si="91"/>
        <v>392.16500000000008</v>
      </c>
      <c r="O367" s="82"/>
      <c r="P367" s="87">
        <f t="shared" si="92"/>
        <v>125.35299999999999</v>
      </c>
      <c r="Q367" s="87">
        <f t="shared" si="93"/>
        <v>87.4</v>
      </c>
      <c r="R367" s="87">
        <f t="shared" si="94"/>
        <v>90.40100000000001</v>
      </c>
      <c r="S367" s="87">
        <f t="shared" si="95"/>
        <v>89.01100000000001</v>
      </c>
    </row>
    <row r="368" spans="1:19" ht="16.5" hidden="1">
      <c r="A368" s="85" t="s">
        <v>71</v>
      </c>
      <c r="B368" s="86">
        <f>'[2]EU Sunflower Exports'!HO$290</f>
        <v>130.50900000000001</v>
      </c>
      <c r="C368" s="86">
        <f>'[2]EU Sunflower Exports'!HP$290</f>
        <v>171.23400000000004</v>
      </c>
      <c r="D368" s="86">
        <f>'[2]EU Sunflower Exports'!HQ$290</f>
        <v>75.283000000000015</v>
      </c>
      <c r="E368" s="86">
        <f>'[2]EU Sunflower Exports'!HR$290</f>
        <v>52.632999999999996</v>
      </c>
      <c r="F368" s="86">
        <f>'[2]EU Sunflower Exports'!HS$290</f>
        <v>25.914000000000001</v>
      </c>
      <c r="G368" s="86">
        <f>'[2]EU Sunflower Exports'!HT$290</f>
        <v>43.702999999999996</v>
      </c>
      <c r="H368" s="86">
        <f>'[2]EU Sunflower Exports'!HU$290</f>
        <v>76.36399999999999</v>
      </c>
      <c r="I368" s="86">
        <f>'[2]EU Sunflower Exports'!HV$290</f>
        <v>53.439</v>
      </c>
      <c r="J368" s="86">
        <f>'[2]EU Sunflower Exports'!HW$290</f>
        <v>13.831</v>
      </c>
      <c r="K368" s="86">
        <f>'[2]EU Sunflower Exports'!HX$290</f>
        <v>16.201000000000004</v>
      </c>
      <c r="L368" s="86">
        <f>'[2]EU Sunflower Exports'!HY$290</f>
        <v>2.2839999999999998</v>
      </c>
      <c r="M368" s="86">
        <f>'[2]EU Sunflower Exports'!HZ$290</f>
        <v>3.6289999999999996</v>
      </c>
      <c r="N368" s="86">
        <f t="shared" si="91"/>
        <v>665.024</v>
      </c>
      <c r="O368" s="82"/>
      <c r="P368" s="87">
        <f t="shared" si="92"/>
        <v>377.02600000000007</v>
      </c>
      <c r="Q368" s="87">
        <f t="shared" si="93"/>
        <v>122.25</v>
      </c>
      <c r="R368" s="87">
        <f t="shared" si="94"/>
        <v>143.63399999999999</v>
      </c>
      <c r="S368" s="87">
        <f t="shared" si="95"/>
        <v>22.114000000000004</v>
      </c>
    </row>
    <row r="369" spans="1:19" ht="16.5" hidden="1">
      <c r="A369" s="97" t="s">
        <v>72</v>
      </c>
      <c r="B369" s="86">
        <f>'[2]EU Sunflower Exports'!IA$290</f>
        <v>32.436</v>
      </c>
      <c r="C369" s="86">
        <f>'[2]EU Sunflower Exports'!IB$290</f>
        <v>91.391000000000005</v>
      </c>
      <c r="D369" s="86">
        <f>'[2]EU Sunflower Exports'!IC$290</f>
        <v>36.335000000000001</v>
      </c>
      <c r="E369" s="86">
        <f>'[2]EU Sunflower Exports'!ID$290</f>
        <v>30.235000000000003</v>
      </c>
      <c r="F369" s="86">
        <f>'[2]EU Sunflower Exports'!IE$290</f>
        <v>34.481000000000002</v>
      </c>
      <c r="G369" s="86">
        <f>'[2]EU Sunflower Exports'!IF$290</f>
        <v>31.720999999999997</v>
      </c>
      <c r="H369" s="86">
        <f>'[2]EU Sunflower Exports'!IG$290</f>
        <v>42.865000000000002</v>
      </c>
      <c r="I369" s="86">
        <f>'[2]EU Sunflower Exports'!IH$290</f>
        <v>53.089000000000006</v>
      </c>
      <c r="J369" s="86">
        <f>'[2]EU Sunflower Exports'!II$290</f>
        <v>82.414999999999992</v>
      </c>
      <c r="K369" s="86">
        <f>'[2]EU Sunflower Exports'!IJ$290</f>
        <v>73.501000000000005</v>
      </c>
      <c r="L369" s="86">
        <f>'[2]EU Sunflower Exports'!IK$290</f>
        <v>7.859</v>
      </c>
      <c r="M369" s="86">
        <f>'[2]EU Sunflower Exports'!IL$290</f>
        <v>1.839</v>
      </c>
      <c r="N369" s="86">
        <f t="shared" si="91"/>
        <v>518.16700000000003</v>
      </c>
      <c r="O369" s="82"/>
      <c r="P369" s="87">
        <f t="shared" si="92"/>
        <v>160.16200000000001</v>
      </c>
      <c r="Q369" s="87">
        <f t="shared" si="93"/>
        <v>96.437000000000012</v>
      </c>
      <c r="R369" s="87">
        <f t="shared" si="94"/>
        <v>178.369</v>
      </c>
      <c r="S369" s="87">
        <f t="shared" si="95"/>
        <v>83.198999999999998</v>
      </c>
    </row>
    <row r="370" spans="1:19" ht="16.5" hidden="1">
      <c r="A370" s="85" t="s">
        <v>73</v>
      </c>
      <c r="B370" s="86">
        <f>'[2]EU Sunflower Exports'!IM$290</f>
        <v>110.83499999999997</v>
      </c>
      <c r="C370" s="86">
        <f>'[2]EU Sunflower Exports'!IN$290</f>
        <v>167.04300000000001</v>
      </c>
      <c r="D370" s="86">
        <f>'[2]EU Sunflower Exports'!IO$290</f>
        <v>101.90799999999999</v>
      </c>
      <c r="E370" s="86">
        <f>'[2]EU Sunflower Exports'!IP$290</f>
        <v>104.50099999999999</v>
      </c>
      <c r="F370" s="86">
        <f>'[2]EU Sunflower Exports'!IQ$290</f>
        <v>54.211999999999996</v>
      </c>
      <c r="G370" s="86">
        <f>'[2]EU Sunflower Exports'!IR$290</f>
        <v>27.032999999999998</v>
      </c>
      <c r="H370" s="86">
        <f>'[2]EU Sunflower Exports'!IS$290</f>
        <v>22.219000000000001</v>
      </c>
      <c r="I370" s="86">
        <f>'[2]EU Sunflower Exports'!IT$290</f>
        <v>23.865000000000002</v>
      </c>
      <c r="J370" s="86">
        <f>'[2]EU Sunflower Exports'!IU$290</f>
        <v>24.429999999999996</v>
      </c>
      <c r="K370" s="86">
        <f>'[2]EU Sunflower Exports'!IV$290</f>
        <v>11.767000000000001</v>
      </c>
      <c r="L370" s="86">
        <f>'[2]EU Sunflower Exports'!IW$290</f>
        <v>3.2250000000000005</v>
      </c>
      <c r="M370" s="86">
        <f>'[2]EU Sunflower Exports'!IX$290</f>
        <v>9.5749999999999993</v>
      </c>
      <c r="N370" s="86">
        <f t="shared" si="91"/>
        <v>660.61300000000006</v>
      </c>
      <c r="O370" s="82"/>
      <c r="P370" s="87">
        <f t="shared" si="92"/>
        <v>379.78599999999994</v>
      </c>
      <c r="Q370" s="87">
        <f t="shared" si="93"/>
        <v>185.74599999999998</v>
      </c>
      <c r="R370" s="87">
        <f t="shared" si="94"/>
        <v>70.513999999999996</v>
      </c>
      <c r="S370" s="87">
        <f t="shared" si="95"/>
        <v>24.567</v>
      </c>
    </row>
    <row r="371" spans="1:19" ht="16.5" hidden="1">
      <c r="A371" s="85" t="s">
        <v>74</v>
      </c>
      <c r="B371" s="86">
        <f>'[2]EU Sunflower Exports'!IY$290</f>
        <v>46.039999999999992</v>
      </c>
      <c r="C371" s="86">
        <f>'[2]EU Sunflower Exports'!IZ$290</f>
        <v>49.573999999999998</v>
      </c>
      <c r="D371" s="86">
        <f>'[2]EU Sunflower Exports'!JA$290</f>
        <v>31.13</v>
      </c>
      <c r="E371" s="86">
        <f>'[2]EU Sunflower Exports'!JB$290</f>
        <v>30.579000000000001</v>
      </c>
      <c r="F371" s="86">
        <f>'[2]EU Sunflower Exports'!JC$290</f>
        <v>39.499000000000002</v>
      </c>
      <c r="G371" s="86">
        <f>'[2]EU Sunflower Exports'!JD$290</f>
        <v>54.475999999999999</v>
      </c>
      <c r="H371" s="86">
        <f>'[2]EU Sunflower Exports'!JE$290</f>
        <v>19.675999999999998</v>
      </c>
      <c r="I371" s="86">
        <f>'[2]EU Sunflower Exports'!JF$290</f>
        <v>20.835999999999999</v>
      </c>
      <c r="J371" s="86">
        <f>'[2]EU Sunflower Exports'!JG$290</f>
        <v>62.646999999999998</v>
      </c>
      <c r="K371" s="86">
        <f>'[2]EU Sunflower Exports'!JH$290</f>
        <v>70.559000000000012</v>
      </c>
      <c r="L371" s="86">
        <f>'[2]EU Sunflower Exports'!JI$290</f>
        <v>9.1219999999999981</v>
      </c>
      <c r="M371" s="86">
        <f>'[2]EU Sunflower Exports'!JJ$290</f>
        <v>7.5359999999999996</v>
      </c>
      <c r="N371" s="86">
        <f t="shared" si="91"/>
        <v>441.67400000000004</v>
      </c>
      <c r="O371" s="82"/>
      <c r="P371" s="87">
        <f t="shared" si="92"/>
        <v>126.74399999999999</v>
      </c>
      <c r="Q371" s="87">
        <f t="shared" si="93"/>
        <v>124.554</v>
      </c>
      <c r="R371" s="87">
        <f t="shared" si="94"/>
        <v>103.15899999999999</v>
      </c>
      <c r="S371" s="87">
        <f t="shared" si="95"/>
        <v>87.217000000000013</v>
      </c>
    </row>
    <row r="372" spans="1:19" ht="16.5" hidden="1">
      <c r="A372" s="85" t="s">
        <v>75</v>
      </c>
      <c r="B372" s="86">
        <f>'[2]EU Sunflower Exports'!JK$290</f>
        <v>125.23599999999999</v>
      </c>
      <c r="C372" s="86">
        <f>'[2]EU Sunflower Exports'!JL$290</f>
        <v>237.77700000000002</v>
      </c>
      <c r="D372" s="86">
        <f>'[2]EU Sunflower Exports'!JM$290</f>
        <v>87.314000000000007</v>
      </c>
      <c r="E372" s="86">
        <f>'[2]EU Sunflower Exports'!JN$290</f>
        <v>106.57599999999998</v>
      </c>
      <c r="F372" s="86">
        <f>'[2]EU Sunflower Exports'!JO$290</f>
        <v>24.660999999999998</v>
      </c>
      <c r="G372" s="86">
        <f>'[2]EU Sunflower Exports'!JP$290</f>
        <v>55.088999999999999</v>
      </c>
      <c r="H372" s="86">
        <f>'[2]EU Sunflower Exports'!JQ$290</f>
        <v>23.845000000000002</v>
      </c>
      <c r="I372" s="86">
        <f>'[2]EU Sunflower Exports'!JR$290</f>
        <v>19.712</v>
      </c>
      <c r="J372" s="86">
        <f>'[2]EU Sunflower Exports'!JS$290</f>
        <v>34.320000000000007</v>
      </c>
      <c r="K372" s="86">
        <f>'[2]EU Sunflower Exports'!JT$290</f>
        <v>10.975999999999999</v>
      </c>
      <c r="L372" s="86">
        <f>'[2]EU Sunflower Exports'!JU$290</f>
        <v>8.8259999999999987</v>
      </c>
      <c r="M372" s="86">
        <f>'[2]EU Sunflower Exports'!JV$290</f>
        <v>2.4170000000000003</v>
      </c>
      <c r="N372" s="86">
        <f t="shared" si="91"/>
        <v>736.74900000000014</v>
      </c>
      <c r="O372" s="82"/>
      <c r="P372" s="87">
        <f t="shared" si="92"/>
        <v>450.32700000000006</v>
      </c>
      <c r="Q372" s="87">
        <f t="shared" si="93"/>
        <v>186.32599999999996</v>
      </c>
      <c r="R372" s="87">
        <f t="shared" si="94"/>
        <v>77.87700000000001</v>
      </c>
      <c r="S372" s="87">
        <f t="shared" si="95"/>
        <v>22.219000000000001</v>
      </c>
    </row>
    <row r="373" spans="1:19" ht="16.5" hidden="1">
      <c r="A373" s="85" t="s">
        <v>76</v>
      </c>
      <c r="B373" s="86">
        <f>'[2]EU Sunflower Exports'!JW$290</f>
        <v>100.91799999999999</v>
      </c>
      <c r="C373" s="86">
        <f>'[2]EU Sunflower Exports'!JX$290</f>
        <v>180.29700000000005</v>
      </c>
      <c r="D373" s="86">
        <f>'[2]EU Sunflower Exports'!JY$290</f>
        <v>96.948999999999998</v>
      </c>
      <c r="E373" s="86">
        <f>'[2]EU Sunflower Exports'!JZ$290</f>
        <v>93.790999999999997</v>
      </c>
      <c r="F373" s="86">
        <f>'[2]EU Sunflower Exports'!KA$290</f>
        <v>20.507999999999999</v>
      </c>
      <c r="G373" s="86">
        <f>'[2]EU Sunflower Exports'!KB$290</f>
        <v>14.91</v>
      </c>
      <c r="H373" s="86">
        <f>'[2]EU Sunflower Exports'!KC$290</f>
        <v>16.84</v>
      </c>
      <c r="I373" s="86">
        <f>'[2]EU Sunflower Exports'!KD$290</f>
        <v>17.039000000000001</v>
      </c>
      <c r="J373" s="86">
        <f>'[2]EU Sunflower Exports'!KE$290</f>
        <v>12.530999999999999</v>
      </c>
      <c r="K373" s="86">
        <f>'[2]EU Sunflower Exports'!KF$290</f>
        <v>7.8689999999999998</v>
      </c>
      <c r="L373" s="86">
        <f>'[2]EU Sunflower Exports'!KG$290</f>
        <v>3.3040000000000003</v>
      </c>
      <c r="M373" s="86">
        <f>'[2]EU Sunflower Exports'!KH$290</f>
        <v>3.9770000000000003</v>
      </c>
      <c r="N373" s="86">
        <f t="shared" si="91"/>
        <v>568.93299999999999</v>
      </c>
      <c r="O373" s="82"/>
      <c r="P373" s="87">
        <f>SUM(B373:D373)</f>
        <v>378.16400000000004</v>
      </c>
      <c r="Q373" s="87">
        <f t="shared" si="93"/>
        <v>129.209</v>
      </c>
      <c r="R373" s="87">
        <f t="shared" si="94"/>
        <v>46.410000000000004</v>
      </c>
      <c r="S373" s="87">
        <f t="shared" si="95"/>
        <v>15.15</v>
      </c>
    </row>
    <row r="374" spans="1:19" ht="16.5" hidden="1">
      <c r="A374" s="85" t="s">
        <v>77</v>
      </c>
      <c r="B374" s="86">
        <f>'[2]EU Sunflower Exports'!KI$290</f>
        <v>50.57</v>
      </c>
      <c r="C374" s="86">
        <f>'[2]EU Sunflower Exports'!KJ$290</f>
        <v>73.474999999999994</v>
      </c>
      <c r="D374" s="86">
        <f>'[2]EU Sunflower Exports'!KK$290</f>
        <v>25.535999999999998</v>
      </c>
      <c r="E374" s="86">
        <f>'[2]EU Sunflower Exports'!KL$290</f>
        <v>38.244999999999997</v>
      </c>
      <c r="F374" s="86">
        <f>'[2]EU Sunflower Exports'!KM$290</f>
        <v>27.411000000000001</v>
      </c>
      <c r="G374" s="86">
        <f>'[2]EU Sunflower Exports'!KN$290</f>
        <v>47.26</v>
      </c>
      <c r="H374" s="86">
        <f>'[2]EU Sunflower Exports'!KO$290</f>
        <v>45.488999999999997</v>
      </c>
      <c r="I374" s="86">
        <f>'[2]EU Sunflower Exports'!KP$290</f>
        <v>36.152999999999999</v>
      </c>
      <c r="J374" s="86">
        <f>'[2]EU Sunflower Exports'!KQ$290</f>
        <v>19.93</v>
      </c>
      <c r="K374" s="86">
        <f>'[2]EU Sunflower Exports'!KR$290</f>
        <v>21.559000000000001</v>
      </c>
      <c r="L374" s="86">
        <f>'[2]EU Sunflower Exports'!KS$290</f>
        <v>5.0569999999999995</v>
      </c>
      <c r="M374" s="86">
        <f>'[2]EU Sunflower Exports'!KT$290</f>
        <v>5.5299999999999994</v>
      </c>
      <c r="N374" s="86">
        <f t="shared" si="91"/>
        <v>396.21500000000003</v>
      </c>
      <c r="O374" s="82"/>
      <c r="P374" s="87">
        <f t="shared" ref="P374:P379" si="96">SUM(B374:D374)</f>
        <v>149.58099999999999</v>
      </c>
      <c r="Q374" s="87">
        <f t="shared" si="93"/>
        <v>112.916</v>
      </c>
      <c r="R374" s="87">
        <f t="shared" si="94"/>
        <v>101.572</v>
      </c>
      <c r="S374" s="87">
        <f t="shared" si="95"/>
        <v>32.146000000000001</v>
      </c>
    </row>
    <row r="375" spans="1:19" ht="16.5" hidden="1">
      <c r="A375" s="85" t="s">
        <v>78</v>
      </c>
      <c r="B375" s="86">
        <f>'[2]EU Sunflower Exports'!KU$290</f>
        <v>81.335000000000008</v>
      </c>
      <c r="C375" s="86">
        <f>'[2]EU Sunflower Exports'!KV$290</f>
        <v>46.548000000000002</v>
      </c>
      <c r="D375" s="86">
        <f>'[2]EU Sunflower Exports'!KW$290</f>
        <v>38.353000000000002</v>
      </c>
      <c r="E375" s="86">
        <f>'[2]EU Sunflower Exports'!KX$290</f>
        <v>43.249999999999993</v>
      </c>
      <c r="F375" s="86">
        <f>'[2]EU Sunflower Exports'!KY$290</f>
        <v>32.981000000000002</v>
      </c>
      <c r="G375" s="86">
        <f>'[2]EU Sunflower Exports'!KZ$290</f>
        <v>53.036000000000001</v>
      </c>
      <c r="H375" s="86">
        <f>'[2]EU Sunflower Exports'!LA$290</f>
        <v>37.098999999999997</v>
      </c>
      <c r="I375" s="86">
        <f>'[2]EU Sunflower Exports'!LB$290</f>
        <v>18.14</v>
      </c>
      <c r="J375" s="86">
        <f>'[2]EU Sunflower Exports'!LC$290</f>
        <v>19.783000000000001</v>
      </c>
      <c r="K375" s="86">
        <f>'[2]EU Sunflower Exports'!LD$290</f>
        <v>26.763999999999999</v>
      </c>
      <c r="L375" s="86">
        <f>'[2]EU Sunflower Exports'!LE$290</f>
        <v>7.8369999999999997</v>
      </c>
      <c r="M375" s="86">
        <f>'[2]EU Sunflower Exports'!LF$290</f>
        <v>4.9720000000000004</v>
      </c>
      <c r="N375" s="86">
        <f t="shared" si="91"/>
        <v>410.09800000000001</v>
      </c>
      <c r="O375" s="82"/>
      <c r="P375" s="87">
        <f t="shared" si="96"/>
        <v>166.23600000000002</v>
      </c>
      <c r="Q375" s="87">
        <f t="shared" si="93"/>
        <v>129.267</v>
      </c>
      <c r="R375" s="87">
        <f t="shared" si="94"/>
        <v>75.021999999999991</v>
      </c>
      <c r="S375" s="87">
        <f t="shared" si="95"/>
        <v>39.573</v>
      </c>
    </row>
    <row r="376" spans="1:19" ht="16.5" hidden="1">
      <c r="A376" s="85" t="s">
        <v>79</v>
      </c>
      <c r="B376" s="86">
        <f>'[2]EU Sunflower Exports'!LG$290</f>
        <v>28.038</v>
      </c>
      <c r="C376" s="86">
        <f>'[2]EU Sunflower Exports'!LH$290</f>
        <v>94.658000000000001</v>
      </c>
      <c r="D376" s="86">
        <f>'[2]EU Sunflower Exports'!LI$290</f>
        <v>46.226999999999997</v>
      </c>
      <c r="E376" s="86">
        <f>'[2]EU Sunflower Exports'!LJ$290</f>
        <v>68.914000000000001</v>
      </c>
      <c r="F376" s="86">
        <f>'[2]EU Sunflower Exports'!LK$290</f>
        <v>54.293999999999997</v>
      </c>
      <c r="G376" s="86">
        <f>'[2]EU Sunflower Exports'!LL$290</f>
        <v>132.84</v>
      </c>
      <c r="H376" s="86">
        <f>'[2]EU Sunflower Exports'!LM$290</f>
        <v>42.716999999999999</v>
      </c>
      <c r="I376" s="86">
        <f>'[2]EU Sunflower Exports'!LN$290</f>
        <v>44.603000000000002</v>
      </c>
      <c r="J376" s="86">
        <f>'[2]EU Sunflower Exports'!LO$290</f>
        <v>34.247999999999998</v>
      </c>
      <c r="K376" s="86">
        <f>'[2]EU Sunflower Exports'!LP$290</f>
        <v>57.526000000000003</v>
      </c>
      <c r="L376" s="86">
        <f>'[2]EU Sunflower Exports'!LQ$290</f>
        <v>44.04</v>
      </c>
      <c r="M376" s="86">
        <f>'[2]EU Sunflower Exports'!LR$290</f>
        <v>5.976</v>
      </c>
      <c r="N376" s="86">
        <f t="shared" si="91"/>
        <v>654.0809999999999</v>
      </c>
      <c r="O376" s="82"/>
      <c r="P376" s="87">
        <f t="shared" si="96"/>
        <v>168.923</v>
      </c>
      <c r="Q376" s="87">
        <f t="shared" si="93"/>
        <v>256.048</v>
      </c>
      <c r="R376" s="87">
        <f t="shared" si="94"/>
        <v>121.56799999999998</v>
      </c>
      <c r="S376" s="87">
        <f t="shared" si="95"/>
        <v>107.542</v>
      </c>
    </row>
    <row r="377" spans="1:19" ht="16.5">
      <c r="A377" s="85" t="s">
        <v>80</v>
      </c>
      <c r="B377" s="86">
        <f>'[2]EU Sunflower Exports'!LS$290</f>
        <v>12.468999999999999</v>
      </c>
      <c r="C377" s="86">
        <f>'[2]EU Sunflower Exports'!LT$290</f>
        <v>34.926000000000002</v>
      </c>
      <c r="D377" s="86">
        <f>'[2]EU Sunflower Exports'!LU$290</f>
        <v>36.472000000000001</v>
      </c>
      <c r="E377" s="86">
        <f>'[2]EU Sunflower Exports'!LV$290</f>
        <v>16.864000000000001</v>
      </c>
      <c r="F377" s="86">
        <f>'[2]EU Sunflower Exports'!LW$290</f>
        <v>55.161000000000001</v>
      </c>
      <c r="G377" s="86">
        <f>'[2]EU Sunflower Exports'!LX$290</f>
        <v>63.889000000000003</v>
      </c>
      <c r="H377" s="86">
        <f>'[2]EU Sunflower Exports'!LY$290</f>
        <v>89.935000000000002</v>
      </c>
      <c r="I377" s="86">
        <f>'[2]EU Sunflower Exports'!LZ$290</f>
        <v>83.099000000000004</v>
      </c>
      <c r="J377" s="86">
        <f>'[2]EU Sunflower Exports'!MA$290</f>
        <v>70.748000000000005</v>
      </c>
      <c r="K377" s="86">
        <f>'[2]EU Sunflower Exports'!MB$290</f>
        <v>18.018000000000001</v>
      </c>
      <c r="L377" s="86">
        <f>'[2]EU Sunflower Exports'!MC$290</f>
        <v>15032.079000000009</v>
      </c>
      <c r="M377" s="86">
        <f>'[2]EU Sunflower Exports'!MD$290</f>
        <v>24660.541000000005</v>
      </c>
      <c r="N377" s="86">
        <f t="shared" si="91"/>
        <v>40174.201000000015</v>
      </c>
      <c r="O377" s="82"/>
      <c r="P377" s="87">
        <f>SUM(B377:D377)</f>
        <v>83.867000000000004</v>
      </c>
      <c r="Q377" s="87">
        <f>SUM(E377:G377)</f>
        <v>135.91400000000002</v>
      </c>
      <c r="R377" s="87">
        <f>SUM(H377:J377)</f>
        <v>243.78199999999998</v>
      </c>
      <c r="S377" s="87">
        <f>SUM(K377:M377)</f>
        <v>39710.638000000014</v>
      </c>
    </row>
    <row r="378" spans="1:19" ht="16.5">
      <c r="A378" s="85" t="s">
        <v>81</v>
      </c>
      <c r="B378" s="86">
        <f>'[2]EU Sunflower Exports'!ME$290</f>
        <v>118502.84800000001</v>
      </c>
      <c r="C378" s="86">
        <f>'[2]EU Sunflower Exports'!MF$290</f>
        <v>44052.32</v>
      </c>
      <c r="D378" s="86">
        <f>'[2]EU Sunflower Exports'!MG$290</f>
        <v>42633.420000000006</v>
      </c>
      <c r="E378" s="86">
        <f>'[2]EU Sunflower Exports'!MH$290</f>
        <v>28326.658000000014</v>
      </c>
      <c r="F378" s="86">
        <f>'[2]EU Sunflower Exports'!MI$290</f>
        <v>33448.14</v>
      </c>
      <c r="G378" s="86">
        <f>'[2]EU Sunflower Exports'!MJ$290</f>
        <v>32419.257999999991</v>
      </c>
      <c r="H378" s="86">
        <f>'[2]EU Sunflower Exports'!MK$290</f>
        <v>36951.121999999988</v>
      </c>
      <c r="I378" s="86">
        <f>'[2]EU Sunflower Exports'!ML$290</f>
        <v>55298.258999999984</v>
      </c>
      <c r="J378" s="86">
        <f>'[2]EU Sunflower Exports'!MM$290</f>
        <v>64736.393999999978</v>
      </c>
      <c r="K378" s="86">
        <f>'[2]EU Sunflower Exports'!MN$290</f>
        <v>65258.405999999966</v>
      </c>
      <c r="L378" s="86">
        <f>'[2]EU Sunflower Exports'!MO$290</f>
        <v>20564.529999999984</v>
      </c>
      <c r="M378" s="86">
        <f>'[2]EU Sunflower Exports'!MP$290</f>
        <v>16046.363000000003</v>
      </c>
      <c r="N378" s="86">
        <f t="shared" si="91"/>
        <v>558237.71799999988</v>
      </c>
      <c r="O378" s="82"/>
      <c r="P378" s="87">
        <f t="shared" si="96"/>
        <v>205188.58800000002</v>
      </c>
      <c r="Q378" s="87">
        <f t="shared" si="93"/>
        <v>94194.055999999997</v>
      </c>
      <c r="R378" s="87">
        <f t="shared" si="94"/>
        <v>156985.77499999994</v>
      </c>
      <c r="S378" s="87">
        <f t="shared" si="95"/>
        <v>101869.29899999996</v>
      </c>
    </row>
    <row r="379" spans="1:19" ht="17.25" thickBot="1">
      <c r="A379" s="88" t="s">
        <v>82</v>
      </c>
      <c r="B379" s="89">
        <f>'[2]EU Sunflower Exports'!MQ$290</f>
        <v>87953.596000000005</v>
      </c>
      <c r="C379" s="89">
        <f>'[2]EU Sunflower Exports'!MR$290</f>
        <v>41887.562999999987</v>
      </c>
      <c r="D379" s="89">
        <f>'[2]EU Sunflower Exports'!MS$290</f>
        <v>39903.590999999993</v>
      </c>
      <c r="E379" s="89">
        <f>'[2]EU Sunflower Exports'!MT$290</f>
        <v>62922.34399999999</v>
      </c>
      <c r="F379" s="89">
        <f>'[2]EU Sunflower Exports'!MU$290</f>
        <v>86638.504000000001</v>
      </c>
      <c r="G379" s="89">
        <f>'[2]EU Sunflower Exports'!MV$290</f>
        <v>80311.397999999957</v>
      </c>
      <c r="H379" s="89">
        <f>'[2]EU Sunflower Exports'!MW$290</f>
        <v>99632.34199999999</v>
      </c>
      <c r="I379" s="90">
        <f>'EU Sun Complex'!$AC72</f>
        <v>56.590406000000009</v>
      </c>
      <c r="J379" s="90">
        <f>'EU Sun Complex'!$AC73</f>
        <v>44.404573999999968</v>
      </c>
      <c r="K379" s="90">
        <f>'EU Sun Complex'!$AC74</f>
        <v>32.442141000000014</v>
      </c>
      <c r="L379" s="90">
        <f>'EU Sun Complex'!$AC75</f>
        <v>17.532051000000006</v>
      </c>
      <c r="M379" s="90">
        <f>'EU Sun Complex'!AD64</f>
        <v>15.180816000000002</v>
      </c>
      <c r="N379" s="90">
        <f>SUM(B379:M379)</f>
        <v>499415.48798799986</v>
      </c>
      <c r="O379" s="94"/>
      <c r="P379" s="92">
        <f t="shared" si="96"/>
        <v>169744.74999999997</v>
      </c>
      <c r="Q379" s="92">
        <f t="shared" si="93"/>
        <v>229872.24599999996</v>
      </c>
      <c r="R379" s="93">
        <f t="shared" si="94"/>
        <v>99733.336979999993</v>
      </c>
      <c r="S379" s="93">
        <f t="shared" si="95"/>
        <v>65.155008000000024</v>
      </c>
    </row>
    <row r="380" spans="1:19" ht="16.5">
      <c r="A380" s="80" t="s">
        <v>96</v>
      </c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27"/>
      <c r="P380" s="87"/>
      <c r="Q380" s="87"/>
      <c r="R380" s="87"/>
      <c r="S380" s="87"/>
    </row>
    <row r="381" spans="1:19" ht="16.5" hidden="1">
      <c r="A381" s="96" t="s">
        <v>84</v>
      </c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27"/>
      <c r="P381" s="87"/>
      <c r="Q381" s="87"/>
      <c r="R381" s="87"/>
      <c r="S381" s="87"/>
    </row>
    <row r="382" spans="1:19" ht="16.5" hidden="1">
      <c r="A382" s="96" t="s">
        <v>56</v>
      </c>
      <c r="B382" s="86">
        <f>'[2]Russia Sunflower Exports'!AQ$290</f>
        <v>0</v>
      </c>
      <c r="C382" s="86">
        <f>'[2]Russia Sunflower Exports'!AR$290</f>
        <v>0</v>
      </c>
      <c r="D382" s="86">
        <f>'[2]Russia Sunflower Exports'!AS$290</f>
        <v>0</v>
      </c>
      <c r="E382" s="86">
        <f>'[2]Russia Sunflower Exports'!AT$290</f>
        <v>0</v>
      </c>
      <c r="F382" s="86">
        <f>'[2]Russia Sunflower Exports'!AU$290</f>
        <v>0</v>
      </c>
      <c r="G382" s="86">
        <f>'[2]Russia Sunflower Exports'!AV$290</f>
        <v>0</v>
      </c>
      <c r="H382" s="86">
        <f>'[2]Russia Sunflower Exports'!AW$290</f>
        <v>0</v>
      </c>
      <c r="I382" s="86">
        <f>'[2]Russia Sunflower Exports'!AX$290</f>
        <v>0</v>
      </c>
      <c r="J382" s="86">
        <f>'[2]Russia Sunflower Exports'!AY$290</f>
        <v>0</v>
      </c>
      <c r="K382" s="86">
        <f>'[2]Russia Sunflower Exports'!AZ$290</f>
        <v>0</v>
      </c>
      <c r="L382" s="86">
        <f>'[2]Russia Sunflower Exports'!BA$290</f>
        <v>0</v>
      </c>
      <c r="M382" s="86">
        <f>'[2]Russia Sunflower Exports'!BB$290</f>
        <v>0</v>
      </c>
      <c r="N382" s="86">
        <f>SUM(B382:M382)</f>
        <v>0</v>
      </c>
      <c r="O382" s="27"/>
      <c r="P382" s="87">
        <f>SUM(B382:D382)</f>
        <v>0</v>
      </c>
      <c r="Q382" s="87">
        <f>SUM(E382:G382)</f>
        <v>0</v>
      </c>
      <c r="R382" s="87">
        <f>SUM(H382:J382)</f>
        <v>0</v>
      </c>
      <c r="S382" s="87">
        <f>SUM(K382:M382)</f>
        <v>0</v>
      </c>
    </row>
    <row r="383" spans="1:19" ht="16.5" hidden="1">
      <c r="A383" s="96" t="s">
        <v>57</v>
      </c>
      <c r="B383" s="86">
        <f>'[2]Russia Sunflower Exports'!BC$290</f>
        <v>2</v>
      </c>
      <c r="C383" s="86">
        <f>'[2]Russia Sunflower Exports'!BD$290</f>
        <v>61</v>
      </c>
      <c r="D383" s="86">
        <f>'[2]Russia Sunflower Exports'!BE$290</f>
        <v>114</v>
      </c>
      <c r="E383" s="86">
        <f>'[2]Russia Sunflower Exports'!BF$290</f>
        <v>155</v>
      </c>
      <c r="F383" s="86">
        <f>'[2]Russia Sunflower Exports'!BG$290</f>
        <v>116</v>
      </c>
      <c r="G383" s="86">
        <f>'[2]Russia Sunflower Exports'!BH$290</f>
        <v>111</v>
      </c>
      <c r="H383" s="86">
        <f>'[2]Russia Sunflower Exports'!BI$290</f>
        <v>140</v>
      </c>
      <c r="I383" s="86">
        <f>'[2]Russia Sunflower Exports'!BJ$290</f>
        <v>168</v>
      </c>
      <c r="J383" s="86">
        <f>'[2]Russia Sunflower Exports'!BK$290</f>
        <v>133</v>
      </c>
      <c r="K383" s="86">
        <f>'[2]Russia Sunflower Exports'!BL$290</f>
        <v>94</v>
      </c>
      <c r="L383" s="86">
        <f>'[2]Russia Sunflower Exports'!BM$290</f>
        <v>65</v>
      </c>
      <c r="M383" s="86">
        <f>'[2]Russia Sunflower Exports'!BN$290</f>
        <v>51</v>
      </c>
      <c r="N383" s="86">
        <f t="shared" ref="N383:N408" si="97">SUM(B383:M383)</f>
        <v>1210</v>
      </c>
      <c r="O383" s="27"/>
      <c r="P383" s="87">
        <f t="shared" ref="P383:P401" si="98">SUM(B383:D383)</f>
        <v>177</v>
      </c>
      <c r="Q383" s="87">
        <f t="shared" ref="Q383:Q408" si="99">SUM(E383:G383)</f>
        <v>382</v>
      </c>
      <c r="R383" s="87">
        <f t="shared" ref="R383:R408" si="100">SUM(H383:J383)</f>
        <v>441</v>
      </c>
      <c r="S383" s="87">
        <f t="shared" ref="S383:S408" si="101">SUM(K383:M383)</f>
        <v>210</v>
      </c>
    </row>
    <row r="384" spans="1:19" ht="16.5" hidden="1">
      <c r="A384" s="96" t="s">
        <v>58</v>
      </c>
      <c r="B384" s="86">
        <f>'[2]Russia Sunflower Exports'!BO$290</f>
        <v>60</v>
      </c>
      <c r="C384" s="86">
        <f>'[2]Russia Sunflower Exports'!BP$290</f>
        <v>235</v>
      </c>
      <c r="D384" s="86">
        <f>'[2]Russia Sunflower Exports'!BQ$290</f>
        <v>316</v>
      </c>
      <c r="E384" s="86">
        <f>'[2]Russia Sunflower Exports'!BR$290</f>
        <v>216</v>
      </c>
      <c r="F384" s="86">
        <f>'[2]Russia Sunflower Exports'!BS$290</f>
        <v>142.97617600000001</v>
      </c>
      <c r="G384" s="86">
        <f>'[2]Russia Sunflower Exports'!BT$290</f>
        <v>74.153741999999994</v>
      </c>
      <c r="H384" s="86">
        <f>'[2]Russia Sunflower Exports'!BU$290</f>
        <v>99.815567000000001</v>
      </c>
      <c r="I384" s="86">
        <f>'[2]Russia Sunflower Exports'!BV$290</f>
        <v>67.385560999999996</v>
      </c>
      <c r="J384" s="86">
        <f>'[2]Russia Sunflower Exports'!BW$290</f>
        <v>24.497064999999999</v>
      </c>
      <c r="K384" s="86">
        <f>'[2]Russia Sunflower Exports'!BX$290</f>
        <v>11.108934</v>
      </c>
      <c r="L384" s="86">
        <f>'[2]Russia Sunflower Exports'!BY$290</f>
        <v>5.1324860000000001</v>
      </c>
      <c r="M384" s="86">
        <f>'[2]Russia Sunflower Exports'!BZ$290</f>
        <v>0</v>
      </c>
      <c r="N384" s="86">
        <f t="shared" si="97"/>
        <v>1252.0695310000003</v>
      </c>
      <c r="O384" s="27"/>
      <c r="P384" s="87">
        <f t="shared" si="98"/>
        <v>611</v>
      </c>
      <c r="Q384" s="87">
        <f t="shared" si="99"/>
        <v>433.12991799999998</v>
      </c>
      <c r="R384" s="87">
        <f t="shared" si="100"/>
        <v>191.69819299999997</v>
      </c>
      <c r="S384" s="87">
        <f t="shared" si="101"/>
        <v>16.241419999999998</v>
      </c>
    </row>
    <row r="385" spans="1:19" ht="16.5" hidden="1">
      <c r="A385" s="96" t="s">
        <v>59</v>
      </c>
      <c r="B385" s="86">
        <f>'[2]Russia Sunflower Exports'!CA$290</f>
        <v>31.861922</v>
      </c>
      <c r="C385" s="86">
        <f>'[2]Russia Sunflower Exports'!CB$290</f>
        <v>135.67334399999999</v>
      </c>
      <c r="D385" s="86">
        <f>'[2]Russia Sunflower Exports'!CC$290</f>
        <v>237.727745</v>
      </c>
      <c r="E385" s="86">
        <f>'[2]Russia Sunflower Exports'!CD$290</f>
        <v>218.83521200000001</v>
      </c>
      <c r="F385" s="86">
        <f>'[2]Russia Sunflower Exports'!CE$290</f>
        <v>95.779572999999999</v>
      </c>
      <c r="G385" s="86">
        <f>'[2]Russia Sunflower Exports'!CF$290</f>
        <v>79.512466000000003</v>
      </c>
      <c r="H385" s="86">
        <f>'[2]Russia Sunflower Exports'!CG$290</f>
        <v>43.281413000000001</v>
      </c>
      <c r="I385" s="86">
        <f>'[2]Russia Sunflower Exports'!CH$290</f>
        <v>38.983021000000001</v>
      </c>
      <c r="J385" s="86">
        <f>'[2]Russia Sunflower Exports'!CI$290</f>
        <v>34.078111</v>
      </c>
      <c r="K385" s="86">
        <f>'[2]Russia Sunflower Exports'!CJ$290</f>
        <v>16.988274000000001</v>
      </c>
      <c r="L385" s="86">
        <f>'[2]Russia Sunflower Exports'!CK$290</f>
        <v>6.9174759999999997</v>
      </c>
      <c r="M385" s="86">
        <f>'[2]Russia Sunflower Exports'!CL$290</f>
        <v>7.2679999999999995E-2</v>
      </c>
      <c r="N385" s="86">
        <f t="shared" si="97"/>
        <v>939.7112370000001</v>
      </c>
      <c r="O385" s="27"/>
      <c r="P385" s="87">
        <f t="shared" si="98"/>
        <v>405.26301100000001</v>
      </c>
      <c r="Q385" s="87">
        <f t="shared" si="99"/>
        <v>394.127251</v>
      </c>
      <c r="R385" s="87">
        <f t="shared" si="100"/>
        <v>116.342545</v>
      </c>
      <c r="S385" s="87">
        <f t="shared" si="101"/>
        <v>23.978429999999999</v>
      </c>
    </row>
    <row r="386" spans="1:19" ht="16.5" hidden="1">
      <c r="A386" s="96" t="s">
        <v>60</v>
      </c>
      <c r="B386" s="86">
        <f>'[2]Russia Sunflower Exports'!CM$290</f>
        <v>27.668130000000001</v>
      </c>
      <c r="C386" s="86">
        <f>'[2]Russia Sunflower Exports'!CN$290</f>
        <v>288.52877599999999</v>
      </c>
      <c r="D386" s="86">
        <f>'[2]Russia Sunflower Exports'!CO$290</f>
        <v>276.18699299999997</v>
      </c>
      <c r="E386" s="86">
        <f>'[2]Russia Sunflower Exports'!CP$290</f>
        <v>199.242852</v>
      </c>
      <c r="F386" s="86">
        <f>'[2]Russia Sunflower Exports'!CQ$290</f>
        <v>86.712318999999994</v>
      </c>
      <c r="G386" s="86">
        <f>'[2]Russia Sunflower Exports'!CR$290</f>
        <v>13.267483</v>
      </c>
      <c r="H386" s="86">
        <f>'[2]Russia Sunflower Exports'!CS$290</f>
        <v>5.7908549999999996</v>
      </c>
      <c r="I386" s="86">
        <f>'[2]Russia Sunflower Exports'!CT$290</f>
        <v>0.27944999999999998</v>
      </c>
      <c r="J386" s="86">
        <f>'[2]Russia Sunflower Exports'!CU$290</f>
        <v>0.1305</v>
      </c>
      <c r="K386" s="86">
        <f>'[2]Russia Sunflower Exports'!CV$290</f>
        <v>5.8400000000000001E-2</v>
      </c>
      <c r="L386" s="86">
        <f>'[2]Russia Sunflower Exports'!CW$290</f>
        <v>0.153</v>
      </c>
      <c r="M386" s="86">
        <f>'[2]Russia Sunflower Exports'!CX$290</f>
        <v>0</v>
      </c>
      <c r="N386" s="86">
        <f t="shared" si="97"/>
        <v>898.01875799999982</v>
      </c>
      <c r="O386" s="27"/>
      <c r="P386" s="87">
        <f t="shared" si="98"/>
        <v>592.38389899999993</v>
      </c>
      <c r="Q386" s="87">
        <f t="shared" si="99"/>
        <v>299.22265400000003</v>
      </c>
      <c r="R386" s="87">
        <f t="shared" si="100"/>
        <v>6.200804999999999</v>
      </c>
      <c r="S386" s="87">
        <f t="shared" si="101"/>
        <v>0.2114</v>
      </c>
    </row>
    <row r="387" spans="1:19" ht="16.5" hidden="1">
      <c r="A387" s="96" t="s">
        <v>61</v>
      </c>
      <c r="B387" s="86">
        <f>'[2]Russia Sunflower Exports'!CY$290</f>
        <v>0</v>
      </c>
      <c r="C387" s="86">
        <f>'[2]Russia Sunflower Exports'!CZ$290</f>
        <v>17.906452000000002</v>
      </c>
      <c r="D387" s="86">
        <f>'[2]Russia Sunflower Exports'!DA$290</f>
        <v>99.229028999999997</v>
      </c>
      <c r="E387" s="86">
        <f>'[2]Russia Sunflower Exports'!DB$290</f>
        <v>88.535425000000004</v>
      </c>
      <c r="F387" s="86">
        <f>'[2]Russia Sunflower Exports'!DC$290</f>
        <v>52.996431000000001</v>
      </c>
      <c r="G387" s="86">
        <f>'[2]Russia Sunflower Exports'!DD$290</f>
        <v>126.665989</v>
      </c>
      <c r="H387" s="86">
        <f>'[2]Russia Sunflower Exports'!DE$290</f>
        <v>111.97575399999999</v>
      </c>
      <c r="I387" s="86">
        <f>'[2]Russia Sunflower Exports'!DF$290</f>
        <v>103.912216</v>
      </c>
      <c r="J387" s="86">
        <f>'[2]Russia Sunflower Exports'!DG$290</f>
        <v>117.53833299999999</v>
      </c>
      <c r="K387" s="86">
        <f>'[2]Russia Sunflower Exports'!DH$290</f>
        <v>66.722898999999998</v>
      </c>
      <c r="L387" s="86">
        <f>'[2]Russia Sunflower Exports'!DI$290</f>
        <v>47.695962000000002</v>
      </c>
      <c r="M387" s="86">
        <f>'[2]Russia Sunflower Exports'!DJ$290</f>
        <v>14.059111</v>
      </c>
      <c r="N387" s="86">
        <f t="shared" si="97"/>
        <v>847.23760099999993</v>
      </c>
      <c r="O387" s="27"/>
      <c r="P387" s="87">
        <f t="shared" si="98"/>
        <v>117.135481</v>
      </c>
      <c r="Q387" s="87">
        <f t="shared" si="99"/>
        <v>268.19784500000003</v>
      </c>
      <c r="R387" s="87">
        <f t="shared" si="100"/>
        <v>333.42630299999996</v>
      </c>
      <c r="S387" s="87">
        <f t="shared" si="101"/>
        <v>128.47797199999999</v>
      </c>
    </row>
    <row r="388" spans="1:19" ht="16.5" hidden="1">
      <c r="A388" s="96" t="s">
        <v>62</v>
      </c>
      <c r="B388" s="86">
        <f>'[2]Russia Sunflower Exports'!DK$290</f>
        <v>11.143368000000001</v>
      </c>
      <c r="C388" s="86">
        <f>'[2]Russia Sunflower Exports'!DL$290</f>
        <v>99.879821000000007</v>
      </c>
      <c r="D388" s="86">
        <f>'[2]Russia Sunflower Exports'!DM$290</f>
        <v>174.46945299999999</v>
      </c>
      <c r="E388" s="86">
        <f>'[2]Russia Sunflower Exports'!DN$290</f>
        <v>187.47681700000001</v>
      </c>
      <c r="F388" s="86">
        <f>'[2]Russia Sunflower Exports'!DO$290</f>
        <v>69.089813000000007</v>
      </c>
      <c r="G388" s="86">
        <f>'[2]Russia Sunflower Exports'!DP$290</f>
        <v>104.111175</v>
      </c>
      <c r="H388" s="86">
        <f>'[2]Russia Sunflower Exports'!DQ$290</f>
        <v>35.313966999999998</v>
      </c>
      <c r="I388" s="86">
        <f>'[2]Russia Sunflower Exports'!DR$290</f>
        <v>41.421241999999999</v>
      </c>
      <c r="J388" s="86">
        <f>'[2]Russia Sunflower Exports'!DS$290</f>
        <v>5.9562109999999997</v>
      </c>
      <c r="K388" s="86">
        <f>'[2]Russia Sunflower Exports'!DT$290</f>
        <v>0.466555</v>
      </c>
      <c r="L388" s="86">
        <f>'[2]Russia Sunflower Exports'!DU$290</f>
        <v>1.7319999999999999E-2</v>
      </c>
      <c r="M388" s="86">
        <f>'[2]Russia Sunflower Exports'!DV$290</f>
        <v>0</v>
      </c>
      <c r="N388" s="86">
        <f t="shared" si="97"/>
        <v>729.3457420000002</v>
      </c>
      <c r="O388" s="27"/>
      <c r="P388" s="87">
        <f t="shared" si="98"/>
        <v>285.49264199999999</v>
      </c>
      <c r="Q388" s="87">
        <f t="shared" si="99"/>
        <v>360.67780500000003</v>
      </c>
      <c r="R388" s="87">
        <f t="shared" si="100"/>
        <v>82.691419999999994</v>
      </c>
      <c r="S388" s="87">
        <f t="shared" si="101"/>
        <v>0.483875</v>
      </c>
    </row>
    <row r="389" spans="1:19" ht="16.5" hidden="1">
      <c r="A389" s="96" t="s">
        <v>63</v>
      </c>
      <c r="B389" s="86">
        <f>'[2]Russia Sunflower Exports'!DW$290</f>
        <v>1.6603E-2</v>
      </c>
      <c r="C389" s="86">
        <f>'[2]Russia Sunflower Exports'!DX$290</f>
        <v>5.8516599999999999</v>
      </c>
      <c r="D389" s="86">
        <f>'[2]Russia Sunflower Exports'!DY$290</f>
        <v>3.6299000000000001</v>
      </c>
      <c r="E389" s="86">
        <f>'[2]Russia Sunflower Exports'!DZ$290</f>
        <v>3.8164099999999999</v>
      </c>
      <c r="F389" s="86">
        <f>'[2]Russia Sunflower Exports'!EA$290</f>
        <v>1.7290000000000001</v>
      </c>
      <c r="G389" s="86">
        <f>'[2]Russia Sunflower Exports'!EB$290</f>
        <v>2.81</v>
      </c>
      <c r="H389" s="86">
        <f>'[2]Russia Sunflower Exports'!EC$290</f>
        <v>1.4999999999999999E-2</v>
      </c>
      <c r="I389" s="86">
        <f>'[2]Russia Sunflower Exports'!ED$290</f>
        <v>3.1E-2</v>
      </c>
      <c r="J389" s="86">
        <f>'[2]Russia Sunflower Exports'!EE$290</f>
        <v>7.0000000000000001E-3</v>
      </c>
      <c r="K389" s="86">
        <f>'[2]Russia Sunflower Exports'!EF$290</f>
        <v>1.2E-2</v>
      </c>
      <c r="L389" s="86">
        <f>'[2]Russia Sunflower Exports'!EG$290</f>
        <v>1.2E-2</v>
      </c>
      <c r="M389" s="86">
        <f>'[2]Russia Sunflower Exports'!EH$290</f>
        <v>1E-3</v>
      </c>
      <c r="N389" s="86">
        <f t="shared" si="97"/>
        <v>17.931573</v>
      </c>
      <c r="O389" s="27"/>
      <c r="P389" s="87">
        <f t="shared" si="98"/>
        <v>9.4981629999999999</v>
      </c>
      <c r="Q389" s="87">
        <f t="shared" si="99"/>
        <v>8.3554100000000009</v>
      </c>
      <c r="R389" s="87">
        <f t="shared" si="100"/>
        <v>5.2999999999999999E-2</v>
      </c>
      <c r="S389" s="87">
        <f t="shared" si="101"/>
        <v>2.5000000000000001E-2</v>
      </c>
    </row>
    <row r="390" spans="1:19" ht="16.5" hidden="1">
      <c r="A390" s="96" t="s">
        <v>64</v>
      </c>
      <c r="B390" s="86">
        <f>'[2]Russia Sunflower Exports'!EI$290</f>
        <v>0</v>
      </c>
      <c r="C390" s="86">
        <f>'[2]Russia Sunflower Exports'!EJ$290</f>
        <v>17.773</v>
      </c>
      <c r="D390" s="86">
        <f>'[2]Russia Sunflower Exports'!EK$290</f>
        <v>46.137</v>
      </c>
      <c r="E390" s="86">
        <f>'[2]Russia Sunflower Exports'!EL$290</f>
        <v>17.187000000000001</v>
      </c>
      <c r="F390" s="86">
        <f>'[2]Russia Sunflower Exports'!EM$290</f>
        <v>18.32</v>
      </c>
      <c r="G390" s="86">
        <f>'[2]Russia Sunflower Exports'!EN$290</f>
        <v>16.347000000000001</v>
      </c>
      <c r="H390" s="86">
        <f>'[2]Russia Sunflower Exports'!EO$290</f>
        <v>23.352</v>
      </c>
      <c r="I390" s="86">
        <f>'[2]Russia Sunflower Exports'!EP$290</f>
        <v>15.612</v>
      </c>
      <c r="J390" s="86">
        <f>'[2]Russia Sunflower Exports'!EQ$290</f>
        <v>29.47</v>
      </c>
      <c r="K390" s="86">
        <f>'[2]Russia Sunflower Exports'!ER$290</f>
        <v>1.29</v>
      </c>
      <c r="L390" s="86">
        <f>'[2]Russia Sunflower Exports'!ES$290</f>
        <v>6.7000000000000004E-2</v>
      </c>
      <c r="M390" s="86">
        <f>'[2]Russia Sunflower Exports'!ET$290</f>
        <v>0</v>
      </c>
      <c r="N390" s="86">
        <f t="shared" si="97"/>
        <v>185.55500000000001</v>
      </c>
      <c r="O390" s="27"/>
      <c r="P390" s="87">
        <f t="shared" si="98"/>
        <v>63.91</v>
      </c>
      <c r="Q390" s="87">
        <f t="shared" si="99"/>
        <v>51.854000000000006</v>
      </c>
      <c r="R390" s="87">
        <f t="shared" si="100"/>
        <v>68.433999999999997</v>
      </c>
      <c r="S390" s="87">
        <f t="shared" si="101"/>
        <v>1.357</v>
      </c>
    </row>
    <row r="391" spans="1:19" ht="16.5" hidden="1">
      <c r="A391" s="85" t="s">
        <v>65</v>
      </c>
      <c r="B391" s="86">
        <f>'[2]Russia Sunflower Exports'!EU$290</f>
        <v>0</v>
      </c>
      <c r="C391" s="86">
        <f>'[2]Russia Sunflower Exports'!EV$290</f>
        <v>24.116</v>
      </c>
      <c r="D391" s="86">
        <f>'[2]Russia Sunflower Exports'!EW$290</f>
        <v>78.028999999999996</v>
      </c>
      <c r="E391" s="86">
        <f>'[2]Russia Sunflower Exports'!EX$290</f>
        <v>85.363</v>
      </c>
      <c r="F391" s="86">
        <f>'[2]Russia Sunflower Exports'!EY$290</f>
        <v>43.198999999999998</v>
      </c>
      <c r="G391" s="86">
        <f>'[2]Russia Sunflower Exports'!EZ$290</f>
        <v>21.373999999999999</v>
      </c>
      <c r="H391" s="86">
        <f>'[2]Russia Sunflower Exports'!FA$290</f>
        <v>23.478000000000002</v>
      </c>
      <c r="I391" s="86">
        <f>'[2]Russia Sunflower Exports'!FB$290</f>
        <v>19.776</v>
      </c>
      <c r="J391" s="86">
        <f>'[2]Russia Sunflower Exports'!FC$290</f>
        <v>11.244999999999999</v>
      </c>
      <c r="K391" s="86">
        <f>'[2]Russia Sunflower Exports'!FD$290</f>
        <v>3.1E-2</v>
      </c>
      <c r="L391" s="86">
        <f>'[2]Russia Sunflower Exports'!FE$290</f>
        <v>4.0229999999999997</v>
      </c>
      <c r="M391" s="86">
        <f>'[2]Russia Sunflower Exports'!FF$290</f>
        <v>3.0499999999999999E-4</v>
      </c>
      <c r="N391" s="86">
        <f t="shared" si="97"/>
        <v>310.63430500000004</v>
      </c>
      <c r="O391" s="27"/>
      <c r="P391" s="87">
        <f t="shared" si="98"/>
        <v>102.145</v>
      </c>
      <c r="Q391" s="87">
        <f t="shared" si="99"/>
        <v>149.93600000000001</v>
      </c>
      <c r="R391" s="87">
        <f t="shared" si="100"/>
        <v>54.499000000000002</v>
      </c>
      <c r="S391" s="87">
        <f t="shared" si="101"/>
        <v>4.0543049999999994</v>
      </c>
    </row>
    <row r="392" spans="1:19" ht="16.5" hidden="1">
      <c r="A392" s="85" t="s">
        <v>66</v>
      </c>
      <c r="B392" s="86">
        <f>'[2]Russia Sunflower Exports'!FG$290</f>
        <v>0.02</v>
      </c>
      <c r="C392" s="86">
        <f>'[2]Russia Sunflower Exports'!FH$290</f>
        <v>0.29799999999999999</v>
      </c>
      <c r="D392" s="86">
        <f>'[2]Russia Sunflower Exports'!FI$290</f>
        <v>0.16900000000000001</v>
      </c>
      <c r="E392" s="86">
        <f>'[2]Russia Sunflower Exports'!FJ$290</f>
        <v>0.84</v>
      </c>
      <c r="F392" s="86">
        <f>'[2]Russia Sunflower Exports'!FK$290</f>
        <v>0.108</v>
      </c>
      <c r="G392" s="86">
        <f>'[2]Russia Sunflower Exports'!FL$290</f>
        <v>0.27</v>
      </c>
      <c r="H392" s="86">
        <f>'[2]Russia Sunflower Exports'!FM$290</f>
        <v>0.32200000000000001</v>
      </c>
      <c r="I392" s="86">
        <f>'[2]Russia Sunflower Exports'!FN$290</f>
        <v>15.712999999999999</v>
      </c>
      <c r="J392" s="86">
        <f>'[2]Russia Sunflower Exports'!FO$290</f>
        <v>13.804</v>
      </c>
      <c r="K392" s="86">
        <f>'[2]Russia Sunflower Exports'!FP$290</f>
        <v>2.9670000000000001</v>
      </c>
      <c r="L392" s="86">
        <f>'[2]Russia Sunflower Exports'!FQ$290</f>
        <v>7.2610000000000001</v>
      </c>
      <c r="M392" s="86">
        <f>'[2]Russia Sunflower Exports'!FR$290</f>
        <v>3.27</v>
      </c>
      <c r="N392" s="86">
        <f t="shared" si="97"/>
        <v>45.042000000000002</v>
      </c>
      <c r="O392" s="27"/>
      <c r="P392" s="87">
        <f t="shared" si="98"/>
        <v>0.48699999999999999</v>
      </c>
      <c r="Q392" s="87">
        <f t="shared" si="99"/>
        <v>1.218</v>
      </c>
      <c r="R392" s="87">
        <f t="shared" si="100"/>
        <v>29.838999999999999</v>
      </c>
      <c r="S392" s="87">
        <f t="shared" si="101"/>
        <v>13.497999999999999</v>
      </c>
    </row>
    <row r="393" spans="1:19" ht="16.5" hidden="1">
      <c r="A393" s="97" t="s">
        <v>67</v>
      </c>
      <c r="B393" s="86">
        <f>'[2]Russia Sunflower Exports'!FS$290</f>
        <v>15.586</v>
      </c>
      <c r="C393" s="86">
        <f>'[2]Russia Sunflower Exports'!FT$290</f>
        <v>35.616999999999997</v>
      </c>
      <c r="D393" s="86">
        <f>'[2]Russia Sunflower Exports'!FU$290</f>
        <v>85.978999999999999</v>
      </c>
      <c r="E393" s="86">
        <f>'[2]Russia Sunflower Exports'!FV$290</f>
        <v>103.864</v>
      </c>
      <c r="F393" s="86">
        <f>'[2]Russia Sunflower Exports'!FW$290</f>
        <v>22.902000000000001</v>
      </c>
      <c r="G393" s="86">
        <f>'[2]Russia Sunflower Exports'!FX$290</f>
        <v>9.3490000000000002</v>
      </c>
      <c r="H393" s="86">
        <f>'[2]Russia Sunflower Exports'!FY$290</f>
        <v>57.616999999999997</v>
      </c>
      <c r="I393" s="86">
        <f>'[2]Russia Sunflower Exports'!FZ$290</f>
        <v>30.722999999999999</v>
      </c>
      <c r="J393" s="86">
        <f>'[2]Russia Sunflower Exports'!GA$290</f>
        <v>16.678999999999998</v>
      </c>
      <c r="K393" s="86">
        <f>'[2]Russia Sunflower Exports'!GB$290</f>
        <v>5.97</v>
      </c>
      <c r="L393" s="86">
        <f>'[2]Russia Sunflower Exports'!GC$290</f>
        <v>5.1749999999999998</v>
      </c>
      <c r="M393" s="86">
        <f>'[2]Russia Sunflower Exports'!GD$290</f>
        <v>6.1909999999999998</v>
      </c>
      <c r="N393" s="86">
        <f t="shared" si="97"/>
        <v>395.65199999999999</v>
      </c>
      <c r="O393" s="27"/>
      <c r="P393" s="87">
        <f t="shared" si="98"/>
        <v>137.18199999999999</v>
      </c>
      <c r="Q393" s="87">
        <f t="shared" si="99"/>
        <v>136.11500000000001</v>
      </c>
      <c r="R393" s="87">
        <f t="shared" si="100"/>
        <v>105.01900000000001</v>
      </c>
      <c r="S393" s="87">
        <f t="shared" si="101"/>
        <v>17.335999999999999</v>
      </c>
    </row>
    <row r="394" spans="1:19" ht="16.5" hidden="1">
      <c r="A394" s="85" t="s">
        <v>68</v>
      </c>
      <c r="B394" s="86">
        <f>'[2]Russia Sunflower Exports'!GE$290</f>
        <v>4.1029999999999998</v>
      </c>
      <c r="C394" s="86">
        <f>'[2]Russia Sunflower Exports'!GF$290</f>
        <v>20.956</v>
      </c>
      <c r="D394" s="86">
        <f>'[2]Russia Sunflower Exports'!GG$290</f>
        <v>13.226000000000001</v>
      </c>
      <c r="E394" s="86">
        <f>'[2]Russia Sunflower Exports'!GH$290</f>
        <v>40.643000000000001</v>
      </c>
      <c r="F394" s="86">
        <f>'[2]Russia Sunflower Exports'!GI$290</f>
        <v>12.676</v>
      </c>
      <c r="G394" s="86">
        <f>'[2]Russia Sunflower Exports'!GJ$290</f>
        <v>17.393000000000001</v>
      </c>
      <c r="H394" s="86">
        <f>'[2]Russia Sunflower Exports'!GK$290</f>
        <v>21.92</v>
      </c>
      <c r="I394" s="86">
        <f>'[2]Russia Sunflower Exports'!GL$290</f>
        <v>14.811</v>
      </c>
      <c r="J394" s="86">
        <f>'[2]Russia Sunflower Exports'!GM$290</f>
        <v>4.8710000000000004</v>
      </c>
      <c r="K394" s="86">
        <f>'[2]Russia Sunflower Exports'!GN$290</f>
        <v>3.476</v>
      </c>
      <c r="L394" s="86">
        <f>'[2]Russia Sunflower Exports'!GO$290</f>
        <v>4.5590000000000002</v>
      </c>
      <c r="M394" s="86">
        <f>'[2]Russia Sunflower Exports'!GP$290</f>
        <v>3.4729999999999999</v>
      </c>
      <c r="N394" s="86">
        <f t="shared" si="97"/>
        <v>162.10700000000003</v>
      </c>
      <c r="O394" s="27"/>
      <c r="P394" s="87">
        <f t="shared" si="98"/>
        <v>38.284999999999997</v>
      </c>
      <c r="Q394" s="87">
        <f t="shared" si="99"/>
        <v>70.712000000000003</v>
      </c>
      <c r="R394" s="87">
        <f t="shared" si="100"/>
        <v>41.602000000000004</v>
      </c>
      <c r="S394" s="87">
        <f t="shared" si="101"/>
        <v>11.507999999999999</v>
      </c>
    </row>
    <row r="395" spans="1:19" ht="16.5" hidden="1">
      <c r="A395" s="97" t="s">
        <v>69</v>
      </c>
      <c r="B395" s="86">
        <f>'[2]Russia Sunflower Exports'!GQ$290</f>
        <v>3.609</v>
      </c>
      <c r="C395" s="86">
        <f>'[2]Russia Sunflower Exports'!GR$290</f>
        <v>1.4239999999999999</v>
      </c>
      <c r="D395" s="86">
        <f>'[2]Russia Sunflower Exports'!GS$290</f>
        <v>6.6980000000000004</v>
      </c>
      <c r="E395" s="86">
        <f>'[2]Russia Sunflower Exports'!GT$290</f>
        <v>4.407</v>
      </c>
      <c r="F395" s="86">
        <f>'[2]Russia Sunflower Exports'!GU$290</f>
        <v>1.671</v>
      </c>
      <c r="G395" s="86">
        <f>'[2]Russia Sunflower Exports'!GV$290</f>
        <v>2.78</v>
      </c>
      <c r="H395" s="86">
        <f>'[2]Russia Sunflower Exports'!GW$290</f>
        <v>2.7210000000000001</v>
      </c>
      <c r="I395" s="86">
        <f>'[2]Russia Sunflower Exports'!GX$290</f>
        <v>4.718</v>
      </c>
      <c r="J395" s="86">
        <f>'[2]Russia Sunflower Exports'!GY$290</f>
        <v>3.7090000000000001</v>
      </c>
      <c r="K395" s="86">
        <f>'[2]Russia Sunflower Exports'!GZ$290</f>
        <v>3.6429999999999998</v>
      </c>
      <c r="L395" s="86">
        <f>'[2]Russia Sunflower Exports'!HA$290</f>
        <v>1.0429999999999999</v>
      </c>
      <c r="M395" s="86">
        <f>'[2]Russia Sunflower Exports'!HB$290</f>
        <v>0.44700000000000001</v>
      </c>
      <c r="N395" s="86">
        <f t="shared" si="97"/>
        <v>36.869999999999997</v>
      </c>
      <c r="O395" s="27"/>
      <c r="P395" s="87">
        <f t="shared" si="98"/>
        <v>11.731</v>
      </c>
      <c r="Q395" s="87">
        <f t="shared" si="99"/>
        <v>8.8580000000000005</v>
      </c>
      <c r="R395" s="87">
        <f t="shared" si="100"/>
        <v>11.148</v>
      </c>
      <c r="S395" s="87">
        <f t="shared" si="101"/>
        <v>5.133</v>
      </c>
    </row>
    <row r="396" spans="1:19" ht="16.5" hidden="1">
      <c r="A396" s="97" t="s">
        <v>70</v>
      </c>
      <c r="B396" s="86">
        <f>'[2]Russia Sunflower Exports'!HC$290</f>
        <v>0.38</v>
      </c>
      <c r="C396" s="86">
        <f>'[2]Russia Sunflower Exports'!HD$290</f>
        <v>0.85099999999999998</v>
      </c>
      <c r="D396" s="86">
        <f>'[2]Russia Sunflower Exports'!HE$290</f>
        <v>17.855</v>
      </c>
      <c r="E396" s="86">
        <f>'[2]Russia Sunflower Exports'!HF$290</f>
        <v>45.209000000000003</v>
      </c>
      <c r="F396" s="86">
        <f>'[2]Russia Sunflower Exports'!HG$290</f>
        <v>32.119</v>
      </c>
      <c r="G396" s="86">
        <f>'[2]Russia Sunflower Exports'!HH$290</f>
        <v>7.1829999999999998</v>
      </c>
      <c r="H396" s="86">
        <f>'[2]Russia Sunflower Exports'!HI$290</f>
        <v>31.523</v>
      </c>
      <c r="I396" s="86">
        <f>'[2]Russia Sunflower Exports'!HJ$290</f>
        <v>7.9809999999999999</v>
      </c>
      <c r="J396" s="86">
        <f>'[2]Russia Sunflower Exports'!HK$290</f>
        <v>1.333</v>
      </c>
      <c r="K396" s="86">
        <f>'[2]Russia Sunflower Exports'!HL$290</f>
        <v>4.3940000000000001</v>
      </c>
      <c r="L396" s="86">
        <f>'[2]Russia Sunflower Exports'!HM$290</f>
        <v>7.41</v>
      </c>
      <c r="M396" s="86">
        <f>'[2]Russia Sunflower Exports'!HN$290</f>
        <v>3.4529999999999998</v>
      </c>
      <c r="N396" s="86">
        <f t="shared" si="97"/>
        <v>159.691</v>
      </c>
      <c r="O396" s="27"/>
      <c r="P396" s="87">
        <f t="shared" si="98"/>
        <v>19.085999999999999</v>
      </c>
      <c r="Q396" s="87">
        <f t="shared" si="99"/>
        <v>84.510999999999996</v>
      </c>
      <c r="R396" s="87">
        <f t="shared" si="100"/>
        <v>40.836999999999996</v>
      </c>
      <c r="S396" s="87">
        <f t="shared" si="101"/>
        <v>15.257</v>
      </c>
    </row>
    <row r="397" spans="1:19" ht="16.5" hidden="1">
      <c r="A397" s="85" t="s">
        <v>71</v>
      </c>
      <c r="B397" s="86">
        <f>'[2]Russia Sunflower Exports'!HO$290</f>
        <v>2.109</v>
      </c>
      <c r="C397" s="86">
        <f>'[2]Russia Sunflower Exports'!HP$290</f>
        <v>4.157</v>
      </c>
      <c r="D397" s="86">
        <f>'[2]Russia Sunflower Exports'!HQ$290</f>
        <v>0.99399999999999999</v>
      </c>
      <c r="E397" s="86">
        <f>'[2]Russia Sunflower Exports'!HR$290</f>
        <v>0.41799999999999998</v>
      </c>
      <c r="F397" s="86">
        <f>'[2]Russia Sunflower Exports'!HS$290</f>
        <v>8.5999999999999993E-2</v>
      </c>
      <c r="G397" s="86">
        <f>'[2]Russia Sunflower Exports'!HT$290</f>
        <v>0.35</v>
      </c>
      <c r="H397" s="86">
        <f>'[2]Russia Sunflower Exports'!HU$290</f>
        <v>0.50700000000000001</v>
      </c>
      <c r="I397" s="86">
        <f>'[2]Russia Sunflower Exports'!HV$290</f>
        <v>0.38900000000000001</v>
      </c>
      <c r="J397" s="86">
        <f>'[2]Russia Sunflower Exports'!HW$290</f>
        <v>4.0679999999999996</v>
      </c>
      <c r="K397" s="86">
        <f>'[2]Russia Sunflower Exports'!HX$290</f>
        <v>3.1819999999999999</v>
      </c>
      <c r="L397" s="86">
        <f>'[2]Russia Sunflower Exports'!HY$290</f>
        <v>1.9179999999999999</v>
      </c>
      <c r="M397" s="86">
        <f>'[2]Russia Sunflower Exports'!HZ$290</f>
        <v>2.1749999999999998</v>
      </c>
      <c r="N397" s="86">
        <f t="shared" si="97"/>
        <v>20.352999999999998</v>
      </c>
      <c r="O397" s="27"/>
      <c r="P397" s="87">
        <f t="shared" si="98"/>
        <v>7.26</v>
      </c>
      <c r="Q397" s="87">
        <f t="shared" si="99"/>
        <v>0.85399999999999998</v>
      </c>
      <c r="R397" s="87">
        <f t="shared" si="100"/>
        <v>4.9639999999999995</v>
      </c>
      <c r="S397" s="87">
        <f t="shared" si="101"/>
        <v>7.2749999999999995</v>
      </c>
    </row>
    <row r="398" spans="1:19" ht="16.5" hidden="1">
      <c r="A398" s="97" t="s">
        <v>72</v>
      </c>
      <c r="B398" s="86">
        <f>'[2]Russia Sunflower Exports'!IA$290</f>
        <v>0.24</v>
      </c>
      <c r="C398" s="86">
        <f>'[2]Russia Sunflower Exports'!IB$290</f>
        <v>0.89900000000000002</v>
      </c>
      <c r="D398" s="86">
        <f>'[2]Russia Sunflower Exports'!IC$290</f>
        <v>0.14499999999999999</v>
      </c>
      <c r="E398" s="86">
        <f>'[2]Russia Sunflower Exports'!ID$290</f>
        <v>0.51300000000000001</v>
      </c>
      <c r="F398" s="86">
        <f>'[2]Russia Sunflower Exports'!IE$290</f>
        <v>0.14299999999999999</v>
      </c>
      <c r="G398" s="86">
        <f>'[2]Russia Sunflower Exports'!IF$290</f>
        <v>2.1080000000000001</v>
      </c>
      <c r="H398" s="86">
        <f>'[2]Russia Sunflower Exports'!IG$290</f>
        <v>1.5620000000000001</v>
      </c>
      <c r="I398" s="86">
        <f>'[2]Russia Sunflower Exports'!IH$290</f>
        <v>1.262</v>
      </c>
      <c r="J398" s="86">
        <f>'[2]Russia Sunflower Exports'!II$290</f>
        <v>1.3380000000000001</v>
      </c>
      <c r="K398" s="86">
        <f>'[2]Russia Sunflower Exports'!IJ$290</f>
        <v>0.91800000000000004</v>
      </c>
      <c r="L398" s="86">
        <f>'[2]Russia Sunflower Exports'!IK$290</f>
        <v>0.438</v>
      </c>
      <c r="M398" s="86">
        <f>'[2]Russia Sunflower Exports'!IL$290</f>
        <v>0</v>
      </c>
      <c r="N398" s="86">
        <f t="shared" si="97"/>
        <v>9.5660000000000007</v>
      </c>
      <c r="O398" s="27"/>
      <c r="P398" s="87">
        <f t="shared" si="98"/>
        <v>1.284</v>
      </c>
      <c r="Q398" s="87">
        <f t="shared" si="99"/>
        <v>2.7640000000000002</v>
      </c>
      <c r="R398" s="87">
        <f t="shared" si="100"/>
        <v>4.1619999999999999</v>
      </c>
      <c r="S398" s="87">
        <f t="shared" si="101"/>
        <v>1.3560000000000001</v>
      </c>
    </row>
    <row r="399" spans="1:19" ht="16.5" hidden="1">
      <c r="A399" s="85" t="s">
        <v>73</v>
      </c>
      <c r="B399" s="86">
        <f>'[2]Russia Sunflower Exports'!IM$290</f>
        <v>3.3809999999999998</v>
      </c>
      <c r="C399" s="86">
        <f>'[2]Russia Sunflower Exports'!IN$290</f>
        <v>6.8689999999999998</v>
      </c>
      <c r="D399" s="86">
        <f>'[2]Russia Sunflower Exports'!IO$290</f>
        <v>24.873000000000001</v>
      </c>
      <c r="E399" s="86">
        <f>'[2]Russia Sunflower Exports'!IP$290</f>
        <v>72.721999999999994</v>
      </c>
      <c r="F399" s="86">
        <f>'[2]Russia Sunflower Exports'!IQ$290</f>
        <v>20.693999999999999</v>
      </c>
      <c r="G399" s="86">
        <f>'[2]Russia Sunflower Exports'!IR$290</f>
        <v>6.4009999999999998</v>
      </c>
      <c r="H399" s="86">
        <f>'[2]Russia Sunflower Exports'!IS$290</f>
        <v>13.768000000000001</v>
      </c>
      <c r="I399" s="86">
        <f>'[2]Russia Sunflower Exports'!IT$290</f>
        <v>71.644000000000005</v>
      </c>
      <c r="J399" s="86">
        <f>'[2]Russia Sunflower Exports'!IU$290</f>
        <v>69.605999999999995</v>
      </c>
      <c r="K399" s="86">
        <f>'[2]Russia Sunflower Exports'!IV$290</f>
        <v>31.524999999999999</v>
      </c>
      <c r="L399" s="86">
        <f>'[2]Russia Sunflower Exports'!IW$290</f>
        <v>9.6820000000000004</v>
      </c>
      <c r="M399" s="86">
        <f>'[2]Russia Sunflower Exports'!IX$290</f>
        <v>0.35599999999999998</v>
      </c>
      <c r="N399" s="86">
        <f t="shared" si="97"/>
        <v>331.52099999999996</v>
      </c>
      <c r="O399" s="27"/>
      <c r="P399" s="87">
        <f t="shared" si="98"/>
        <v>35.123000000000005</v>
      </c>
      <c r="Q399" s="87">
        <f t="shared" si="99"/>
        <v>99.816999999999993</v>
      </c>
      <c r="R399" s="87">
        <f t="shared" si="100"/>
        <v>155.018</v>
      </c>
      <c r="S399" s="87">
        <f t="shared" si="101"/>
        <v>41.563000000000002</v>
      </c>
    </row>
    <row r="400" spans="1:19" ht="16.5" hidden="1">
      <c r="A400" s="85" t="s">
        <v>74</v>
      </c>
      <c r="B400" s="86">
        <f>'[2]Russia Sunflower Exports'!IY$290</f>
        <v>8.69</v>
      </c>
      <c r="C400" s="86">
        <f>'[2]Russia Sunflower Exports'!IZ$290</f>
        <v>4.0890000000000004</v>
      </c>
      <c r="D400" s="86">
        <f>'[2]Russia Sunflower Exports'!JA$290</f>
        <v>2.4159999999999999</v>
      </c>
      <c r="E400" s="86">
        <f>'[2]Russia Sunflower Exports'!JB$290</f>
        <v>6.0739999999999998</v>
      </c>
      <c r="F400" s="86">
        <f>'[2]Russia Sunflower Exports'!JC$290</f>
        <v>1.363</v>
      </c>
      <c r="G400" s="86">
        <f>'[2]Russia Sunflower Exports'!JD$290</f>
        <v>2.706</v>
      </c>
      <c r="H400" s="86">
        <f>'[2]Russia Sunflower Exports'!JE$290</f>
        <v>1.8220000000000001</v>
      </c>
      <c r="I400" s="86">
        <f>'[2]Russia Sunflower Exports'!JF$290</f>
        <v>4.8369999999999997</v>
      </c>
      <c r="J400" s="86">
        <f>'[2]Russia Sunflower Exports'!JG$290</f>
        <v>2.8050000000000002</v>
      </c>
      <c r="K400" s="86">
        <f>'[2]Russia Sunflower Exports'!JH$290</f>
        <v>2.6520000000000001</v>
      </c>
      <c r="L400" s="86">
        <f>'[2]Russia Sunflower Exports'!JI$290</f>
        <v>1.474</v>
      </c>
      <c r="M400" s="86">
        <f>'[2]Russia Sunflower Exports'!JJ$290</f>
        <v>0.42299999999999999</v>
      </c>
      <c r="N400" s="86">
        <f t="shared" si="97"/>
        <v>39.350999999999999</v>
      </c>
      <c r="O400" s="27"/>
      <c r="P400" s="87">
        <f t="shared" si="98"/>
        <v>15.195</v>
      </c>
      <c r="Q400" s="87">
        <f t="shared" si="99"/>
        <v>10.142999999999999</v>
      </c>
      <c r="R400" s="87">
        <f t="shared" si="100"/>
        <v>9.4640000000000004</v>
      </c>
      <c r="S400" s="87">
        <f t="shared" si="101"/>
        <v>4.5490000000000004</v>
      </c>
    </row>
    <row r="401" spans="1:19" ht="16.5" hidden="1">
      <c r="A401" s="85" t="s">
        <v>75</v>
      </c>
      <c r="B401" s="86">
        <f>'[2]Russia Sunflower Exports'!JK$290</f>
        <v>5.8689999999999998</v>
      </c>
      <c r="C401" s="86">
        <f>'[2]Russia Sunflower Exports'!JL$290</f>
        <v>9.4499999999999993</v>
      </c>
      <c r="D401" s="86">
        <f>'[2]Russia Sunflower Exports'!JM$290</f>
        <v>24.954000000000001</v>
      </c>
      <c r="E401" s="86">
        <f>'[2]Russia Sunflower Exports'!JN$290</f>
        <v>21.609000000000002</v>
      </c>
      <c r="F401" s="86">
        <f>'[2]Russia Sunflower Exports'!JO$290</f>
        <v>13.688000000000001</v>
      </c>
      <c r="G401" s="86">
        <f>'[2]Russia Sunflower Exports'!JP$290</f>
        <v>12.89</v>
      </c>
      <c r="H401" s="86">
        <f>'[2]Russia Sunflower Exports'!JQ$290</f>
        <v>16.945</v>
      </c>
      <c r="I401" s="86">
        <f>'[2]Russia Sunflower Exports'!JR$290</f>
        <v>15.65</v>
      </c>
      <c r="J401" s="86">
        <f>'[2]Russia Sunflower Exports'!JS$290</f>
        <v>8.1110000000000007</v>
      </c>
      <c r="K401" s="86">
        <f>'[2]Russia Sunflower Exports'!JT$290</f>
        <v>2.8090000000000002</v>
      </c>
      <c r="L401" s="86">
        <f>'[2]Russia Sunflower Exports'!JU$290</f>
        <v>1.87</v>
      </c>
      <c r="M401" s="86">
        <f>'[2]Russia Sunflower Exports'!JV$290</f>
        <v>1.403</v>
      </c>
      <c r="N401" s="86">
        <f t="shared" si="97"/>
        <v>135.24799999999999</v>
      </c>
      <c r="O401" s="27"/>
      <c r="P401" s="87">
        <f t="shared" si="98"/>
        <v>40.272999999999996</v>
      </c>
      <c r="Q401" s="87">
        <f t="shared" si="99"/>
        <v>48.187000000000005</v>
      </c>
      <c r="R401" s="87">
        <f t="shared" si="100"/>
        <v>40.706000000000003</v>
      </c>
      <c r="S401" s="87">
        <f t="shared" si="101"/>
        <v>6.0820000000000007</v>
      </c>
    </row>
    <row r="402" spans="1:19" ht="16.5" hidden="1">
      <c r="A402" s="85" t="s">
        <v>76</v>
      </c>
      <c r="B402" s="86">
        <f>'[2]Russia Sunflower Exports'!JW$290</f>
        <v>1.671</v>
      </c>
      <c r="C402" s="86">
        <f>'[2]Russia Sunflower Exports'!JX$290</f>
        <v>3.508</v>
      </c>
      <c r="D402" s="86">
        <f>'[2]Russia Sunflower Exports'!JY$290</f>
        <v>4.1109999999999998</v>
      </c>
      <c r="E402" s="86">
        <f>'[2]Russia Sunflower Exports'!JZ$290</f>
        <v>8.1649999999999991</v>
      </c>
      <c r="F402" s="86">
        <f>'[2]Russia Sunflower Exports'!KA$290</f>
        <v>8.4339999999999993</v>
      </c>
      <c r="G402" s="86">
        <f>'[2]Russia Sunflower Exports'!KB$290</f>
        <v>15.472</v>
      </c>
      <c r="H402" s="86">
        <f>'[2]Russia Sunflower Exports'!KC$290</f>
        <v>4.8209999999999997</v>
      </c>
      <c r="I402" s="86">
        <f>'[2]Russia Sunflower Exports'!KD$290</f>
        <v>4.9580000000000002</v>
      </c>
      <c r="J402" s="86">
        <f>'[2]Russia Sunflower Exports'!KE$290</f>
        <v>3.3010000000000002</v>
      </c>
      <c r="K402" s="86">
        <f>'[2]Russia Sunflower Exports'!KF$290</f>
        <v>2.883</v>
      </c>
      <c r="L402" s="86">
        <f>'[2]Russia Sunflower Exports'!KG$290</f>
        <v>2.4220000000000002</v>
      </c>
      <c r="M402" s="86">
        <f>'[2]Russia Sunflower Exports'!KH$290</f>
        <v>1.413</v>
      </c>
      <c r="N402" s="86">
        <f t="shared" si="97"/>
        <v>61.158999999999992</v>
      </c>
      <c r="O402" s="27"/>
      <c r="P402" s="87">
        <f>SUM(B402:D402)</f>
        <v>9.2899999999999991</v>
      </c>
      <c r="Q402" s="87">
        <f t="shared" si="99"/>
        <v>32.070999999999998</v>
      </c>
      <c r="R402" s="87">
        <f t="shared" si="100"/>
        <v>13.08</v>
      </c>
      <c r="S402" s="87">
        <f t="shared" si="101"/>
        <v>6.718</v>
      </c>
    </row>
    <row r="403" spans="1:19" ht="16.5" hidden="1">
      <c r="A403" s="85" t="s">
        <v>77</v>
      </c>
      <c r="B403" s="86">
        <f>'[2]Russia Sunflower Exports'!KI$290</f>
        <v>1.8480000000000001</v>
      </c>
      <c r="C403" s="86">
        <f>'[2]Russia Sunflower Exports'!KJ$290</f>
        <v>4.133</v>
      </c>
      <c r="D403" s="86">
        <f>'[2]Russia Sunflower Exports'!KK$290</f>
        <v>4.5170000000000003</v>
      </c>
      <c r="E403" s="86">
        <f>'[2]Russia Sunflower Exports'!KL$290</f>
        <v>7.2889999999999997</v>
      </c>
      <c r="F403" s="86">
        <f>'[2]Russia Sunflower Exports'!KM$290</f>
        <v>3.4969999999999999</v>
      </c>
      <c r="G403" s="86">
        <f>'[2]Russia Sunflower Exports'!KN$290</f>
        <v>14.278</v>
      </c>
      <c r="H403" s="86">
        <f>'[2]Russia Sunflower Exports'!KO$290</f>
        <v>12.097</v>
      </c>
      <c r="I403" s="86">
        <f>'[2]Russia Sunflower Exports'!KP$290</f>
        <v>22.81</v>
      </c>
      <c r="J403" s="86">
        <f>'[2]Russia Sunflower Exports'!KQ$290</f>
        <v>15.24</v>
      </c>
      <c r="K403" s="86">
        <f>'[2]Russia Sunflower Exports'!KR$290</f>
        <v>13.807</v>
      </c>
      <c r="L403" s="86">
        <f>'[2]Russia Sunflower Exports'!KS$290</f>
        <v>2.601</v>
      </c>
      <c r="M403" s="86">
        <f>'[2]Russia Sunflower Exports'!KT$290</f>
        <v>1.784</v>
      </c>
      <c r="N403" s="86">
        <f t="shared" si="97"/>
        <v>103.901</v>
      </c>
      <c r="O403" s="27"/>
      <c r="P403" s="87">
        <f t="shared" ref="P403:P408" si="102">SUM(B403:D403)</f>
        <v>10.498000000000001</v>
      </c>
      <c r="Q403" s="87">
        <f t="shared" si="99"/>
        <v>25.064</v>
      </c>
      <c r="R403" s="87">
        <f t="shared" si="100"/>
        <v>50.146999999999998</v>
      </c>
      <c r="S403" s="87">
        <f t="shared" si="101"/>
        <v>18.192</v>
      </c>
    </row>
    <row r="404" spans="1:19" ht="16.5" hidden="1">
      <c r="A404" s="85" t="s">
        <v>78</v>
      </c>
      <c r="B404" s="86">
        <f>'[2]Russia Sunflower Exports'!KU$290</f>
        <v>4.2910000000000004</v>
      </c>
      <c r="C404" s="86">
        <f>'[2]Russia Sunflower Exports'!KV$290</f>
        <v>20.126999999999999</v>
      </c>
      <c r="D404" s="86">
        <f>'[2]Russia Sunflower Exports'!KW$290</f>
        <v>52.396999999999998</v>
      </c>
      <c r="E404" s="86">
        <f>'[2]Russia Sunflower Exports'!KX$290</f>
        <v>23.593</v>
      </c>
      <c r="F404" s="86">
        <f>'[2]Russia Sunflower Exports'!KY$290</f>
        <v>16.577999999999999</v>
      </c>
      <c r="G404" s="86">
        <f>'[2]Russia Sunflower Exports'!KZ$290</f>
        <v>26.869</v>
      </c>
      <c r="H404" s="86">
        <f>'[2]Russia Sunflower Exports'!LA$290</f>
        <v>44.813000000000002</v>
      </c>
      <c r="I404" s="86">
        <f>'[2]Russia Sunflower Exports'!LB$290</f>
        <v>55.621000000000002</v>
      </c>
      <c r="J404" s="86">
        <f>'[2]Russia Sunflower Exports'!LC$290</f>
        <v>82.042000000000002</v>
      </c>
      <c r="K404" s="86">
        <f>'[2]Russia Sunflower Exports'!LD$290</f>
        <v>30.948</v>
      </c>
      <c r="L404" s="86">
        <f>'[2]Russia Sunflower Exports'!LE$290</f>
        <v>5.3081469999999999</v>
      </c>
      <c r="M404" s="86">
        <f>'[2]Russia Sunflower Exports'!LF$290</f>
        <v>4.8684940000000001</v>
      </c>
      <c r="N404" s="86">
        <f t="shared" si="97"/>
        <v>367.45564100000001</v>
      </c>
      <c r="O404" s="27"/>
      <c r="P404" s="87">
        <f t="shared" si="102"/>
        <v>76.814999999999998</v>
      </c>
      <c r="Q404" s="87">
        <f t="shared" si="99"/>
        <v>67.039999999999992</v>
      </c>
      <c r="R404" s="87">
        <f t="shared" si="100"/>
        <v>182.476</v>
      </c>
      <c r="S404" s="87">
        <f t="shared" si="101"/>
        <v>41.124640999999997</v>
      </c>
    </row>
    <row r="405" spans="1:19" ht="16.5" hidden="1">
      <c r="A405" s="85" t="s">
        <v>79</v>
      </c>
      <c r="B405" s="86">
        <f>'[2]Russia Sunflower Exports'!LG$290</f>
        <v>2.893313</v>
      </c>
      <c r="C405" s="86">
        <f>'[2]Russia Sunflower Exports'!LH$290</f>
        <v>6.8150500000000003</v>
      </c>
      <c r="D405" s="86">
        <f>'[2]Russia Sunflower Exports'!LI$290</f>
        <v>25.159330000000001</v>
      </c>
      <c r="E405" s="86">
        <f>'[2]Russia Sunflower Exports'!LJ$290</f>
        <v>11.718159</v>
      </c>
      <c r="F405" s="86">
        <f>'[2]Russia Sunflower Exports'!LK$290</f>
        <v>7.0252629999999998</v>
      </c>
      <c r="G405" s="86">
        <f>'[2]Russia Sunflower Exports'!LL$290</f>
        <v>9.5801660000000002</v>
      </c>
      <c r="H405" s="86">
        <f>'[2]Russia Sunflower Exports'!LM$290</f>
        <v>9.3605309999999999</v>
      </c>
      <c r="I405" s="86">
        <f>'[2]Russia Sunflower Exports'!LN$290</f>
        <v>8.5457590000000003</v>
      </c>
      <c r="J405" s="86">
        <f>'[2]Russia Sunflower Exports'!LO$290</f>
        <v>5.0428639999999998</v>
      </c>
      <c r="K405" s="86">
        <f>'[2]Russia Sunflower Exports'!LP$290</f>
        <v>2.3552840000000002</v>
      </c>
      <c r="L405" s="86">
        <f>'[2]Russia Sunflower Exports'!LQ$290</f>
        <v>3.2114630000000002</v>
      </c>
      <c r="M405" s="86">
        <f>'[2]Russia Sunflower Exports'!LR$290</f>
        <v>5.299696</v>
      </c>
      <c r="N405" s="86">
        <f t="shared" si="97"/>
        <v>97.006877999999986</v>
      </c>
      <c r="O405" s="27"/>
      <c r="P405" s="87">
        <f t="shared" si="102"/>
        <v>34.867693000000003</v>
      </c>
      <c r="Q405" s="87">
        <f t="shared" si="99"/>
        <v>28.323588000000001</v>
      </c>
      <c r="R405" s="87">
        <f t="shared" si="100"/>
        <v>22.949154</v>
      </c>
      <c r="S405" s="87">
        <f t="shared" si="101"/>
        <v>10.866443</v>
      </c>
    </row>
    <row r="406" spans="1:19" ht="16.5">
      <c r="A406" s="85" t="s">
        <v>80</v>
      </c>
      <c r="B406" s="86">
        <f>'[2]Russia Sunflower Exports'!LS$290</f>
        <v>5.2542450000000001</v>
      </c>
      <c r="C406" s="86">
        <f>'[2]Russia Sunflower Exports'!LT$290</f>
        <v>5.4915039999999999</v>
      </c>
      <c r="D406" s="86">
        <f>'[2]Russia Sunflower Exports'!LU$290</f>
        <v>12.719338</v>
      </c>
      <c r="E406" s="86">
        <f>'[2]Russia Sunflower Exports'!LV$290</f>
        <v>13.207148999999999</v>
      </c>
      <c r="F406" s="86">
        <f>'[2]Russia Sunflower Exports'!LW$290</f>
        <v>13.467264</v>
      </c>
      <c r="G406" s="86">
        <f>'[2]Russia Sunflower Exports'!LX$290</f>
        <v>20.619980999999999</v>
      </c>
      <c r="H406" s="86">
        <f>'[2]Russia Sunflower Exports'!LY$290</f>
        <v>25.43572</v>
      </c>
      <c r="I406" s="86">
        <f>'[2]Russia Sunflower Exports'!LZ$290</f>
        <v>42.782756999999997</v>
      </c>
      <c r="J406" s="86">
        <f>'[2]Russia Sunflower Exports'!MA$290</f>
        <v>66.933287000000007</v>
      </c>
      <c r="K406" s="86">
        <f>'[2]Russia Sunflower Exports'!MB$290</f>
        <v>109.181026</v>
      </c>
      <c r="L406" s="86">
        <f>'[2]Russia Sunflower Exports'!MC$290</f>
        <v>32.165042999999997</v>
      </c>
      <c r="M406" s="86">
        <f>'[2]Russia Sunflower Exports'!MD$290</f>
        <v>4.2766320000000002</v>
      </c>
      <c r="N406" s="86">
        <f t="shared" si="97"/>
        <v>351.53394599999996</v>
      </c>
      <c r="O406" s="27"/>
      <c r="P406" s="87">
        <f t="shared" si="102"/>
        <v>23.465087</v>
      </c>
      <c r="Q406" s="87">
        <f t="shared" si="99"/>
        <v>47.294393999999997</v>
      </c>
      <c r="R406" s="87">
        <f t="shared" si="100"/>
        <v>135.15176400000001</v>
      </c>
      <c r="S406" s="87">
        <f t="shared" si="101"/>
        <v>145.62270100000001</v>
      </c>
    </row>
    <row r="407" spans="1:19" ht="16.5">
      <c r="A407" s="85" t="s">
        <v>81</v>
      </c>
      <c r="B407" s="86">
        <f>'[2]Russia Sunflower Exports'!ME$290</f>
        <v>6.920782</v>
      </c>
      <c r="C407" s="86">
        <f>'[2]Russia Sunflower Exports'!MF$290</f>
        <v>78.018624000000003</v>
      </c>
      <c r="D407" s="86">
        <f>'[2]Russia Sunflower Exports'!MG$290</f>
        <v>112.982304</v>
      </c>
      <c r="E407" s="86">
        <f>'[2]Russia Sunflower Exports'!MH$290</f>
        <v>194.565169</v>
      </c>
      <c r="F407" s="86">
        <f>'[2]Russia Sunflower Exports'!MI$290</f>
        <v>157.420163</v>
      </c>
      <c r="G407" s="86">
        <f>'[2]Russia Sunflower Exports'!MJ$290</f>
        <v>196.60848100000001</v>
      </c>
      <c r="H407" s="86">
        <f>'[2]Russia Sunflower Exports'!MK$290</f>
        <v>341.35654799999998</v>
      </c>
      <c r="I407" s="86">
        <f>'[2]Russia Sunflower Exports'!ML$290</f>
        <v>72.408006</v>
      </c>
      <c r="J407" s="86">
        <f>'[2]Russia Sunflower Exports'!MM$290</f>
        <v>61.230851000000001</v>
      </c>
      <c r="K407" s="86">
        <f>'[2]Russia Sunflower Exports'!MN$290</f>
        <v>9.619548</v>
      </c>
      <c r="L407" s="86">
        <f>'[2]Russia Sunflower Exports'!MO$290</f>
        <v>1.22011</v>
      </c>
      <c r="M407" s="86">
        <f>'[2]Russia Sunflower Exports'!MP$290</f>
        <v>2.02197</v>
      </c>
      <c r="N407" s="86">
        <f t="shared" si="97"/>
        <v>1234.3725559999998</v>
      </c>
      <c r="O407" s="27"/>
      <c r="P407" s="87">
        <f t="shared" si="102"/>
        <v>197.92171000000002</v>
      </c>
      <c r="Q407" s="87">
        <f t="shared" si="99"/>
        <v>548.59381299999995</v>
      </c>
      <c r="R407" s="87">
        <f t="shared" si="100"/>
        <v>474.99540500000001</v>
      </c>
      <c r="S407" s="87">
        <f t="shared" si="101"/>
        <v>12.861628</v>
      </c>
    </row>
    <row r="408" spans="1:19" ht="17.25" thickBot="1">
      <c r="A408" s="88" t="s">
        <v>82</v>
      </c>
      <c r="B408" s="89">
        <f>'[2]Russia Sunflower Exports'!MQ$290</f>
        <v>32.678086</v>
      </c>
      <c r="C408" s="89">
        <f>'[2]Russia Sunflower Exports'!MR$290</f>
        <v>204.27940100000001</v>
      </c>
      <c r="D408" s="89">
        <f>'[2]Russia Sunflower Exports'!MS$290</f>
        <v>184.11587399999999</v>
      </c>
      <c r="E408" s="89">
        <f>'[2]Russia Sunflower Exports'!MT$290</f>
        <v>108.450047</v>
      </c>
      <c r="F408" s="89">
        <f>'[2]Russia Sunflower Exports'!MU$290</f>
        <v>11.907999999999999</v>
      </c>
      <c r="G408" s="89">
        <f>'[2]Russia Sunflower Exports'!MV$290</f>
        <v>5.85</v>
      </c>
      <c r="H408" s="89">
        <f>'[2]Russia Sunflower Exports'!MW$290</f>
        <v>15.069000000000001</v>
      </c>
      <c r="I408" s="89">
        <f>'[2]Russia Sunflower Exports'!MX$290</f>
        <v>5.1909999999999998</v>
      </c>
      <c r="J408" s="90">
        <f>'Russia Sun Complex'!$AC72</f>
        <v>3.6</v>
      </c>
      <c r="K408" s="90">
        <f>'Russia Sun Complex'!$AC73</f>
        <v>3.056</v>
      </c>
      <c r="L408" s="90">
        <f>'Russia Sun Complex'!$AC74</f>
        <v>5.867</v>
      </c>
      <c r="M408" s="90">
        <f>'Russia Sun Complex'!$AC75</f>
        <v>1.3149999999999999</v>
      </c>
      <c r="N408" s="90">
        <f t="shared" si="97"/>
        <v>581.37940800000013</v>
      </c>
      <c r="O408" s="91"/>
      <c r="P408" s="92">
        <f t="shared" si="102"/>
        <v>421.07336099999998</v>
      </c>
      <c r="Q408" s="92">
        <f t="shared" si="99"/>
        <v>126.20804699999999</v>
      </c>
      <c r="R408" s="93">
        <f t="shared" si="100"/>
        <v>23.860000000000003</v>
      </c>
      <c r="S408" s="93">
        <f t="shared" si="101"/>
        <v>10.238</v>
      </c>
    </row>
    <row r="409" spans="1:19" ht="16.5">
      <c r="A409" s="80" t="s">
        <v>97</v>
      </c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27"/>
      <c r="P409" s="87"/>
      <c r="Q409" s="87"/>
      <c r="R409" s="87"/>
      <c r="S409" s="87"/>
    </row>
    <row r="410" spans="1:19" ht="16.5" hidden="1">
      <c r="A410" s="96" t="s">
        <v>84</v>
      </c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27"/>
      <c r="P410" s="87"/>
      <c r="Q410" s="87"/>
      <c r="R410" s="87"/>
      <c r="S410" s="87"/>
    </row>
    <row r="411" spans="1:19" ht="16.5" hidden="1">
      <c r="A411" s="96" t="s">
        <v>56</v>
      </c>
      <c r="B411" s="86">
        <f>'[2]Ukraine Sunflower Exports'!AR$290</f>
        <v>12.5</v>
      </c>
      <c r="C411" s="86">
        <f>'[2]Ukraine Sunflower Exports'!AS$290</f>
        <v>14.4</v>
      </c>
      <c r="D411" s="86">
        <f>'[2]Ukraine Sunflower Exports'!AT$290</f>
        <v>13.9</v>
      </c>
      <c r="E411" s="86">
        <f>'[2]Ukraine Sunflower Exports'!AU$290</f>
        <v>45.7</v>
      </c>
      <c r="F411" s="86">
        <f>'[2]Ukraine Sunflower Exports'!AV$290</f>
        <v>20.2</v>
      </c>
      <c r="G411" s="86">
        <f>'[2]Ukraine Sunflower Exports'!AW$290</f>
        <v>11.4</v>
      </c>
      <c r="H411" s="86">
        <f>'[2]Ukraine Sunflower Exports'!AX$290</f>
        <v>4.9000000000000004</v>
      </c>
      <c r="I411" s="86">
        <f>'[2]Ukraine Sunflower Exports'!AY$290</f>
        <v>0.7</v>
      </c>
      <c r="J411" s="86">
        <f>'[2]Ukraine Sunflower Exports'!AZ$290</f>
        <v>0.1</v>
      </c>
      <c r="K411" s="86">
        <f>'[2]Ukraine Sunflower Exports'!BA$290</f>
        <v>1.9</v>
      </c>
      <c r="L411" s="86">
        <f>'[2]Ukraine Sunflower Exports'!BB$290</f>
        <v>0.6</v>
      </c>
      <c r="M411" s="86">
        <f>'[2]Ukraine Sunflower Exports'!BC$290</f>
        <v>0.2</v>
      </c>
      <c r="N411" s="86">
        <f>SUM(B411:M411)</f>
        <v>126.50000000000001</v>
      </c>
      <c r="O411" s="27"/>
      <c r="P411" s="87">
        <f>SUM(B411:D411)</f>
        <v>40.799999999999997</v>
      </c>
      <c r="Q411" s="87">
        <f>SUM(E411:G411)</f>
        <v>77.300000000000011</v>
      </c>
      <c r="R411" s="87">
        <f>SUM(H411:J411)</f>
        <v>5.7</v>
      </c>
      <c r="S411" s="87">
        <f>SUM(K411:M411)</f>
        <v>2.7</v>
      </c>
    </row>
    <row r="412" spans="1:19" ht="16.5" hidden="1">
      <c r="A412" s="96" t="s">
        <v>57</v>
      </c>
      <c r="B412" s="86">
        <f>'[2]Ukraine Sunflower Exports'!BD$290</f>
        <v>9.1999999999999993</v>
      </c>
      <c r="C412" s="86">
        <f>'[2]Ukraine Sunflower Exports'!BE$290</f>
        <v>8.5</v>
      </c>
      <c r="D412" s="86">
        <f>'[2]Ukraine Sunflower Exports'!BF$290</f>
        <v>5.5</v>
      </c>
      <c r="E412" s="86">
        <f>'[2]Ukraine Sunflower Exports'!BG$290</f>
        <v>62.5</v>
      </c>
      <c r="F412" s="86">
        <f>'[2]Ukraine Sunflower Exports'!BH$290</f>
        <v>68.3</v>
      </c>
      <c r="G412" s="86">
        <f>'[2]Ukraine Sunflower Exports'!BI$290</f>
        <v>45.7</v>
      </c>
      <c r="H412" s="86">
        <f>'[2]Ukraine Sunflower Exports'!BJ$290</f>
        <v>35.799999999999997</v>
      </c>
      <c r="I412" s="86">
        <f>'[2]Ukraine Sunflower Exports'!BK$290</f>
        <v>51.1</v>
      </c>
      <c r="J412" s="86">
        <f>'[2]Ukraine Sunflower Exports'!BL$290</f>
        <v>55.1</v>
      </c>
      <c r="K412" s="86">
        <f>'[2]Ukraine Sunflower Exports'!BM$290</f>
        <v>50.6</v>
      </c>
      <c r="L412" s="86">
        <f>'[2]Ukraine Sunflower Exports'!BN$290</f>
        <v>23.9</v>
      </c>
      <c r="M412" s="86">
        <f>'[2]Ukraine Sunflower Exports'!BO$290</f>
        <v>52.9</v>
      </c>
      <c r="N412" s="86">
        <f t="shared" ref="N412:N437" si="103">SUM(B412:M412)</f>
        <v>469.1</v>
      </c>
      <c r="O412" s="27"/>
      <c r="P412" s="87">
        <f t="shared" ref="P412:P430" si="104">SUM(B412:D412)</f>
        <v>23.2</v>
      </c>
      <c r="Q412" s="87">
        <f t="shared" ref="Q412:Q437" si="105">SUM(E412:G412)</f>
        <v>176.5</v>
      </c>
      <c r="R412" s="87">
        <f t="shared" ref="R412:R437" si="106">SUM(H412:J412)</f>
        <v>142</v>
      </c>
      <c r="S412" s="87">
        <f t="shared" ref="S412:S437" si="107">SUM(K412:M412)</f>
        <v>127.4</v>
      </c>
    </row>
    <row r="413" spans="1:19" ht="16.5" hidden="1">
      <c r="A413" s="96" t="s">
        <v>58</v>
      </c>
      <c r="B413" s="86">
        <f>'[2]Ukraine Sunflower Exports'!BP$290</f>
        <v>45.7</v>
      </c>
      <c r="C413" s="86">
        <f>'[2]Ukraine Sunflower Exports'!BQ$290</f>
        <v>34.200000000000003</v>
      </c>
      <c r="D413" s="86">
        <f>'[2]Ukraine Sunflower Exports'!BR$290</f>
        <v>61.7</v>
      </c>
      <c r="E413" s="86">
        <f>'[2]Ukraine Sunflower Exports'!BS$290</f>
        <v>329.8</v>
      </c>
      <c r="F413" s="86">
        <f>'[2]Ukraine Sunflower Exports'!BT$290</f>
        <v>180.2</v>
      </c>
      <c r="G413" s="86">
        <f>'[2]Ukraine Sunflower Exports'!BU$290</f>
        <v>217.1</v>
      </c>
      <c r="H413" s="86">
        <f>'[2]Ukraine Sunflower Exports'!BV$290</f>
        <v>133.69999999999999</v>
      </c>
      <c r="I413" s="86">
        <f>'[2]Ukraine Sunflower Exports'!BW$290</f>
        <v>61.9</v>
      </c>
      <c r="J413" s="86">
        <f>'[2]Ukraine Sunflower Exports'!BX$290</f>
        <v>36.9</v>
      </c>
      <c r="K413" s="86">
        <f>'[2]Ukraine Sunflower Exports'!BY$290</f>
        <v>23.5</v>
      </c>
      <c r="L413" s="86">
        <f>'[2]Ukraine Sunflower Exports'!BZ$290</f>
        <v>6.5</v>
      </c>
      <c r="M413" s="86">
        <f>'[2]Ukraine Sunflower Exports'!CA$290</f>
        <v>1.7</v>
      </c>
      <c r="N413" s="86">
        <f t="shared" si="103"/>
        <v>1132.9000000000003</v>
      </c>
      <c r="O413" s="27"/>
      <c r="P413" s="87">
        <f t="shared" si="104"/>
        <v>141.60000000000002</v>
      </c>
      <c r="Q413" s="87">
        <f t="shared" si="105"/>
        <v>727.1</v>
      </c>
      <c r="R413" s="87">
        <f t="shared" si="106"/>
        <v>232.5</v>
      </c>
      <c r="S413" s="87">
        <f t="shared" si="107"/>
        <v>31.7</v>
      </c>
    </row>
    <row r="414" spans="1:19" ht="16.5" hidden="1">
      <c r="A414" s="96" t="s">
        <v>59</v>
      </c>
      <c r="B414" s="86">
        <f>'[2]Ukraine Sunflower Exports'!CB$290</f>
        <v>0.8</v>
      </c>
      <c r="C414" s="86">
        <f>'[2]Ukraine Sunflower Exports'!CC$290</f>
        <v>70</v>
      </c>
      <c r="D414" s="86">
        <f>'[2]Ukraine Sunflower Exports'!CD$290</f>
        <v>166.1</v>
      </c>
      <c r="E414" s="86">
        <f>'[2]Ukraine Sunflower Exports'!CE$290</f>
        <v>176</v>
      </c>
      <c r="F414" s="86">
        <f>'[2]Ukraine Sunflower Exports'!CF$290</f>
        <v>148.80000000000001</v>
      </c>
      <c r="G414" s="86">
        <f>'[2]Ukraine Sunflower Exports'!CG$290</f>
        <v>88.1</v>
      </c>
      <c r="H414" s="86">
        <f>'[2]Ukraine Sunflower Exports'!CH$290</f>
        <v>36.200000000000003</v>
      </c>
      <c r="I414" s="86">
        <f>'[2]Ukraine Sunflower Exports'!CI$290</f>
        <v>16</v>
      </c>
      <c r="J414" s="86">
        <f>'[2]Ukraine Sunflower Exports'!CJ$290</f>
        <v>11.9</v>
      </c>
      <c r="K414" s="86">
        <f>'[2]Ukraine Sunflower Exports'!CK$290</f>
        <v>0.4</v>
      </c>
      <c r="L414" s="86">
        <f>'[2]Ukraine Sunflower Exports'!CL$290</f>
        <v>0.1</v>
      </c>
      <c r="M414" s="86">
        <f>'[2]Ukraine Sunflower Exports'!CM$290</f>
        <v>0</v>
      </c>
      <c r="N414" s="86">
        <f t="shared" si="103"/>
        <v>714.40000000000009</v>
      </c>
      <c r="O414" s="27"/>
      <c r="P414" s="87">
        <f t="shared" si="104"/>
        <v>236.89999999999998</v>
      </c>
      <c r="Q414" s="87">
        <f t="shared" si="105"/>
        <v>412.9</v>
      </c>
      <c r="R414" s="87">
        <f t="shared" si="106"/>
        <v>64.100000000000009</v>
      </c>
      <c r="S414" s="87">
        <f t="shared" si="107"/>
        <v>0.5</v>
      </c>
    </row>
    <row r="415" spans="1:19" ht="16.5" hidden="1">
      <c r="A415" s="96" t="s">
        <v>60</v>
      </c>
      <c r="B415" s="86">
        <f>'[2]Ukraine Sunflower Exports'!CN$290</f>
        <v>15.5</v>
      </c>
      <c r="C415" s="86">
        <f>'[2]Ukraine Sunflower Exports'!CO$290</f>
        <v>108</v>
      </c>
      <c r="D415" s="86">
        <f>'[2]Ukraine Sunflower Exports'!CP$290</f>
        <v>120</v>
      </c>
      <c r="E415" s="86">
        <f>'[2]Ukraine Sunflower Exports'!CQ$290</f>
        <v>228</v>
      </c>
      <c r="F415" s="86">
        <f>'[2]Ukraine Sunflower Exports'!CR$290</f>
        <v>200</v>
      </c>
      <c r="G415" s="86">
        <f>'[2]Ukraine Sunflower Exports'!CS$290</f>
        <v>80</v>
      </c>
      <c r="H415" s="86">
        <f>'[2]Ukraine Sunflower Exports'!CT$290</f>
        <v>50</v>
      </c>
      <c r="I415" s="86">
        <f>'[2]Ukraine Sunflower Exports'!CU$290</f>
        <v>25</v>
      </c>
      <c r="J415" s="86">
        <f>'[2]Ukraine Sunflower Exports'!CV$290</f>
        <v>8</v>
      </c>
      <c r="K415" s="86">
        <f>'[2]Ukraine Sunflower Exports'!CW$290</f>
        <v>10</v>
      </c>
      <c r="L415" s="86">
        <f>'[2]Ukraine Sunflower Exports'!CX$290</f>
        <v>15</v>
      </c>
      <c r="M415" s="86">
        <f>'[2]Ukraine Sunflower Exports'!CY$290</f>
        <v>15</v>
      </c>
      <c r="N415" s="86">
        <f t="shared" si="103"/>
        <v>874.5</v>
      </c>
      <c r="O415" s="27"/>
      <c r="P415" s="87">
        <f t="shared" si="104"/>
        <v>243.5</v>
      </c>
      <c r="Q415" s="87">
        <f t="shared" si="105"/>
        <v>508</v>
      </c>
      <c r="R415" s="87">
        <f t="shared" si="106"/>
        <v>83</v>
      </c>
      <c r="S415" s="87">
        <f t="shared" si="107"/>
        <v>40</v>
      </c>
    </row>
    <row r="416" spans="1:19" ht="16.5" hidden="1">
      <c r="A416" s="96" t="s">
        <v>61</v>
      </c>
      <c r="B416" s="86">
        <f>'[2]Ukraine Sunflower Exports'!CZ$290</f>
        <v>15</v>
      </c>
      <c r="C416" s="86">
        <f>'[2]Ukraine Sunflower Exports'!DA$290</f>
        <v>16.909493000000001</v>
      </c>
      <c r="D416" s="86">
        <f>'[2]Ukraine Sunflower Exports'!DB$290</f>
        <v>27.558482999999999</v>
      </c>
      <c r="E416" s="86">
        <f>'[2]Ukraine Sunflower Exports'!DC$290</f>
        <v>33.729453999999997</v>
      </c>
      <c r="F416" s="86">
        <f>'[2]Ukraine Sunflower Exports'!DD$290</f>
        <v>32.104419999999998</v>
      </c>
      <c r="G416" s="86">
        <f>'[2]Ukraine Sunflower Exports'!DE$290</f>
        <v>50.616439000000007</v>
      </c>
      <c r="H416" s="86">
        <f>'[2]Ukraine Sunflower Exports'!DF$290</f>
        <v>39.355252000000007</v>
      </c>
      <c r="I416" s="86">
        <f>'[2]Ukraine Sunflower Exports'!DG$290</f>
        <v>51</v>
      </c>
      <c r="J416" s="86">
        <f>'[2]Ukraine Sunflower Exports'!DH$290</f>
        <v>31.550260999999999</v>
      </c>
      <c r="K416" s="86">
        <f>'[2]Ukraine Sunflower Exports'!DI$290</f>
        <v>61.7</v>
      </c>
      <c r="L416" s="86">
        <f>'[2]Ukraine Sunflower Exports'!DJ$290</f>
        <v>38.680970000000002</v>
      </c>
      <c r="M416" s="86">
        <f>'[2]Ukraine Sunflower Exports'!DK$290</f>
        <v>18.7</v>
      </c>
      <c r="N416" s="86">
        <f t="shared" si="103"/>
        <v>416.90477199999998</v>
      </c>
      <c r="O416" s="27"/>
      <c r="P416" s="87">
        <f t="shared" si="104"/>
        <v>59.467976</v>
      </c>
      <c r="Q416" s="87">
        <f t="shared" si="105"/>
        <v>116.45031299999999</v>
      </c>
      <c r="R416" s="87">
        <f t="shared" si="106"/>
        <v>121.90551300000001</v>
      </c>
      <c r="S416" s="87">
        <f t="shared" si="107"/>
        <v>119.08097000000001</v>
      </c>
    </row>
    <row r="417" spans="1:19" ht="16.5" hidden="1">
      <c r="A417" s="96" t="s">
        <v>62</v>
      </c>
      <c r="B417" s="86">
        <f>'[2]Ukraine Sunflower Exports'!DL$290</f>
        <v>23.8</v>
      </c>
      <c r="C417" s="86">
        <f>'[2]Ukraine Sunflower Exports'!DM$290</f>
        <v>56.2</v>
      </c>
      <c r="D417" s="86">
        <f>'[2]Ukraine Sunflower Exports'!DN$290</f>
        <v>172.8</v>
      </c>
      <c r="E417" s="86">
        <f>'[2]Ukraine Sunflower Exports'!DO$290</f>
        <v>257.10000000000002</v>
      </c>
      <c r="F417" s="86">
        <f>'[2]Ukraine Sunflower Exports'!DP$290</f>
        <v>116.1</v>
      </c>
      <c r="G417" s="86">
        <f>'[2]Ukraine Sunflower Exports'!DQ$290</f>
        <v>104.9</v>
      </c>
      <c r="H417" s="86">
        <f>'[2]Ukraine Sunflower Exports'!DR$290</f>
        <v>157.19999999999999</v>
      </c>
      <c r="I417" s="86">
        <f>'[2]Ukraine Sunflower Exports'!DS$290</f>
        <v>86.6</v>
      </c>
      <c r="J417" s="86">
        <f>'[2]Ukraine Sunflower Exports'!DT$290</f>
        <v>24.6</v>
      </c>
      <c r="K417" s="86">
        <f>'[2]Ukraine Sunflower Exports'!DU$290</f>
        <v>29.3</v>
      </c>
      <c r="L417" s="86">
        <f>'[2]Ukraine Sunflower Exports'!DV$290</f>
        <v>1.7</v>
      </c>
      <c r="M417" s="86">
        <f>'[2]Ukraine Sunflower Exports'!DW$290</f>
        <v>10.5</v>
      </c>
      <c r="N417" s="86">
        <f t="shared" si="103"/>
        <v>1040.8</v>
      </c>
      <c r="O417" s="27"/>
      <c r="P417" s="87">
        <f t="shared" si="104"/>
        <v>252.8</v>
      </c>
      <c r="Q417" s="87">
        <f t="shared" si="105"/>
        <v>478.1</v>
      </c>
      <c r="R417" s="87">
        <f t="shared" si="106"/>
        <v>268.39999999999998</v>
      </c>
      <c r="S417" s="87">
        <f t="shared" si="107"/>
        <v>41.5</v>
      </c>
    </row>
    <row r="418" spans="1:19" ht="16.5" hidden="1">
      <c r="A418" s="96" t="s">
        <v>63</v>
      </c>
      <c r="B418" s="86">
        <f>'[2]Ukraine Sunflower Exports'!DX$290</f>
        <v>0.3</v>
      </c>
      <c r="C418" s="86">
        <f>'[2]Ukraine Sunflower Exports'!DY$290</f>
        <v>20.957678999999995</v>
      </c>
      <c r="D418" s="86">
        <f>'[2]Ukraine Sunflower Exports'!DZ$290</f>
        <v>17.154117999999997</v>
      </c>
      <c r="E418" s="86">
        <f>'[2]Ukraine Sunflower Exports'!EA$290</f>
        <v>15.324408</v>
      </c>
      <c r="F418" s="86">
        <f>'[2]Ukraine Sunflower Exports'!EB$290</f>
        <v>4.6778050000000002</v>
      </c>
      <c r="G418" s="86">
        <f>'[2]Ukraine Sunflower Exports'!EC$290</f>
        <v>5.5315219999999998</v>
      </c>
      <c r="H418" s="86">
        <f>'[2]Ukraine Sunflower Exports'!ED$290</f>
        <v>16.586711000000005</v>
      </c>
      <c r="I418" s="86">
        <f>'[2]Ukraine Sunflower Exports'!EE$290</f>
        <v>0.46232300000000004</v>
      </c>
      <c r="J418" s="86">
        <f>'[2]Ukraine Sunflower Exports'!EF$290</f>
        <v>0.28329799999999999</v>
      </c>
      <c r="K418" s="86">
        <f>'[2]Ukraine Sunflower Exports'!EG$290</f>
        <v>0.300147</v>
      </c>
      <c r="L418" s="86">
        <f>'[2]Ukraine Sunflower Exports'!EH$290</f>
        <v>0.16303399999999998</v>
      </c>
      <c r="M418" s="86">
        <f>'[2]Ukraine Sunflower Exports'!EI$290</f>
        <v>3.9E-2</v>
      </c>
      <c r="N418" s="86">
        <f t="shared" si="103"/>
        <v>81.780044999999987</v>
      </c>
      <c r="O418" s="27"/>
      <c r="P418" s="87">
        <f t="shared" si="104"/>
        <v>38.411796999999993</v>
      </c>
      <c r="Q418" s="87">
        <f t="shared" si="105"/>
        <v>25.533735</v>
      </c>
      <c r="R418" s="87">
        <f t="shared" si="106"/>
        <v>17.332332000000005</v>
      </c>
      <c r="S418" s="87">
        <f t="shared" si="107"/>
        <v>0.50218099999999999</v>
      </c>
    </row>
    <row r="419" spans="1:19" ht="16.5" hidden="1">
      <c r="A419" s="96" t="s">
        <v>64</v>
      </c>
      <c r="B419" s="86">
        <f>'[2]Ukraine Sunflower Exports'!EJ$290</f>
        <v>0.14085</v>
      </c>
      <c r="C419" s="86">
        <f>'[2]Ukraine Sunflower Exports'!EK$290</f>
        <v>0.66900000000000004</v>
      </c>
      <c r="D419" s="86">
        <f>'[2]Ukraine Sunflower Exports'!EL$290</f>
        <v>6.0810000000000004</v>
      </c>
      <c r="E419" s="86">
        <f>'[2]Ukraine Sunflower Exports'!EM$290</f>
        <v>33.289000000000001</v>
      </c>
      <c r="F419" s="86">
        <f>'[2]Ukraine Sunflower Exports'!EN$290</f>
        <v>49.686</v>
      </c>
      <c r="G419" s="86">
        <f>'[2]Ukraine Sunflower Exports'!EO$290</f>
        <v>24.754999999999999</v>
      </c>
      <c r="H419" s="86">
        <f>'[2]Ukraine Sunflower Exports'!EP$290</f>
        <v>55.643000000000001</v>
      </c>
      <c r="I419" s="86">
        <f>'[2]Ukraine Sunflower Exports'!EQ$290</f>
        <v>60.591000000000001</v>
      </c>
      <c r="J419" s="86">
        <f>'[2]Ukraine Sunflower Exports'!ER$290</f>
        <v>66.38</v>
      </c>
      <c r="K419" s="86">
        <f>'[2]Ukraine Sunflower Exports'!ES$290</f>
        <v>20.23</v>
      </c>
      <c r="L419" s="86">
        <f>'[2]Ukraine Sunflower Exports'!ET$290</f>
        <v>13.263</v>
      </c>
      <c r="M419" s="86">
        <f>'[2]Ukraine Sunflower Exports'!EU$290</f>
        <v>4.8000000000000001E-2</v>
      </c>
      <c r="N419" s="86">
        <f t="shared" si="103"/>
        <v>330.77584999999999</v>
      </c>
      <c r="O419" s="27"/>
      <c r="P419" s="87">
        <f t="shared" si="104"/>
        <v>6.8908500000000004</v>
      </c>
      <c r="Q419" s="87">
        <f t="shared" si="105"/>
        <v>107.72999999999999</v>
      </c>
      <c r="R419" s="87">
        <f t="shared" si="106"/>
        <v>182.614</v>
      </c>
      <c r="S419" s="87">
        <f t="shared" si="107"/>
        <v>33.541000000000004</v>
      </c>
    </row>
    <row r="420" spans="1:19" ht="16.5" hidden="1">
      <c r="A420" s="85" t="s">
        <v>65</v>
      </c>
      <c r="B420" s="86">
        <f>'[2]Ukraine Sunflower Exports'!EV$290</f>
        <v>7.6980000000000004</v>
      </c>
      <c r="C420" s="86">
        <f>'[2]Ukraine Sunflower Exports'!EW$290</f>
        <v>163.42099999999999</v>
      </c>
      <c r="D420" s="86">
        <f>'[2]Ukraine Sunflower Exports'!EX$290</f>
        <v>161.477</v>
      </c>
      <c r="E420" s="86">
        <f>'[2]Ukraine Sunflower Exports'!EY$290</f>
        <v>244.358</v>
      </c>
      <c r="F420" s="86">
        <f>'[2]Ukraine Sunflower Exports'!EZ$290</f>
        <v>56.323</v>
      </c>
      <c r="G420" s="86">
        <f>'[2]Ukraine Sunflower Exports'!FA$290</f>
        <v>89.76</v>
      </c>
      <c r="H420" s="86">
        <f>'[2]Ukraine Sunflower Exports'!FB$290</f>
        <v>85.417000000000002</v>
      </c>
      <c r="I420" s="86">
        <f>'[2]Ukraine Sunflower Exports'!FC$290</f>
        <v>61.122999999999998</v>
      </c>
      <c r="J420" s="86">
        <f>'[2]Ukraine Sunflower Exports'!FD$290</f>
        <v>20.795999999999999</v>
      </c>
      <c r="K420" s="86">
        <f>'[2]Ukraine Sunflower Exports'!FE$290</f>
        <v>25.260999999999999</v>
      </c>
      <c r="L420" s="86">
        <f>'[2]Ukraine Sunflower Exports'!FF$290</f>
        <v>6.06</v>
      </c>
      <c r="M420" s="86">
        <f>'[2]Ukraine Sunflower Exports'!FG$290</f>
        <v>5.9790000000000001</v>
      </c>
      <c r="N420" s="86">
        <f t="shared" si="103"/>
        <v>927.673</v>
      </c>
      <c r="O420" s="27"/>
      <c r="P420" s="87">
        <f t="shared" si="104"/>
        <v>332.596</v>
      </c>
      <c r="Q420" s="87">
        <f t="shared" si="105"/>
        <v>390.44099999999997</v>
      </c>
      <c r="R420" s="87">
        <f t="shared" si="106"/>
        <v>167.33599999999998</v>
      </c>
      <c r="S420" s="87">
        <f t="shared" si="107"/>
        <v>37.299999999999997</v>
      </c>
    </row>
    <row r="421" spans="1:19" ht="16.5" hidden="1">
      <c r="A421" s="85" t="s">
        <v>66</v>
      </c>
      <c r="B421" s="86">
        <f>'[2]Ukraine Sunflower Exports'!FH$290</f>
        <v>0.11</v>
      </c>
      <c r="C421" s="86">
        <f>'[2]Ukraine Sunflower Exports'!FI$290</f>
        <v>0.80800000000000005</v>
      </c>
      <c r="D421" s="86">
        <f>'[2]Ukraine Sunflower Exports'!FJ$290</f>
        <v>1.417</v>
      </c>
      <c r="E421" s="86">
        <f>'[2]Ukraine Sunflower Exports'!FK$290</f>
        <v>1.095</v>
      </c>
      <c r="F421" s="86">
        <f>'[2]Ukraine Sunflower Exports'!FL$290</f>
        <v>0.752</v>
      </c>
      <c r="G421" s="86">
        <f>'[2]Ukraine Sunflower Exports'!FM$290</f>
        <v>0.90100000000000002</v>
      </c>
      <c r="H421" s="86">
        <f>'[2]Ukraine Sunflower Exports'!FN$290</f>
        <v>0.88</v>
      </c>
      <c r="I421" s="86">
        <f>'[2]Ukraine Sunflower Exports'!FO$290</f>
        <v>4.4649999999999999</v>
      </c>
      <c r="J421" s="86">
        <f>'[2]Ukraine Sunflower Exports'!FP$290</f>
        <v>0.313</v>
      </c>
      <c r="K421" s="86">
        <f>'[2]Ukraine Sunflower Exports'!FQ$290</f>
        <v>0.63</v>
      </c>
      <c r="L421" s="86">
        <f>'[2]Ukraine Sunflower Exports'!FR$290</f>
        <v>7.8E-2</v>
      </c>
      <c r="M421" s="86">
        <f>'[2]Ukraine Sunflower Exports'!FS$290</f>
        <v>0.11</v>
      </c>
      <c r="N421" s="86">
        <f t="shared" si="103"/>
        <v>11.558999999999999</v>
      </c>
      <c r="O421" s="27"/>
      <c r="P421" s="87">
        <f t="shared" si="104"/>
        <v>2.335</v>
      </c>
      <c r="Q421" s="87">
        <f t="shared" si="105"/>
        <v>2.7480000000000002</v>
      </c>
      <c r="R421" s="87">
        <f t="shared" si="106"/>
        <v>5.6579999999999995</v>
      </c>
      <c r="S421" s="87">
        <f t="shared" si="107"/>
        <v>0.81799999999999995</v>
      </c>
    </row>
    <row r="422" spans="1:19" ht="16.5" hidden="1">
      <c r="A422" s="97" t="s">
        <v>67</v>
      </c>
      <c r="B422" s="86">
        <f>'[2]Ukraine Sunflower Exports'!FT$290</f>
        <v>0.185</v>
      </c>
      <c r="C422" s="86">
        <f>'[2]Ukraine Sunflower Exports'!FU$290</f>
        <v>1.109</v>
      </c>
      <c r="D422" s="86">
        <f>'[2]Ukraine Sunflower Exports'!FV$290</f>
        <v>1.581</v>
      </c>
      <c r="E422" s="86">
        <f>'[2]Ukraine Sunflower Exports'!FW$290</f>
        <v>24.593</v>
      </c>
      <c r="F422" s="86">
        <f>'[2]Ukraine Sunflower Exports'!FX$290</f>
        <v>17.265000000000001</v>
      </c>
      <c r="G422" s="86">
        <f>'[2]Ukraine Sunflower Exports'!FY$290</f>
        <v>4.9770000000000003</v>
      </c>
      <c r="H422" s="86">
        <f>'[2]Ukraine Sunflower Exports'!FZ$290</f>
        <v>92.524000000000001</v>
      </c>
      <c r="I422" s="86">
        <f>'[2]Ukraine Sunflower Exports'!GA$290</f>
        <v>36.869</v>
      </c>
      <c r="J422" s="86">
        <f>'[2]Ukraine Sunflower Exports'!GB$290</f>
        <v>28.486999999999998</v>
      </c>
      <c r="K422" s="86">
        <f>'[2]Ukraine Sunflower Exports'!GC$290</f>
        <v>7.1029999999999998</v>
      </c>
      <c r="L422" s="86">
        <f>'[2]Ukraine Sunflower Exports'!GD$290</f>
        <v>5.0529999999999999</v>
      </c>
      <c r="M422" s="86">
        <f>'[2]Ukraine Sunflower Exports'!GE$290</f>
        <v>6.8000000000000005E-2</v>
      </c>
      <c r="N422" s="86">
        <f t="shared" si="103"/>
        <v>219.81400000000002</v>
      </c>
      <c r="O422" s="27"/>
      <c r="P422" s="87">
        <f t="shared" si="104"/>
        <v>2.875</v>
      </c>
      <c r="Q422" s="87">
        <f t="shared" si="105"/>
        <v>46.835000000000008</v>
      </c>
      <c r="R422" s="87">
        <f t="shared" si="106"/>
        <v>157.88</v>
      </c>
      <c r="S422" s="87">
        <f t="shared" si="107"/>
        <v>12.223999999999998</v>
      </c>
    </row>
    <row r="423" spans="1:19" ht="16.5" hidden="1">
      <c r="A423" s="85" t="s">
        <v>68</v>
      </c>
      <c r="B423" s="86">
        <f>'[2]Ukraine Sunflower Exports'!GF$290</f>
        <v>0.67100000000000004</v>
      </c>
      <c r="C423" s="86">
        <f>'[2]Ukraine Sunflower Exports'!GG$290</f>
        <v>6.7679999999999998</v>
      </c>
      <c r="D423" s="86">
        <f>'[2]Ukraine Sunflower Exports'!GH$290</f>
        <v>3.109</v>
      </c>
      <c r="E423" s="86">
        <f>'[2]Ukraine Sunflower Exports'!GI$290</f>
        <v>26.611000000000001</v>
      </c>
      <c r="F423" s="86">
        <f>'[2]Ukraine Sunflower Exports'!GJ$290</f>
        <v>5.4269999999999996</v>
      </c>
      <c r="G423" s="86">
        <f>'[2]Ukraine Sunflower Exports'!GK$290</f>
        <v>88.233999999999995</v>
      </c>
      <c r="H423" s="86">
        <f>'[2]Ukraine Sunflower Exports'!GL$290</f>
        <v>91.600999999999999</v>
      </c>
      <c r="I423" s="86">
        <f>'[2]Ukraine Sunflower Exports'!GM$290</f>
        <v>75.715999999999994</v>
      </c>
      <c r="J423" s="86">
        <f>'[2]Ukraine Sunflower Exports'!GN$290</f>
        <v>23.515000000000001</v>
      </c>
      <c r="K423" s="86">
        <f>'[2]Ukraine Sunflower Exports'!GO$290</f>
        <v>13.916</v>
      </c>
      <c r="L423" s="86">
        <f>'[2]Ukraine Sunflower Exports'!GP$290</f>
        <v>0.45900000000000002</v>
      </c>
      <c r="M423" s="86">
        <f>'[2]Ukraine Sunflower Exports'!GQ$290</f>
        <v>0.17599999999999999</v>
      </c>
      <c r="N423" s="86">
        <f t="shared" si="103"/>
        <v>336.20299999999997</v>
      </c>
      <c r="O423" s="27"/>
      <c r="P423" s="87">
        <f t="shared" si="104"/>
        <v>10.548</v>
      </c>
      <c r="Q423" s="87">
        <f t="shared" si="105"/>
        <v>120.27199999999999</v>
      </c>
      <c r="R423" s="87">
        <f t="shared" si="106"/>
        <v>190.83199999999999</v>
      </c>
      <c r="S423" s="87">
        <f t="shared" si="107"/>
        <v>14.551</v>
      </c>
    </row>
    <row r="424" spans="1:19" ht="16.5" hidden="1">
      <c r="A424" s="97" t="s">
        <v>69</v>
      </c>
      <c r="B424" s="86">
        <f>'[2]Ukraine Sunflower Exports'!GR$290</f>
        <v>2.21</v>
      </c>
      <c r="C424" s="86">
        <f>'[2]Ukraine Sunflower Exports'!GS$290</f>
        <v>4.3490000000000002</v>
      </c>
      <c r="D424" s="86">
        <f>'[2]Ukraine Sunflower Exports'!GT$290</f>
        <v>34.472999999999999</v>
      </c>
      <c r="E424" s="86">
        <f>'[2]Ukraine Sunflower Exports'!GU$290</f>
        <v>30.196000000000002</v>
      </c>
      <c r="F424" s="86">
        <f>'[2]Ukraine Sunflower Exports'!GV$290</f>
        <v>0.42799999999999999</v>
      </c>
      <c r="G424" s="86">
        <f>'[2]Ukraine Sunflower Exports'!GW$290</f>
        <v>3.0960000000000001</v>
      </c>
      <c r="H424" s="86">
        <f>'[2]Ukraine Sunflower Exports'!GX$290</f>
        <v>0.16</v>
      </c>
      <c r="I424" s="86">
        <f>'[2]Ukraine Sunflower Exports'!GY$290</f>
        <v>0.114</v>
      </c>
      <c r="J424" s="86">
        <f>'[2]Ukraine Sunflower Exports'!GZ$290</f>
        <v>0.12</v>
      </c>
      <c r="K424" s="86">
        <f>'[2]Ukraine Sunflower Exports'!HA$290</f>
        <v>6.3E-2</v>
      </c>
      <c r="L424" s="86">
        <f>'[2]Ukraine Sunflower Exports'!HB$290</f>
        <v>0.14799999999999999</v>
      </c>
      <c r="M424" s="86">
        <f>'[2]Ukraine Sunflower Exports'!HC$290</f>
        <v>0.06</v>
      </c>
      <c r="N424" s="86">
        <f t="shared" si="103"/>
        <v>75.417000000000002</v>
      </c>
      <c r="O424" s="27"/>
      <c r="P424" s="87">
        <f t="shared" si="104"/>
        <v>41.031999999999996</v>
      </c>
      <c r="Q424" s="87">
        <f t="shared" si="105"/>
        <v>33.72</v>
      </c>
      <c r="R424" s="87">
        <f t="shared" si="106"/>
        <v>0.39400000000000002</v>
      </c>
      <c r="S424" s="87">
        <f t="shared" si="107"/>
        <v>0.27100000000000002</v>
      </c>
    </row>
    <row r="425" spans="1:19" ht="16.5" hidden="1">
      <c r="A425" s="97" t="s">
        <v>70</v>
      </c>
      <c r="B425" s="86">
        <f>'[2]Ukraine Sunflower Exports'!HD$290</f>
        <v>0.38400000000000001</v>
      </c>
      <c r="C425" s="86">
        <f>'[2]Ukraine Sunflower Exports'!HE$290</f>
        <v>0.60299999999999998</v>
      </c>
      <c r="D425" s="86">
        <f>'[2]Ukraine Sunflower Exports'!HF$290</f>
        <v>36.338999999999999</v>
      </c>
      <c r="E425" s="86">
        <f>'[2]Ukraine Sunflower Exports'!HG$290</f>
        <v>55.652000000000001</v>
      </c>
      <c r="F425" s="86">
        <f>'[2]Ukraine Sunflower Exports'!HH$290</f>
        <v>75.980999999999995</v>
      </c>
      <c r="G425" s="86">
        <f>'[2]Ukraine Sunflower Exports'!HI$290</f>
        <v>148.95400000000001</v>
      </c>
      <c r="H425" s="86">
        <f>'[2]Ukraine Sunflower Exports'!HJ$290</f>
        <v>135.03800000000001</v>
      </c>
      <c r="I425" s="86">
        <f>'[2]Ukraine Sunflower Exports'!HK$290</f>
        <v>75.781999999999996</v>
      </c>
      <c r="J425" s="86">
        <f>'[2]Ukraine Sunflower Exports'!HL$290</f>
        <v>45.962000000000003</v>
      </c>
      <c r="K425" s="86">
        <f>'[2]Ukraine Sunflower Exports'!HM$290</f>
        <v>102.24299999999999</v>
      </c>
      <c r="L425" s="86">
        <f>'[2]Ukraine Sunflower Exports'!HN$290</f>
        <v>70.808999999999997</v>
      </c>
      <c r="M425" s="86">
        <f>'[2]Ukraine Sunflower Exports'!HO$290</f>
        <v>19.488</v>
      </c>
      <c r="N425" s="86">
        <f t="shared" si="103"/>
        <v>767.23500000000013</v>
      </c>
      <c r="O425" s="27"/>
      <c r="P425" s="87">
        <f t="shared" si="104"/>
        <v>37.326000000000001</v>
      </c>
      <c r="Q425" s="87">
        <f t="shared" si="105"/>
        <v>280.58699999999999</v>
      </c>
      <c r="R425" s="87">
        <f t="shared" si="106"/>
        <v>256.78199999999998</v>
      </c>
      <c r="S425" s="87">
        <f t="shared" si="107"/>
        <v>192.54</v>
      </c>
    </row>
    <row r="426" spans="1:19" ht="16.5" hidden="1">
      <c r="A426" s="85" t="s">
        <v>71</v>
      </c>
      <c r="B426" s="86">
        <f>'[2]Ukraine Sunflower Exports'!HP$290</f>
        <v>6.66</v>
      </c>
      <c r="C426" s="86">
        <f>'[2]Ukraine Sunflower Exports'!HQ$290</f>
        <v>18.271000000000001</v>
      </c>
      <c r="D426" s="86">
        <f>'[2]Ukraine Sunflower Exports'!HR$290</f>
        <v>18.459</v>
      </c>
      <c r="E426" s="86">
        <f>'[2]Ukraine Sunflower Exports'!HS$290</f>
        <v>10.145</v>
      </c>
      <c r="F426" s="86">
        <f>'[2]Ukraine Sunflower Exports'!HT$290</f>
        <v>9.0039999999999996</v>
      </c>
      <c r="G426" s="86">
        <f>'[2]Ukraine Sunflower Exports'!HU$290</f>
        <v>4.2300000000000004</v>
      </c>
      <c r="H426" s="86">
        <f>'[2]Ukraine Sunflower Exports'!HV$290</f>
        <v>43.323999999999998</v>
      </c>
      <c r="I426" s="86">
        <f>'[2]Ukraine Sunflower Exports'!HW$290</f>
        <v>74.528000000000006</v>
      </c>
      <c r="J426" s="86">
        <f>'[2]Ukraine Sunflower Exports'!HX$290</f>
        <v>87.253</v>
      </c>
      <c r="K426" s="86">
        <f>'[2]Ukraine Sunflower Exports'!HY$290</f>
        <v>71.301000000000002</v>
      </c>
      <c r="L426" s="86">
        <f>'[2]Ukraine Sunflower Exports'!HZ$290</f>
        <v>8.9090000000000007</v>
      </c>
      <c r="M426" s="86">
        <f>'[2]Ukraine Sunflower Exports'!IA$290</f>
        <v>1.3640000000000001</v>
      </c>
      <c r="N426" s="86">
        <f t="shared" si="103"/>
        <v>353.44799999999992</v>
      </c>
      <c r="O426" s="27"/>
      <c r="P426" s="87">
        <f t="shared" si="104"/>
        <v>43.39</v>
      </c>
      <c r="Q426" s="87">
        <f t="shared" si="105"/>
        <v>23.379000000000001</v>
      </c>
      <c r="R426" s="87">
        <f t="shared" si="106"/>
        <v>205.10500000000002</v>
      </c>
      <c r="S426" s="87">
        <f t="shared" si="107"/>
        <v>81.574000000000012</v>
      </c>
    </row>
    <row r="427" spans="1:19" ht="16.5" hidden="1">
      <c r="A427" s="97" t="s">
        <v>72</v>
      </c>
      <c r="B427" s="86">
        <f>'[2]Ukraine Sunflower Exports'!IB$290</f>
        <v>2.851</v>
      </c>
      <c r="C427" s="86">
        <f>'[2]Ukraine Sunflower Exports'!IC$290</f>
        <v>5.23</v>
      </c>
      <c r="D427" s="86">
        <f>'[2]Ukraine Sunflower Exports'!ID$290</f>
        <v>22.962</v>
      </c>
      <c r="E427" s="86">
        <f>'[2]Ukraine Sunflower Exports'!IE$290</f>
        <v>78.774000000000001</v>
      </c>
      <c r="F427" s="86">
        <f>'[2]Ukraine Sunflower Exports'!IF$290</f>
        <v>80.340999999999994</v>
      </c>
      <c r="G427" s="86">
        <f>'[2]Ukraine Sunflower Exports'!IG$290</f>
        <v>54.194000000000003</v>
      </c>
      <c r="H427" s="86">
        <f>'[2]Ukraine Sunflower Exports'!IH$290</f>
        <v>83.518000000000001</v>
      </c>
      <c r="I427" s="86">
        <f>'[2]Ukraine Sunflower Exports'!II$290</f>
        <v>68.831000000000003</v>
      </c>
      <c r="J427" s="86">
        <f>'[2]Ukraine Sunflower Exports'!IJ$290</f>
        <v>13.983000000000001</v>
      </c>
      <c r="K427" s="86">
        <f>'[2]Ukraine Sunflower Exports'!IK$290</f>
        <v>29.606999999999999</v>
      </c>
      <c r="L427" s="86">
        <f>'[2]Ukraine Sunflower Exports'!IL$290</f>
        <v>2.69</v>
      </c>
      <c r="M427" s="86">
        <f>'[2]Ukraine Sunflower Exports'!IM$290</f>
        <v>1.476</v>
      </c>
      <c r="N427" s="86">
        <f t="shared" si="103"/>
        <v>444.45700000000005</v>
      </c>
      <c r="O427" s="27"/>
      <c r="P427" s="87">
        <f t="shared" si="104"/>
        <v>31.042999999999999</v>
      </c>
      <c r="Q427" s="87">
        <f t="shared" si="105"/>
        <v>213.30900000000003</v>
      </c>
      <c r="R427" s="87">
        <f t="shared" si="106"/>
        <v>166.33199999999999</v>
      </c>
      <c r="S427" s="87">
        <f t="shared" si="107"/>
        <v>33.772999999999996</v>
      </c>
    </row>
    <row r="428" spans="1:19" ht="16.5" hidden="1">
      <c r="A428" s="85" t="s">
        <v>73</v>
      </c>
      <c r="B428" s="86">
        <f>'[2]Ukraine Sunflower Exports'!IN$290</f>
        <v>4.4059999999999997</v>
      </c>
      <c r="C428" s="86">
        <f>'[2]Ukraine Sunflower Exports'!IO$290</f>
        <v>26.401</v>
      </c>
      <c r="D428" s="86">
        <f>'[2]Ukraine Sunflower Exports'!IP$290</f>
        <v>19.614000000000001</v>
      </c>
      <c r="E428" s="86">
        <f>'[2]Ukraine Sunflower Exports'!IQ$290</f>
        <v>21.01</v>
      </c>
      <c r="F428" s="86">
        <f>'[2]Ukraine Sunflower Exports'!IR$290</f>
        <v>17.597000000000001</v>
      </c>
      <c r="G428" s="86">
        <f>'[2]Ukraine Sunflower Exports'!IS$290</f>
        <v>8.4819999999999993</v>
      </c>
      <c r="H428" s="86">
        <f>'[2]Ukraine Sunflower Exports'!IT$290</f>
        <v>30.045999999999999</v>
      </c>
      <c r="I428" s="86">
        <f>'[2]Ukraine Sunflower Exports'!IU$290</f>
        <v>34.045999999999999</v>
      </c>
      <c r="J428" s="86">
        <f>'[2]Ukraine Sunflower Exports'!IV$290</f>
        <v>45.360999999999997</v>
      </c>
      <c r="K428" s="86">
        <f>'[2]Ukraine Sunflower Exports'!IW$290</f>
        <v>42.113</v>
      </c>
      <c r="L428" s="86">
        <f>'[2]Ukraine Sunflower Exports'!IX$290</f>
        <v>30.61</v>
      </c>
      <c r="M428" s="86">
        <f>'[2]Ukraine Sunflower Exports'!IY$290</f>
        <v>2.4860000000000002</v>
      </c>
      <c r="N428" s="86">
        <f t="shared" si="103"/>
        <v>282.17199999999997</v>
      </c>
      <c r="O428" s="27"/>
      <c r="P428" s="87">
        <f t="shared" si="104"/>
        <v>50.420999999999999</v>
      </c>
      <c r="Q428" s="87">
        <f t="shared" si="105"/>
        <v>47.088999999999999</v>
      </c>
      <c r="R428" s="87">
        <f t="shared" si="106"/>
        <v>109.453</v>
      </c>
      <c r="S428" s="87">
        <f t="shared" si="107"/>
        <v>75.209000000000003</v>
      </c>
    </row>
    <row r="429" spans="1:19" ht="16.5" hidden="1">
      <c r="A429" s="85" t="s">
        <v>74</v>
      </c>
      <c r="B429" s="86">
        <f>'[2]Ukraine Sunflower Exports'!IZ$290</f>
        <v>5.8550000000000004</v>
      </c>
      <c r="C429" s="86">
        <f>'[2]Ukraine Sunflower Exports'!JA$290</f>
        <v>28.148</v>
      </c>
      <c r="D429" s="86">
        <f>'[2]Ukraine Sunflower Exports'!JB$290</f>
        <v>20.009</v>
      </c>
      <c r="E429" s="86">
        <f>'[2]Ukraine Sunflower Exports'!JC$290</f>
        <v>17.344000000000001</v>
      </c>
      <c r="F429" s="86">
        <f>'[2]Ukraine Sunflower Exports'!JD$290</f>
        <v>9.6349999999999998</v>
      </c>
      <c r="G429" s="86">
        <f>'[2]Ukraine Sunflower Exports'!JE$290</f>
        <v>19.526</v>
      </c>
      <c r="H429" s="86">
        <f>'[2]Ukraine Sunflower Exports'!JF$290</f>
        <v>14.629</v>
      </c>
      <c r="I429" s="86">
        <f>'[2]Ukraine Sunflower Exports'!JG$290</f>
        <v>3.9510000000000001</v>
      </c>
      <c r="J429" s="86">
        <f>'[2]Ukraine Sunflower Exports'!JH$290</f>
        <v>5.0279999999999996</v>
      </c>
      <c r="K429" s="86">
        <f>'[2]Ukraine Sunflower Exports'!JI$290</f>
        <v>1.772</v>
      </c>
      <c r="L429" s="86">
        <f>'[2]Ukraine Sunflower Exports'!JJ$290</f>
        <v>0.79</v>
      </c>
      <c r="M429" s="86">
        <f>'[2]Ukraine Sunflower Exports'!JK$290</f>
        <v>0.35099999999999998</v>
      </c>
      <c r="N429" s="86">
        <f t="shared" si="103"/>
        <v>127.03800000000001</v>
      </c>
      <c r="O429" s="27"/>
      <c r="P429" s="87">
        <f t="shared" si="104"/>
        <v>54.012</v>
      </c>
      <c r="Q429" s="87">
        <f t="shared" si="105"/>
        <v>46.504999999999995</v>
      </c>
      <c r="R429" s="87">
        <f t="shared" si="106"/>
        <v>23.607999999999997</v>
      </c>
      <c r="S429" s="87">
        <f t="shared" si="107"/>
        <v>2.9130000000000003</v>
      </c>
    </row>
    <row r="430" spans="1:19" ht="16.5" hidden="1">
      <c r="A430" s="85" t="s">
        <v>75</v>
      </c>
      <c r="B430" s="86">
        <f>'[2]Ukraine Sunflower Exports'!JL$290</f>
        <v>3.0710000000000002</v>
      </c>
      <c r="C430" s="86">
        <f>'[2]Ukraine Sunflower Exports'!JM$290</f>
        <v>4.2709999999999999</v>
      </c>
      <c r="D430" s="86">
        <f>'[2]Ukraine Sunflower Exports'!JN$290</f>
        <v>4.3650000000000002</v>
      </c>
      <c r="E430" s="86">
        <f>'[2]Ukraine Sunflower Exports'!JO$290</f>
        <v>2.8479999999999999</v>
      </c>
      <c r="F430" s="86">
        <f>'[2]Ukraine Sunflower Exports'!JP$290</f>
        <v>3.0819999999999999</v>
      </c>
      <c r="G430" s="86">
        <f>'[2]Ukraine Sunflower Exports'!JQ$290</f>
        <v>2.4239999999999999</v>
      </c>
      <c r="H430" s="86">
        <f>'[2]Ukraine Sunflower Exports'!JR$290</f>
        <v>5.4290000000000003</v>
      </c>
      <c r="I430" s="86">
        <f>'[2]Ukraine Sunflower Exports'!JS$290</f>
        <v>24.024000000000001</v>
      </c>
      <c r="J430" s="86">
        <f>'[2]Ukraine Sunflower Exports'!JT$290</f>
        <v>12.747</v>
      </c>
      <c r="K430" s="86">
        <f>'[2]Ukraine Sunflower Exports'!JU$290</f>
        <v>5.5389999999999997</v>
      </c>
      <c r="L430" s="86">
        <f>'[2]Ukraine Sunflower Exports'!JV$290</f>
        <v>1.4730000000000001</v>
      </c>
      <c r="M430" s="86">
        <f>'[2]Ukraine Sunflower Exports'!JW$290</f>
        <v>0.438</v>
      </c>
      <c r="N430" s="86">
        <f t="shared" si="103"/>
        <v>69.710999999999999</v>
      </c>
      <c r="O430" s="27"/>
      <c r="P430" s="87">
        <f t="shared" si="104"/>
        <v>11.707000000000001</v>
      </c>
      <c r="Q430" s="87">
        <f t="shared" si="105"/>
        <v>8.3539999999999992</v>
      </c>
      <c r="R430" s="87">
        <f t="shared" si="106"/>
        <v>42.2</v>
      </c>
      <c r="S430" s="87">
        <f t="shared" si="107"/>
        <v>7.4499999999999993</v>
      </c>
    </row>
    <row r="431" spans="1:19" ht="16.5" hidden="1">
      <c r="A431" s="85" t="s">
        <v>76</v>
      </c>
      <c r="B431" s="86">
        <f>'[2]Ukraine Sunflower Exports'!JX$290</f>
        <v>3.9729999999999999</v>
      </c>
      <c r="C431" s="86">
        <f>'[2]Ukraine Sunflower Exports'!JY$290</f>
        <v>7.0590000000000002</v>
      </c>
      <c r="D431" s="86">
        <f>'[2]Ukraine Sunflower Exports'!JZ$290</f>
        <v>4.468</v>
      </c>
      <c r="E431" s="86">
        <f>'[2]Ukraine Sunflower Exports'!KA$290</f>
        <v>3.2410000000000001</v>
      </c>
      <c r="F431" s="86">
        <f>'[2]Ukraine Sunflower Exports'!KB$290</f>
        <v>0.92400000000000004</v>
      </c>
      <c r="G431" s="86">
        <f>'[2]Ukraine Sunflower Exports'!KC$290</f>
        <v>1.496</v>
      </c>
      <c r="H431" s="86">
        <f>'[2]Ukraine Sunflower Exports'!KD$290</f>
        <v>1.1339999999999999</v>
      </c>
      <c r="I431" s="86">
        <f>'[2]Ukraine Sunflower Exports'!KE$290</f>
        <v>20.120999999999999</v>
      </c>
      <c r="J431" s="86">
        <f>'[2]Ukraine Sunflower Exports'!KF$290</f>
        <v>0.51200000000000001</v>
      </c>
      <c r="K431" s="86">
        <f>'[2]Ukraine Sunflower Exports'!KG$290</f>
        <v>1.028</v>
      </c>
      <c r="L431" s="86">
        <f>'[2]Ukraine Sunflower Exports'!KH$290</f>
        <v>0.79500000000000004</v>
      </c>
      <c r="M431" s="86">
        <f>'[2]Ukraine Sunflower Exports'!KI$290</f>
        <v>0.61699999999999999</v>
      </c>
      <c r="N431" s="86">
        <f t="shared" si="103"/>
        <v>45.367999999999995</v>
      </c>
      <c r="O431" s="27"/>
      <c r="P431" s="87">
        <f>SUM(B431:D431)</f>
        <v>15.5</v>
      </c>
      <c r="Q431" s="87">
        <f t="shared" si="105"/>
        <v>5.6609999999999996</v>
      </c>
      <c r="R431" s="87">
        <f t="shared" si="106"/>
        <v>21.766999999999999</v>
      </c>
      <c r="S431" s="87">
        <f t="shared" si="107"/>
        <v>2.44</v>
      </c>
    </row>
    <row r="432" spans="1:19" ht="16.5" hidden="1">
      <c r="A432" s="85" t="s">
        <v>77</v>
      </c>
      <c r="B432" s="86">
        <f>'[2]Ukraine Sunflower Exports'!KJ$290</f>
        <v>1.3939999999999999</v>
      </c>
      <c r="C432" s="86">
        <f>'[2]Ukraine Sunflower Exports'!KK$290</f>
        <v>7.4480000000000004</v>
      </c>
      <c r="D432" s="86">
        <f>'[2]Ukraine Sunflower Exports'!KL$290</f>
        <v>7.0190000000000001</v>
      </c>
      <c r="E432" s="86">
        <f>'[2]Ukraine Sunflower Exports'!KM$290</f>
        <v>5.1580000000000004</v>
      </c>
      <c r="F432" s="86">
        <f>'[2]Ukraine Sunflower Exports'!KN$290</f>
        <v>1.5269999999999999</v>
      </c>
      <c r="G432" s="86">
        <f>'[2]Ukraine Sunflower Exports'!KO$290</f>
        <v>9.9049999999999994</v>
      </c>
      <c r="H432" s="86">
        <f>'[2]Ukraine Sunflower Exports'!KP$290</f>
        <v>3.7839999999999998</v>
      </c>
      <c r="I432" s="86">
        <f>'[2]Ukraine Sunflower Exports'!KQ$290</f>
        <v>11.755000000000001</v>
      </c>
      <c r="J432" s="86">
        <f>'[2]Ukraine Sunflower Exports'!KR$290</f>
        <v>28.327000000000002</v>
      </c>
      <c r="K432" s="86">
        <f>'[2]Ukraine Sunflower Exports'!KS$290</f>
        <v>3.1749999999999998</v>
      </c>
      <c r="L432" s="86">
        <f>'[2]Ukraine Sunflower Exports'!KT$290</f>
        <v>2.048</v>
      </c>
      <c r="M432" s="86">
        <f>'[2]Ukraine Sunflower Exports'!KU$290</f>
        <v>1.843</v>
      </c>
      <c r="N432" s="86">
        <f t="shared" si="103"/>
        <v>83.38300000000001</v>
      </c>
      <c r="O432" s="27"/>
      <c r="P432" s="87">
        <f t="shared" ref="P432:P437" si="108">SUM(B432:D432)</f>
        <v>15.861000000000001</v>
      </c>
      <c r="Q432" s="87">
        <f t="shared" si="105"/>
        <v>16.59</v>
      </c>
      <c r="R432" s="87">
        <f t="shared" si="106"/>
        <v>43.866</v>
      </c>
      <c r="S432" s="87">
        <f t="shared" si="107"/>
        <v>7.0659999999999998</v>
      </c>
    </row>
    <row r="433" spans="1:19" ht="16.5" hidden="1">
      <c r="A433" s="85" t="s">
        <v>78</v>
      </c>
      <c r="B433" s="86">
        <f>'[2]Ukraine Sunflower Exports'!KV$290</f>
        <v>3.14</v>
      </c>
      <c r="C433" s="86">
        <f>'[2]Ukraine Sunflower Exports'!KW$290</f>
        <v>21.945</v>
      </c>
      <c r="D433" s="86">
        <f>'[2]Ukraine Sunflower Exports'!KX$290</f>
        <v>80.474000000000004</v>
      </c>
      <c r="E433" s="86">
        <f>'[2]Ukraine Sunflower Exports'!KY$290</f>
        <v>28.683</v>
      </c>
      <c r="F433" s="86">
        <f>'[2]Ukraine Sunflower Exports'!KZ$290</f>
        <v>3.9129999999999998</v>
      </c>
      <c r="G433" s="86">
        <f>'[2]Ukraine Sunflower Exports'!LA$290</f>
        <v>11.558999999999999</v>
      </c>
      <c r="H433" s="86">
        <f>'[2]Ukraine Sunflower Exports'!LB$290</f>
        <v>19.652000000000001</v>
      </c>
      <c r="I433" s="86">
        <f>'[2]Ukraine Sunflower Exports'!LC$290</f>
        <v>7.6749999999999998</v>
      </c>
      <c r="J433" s="86">
        <f>'[2]Ukraine Sunflower Exports'!LD$290</f>
        <v>5.6719999999999997</v>
      </c>
      <c r="K433" s="86">
        <f>'[2]Ukraine Sunflower Exports'!LE$290</f>
        <v>5.6199300000000001</v>
      </c>
      <c r="L433" s="86">
        <f>'[2]Ukraine Sunflower Exports'!LF$290</f>
        <v>1.596638</v>
      </c>
      <c r="M433" s="86">
        <f>'[2]Ukraine Sunflower Exports'!LG$290</f>
        <v>1.3282240000000001</v>
      </c>
      <c r="N433" s="86">
        <f t="shared" si="103"/>
        <v>191.25779200000002</v>
      </c>
      <c r="O433" s="27"/>
      <c r="P433" s="87">
        <f t="shared" si="108"/>
        <v>105.559</v>
      </c>
      <c r="Q433" s="87">
        <f t="shared" si="105"/>
        <v>44.154999999999994</v>
      </c>
      <c r="R433" s="87">
        <f t="shared" si="106"/>
        <v>32.999000000000002</v>
      </c>
      <c r="S433" s="87">
        <f t="shared" si="107"/>
        <v>8.5447920000000011</v>
      </c>
    </row>
    <row r="434" spans="1:19" ht="16.5" hidden="1">
      <c r="A434" s="85" t="s">
        <v>79</v>
      </c>
      <c r="B434" s="86">
        <f>'[2]Ukraine Sunflower Exports'!LH$290</f>
        <v>2.342498</v>
      </c>
      <c r="C434" s="86">
        <f>'[2]Ukraine Sunflower Exports'!LI$290</f>
        <v>3.6245530000000001</v>
      </c>
      <c r="D434" s="86">
        <f>'[2]Ukraine Sunflower Exports'!LJ$290</f>
        <v>3.9076900000000001</v>
      </c>
      <c r="E434" s="86">
        <f>'[2]Ukraine Sunflower Exports'!LK$290</f>
        <v>6.3454090000000001</v>
      </c>
      <c r="F434" s="86">
        <f>'[2]Ukraine Sunflower Exports'!LL$290</f>
        <v>2.426177</v>
      </c>
      <c r="G434" s="86">
        <f>'[2]Ukraine Sunflower Exports'!LM$290</f>
        <v>4.1256930000000001</v>
      </c>
      <c r="H434" s="86">
        <f>'[2]Ukraine Sunflower Exports'!LN$290</f>
        <v>1.804559</v>
      </c>
      <c r="I434" s="86">
        <f>'[2]Ukraine Sunflower Exports'!LO$290</f>
        <v>3.7668599999999999</v>
      </c>
      <c r="J434" s="86">
        <f>'[2]Ukraine Sunflower Exports'!LP$290</f>
        <v>1.3949389999999999</v>
      </c>
      <c r="K434" s="86">
        <f>'[2]Ukraine Sunflower Exports'!LQ$290</f>
        <v>5.1454719999999998</v>
      </c>
      <c r="L434" s="86">
        <f>'[2]Ukraine Sunflower Exports'!LR$290</f>
        <v>2.0295109999999998</v>
      </c>
      <c r="M434" s="86">
        <f>'[2]Ukraine Sunflower Exports'!LS$290</f>
        <v>1.6069929999999999</v>
      </c>
      <c r="N434" s="86">
        <f t="shared" si="103"/>
        <v>38.520354000000005</v>
      </c>
      <c r="O434" s="27"/>
      <c r="P434" s="87">
        <f t="shared" si="108"/>
        <v>9.8747410000000002</v>
      </c>
      <c r="Q434" s="87">
        <f t="shared" si="105"/>
        <v>12.897278999999999</v>
      </c>
      <c r="R434" s="87">
        <f t="shared" si="106"/>
        <v>6.9663579999999996</v>
      </c>
      <c r="S434" s="87">
        <f t="shared" si="107"/>
        <v>8.7819759999999985</v>
      </c>
    </row>
    <row r="435" spans="1:19" ht="16.5">
      <c r="A435" s="85" t="s">
        <v>80</v>
      </c>
      <c r="B435" s="86">
        <f>'[2]Ukraine Sunflower Exports'!LT$290</f>
        <v>2.6936110000000002</v>
      </c>
      <c r="C435" s="86">
        <f>'[2]Ukraine Sunflower Exports'!LU$290</f>
        <v>10.374822999999999</v>
      </c>
      <c r="D435" s="86">
        <f>'[2]Ukraine Sunflower Exports'!LV$290</f>
        <v>12.824946000000001</v>
      </c>
      <c r="E435" s="86">
        <f>'[2]Ukraine Sunflower Exports'!LW$290</f>
        <v>10.510565</v>
      </c>
      <c r="F435" s="86">
        <f>'[2]Ukraine Sunflower Exports'!LX$290</f>
        <v>2.6687340000000002</v>
      </c>
      <c r="G435" s="86">
        <f>'[2]Ukraine Sunflower Exports'!LY$290</f>
        <v>15.355582</v>
      </c>
      <c r="H435" s="86">
        <f>'[2]Ukraine Sunflower Exports'!LZ$290</f>
        <v>15.696630000000001</v>
      </c>
      <c r="I435" s="86">
        <f>'[2]Ukraine Sunflower Exports'!MA$290</f>
        <v>22.167211999999999</v>
      </c>
      <c r="J435" s="86">
        <f>'[2]Ukraine Sunflower Exports'!MB$290</f>
        <v>3.3707129999999998</v>
      </c>
      <c r="K435" s="86">
        <f>'[2]Ukraine Sunflower Exports'!MC$290</f>
        <v>3.906507</v>
      </c>
      <c r="L435" s="86">
        <f>'[2]Ukraine Sunflower Exports'!MD$290</f>
        <v>2.7432509999999999</v>
      </c>
      <c r="M435" s="86">
        <f>'[2]Ukraine Sunflower Exports'!ME$290</f>
        <v>2.221949</v>
      </c>
      <c r="N435" s="86">
        <f t="shared" si="103"/>
        <v>104.53452299999999</v>
      </c>
      <c r="O435" s="27"/>
      <c r="P435" s="87">
        <f t="shared" si="108"/>
        <v>25.893380000000001</v>
      </c>
      <c r="Q435" s="87">
        <f t="shared" si="105"/>
        <v>28.534880999999999</v>
      </c>
      <c r="R435" s="87">
        <f t="shared" si="106"/>
        <v>41.234555</v>
      </c>
      <c r="S435" s="87">
        <f t="shared" si="107"/>
        <v>8.8717070000000007</v>
      </c>
    </row>
    <row r="436" spans="1:19" ht="16.5">
      <c r="A436" s="85" t="s">
        <v>81</v>
      </c>
      <c r="B436" s="86">
        <f>'[2]Ukraine Sunflower Exports'!MF$290</f>
        <v>2.3712499999999999</v>
      </c>
      <c r="C436" s="86">
        <f>'[2]Ukraine Sunflower Exports'!MG$290</f>
        <v>2.750842</v>
      </c>
      <c r="D436" s="86">
        <f>'[2]Ukraine Sunflower Exports'!MH$290</f>
        <v>3.5670280000000001</v>
      </c>
      <c r="E436" s="86">
        <f>'[2]Ukraine Sunflower Exports'!MI$290</f>
        <v>5.4557510000000002</v>
      </c>
      <c r="F436" s="86">
        <f>'[2]Ukraine Sunflower Exports'!MJ$290</f>
        <v>5.1704780000000001</v>
      </c>
      <c r="G436" s="86">
        <f>'[2]Ukraine Sunflower Exports'!MK$290</f>
        <v>3.7207059999999998</v>
      </c>
      <c r="H436" s="86">
        <f>'[2]Ukraine Sunflower Exports'!ML$290</f>
        <v>3.6673460000000002</v>
      </c>
      <c r="I436" s="86">
        <f>'[2]Ukraine Sunflower Exports'!MM$290</f>
        <v>8.5206649999999993</v>
      </c>
      <c r="J436" s="86">
        <f>'[2]Ukraine Sunflower Exports'!MN$290</f>
        <v>9.9982690000000005</v>
      </c>
      <c r="K436" s="86">
        <f>'[2]Ukraine Sunflower Exports'!MO$290</f>
        <v>2.3118240000000001</v>
      </c>
      <c r="L436" s="86">
        <f>'[2]Ukraine Sunflower Exports'!MP$290</f>
        <v>3.3746710000000002</v>
      </c>
      <c r="M436" s="86">
        <f>'[2]Ukraine Sunflower Exports'!MQ$290</f>
        <v>2.18479</v>
      </c>
      <c r="N436" s="86">
        <f t="shared" si="103"/>
        <v>53.093620000000001</v>
      </c>
      <c r="O436" s="27"/>
      <c r="P436" s="87">
        <f t="shared" si="108"/>
        <v>8.6891200000000008</v>
      </c>
      <c r="Q436" s="87">
        <f t="shared" si="105"/>
        <v>14.346935</v>
      </c>
      <c r="R436" s="87">
        <f t="shared" si="106"/>
        <v>22.18628</v>
      </c>
      <c r="S436" s="87">
        <f t="shared" si="107"/>
        <v>7.8712850000000003</v>
      </c>
    </row>
    <row r="437" spans="1:19" ht="17.25" thickBot="1">
      <c r="A437" s="88" t="s">
        <v>82</v>
      </c>
      <c r="B437" s="89">
        <f>'[2]Ukraine Sunflower Exports'!MR$290</f>
        <v>7.6473940000000002</v>
      </c>
      <c r="C437" s="89">
        <f>'[2]Ukraine Sunflower Exports'!MS$290</f>
        <v>69.183460999999994</v>
      </c>
      <c r="D437" s="89">
        <f>'[2]Ukraine Sunflower Exports'!MT$290</f>
        <v>37.906568999999998</v>
      </c>
      <c r="E437" s="89">
        <f>'[2]Ukraine Sunflower Exports'!MU$290</f>
        <v>34.214109000000001</v>
      </c>
      <c r="F437" s="89">
        <f>'[2]Ukraine Sunflower Exports'!MV$290</f>
        <v>24.85</v>
      </c>
      <c r="G437" s="89">
        <f>'[2]Ukraine Sunflower Exports'!MW$290</f>
        <v>39.097000000000001</v>
      </c>
      <c r="H437" s="89">
        <f>'[2]Ukraine Sunflower Exports'!MX$290</f>
        <v>3.883</v>
      </c>
      <c r="I437" s="89">
        <f>'[2]Ukraine Sunflower Exports'!MY$290</f>
        <v>3.9809999999999999</v>
      </c>
      <c r="J437" s="90">
        <f>'Ukraine Sun Complex'!$AC71</f>
        <v>8.0470000000000006</v>
      </c>
      <c r="K437" s="90">
        <f>'Ukraine Sun Complex'!$AC72</f>
        <v>1.1859999999999999</v>
      </c>
      <c r="L437" s="90">
        <f>'Ukraine Sun Complex'!$AC73</f>
        <v>0.90800000000000003</v>
      </c>
      <c r="M437" s="90">
        <f>'Ukraine Sun Complex'!$AC74</f>
        <v>1.5269999999999999</v>
      </c>
      <c r="N437" s="90">
        <f t="shared" si="103"/>
        <v>232.430533</v>
      </c>
      <c r="O437" s="91"/>
      <c r="P437" s="92">
        <f t="shared" si="108"/>
        <v>114.737424</v>
      </c>
      <c r="Q437" s="92">
        <f t="shared" si="105"/>
        <v>98.16110900000001</v>
      </c>
      <c r="R437" s="93">
        <f t="shared" si="106"/>
        <v>15.911000000000001</v>
      </c>
      <c r="S437" s="93">
        <f t="shared" si="107"/>
        <v>3.6209999999999996</v>
      </c>
    </row>
    <row r="438" spans="1:19" ht="16.5">
      <c r="A438" s="80" t="s">
        <v>98</v>
      </c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27"/>
      <c r="P438" s="87"/>
      <c r="Q438" s="87"/>
      <c r="R438" s="87"/>
      <c r="S438" s="87"/>
    </row>
    <row r="439" spans="1:19" ht="16.5" hidden="1">
      <c r="A439" s="96" t="s">
        <v>84</v>
      </c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27"/>
      <c r="P439" s="87"/>
      <c r="Q439" s="87"/>
      <c r="R439" s="87"/>
      <c r="S439" s="87"/>
    </row>
    <row r="440" spans="1:19" ht="16.5" hidden="1">
      <c r="A440" s="96" t="s">
        <v>56</v>
      </c>
      <c r="B440" s="86">
        <f>B353+B382+B411</f>
        <v>12.5</v>
      </c>
      <c r="C440" s="86">
        <f t="shared" ref="C440:M440" si="109">C353+C382+C411</f>
        <v>14.4</v>
      </c>
      <c r="D440" s="86">
        <f t="shared" si="109"/>
        <v>13.9</v>
      </c>
      <c r="E440" s="86">
        <f t="shared" si="109"/>
        <v>45.7</v>
      </c>
      <c r="F440" s="86">
        <f t="shared" si="109"/>
        <v>20.2</v>
      </c>
      <c r="G440" s="86">
        <f t="shared" si="109"/>
        <v>11.4</v>
      </c>
      <c r="H440" s="86">
        <f t="shared" si="109"/>
        <v>4.9000000000000004</v>
      </c>
      <c r="I440" s="86">
        <f t="shared" si="109"/>
        <v>0.7</v>
      </c>
      <c r="J440" s="86">
        <f t="shared" si="109"/>
        <v>0.1</v>
      </c>
      <c r="K440" s="86">
        <f t="shared" si="109"/>
        <v>1.9</v>
      </c>
      <c r="L440" s="86">
        <f t="shared" si="109"/>
        <v>0.6</v>
      </c>
      <c r="M440" s="86">
        <f t="shared" si="109"/>
        <v>0.2</v>
      </c>
      <c r="N440" s="86">
        <f>SUM(B440:M440)</f>
        <v>126.50000000000001</v>
      </c>
      <c r="O440" s="27"/>
      <c r="P440" s="87">
        <f>SUM(B440:D440)</f>
        <v>40.799999999999997</v>
      </c>
      <c r="Q440" s="87">
        <f>SUM(E440:G440)</f>
        <v>77.300000000000011</v>
      </c>
      <c r="R440" s="87">
        <f>SUM(H440:J440)</f>
        <v>5.7</v>
      </c>
      <c r="S440" s="87">
        <f>SUM(K440:M440)</f>
        <v>2.7</v>
      </c>
    </row>
    <row r="441" spans="1:19" ht="16.5" hidden="1">
      <c r="A441" s="96" t="s">
        <v>57</v>
      </c>
      <c r="B441" s="86">
        <f t="shared" ref="B441:M456" si="110">B354+B383+B412</f>
        <v>11.2</v>
      </c>
      <c r="C441" s="86">
        <f t="shared" si="110"/>
        <v>69.5</v>
      </c>
      <c r="D441" s="86">
        <f t="shared" si="110"/>
        <v>119.5</v>
      </c>
      <c r="E441" s="86">
        <f t="shared" si="110"/>
        <v>217.5</v>
      </c>
      <c r="F441" s="86">
        <f t="shared" si="110"/>
        <v>184.3</v>
      </c>
      <c r="G441" s="86">
        <f t="shared" si="110"/>
        <v>156.69999999999999</v>
      </c>
      <c r="H441" s="86">
        <f t="shared" si="110"/>
        <v>175.8</v>
      </c>
      <c r="I441" s="86">
        <f t="shared" si="110"/>
        <v>219.1</v>
      </c>
      <c r="J441" s="86">
        <f t="shared" si="110"/>
        <v>188.1</v>
      </c>
      <c r="K441" s="86">
        <f t="shared" si="110"/>
        <v>144.6</v>
      </c>
      <c r="L441" s="86">
        <f t="shared" si="110"/>
        <v>88.9</v>
      </c>
      <c r="M441" s="86">
        <f t="shared" si="110"/>
        <v>103.9</v>
      </c>
      <c r="N441" s="86">
        <f t="shared" ref="N441:N466" si="111">SUM(B441:M441)</f>
        <v>1679.1</v>
      </c>
      <c r="O441" s="27"/>
      <c r="P441" s="87">
        <f t="shared" ref="P441:P459" si="112">SUM(B441:D441)</f>
        <v>200.2</v>
      </c>
      <c r="Q441" s="87">
        <f t="shared" ref="Q441:Q466" si="113">SUM(E441:G441)</f>
        <v>558.5</v>
      </c>
      <c r="R441" s="87">
        <f t="shared" ref="R441:R466" si="114">SUM(H441:J441)</f>
        <v>583</v>
      </c>
      <c r="S441" s="87">
        <f t="shared" ref="S441:S466" si="115">SUM(K441:M441)</f>
        <v>337.4</v>
      </c>
    </row>
    <row r="442" spans="1:19" ht="16.5" hidden="1">
      <c r="A442" s="96" t="s">
        <v>58</v>
      </c>
      <c r="B442" s="86">
        <f t="shared" si="110"/>
        <v>105.7</v>
      </c>
      <c r="C442" s="86">
        <f t="shared" si="110"/>
        <v>269.2</v>
      </c>
      <c r="D442" s="86">
        <f t="shared" si="110"/>
        <v>377.7</v>
      </c>
      <c r="E442" s="86">
        <f t="shared" si="110"/>
        <v>545.79999999999995</v>
      </c>
      <c r="F442" s="86">
        <f t="shared" si="110"/>
        <v>324.491176</v>
      </c>
      <c r="G442" s="86">
        <f t="shared" si="110"/>
        <v>292.59674200000001</v>
      </c>
      <c r="H442" s="86">
        <f t="shared" si="110"/>
        <v>256.22156699999999</v>
      </c>
      <c r="I442" s="86">
        <f t="shared" si="110"/>
        <v>130.19256099999998</v>
      </c>
      <c r="J442" s="86">
        <f t="shared" si="110"/>
        <v>95.510064999999997</v>
      </c>
      <c r="K442" s="86">
        <f t="shared" si="110"/>
        <v>39.243933999999996</v>
      </c>
      <c r="L442" s="86">
        <f t="shared" si="110"/>
        <v>21.466486</v>
      </c>
      <c r="M442" s="86">
        <f t="shared" si="110"/>
        <v>9.1989999999999998</v>
      </c>
      <c r="N442" s="86">
        <f t="shared" si="111"/>
        <v>2467.3215309999996</v>
      </c>
      <c r="O442" s="27"/>
      <c r="P442" s="87">
        <f t="shared" si="112"/>
        <v>752.59999999999991</v>
      </c>
      <c r="Q442" s="87">
        <f t="shared" si="113"/>
        <v>1162.8879179999999</v>
      </c>
      <c r="R442" s="87">
        <f t="shared" si="114"/>
        <v>481.924193</v>
      </c>
      <c r="S442" s="87">
        <f t="shared" si="115"/>
        <v>69.909419999999997</v>
      </c>
    </row>
    <row r="443" spans="1:19" ht="16.5" hidden="1">
      <c r="A443" s="96" t="s">
        <v>59</v>
      </c>
      <c r="B443" s="86">
        <f t="shared" si="110"/>
        <v>50.160921999999999</v>
      </c>
      <c r="C443" s="86">
        <f t="shared" si="110"/>
        <v>208.15134399999999</v>
      </c>
      <c r="D443" s="86">
        <f t="shared" si="110"/>
        <v>404.78274499999998</v>
      </c>
      <c r="E443" s="86">
        <f t="shared" si="110"/>
        <v>421.43121200000002</v>
      </c>
      <c r="F443" s="86">
        <f t="shared" si="110"/>
        <v>257.21757300000002</v>
      </c>
      <c r="G443" s="86">
        <f t="shared" si="110"/>
        <v>168.884466</v>
      </c>
      <c r="H443" s="86">
        <f t="shared" si="110"/>
        <v>95.962412999999998</v>
      </c>
      <c r="I443" s="86">
        <f t="shared" si="110"/>
        <v>64.752020999999999</v>
      </c>
      <c r="J443" s="86">
        <f t="shared" si="110"/>
        <v>46.552110999999996</v>
      </c>
      <c r="K443" s="86">
        <f t="shared" si="110"/>
        <v>18.138273999999999</v>
      </c>
      <c r="L443" s="86">
        <f t="shared" si="110"/>
        <v>7.7794759999999998</v>
      </c>
      <c r="M443" s="86">
        <f t="shared" si="110"/>
        <v>5.9306800000000006</v>
      </c>
      <c r="N443" s="86">
        <f t="shared" si="111"/>
        <v>1749.7432369999999</v>
      </c>
      <c r="O443" s="27"/>
      <c r="P443" s="87">
        <f t="shared" si="112"/>
        <v>663.095011</v>
      </c>
      <c r="Q443" s="87">
        <f t="shared" si="113"/>
        <v>847.53325100000006</v>
      </c>
      <c r="R443" s="87">
        <f t="shared" si="114"/>
        <v>207.26654499999998</v>
      </c>
      <c r="S443" s="87">
        <f t="shared" si="115"/>
        <v>31.84843</v>
      </c>
    </row>
    <row r="444" spans="1:19" ht="16.5" hidden="1">
      <c r="A444" s="96" t="s">
        <v>60</v>
      </c>
      <c r="B444" s="86">
        <f t="shared" si="110"/>
        <v>45.653130000000004</v>
      </c>
      <c r="C444" s="86">
        <f t="shared" si="110"/>
        <v>397.97977600000002</v>
      </c>
      <c r="D444" s="86">
        <f t="shared" si="110"/>
        <v>398.02399299999996</v>
      </c>
      <c r="E444" s="86">
        <f t="shared" si="110"/>
        <v>429.19785200000001</v>
      </c>
      <c r="F444" s="86">
        <f t="shared" si="110"/>
        <v>295.17431899999997</v>
      </c>
      <c r="G444" s="86">
        <f t="shared" si="110"/>
        <v>101.393483</v>
      </c>
      <c r="H444" s="86">
        <f t="shared" si="110"/>
        <v>62.171855000000001</v>
      </c>
      <c r="I444" s="86">
        <f t="shared" si="110"/>
        <v>37.695450000000001</v>
      </c>
      <c r="J444" s="86">
        <f t="shared" si="110"/>
        <v>29.680500000000002</v>
      </c>
      <c r="K444" s="86">
        <f t="shared" si="110"/>
        <v>42.035400000000003</v>
      </c>
      <c r="L444" s="86">
        <f t="shared" si="110"/>
        <v>16.399000000000001</v>
      </c>
      <c r="M444" s="86">
        <f t="shared" si="110"/>
        <v>17.079999999999998</v>
      </c>
      <c r="N444" s="86">
        <f t="shared" si="111"/>
        <v>1872.4847580000001</v>
      </c>
      <c r="O444" s="27"/>
      <c r="P444" s="87">
        <f t="shared" si="112"/>
        <v>841.65689900000007</v>
      </c>
      <c r="Q444" s="87">
        <f t="shared" si="113"/>
        <v>825.76565400000004</v>
      </c>
      <c r="R444" s="87">
        <f t="shared" si="114"/>
        <v>129.54780500000001</v>
      </c>
      <c r="S444" s="87">
        <f t="shared" si="115"/>
        <v>75.514399999999995</v>
      </c>
    </row>
    <row r="445" spans="1:19" ht="16.5" hidden="1">
      <c r="A445" s="96" t="s">
        <v>61</v>
      </c>
      <c r="B445" s="86">
        <f t="shared" si="110"/>
        <v>38.852000000000004</v>
      </c>
      <c r="C445" s="86">
        <f t="shared" si="110"/>
        <v>94.992944999999992</v>
      </c>
      <c r="D445" s="86">
        <f t="shared" si="110"/>
        <v>166.53651199999999</v>
      </c>
      <c r="E445" s="86">
        <f t="shared" si="110"/>
        <v>132.17887899999999</v>
      </c>
      <c r="F445" s="86">
        <f t="shared" si="110"/>
        <v>88.110850999999997</v>
      </c>
      <c r="G445" s="86">
        <f t="shared" si="110"/>
        <v>183.94942800000001</v>
      </c>
      <c r="H445" s="86">
        <f t="shared" si="110"/>
        <v>154.598006</v>
      </c>
      <c r="I445" s="86">
        <f t="shared" si="110"/>
        <v>159.34321599999998</v>
      </c>
      <c r="J445" s="86">
        <f t="shared" si="110"/>
        <v>156.10259399999998</v>
      </c>
      <c r="K445" s="86">
        <f t="shared" si="110"/>
        <v>134.22289899999998</v>
      </c>
      <c r="L445" s="86">
        <f t="shared" si="110"/>
        <v>98.143932000000007</v>
      </c>
      <c r="M445" s="86">
        <f t="shared" si="110"/>
        <v>33.180110999999997</v>
      </c>
      <c r="N445" s="86">
        <f t="shared" si="111"/>
        <v>1440.2113729999999</v>
      </c>
      <c r="O445" s="27"/>
      <c r="P445" s="87">
        <f t="shared" si="112"/>
        <v>300.38145699999995</v>
      </c>
      <c r="Q445" s="87">
        <f t="shared" si="113"/>
        <v>404.23915799999997</v>
      </c>
      <c r="R445" s="87">
        <f t="shared" si="114"/>
        <v>470.04381599999999</v>
      </c>
      <c r="S445" s="87">
        <f t="shared" si="115"/>
        <v>265.546942</v>
      </c>
    </row>
    <row r="446" spans="1:19" ht="16.5" hidden="1">
      <c r="A446" s="96" t="s">
        <v>62</v>
      </c>
      <c r="B446" s="86">
        <f t="shared" si="110"/>
        <v>43.993368000000004</v>
      </c>
      <c r="C446" s="86">
        <f t="shared" si="110"/>
        <v>162.45082100000002</v>
      </c>
      <c r="D446" s="86">
        <f t="shared" si="110"/>
        <v>352.54545300000001</v>
      </c>
      <c r="E446" s="86">
        <f t="shared" si="110"/>
        <v>450.46481700000004</v>
      </c>
      <c r="F446" s="86">
        <f t="shared" si="110"/>
        <v>192.94581299999999</v>
      </c>
      <c r="G446" s="86">
        <f t="shared" si="110"/>
        <v>216.30717500000003</v>
      </c>
      <c r="H446" s="86">
        <f t="shared" si="110"/>
        <v>196.48296699999997</v>
      </c>
      <c r="I446" s="86">
        <f t="shared" si="110"/>
        <v>131.38724199999999</v>
      </c>
      <c r="J446" s="86">
        <f t="shared" si="110"/>
        <v>34.799211</v>
      </c>
      <c r="K446" s="86">
        <f t="shared" si="110"/>
        <v>37.148555000000002</v>
      </c>
      <c r="L446" s="86">
        <f t="shared" si="110"/>
        <v>2.9003199999999998</v>
      </c>
      <c r="M446" s="86">
        <f t="shared" si="110"/>
        <v>10.992000000000001</v>
      </c>
      <c r="N446" s="86">
        <f t="shared" si="111"/>
        <v>1832.4177420000001</v>
      </c>
      <c r="O446" s="27"/>
      <c r="P446" s="87">
        <f t="shared" si="112"/>
        <v>558.989642</v>
      </c>
      <c r="Q446" s="87">
        <f t="shared" si="113"/>
        <v>859.71780500000011</v>
      </c>
      <c r="R446" s="87">
        <f t="shared" si="114"/>
        <v>362.66941999999995</v>
      </c>
      <c r="S446" s="87">
        <f t="shared" si="115"/>
        <v>51.040875</v>
      </c>
    </row>
    <row r="447" spans="1:19" ht="16.5" hidden="1">
      <c r="A447" s="96" t="s">
        <v>63</v>
      </c>
      <c r="B447" s="86">
        <f t="shared" si="110"/>
        <v>4.0596030000000001</v>
      </c>
      <c r="C447" s="86">
        <f t="shared" si="110"/>
        <v>42.577338999999995</v>
      </c>
      <c r="D447" s="86">
        <f t="shared" si="110"/>
        <v>54.555017999999997</v>
      </c>
      <c r="E447" s="86">
        <f t="shared" si="110"/>
        <v>35.529817999999999</v>
      </c>
      <c r="F447" s="86">
        <f t="shared" si="110"/>
        <v>26.335804999999997</v>
      </c>
      <c r="G447" s="86">
        <f t="shared" si="110"/>
        <v>19.376521999999998</v>
      </c>
      <c r="H447" s="86">
        <f t="shared" si="110"/>
        <v>29.227711000000003</v>
      </c>
      <c r="I447" s="86">
        <f t="shared" si="110"/>
        <v>20.805323000000001</v>
      </c>
      <c r="J447" s="86">
        <f t="shared" si="110"/>
        <v>11.324297999999999</v>
      </c>
      <c r="K447" s="86">
        <f t="shared" si="110"/>
        <v>0.864147</v>
      </c>
      <c r="L447" s="86">
        <f t="shared" si="110"/>
        <v>0.56803400000000004</v>
      </c>
      <c r="M447" s="86">
        <f t="shared" si="110"/>
        <v>1.5299999999999996</v>
      </c>
      <c r="N447" s="86">
        <f t="shared" si="111"/>
        <v>246.75361799999999</v>
      </c>
      <c r="O447" s="27"/>
      <c r="P447" s="87">
        <f t="shared" si="112"/>
        <v>101.19195999999999</v>
      </c>
      <c r="Q447" s="87">
        <f t="shared" si="113"/>
        <v>81.242144999999994</v>
      </c>
      <c r="R447" s="87">
        <f t="shared" si="114"/>
        <v>61.357332</v>
      </c>
      <c r="S447" s="87">
        <f t="shared" si="115"/>
        <v>2.9621809999999993</v>
      </c>
    </row>
    <row r="448" spans="1:19" ht="16.5" hidden="1">
      <c r="A448" s="96" t="s">
        <v>64</v>
      </c>
      <c r="B448" s="86">
        <f t="shared" si="110"/>
        <v>6.4788500000000004</v>
      </c>
      <c r="C448" s="86">
        <f t="shared" si="110"/>
        <v>47.739000000000004</v>
      </c>
      <c r="D448" s="86">
        <f t="shared" si="110"/>
        <v>65.171000000000006</v>
      </c>
      <c r="E448" s="86">
        <f t="shared" si="110"/>
        <v>55.759</v>
      </c>
      <c r="F448" s="86">
        <f t="shared" si="110"/>
        <v>74.418000000000006</v>
      </c>
      <c r="G448" s="86">
        <f t="shared" si="110"/>
        <v>45.649000000000001</v>
      </c>
      <c r="H448" s="86">
        <f t="shared" si="110"/>
        <v>81.994</v>
      </c>
      <c r="I448" s="86">
        <f t="shared" si="110"/>
        <v>79.861000000000004</v>
      </c>
      <c r="J448" s="86">
        <f t="shared" si="110"/>
        <v>102.056</v>
      </c>
      <c r="K448" s="86">
        <f t="shared" si="110"/>
        <v>43.846999999999994</v>
      </c>
      <c r="L448" s="86">
        <f t="shared" si="110"/>
        <v>28.335000000000001</v>
      </c>
      <c r="M448" s="86">
        <f t="shared" si="110"/>
        <v>14.818999999999997</v>
      </c>
      <c r="N448" s="86">
        <f t="shared" si="111"/>
        <v>646.12684999999999</v>
      </c>
      <c r="O448" s="27"/>
      <c r="P448" s="87">
        <f t="shared" si="112"/>
        <v>119.38885000000002</v>
      </c>
      <c r="Q448" s="87">
        <f t="shared" si="113"/>
        <v>175.82600000000002</v>
      </c>
      <c r="R448" s="87">
        <f t="shared" si="114"/>
        <v>263.911</v>
      </c>
      <c r="S448" s="87">
        <f t="shared" si="115"/>
        <v>87.000999999999991</v>
      </c>
    </row>
    <row r="449" spans="1:19" ht="16.5" hidden="1">
      <c r="A449" s="85" t="s">
        <v>65</v>
      </c>
      <c r="B449" s="86">
        <f t="shared" si="110"/>
        <v>78.572000000000003</v>
      </c>
      <c r="C449" s="86">
        <f t="shared" si="110"/>
        <v>242.858</v>
      </c>
      <c r="D449" s="86">
        <f t="shared" si="110"/>
        <v>290.45400000000001</v>
      </c>
      <c r="E449" s="86">
        <f t="shared" si="110"/>
        <v>387.41800000000001</v>
      </c>
      <c r="F449" s="86">
        <f t="shared" si="110"/>
        <v>105.47499999999999</v>
      </c>
      <c r="G449" s="86">
        <f t="shared" si="110"/>
        <v>134.953</v>
      </c>
      <c r="H449" s="86">
        <f>H362+H391+H420</f>
        <v>136.09300000000002</v>
      </c>
      <c r="I449" s="86">
        <f t="shared" si="110"/>
        <v>95.792000000000002</v>
      </c>
      <c r="J449" s="86">
        <f t="shared" si="110"/>
        <v>58.722999999999999</v>
      </c>
      <c r="K449" s="86">
        <f t="shared" si="110"/>
        <v>56.319000000000003</v>
      </c>
      <c r="L449" s="86">
        <f t="shared" si="110"/>
        <v>17.198999999999998</v>
      </c>
      <c r="M449" s="86">
        <f t="shared" si="110"/>
        <v>29.346305000000001</v>
      </c>
      <c r="N449" s="86">
        <f t="shared" si="111"/>
        <v>1633.202305</v>
      </c>
      <c r="O449" s="27"/>
      <c r="P449" s="87">
        <f t="shared" si="112"/>
        <v>611.88400000000001</v>
      </c>
      <c r="Q449" s="87">
        <f t="shared" si="113"/>
        <v>627.846</v>
      </c>
      <c r="R449" s="87">
        <f t="shared" si="114"/>
        <v>290.608</v>
      </c>
      <c r="S449" s="87">
        <f t="shared" si="115"/>
        <v>102.864305</v>
      </c>
    </row>
    <row r="450" spans="1:19" ht="16.5" hidden="1">
      <c r="A450" s="85" t="s">
        <v>66</v>
      </c>
      <c r="B450" s="86">
        <f t="shared" si="110"/>
        <v>68.830999999999989</v>
      </c>
      <c r="C450" s="86">
        <f t="shared" si="110"/>
        <v>66.643000000000001</v>
      </c>
      <c r="D450" s="86">
        <f t="shared" si="110"/>
        <v>28.616000000000007</v>
      </c>
      <c r="E450" s="86">
        <f t="shared" si="110"/>
        <v>19.390999999999998</v>
      </c>
      <c r="F450" s="86">
        <f t="shared" si="110"/>
        <v>39.751999999999995</v>
      </c>
      <c r="G450" s="86">
        <f t="shared" si="110"/>
        <v>52.898999999999994</v>
      </c>
      <c r="H450" s="86">
        <f t="shared" si="110"/>
        <v>80.465000000000003</v>
      </c>
      <c r="I450" s="86">
        <f t="shared" si="110"/>
        <v>133.06100000000001</v>
      </c>
      <c r="J450" s="86">
        <f t="shared" si="110"/>
        <v>65.116</v>
      </c>
      <c r="K450" s="86">
        <f t="shared" si="110"/>
        <v>33.951000000000001</v>
      </c>
      <c r="L450" s="86">
        <f t="shared" si="110"/>
        <v>42.467000000000013</v>
      </c>
      <c r="M450" s="86">
        <f t="shared" si="110"/>
        <v>10.836999999999998</v>
      </c>
      <c r="N450" s="86">
        <f t="shared" si="111"/>
        <v>642.029</v>
      </c>
      <c r="O450" s="27"/>
      <c r="P450" s="87">
        <f t="shared" si="112"/>
        <v>164.09</v>
      </c>
      <c r="Q450" s="87">
        <f t="shared" si="113"/>
        <v>112.04199999999999</v>
      </c>
      <c r="R450" s="87">
        <f t="shared" si="114"/>
        <v>278.642</v>
      </c>
      <c r="S450" s="87">
        <f t="shared" si="115"/>
        <v>87.25500000000001</v>
      </c>
    </row>
    <row r="451" spans="1:19" ht="16.5" hidden="1">
      <c r="A451" s="97" t="s">
        <v>67</v>
      </c>
      <c r="B451" s="86">
        <f t="shared" si="110"/>
        <v>36.773000000000003</v>
      </c>
      <c r="C451" s="86">
        <f t="shared" si="110"/>
        <v>53.820999999999998</v>
      </c>
      <c r="D451" s="86">
        <f t="shared" si="110"/>
        <v>107.14200000000001</v>
      </c>
      <c r="E451" s="86">
        <f t="shared" si="110"/>
        <v>150.16900000000001</v>
      </c>
      <c r="F451" s="86">
        <f t="shared" si="110"/>
        <v>54.422000000000004</v>
      </c>
      <c r="G451" s="86">
        <f t="shared" si="110"/>
        <v>46.206000000000003</v>
      </c>
      <c r="H451" s="86">
        <f t="shared" si="110"/>
        <v>202.61099999999999</v>
      </c>
      <c r="I451" s="86">
        <f t="shared" si="110"/>
        <v>130.36000000000001</v>
      </c>
      <c r="J451" s="86">
        <f t="shared" si="110"/>
        <v>83.692999999999998</v>
      </c>
      <c r="K451" s="86">
        <f t="shared" si="110"/>
        <v>18.494</v>
      </c>
      <c r="L451" s="86">
        <f t="shared" si="110"/>
        <v>41.15</v>
      </c>
      <c r="M451" s="86">
        <f t="shared" si="110"/>
        <v>7.157</v>
      </c>
      <c r="N451" s="86">
        <f t="shared" si="111"/>
        <v>931.99800000000005</v>
      </c>
      <c r="O451" s="27"/>
      <c r="P451" s="87">
        <f t="shared" si="112"/>
        <v>197.73599999999999</v>
      </c>
      <c r="Q451" s="87">
        <f t="shared" si="113"/>
        <v>250.79700000000003</v>
      </c>
      <c r="R451" s="87">
        <f t="shared" si="114"/>
        <v>416.66399999999999</v>
      </c>
      <c r="S451" s="87">
        <f t="shared" si="115"/>
        <v>66.801000000000002</v>
      </c>
    </row>
    <row r="452" spans="1:19" ht="16.5" hidden="1">
      <c r="A452" s="85" t="s">
        <v>68</v>
      </c>
      <c r="B452" s="86">
        <f t="shared" si="110"/>
        <v>63.537999999999997</v>
      </c>
      <c r="C452" s="86">
        <f t="shared" si="110"/>
        <v>139.13500000000002</v>
      </c>
      <c r="D452" s="86">
        <f t="shared" si="110"/>
        <v>172.751</v>
      </c>
      <c r="E452" s="86">
        <f t="shared" si="110"/>
        <v>150.31399999999999</v>
      </c>
      <c r="F452" s="86">
        <f t="shared" si="110"/>
        <v>67.834000000000003</v>
      </c>
      <c r="G452" s="86">
        <f t="shared" si="110"/>
        <v>169.89100000000002</v>
      </c>
      <c r="H452" s="86">
        <f t="shared" si="110"/>
        <v>181.74599999999998</v>
      </c>
      <c r="I452" s="86">
        <f t="shared" si="110"/>
        <v>193.35700000000003</v>
      </c>
      <c r="J452" s="86">
        <f t="shared" si="110"/>
        <v>107.782</v>
      </c>
      <c r="K452" s="86">
        <f t="shared" si="110"/>
        <v>32.849000000000004</v>
      </c>
      <c r="L452" s="86">
        <f t="shared" si="110"/>
        <v>7.9240000000000004</v>
      </c>
      <c r="M452" s="86">
        <f t="shared" si="110"/>
        <v>5.0340000000000007</v>
      </c>
      <c r="N452" s="86">
        <f t="shared" si="111"/>
        <v>1292.155</v>
      </c>
      <c r="O452" s="27"/>
      <c r="P452" s="87">
        <f t="shared" si="112"/>
        <v>375.42399999999998</v>
      </c>
      <c r="Q452" s="87">
        <f t="shared" si="113"/>
        <v>388.03899999999999</v>
      </c>
      <c r="R452" s="87">
        <f t="shared" si="114"/>
        <v>482.88499999999999</v>
      </c>
      <c r="S452" s="87">
        <f t="shared" si="115"/>
        <v>45.807000000000002</v>
      </c>
    </row>
    <row r="453" spans="1:19" ht="16.5" hidden="1">
      <c r="A453" s="97" t="s">
        <v>69</v>
      </c>
      <c r="B453" s="86">
        <f t="shared" si="110"/>
        <v>20.768999999999998</v>
      </c>
      <c r="C453" s="86">
        <f t="shared" si="110"/>
        <v>73.947000000000003</v>
      </c>
      <c r="D453" s="86">
        <f t="shared" si="110"/>
        <v>86.855999999999995</v>
      </c>
      <c r="E453" s="86">
        <f t="shared" si="110"/>
        <v>69.456000000000003</v>
      </c>
      <c r="F453" s="86">
        <f t="shared" si="110"/>
        <v>70.47</v>
      </c>
      <c r="G453" s="86">
        <f t="shared" si="110"/>
        <v>65.89800000000001</v>
      </c>
      <c r="H453" s="86">
        <f t="shared" si="110"/>
        <v>53.031999999999996</v>
      </c>
      <c r="I453" s="86">
        <f t="shared" si="110"/>
        <v>59.358000000000011</v>
      </c>
      <c r="J453" s="86">
        <f t="shared" si="110"/>
        <v>56.952999999999996</v>
      </c>
      <c r="K453" s="86">
        <f t="shared" si="110"/>
        <v>46.800999999999995</v>
      </c>
      <c r="L453" s="86">
        <f t="shared" si="110"/>
        <v>4.3489999999999993</v>
      </c>
      <c r="M453" s="86">
        <f t="shared" si="110"/>
        <v>1.554</v>
      </c>
      <c r="N453" s="86">
        <f t="shared" si="111"/>
        <v>609.4430000000001</v>
      </c>
      <c r="O453" s="27"/>
      <c r="P453" s="87">
        <f t="shared" si="112"/>
        <v>181.572</v>
      </c>
      <c r="Q453" s="87">
        <f t="shared" si="113"/>
        <v>205.82400000000001</v>
      </c>
      <c r="R453" s="87">
        <f t="shared" si="114"/>
        <v>169.34300000000002</v>
      </c>
      <c r="S453" s="87">
        <f t="shared" si="115"/>
        <v>52.703999999999994</v>
      </c>
    </row>
    <row r="454" spans="1:19" ht="16.5" hidden="1">
      <c r="A454" s="97" t="s">
        <v>70</v>
      </c>
      <c r="B454" s="86">
        <f t="shared" si="110"/>
        <v>29.010999999999999</v>
      </c>
      <c r="C454" s="86">
        <f t="shared" si="110"/>
        <v>66.148999999999987</v>
      </c>
      <c r="D454" s="86">
        <f t="shared" si="110"/>
        <v>86.605000000000004</v>
      </c>
      <c r="E454" s="86">
        <f t="shared" si="110"/>
        <v>123.54700000000001</v>
      </c>
      <c r="F454" s="86">
        <f t="shared" si="110"/>
        <v>133.721</v>
      </c>
      <c r="G454" s="86">
        <f t="shared" si="110"/>
        <v>195.23000000000002</v>
      </c>
      <c r="H454" s="86">
        <f t="shared" si="110"/>
        <v>193.351</v>
      </c>
      <c r="I454" s="86">
        <f t="shared" si="110"/>
        <v>105.22999999999999</v>
      </c>
      <c r="J454" s="86">
        <f t="shared" si="110"/>
        <v>89.438999999999993</v>
      </c>
      <c r="K454" s="86">
        <f t="shared" si="110"/>
        <v>135.078</v>
      </c>
      <c r="L454" s="86">
        <f>L367+L396+L425</f>
        <v>92.384</v>
      </c>
      <c r="M454" s="86">
        <f t="shared" si="110"/>
        <v>69.346000000000004</v>
      </c>
      <c r="N454" s="86">
        <f t="shared" si="111"/>
        <v>1319.0910000000001</v>
      </c>
      <c r="O454" s="27"/>
      <c r="P454" s="87">
        <f t="shared" si="112"/>
        <v>181.76499999999999</v>
      </c>
      <c r="Q454" s="87">
        <f t="shared" si="113"/>
        <v>452.49800000000005</v>
      </c>
      <c r="R454" s="87">
        <f t="shared" si="114"/>
        <v>388.02</v>
      </c>
      <c r="S454" s="87">
        <f t="shared" si="115"/>
        <v>296.80799999999999</v>
      </c>
    </row>
    <row r="455" spans="1:19" ht="16.5" hidden="1">
      <c r="A455" s="85" t="s">
        <v>71</v>
      </c>
      <c r="B455" s="86">
        <f t="shared" si="110"/>
        <v>139.27800000000002</v>
      </c>
      <c r="C455" s="86">
        <f t="shared" si="110"/>
        <v>193.66200000000003</v>
      </c>
      <c r="D455" s="86">
        <f t="shared" si="110"/>
        <v>94.736000000000018</v>
      </c>
      <c r="E455" s="86">
        <f t="shared" si="110"/>
        <v>63.195999999999998</v>
      </c>
      <c r="F455" s="86">
        <f t="shared" si="110"/>
        <v>35.003999999999998</v>
      </c>
      <c r="G455" s="86">
        <f t="shared" si="110"/>
        <v>48.283000000000001</v>
      </c>
      <c r="H455" s="86">
        <f t="shared" si="110"/>
        <v>120.19499999999999</v>
      </c>
      <c r="I455" s="86">
        <f t="shared" si="110"/>
        <v>128.35599999999999</v>
      </c>
      <c r="J455" s="86">
        <f t="shared" si="110"/>
        <v>105.152</v>
      </c>
      <c r="K455" s="86">
        <f t="shared" si="110"/>
        <v>90.683999999999997</v>
      </c>
      <c r="L455" s="86">
        <f t="shared" si="110"/>
        <v>13.111000000000001</v>
      </c>
      <c r="M455" s="86">
        <f t="shared" si="110"/>
        <v>7.1679999999999993</v>
      </c>
      <c r="N455" s="86">
        <f t="shared" si="111"/>
        <v>1038.825</v>
      </c>
      <c r="O455" s="27"/>
      <c r="P455" s="87">
        <f t="shared" si="112"/>
        <v>427.67600000000004</v>
      </c>
      <c r="Q455" s="87">
        <f t="shared" si="113"/>
        <v>146.483</v>
      </c>
      <c r="R455" s="87">
        <f t="shared" si="114"/>
        <v>353.70299999999997</v>
      </c>
      <c r="S455" s="87">
        <f t="shared" si="115"/>
        <v>110.96299999999999</v>
      </c>
    </row>
    <row r="456" spans="1:19" ht="16.5" hidden="1">
      <c r="A456" s="97" t="s">
        <v>72</v>
      </c>
      <c r="B456" s="86">
        <f t="shared" si="110"/>
        <v>35.527000000000001</v>
      </c>
      <c r="C456" s="86">
        <f t="shared" si="110"/>
        <v>97.52000000000001</v>
      </c>
      <c r="D456" s="86">
        <f t="shared" si="110"/>
        <v>59.442000000000007</v>
      </c>
      <c r="E456" s="86">
        <f t="shared" si="110"/>
        <v>109.52200000000001</v>
      </c>
      <c r="F456" s="86">
        <f t="shared" si="110"/>
        <v>114.965</v>
      </c>
      <c r="G456" s="86">
        <f t="shared" si="110"/>
        <v>88.022999999999996</v>
      </c>
      <c r="H456" s="86">
        <f t="shared" si="110"/>
        <v>127.94499999999999</v>
      </c>
      <c r="I456" s="86">
        <f t="shared" si="110"/>
        <v>123.18200000000002</v>
      </c>
      <c r="J456" s="86">
        <f t="shared" si="110"/>
        <v>97.73599999999999</v>
      </c>
      <c r="K456" s="86">
        <f t="shared" si="110"/>
        <v>104.02600000000001</v>
      </c>
      <c r="L456" s="86">
        <f t="shared" si="110"/>
        <v>10.987</v>
      </c>
      <c r="M456" s="86">
        <f t="shared" si="110"/>
        <v>3.3149999999999999</v>
      </c>
      <c r="N456" s="86">
        <f t="shared" si="111"/>
        <v>972.18999999999994</v>
      </c>
      <c r="O456" s="27"/>
      <c r="P456" s="87">
        <f t="shared" si="112"/>
        <v>192.48900000000003</v>
      </c>
      <c r="Q456" s="87">
        <f t="shared" si="113"/>
        <v>312.51</v>
      </c>
      <c r="R456" s="87">
        <f t="shared" si="114"/>
        <v>348.863</v>
      </c>
      <c r="S456" s="87">
        <f t="shared" si="115"/>
        <v>118.328</v>
      </c>
    </row>
    <row r="457" spans="1:19" ht="16.5" hidden="1">
      <c r="A457" s="85" t="s">
        <v>73</v>
      </c>
      <c r="B457" s="86">
        <f t="shared" ref="B457:M466" si="116">B370+B399+B428</f>
        <v>118.62199999999997</v>
      </c>
      <c r="C457" s="86">
        <f t="shared" si="116"/>
        <v>200.31300000000002</v>
      </c>
      <c r="D457" s="86">
        <f t="shared" si="116"/>
        <v>146.39499999999998</v>
      </c>
      <c r="E457" s="86">
        <f t="shared" si="116"/>
        <v>198.23299999999998</v>
      </c>
      <c r="F457" s="86">
        <f t="shared" si="116"/>
        <v>92.502999999999986</v>
      </c>
      <c r="G457" s="86">
        <f t="shared" si="116"/>
        <v>41.915999999999997</v>
      </c>
      <c r="H457" s="86">
        <f t="shared" si="116"/>
        <v>66.033000000000001</v>
      </c>
      <c r="I457" s="86">
        <f t="shared" si="116"/>
        <v>129.55500000000001</v>
      </c>
      <c r="J457" s="86">
        <f t="shared" si="116"/>
        <v>139.39699999999999</v>
      </c>
      <c r="K457" s="86">
        <f t="shared" si="116"/>
        <v>85.405000000000001</v>
      </c>
      <c r="L457" s="86">
        <f t="shared" si="116"/>
        <v>43.516999999999996</v>
      </c>
      <c r="M457" s="86">
        <f t="shared" si="116"/>
        <v>12.417</v>
      </c>
      <c r="N457" s="86">
        <f t="shared" si="111"/>
        <v>1274.3059999999998</v>
      </c>
      <c r="O457" s="27"/>
      <c r="P457" s="87">
        <f t="shared" si="112"/>
        <v>465.33</v>
      </c>
      <c r="Q457" s="87">
        <f t="shared" si="113"/>
        <v>332.65199999999999</v>
      </c>
      <c r="R457" s="87">
        <f t="shared" si="114"/>
        <v>334.98500000000001</v>
      </c>
      <c r="S457" s="87">
        <f t="shared" si="115"/>
        <v>141.339</v>
      </c>
    </row>
    <row r="458" spans="1:19" ht="16.5" hidden="1">
      <c r="A458" s="85" t="s">
        <v>74</v>
      </c>
      <c r="B458" s="86">
        <f t="shared" si="116"/>
        <v>60.584999999999994</v>
      </c>
      <c r="C458" s="86">
        <f t="shared" si="116"/>
        <v>81.810999999999993</v>
      </c>
      <c r="D458" s="86">
        <f t="shared" si="116"/>
        <v>53.555</v>
      </c>
      <c r="E458" s="86">
        <f t="shared" si="116"/>
        <v>53.997</v>
      </c>
      <c r="F458" s="86">
        <f t="shared" si="116"/>
        <v>50.497</v>
      </c>
      <c r="G458" s="86">
        <f t="shared" si="116"/>
        <v>76.707999999999998</v>
      </c>
      <c r="H458" s="86">
        <f t="shared" si="116"/>
        <v>36.126999999999995</v>
      </c>
      <c r="I458" s="86">
        <f t="shared" si="116"/>
        <v>29.623999999999999</v>
      </c>
      <c r="J458" s="86">
        <f t="shared" si="116"/>
        <v>70.48</v>
      </c>
      <c r="K458" s="86">
        <f t="shared" si="116"/>
        <v>74.983000000000018</v>
      </c>
      <c r="L458" s="86">
        <f t="shared" si="116"/>
        <v>11.385999999999999</v>
      </c>
      <c r="M458" s="86">
        <f t="shared" si="116"/>
        <v>8.3099999999999987</v>
      </c>
      <c r="N458" s="86">
        <f t="shared" si="111"/>
        <v>608.06299999999999</v>
      </c>
      <c r="O458" s="27"/>
      <c r="P458" s="87">
        <f t="shared" si="112"/>
        <v>195.95099999999999</v>
      </c>
      <c r="Q458" s="87">
        <f t="shared" si="113"/>
        <v>181.202</v>
      </c>
      <c r="R458" s="87">
        <f t="shared" si="114"/>
        <v>136.23099999999999</v>
      </c>
      <c r="S458" s="87">
        <f t="shared" si="115"/>
        <v>94.679000000000016</v>
      </c>
    </row>
    <row r="459" spans="1:19" ht="16.5" hidden="1">
      <c r="A459" s="85" t="s">
        <v>75</v>
      </c>
      <c r="B459" s="86">
        <f t="shared" si="116"/>
        <v>134.17599999999999</v>
      </c>
      <c r="C459" s="86">
        <f t="shared" si="116"/>
        <v>251.49799999999999</v>
      </c>
      <c r="D459" s="86">
        <f t="shared" si="116"/>
        <v>116.633</v>
      </c>
      <c r="E459" s="86">
        <f t="shared" si="116"/>
        <v>131.03299999999999</v>
      </c>
      <c r="F459" s="86">
        <f t="shared" si="116"/>
        <v>41.430999999999997</v>
      </c>
      <c r="G459" s="86">
        <f t="shared" si="116"/>
        <v>70.403000000000006</v>
      </c>
      <c r="H459" s="86">
        <f t="shared" si="116"/>
        <v>46.219000000000008</v>
      </c>
      <c r="I459" s="86">
        <f t="shared" si="116"/>
        <v>59.386000000000003</v>
      </c>
      <c r="J459" s="86">
        <f t="shared" si="116"/>
        <v>55.178000000000011</v>
      </c>
      <c r="K459" s="86">
        <f t="shared" si="116"/>
        <v>19.323999999999998</v>
      </c>
      <c r="L459" s="86">
        <f t="shared" si="116"/>
        <v>12.168999999999999</v>
      </c>
      <c r="M459" s="86">
        <f t="shared" si="116"/>
        <v>4.258</v>
      </c>
      <c r="N459" s="86">
        <f t="shared" si="111"/>
        <v>941.70799999999997</v>
      </c>
      <c r="O459" s="27"/>
      <c r="P459" s="87">
        <f t="shared" si="112"/>
        <v>502.30699999999996</v>
      </c>
      <c r="Q459" s="87">
        <f t="shared" si="113"/>
        <v>242.86700000000002</v>
      </c>
      <c r="R459" s="87">
        <f t="shared" si="114"/>
        <v>160.78300000000002</v>
      </c>
      <c r="S459" s="87">
        <f t="shared" si="115"/>
        <v>35.750999999999998</v>
      </c>
    </row>
    <row r="460" spans="1:19" ht="16.5" hidden="1">
      <c r="A460" s="85" t="s">
        <v>76</v>
      </c>
      <c r="B460" s="86">
        <f t="shared" si="116"/>
        <v>106.562</v>
      </c>
      <c r="C460" s="86">
        <f t="shared" si="116"/>
        <v>190.86400000000006</v>
      </c>
      <c r="D460" s="86">
        <f t="shared" si="116"/>
        <v>105.52800000000001</v>
      </c>
      <c r="E460" s="86">
        <f t="shared" si="116"/>
        <v>105.19699999999999</v>
      </c>
      <c r="F460" s="86">
        <f t="shared" si="116"/>
        <v>29.866</v>
      </c>
      <c r="G460" s="86">
        <f t="shared" si="116"/>
        <v>31.877999999999997</v>
      </c>
      <c r="H460" s="86">
        <f t="shared" si="116"/>
        <v>22.795000000000002</v>
      </c>
      <c r="I460" s="86">
        <f t="shared" si="116"/>
        <v>42.117999999999995</v>
      </c>
      <c r="J460" s="86">
        <f t="shared" si="116"/>
        <v>16.343999999999998</v>
      </c>
      <c r="K460" s="86">
        <f t="shared" si="116"/>
        <v>11.78</v>
      </c>
      <c r="L460" s="86">
        <f t="shared" si="116"/>
        <v>6.5210000000000008</v>
      </c>
      <c r="M460" s="86">
        <f t="shared" si="116"/>
        <v>6.0070000000000006</v>
      </c>
      <c r="N460" s="86">
        <f t="shared" si="111"/>
        <v>675.45999999999992</v>
      </c>
      <c r="O460" s="27"/>
      <c r="P460" s="87">
        <f>SUM(B460:D460)</f>
        <v>402.95400000000006</v>
      </c>
      <c r="Q460" s="87">
        <f t="shared" si="113"/>
        <v>166.94099999999997</v>
      </c>
      <c r="R460" s="87">
        <f t="shared" si="114"/>
        <v>81.256999999999991</v>
      </c>
      <c r="S460" s="87">
        <f t="shared" si="115"/>
        <v>24.308000000000003</v>
      </c>
    </row>
    <row r="461" spans="1:19" ht="16.5" hidden="1">
      <c r="A461" s="85" t="s">
        <v>77</v>
      </c>
      <c r="B461" s="86">
        <f t="shared" si="116"/>
        <v>53.811999999999998</v>
      </c>
      <c r="C461" s="86">
        <f t="shared" si="116"/>
        <v>85.055999999999983</v>
      </c>
      <c r="D461" s="86">
        <f t="shared" si="116"/>
        <v>37.071999999999996</v>
      </c>
      <c r="E461" s="86">
        <f t="shared" si="116"/>
        <v>50.692</v>
      </c>
      <c r="F461" s="86">
        <f t="shared" si="116"/>
        <v>32.435000000000002</v>
      </c>
      <c r="G461" s="86">
        <f t="shared" si="116"/>
        <v>71.442999999999998</v>
      </c>
      <c r="H461" s="86">
        <f t="shared" si="116"/>
        <v>61.37</v>
      </c>
      <c r="I461" s="86">
        <f t="shared" si="116"/>
        <v>70.717999999999989</v>
      </c>
      <c r="J461" s="86">
        <f t="shared" si="116"/>
        <v>63.497</v>
      </c>
      <c r="K461" s="86">
        <f t="shared" si="116"/>
        <v>38.540999999999997</v>
      </c>
      <c r="L461" s="86">
        <f t="shared" si="116"/>
        <v>9.7059999999999995</v>
      </c>
      <c r="M461" s="86">
        <f t="shared" si="116"/>
        <v>9.157</v>
      </c>
      <c r="N461" s="86">
        <f t="shared" si="111"/>
        <v>583.49900000000002</v>
      </c>
      <c r="O461" s="27"/>
      <c r="P461" s="87">
        <f t="shared" ref="P461:P466" si="117">SUM(B461:D461)</f>
        <v>175.94</v>
      </c>
      <c r="Q461" s="87">
        <f t="shared" si="113"/>
        <v>154.57</v>
      </c>
      <c r="R461" s="87">
        <f t="shared" si="114"/>
        <v>195.58499999999998</v>
      </c>
      <c r="S461" s="87">
        <f t="shared" si="115"/>
        <v>57.403999999999996</v>
      </c>
    </row>
    <row r="462" spans="1:19" ht="16.5" hidden="1">
      <c r="A462" s="85" t="s">
        <v>78</v>
      </c>
      <c r="B462" s="86">
        <f t="shared" si="116"/>
        <v>88.766000000000005</v>
      </c>
      <c r="C462" s="86">
        <f t="shared" si="116"/>
        <v>88.62</v>
      </c>
      <c r="D462" s="86">
        <f t="shared" si="116"/>
        <v>171.22399999999999</v>
      </c>
      <c r="E462" s="86">
        <f t="shared" si="116"/>
        <v>95.525999999999982</v>
      </c>
      <c r="F462" s="86">
        <f t="shared" si="116"/>
        <v>53.471999999999994</v>
      </c>
      <c r="G462" s="86">
        <f t="shared" si="116"/>
        <v>91.463999999999999</v>
      </c>
      <c r="H462" s="86">
        <f t="shared" si="116"/>
        <v>101.56400000000001</v>
      </c>
      <c r="I462" s="86">
        <f t="shared" si="116"/>
        <v>81.435999999999993</v>
      </c>
      <c r="J462" s="86">
        <f t="shared" si="116"/>
        <v>107.497</v>
      </c>
      <c r="K462" s="86">
        <f t="shared" si="116"/>
        <v>63.33193</v>
      </c>
      <c r="L462" s="86">
        <f t="shared" si="116"/>
        <v>14.741785</v>
      </c>
      <c r="M462" s="86">
        <f t="shared" si="116"/>
        <v>11.168718</v>
      </c>
      <c r="N462" s="86">
        <f t="shared" si="111"/>
        <v>968.81143299999985</v>
      </c>
      <c r="O462" s="27"/>
      <c r="P462" s="87">
        <f t="shared" si="117"/>
        <v>348.61</v>
      </c>
      <c r="Q462" s="87">
        <f t="shared" si="113"/>
        <v>240.46199999999999</v>
      </c>
      <c r="R462" s="87">
        <f t="shared" si="114"/>
        <v>290.49700000000001</v>
      </c>
      <c r="S462" s="87">
        <f t="shared" si="115"/>
        <v>89.242432999999991</v>
      </c>
    </row>
    <row r="463" spans="1:19" ht="16.5" hidden="1">
      <c r="A463" s="85" t="s">
        <v>79</v>
      </c>
      <c r="B463" s="86">
        <f t="shared" si="116"/>
        <v>33.273811000000002</v>
      </c>
      <c r="C463" s="86">
        <f t="shared" si="116"/>
        <v>105.09760300000001</v>
      </c>
      <c r="D463" s="86">
        <f t="shared" si="116"/>
        <v>75.294020000000003</v>
      </c>
      <c r="E463" s="86">
        <f t="shared" si="116"/>
        <v>86.977568000000005</v>
      </c>
      <c r="F463" s="86">
        <f t="shared" si="116"/>
        <v>63.745440000000002</v>
      </c>
      <c r="G463" s="86">
        <f t="shared" si="116"/>
        <v>146.54585900000001</v>
      </c>
      <c r="H463" s="86">
        <f t="shared" si="116"/>
        <v>53.882089999999998</v>
      </c>
      <c r="I463" s="86">
        <f t="shared" si="116"/>
        <v>56.915619</v>
      </c>
      <c r="J463" s="86">
        <f t="shared" si="116"/>
        <v>40.685803</v>
      </c>
      <c r="K463" s="86">
        <f t="shared" si="116"/>
        <v>65.026756000000006</v>
      </c>
      <c r="L463" s="86">
        <f t="shared" si="116"/>
        <v>49.280974000000001</v>
      </c>
      <c r="M463" s="86">
        <f t="shared" si="116"/>
        <v>12.882688999999999</v>
      </c>
      <c r="N463" s="86">
        <f t="shared" si="111"/>
        <v>789.60823200000004</v>
      </c>
      <c r="O463" s="27"/>
      <c r="P463" s="87">
        <f t="shared" si="117"/>
        <v>213.665434</v>
      </c>
      <c r="Q463" s="87">
        <f t="shared" si="113"/>
        <v>297.268867</v>
      </c>
      <c r="R463" s="87">
        <f t="shared" si="114"/>
        <v>151.48351199999999</v>
      </c>
      <c r="S463" s="87">
        <f t="shared" si="115"/>
        <v>127.19041900000001</v>
      </c>
    </row>
    <row r="464" spans="1:19" ht="16.5">
      <c r="A464" s="85" t="s">
        <v>80</v>
      </c>
      <c r="B464" s="86">
        <f>B377+B406+B435</f>
        <v>20.416855999999999</v>
      </c>
      <c r="C464" s="86">
        <f t="shared" si="116"/>
        <v>50.792327</v>
      </c>
      <c r="D464" s="86">
        <f t="shared" si="116"/>
        <v>62.016283999999999</v>
      </c>
      <c r="E464" s="86">
        <f t="shared" si="116"/>
        <v>40.581713999999998</v>
      </c>
      <c r="F464" s="86">
        <f t="shared" si="116"/>
        <v>71.296998000000002</v>
      </c>
      <c r="G464" s="86">
        <f t="shared" si="116"/>
        <v>99.864563000000004</v>
      </c>
      <c r="H464" s="86">
        <f t="shared" si="116"/>
        <v>131.06735</v>
      </c>
      <c r="I464" s="86">
        <f t="shared" si="116"/>
        <v>148.048969</v>
      </c>
      <c r="J464" s="86">
        <f t="shared" si="116"/>
        <v>141.05199999999999</v>
      </c>
      <c r="K464" s="86">
        <f t="shared" si="116"/>
        <v>131.10553300000001</v>
      </c>
      <c r="L464" s="86">
        <f t="shared" si="116"/>
        <v>15066.98729400001</v>
      </c>
      <c r="M464" s="86">
        <f t="shared" si="116"/>
        <v>24667.039581000005</v>
      </c>
      <c r="N464" s="86">
        <f t="shared" si="111"/>
        <v>40630.269469000013</v>
      </c>
      <c r="O464" s="27"/>
      <c r="P464" s="87">
        <f t="shared" si="117"/>
        <v>133.22546699999998</v>
      </c>
      <c r="Q464" s="87">
        <f t="shared" si="113"/>
        <v>211.74327500000001</v>
      </c>
      <c r="R464" s="87">
        <f t="shared" si="114"/>
        <v>420.168319</v>
      </c>
      <c r="S464" s="87">
        <f t="shared" si="115"/>
        <v>39865.132408000012</v>
      </c>
    </row>
    <row r="465" spans="1:19" ht="16.5">
      <c r="A465" s="85" t="s">
        <v>81</v>
      </c>
      <c r="B465" s="86">
        <f>B378+B407+B436</f>
        <v>118512.14003200001</v>
      </c>
      <c r="C465" s="86">
        <f t="shared" si="116"/>
        <v>44133.089465999998</v>
      </c>
      <c r="D465" s="86">
        <f t="shared" si="116"/>
        <v>42749.969332000001</v>
      </c>
      <c r="E465" s="86">
        <f t="shared" si="116"/>
        <v>28526.678920000017</v>
      </c>
      <c r="F465" s="86">
        <f t="shared" si="116"/>
        <v>33610.730641000002</v>
      </c>
      <c r="G465" s="86">
        <f t="shared" si="116"/>
        <v>32619.58718699999</v>
      </c>
      <c r="H465" s="86">
        <f t="shared" si="116"/>
        <v>37296.145893999994</v>
      </c>
      <c r="I465" s="86">
        <f t="shared" si="116"/>
        <v>55379.187670999978</v>
      </c>
      <c r="J465" s="86">
        <f t="shared" si="116"/>
        <v>64807.623119999982</v>
      </c>
      <c r="K465" s="86">
        <f t="shared" si="116"/>
        <v>65270.337371999965</v>
      </c>
      <c r="L465" s="86">
        <f t="shared" si="116"/>
        <v>20569.124780999984</v>
      </c>
      <c r="M465" s="86">
        <f t="shared" si="116"/>
        <v>16050.569760000002</v>
      </c>
      <c r="N465" s="86">
        <f t="shared" si="111"/>
        <v>559525.18417599995</v>
      </c>
      <c r="O465" s="27"/>
      <c r="P465" s="87">
        <f t="shared" si="117"/>
        <v>205395.19883000001</v>
      </c>
      <c r="Q465" s="87">
        <f t="shared" si="113"/>
        <v>94756.996748000005</v>
      </c>
      <c r="R465" s="87">
        <f t="shared" si="114"/>
        <v>157482.95668499995</v>
      </c>
      <c r="S465" s="87">
        <f t="shared" si="115"/>
        <v>101890.03191299994</v>
      </c>
    </row>
    <row r="466" spans="1:19" ht="17.25" thickBot="1">
      <c r="A466" s="88" t="s">
        <v>82</v>
      </c>
      <c r="B466" s="89">
        <f>B379+B408+B437</f>
        <v>87993.921480000005</v>
      </c>
      <c r="C466" s="89">
        <f t="shared" si="116"/>
        <v>42161.025861999988</v>
      </c>
      <c r="D466" s="89">
        <f t="shared" si="116"/>
        <v>40125.613442999995</v>
      </c>
      <c r="E466" s="89">
        <f t="shared" si="116"/>
        <v>63065.008155999989</v>
      </c>
      <c r="F466" s="89">
        <f t="shared" si="116"/>
        <v>86675.262000000002</v>
      </c>
      <c r="G466" s="89">
        <f t="shared" si="116"/>
        <v>80356.344999999958</v>
      </c>
      <c r="H466" s="89">
        <f t="shared" si="116"/>
        <v>99651.293999999994</v>
      </c>
      <c r="I466" s="89">
        <f t="shared" si="116"/>
        <v>65.762406000000013</v>
      </c>
      <c r="J466" s="90">
        <f>J379+J408+J437</f>
        <v>56.051573999999974</v>
      </c>
      <c r="K466" s="90">
        <f t="shared" si="116"/>
        <v>36.684141000000011</v>
      </c>
      <c r="L466" s="90">
        <f t="shared" si="116"/>
        <v>24.307051000000008</v>
      </c>
      <c r="M466" s="90">
        <f t="shared" si="116"/>
        <v>18.022816000000002</v>
      </c>
      <c r="N466" s="90">
        <f t="shared" si="111"/>
        <v>500229.29792899988</v>
      </c>
      <c r="O466" s="91"/>
      <c r="P466" s="92">
        <f t="shared" si="117"/>
        <v>170280.56078499998</v>
      </c>
      <c r="Q466" s="92">
        <f t="shared" si="113"/>
        <v>230096.61515599996</v>
      </c>
      <c r="R466" s="93">
        <f t="shared" si="114"/>
        <v>99773.107979999986</v>
      </c>
      <c r="S466" s="93">
        <f t="shared" si="115"/>
        <v>79.014008000000018</v>
      </c>
    </row>
    <row r="467" spans="1:19">
      <c r="A467" s="98" t="s">
        <v>99</v>
      </c>
    </row>
    <row r="468" spans="1:19">
      <c r="A468" s="98" t="s">
        <v>100</v>
      </c>
    </row>
  </sheetData>
  <pageMargins left="0.25" right="0.25" top="0.75" bottom="0.75" header="0.3" footer="0.3"/>
  <pageSetup scale="60" orientation="portrait" r:id="rId1"/>
  <headerFooter>
    <oddHeader>&amp;L&amp;G&amp;C&amp;"Arial,Bold"&amp;20
MAJOR SUNFLOWER EXPORTING COUNTRIES SHIPMENTS</oddHeader>
    <oddFooter>&amp;L&amp;D&amp;C&amp;P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9DDD-A7A2-46A8-AB0A-809750EFBFC4}">
  <sheetPr>
    <pageSetUpPr fitToPage="1"/>
  </sheetPr>
  <dimension ref="A1:W467"/>
  <sheetViews>
    <sheetView zoomScale="75" zoomScaleNormal="85" workbookViewId="0">
      <pane xSplit="1" ySplit="2" topLeftCell="B118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1" max="11" width="8.85546875" customWidth="1"/>
    <col min="14" max="14" width="8.42578125" customWidth="1"/>
  </cols>
  <sheetData>
    <row r="1" spans="1:19" ht="15.75">
      <c r="A1" s="99" t="s">
        <v>101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100" t="s">
        <v>102</v>
      </c>
      <c r="Q1" s="101"/>
      <c r="R1" s="101"/>
      <c r="S1" s="101"/>
    </row>
    <row r="2" spans="1:19" ht="15.75" thickBot="1">
      <c r="A2" s="78"/>
      <c r="B2" s="79" t="s">
        <v>39</v>
      </c>
      <c r="C2" s="79" t="s">
        <v>40</v>
      </c>
      <c r="D2" s="79" t="s">
        <v>41</v>
      </c>
      <c r="E2" s="79" t="s">
        <v>42</v>
      </c>
      <c r="F2" s="79" t="s">
        <v>43</v>
      </c>
      <c r="G2" s="79" t="s">
        <v>44</v>
      </c>
      <c r="H2" s="79" t="s">
        <v>45</v>
      </c>
      <c r="I2" s="79" t="s">
        <v>46</v>
      </c>
      <c r="J2" s="79" t="s">
        <v>47</v>
      </c>
      <c r="K2" s="79" t="s">
        <v>48</v>
      </c>
      <c r="L2" s="79" t="s">
        <v>49</v>
      </c>
      <c r="M2" s="79" t="s">
        <v>38</v>
      </c>
      <c r="N2" s="79" t="s">
        <v>50</v>
      </c>
      <c r="O2" s="79"/>
      <c r="P2" s="79" t="s">
        <v>103</v>
      </c>
      <c r="Q2" s="79" t="s">
        <v>104</v>
      </c>
      <c r="R2" s="79" t="s">
        <v>105</v>
      </c>
      <c r="S2" s="79" t="s">
        <v>106</v>
      </c>
    </row>
    <row r="3" spans="1:19" ht="16.5">
      <c r="A3" s="102" t="s">
        <v>107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ht="16.5" hidden="1">
      <c r="A4" s="8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27"/>
      <c r="P4" s="82"/>
      <c r="Q4" s="82"/>
      <c r="R4" s="82"/>
      <c r="S4" s="82"/>
    </row>
    <row r="5" spans="1:19" ht="16.5" hidden="1">
      <c r="A5" s="81" t="s">
        <v>56</v>
      </c>
      <c r="B5" s="82">
        <f>'[2]EU Sun Oil Exports'!AR$88</f>
        <v>0</v>
      </c>
      <c r="C5" s="82">
        <f>'[2]EU Sun Oil Exports'!AS$88</f>
        <v>0</v>
      </c>
      <c r="D5" s="82">
        <f>'[2]EU Sun Oil Exports'!AT$88</f>
        <v>0</v>
      </c>
      <c r="E5" s="82">
        <f>'[2]EU Sun Oil Exports'!AU$88</f>
        <v>0</v>
      </c>
      <c r="F5" s="82">
        <f>'[2]EU Sun Oil Exports'!AV$88</f>
        <v>0</v>
      </c>
      <c r="G5" s="82">
        <f>'[2]EU Sun Oil Exports'!AW$88</f>
        <v>0</v>
      </c>
      <c r="H5" s="82">
        <f>'[2]EU Sun Oil Exports'!AX$88</f>
        <v>0</v>
      </c>
      <c r="I5" s="82">
        <f>'[2]EU Sun Oil Exports'!AY$88</f>
        <v>0</v>
      </c>
      <c r="J5" s="82">
        <f>'[2]EU Sun Oil Exports'!AZ$88</f>
        <v>0</v>
      </c>
      <c r="K5" s="82">
        <f>'[2]EU Sun Oil Exports'!BA$88</f>
        <v>0</v>
      </c>
      <c r="L5" s="82">
        <f>'[2]EU Sun Oil Exports'!BB$88</f>
        <v>0</v>
      </c>
      <c r="M5" s="82">
        <f>'[2]EU Sun Oil Exports'!BC$88</f>
        <v>0</v>
      </c>
      <c r="N5" s="82">
        <f t="shared" ref="N5:N29" si="0">SUM(B5:M5)</f>
        <v>0</v>
      </c>
      <c r="O5" s="82"/>
      <c r="P5" s="82">
        <f>D5+B5+C5</f>
        <v>0</v>
      </c>
      <c r="Q5" s="82">
        <f>SUM(E5:G5)</f>
        <v>0</v>
      </c>
      <c r="R5" s="82">
        <f>SUM(H5:J5)</f>
        <v>0</v>
      </c>
      <c r="S5" s="82">
        <f>SUM(K5:M5)</f>
        <v>0</v>
      </c>
    </row>
    <row r="6" spans="1:19" ht="16.5" hidden="1">
      <c r="A6" s="81" t="s">
        <v>57</v>
      </c>
      <c r="B6" s="82">
        <f>'[2]EU Sun Oil Exports'!BD$88</f>
        <v>0</v>
      </c>
      <c r="C6" s="82">
        <f>'[2]EU Sun Oil Exports'!BE$88</f>
        <v>0</v>
      </c>
      <c r="D6" s="82">
        <f>'[2]EU Sun Oil Exports'!BF$88</f>
        <v>0</v>
      </c>
      <c r="E6" s="82">
        <f>'[2]EU Sun Oil Exports'!BG$88</f>
        <v>0</v>
      </c>
      <c r="F6" s="82">
        <f>'[2]EU Sun Oil Exports'!BH$88</f>
        <v>0</v>
      </c>
      <c r="G6" s="82">
        <f>'[2]EU Sun Oil Exports'!BI$88</f>
        <v>0</v>
      </c>
      <c r="H6" s="82">
        <f>'[2]EU Sun Oil Exports'!BJ$88</f>
        <v>0</v>
      </c>
      <c r="I6" s="82">
        <f>'[2]EU Sun Oil Exports'!BK$88</f>
        <v>0</v>
      </c>
      <c r="J6" s="82">
        <f>'[2]EU Sun Oil Exports'!BL$88</f>
        <v>0</v>
      </c>
      <c r="K6" s="82">
        <f>'[2]EU Sun Oil Exports'!BM$88</f>
        <v>0</v>
      </c>
      <c r="L6" s="82">
        <f>'[2]EU Sun Oil Exports'!BN$88</f>
        <v>0</v>
      </c>
      <c r="M6" s="82">
        <f>'[2]EU Sun Oil Exports'!BO$88</f>
        <v>0</v>
      </c>
      <c r="N6" s="82">
        <f t="shared" si="0"/>
        <v>0</v>
      </c>
      <c r="O6" s="27"/>
      <c r="P6" s="82">
        <f t="shared" ref="P6:P31" si="1">D6+B6+C6</f>
        <v>0</v>
      </c>
      <c r="Q6" s="82">
        <f t="shared" ref="Q6:Q31" si="2">SUM(E6:G6)</f>
        <v>0</v>
      </c>
      <c r="R6" s="82">
        <f t="shared" ref="R6:R31" si="3">SUM(H6:J6)</f>
        <v>0</v>
      </c>
      <c r="S6" s="82">
        <f t="shared" ref="S6:S31" si="4">SUM(K6:M6)</f>
        <v>0</v>
      </c>
    </row>
    <row r="7" spans="1:19" ht="16.5" hidden="1">
      <c r="A7" s="81" t="s">
        <v>58</v>
      </c>
      <c r="B7" s="82">
        <f>'[2]EU Sun Oil Exports'!BP$88</f>
        <v>0</v>
      </c>
      <c r="C7" s="82">
        <f>'[2]EU Sun Oil Exports'!BQ$88</f>
        <v>0</v>
      </c>
      <c r="D7" s="82">
        <f>'[2]EU Sun Oil Exports'!BR$88</f>
        <v>0</v>
      </c>
      <c r="E7" s="82">
        <f>'[2]EU Sun Oil Exports'!BS$88</f>
        <v>1.5049999999999999</v>
      </c>
      <c r="F7" s="82">
        <f>'[2]EU Sun Oil Exports'!BT$88</f>
        <v>0.85299999999999998</v>
      </c>
      <c r="G7" s="82">
        <f>'[2]EU Sun Oil Exports'!BU$88</f>
        <v>0</v>
      </c>
      <c r="H7" s="82">
        <f>'[2]EU Sun Oil Exports'!BV$88</f>
        <v>0</v>
      </c>
      <c r="I7" s="82">
        <f>'[2]EU Sun Oil Exports'!BW$88</f>
        <v>0</v>
      </c>
      <c r="J7" s="82">
        <f>'[2]EU Sun Oil Exports'!BX$88</f>
        <v>0</v>
      </c>
      <c r="K7" s="82">
        <f>'[2]EU Sun Oil Exports'!BY$88</f>
        <v>0</v>
      </c>
      <c r="L7" s="82">
        <f>'[2]EU Sun Oil Exports'!BZ$88</f>
        <v>0</v>
      </c>
      <c r="M7" s="82">
        <f>'[2]EU Sun Oil Exports'!CA$88</f>
        <v>0</v>
      </c>
      <c r="N7" s="82">
        <f t="shared" si="0"/>
        <v>2.3579999999999997</v>
      </c>
      <c r="O7" s="27"/>
      <c r="P7" s="82">
        <f t="shared" si="1"/>
        <v>0</v>
      </c>
      <c r="Q7" s="82">
        <f t="shared" si="2"/>
        <v>2.3579999999999997</v>
      </c>
      <c r="R7" s="82">
        <f t="shared" si="3"/>
        <v>0</v>
      </c>
      <c r="S7" s="82">
        <f t="shared" si="4"/>
        <v>0</v>
      </c>
    </row>
    <row r="8" spans="1:19" ht="16.5" hidden="1">
      <c r="A8" s="81" t="s">
        <v>59</v>
      </c>
      <c r="B8" s="82">
        <f>'[2]EU Sun Oil Exports'!CB$88</f>
        <v>0</v>
      </c>
      <c r="C8" s="82">
        <f>'[2]EU Sun Oil Exports'!CC$88</f>
        <v>1.9E-2</v>
      </c>
      <c r="D8" s="82">
        <f>'[2]EU Sun Oil Exports'!CD$88</f>
        <v>0</v>
      </c>
      <c r="E8" s="82">
        <f>'[2]EU Sun Oil Exports'!CE$88</f>
        <v>0</v>
      </c>
      <c r="F8" s="82">
        <f>'[2]EU Sun Oil Exports'!CF$88</f>
        <v>0</v>
      </c>
      <c r="G8" s="82">
        <f>'[2]EU Sun Oil Exports'!CG$88</f>
        <v>0</v>
      </c>
      <c r="H8" s="82">
        <f>'[2]EU Sun Oil Exports'!CH$88</f>
        <v>0</v>
      </c>
      <c r="I8" s="82">
        <f>'[2]EU Sun Oil Exports'!CI$88</f>
        <v>0</v>
      </c>
      <c r="J8" s="82">
        <f>'[2]EU Sun Oil Exports'!CJ$88</f>
        <v>0</v>
      </c>
      <c r="K8" s="82">
        <f>'[2]EU Sun Oil Exports'!CK$88</f>
        <v>0</v>
      </c>
      <c r="L8" s="82">
        <f>'[2]EU Sun Oil Exports'!CL$88</f>
        <v>0</v>
      </c>
      <c r="M8" s="82">
        <f>'[2]EU Sun Oil Exports'!CM$88</f>
        <v>0</v>
      </c>
      <c r="N8" s="82">
        <f t="shared" si="0"/>
        <v>1.9E-2</v>
      </c>
      <c r="O8" s="27"/>
      <c r="P8" s="82">
        <f t="shared" si="1"/>
        <v>1.9E-2</v>
      </c>
      <c r="Q8" s="82">
        <f t="shared" si="2"/>
        <v>0</v>
      </c>
      <c r="R8" s="82">
        <f t="shared" si="3"/>
        <v>0</v>
      </c>
      <c r="S8" s="82">
        <f t="shared" si="4"/>
        <v>0</v>
      </c>
    </row>
    <row r="9" spans="1:19" ht="16.5" hidden="1">
      <c r="A9" s="81" t="s">
        <v>60</v>
      </c>
      <c r="B9" s="82">
        <f>'[2]EU Sun Oil Exports'!CN$88</f>
        <v>0</v>
      </c>
      <c r="C9" s="82">
        <f>'[2]EU Sun Oil Exports'!CO$88</f>
        <v>0</v>
      </c>
      <c r="D9" s="82">
        <f>'[2]EU Sun Oil Exports'!CP$88</f>
        <v>0</v>
      </c>
      <c r="E9" s="82">
        <f>'[2]EU Sun Oil Exports'!CQ$88</f>
        <v>0</v>
      </c>
      <c r="F9" s="82">
        <f>'[2]EU Sun Oil Exports'!CR$88</f>
        <v>0</v>
      </c>
      <c r="G9" s="82">
        <f>'[2]EU Sun Oil Exports'!CS$88</f>
        <v>0</v>
      </c>
      <c r="H9" s="82">
        <f>'[2]EU Sun Oil Exports'!CT$88</f>
        <v>0</v>
      </c>
      <c r="I9" s="82">
        <f>'[2]EU Sun Oil Exports'!CU$88</f>
        <v>0</v>
      </c>
      <c r="J9" s="82">
        <f>'[2]EU Sun Oil Exports'!CV$88</f>
        <v>0</v>
      </c>
      <c r="K9" s="82">
        <f>'[2]EU Sun Oil Exports'!CW$88</f>
        <v>0</v>
      </c>
      <c r="L9" s="82">
        <f>'[2]EU Sun Oil Exports'!CX$88</f>
        <v>0</v>
      </c>
      <c r="M9" s="82">
        <f>'[2]EU Sun Oil Exports'!CY$88</f>
        <v>0</v>
      </c>
      <c r="N9" s="82">
        <f t="shared" si="0"/>
        <v>0</v>
      </c>
      <c r="O9" s="27"/>
      <c r="P9" s="82">
        <f t="shared" si="1"/>
        <v>0</v>
      </c>
      <c r="Q9" s="82">
        <f t="shared" si="2"/>
        <v>0</v>
      </c>
      <c r="R9" s="82">
        <f t="shared" si="3"/>
        <v>0</v>
      </c>
      <c r="S9" s="82">
        <f t="shared" si="4"/>
        <v>0</v>
      </c>
    </row>
    <row r="10" spans="1:19" ht="16.5" hidden="1">
      <c r="A10" s="81" t="s">
        <v>61</v>
      </c>
      <c r="B10" s="82">
        <f>'[2]EU Sun Oil Exports'!CZ$88</f>
        <v>0</v>
      </c>
      <c r="C10" s="82">
        <f>'[2]EU Sun Oil Exports'!DA$88</f>
        <v>0</v>
      </c>
      <c r="D10" s="82">
        <f>'[2]EU Sun Oil Exports'!DB$88</f>
        <v>0</v>
      </c>
      <c r="E10" s="82">
        <f>'[2]EU Sun Oil Exports'!DC$88</f>
        <v>0</v>
      </c>
      <c r="F10" s="82">
        <f>'[2]EU Sun Oil Exports'!DD$88</f>
        <v>4.0000000000000001E-3</v>
      </c>
      <c r="G10" s="82">
        <f>'[2]EU Sun Oil Exports'!DE$88</f>
        <v>0</v>
      </c>
      <c r="H10" s="82">
        <f>'[2]EU Sun Oil Exports'!DF$88</f>
        <v>0</v>
      </c>
      <c r="I10" s="82">
        <f>'[2]EU Sun Oil Exports'!DG$88</f>
        <v>0</v>
      </c>
      <c r="J10" s="82">
        <f>'[2]EU Sun Oil Exports'!DH$88</f>
        <v>0</v>
      </c>
      <c r="K10" s="82">
        <f>'[2]EU Sun Oil Exports'!DI$88</f>
        <v>0</v>
      </c>
      <c r="L10" s="82">
        <f>'[2]EU Sun Oil Exports'!DJ$88</f>
        <v>0</v>
      </c>
      <c r="M10" s="82">
        <f>'[2]EU Sun Oil Exports'!DK$88</f>
        <v>0</v>
      </c>
      <c r="N10" s="82">
        <f t="shared" si="0"/>
        <v>4.0000000000000001E-3</v>
      </c>
      <c r="O10" s="27"/>
      <c r="P10" s="82">
        <f t="shared" si="1"/>
        <v>0</v>
      </c>
      <c r="Q10" s="82">
        <f t="shared" si="2"/>
        <v>4.0000000000000001E-3</v>
      </c>
      <c r="R10" s="82">
        <f t="shared" si="3"/>
        <v>0</v>
      </c>
      <c r="S10" s="82">
        <f t="shared" si="4"/>
        <v>0</v>
      </c>
    </row>
    <row r="11" spans="1:19" ht="16.5" hidden="1">
      <c r="A11" s="81" t="s">
        <v>62</v>
      </c>
      <c r="B11" s="82">
        <f>'[2]EU Sun Oil Exports'!DL$88</f>
        <v>0</v>
      </c>
      <c r="C11" s="82">
        <f>'[2]EU Sun Oil Exports'!DM$88</f>
        <v>0</v>
      </c>
      <c r="D11" s="82">
        <f>'[2]EU Sun Oil Exports'!DN$88</f>
        <v>0</v>
      </c>
      <c r="E11" s="82">
        <f>'[2]EU Sun Oil Exports'!DO$88</f>
        <v>0</v>
      </c>
      <c r="F11" s="82">
        <f>'[2]EU Sun Oil Exports'!DP$88</f>
        <v>0</v>
      </c>
      <c r="G11" s="82">
        <f>'[2]EU Sun Oil Exports'!DQ$88</f>
        <v>0</v>
      </c>
      <c r="H11" s="82">
        <f>'[2]EU Sun Oil Exports'!DR$88</f>
        <v>0</v>
      </c>
      <c r="I11" s="82">
        <f>'[2]EU Sun Oil Exports'!DS$88</f>
        <v>0</v>
      </c>
      <c r="J11" s="82">
        <f>'[2]EU Sun Oil Exports'!DT$88</f>
        <v>0</v>
      </c>
      <c r="K11" s="82">
        <f>'[2]EU Sun Oil Exports'!DU$88</f>
        <v>0</v>
      </c>
      <c r="L11" s="82">
        <f>'[2]EU Sun Oil Exports'!DV$88</f>
        <v>0</v>
      </c>
      <c r="M11" s="82">
        <f>'[2]EU Sun Oil Exports'!DW$88</f>
        <v>0</v>
      </c>
      <c r="N11" s="82">
        <f t="shared" si="0"/>
        <v>0</v>
      </c>
      <c r="O11" s="27"/>
      <c r="P11" s="82">
        <f t="shared" si="1"/>
        <v>0</v>
      </c>
      <c r="Q11" s="82">
        <f t="shared" si="2"/>
        <v>0</v>
      </c>
      <c r="R11" s="82">
        <f t="shared" si="3"/>
        <v>0</v>
      </c>
      <c r="S11" s="82">
        <f t="shared" si="4"/>
        <v>0</v>
      </c>
    </row>
    <row r="12" spans="1:19" ht="16.5" hidden="1">
      <c r="A12" s="81" t="s">
        <v>63</v>
      </c>
      <c r="B12" s="82">
        <f>'[2]EU Sun Oil Exports'!DX$88</f>
        <v>0</v>
      </c>
      <c r="C12" s="82">
        <f>'[2]EU Sun Oil Exports'!DY$88</f>
        <v>1E-3</v>
      </c>
      <c r="D12" s="82">
        <f>'[2]EU Sun Oil Exports'!DZ$88</f>
        <v>0</v>
      </c>
      <c r="E12" s="82">
        <f>'[2]EU Sun Oil Exports'!EA$88</f>
        <v>0</v>
      </c>
      <c r="F12" s="82">
        <f>'[2]EU Sun Oil Exports'!EB$88</f>
        <v>0</v>
      </c>
      <c r="G12" s="82">
        <f>'[2]EU Sun Oil Exports'!EC$88</f>
        <v>0</v>
      </c>
      <c r="H12" s="82">
        <f>'[2]EU Sun Oil Exports'!ED$88</f>
        <v>0</v>
      </c>
      <c r="I12" s="82">
        <f>'[2]EU Sun Oil Exports'!EE$88</f>
        <v>0</v>
      </c>
      <c r="J12" s="82">
        <f>'[2]EU Sun Oil Exports'!EF$88</f>
        <v>0</v>
      </c>
      <c r="K12" s="82">
        <f>'[2]EU Sun Oil Exports'!EG$88</f>
        <v>0</v>
      </c>
      <c r="L12" s="82">
        <f>'[2]EU Sun Oil Exports'!EH$88</f>
        <v>0</v>
      </c>
      <c r="M12" s="82">
        <f>'[2]EU Sun Oil Exports'!EI$88</f>
        <v>0</v>
      </c>
      <c r="N12" s="82">
        <f t="shared" si="0"/>
        <v>1E-3</v>
      </c>
      <c r="O12" s="27"/>
      <c r="P12" s="82">
        <f t="shared" si="1"/>
        <v>1E-3</v>
      </c>
      <c r="Q12" s="82">
        <f t="shared" si="2"/>
        <v>0</v>
      </c>
      <c r="R12" s="82">
        <f t="shared" si="3"/>
        <v>0</v>
      </c>
      <c r="S12" s="82">
        <f t="shared" si="4"/>
        <v>0</v>
      </c>
    </row>
    <row r="13" spans="1:19" ht="16.5" hidden="1">
      <c r="A13" s="81" t="s">
        <v>64</v>
      </c>
      <c r="B13" s="82">
        <f>'[2]EU Sun Oil Exports'!EJ$88</f>
        <v>0</v>
      </c>
      <c r="C13" s="82">
        <f>'[2]EU Sun Oil Exports'!EK$88</f>
        <v>2E-3</v>
      </c>
      <c r="D13" s="82">
        <f>'[2]EU Sun Oil Exports'!EL$88</f>
        <v>0</v>
      </c>
      <c r="E13" s="82">
        <f>'[2]EU Sun Oil Exports'!EM$88</f>
        <v>0</v>
      </c>
      <c r="F13" s="82">
        <f>'[2]EU Sun Oil Exports'!EN$88</f>
        <v>1E-3</v>
      </c>
      <c r="G13" s="82">
        <f>'[2]EU Sun Oil Exports'!EO$88</f>
        <v>0</v>
      </c>
      <c r="H13" s="82">
        <f>'[2]EU Sun Oil Exports'!EP$88</f>
        <v>1E-3</v>
      </c>
      <c r="I13" s="82">
        <f>'[2]EU Sun Oil Exports'!EQ$88</f>
        <v>1E-3</v>
      </c>
      <c r="J13" s="82">
        <f>'[2]EU Sun Oil Exports'!ER$88</f>
        <v>0</v>
      </c>
      <c r="K13" s="82">
        <f>'[2]EU Sun Oil Exports'!ES$88</f>
        <v>0</v>
      </c>
      <c r="L13" s="82">
        <f>'[2]EU Sun Oil Exports'!ET$88</f>
        <v>3.0000000000000001E-3</v>
      </c>
      <c r="M13" s="82">
        <f>'[2]EU Sun Oil Exports'!EU$88</f>
        <v>4.0000000000000001E-3</v>
      </c>
      <c r="N13" s="82">
        <f t="shared" si="0"/>
        <v>1.2E-2</v>
      </c>
      <c r="O13" s="27"/>
      <c r="P13" s="82">
        <f t="shared" si="1"/>
        <v>2E-3</v>
      </c>
      <c r="Q13" s="82">
        <f t="shared" si="2"/>
        <v>1E-3</v>
      </c>
      <c r="R13" s="82">
        <f t="shared" si="3"/>
        <v>2E-3</v>
      </c>
      <c r="S13" s="82">
        <f t="shared" si="4"/>
        <v>7.0000000000000001E-3</v>
      </c>
    </row>
    <row r="14" spans="1:19" ht="16.5" hidden="1">
      <c r="A14" s="83" t="s">
        <v>65</v>
      </c>
      <c r="B14" s="82">
        <f>'[2]EU Sun Oil Exports'!EV$88</f>
        <v>6.3E-2</v>
      </c>
      <c r="C14" s="82">
        <f>'[2]EU Sun Oil Exports'!EW$88</f>
        <v>0</v>
      </c>
      <c r="D14" s="82">
        <f>'[2]EU Sun Oil Exports'!EX$88</f>
        <v>0</v>
      </c>
      <c r="E14" s="82">
        <f>'[2]EU Sun Oil Exports'!EY$88</f>
        <v>0</v>
      </c>
      <c r="F14" s="82">
        <f>'[2]EU Sun Oil Exports'!EZ$88</f>
        <v>0</v>
      </c>
      <c r="G14" s="82">
        <f>'[2]EU Sun Oil Exports'!FA$88</f>
        <v>5.0000000000000001E-3</v>
      </c>
      <c r="H14" s="82">
        <f>'[2]EU Sun Oil Exports'!FB$88</f>
        <v>0</v>
      </c>
      <c r="I14" s="82">
        <f>'[2]EU Sun Oil Exports'!FC$88</f>
        <v>6.0000000000000001E-3</v>
      </c>
      <c r="J14" s="82">
        <f>'[2]EU Sun Oil Exports'!FD$88</f>
        <v>2E-3</v>
      </c>
      <c r="K14" s="82">
        <f>'[2]EU Sun Oil Exports'!FE$88</f>
        <v>8.0000000000000002E-3</v>
      </c>
      <c r="L14" s="82">
        <f>'[2]EU Sun Oil Exports'!FF$88</f>
        <v>0</v>
      </c>
      <c r="M14" s="82">
        <f>'[2]EU Sun Oil Exports'!FG$88</f>
        <v>0</v>
      </c>
      <c r="N14" s="82">
        <f t="shared" si="0"/>
        <v>8.4000000000000019E-2</v>
      </c>
      <c r="O14" s="27"/>
      <c r="P14" s="82">
        <f t="shared" si="1"/>
        <v>6.3E-2</v>
      </c>
      <c r="Q14" s="82">
        <f t="shared" si="2"/>
        <v>5.0000000000000001E-3</v>
      </c>
      <c r="R14" s="82">
        <f t="shared" si="3"/>
        <v>8.0000000000000002E-3</v>
      </c>
      <c r="S14" s="82">
        <f t="shared" si="4"/>
        <v>8.0000000000000002E-3</v>
      </c>
    </row>
    <row r="15" spans="1:19" ht="16.5" hidden="1">
      <c r="A15" s="83" t="s">
        <v>66</v>
      </c>
      <c r="B15" s="82">
        <f>'[2]EU Sun Oil Exports'!FH$88</f>
        <v>0</v>
      </c>
      <c r="C15" s="82">
        <f>'[2]EU Sun Oil Exports'!FI$88</f>
        <v>0</v>
      </c>
      <c r="D15" s="82">
        <f>'[2]EU Sun Oil Exports'!FJ$88</f>
        <v>0</v>
      </c>
      <c r="E15" s="82">
        <f>'[2]EU Sun Oil Exports'!FK$88</f>
        <v>0</v>
      </c>
      <c r="F15" s="82">
        <f>'[2]EU Sun Oil Exports'!FL$88</f>
        <v>0</v>
      </c>
      <c r="G15" s="82">
        <f>'[2]EU Sun Oil Exports'!FM$88</f>
        <v>0</v>
      </c>
      <c r="H15" s="82">
        <f>'[2]EU Sun Oil Exports'!FN$88</f>
        <v>1.2999999999999999E-2</v>
      </c>
      <c r="I15" s="82">
        <f>'[2]EU Sun Oil Exports'!FO$88</f>
        <v>7.8E-2</v>
      </c>
      <c r="J15" s="82">
        <f>'[2]EU Sun Oil Exports'!FP$88</f>
        <v>0</v>
      </c>
      <c r="K15" s="82">
        <f>'[2]EU Sun Oil Exports'!FQ$88</f>
        <v>0.01</v>
      </c>
      <c r="L15" s="82">
        <f>'[2]EU Sun Oil Exports'!FR$88</f>
        <v>7.2999999999999995E-2</v>
      </c>
      <c r="M15" s="82">
        <f>'[2]EU Sun Oil Exports'!FS$88</f>
        <v>0</v>
      </c>
      <c r="N15" s="82">
        <f t="shared" si="0"/>
        <v>0.17399999999999999</v>
      </c>
      <c r="O15" s="27"/>
      <c r="P15" s="82">
        <f t="shared" si="1"/>
        <v>0</v>
      </c>
      <c r="Q15" s="82">
        <f t="shared" si="2"/>
        <v>0</v>
      </c>
      <c r="R15" s="82">
        <f t="shared" si="3"/>
        <v>9.0999999999999998E-2</v>
      </c>
      <c r="S15" s="82">
        <f t="shared" si="4"/>
        <v>8.299999999999999E-2</v>
      </c>
    </row>
    <row r="16" spans="1:19" ht="16.5" hidden="1">
      <c r="A16" s="84" t="s">
        <v>67</v>
      </c>
      <c r="B16" s="82">
        <f>'[2]EU Sun Oil Exports'!FT$88</f>
        <v>7.4999999999999997E-2</v>
      </c>
      <c r="C16" s="82">
        <f>'[2]EU Sun Oil Exports'!FU$88</f>
        <v>1E-3</v>
      </c>
      <c r="D16" s="82">
        <f>'[2]EU Sun Oil Exports'!FV$88</f>
        <v>1E-3</v>
      </c>
      <c r="E16" s="82">
        <f>'[2]EU Sun Oil Exports'!FW$88</f>
        <v>6.4000000000000001E-2</v>
      </c>
      <c r="F16" s="82">
        <f>'[2]EU Sun Oil Exports'!FX$88</f>
        <v>0</v>
      </c>
      <c r="G16" s="82">
        <f>'[2]EU Sun Oil Exports'!FY$88</f>
        <v>6.0000000000000001E-3</v>
      </c>
      <c r="H16" s="82">
        <f>'[2]EU Sun Oil Exports'!FZ$88</f>
        <v>6.3E-2</v>
      </c>
      <c r="I16" s="82">
        <f>'[2]EU Sun Oil Exports'!GA$88</f>
        <v>0.06</v>
      </c>
      <c r="J16" s="82">
        <f>'[2]EU Sun Oil Exports'!GB$88</f>
        <v>8.3000000000000004E-2</v>
      </c>
      <c r="K16" s="82">
        <f>'[2]EU Sun Oil Exports'!GC$88</f>
        <v>3.0000000000000001E-3</v>
      </c>
      <c r="L16" s="82">
        <f>'[2]EU Sun Oil Exports'!GD$88</f>
        <v>1.7999999999999999E-2</v>
      </c>
      <c r="M16" s="82">
        <f>'[2]EU Sun Oil Exports'!GE$88</f>
        <v>2E-3</v>
      </c>
      <c r="N16" s="82">
        <f t="shared" si="0"/>
        <v>0.37600000000000006</v>
      </c>
      <c r="O16" s="27"/>
      <c r="P16" s="82">
        <f t="shared" si="1"/>
        <v>7.6999999999999999E-2</v>
      </c>
      <c r="Q16" s="82">
        <f t="shared" si="2"/>
        <v>7.0000000000000007E-2</v>
      </c>
      <c r="R16" s="82">
        <f t="shared" si="3"/>
        <v>0.20600000000000002</v>
      </c>
      <c r="S16" s="82">
        <f t="shared" si="4"/>
        <v>2.3E-2</v>
      </c>
    </row>
    <row r="17" spans="1:19" ht="16.5" hidden="1">
      <c r="A17" s="83" t="s">
        <v>68</v>
      </c>
      <c r="B17" s="82">
        <f>'[2]EU Sun Oil Exports'!GF$88</f>
        <v>0</v>
      </c>
      <c r="C17" s="82">
        <f>'[2]EU Sun Oil Exports'!GG$88</f>
        <v>0</v>
      </c>
      <c r="D17" s="82">
        <f>'[2]EU Sun Oil Exports'!GH$88</f>
        <v>4.0000000000000001E-3</v>
      </c>
      <c r="E17" s="82">
        <f>'[2]EU Sun Oil Exports'!GI$88</f>
        <v>1E-3</v>
      </c>
      <c r="F17" s="82">
        <f>'[2]EU Sun Oil Exports'!GJ$88</f>
        <v>2E-3</v>
      </c>
      <c r="G17" s="82">
        <f>'[2]EU Sun Oil Exports'!GK$88</f>
        <v>3.0000000000000001E-3</v>
      </c>
      <c r="H17" s="82">
        <f>'[2]EU Sun Oil Exports'!GL$88</f>
        <v>2E-3</v>
      </c>
      <c r="I17" s="82">
        <f>'[2]EU Sun Oil Exports'!GM$88</f>
        <v>0</v>
      </c>
      <c r="J17" s="82">
        <f>'[2]EU Sun Oil Exports'!GN$88</f>
        <v>8.0000000000000002E-3</v>
      </c>
      <c r="K17" s="82">
        <f>'[2]EU Sun Oil Exports'!GO$88</f>
        <v>0</v>
      </c>
      <c r="L17" s="82">
        <f>'[2]EU Sun Oil Exports'!GP$88</f>
        <v>1.2E-2</v>
      </c>
      <c r="M17" s="82">
        <f>'[2]EU Sun Oil Exports'!GQ$88</f>
        <v>2E-3</v>
      </c>
      <c r="N17" s="82">
        <f t="shared" si="0"/>
        <v>3.4000000000000002E-2</v>
      </c>
      <c r="O17" s="27"/>
      <c r="P17" s="82">
        <f t="shared" si="1"/>
        <v>4.0000000000000001E-3</v>
      </c>
      <c r="Q17" s="82">
        <f t="shared" si="2"/>
        <v>6.0000000000000001E-3</v>
      </c>
      <c r="R17" s="82">
        <f t="shared" si="3"/>
        <v>0.01</v>
      </c>
      <c r="S17" s="82">
        <f t="shared" si="4"/>
        <v>1.4E-2</v>
      </c>
    </row>
    <row r="18" spans="1:19" ht="16.5" hidden="1">
      <c r="A18" s="84" t="s">
        <v>69</v>
      </c>
      <c r="B18" s="82">
        <f>'[2]EU Sun Oil Exports'!GR$88</f>
        <v>5.0000000000000001E-3</v>
      </c>
      <c r="C18" s="82">
        <f>'[2]EU Sun Oil Exports'!GS$88</f>
        <v>2E-3</v>
      </c>
      <c r="D18" s="82">
        <f>'[2]EU Sun Oil Exports'!GT$88</f>
        <v>1E-3</v>
      </c>
      <c r="E18" s="82">
        <f>'[2]EU Sun Oil Exports'!GU$88</f>
        <v>1E-3</v>
      </c>
      <c r="F18" s="82">
        <f>'[2]EU Sun Oil Exports'!GV$88</f>
        <v>0</v>
      </c>
      <c r="G18" s="82">
        <f>'[2]EU Sun Oil Exports'!GW$88</f>
        <v>2E-3</v>
      </c>
      <c r="H18" s="82">
        <f>'[2]EU Sun Oil Exports'!GX$88</f>
        <v>3.0000000000000001E-3</v>
      </c>
      <c r="I18" s="82">
        <f>'[2]EU Sun Oil Exports'!GY$88</f>
        <v>2E-3</v>
      </c>
      <c r="J18" s="82">
        <f>'[2]EU Sun Oil Exports'!GZ$88</f>
        <v>8.0000000000000002E-3</v>
      </c>
      <c r="K18" s="82">
        <f>'[2]EU Sun Oil Exports'!HA$88</f>
        <v>1E-3</v>
      </c>
      <c r="L18" s="82">
        <f>'[2]EU Sun Oil Exports'!HB$88</f>
        <v>2.5999999999999999E-2</v>
      </c>
      <c r="M18" s="82">
        <f>'[2]EU Sun Oil Exports'!HC$88</f>
        <v>4.0000000000000001E-3</v>
      </c>
      <c r="N18" s="82">
        <f t="shared" si="0"/>
        <v>5.5000000000000007E-2</v>
      </c>
      <c r="O18" s="27"/>
      <c r="P18" s="82">
        <f t="shared" si="1"/>
        <v>8.0000000000000002E-3</v>
      </c>
      <c r="Q18" s="82">
        <f t="shared" si="2"/>
        <v>3.0000000000000001E-3</v>
      </c>
      <c r="R18" s="82">
        <f t="shared" si="3"/>
        <v>1.3000000000000001E-2</v>
      </c>
      <c r="S18" s="82">
        <f t="shared" si="4"/>
        <v>3.1E-2</v>
      </c>
    </row>
    <row r="19" spans="1:19" ht="16.5" hidden="1">
      <c r="A19" s="84" t="s">
        <v>70</v>
      </c>
      <c r="B19" s="82">
        <f>'[2]EU Sun Oil Exports'!HD$88</f>
        <v>3.7999999999999999E-2</v>
      </c>
      <c r="C19" s="82">
        <f>'[2]EU Sun Oil Exports'!HE$88</f>
        <v>4.0000000000000001E-3</v>
      </c>
      <c r="D19" s="82">
        <f>'[2]EU Sun Oil Exports'!HF$88</f>
        <v>2E-3</v>
      </c>
      <c r="E19" s="82">
        <f>'[2]EU Sun Oil Exports'!HG$88</f>
        <v>2E-3</v>
      </c>
      <c r="F19" s="82">
        <f>'[2]EU Sun Oil Exports'!HH$88</f>
        <v>4.2999999999999997E-2</v>
      </c>
      <c r="G19" s="82">
        <f>'[2]EU Sun Oil Exports'!HI$88</f>
        <v>7.0000000000000001E-3</v>
      </c>
      <c r="H19" s="82">
        <f>'[2]EU Sun Oil Exports'!HJ$88</f>
        <v>0</v>
      </c>
      <c r="I19" s="82">
        <f>'[2]EU Sun Oil Exports'!HK$88</f>
        <v>4.1000000000000002E-2</v>
      </c>
      <c r="J19" s="82">
        <f>'[2]EU Sun Oil Exports'!HL$88</f>
        <v>2.4E-2</v>
      </c>
      <c r="K19" s="82">
        <f>'[2]EU Sun Oil Exports'!HM$88</f>
        <v>3.5000000000000003E-2</v>
      </c>
      <c r="L19" s="82">
        <f>'[2]EU Sun Oil Exports'!HN$88</f>
        <v>0.01</v>
      </c>
      <c r="M19" s="82">
        <f>'[2]EU Sun Oil Exports'!HO$88</f>
        <v>1E-3</v>
      </c>
      <c r="N19" s="82">
        <f t="shared" si="0"/>
        <v>0.20700000000000002</v>
      </c>
      <c r="O19" s="27"/>
      <c r="P19" s="82">
        <f t="shared" si="1"/>
        <v>4.3999999999999997E-2</v>
      </c>
      <c r="Q19" s="82">
        <f t="shared" si="2"/>
        <v>5.1999999999999998E-2</v>
      </c>
      <c r="R19" s="82">
        <f t="shared" si="3"/>
        <v>6.5000000000000002E-2</v>
      </c>
      <c r="S19" s="82">
        <f t="shared" si="4"/>
        <v>4.6000000000000006E-2</v>
      </c>
    </row>
    <row r="20" spans="1:19" ht="16.5" hidden="1">
      <c r="A20" s="83" t="s">
        <v>71</v>
      </c>
      <c r="B20" s="82">
        <f>'[2]EU Sun Oil Exports'!HP$88</f>
        <v>2.1000000000000001E-2</v>
      </c>
      <c r="C20" s="82">
        <f>'[2]EU Sun Oil Exports'!HQ$88</f>
        <v>5.3999999999999999E-2</v>
      </c>
      <c r="D20" s="82">
        <f>'[2]EU Sun Oil Exports'!HR$88</f>
        <v>8.0000000000000002E-3</v>
      </c>
      <c r="E20" s="82">
        <f>'[2]EU Sun Oil Exports'!HS$88</f>
        <v>4.0000000000000001E-3</v>
      </c>
      <c r="F20" s="82">
        <f>'[2]EU Sun Oil Exports'!HT$88</f>
        <v>0.13100000000000001</v>
      </c>
      <c r="G20" s="82">
        <f>'[2]EU Sun Oil Exports'!HU$88</f>
        <v>0.29599999999999999</v>
      </c>
      <c r="H20" s="82">
        <f>'[2]EU Sun Oil Exports'!HV$88</f>
        <v>5.8999999999999997E-2</v>
      </c>
      <c r="I20" s="82">
        <f>'[2]EU Sun Oil Exports'!HW$88</f>
        <v>0.29699999999999999</v>
      </c>
      <c r="J20" s="82">
        <f>'[2]EU Sun Oil Exports'!HX$88</f>
        <v>8.3000000000000004E-2</v>
      </c>
      <c r="K20" s="82">
        <f>'[2]EU Sun Oil Exports'!HY$88</f>
        <v>0.67200000000000004</v>
      </c>
      <c r="L20" s="82">
        <f>'[2]EU Sun Oil Exports'!HZ$88</f>
        <v>0.05</v>
      </c>
      <c r="M20" s="82">
        <f>'[2]EU Sun Oil Exports'!IA$88</f>
        <v>1.0999999999999999E-2</v>
      </c>
      <c r="N20" s="82">
        <f t="shared" si="0"/>
        <v>1.6859999999999999</v>
      </c>
      <c r="O20" s="27"/>
      <c r="P20" s="82">
        <f t="shared" si="1"/>
        <v>8.3000000000000004E-2</v>
      </c>
      <c r="Q20" s="82">
        <f t="shared" si="2"/>
        <v>0.43099999999999999</v>
      </c>
      <c r="R20" s="82">
        <f t="shared" si="3"/>
        <v>0.439</v>
      </c>
      <c r="S20" s="82">
        <f t="shared" si="4"/>
        <v>0.7330000000000001</v>
      </c>
    </row>
    <row r="21" spans="1:19" ht="16.5" hidden="1">
      <c r="A21" s="84" t="s">
        <v>72</v>
      </c>
      <c r="B21" s="82">
        <f>'[2]EU Sun Oil Exports'!IB$88</f>
        <v>0.104</v>
      </c>
      <c r="C21" s="82">
        <f>'[2]EU Sun Oil Exports'!IC$88</f>
        <v>0.36699999999999999</v>
      </c>
      <c r="D21" s="82">
        <f>'[2]EU Sun Oil Exports'!ID$88</f>
        <v>0.151</v>
      </c>
      <c r="E21" s="82">
        <f>'[2]EU Sun Oil Exports'!IE$88</f>
        <v>0.46500000000000002</v>
      </c>
      <c r="F21" s="82">
        <f>'[2]EU Sun Oil Exports'!IF$88</f>
        <v>8.9999999999999993E-3</v>
      </c>
      <c r="G21" s="82">
        <f>'[2]EU Sun Oil Exports'!IG$88</f>
        <v>0.76800000000000002</v>
      </c>
      <c r="H21" s="82">
        <f>'[2]EU Sun Oil Exports'!IH$88</f>
        <v>0.38100000000000001</v>
      </c>
      <c r="I21" s="82">
        <f>'[2]EU Sun Oil Exports'!II$88</f>
        <v>0.22800000000000001</v>
      </c>
      <c r="J21" s="82">
        <f>'[2]EU Sun Oil Exports'!IJ$88</f>
        <v>9.5000000000000001E-2</v>
      </c>
      <c r="K21" s="82">
        <f>'[2]EU Sun Oil Exports'!IK$88</f>
        <v>9.9000000000000005E-2</v>
      </c>
      <c r="L21" s="82">
        <f>'[2]EU Sun Oil Exports'!IL$88</f>
        <v>0.46500000000000002</v>
      </c>
      <c r="M21" s="82">
        <f>'[2]EU Sun Oil Exports'!IM$88</f>
        <v>0.24099999999999999</v>
      </c>
      <c r="N21" s="82">
        <f t="shared" si="0"/>
        <v>3.3730000000000007</v>
      </c>
      <c r="O21" s="27"/>
      <c r="P21" s="82">
        <f t="shared" si="1"/>
        <v>0.622</v>
      </c>
      <c r="Q21" s="82">
        <f t="shared" si="2"/>
        <v>1.242</v>
      </c>
      <c r="R21" s="82">
        <f t="shared" si="3"/>
        <v>0.70399999999999996</v>
      </c>
      <c r="S21" s="82">
        <f t="shared" si="4"/>
        <v>0.80500000000000005</v>
      </c>
    </row>
    <row r="22" spans="1:19" ht="16.5" hidden="1">
      <c r="A22" s="83" t="s">
        <v>73</v>
      </c>
      <c r="B22" s="82">
        <f>'[2]EU Sun Oil Exports'!IN$88</f>
        <v>0.434</v>
      </c>
      <c r="C22" s="82">
        <f>'[2]EU Sun Oil Exports'!IO$88</f>
        <v>0.40600000000000003</v>
      </c>
      <c r="D22" s="82">
        <f>'[2]EU Sun Oil Exports'!IP$88</f>
        <v>0.114</v>
      </c>
      <c r="E22" s="82">
        <f>'[2]EU Sun Oil Exports'!IQ$88</f>
        <v>4.2000000000000003E-2</v>
      </c>
      <c r="F22" s="82">
        <f>'[2]EU Sun Oil Exports'!IR$88</f>
        <v>3.2000000000000001E-2</v>
      </c>
      <c r="G22" s="82">
        <f>'[2]EU Sun Oil Exports'!IS$88</f>
        <v>2.1999999999999999E-2</v>
      </c>
      <c r="H22" s="82">
        <f>'[2]EU Sun Oil Exports'!IT$88</f>
        <v>4.8000000000000001E-2</v>
      </c>
      <c r="I22" s="82">
        <f>'[2]EU Sun Oil Exports'!IU$88</f>
        <v>0.09</v>
      </c>
      <c r="J22" s="82">
        <f>'[2]EU Sun Oil Exports'!IV$88</f>
        <v>9.5000000000000001E-2</v>
      </c>
      <c r="K22" s="82">
        <f>'[2]EU Sun Oil Exports'!IW$88</f>
        <v>3.3000000000000002E-2</v>
      </c>
      <c r="L22" s="82">
        <f>'[2]EU Sun Oil Exports'!IX$88</f>
        <v>2.1999999999999999E-2</v>
      </c>
      <c r="M22" s="82">
        <f>'[2]EU Sun Oil Exports'!IY$88</f>
        <v>2E-3</v>
      </c>
      <c r="N22" s="82">
        <f t="shared" si="0"/>
        <v>1.34</v>
      </c>
      <c r="O22" s="27"/>
      <c r="P22" s="82">
        <f t="shared" si="1"/>
        <v>0.95400000000000007</v>
      </c>
      <c r="Q22" s="82">
        <f t="shared" si="2"/>
        <v>9.6000000000000002E-2</v>
      </c>
      <c r="R22" s="82">
        <f t="shared" si="3"/>
        <v>0.23300000000000001</v>
      </c>
      <c r="S22" s="82">
        <f t="shared" si="4"/>
        <v>5.7000000000000002E-2</v>
      </c>
    </row>
    <row r="23" spans="1:19" ht="16.5" hidden="1">
      <c r="A23" s="83" t="s">
        <v>74</v>
      </c>
      <c r="B23" s="82">
        <f>'[2]EU Sun Oil Exports'!IZ$88</f>
        <v>0.16300000000000001</v>
      </c>
      <c r="C23" s="82">
        <f>'[2]EU Sun Oil Exports'!JA$88</f>
        <v>0.08</v>
      </c>
      <c r="D23" s="82">
        <f>'[2]EU Sun Oil Exports'!JB$88</f>
        <v>2.5000000000000001E-2</v>
      </c>
      <c r="E23" s="82">
        <f>'[2]EU Sun Oil Exports'!JC$88</f>
        <v>4.7E-2</v>
      </c>
      <c r="F23" s="82">
        <f>'[2]EU Sun Oil Exports'!JD$88</f>
        <v>5.3999999999999999E-2</v>
      </c>
      <c r="G23" s="82">
        <f>'[2]EU Sun Oil Exports'!JE$88</f>
        <v>4.2999999999999997E-2</v>
      </c>
      <c r="H23" s="82">
        <f>'[2]EU Sun Oil Exports'!JF$88</f>
        <v>7.6999999999999999E-2</v>
      </c>
      <c r="I23" s="82">
        <f>'[2]EU Sun Oil Exports'!JG$88</f>
        <v>1.7000000000000001E-2</v>
      </c>
      <c r="J23" s="82">
        <f>'[2]EU Sun Oil Exports'!JH$88</f>
        <v>7.3999999999999996E-2</v>
      </c>
      <c r="K23" s="82">
        <f>'[2]EU Sun Oil Exports'!JI$88</f>
        <v>0.156</v>
      </c>
      <c r="L23" s="82">
        <f>'[2]EU Sun Oil Exports'!JJ$88</f>
        <v>0.62</v>
      </c>
      <c r="M23" s="82">
        <f>'[2]EU Sun Oil Exports'!JK$88</f>
        <v>0.106</v>
      </c>
      <c r="N23" s="82">
        <f t="shared" si="0"/>
        <v>1.462</v>
      </c>
      <c r="O23" s="27"/>
      <c r="P23" s="82">
        <f t="shared" si="1"/>
        <v>0.26800000000000002</v>
      </c>
      <c r="Q23" s="82">
        <f t="shared" si="2"/>
        <v>0.14400000000000002</v>
      </c>
      <c r="R23" s="82">
        <f t="shared" si="3"/>
        <v>0.16799999999999998</v>
      </c>
      <c r="S23" s="82">
        <f t="shared" si="4"/>
        <v>0.88200000000000001</v>
      </c>
    </row>
    <row r="24" spans="1:19" ht="16.5" hidden="1">
      <c r="A24" s="83" t="s">
        <v>75</v>
      </c>
      <c r="B24" s="82">
        <f>'[2]EU Sun Oil Exports'!JL$88</f>
        <v>0.104</v>
      </c>
      <c r="C24" s="82">
        <f>'[2]EU Sun Oil Exports'!JM$88</f>
        <v>0.47599999999999998</v>
      </c>
      <c r="D24" s="82">
        <f>'[2]EU Sun Oil Exports'!JN$88</f>
        <v>9.7000000000000003E-2</v>
      </c>
      <c r="E24" s="82">
        <f>'[2]EU Sun Oil Exports'!JO$88</f>
        <v>0.313</v>
      </c>
      <c r="F24" s="82">
        <f>'[2]EU Sun Oil Exports'!JP$88</f>
        <v>0.311</v>
      </c>
      <c r="G24" s="82">
        <f>'[2]EU Sun Oil Exports'!JQ$88</f>
        <v>0.26100000000000001</v>
      </c>
      <c r="H24" s="82">
        <f>'[2]EU Sun Oil Exports'!JR$88</f>
        <v>0.97</v>
      </c>
      <c r="I24" s="82">
        <f>'[2]EU Sun Oil Exports'!JS$88</f>
        <v>0.13</v>
      </c>
      <c r="J24" s="82">
        <f>'[2]EU Sun Oil Exports'!JT$88</f>
        <v>0.17299999999999999</v>
      </c>
      <c r="K24" s="82">
        <f>'[2]EU Sun Oil Exports'!JU$88</f>
        <v>0.439</v>
      </c>
      <c r="L24" s="82">
        <f>'[2]EU Sun Oil Exports'!JV$88</f>
        <v>0.15</v>
      </c>
      <c r="M24" s="82">
        <f>'[2]EU Sun Oil Exports'!JW$88</f>
        <v>0.17100000000000001</v>
      </c>
      <c r="N24" s="82">
        <f t="shared" si="0"/>
        <v>3.5949999999999998</v>
      </c>
      <c r="O24" s="27"/>
      <c r="P24" s="82">
        <f t="shared" si="1"/>
        <v>0.67700000000000005</v>
      </c>
      <c r="Q24" s="82">
        <f t="shared" si="2"/>
        <v>0.88500000000000001</v>
      </c>
      <c r="R24" s="82">
        <f t="shared" si="3"/>
        <v>1.2730000000000001</v>
      </c>
      <c r="S24" s="82">
        <f t="shared" si="4"/>
        <v>0.76</v>
      </c>
    </row>
    <row r="25" spans="1:19" ht="16.5" hidden="1">
      <c r="A25" s="83" t="s">
        <v>76</v>
      </c>
      <c r="B25" s="82">
        <f>'[2]EU Sun Oil Exports'!JX$88</f>
        <v>0.34</v>
      </c>
      <c r="C25" s="82">
        <f>'[2]EU Sun Oil Exports'!JY$88</f>
        <v>0.308</v>
      </c>
      <c r="D25" s="82">
        <f>'[2]EU Sun Oil Exports'!JZ$88</f>
        <v>0.28699999999999998</v>
      </c>
      <c r="E25" s="82">
        <f>'[2]EU Sun Oil Exports'!KA$88</f>
        <v>0.84399999999999997</v>
      </c>
      <c r="F25" s="82">
        <f>'[2]EU Sun Oil Exports'!KB$88</f>
        <v>0.152</v>
      </c>
      <c r="G25" s="82">
        <f>'[2]EU Sun Oil Exports'!KC$88</f>
        <v>0.45600000000000002</v>
      </c>
      <c r="H25" s="82">
        <f>'[2]EU Sun Oil Exports'!KD$88</f>
        <v>0.69299999999999995</v>
      </c>
      <c r="I25" s="82">
        <f>'[2]EU Sun Oil Exports'!KE$88</f>
        <v>0.38900000000000001</v>
      </c>
      <c r="J25" s="82">
        <f>'[2]EU Sun Oil Exports'!KF$88</f>
        <v>0.34200000000000003</v>
      </c>
      <c r="K25" s="82">
        <f>'[2]EU Sun Oil Exports'!KG$88</f>
        <v>0.39100000000000001</v>
      </c>
      <c r="L25" s="82">
        <f>'[2]EU Sun Oil Exports'!KH$88</f>
        <v>0.48399999999999999</v>
      </c>
      <c r="M25" s="82">
        <f>'[2]EU Sun Oil Exports'!KI$88</f>
        <v>0.28799999999999998</v>
      </c>
      <c r="N25" s="82">
        <f t="shared" si="0"/>
        <v>4.9740000000000002</v>
      </c>
      <c r="O25" s="27"/>
      <c r="P25" s="82">
        <f t="shared" si="1"/>
        <v>0.93500000000000005</v>
      </c>
      <c r="Q25" s="82">
        <f t="shared" si="2"/>
        <v>1.452</v>
      </c>
      <c r="R25" s="82">
        <f t="shared" si="3"/>
        <v>1.4239999999999999</v>
      </c>
      <c r="S25" s="82">
        <f t="shared" si="4"/>
        <v>1.163</v>
      </c>
    </row>
    <row r="26" spans="1:19" ht="16.5" hidden="1">
      <c r="A26" s="83" t="s">
        <v>77</v>
      </c>
      <c r="B26" s="82">
        <f>'[2]EU Sun Oil Exports'!KJ$88</f>
        <v>0.52300000000000002</v>
      </c>
      <c r="C26" s="82">
        <f>'[2]EU Sun Oil Exports'!KK$88</f>
        <v>1.087</v>
      </c>
      <c r="D26" s="82">
        <f>'[2]EU Sun Oil Exports'!KL$88</f>
        <v>0.92800000000000005</v>
      </c>
      <c r="E26" s="82">
        <f>'[2]EU Sun Oil Exports'!KM$88</f>
        <v>0.158</v>
      </c>
      <c r="F26" s="82">
        <f>'[2]EU Sun Oil Exports'!KN$88</f>
        <v>0.34499999999999997</v>
      </c>
      <c r="G26" s="82">
        <f>'[2]EU Sun Oil Exports'!KO$88</f>
        <v>0.49399999999999999</v>
      </c>
      <c r="H26" s="82">
        <f>'[2]EU Sun Oil Exports'!KP$88</f>
        <v>0.26200000000000001</v>
      </c>
      <c r="I26" s="82">
        <f>'[2]EU Sun Oil Exports'!KQ$88</f>
        <v>0.56299999999999994</v>
      </c>
      <c r="J26" s="82">
        <f>'[2]EU Sun Oil Exports'!KR$88</f>
        <v>0.504</v>
      </c>
      <c r="K26" s="82">
        <f>'[2]EU Sun Oil Exports'!KS$88</f>
        <v>0.82799999999999996</v>
      </c>
      <c r="L26" s="82">
        <f>'[2]EU Sun Oil Exports'!KT$88</f>
        <v>0.39600000000000002</v>
      </c>
      <c r="M26" s="82">
        <f>'[2]EU Sun Oil Exports'!KU$88</f>
        <v>0.48599999999999999</v>
      </c>
      <c r="N26" s="82">
        <f t="shared" si="0"/>
        <v>6.573999999999999</v>
      </c>
      <c r="O26" s="27"/>
      <c r="P26" s="82">
        <f t="shared" si="1"/>
        <v>2.5380000000000003</v>
      </c>
      <c r="Q26" s="82">
        <f t="shared" si="2"/>
        <v>0.997</v>
      </c>
      <c r="R26" s="82">
        <f t="shared" si="3"/>
        <v>1.329</v>
      </c>
      <c r="S26" s="82">
        <f t="shared" si="4"/>
        <v>1.71</v>
      </c>
    </row>
    <row r="27" spans="1:19" ht="16.5" hidden="1">
      <c r="A27" s="83" t="s">
        <v>78</v>
      </c>
      <c r="B27" s="82">
        <f>'[2]EU Sun Oil Exports'!KV$88</f>
        <v>0.52900000000000003</v>
      </c>
      <c r="C27" s="82">
        <f>'[2]EU Sun Oil Exports'!KW$88</f>
        <v>0.71799999999999997</v>
      </c>
      <c r="D27" s="82">
        <f>'[2]EU Sun Oil Exports'!KX$88</f>
        <v>0.191</v>
      </c>
      <c r="E27" s="82">
        <f>'[2]EU Sun Oil Exports'!KY$88</f>
        <v>0.69899999999999995</v>
      </c>
      <c r="F27" s="82">
        <f>'[2]EU Sun Oil Exports'!KZ$88</f>
        <v>0.378</v>
      </c>
      <c r="G27" s="82">
        <f>'[2]EU Sun Oil Exports'!LA$88</f>
        <v>0.57799999999999996</v>
      </c>
      <c r="H27" s="82">
        <f>'[2]EU Sun Oil Exports'!LB$88</f>
        <v>0.28499999999999998</v>
      </c>
      <c r="I27" s="82">
        <f>'[2]EU Sun Oil Exports'!LC$88</f>
        <v>0.23400000000000001</v>
      </c>
      <c r="J27" s="82">
        <f>'[2]EU Sun Oil Exports'!LD$88</f>
        <v>0.30599999999999999</v>
      </c>
      <c r="K27" s="82">
        <f>'[2]EU Sun Oil Exports'!LE$88</f>
        <v>0.88600000000000001</v>
      </c>
      <c r="L27" s="82">
        <f>'[2]EU Sun Oil Exports'!LF$88</f>
        <v>0.27100000000000002</v>
      </c>
      <c r="M27" s="82">
        <f>'[2]EU Sun Oil Exports'!LG$88</f>
        <v>0.36299999999999999</v>
      </c>
      <c r="N27" s="82">
        <f t="shared" si="0"/>
        <v>5.4380000000000006</v>
      </c>
      <c r="O27" s="27"/>
      <c r="P27" s="82">
        <f t="shared" si="1"/>
        <v>1.4379999999999999</v>
      </c>
      <c r="Q27" s="82">
        <f t="shared" si="2"/>
        <v>1.6549999999999998</v>
      </c>
      <c r="R27" s="82">
        <f t="shared" si="3"/>
        <v>0.82499999999999996</v>
      </c>
      <c r="S27" s="82">
        <f t="shared" si="4"/>
        <v>1.52</v>
      </c>
    </row>
    <row r="28" spans="1:19" ht="16.5" hidden="1">
      <c r="A28" s="83" t="s">
        <v>79</v>
      </c>
      <c r="B28" s="82">
        <f>'[2]EU Sun Oil Exports'!LH$88</f>
        <v>0.52700000000000002</v>
      </c>
      <c r="C28" s="82">
        <f>'[2]EU Sun Oil Exports'!LI$88</f>
        <v>0.57099999999999995</v>
      </c>
      <c r="D28" s="82">
        <f>'[2]EU Sun Oil Exports'!LJ$88</f>
        <v>0.317</v>
      </c>
      <c r="E28" s="82">
        <f>'[2]EU Sun Oil Exports'!LK$88</f>
        <v>0.126</v>
      </c>
      <c r="F28" s="82">
        <f>'[2]EU Sun Oil Exports'!LL$88</f>
        <v>0.27</v>
      </c>
      <c r="G28" s="82">
        <f>'[2]EU Sun Oil Exports'!LM$88</f>
        <v>0.35699999999999998</v>
      </c>
      <c r="H28" s="82">
        <f>'[2]EU Sun Oil Exports'!LN$88</f>
        <v>0.24</v>
      </c>
      <c r="I28" s="82">
        <f>'[2]EU Sun Oil Exports'!LO$88</f>
        <v>0.71499999999999997</v>
      </c>
      <c r="J28" s="82">
        <f>'[2]EU Sun Oil Exports'!LP$88</f>
        <v>0.36499999999999999</v>
      </c>
      <c r="K28" s="82">
        <f>'[2]EU Sun Oil Exports'!LQ$88</f>
        <v>0.45600000000000002</v>
      </c>
      <c r="L28" s="82">
        <f>'[2]EU Sun Oil Exports'!LR$88</f>
        <v>0.22800000000000001</v>
      </c>
      <c r="M28" s="82">
        <f>'[2]EU Sun Oil Exports'!LS$88</f>
        <v>0.161</v>
      </c>
      <c r="N28" s="82">
        <f t="shared" si="0"/>
        <v>4.3330000000000002</v>
      </c>
      <c r="O28" s="27"/>
      <c r="P28" s="82">
        <f t="shared" si="1"/>
        <v>1.415</v>
      </c>
      <c r="Q28" s="82">
        <f t="shared" si="2"/>
        <v>0.753</v>
      </c>
      <c r="R28" s="82">
        <f t="shared" si="3"/>
        <v>1.3199999999999998</v>
      </c>
      <c r="S28" s="82">
        <f t="shared" si="4"/>
        <v>0.84500000000000008</v>
      </c>
    </row>
    <row r="29" spans="1:19" ht="16.5">
      <c r="A29" s="103" t="s">
        <v>80</v>
      </c>
      <c r="B29" s="82">
        <f>'[2]EU Sun Oil Exports'!LT$88</f>
        <v>0.51600000000000001</v>
      </c>
      <c r="C29" s="82">
        <f>'[2]EU Sun Oil Exports'!LU$88</f>
        <v>1.2450000000000001</v>
      </c>
      <c r="D29" s="82">
        <f>'[2]EU Sun Oil Exports'!LV$88</f>
        <v>1.9810000000000001</v>
      </c>
      <c r="E29" s="82">
        <f>'[2]EU Sun Oil Exports'!LW$88</f>
        <v>0.14399999999999999</v>
      </c>
      <c r="F29" s="82">
        <f>'[2]EU Sun Oil Exports'!LX$88</f>
        <v>0.39500000000000002</v>
      </c>
      <c r="G29" s="82">
        <f>'[2]EU Sun Oil Exports'!LY$88</f>
        <v>1.0880000000000001</v>
      </c>
      <c r="H29" s="82">
        <f>'[2]EU Sun Oil Exports'!LZ$88</f>
        <v>0.33700000000000002</v>
      </c>
      <c r="I29" s="82">
        <f>'[2]EU Sun Oil Exports'!MA$88</f>
        <v>0.45900000000000002</v>
      </c>
      <c r="J29" s="82">
        <f>'[2]EU Sun Oil Exports'!MB$88</f>
        <v>0.26500000000000001</v>
      </c>
      <c r="K29" s="82">
        <f>'[2]EU Sun Oil Exports'!MC$88</f>
        <v>0.317</v>
      </c>
      <c r="L29" s="82">
        <f>'[2]EU Sun Oil Exports'!MD$88</f>
        <v>0.188</v>
      </c>
      <c r="M29" s="82">
        <f>'[2]EU Sun Oil Exports'!ME$88</f>
        <v>0.28999999999999998</v>
      </c>
      <c r="N29" s="82">
        <f t="shared" si="0"/>
        <v>7.2249999999999996</v>
      </c>
      <c r="O29" s="27"/>
      <c r="P29" s="82">
        <f t="shared" si="1"/>
        <v>3.742</v>
      </c>
      <c r="Q29" s="82">
        <f t="shared" si="2"/>
        <v>1.6270000000000002</v>
      </c>
      <c r="R29" s="82">
        <f t="shared" si="3"/>
        <v>1.0609999999999999</v>
      </c>
      <c r="S29" s="82">
        <f t="shared" si="4"/>
        <v>0.79499999999999993</v>
      </c>
    </row>
    <row r="30" spans="1:19" ht="16.5">
      <c r="A30" s="103" t="s">
        <v>81</v>
      </c>
      <c r="B30" s="82">
        <f>'[2]EU Sun Oil Exports'!MF$88</f>
        <v>1.407</v>
      </c>
      <c r="C30" s="82">
        <f>'[2]EU Sun Oil Exports'!MG$88</f>
        <v>0.43099999999999999</v>
      </c>
      <c r="D30" s="82">
        <f>'[2]EU Sun Oil Exports'!MH$88</f>
        <v>0.253</v>
      </c>
      <c r="E30" s="82">
        <f>'[2]EU Sun Oil Exports'!MI$88</f>
        <v>0.59899999999999998</v>
      </c>
      <c r="F30" s="82">
        <f>'[2]EU Sun Oil Exports'!MJ$88</f>
        <v>0.71099999999999997</v>
      </c>
      <c r="G30" s="82">
        <f>'[2]EU Sun Oil Exports'!MK$88</f>
        <v>1.5189999999999999</v>
      </c>
      <c r="H30" s="82">
        <f>'[2]EU Sun Oil Exports'!ML$88</f>
        <v>0.42699999999999999</v>
      </c>
      <c r="I30" s="82">
        <f>'[2]EU Sun Oil Exports'!MM$88</f>
        <v>0.67200000000000004</v>
      </c>
      <c r="J30" s="82">
        <f>'[2]EU Sun Oil Exports'!MN$88</f>
        <v>0.85599999999999998</v>
      </c>
      <c r="K30" s="82">
        <f>'[2]EU Sun Oil Exports'!MO$88</f>
        <v>1.5960000000000001</v>
      </c>
      <c r="L30" s="82">
        <f>'[2]EU Sun Oil Exports'!MP$88</f>
        <v>0.72399999999999998</v>
      </c>
      <c r="M30" s="82">
        <f>'[2]EU Sun Oil Exports'!MQ$88</f>
        <v>0.36699999999999999</v>
      </c>
      <c r="N30" s="82">
        <f>SUM(B30:M30)</f>
        <v>9.5620000000000012</v>
      </c>
      <c r="O30" s="27"/>
      <c r="P30" s="82">
        <f t="shared" si="1"/>
        <v>2.0910000000000002</v>
      </c>
      <c r="Q30" s="82">
        <f t="shared" si="2"/>
        <v>2.8289999999999997</v>
      </c>
      <c r="R30" s="82">
        <f t="shared" si="3"/>
        <v>1.9550000000000001</v>
      </c>
      <c r="S30" s="82">
        <f t="shared" si="4"/>
        <v>2.6870000000000003</v>
      </c>
    </row>
    <row r="31" spans="1:19" ht="17.25" thickBot="1">
      <c r="A31" s="103" t="s">
        <v>82</v>
      </c>
      <c r="B31" s="82">
        <f>'[2]EU Sun Oil Exports'!MR$88</f>
        <v>0.33200000000000002</v>
      </c>
      <c r="C31" s="82">
        <f>'[2]EU Sun Oil Exports'!MS$88</f>
        <v>1.274</v>
      </c>
      <c r="D31" s="82">
        <f>'[2]EU Sun Oil Exports'!MT$88</f>
        <v>1.732</v>
      </c>
      <c r="E31" s="82">
        <f>'[2]EU Sun Oil Exports'!MU$88</f>
        <v>2.1859999999999999</v>
      </c>
      <c r="F31" s="82">
        <f>'[2]EU Sun Oil Exports'!MV$88</f>
        <v>1.155</v>
      </c>
      <c r="G31" s="82">
        <f>'[2]EU Sun Oil Exports'!MW$88</f>
        <v>1.07</v>
      </c>
      <c r="H31" s="82">
        <f>'[2]EU Sun Oil Exports'!MX$88</f>
        <v>1.3160000000000001</v>
      </c>
      <c r="I31" s="82">
        <f>'[2]EU Sun Oil Exports'!MY$88</f>
        <v>0.247</v>
      </c>
      <c r="J31" s="82">
        <f>'[2]EU Sun Oil Exports'!MZ$88</f>
        <v>0.83699999999999997</v>
      </c>
      <c r="K31" s="82">
        <f>'[2]EU Sun Oil Exports'!NA$88</f>
        <v>0.40200000000000002</v>
      </c>
      <c r="L31" s="82">
        <f>'[2]EU Sun Oil Exports'!NB$88</f>
        <v>0.158</v>
      </c>
      <c r="M31" s="82">
        <f>'[2]EU Sun Oil Exports'!NC$88</f>
        <v>0.13</v>
      </c>
      <c r="N31" s="82">
        <f>SUM(B31:M31)</f>
        <v>10.839</v>
      </c>
      <c r="O31" s="27"/>
      <c r="P31" s="82">
        <f t="shared" si="1"/>
        <v>3.3380000000000001</v>
      </c>
      <c r="Q31" s="82">
        <f t="shared" si="2"/>
        <v>4.4110000000000005</v>
      </c>
      <c r="R31" s="82">
        <f t="shared" si="3"/>
        <v>2.4000000000000004</v>
      </c>
      <c r="S31" s="82">
        <f t="shared" si="4"/>
        <v>0.69000000000000006</v>
      </c>
    </row>
    <row r="32" spans="1:19" ht="16.5">
      <c r="A32" s="104" t="s">
        <v>108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</row>
    <row r="33" spans="1:19" ht="16.5" hidden="1">
      <c r="A33" s="81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27"/>
      <c r="P33" s="82"/>
      <c r="Q33" s="82"/>
      <c r="R33" s="82"/>
      <c r="S33" s="82"/>
    </row>
    <row r="34" spans="1:19" ht="16.5" hidden="1">
      <c r="A34" s="81" t="s">
        <v>56</v>
      </c>
      <c r="B34" s="82">
        <f>'[2]Russia Sun Oil Exports'!AR$88</f>
        <v>0</v>
      </c>
      <c r="C34" s="82">
        <f>'[2]Russia Sun Oil Exports'!AS$88</f>
        <v>0</v>
      </c>
      <c r="D34" s="82">
        <f>'[2]Russia Sun Oil Exports'!AT$88</f>
        <v>0</v>
      </c>
      <c r="E34" s="82">
        <f>'[2]Russia Sun Oil Exports'!AU$88</f>
        <v>0</v>
      </c>
      <c r="F34" s="82">
        <f>'[2]Russia Sun Oil Exports'!AV$88</f>
        <v>0</v>
      </c>
      <c r="G34" s="82">
        <f>'[2]Russia Sun Oil Exports'!AW$88</f>
        <v>0</v>
      </c>
      <c r="H34" s="82">
        <f>'[2]Russia Sun Oil Exports'!AX$88</f>
        <v>0</v>
      </c>
      <c r="I34" s="82">
        <f>'[2]Russia Sun Oil Exports'!AY$88</f>
        <v>0</v>
      </c>
      <c r="J34" s="82">
        <f>'[2]Russia Sun Oil Exports'!AZ$88</f>
        <v>0</v>
      </c>
      <c r="K34" s="82">
        <f>'[2]Russia Sun Oil Exports'!BA$88</f>
        <v>0</v>
      </c>
      <c r="L34" s="82">
        <f>'[2]Russia Sun Oil Exports'!BB$88</f>
        <v>0</v>
      </c>
      <c r="M34" s="82">
        <f>'[2]Russia Sun Oil Exports'!BC$88</f>
        <v>0</v>
      </c>
      <c r="N34" s="82">
        <f t="shared" ref="N34:N58" si="5">SUM(B34:M34)</f>
        <v>0</v>
      </c>
      <c r="O34" s="82"/>
      <c r="P34" s="82">
        <f>D34+B34+C34</f>
        <v>0</v>
      </c>
      <c r="Q34" s="82">
        <f>SUM(E34:G34)</f>
        <v>0</v>
      </c>
      <c r="R34" s="82">
        <f>SUM(H34:J34)</f>
        <v>0</v>
      </c>
      <c r="S34" s="82">
        <f>SUM(K34:M34)</f>
        <v>0</v>
      </c>
    </row>
    <row r="35" spans="1:19" ht="16.5" hidden="1">
      <c r="A35" s="81" t="s">
        <v>57</v>
      </c>
      <c r="B35" s="82">
        <f>'[2]Russia Sun Oil Exports'!BD$88</f>
        <v>0</v>
      </c>
      <c r="C35" s="82">
        <f>'[2]Russia Sun Oil Exports'!BE$88</f>
        <v>0</v>
      </c>
      <c r="D35" s="82">
        <f>'[2]Russia Sun Oil Exports'!BF$88</f>
        <v>0</v>
      </c>
      <c r="E35" s="82">
        <f>'[2]Russia Sun Oil Exports'!BG$88</f>
        <v>0</v>
      </c>
      <c r="F35" s="82">
        <f>'[2]Russia Sun Oil Exports'!BH$88</f>
        <v>0</v>
      </c>
      <c r="G35" s="82">
        <f>'[2]Russia Sun Oil Exports'!BI$88</f>
        <v>0</v>
      </c>
      <c r="H35" s="82">
        <f>'[2]Russia Sun Oil Exports'!BJ$88</f>
        <v>0</v>
      </c>
      <c r="I35" s="82">
        <f>'[2]Russia Sun Oil Exports'!BK$88</f>
        <v>0</v>
      </c>
      <c r="J35" s="82">
        <f>'[2]Russia Sun Oil Exports'!BL$88</f>
        <v>0</v>
      </c>
      <c r="K35" s="82">
        <f>'[2]Russia Sun Oil Exports'!BM$88</f>
        <v>0</v>
      </c>
      <c r="L35" s="82">
        <f>'[2]Russia Sun Oil Exports'!BN$88</f>
        <v>0</v>
      </c>
      <c r="M35" s="82">
        <f>'[2]Russia Sun Oil Exports'!BO$88</f>
        <v>0</v>
      </c>
      <c r="N35" s="82">
        <f t="shared" si="5"/>
        <v>0</v>
      </c>
      <c r="O35" s="82"/>
      <c r="P35" s="82">
        <f t="shared" ref="P35:P60" si="6">D35+B35+C35</f>
        <v>0</v>
      </c>
      <c r="Q35" s="82">
        <f t="shared" ref="Q35:Q60" si="7">SUM(E35:G35)</f>
        <v>0</v>
      </c>
      <c r="R35" s="82">
        <f t="shared" ref="R35:R60" si="8">SUM(H35:J35)</f>
        <v>0</v>
      </c>
      <c r="S35" s="82">
        <f t="shared" ref="S35:S60" si="9">SUM(K35:M35)</f>
        <v>0</v>
      </c>
    </row>
    <row r="36" spans="1:19" ht="16.5" hidden="1">
      <c r="A36" s="81" t="s">
        <v>58</v>
      </c>
      <c r="B36" s="82">
        <f>'[2]Russia Sun Oil Exports'!BP$88</f>
        <v>0</v>
      </c>
      <c r="C36" s="82">
        <f>'[2]Russia Sun Oil Exports'!BQ$88</f>
        <v>0</v>
      </c>
      <c r="D36" s="82">
        <f>'[2]Russia Sun Oil Exports'!BR$88</f>
        <v>0</v>
      </c>
      <c r="E36" s="82">
        <f>'[2]Russia Sun Oil Exports'!BS$88</f>
        <v>0</v>
      </c>
      <c r="F36" s="82">
        <f>'[2]Russia Sun Oil Exports'!BT$88</f>
        <v>0</v>
      </c>
      <c r="G36" s="82">
        <f>'[2]Russia Sun Oil Exports'!BU$88</f>
        <v>0</v>
      </c>
      <c r="H36" s="82">
        <f>'[2]Russia Sun Oil Exports'!BV$88</f>
        <v>0</v>
      </c>
      <c r="I36" s="82">
        <f>'[2]Russia Sun Oil Exports'!BW$88</f>
        <v>0</v>
      </c>
      <c r="J36" s="82">
        <f>'[2]Russia Sun Oil Exports'!BX$88</f>
        <v>0</v>
      </c>
      <c r="K36" s="82">
        <f>'[2]Russia Sun Oil Exports'!BY$88</f>
        <v>0</v>
      </c>
      <c r="L36" s="82">
        <f>'[2]Russia Sun Oil Exports'!BZ$88</f>
        <v>0</v>
      </c>
      <c r="M36" s="82">
        <f>'[2]Russia Sun Oil Exports'!CA$88</f>
        <v>0</v>
      </c>
      <c r="N36" s="82">
        <f t="shared" si="5"/>
        <v>0</v>
      </c>
      <c r="O36" s="82"/>
      <c r="P36" s="82">
        <f t="shared" si="6"/>
        <v>0</v>
      </c>
      <c r="Q36" s="82">
        <f t="shared" si="7"/>
        <v>0</v>
      </c>
      <c r="R36" s="82">
        <f t="shared" si="8"/>
        <v>0</v>
      </c>
      <c r="S36" s="82">
        <f t="shared" si="9"/>
        <v>0</v>
      </c>
    </row>
    <row r="37" spans="1:19" ht="16.5" hidden="1">
      <c r="A37" s="81" t="s">
        <v>59</v>
      </c>
      <c r="B37" s="82">
        <f>'[2]Russia Sun Oil Exports'!CB$88</f>
        <v>0</v>
      </c>
      <c r="C37" s="82">
        <f>'[2]Russia Sun Oil Exports'!CC$88</f>
        <v>0</v>
      </c>
      <c r="D37" s="82">
        <f>'[2]Russia Sun Oil Exports'!CD$88</f>
        <v>0</v>
      </c>
      <c r="E37" s="82">
        <f>'[2]Russia Sun Oil Exports'!CE$88</f>
        <v>0</v>
      </c>
      <c r="F37" s="82">
        <f>'[2]Russia Sun Oil Exports'!CF$88</f>
        <v>0</v>
      </c>
      <c r="G37" s="82">
        <f>'[2]Russia Sun Oil Exports'!CG$88</f>
        <v>0</v>
      </c>
      <c r="H37" s="82">
        <f>'[2]Russia Sun Oil Exports'!CH$88</f>
        <v>0</v>
      </c>
      <c r="I37" s="82">
        <f>'[2]Russia Sun Oil Exports'!CI$88</f>
        <v>0</v>
      </c>
      <c r="J37" s="82">
        <f>'[2]Russia Sun Oil Exports'!CJ$88</f>
        <v>0</v>
      </c>
      <c r="K37" s="82">
        <f>'[2]Russia Sun Oil Exports'!CK$88</f>
        <v>0</v>
      </c>
      <c r="L37" s="82">
        <f>'[2]Russia Sun Oil Exports'!CL$88</f>
        <v>0</v>
      </c>
      <c r="M37" s="82">
        <f>'[2]Russia Sun Oil Exports'!CM$88</f>
        <v>0</v>
      </c>
      <c r="N37" s="82">
        <f t="shared" si="5"/>
        <v>0</v>
      </c>
      <c r="O37" s="82"/>
      <c r="P37" s="82">
        <f t="shared" si="6"/>
        <v>0</v>
      </c>
      <c r="Q37" s="82">
        <f t="shared" si="7"/>
        <v>0</v>
      </c>
      <c r="R37" s="82">
        <f t="shared" si="8"/>
        <v>0</v>
      </c>
      <c r="S37" s="82">
        <f t="shared" si="9"/>
        <v>0</v>
      </c>
    </row>
    <row r="38" spans="1:19" ht="16.5" hidden="1">
      <c r="A38" s="81" t="s">
        <v>60</v>
      </c>
      <c r="B38" s="82">
        <f>'[2]Russia Sun Oil Exports'!CN$88</f>
        <v>0</v>
      </c>
      <c r="C38" s="82">
        <f>'[2]Russia Sun Oil Exports'!CO$88</f>
        <v>0</v>
      </c>
      <c r="D38" s="82">
        <f>'[2]Russia Sun Oil Exports'!CP$88</f>
        <v>0</v>
      </c>
      <c r="E38" s="82">
        <f>'[2]Russia Sun Oil Exports'!CQ$88</f>
        <v>0</v>
      </c>
      <c r="F38" s="82">
        <f>'[2]Russia Sun Oil Exports'!CR$88</f>
        <v>0</v>
      </c>
      <c r="G38" s="82">
        <f>'[2]Russia Sun Oil Exports'!CS$88</f>
        <v>0</v>
      </c>
      <c r="H38" s="82">
        <f>'[2]Russia Sun Oil Exports'!CT$88</f>
        <v>0</v>
      </c>
      <c r="I38" s="82">
        <f>'[2]Russia Sun Oil Exports'!CU$88</f>
        <v>0</v>
      </c>
      <c r="J38" s="82">
        <f>'[2]Russia Sun Oil Exports'!CV$88</f>
        <v>0</v>
      </c>
      <c r="K38" s="82">
        <f>'[2]Russia Sun Oil Exports'!CW$88</f>
        <v>0</v>
      </c>
      <c r="L38" s="82">
        <f>'[2]Russia Sun Oil Exports'!CX$88</f>
        <v>0</v>
      </c>
      <c r="M38" s="82">
        <f>'[2]Russia Sun Oil Exports'!CY$88</f>
        <v>0</v>
      </c>
      <c r="N38" s="82">
        <f t="shared" si="5"/>
        <v>0</v>
      </c>
      <c r="O38" s="82"/>
      <c r="P38" s="82">
        <f t="shared" si="6"/>
        <v>0</v>
      </c>
      <c r="Q38" s="82">
        <f t="shared" si="7"/>
        <v>0</v>
      </c>
      <c r="R38" s="82">
        <f t="shared" si="8"/>
        <v>0</v>
      </c>
      <c r="S38" s="82">
        <f t="shared" si="9"/>
        <v>0</v>
      </c>
    </row>
    <row r="39" spans="1:19" ht="16.5" hidden="1">
      <c r="A39" s="81" t="s">
        <v>61</v>
      </c>
      <c r="B39" s="82">
        <f>'[2]Russia Sun Oil Exports'!CZ$88</f>
        <v>0</v>
      </c>
      <c r="C39" s="82">
        <f>'[2]Russia Sun Oil Exports'!DA$88</f>
        <v>0</v>
      </c>
      <c r="D39" s="82">
        <f>'[2]Russia Sun Oil Exports'!DB$88</f>
        <v>0</v>
      </c>
      <c r="E39" s="82">
        <f>'[2]Russia Sun Oil Exports'!DC$88</f>
        <v>0</v>
      </c>
      <c r="F39" s="82">
        <f>'[2]Russia Sun Oil Exports'!DD$88</f>
        <v>0</v>
      </c>
      <c r="G39" s="82">
        <f>'[2]Russia Sun Oil Exports'!DE$88</f>
        <v>0</v>
      </c>
      <c r="H39" s="82">
        <f>'[2]Russia Sun Oil Exports'!DF$88</f>
        <v>0</v>
      </c>
      <c r="I39" s="82">
        <f>'[2]Russia Sun Oil Exports'!DG$88</f>
        <v>0</v>
      </c>
      <c r="J39" s="82">
        <f>'[2]Russia Sun Oil Exports'!DH$88</f>
        <v>0</v>
      </c>
      <c r="K39" s="82">
        <f>'[2]Russia Sun Oil Exports'!DI$88</f>
        <v>0</v>
      </c>
      <c r="L39" s="82">
        <f>'[2]Russia Sun Oil Exports'!DJ$88</f>
        <v>0</v>
      </c>
      <c r="M39" s="82">
        <f>'[2]Russia Sun Oil Exports'!DK$88</f>
        <v>0</v>
      </c>
      <c r="N39" s="82">
        <f t="shared" si="5"/>
        <v>0</v>
      </c>
      <c r="O39" s="82"/>
      <c r="P39" s="82">
        <f t="shared" si="6"/>
        <v>0</v>
      </c>
      <c r="Q39" s="82">
        <f t="shared" si="7"/>
        <v>0</v>
      </c>
      <c r="R39" s="82">
        <f t="shared" si="8"/>
        <v>0</v>
      </c>
      <c r="S39" s="82">
        <f t="shared" si="9"/>
        <v>0</v>
      </c>
    </row>
    <row r="40" spans="1:19" ht="16.5" hidden="1">
      <c r="A40" s="81" t="s">
        <v>62</v>
      </c>
      <c r="B40" s="82">
        <f>'[2]Russia Sun Oil Exports'!DL$88</f>
        <v>1.5E-5</v>
      </c>
      <c r="C40" s="82">
        <f>'[2]Russia Sun Oil Exports'!DM$88</f>
        <v>0</v>
      </c>
      <c r="D40" s="82">
        <f>'[2]Russia Sun Oil Exports'!DN$88</f>
        <v>0</v>
      </c>
      <c r="E40" s="82">
        <f>'[2]Russia Sun Oil Exports'!DO$88</f>
        <v>0</v>
      </c>
      <c r="F40" s="82">
        <f>'[2]Russia Sun Oil Exports'!DP$88</f>
        <v>0</v>
      </c>
      <c r="G40" s="82">
        <f>'[2]Russia Sun Oil Exports'!DQ$88</f>
        <v>0</v>
      </c>
      <c r="H40" s="82">
        <f>'[2]Russia Sun Oil Exports'!DR$88</f>
        <v>0</v>
      </c>
      <c r="I40" s="82">
        <f>'[2]Russia Sun Oil Exports'!DS$88</f>
        <v>0</v>
      </c>
      <c r="J40" s="82">
        <f>'[2]Russia Sun Oil Exports'!DT$88</f>
        <v>0</v>
      </c>
      <c r="K40" s="82">
        <f>'[2]Russia Sun Oil Exports'!DU$88</f>
        <v>0</v>
      </c>
      <c r="L40" s="82">
        <f>'[2]Russia Sun Oil Exports'!DV$88</f>
        <v>0</v>
      </c>
      <c r="M40" s="82">
        <f>'[2]Russia Sun Oil Exports'!DW$88</f>
        <v>0</v>
      </c>
      <c r="N40" s="82">
        <f t="shared" si="5"/>
        <v>1.5E-5</v>
      </c>
      <c r="O40" s="82"/>
      <c r="P40" s="82">
        <f t="shared" si="6"/>
        <v>1.5E-5</v>
      </c>
      <c r="Q40" s="82">
        <f t="shared" si="7"/>
        <v>0</v>
      </c>
      <c r="R40" s="82">
        <f t="shared" si="8"/>
        <v>0</v>
      </c>
      <c r="S40" s="82">
        <f t="shared" si="9"/>
        <v>0</v>
      </c>
    </row>
    <row r="41" spans="1:19" ht="16.5" hidden="1">
      <c r="A41" s="81" t="s">
        <v>63</v>
      </c>
      <c r="B41" s="82">
        <f>'[2]Russia Sun Oil Exports'!DX$88</f>
        <v>0</v>
      </c>
      <c r="C41" s="82">
        <f>'[2]Russia Sun Oil Exports'!DY$88</f>
        <v>0</v>
      </c>
      <c r="D41" s="82">
        <f>'[2]Russia Sun Oil Exports'!DZ$88</f>
        <v>0</v>
      </c>
      <c r="E41" s="82">
        <f>'[2]Russia Sun Oil Exports'!EA$88</f>
        <v>0</v>
      </c>
      <c r="F41" s="82">
        <f>'[2]Russia Sun Oil Exports'!EB$88</f>
        <v>0</v>
      </c>
      <c r="G41" s="82">
        <f>'[2]Russia Sun Oil Exports'!EC$88</f>
        <v>0</v>
      </c>
      <c r="H41" s="82">
        <f>'[2]Russia Sun Oil Exports'!ED$88</f>
        <v>0</v>
      </c>
      <c r="I41" s="82">
        <f>'[2]Russia Sun Oil Exports'!EE$88</f>
        <v>0</v>
      </c>
      <c r="J41" s="82">
        <f>'[2]Russia Sun Oil Exports'!EF$88</f>
        <v>0</v>
      </c>
      <c r="K41" s="82">
        <f>'[2]Russia Sun Oil Exports'!EG$88</f>
        <v>0</v>
      </c>
      <c r="L41" s="82">
        <f>'[2]Russia Sun Oil Exports'!EH$88</f>
        <v>0</v>
      </c>
      <c r="M41" s="82">
        <f>'[2]Russia Sun Oil Exports'!EI$88</f>
        <v>0</v>
      </c>
      <c r="N41" s="82">
        <f t="shared" si="5"/>
        <v>0</v>
      </c>
      <c r="O41" s="82"/>
      <c r="P41" s="82">
        <f t="shared" si="6"/>
        <v>0</v>
      </c>
      <c r="Q41" s="82">
        <f t="shared" si="7"/>
        <v>0</v>
      </c>
      <c r="R41" s="82">
        <f t="shared" si="8"/>
        <v>0</v>
      </c>
      <c r="S41" s="82">
        <f t="shared" si="9"/>
        <v>0</v>
      </c>
    </row>
    <row r="42" spans="1:19" ht="16.5" hidden="1">
      <c r="A42" s="81" t="s">
        <v>64</v>
      </c>
      <c r="B42" s="82">
        <f>'[2]Russia Sun Oil Exports'!EJ$88</f>
        <v>0</v>
      </c>
      <c r="C42" s="82">
        <f>'[2]Russia Sun Oil Exports'!EK$88</f>
        <v>0</v>
      </c>
      <c r="D42" s="82">
        <f>'[2]Russia Sun Oil Exports'!EL$88</f>
        <v>0</v>
      </c>
      <c r="E42" s="82">
        <f>'[2]Russia Sun Oil Exports'!EM$88</f>
        <v>0</v>
      </c>
      <c r="F42" s="82">
        <f>'[2]Russia Sun Oil Exports'!EN$88</f>
        <v>0</v>
      </c>
      <c r="G42" s="82">
        <f>'[2]Russia Sun Oil Exports'!EO$88</f>
        <v>0</v>
      </c>
      <c r="H42" s="82">
        <f>'[2]Russia Sun Oil Exports'!EP$88</f>
        <v>0</v>
      </c>
      <c r="I42" s="82">
        <f>'[2]Russia Sun Oil Exports'!EQ$88</f>
        <v>0</v>
      </c>
      <c r="J42" s="82">
        <f>'[2]Russia Sun Oil Exports'!ER$88</f>
        <v>0</v>
      </c>
      <c r="K42" s="82">
        <f>'[2]Russia Sun Oil Exports'!ES$88</f>
        <v>0</v>
      </c>
      <c r="L42" s="82">
        <f>'[2]Russia Sun Oil Exports'!ET$88</f>
        <v>0</v>
      </c>
      <c r="M42" s="82">
        <f>'[2]Russia Sun Oil Exports'!EU$88</f>
        <v>0</v>
      </c>
      <c r="N42" s="82">
        <f t="shared" si="5"/>
        <v>0</v>
      </c>
      <c r="O42" s="82"/>
      <c r="P42" s="82">
        <f t="shared" si="6"/>
        <v>0</v>
      </c>
      <c r="Q42" s="82">
        <f t="shared" si="7"/>
        <v>0</v>
      </c>
      <c r="R42" s="82">
        <f t="shared" si="8"/>
        <v>0</v>
      </c>
      <c r="S42" s="82">
        <f t="shared" si="9"/>
        <v>0</v>
      </c>
    </row>
    <row r="43" spans="1:19" ht="16.5" hidden="1">
      <c r="A43" s="83" t="s">
        <v>65</v>
      </c>
      <c r="B43" s="82">
        <f>'[2]Russia Sun Oil Exports'!EV$88</f>
        <v>0</v>
      </c>
      <c r="C43" s="82">
        <f>'[2]Russia Sun Oil Exports'!EW$88</f>
        <v>0</v>
      </c>
      <c r="D43" s="82">
        <f>'[2]Russia Sun Oil Exports'!EX$88</f>
        <v>0</v>
      </c>
      <c r="E43" s="82">
        <f>'[2]Russia Sun Oil Exports'!EY$88</f>
        <v>0</v>
      </c>
      <c r="F43" s="82">
        <f>'[2]Russia Sun Oil Exports'!EZ$88</f>
        <v>0</v>
      </c>
      <c r="G43" s="82">
        <f>'[2]Russia Sun Oil Exports'!FA$88</f>
        <v>0</v>
      </c>
      <c r="H43" s="82">
        <f>'[2]Russia Sun Oil Exports'!FB$88</f>
        <v>0</v>
      </c>
      <c r="I43" s="82">
        <f>'[2]Russia Sun Oil Exports'!FC$88</f>
        <v>0</v>
      </c>
      <c r="J43" s="82">
        <f>'[2]Russia Sun Oil Exports'!FD$88</f>
        <v>0</v>
      </c>
      <c r="K43" s="82">
        <f>'[2]Russia Sun Oil Exports'!FE$88</f>
        <v>0</v>
      </c>
      <c r="L43" s="82">
        <f>'[2]Russia Sun Oil Exports'!FF$88</f>
        <v>0</v>
      </c>
      <c r="M43" s="82">
        <f>'[2]Russia Sun Oil Exports'!FG$88</f>
        <v>0</v>
      </c>
      <c r="N43" s="82">
        <f t="shared" si="5"/>
        <v>0</v>
      </c>
      <c r="O43" s="82"/>
      <c r="P43" s="82">
        <f t="shared" si="6"/>
        <v>0</v>
      </c>
      <c r="Q43" s="82">
        <f t="shared" si="7"/>
        <v>0</v>
      </c>
      <c r="R43" s="82">
        <f t="shared" si="8"/>
        <v>0</v>
      </c>
      <c r="S43" s="82">
        <f t="shared" si="9"/>
        <v>0</v>
      </c>
    </row>
    <row r="44" spans="1:19" ht="16.5" hidden="1">
      <c r="A44" s="83" t="s">
        <v>66</v>
      </c>
      <c r="B44" s="82">
        <f>'[2]Russia Sun Oil Exports'!FH$88</f>
        <v>0</v>
      </c>
      <c r="C44" s="82">
        <f>'[2]Russia Sun Oil Exports'!FI$88</f>
        <v>0</v>
      </c>
      <c r="D44" s="82">
        <f>'[2]Russia Sun Oil Exports'!FJ$88</f>
        <v>0</v>
      </c>
      <c r="E44" s="82">
        <f>'[2]Russia Sun Oil Exports'!FK$88</f>
        <v>0</v>
      </c>
      <c r="F44" s="82">
        <f>'[2]Russia Sun Oil Exports'!FL$88</f>
        <v>0</v>
      </c>
      <c r="G44" s="82">
        <f>'[2]Russia Sun Oil Exports'!FM$88</f>
        <v>0</v>
      </c>
      <c r="H44" s="82">
        <f>'[2]Russia Sun Oil Exports'!FN$88</f>
        <v>0</v>
      </c>
      <c r="I44" s="82">
        <f>'[2]Russia Sun Oil Exports'!FO$88</f>
        <v>0</v>
      </c>
      <c r="J44" s="82">
        <f>'[2]Russia Sun Oil Exports'!FP$88</f>
        <v>0</v>
      </c>
      <c r="K44" s="82">
        <f>'[2]Russia Sun Oil Exports'!FQ$88</f>
        <v>0</v>
      </c>
      <c r="L44" s="82">
        <f>'[2]Russia Sun Oil Exports'!FR$88</f>
        <v>0</v>
      </c>
      <c r="M44" s="82">
        <f>'[2]Russia Sun Oil Exports'!FS$88</f>
        <v>0</v>
      </c>
      <c r="N44" s="82">
        <f t="shared" si="5"/>
        <v>0</v>
      </c>
      <c r="O44" s="82"/>
      <c r="P44" s="82">
        <f t="shared" si="6"/>
        <v>0</v>
      </c>
      <c r="Q44" s="82">
        <f t="shared" si="7"/>
        <v>0</v>
      </c>
      <c r="R44" s="82">
        <f t="shared" si="8"/>
        <v>0</v>
      </c>
      <c r="S44" s="82">
        <f t="shared" si="9"/>
        <v>0</v>
      </c>
    </row>
    <row r="45" spans="1:19" ht="16.5" hidden="1">
      <c r="A45" s="84" t="s">
        <v>67</v>
      </c>
      <c r="B45" s="82">
        <f>'[2]Russia Sun Oil Exports'!FT$88</f>
        <v>0</v>
      </c>
      <c r="C45" s="82">
        <f>'[2]Russia Sun Oil Exports'!FU$88</f>
        <v>0</v>
      </c>
      <c r="D45" s="82">
        <f>'[2]Russia Sun Oil Exports'!FV$88</f>
        <v>0</v>
      </c>
      <c r="E45" s="82">
        <f>'[2]Russia Sun Oil Exports'!FW$88</f>
        <v>0</v>
      </c>
      <c r="F45" s="82">
        <f>'[2]Russia Sun Oil Exports'!FX$88</f>
        <v>0</v>
      </c>
      <c r="G45" s="82">
        <f>'[2]Russia Sun Oil Exports'!FY$88</f>
        <v>0</v>
      </c>
      <c r="H45" s="82">
        <f>'[2]Russia Sun Oil Exports'!FZ$88</f>
        <v>0</v>
      </c>
      <c r="I45" s="82">
        <f>'[2]Russia Sun Oil Exports'!GA$88</f>
        <v>0</v>
      </c>
      <c r="J45" s="82">
        <f>'[2]Russia Sun Oil Exports'!GB$88</f>
        <v>0</v>
      </c>
      <c r="K45" s="82">
        <f>'[2]Russia Sun Oil Exports'!GC$88</f>
        <v>0</v>
      </c>
      <c r="L45" s="82">
        <f>'[2]Russia Sun Oil Exports'!GD$88</f>
        <v>0</v>
      </c>
      <c r="M45" s="82">
        <f>'[2]Russia Sun Oil Exports'!GE$88</f>
        <v>0</v>
      </c>
      <c r="N45" s="82">
        <f t="shared" si="5"/>
        <v>0</v>
      </c>
      <c r="O45" s="82"/>
      <c r="P45" s="82">
        <f t="shared" si="6"/>
        <v>0</v>
      </c>
      <c r="Q45" s="82">
        <f t="shared" si="7"/>
        <v>0</v>
      </c>
      <c r="R45" s="82">
        <f t="shared" si="8"/>
        <v>0</v>
      </c>
      <c r="S45" s="82">
        <f t="shared" si="9"/>
        <v>0</v>
      </c>
    </row>
    <row r="46" spans="1:19" ht="16.5" hidden="1">
      <c r="A46" s="83" t="s">
        <v>68</v>
      </c>
      <c r="B46" s="82">
        <f>'[2]Russia Sun Oil Exports'!GF$88</f>
        <v>0</v>
      </c>
      <c r="C46" s="82">
        <f>'[2]Russia Sun Oil Exports'!GG$88</f>
        <v>0</v>
      </c>
      <c r="D46" s="82">
        <f>'[2]Russia Sun Oil Exports'!GH$88</f>
        <v>0</v>
      </c>
      <c r="E46" s="82">
        <f>'[2]Russia Sun Oil Exports'!GI$88</f>
        <v>0</v>
      </c>
      <c r="F46" s="82">
        <f>'[2]Russia Sun Oil Exports'!GJ$88</f>
        <v>0</v>
      </c>
      <c r="G46" s="82">
        <f>'[2]Russia Sun Oil Exports'!GK$88</f>
        <v>0</v>
      </c>
      <c r="H46" s="82">
        <f>'[2]Russia Sun Oil Exports'!GL$88</f>
        <v>0</v>
      </c>
      <c r="I46" s="82">
        <f>'[2]Russia Sun Oil Exports'!GM$88</f>
        <v>0</v>
      </c>
      <c r="J46" s="82">
        <f>'[2]Russia Sun Oil Exports'!GN$88</f>
        <v>0</v>
      </c>
      <c r="K46" s="82">
        <f>'[2]Russia Sun Oil Exports'!GO$88</f>
        <v>0</v>
      </c>
      <c r="L46" s="82">
        <f>'[2]Russia Sun Oil Exports'!GP$88</f>
        <v>0</v>
      </c>
      <c r="M46" s="82">
        <f>'[2]Russia Sun Oil Exports'!GQ$88</f>
        <v>0</v>
      </c>
      <c r="N46" s="82">
        <f t="shared" si="5"/>
        <v>0</v>
      </c>
      <c r="O46" s="82"/>
      <c r="P46" s="82">
        <f t="shared" si="6"/>
        <v>0</v>
      </c>
      <c r="Q46" s="82">
        <f t="shared" si="7"/>
        <v>0</v>
      </c>
      <c r="R46" s="82">
        <f t="shared" si="8"/>
        <v>0</v>
      </c>
      <c r="S46" s="82">
        <f t="shared" si="9"/>
        <v>0</v>
      </c>
    </row>
    <row r="47" spans="1:19" ht="16.5" hidden="1">
      <c r="A47" s="84" t="s">
        <v>69</v>
      </c>
      <c r="B47" s="82">
        <f>'[2]Russia Sun Oil Exports'!GR$88</f>
        <v>0</v>
      </c>
      <c r="C47" s="82">
        <f>'[2]Russia Sun Oil Exports'!GS$88</f>
        <v>0</v>
      </c>
      <c r="D47" s="82">
        <f>'[2]Russia Sun Oil Exports'!GT$88</f>
        <v>0</v>
      </c>
      <c r="E47" s="82">
        <f>'[2]Russia Sun Oil Exports'!GU$88</f>
        <v>0</v>
      </c>
      <c r="F47" s="82">
        <f>'[2]Russia Sun Oil Exports'!GV$88</f>
        <v>0</v>
      </c>
      <c r="G47" s="82">
        <f>'[2]Russia Sun Oil Exports'!GW$88</f>
        <v>0</v>
      </c>
      <c r="H47" s="82">
        <f>'[2]Russia Sun Oil Exports'!GX$88</f>
        <v>0</v>
      </c>
      <c r="I47" s="82">
        <f>'[2]Russia Sun Oil Exports'!GY$88</f>
        <v>0</v>
      </c>
      <c r="J47" s="82">
        <f>'[2]Russia Sun Oil Exports'!GZ$88</f>
        <v>0</v>
      </c>
      <c r="K47" s="82">
        <f>'[2]Russia Sun Oil Exports'!HA$88</f>
        <v>0</v>
      </c>
      <c r="L47" s="82">
        <f>'[2]Russia Sun Oil Exports'!HB$88</f>
        <v>0</v>
      </c>
      <c r="M47" s="82">
        <f>'[2]Russia Sun Oil Exports'!HC$88</f>
        <v>0</v>
      </c>
      <c r="N47" s="82">
        <f t="shared" si="5"/>
        <v>0</v>
      </c>
      <c r="O47" s="82"/>
      <c r="P47" s="82">
        <f t="shared" si="6"/>
        <v>0</v>
      </c>
      <c r="Q47" s="82">
        <f t="shared" si="7"/>
        <v>0</v>
      </c>
      <c r="R47" s="82">
        <f t="shared" si="8"/>
        <v>0</v>
      </c>
      <c r="S47" s="82">
        <f t="shared" si="9"/>
        <v>0</v>
      </c>
    </row>
    <row r="48" spans="1:19" ht="16.5" hidden="1">
      <c r="A48" s="84" t="s">
        <v>70</v>
      </c>
      <c r="B48" s="82">
        <f>'[2]Russia Sun Oil Exports'!HD$88</f>
        <v>0</v>
      </c>
      <c r="C48" s="82">
        <f>'[2]Russia Sun Oil Exports'!HE$88</f>
        <v>0</v>
      </c>
      <c r="D48" s="82">
        <f>'[2]Russia Sun Oil Exports'!HF$88</f>
        <v>0</v>
      </c>
      <c r="E48" s="82">
        <f>'[2]Russia Sun Oil Exports'!HG$88</f>
        <v>0</v>
      </c>
      <c r="F48" s="82">
        <f>'[2]Russia Sun Oil Exports'!HH$88</f>
        <v>0</v>
      </c>
      <c r="G48" s="82">
        <f>'[2]Russia Sun Oil Exports'!HI$88</f>
        <v>0</v>
      </c>
      <c r="H48" s="82">
        <f>'[2]Russia Sun Oil Exports'!HJ$88</f>
        <v>0</v>
      </c>
      <c r="I48" s="82">
        <f>'[2]Russia Sun Oil Exports'!HK$88</f>
        <v>0</v>
      </c>
      <c r="J48" s="82">
        <f>'[2]Russia Sun Oil Exports'!HL$88</f>
        <v>0</v>
      </c>
      <c r="K48" s="82">
        <f>'[2]Russia Sun Oil Exports'!HM$88</f>
        <v>0</v>
      </c>
      <c r="L48" s="82">
        <f>'[2]Russia Sun Oil Exports'!HN$88</f>
        <v>0</v>
      </c>
      <c r="M48" s="82">
        <f>'[2]Russia Sun Oil Exports'!HO$88</f>
        <v>0</v>
      </c>
      <c r="N48" s="82">
        <f t="shared" si="5"/>
        <v>0</v>
      </c>
      <c r="O48" s="82"/>
      <c r="P48" s="82">
        <f t="shared" si="6"/>
        <v>0</v>
      </c>
      <c r="Q48" s="82">
        <f t="shared" si="7"/>
        <v>0</v>
      </c>
      <c r="R48" s="82">
        <f t="shared" si="8"/>
        <v>0</v>
      </c>
      <c r="S48" s="82">
        <f t="shared" si="9"/>
        <v>0</v>
      </c>
    </row>
    <row r="49" spans="1:21" ht="16.5" hidden="1">
      <c r="A49" s="83" t="s">
        <v>71</v>
      </c>
      <c r="B49" s="82">
        <f>'[2]Russia Sun Oil Exports'!HP$88</f>
        <v>0</v>
      </c>
      <c r="C49" s="82">
        <f>'[2]Russia Sun Oil Exports'!HQ$88</f>
        <v>0</v>
      </c>
      <c r="D49" s="82">
        <f>'[2]Russia Sun Oil Exports'!HR$88</f>
        <v>0</v>
      </c>
      <c r="E49" s="82">
        <f>'[2]Russia Sun Oil Exports'!HS$88</f>
        <v>0</v>
      </c>
      <c r="F49" s="82">
        <f>'[2]Russia Sun Oil Exports'!HT$88</f>
        <v>0</v>
      </c>
      <c r="G49" s="82">
        <f>'[2]Russia Sun Oil Exports'!HU$88</f>
        <v>0</v>
      </c>
      <c r="H49" s="82">
        <f>'[2]Russia Sun Oil Exports'!HV$88</f>
        <v>0</v>
      </c>
      <c r="I49" s="82">
        <f>'[2]Russia Sun Oil Exports'!HW$88</f>
        <v>0</v>
      </c>
      <c r="J49" s="82">
        <f>'[2]Russia Sun Oil Exports'!HX$88</f>
        <v>0</v>
      </c>
      <c r="K49" s="82">
        <f>'[2]Russia Sun Oil Exports'!HY$88</f>
        <v>0</v>
      </c>
      <c r="L49" s="82">
        <f>'[2]Russia Sun Oil Exports'!HZ$88</f>
        <v>0</v>
      </c>
      <c r="M49" s="82">
        <f>'[2]Russia Sun Oil Exports'!IA$88</f>
        <v>0</v>
      </c>
      <c r="N49" s="82">
        <f t="shared" si="5"/>
        <v>0</v>
      </c>
      <c r="O49" s="82"/>
      <c r="P49" s="82">
        <f t="shared" si="6"/>
        <v>0</v>
      </c>
      <c r="Q49" s="82">
        <f t="shared" si="7"/>
        <v>0</v>
      </c>
      <c r="R49" s="82">
        <f t="shared" si="8"/>
        <v>0</v>
      </c>
      <c r="S49" s="82">
        <f t="shared" si="9"/>
        <v>0</v>
      </c>
    </row>
    <row r="50" spans="1:21" ht="16.5" hidden="1">
      <c r="A50" s="84" t="s">
        <v>72</v>
      </c>
      <c r="B50" s="82">
        <f>'[2]Russia Sun Oil Exports'!IB$88</f>
        <v>0</v>
      </c>
      <c r="C50" s="82">
        <f>'[2]Russia Sun Oil Exports'!IC$88</f>
        <v>0</v>
      </c>
      <c r="D50" s="82">
        <f>'[2]Russia Sun Oil Exports'!ID$88</f>
        <v>0</v>
      </c>
      <c r="E50" s="82">
        <f>'[2]Russia Sun Oil Exports'!IE$88</f>
        <v>0</v>
      </c>
      <c r="F50" s="82">
        <f>'[2]Russia Sun Oil Exports'!IF$88</f>
        <v>0</v>
      </c>
      <c r="G50" s="82">
        <f>'[2]Russia Sun Oil Exports'!IG$88</f>
        <v>0</v>
      </c>
      <c r="H50" s="82">
        <f>'[2]Russia Sun Oil Exports'!IH$88</f>
        <v>0</v>
      </c>
      <c r="I50" s="82">
        <f>'[2]Russia Sun Oil Exports'!II$88</f>
        <v>0</v>
      </c>
      <c r="J50" s="82">
        <f>'[2]Russia Sun Oil Exports'!IJ$88</f>
        <v>0</v>
      </c>
      <c r="K50" s="82">
        <f>'[2]Russia Sun Oil Exports'!IK$88</f>
        <v>0</v>
      </c>
      <c r="L50" s="82">
        <f>'[2]Russia Sun Oil Exports'!IL$88</f>
        <v>0</v>
      </c>
      <c r="M50" s="82">
        <f>'[2]Russia Sun Oil Exports'!IM$88</f>
        <v>0</v>
      </c>
      <c r="N50" s="82">
        <f t="shared" si="5"/>
        <v>0</v>
      </c>
      <c r="O50" s="82"/>
      <c r="P50" s="82">
        <f t="shared" si="6"/>
        <v>0</v>
      </c>
      <c r="Q50" s="82">
        <f t="shared" si="7"/>
        <v>0</v>
      </c>
      <c r="R50" s="82">
        <f t="shared" si="8"/>
        <v>0</v>
      </c>
      <c r="S50" s="82">
        <f t="shared" si="9"/>
        <v>0</v>
      </c>
    </row>
    <row r="51" spans="1:21" ht="16.5" hidden="1">
      <c r="A51" s="83" t="s">
        <v>73</v>
      </c>
      <c r="B51" s="82">
        <f>'[2]Russia Sun Oil Exports'!IN$88</f>
        <v>0</v>
      </c>
      <c r="C51" s="82">
        <f>'[2]Russia Sun Oil Exports'!IO$88</f>
        <v>0</v>
      </c>
      <c r="D51" s="82">
        <f>'[2]Russia Sun Oil Exports'!IP$88</f>
        <v>0</v>
      </c>
      <c r="E51" s="82">
        <f>'[2]Russia Sun Oil Exports'!IQ$88</f>
        <v>1.4E-2</v>
      </c>
      <c r="F51" s="82">
        <f>'[2]Russia Sun Oil Exports'!IR$88</f>
        <v>0</v>
      </c>
      <c r="G51" s="82">
        <f>'[2]Russia Sun Oil Exports'!IS$88</f>
        <v>0</v>
      </c>
      <c r="H51" s="82">
        <f>'[2]Russia Sun Oil Exports'!IT$88</f>
        <v>0</v>
      </c>
      <c r="I51" s="82">
        <f>'[2]Russia Sun Oil Exports'!IU$88</f>
        <v>0</v>
      </c>
      <c r="J51" s="82">
        <f>'[2]Russia Sun Oil Exports'!IV$88</f>
        <v>0</v>
      </c>
      <c r="K51" s="82">
        <f>'[2]Russia Sun Oil Exports'!IW$88</f>
        <v>0</v>
      </c>
      <c r="L51" s="82">
        <f>'[2]Russia Sun Oil Exports'!IX$88</f>
        <v>0</v>
      </c>
      <c r="M51" s="82">
        <f>'[2]Russia Sun Oil Exports'!IY$88</f>
        <v>0</v>
      </c>
      <c r="N51" s="82">
        <f t="shared" si="5"/>
        <v>1.4E-2</v>
      </c>
      <c r="O51" s="82"/>
      <c r="P51" s="82">
        <f t="shared" si="6"/>
        <v>0</v>
      </c>
      <c r="Q51" s="82">
        <f t="shared" si="7"/>
        <v>1.4E-2</v>
      </c>
      <c r="R51" s="82">
        <f t="shared" si="8"/>
        <v>0</v>
      </c>
      <c r="S51" s="82">
        <f t="shared" si="9"/>
        <v>0</v>
      </c>
    </row>
    <row r="52" spans="1:21" ht="16.5" hidden="1">
      <c r="A52" s="83" t="s">
        <v>74</v>
      </c>
      <c r="B52" s="82">
        <f>'[2]Russia Sun Oil Exports'!IZ$88</f>
        <v>2.5000000000000001E-2</v>
      </c>
      <c r="C52" s="82">
        <f>'[2]Russia Sun Oil Exports'!JA$88</f>
        <v>0</v>
      </c>
      <c r="D52" s="82">
        <f>'[2]Russia Sun Oil Exports'!JB$88</f>
        <v>0</v>
      </c>
      <c r="E52" s="82">
        <f>'[2]Russia Sun Oil Exports'!JC$88</f>
        <v>1.4E-2</v>
      </c>
      <c r="F52" s="82">
        <f>'[2]Russia Sun Oil Exports'!JD$88</f>
        <v>0</v>
      </c>
      <c r="G52" s="82">
        <f>'[2]Russia Sun Oil Exports'!JE$88</f>
        <v>0</v>
      </c>
      <c r="H52" s="82">
        <f>'[2]Russia Sun Oil Exports'!JF$88</f>
        <v>2.5999999999999999E-2</v>
      </c>
      <c r="I52" s="82">
        <f>'[2]Russia Sun Oil Exports'!JG$88</f>
        <v>0</v>
      </c>
      <c r="J52" s="82">
        <f>'[2]Russia Sun Oil Exports'!JH$88</f>
        <v>0.61699999999999999</v>
      </c>
      <c r="K52" s="82">
        <f>'[2]Russia Sun Oil Exports'!JI$88</f>
        <v>2.5999999999999999E-2</v>
      </c>
      <c r="L52" s="82">
        <f>'[2]Russia Sun Oil Exports'!JJ$88</f>
        <v>1.5089999999999999</v>
      </c>
      <c r="M52" s="82">
        <f>'[2]Russia Sun Oil Exports'!JK$88</f>
        <v>0</v>
      </c>
      <c r="N52" s="82">
        <f t="shared" si="5"/>
        <v>2.2169999999999996</v>
      </c>
      <c r="O52" s="82"/>
      <c r="P52" s="82">
        <f t="shared" si="6"/>
        <v>2.5000000000000001E-2</v>
      </c>
      <c r="Q52" s="82">
        <f t="shared" si="7"/>
        <v>1.4E-2</v>
      </c>
      <c r="R52" s="82">
        <f t="shared" si="8"/>
        <v>0.64300000000000002</v>
      </c>
      <c r="S52" s="82">
        <f t="shared" si="9"/>
        <v>1.5349999999999999</v>
      </c>
    </row>
    <row r="53" spans="1:21" ht="16.5" hidden="1">
      <c r="A53" s="83" t="s">
        <v>75</v>
      </c>
      <c r="B53" s="82">
        <f>'[2]Russia Sun Oil Exports'!JL$88</f>
        <v>0.996</v>
      </c>
      <c r="C53" s="82">
        <f>'[2]Russia Sun Oil Exports'!JM$88</f>
        <v>0.97</v>
      </c>
      <c r="D53" s="82">
        <f>'[2]Russia Sun Oil Exports'!JN$88</f>
        <v>4.4999999999999998E-2</v>
      </c>
      <c r="E53" s="82">
        <f>'[2]Russia Sun Oil Exports'!JO$88</f>
        <v>0.02</v>
      </c>
      <c r="F53" s="82">
        <f>'[2]Russia Sun Oil Exports'!JP$88</f>
        <v>2.5000000000000001E-2</v>
      </c>
      <c r="G53" s="82">
        <f>'[2]Russia Sun Oil Exports'!JQ$88</f>
        <v>2.8000000000000001E-2</v>
      </c>
      <c r="H53" s="82">
        <f>'[2]Russia Sun Oil Exports'!JR$88</f>
        <v>0.312</v>
      </c>
      <c r="I53" s="82">
        <f>'[2]Russia Sun Oil Exports'!JS$88</f>
        <v>2.4009999999999998</v>
      </c>
      <c r="J53" s="82">
        <f>'[2]Russia Sun Oil Exports'!JT$88</f>
        <v>8.1000000000000003E-2</v>
      </c>
      <c r="K53" s="82">
        <f>'[2]Russia Sun Oil Exports'!JU$88</f>
        <v>0.13800000000000001</v>
      </c>
      <c r="L53" s="82">
        <f>'[2]Russia Sun Oil Exports'!JV$88</f>
        <v>8.4000000000000005E-2</v>
      </c>
      <c r="M53" s="82">
        <f>'[2]Russia Sun Oil Exports'!JW$88</f>
        <v>0.77200000000000002</v>
      </c>
      <c r="N53" s="82">
        <f t="shared" si="5"/>
        <v>5.8719999999999999</v>
      </c>
      <c r="O53" s="82"/>
      <c r="P53" s="82">
        <f t="shared" si="6"/>
        <v>2.0110000000000001</v>
      </c>
      <c r="Q53" s="82">
        <f t="shared" si="7"/>
        <v>7.2999999999999995E-2</v>
      </c>
      <c r="R53" s="82">
        <f t="shared" si="8"/>
        <v>2.7939999999999996</v>
      </c>
      <c r="S53" s="82">
        <f t="shared" si="9"/>
        <v>0.99399999999999999</v>
      </c>
    </row>
    <row r="54" spans="1:21" ht="16.5" hidden="1">
      <c r="A54" s="83" t="s">
        <v>76</v>
      </c>
      <c r="B54" s="82">
        <f>'[2]Russia Sun Oil Exports'!JX$88</f>
        <v>0.115</v>
      </c>
      <c r="C54" s="82">
        <f>'[2]Russia Sun Oil Exports'!JY$88</f>
        <v>2.6469999999999998</v>
      </c>
      <c r="D54" s="82">
        <f>'[2]Russia Sun Oil Exports'!JZ$88</f>
        <v>3.38</v>
      </c>
      <c r="E54" s="82">
        <f>'[2]Russia Sun Oil Exports'!KA$88</f>
        <v>0.41199999999999998</v>
      </c>
      <c r="F54" s="82">
        <f>'[2]Russia Sun Oil Exports'!KB$88</f>
        <v>3.2360000000000002</v>
      </c>
      <c r="G54" s="82">
        <f>'[2]Russia Sun Oil Exports'!KC$88</f>
        <v>1.621</v>
      </c>
      <c r="H54" s="82">
        <f>'[2]Russia Sun Oil Exports'!KD$88</f>
        <v>3.2770000000000001</v>
      </c>
      <c r="I54" s="82">
        <f>'[2]Russia Sun Oil Exports'!KE$88</f>
        <v>3.5840000000000001</v>
      </c>
      <c r="J54" s="82">
        <f>'[2]Russia Sun Oil Exports'!KF$88</f>
        <v>0.76300000000000001</v>
      </c>
      <c r="K54" s="82">
        <f>'[2]Russia Sun Oil Exports'!KG$88</f>
        <v>3.6560000000000001</v>
      </c>
      <c r="L54" s="82">
        <f>'[2]Russia Sun Oil Exports'!KH$88</f>
        <v>0.25</v>
      </c>
      <c r="M54" s="82">
        <f>'[2]Russia Sun Oil Exports'!KI$88</f>
        <v>0.223</v>
      </c>
      <c r="N54" s="82">
        <f t="shared" si="5"/>
        <v>23.163999999999998</v>
      </c>
      <c r="O54" s="82"/>
      <c r="P54" s="82">
        <f t="shared" si="6"/>
        <v>6.1419999999999995</v>
      </c>
      <c r="Q54" s="82">
        <f t="shared" si="7"/>
        <v>5.2690000000000001</v>
      </c>
      <c r="R54" s="82">
        <f t="shared" si="8"/>
        <v>7.6240000000000006</v>
      </c>
      <c r="S54" s="82">
        <f t="shared" si="9"/>
        <v>4.1290000000000004</v>
      </c>
    </row>
    <row r="55" spans="1:21" ht="16.5" hidden="1">
      <c r="A55" s="83" t="s">
        <v>77</v>
      </c>
      <c r="B55" s="82">
        <f>'[2]Russia Sun Oil Exports'!KJ$88</f>
        <v>1.744</v>
      </c>
      <c r="C55" s="82">
        <f>'[2]Russia Sun Oil Exports'!KK$88</f>
        <v>7.4809999999999999</v>
      </c>
      <c r="D55" s="82">
        <f>'[2]Russia Sun Oil Exports'!KL$88</f>
        <v>18.484999999999999</v>
      </c>
      <c r="E55" s="82">
        <f>'[2]Russia Sun Oil Exports'!KM$88</f>
        <v>11.706</v>
      </c>
      <c r="F55" s="82">
        <f>'[2]Russia Sun Oil Exports'!KN$88</f>
        <v>23.956</v>
      </c>
      <c r="G55" s="82">
        <f>'[2]Russia Sun Oil Exports'!KO$88</f>
        <v>14.077</v>
      </c>
      <c r="H55" s="82">
        <f>'[2]Russia Sun Oil Exports'!KP$88</f>
        <v>21.893000000000001</v>
      </c>
      <c r="I55" s="82">
        <f>'[2]Russia Sun Oil Exports'!KQ$88</f>
        <v>12.670999999999999</v>
      </c>
      <c r="J55" s="82">
        <f>'[2]Russia Sun Oil Exports'!KR$88</f>
        <v>8.6750000000000007</v>
      </c>
      <c r="K55" s="82">
        <f>'[2]Russia Sun Oil Exports'!KS$88</f>
        <v>7.6189999999999998</v>
      </c>
      <c r="L55" s="82">
        <f>'[2]Russia Sun Oil Exports'!KT$88</f>
        <v>3.9950000000000001</v>
      </c>
      <c r="M55" s="82">
        <f>'[2]Russia Sun Oil Exports'!KU$88</f>
        <v>2.1789999999999998</v>
      </c>
      <c r="N55" s="82">
        <f t="shared" si="5"/>
        <v>134.48100000000002</v>
      </c>
      <c r="O55" s="82"/>
      <c r="P55" s="82">
        <f t="shared" si="6"/>
        <v>27.71</v>
      </c>
      <c r="Q55" s="82">
        <f t="shared" si="7"/>
        <v>49.738999999999997</v>
      </c>
      <c r="R55" s="82">
        <f t="shared" si="8"/>
        <v>43.239000000000004</v>
      </c>
      <c r="S55" s="82">
        <f t="shared" si="9"/>
        <v>13.793000000000001</v>
      </c>
    </row>
    <row r="56" spans="1:21" ht="16.5" hidden="1">
      <c r="A56" s="83" t="s">
        <v>78</v>
      </c>
      <c r="B56" s="82">
        <f>'[2]Russia Sun Oil Exports'!KV$88</f>
        <v>7.2990000000000004</v>
      </c>
      <c r="C56" s="82">
        <f>'[2]Russia Sun Oil Exports'!KW$88</f>
        <v>8.2769999999999992</v>
      </c>
      <c r="D56" s="82">
        <f>'[2]Russia Sun Oil Exports'!KX$88</f>
        <v>7.2320000000000002</v>
      </c>
      <c r="E56" s="82">
        <f>'[2]Russia Sun Oil Exports'!KY$88</f>
        <v>14.297000000000001</v>
      </c>
      <c r="F56" s="82">
        <f>'[2]Russia Sun Oil Exports'!KZ$88</f>
        <v>17.36</v>
      </c>
      <c r="G56" s="82">
        <f>'[2]Russia Sun Oil Exports'!LA$88</f>
        <v>4.3109999999999999</v>
      </c>
      <c r="H56" s="82">
        <f>'[2]Russia Sun Oil Exports'!LB$88</f>
        <v>12.74</v>
      </c>
      <c r="I56" s="82">
        <f>'[2]Russia Sun Oil Exports'!LC$88</f>
        <v>3.161</v>
      </c>
      <c r="J56" s="82">
        <f>'[2]Russia Sun Oil Exports'!LD$88</f>
        <v>15.409668999999999</v>
      </c>
      <c r="K56" s="82">
        <f>'[2]Russia Sun Oil Exports'!LE$88</f>
        <v>2.6602440000000001</v>
      </c>
      <c r="L56" s="82">
        <f>'[2]Russia Sun Oil Exports'!LF$88</f>
        <v>9.6829029999999996</v>
      </c>
      <c r="M56" s="82">
        <f>'[2]Russia Sun Oil Exports'!LG$88</f>
        <v>24.085128000000001</v>
      </c>
      <c r="N56" s="82">
        <f t="shared" si="5"/>
        <v>126.514944</v>
      </c>
      <c r="O56" s="82"/>
      <c r="P56" s="82">
        <f t="shared" si="6"/>
        <v>22.808</v>
      </c>
      <c r="Q56" s="82">
        <f t="shared" si="7"/>
        <v>35.968000000000004</v>
      </c>
      <c r="R56" s="82">
        <f t="shared" si="8"/>
        <v>31.310668999999997</v>
      </c>
      <c r="S56" s="82">
        <f t="shared" si="9"/>
        <v>36.428274999999999</v>
      </c>
    </row>
    <row r="57" spans="1:21" ht="16.5" hidden="1">
      <c r="A57" s="83" t="s">
        <v>79</v>
      </c>
      <c r="B57" s="82">
        <f>'[2]Russia Sun Oil Exports'!LH$88</f>
        <v>3.8376670000000002</v>
      </c>
      <c r="C57" s="82">
        <f>'[2]Russia Sun Oil Exports'!LI$88</f>
        <v>7.8374259999999998</v>
      </c>
      <c r="D57" s="82">
        <f>'[2]Russia Sun Oil Exports'!LJ$88</f>
        <v>32.368347999999997</v>
      </c>
      <c r="E57" s="82">
        <f>'[2]Russia Sun Oil Exports'!LK$88</f>
        <v>2.4994519999999998</v>
      </c>
      <c r="F57" s="82">
        <f>'[2]Russia Sun Oil Exports'!LL$88</f>
        <v>30.609480000000001</v>
      </c>
      <c r="G57" s="82">
        <f>'[2]Russia Sun Oil Exports'!LM$88</f>
        <v>17.762045000000001</v>
      </c>
      <c r="H57" s="82">
        <f>'[2]Russia Sun Oil Exports'!LN$88</f>
        <v>1.7398439999999999</v>
      </c>
      <c r="I57" s="82">
        <f>'[2]Russia Sun Oil Exports'!LO$88</f>
        <v>26.574925</v>
      </c>
      <c r="J57" s="82">
        <f>'[2]Russia Sun Oil Exports'!LP$88</f>
        <v>36.713355</v>
      </c>
      <c r="K57" s="82">
        <f>'[2]Russia Sun Oil Exports'!LQ$88</f>
        <v>4.2336689999999999</v>
      </c>
      <c r="L57" s="82">
        <f>'[2]Russia Sun Oil Exports'!LR$88</f>
        <v>34.446356999999999</v>
      </c>
      <c r="M57" s="82">
        <f>'[2]Russia Sun Oil Exports'!LS$88</f>
        <v>11.555602</v>
      </c>
      <c r="N57" s="82">
        <f t="shared" si="5"/>
        <v>210.17816999999999</v>
      </c>
      <c r="O57" s="82"/>
      <c r="P57" s="82">
        <f t="shared" si="6"/>
        <v>44.043441000000001</v>
      </c>
      <c r="Q57" s="82">
        <f t="shared" si="7"/>
        <v>50.870977000000003</v>
      </c>
      <c r="R57" s="82">
        <f t="shared" si="8"/>
        <v>65.028124000000005</v>
      </c>
      <c r="S57" s="82">
        <f t="shared" si="9"/>
        <v>50.235627999999998</v>
      </c>
    </row>
    <row r="58" spans="1:21" ht="16.5">
      <c r="A58" s="103" t="s">
        <v>80</v>
      </c>
      <c r="B58" s="82">
        <f>'[2]Russia Sun Oil Exports'!LT$88</f>
        <v>3.182242</v>
      </c>
      <c r="C58" s="82">
        <f>'[2]Russia Sun Oil Exports'!LU$88</f>
        <v>5.7413920000000003</v>
      </c>
      <c r="D58" s="82">
        <f>'[2]Russia Sun Oil Exports'!LV$88</f>
        <v>27.527318000000001</v>
      </c>
      <c r="E58" s="82">
        <f>'[2]Russia Sun Oil Exports'!LW$88</f>
        <v>8.1961119999999994</v>
      </c>
      <c r="F58" s="82">
        <f>'[2]Russia Sun Oil Exports'!LX$88</f>
        <v>15.457433999999999</v>
      </c>
      <c r="G58" s="82">
        <f>'[2]Russia Sun Oil Exports'!LY$88</f>
        <v>12.801622999999999</v>
      </c>
      <c r="H58" s="82">
        <f>'[2]Russia Sun Oil Exports'!LZ$88</f>
        <v>30.480912</v>
      </c>
      <c r="I58" s="82">
        <f>'[2]Russia Sun Oil Exports'!MA$88</f>
        <v>30.726984000000002</v>
      </c>
      <c r="J58" s="82">
        <f>'[2]Russia Sun Oil Exports'!MB$88</f>
        <v>11.120998999999999</v>
      </c>
      <c r="K58" s="82">
        <f>'[2]Russia Sun Oil Exports'!MC$88</f>
        <v>29.766155999999999</v>
      </c>
      <c r="L58" s="82">
        <f>'[2]Russia Sun Oil Exports'!MD$88</f>
        <v>55.919711999999997</v>
      </c>
      <c r="M58" s="82">
        <f>'[2]Russia Sun Oil Exports'!ME$88</f>
        <v>48.706209000000001</v>
      </c>
      <c r="N58" s="82">
        <f t="shared" si="5"/>
        <v>279.627093</v>
      </c>
      <c r="O58" s="82"/>
      <c r="P58" s="82">
        <f t="shared" si="6"/>
        <v>36.450952000000001</v>
      </c>
      <c r="Q58" s="82">
        <f t="shared" si="7"/>
        <v>36.455168999999998</v>
      </c>
      <c r="R58" s="82">
        <f t="shared" si="8"/>
        <v>72.328895000000003</v>
      </c>
      <c r="S58" s="82">
        <f t="shared" si="9"/>
        <v>134.392077</v>
      </c>
    </row>
    <row r="59" spans="1:21" ht="16.5">
      <c r="A59" s="103" t="s">
        <v>81</v>
      </c>
      <c r="B59" s="82">
        <f>'[2]Russia Sun Oil Exports'!MF$88</f>
        <v>44.511986999999998</v>
      </c>
      <c r="C59" s="82">
        <f>'[2]Russia Sun Oil Exports'!MG$88</f>
        <v>20.554193999999999</v>
      </c>
      <c r="D59" s="82">
        <f>'[2]Russia Sun Oil Exports'!MH$88</f>
        <v>81.879011000000006</v>
      </c>
      <c r="E59" s="82">
        <f>'[2]Russia Sun Oil Exports'!MI$88</f>
        <v>16.320573</v>
      </c>
      <c r="F59" s="82">
        <f>'[2]Russia Sun Oil Exports'!MJ$88</f>
        <v>71.140647999999999</v>
      </c>
      <c r="G59" s="82">
        <f>'[2]Russia Sun Oil Exports'!MK$88</f>
        <v>100.524024</v>
      </c>
      <c r="H59" s="82">
        <f>'[2]Russia Sun Oil Exports'!ML$88</f>
        <v>64.654798</v>
      </c>
      <c r="I59" s="82">
        <f>'[2]Russia Sun Oil Exports'!MM$88</f>
        <v>66.902749999999997</v>
      </c>
      <c r="J59" s="82">
        <f>'[2]Russia Sun Oil Exports'!MN$88</f>
        <v>82.198121999999998</v>
      </c>
      <c r="K59" s="82">
        <f>'[2]Russia Sun Oil Exports'!MO$88</f>
        <v>77.934293999999994</v>
      </c>
      <c r="L59" s="82">
        <f>'[2]Russia Sun Oil Exports'!MP$88</f>
        <v>99.282826</v>
      </c>
      <c r="M59" s="82">
        <f>'[2]Russia Sun Oil Exports'!MQ$88</f>
        <v>15.980399999999999</v>
      </c>
      <c r="N59" s="82">
        <f>SUM(B59:M59)</f>
        <v>741.88362700000005</v>
      </c>
      <c r="O59" s="82"/>
      <c r="P59" s="82">
        <f t="shared" si="6"/>
        <v>146.94519199999999</v>
      </c>
      <c r="Q59" s="82">
        <f t="shared" si="7"/>
        <v>187.98524499999999</v>
      </c>
      <c r="R59" s="82">
        <f t="shared" si="8"/>
        <v>213.75567000000001</v>
      </c>
      <c r="S59" s="82">
        <f t="shared" si="9"/>
        <v>193.19752</v>
      </c>
    </row>
    <row r="60" spans="1:21" ht="17.25" thickBot="1">
      <c r="A60" s="103" t="s">
        <v>82</v>
      </c>
      <c r="B60" s="82">
        <f>'[2]Russia Sun Oil Exports'!MR$88</f>
        <v>33.858013</v>
      </c>
      <c r="C60" s="82">
        <f>'[2]Russia Sun Oil Exports'!MS$88</f>
        <v>81.196948000000006</v>
      </c>
      <c r="D60" s="82">
        <f>'[2]Russia Sun Oil Exports'!MT$88</f>
        <v>60.270864000000003</v>
      </c>
      <c r="E60" s="82">
        <f>'[2]Russia Sun Oil Exports'!MU$88</f>
        <v>37.749000000000002</v>
      </c>
      <c r="F60" s="82">
        <f>'[2]Russia Sun Oil Exports'!MV$88</f>
        <v>18.911000000000001</v>
      </c>
      <c r="G60" s="82">
        <f>'[2]Russia Sun Oil Exports'!MW$88</f>
        <v>111.306</v>
      </c>
      <c r="H60" s="82">
        <f>'[2]Russia Sun Oil Exports'!MX$88</f>
        <v>49.784999999999997</v>
      </c>
      <c r="I60" s="82">
        <f>'[2]Russia Sun Oil Exports'!MY$88</f>
        <v>6.6059999999999999</v>
      </c>
      <c r="J60" s="82">
        <f>'[2]Russia Sun Oil Exports'!MZ$88</f>
        <v>7.8090000000000002</v>
      </c>
      <c r="K60" s="82">
        <f>'[2]Russia Sun Oil Exports'!NA$88</f>
        <v>10.083</v>
      </c>
      <c r="L60" s="82">
        <f>'[2]Russia Sun Oil Exports'!NB$88</f>
        <v>3.9630000000000001</v>
      </c>
      <c r="M60" s="82">
        <f>'[2]Russia Sun Oil Exports'!NC$88</f>
        <v>0.25</v>
      </c>
      <c r="N60" s="82">
        <f>SUM(B60:M60)</f>
        <v>421.78782500000005</v>
      </c>
      <c r="O60" s="82"/>
      <c r="P60" s="82">
        <f t="shared" si="6"/>
        <v>175.32582500000001</v>
      </c>
      <c r="Q60" s="82">
        <f t="shared" si="7"/>
        <v>167.96600000000001</v>
      </c>
      <c r="R60" s="82">
        <f t="shared" si="8"/>
        <v>64.2</v>
      </c>
      <c r="S60" s="82">
        <f t="shared" si="9"/>
        <v>14.295999999999999</v>
      </c>
    </row>
    <row r="61" spans="1:21" ht="16.5">
      <c r="A61" s="104" t="s">
        <v>109</v>
      </c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6"/>
      <c r="Q61" s="106"/>
      <c r="R61" s="106"/>
      <c r="S61" s="106"/>
      <c r="U61" s="107"/>
    </row>
    <row r="62" spans="1:21" ht="16.5" hidden="1">
      <c r="A62" s="81" t="s">
        <v>84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27"/>
      <c r="P62" s="82"/>
      <c r="Q62" s="82"/>
      <c r="R62" s="82"/>
      <c r="S62" s="82"/>
    </row>
    <row r="63" spans="1:21" ht="16.5" hidden="1">
      <c r="A63" s="81" t="s">
        <v>56</v>
      </c>
      <c r="B63" s="82">
        <f>'[2]Ukraine Sun Oil Exports'!AS$88</f>
        <v>0</v>
      </c>
      <c r="C63" s="82">
        <f>'[2]Ukraine Sun Oil Exports'!AT$88</f>
        <v>0</v>
      </c>
      <c r="D63" s="82">
        <f>'[2]Ukraine Sun Oil Exports'!AU$88</f>
        <v>0</v>
      </c>
      <c r="E63" s="82">
        <f>'[2]Ukraine Sun Oil Exports'!AV$88</f>
        <v>0</v>
      </c>
      <c r="F63" s="82">
        <f>'[2]Ukraine Sun Oil Exports'!AW$88</f>
        <v>0</v>
      </c>
      <c r="G63" s="82">
        <f>'[2]Ukraine Sun Oil Exports'!AX$88</f>
        <v>0</v>
      </c>
      <c r="H63" s="82">
        <f>'[2]Ukraine Sun Oil Exports'!AY$88</f>
        <v>0</v>
      </c>
      <c r="I63" s="82">
        <f>'[2]Ukraine Sun Oil Exports'!AZ$88</f>
        <v>0</v>
      </c>
      <c r="J63" s="82">
        <f>'[2]Ukraine Sun Oil Exports'!BA$88</f>
        <v>0</v>
      </c>
      <c r="K63" s="82">
        <f>'[2]Ukraine Sun Oil Exports'!BB$88</f>
        <v>0</v>
      </c>
      <c r="L63" s="82">
        <f>'[2]Ukraine Sun Oil Exports'!BC$88</f>
        <v>0</v>
      </c>
      <c r="M63" s="82">
        <f>'[2]Ukraine Sun Oil Exports'!BD$88</f>
        <v>0</v>
      </c>
      <c r="N63" s="82">
        <f t="shared" ref="N63:N87" si="10">SUM(B63:M63)</f>
        <v>0</v>
      </c>
      <c r="O63" s="27"/>
      <c r="P63" s="82">
        <f>D63+B63+C63</f>
        <v>0</v>
      </c>
      <c r="Q63" s="82">
        <f>SUM(E63:G63)</f>
        <v>0</v>
      </c>
      <c r="R63" s="82">
        <f>SUM(H63:J63)</f>
        <v>0</v>
      </c>
      <c r="S63" s="82">
        <f>SUM(K63:M63)</f>
        <v>0</v>
      </c>
    </row>
    <row r="64" spans="1:21" ht="16.5" hidden="1">
      <c r="A64" s="81" t="s">
        <v>57</v>
      </c>
      <c r="B64" s="82">
        <f>'[2]Ukraine Sun Oil Exports'!BE$88</f>
        <v>0</v>
      </c>
      <c r="C64" s="82">
        <f>'[2]Ukraine Sun Oil Exports'!BF$88</f>
        <v>0</v>
      </c>
      <c r="D64" s="82">
        <f>'[2]Ukraine Sun Oil Exports'!BG$88</f>
        <v>0</v>
      </c>
      <c r="E64" s="82">
        <f>'[2]Ukraine Sun Oil Exports'!BH$88</f>
        <v>0</v>
      </c>
      <c r="F64" s="82">
        <f>'[2]Ukraine Sun Oil Exports'!BI$88</f>
        <v>0</v>
      </c>
      <c r="G64" s="82">
        <f>'[2]Ukraine Sun Oil Exports'!BJ$88</f>
        <v>0</v>
      </c>
      <c r="H64" s="82">
        <f>'[2]Ukraine Sun Oil Exports'!BK$88</f>
        <v>0</v>
      </c>
      <c r="I64" s="82">
        <f>'[2]Ukraine Sun Oil Exports'!BL$88</f>
        <v>0</v>
      </c>
      <c r="J64" s="82">
        <f>'[2]Ukraine Sun Oil Exports'!BM$88</f>
        <v>0</v>
      </c>
      <c r="K64" s="82">
        <f>'[2]Ukraine Sun Oil Exports'!BN$88</f>
        <v>0</v>
      </c>
      <c r="L64" s="82">
        <f>'[2]Ukraine Sun Oil Exports'!BO$88</f>
        <v>0</v>
      </c>
      <c r="M64" s="82">
        <f>'[2]Ukraine Sun Oil Exports'!BP$88</f>
        <v>0</v>
      </c>
      <c r="N64" s="82">
        <f t="shared" si="10"/>
        <v>0</v>
      </c>
      <c r="O64" s="27"/>
      <c r="P64" s="82">
        <f t="shared" ref="P64:P89" si="11">D64+B64+C64</f>
        <v>0</v>
      </c>
      <c r="Q64" s="82">
        <f t="shared" ref="Q64:Q89" si="12">SUM(E64:G64)</f>
        <v>0</v>
      </c>
      <c r="R64" s="82">
        <f t="shared" ref="R64:R89" si="13">SUM(H64:J64)</f>
        <v>0</v>
      </c>
      <c r="S64" s="82">
        <f t="shared" ref="S64:S89" si="14">SUM(K64:M64)</f>
        <v>0</v>
      </c>
    </row>
    <row r="65" spans="1:19" ht="16.5" hidden="1">
      <c r="A65" s="81" t="s">
        <v>58</v>
      </c>
      <c r="B65" s="82">
        <f>'[2]Ukraine Sun Oil Exports'!BQ$88</f>
        <v>0</v>
      </c>
      <c r="C65" s="82">
        <f>'[2]Ukraine Sun Oil Exports'!BR$88</f>
        <v>0</v>
      </c>
      <c r="D65" s="82">
        <f>'[2]Ukraine Sun Oil Exports'!BS$88</f>
        <v>0</v>
      </c>
      <c r="E65" s="82">
        <f>'[2]Ukraine Sun Oil Exports'!BT$88</f>
        <v>0</v>
      </c>
      <c r="F65" s="82">
        <f>'[2]Ukraine Sun Oil Exports'!BU$88</f>
        <v>0</v>
      </c>
      <c r="G65" s="82">
        <f>'[2]Ukraine Sun Oil Exports'!BV$88</f>
        <v>0</v>
      </c>
      <c r="H65" s="82">
        <f>'[2]Ukraine Sun Oil Exports'!BW$88</f>
        <v>0</v>
      </c>
      <c r="I65" s="82">
        <f>'[2]Ukraine Sun Oil Exports'!BX$88</f>
        <v>0</v>
      </c>
      <c r="J65" s="82">
        <f>'[2]Ukraine Sun Oil Exports'!BY$88</f>
        <v>0</v>
      </c>
      <c r="K65" s="82">
        <f>'[2]Ukraine Sun Oil Exports'!BZ$88</f>
        <v>0</v>
      </c>
      <c r="L65" s="82">
        <f>'[2]Ukraine Sun Oil Exports'!CA$88</f>
        <v>0</v>
      </c>
      <c r="M65" s="82">
        <f>'[2]Ukraine Sun Oil Exports'!CB$88</f>
        <v>0</v>
      </c>
      <c r="N65" s="82">
        <f t="shared" si="10"/>
        <v>0</v>
      </c>
      <c r="O65" s="27"/>
      <c r="P65" s="82">
        <f t="shared" si="11"/>
        <v>0</v>
      </c>
      <c r="Q65" s="82">
        <f t="shared" si="12"/>
        <v>0</v>
      </c>
      <c r="R65" s="82">
        <f t="shared" si="13"/>
        <v>0</v>
      </c>
      <c r="S65" s="82">
        <f t="shared" si="14"/>
        <v>0</v>
      </c>
    </row>
    <row r="66" spans="1:19" ht="16.5" hidden="1">
      <c r="A66" s="81" t="s">
        <v>59</v>
      </c>
      <c r="B66" s="82">
        <f>'[2]Ukraine Sun Oil Exports'!CC$88</f>
        <v>0</v>
      </c>
      <c r="C66" s="82">
        <f>'[2]Ukraine Sun Oil Exports'!CD$88</f>
        <v>0</v>
      </c>
      <c r="D66" s="82">
        <f>'[2]Ukraine Sun Oil Exports'!CE$88</f>
        <v>0</v>
      </c>
      <c r="E66" s="82">
        <f>'[2]Ukraine Sun Oil Exports'!CF$88</f>
        <v>0</v>
      </c>
      <c r="F66" s="82">
        <f>'[2]Ukraine Sun Oil Exports'!CG$88</f>
        <v>0</v>
      </c>
      <c r="G66" s="82">
        <f>'[2]Ukraine Sun Oil Exports'!CH$88</f>
        <v>0</v>
      </c>
      <c r="H66" s="82">
        <f>'[2]Ukraine Sun Oil Exports'!CI$88</f>
        <v>0</v>
      </c>
      <c r="I66" s="82">
        <f>'[2]Ukraine Sun Oil Exports'!CJ$88</f>
        <v>0</v>
      </c>
      <c r="J66" s="82">
        <f>'[2]Ukraine Sun Oil Exports'!CK$88</f>
        <v>0</v>
      </c>
      <c r="K66" s="82">
        <f>'[2]Ukraine Sun Oil Exports'!CL$88</f>
        <v>0</v>
      </c>
      <c r="L66" s="82">
        <f>'[2]Ukraine Sun Oil Exports'!CM$88</f>
        <v>0</v>
      </c>
      <c r="M66" s="82">
        <f>'[2]Ukraine Sun Oil Exports'!CN$88</f>
        <v>0</v>
      </c>
      <c r="N66" s="82">
        <f t="shared" si="10"/>
        <v>0</v>
      </c>
      <c r="O66" s="27"/>
      <c r="P66" s="82">
        <f t="shared" si="11"/>
        <v>0</v>
      </c>
      <c r="Q66" s="82">
        <f t="shared" si="12"/>
        <v>0</v>
      </c>
      <c r="R66" s="82">
        <f t="shared" si="13"/>
        <v>0</v>
      </c>
      <c r="S66" s="82">
        <f t="shared" si="14"/>
        <v>0</v>
      </c>
    </row>
    <row r="67" spans="1:19" ht="16.5" hidden="1">
      <c r="A67" s="81" t="s">
        <v>60</v>
      </c>
      <c r="B67" s="82">
        <f>'[2]Ukraine Sun Oil Exports'!CO$88</f>
        <v>0</v>
      </c>
      <c r="C67" s="82">
        <f>'[2]Ukraine Sun Oil Exports'!CP$88</f>
        <v>0</v>
      </c>
      <c r="D67" s="82">
        <f>'[2]Ukraine Sun Oil Exports'!CQ$88</f>
        <v>0</v>
      </c>
      <c r="E67" s="82">
        <f>'[2]Ukraine Sun Oil Exports'!CR$88</f>
        <v>0</v>
      </c>
      <c r="F67" s="82">
        <f>'[2]Ukraine Sun Oil Exports'!CS$88</f>
        <v>0</v>
      </c>
      <c r="G67" s="82">
        <f>'[2]Ukraine Sun Oil Exports'!CT$88</f>
        <v>0</v>
      </c>
      <c r="H67" s="82">
        <f>'[2]Ukraine Sun Oil Exports'!CU$88</f>
        <v>0</v>
      </c>
      <c r="I67" s="82">
        <f>'[2]Ukraine Sun Oil Exports'!CV$88</f>
        <v>0</v>
      </c>
      <c r="J67" s="82">
        <f>'[2]Ukraine Sun Oil Exports'!CW$88</f>
        <v>0</v>
      </c>
      <c r="K67" s="82">
        <f>'[2]Ukraine Sun Oil Exports'!CX$88</f>
        <v>0</v>
      </c>
      <c r="L67" s="82">
        <f>'[2]Ukraine Sun Oil Exports'!CY$88</f>
        <v>0</v>
      </c>
      <c r="M67" s="82">
        <f>'[2]Ukraine Sun Oil Exports'!CZ$88</f>
        <v>0</v>
      </c>
      <c r="N67" s="82">
        <f t="shared" si="10"/>
        <v>0</v>
      </c>
      <c r="O67" s="27"/>
      <c r="P67" s="82">
        <f t="shared" si="11"/>
        <v>0</v>
      </c>
      <c r="Q67" s="82">
        <f t="shared" si="12"/>
        <v>0</v>
      </c>
      <c r="R67" s="82">
        <f t="shared" si="13"/>
        <v>0</v>
      </c>
      <c r="S67" s="82">
        <f t="shared" si="14"/>
        <v>0</v>
      </c>
    </row>
    <row r="68" spans="1:19" ht="16.5" hidden="1">
      <c r="A68" s="81" t="s">
        <v>61</v>
      </c>
      <c r="B68" s="82">
        <f>'[2]Ukraine Sun Oil Exports'!DA$88</f>
        <v>0</v>
      </c>
      <c r="C68" s="82">
        <f>'[2]Ukraine Sun Oil Exports'!DB$88</f>
        <v>0</v>
      </c>
      <c r="D68" s="82">
        <f>'[2]Ukraine Sun Oil Exports'!DC$88</f>
        <v>0</v>
      </c>
      <c r="E68" s="82">
        <f>'[2]Ukraine Sun Oil Exports'!DD$88</f>
        <v>0</v>
      </c>
      <c r="F68" s="82">
        <f>'[2]Ukraine Sun Oil Exports'!DE$88</f>
        <v>0</v>
      </c>
      <c r="G68" s="82">
        <f>'[2]Ukraine Sun Oil Exports'!DF$88</f>
        <v>0</v>
      </c>
      <c r="H68" s="82">
        <f>'[2]Ukraine Sun Oil Exports'!DG$88</f>
        <v>0</v>
      </c>
      <c r="I68" s="82">
        <f>'[2]Ukraine Sun Oil Exports'!DH$88</f>
        <v>0</v>
      </c>
      <c r="J68" s="82">
        <f>'[2]Ukraine Sun Oil Exports'!DI$88</f>
        <v>0</v>
      </c>
      <c r="K68" s="82">
        <f>'[2]Ukraine Sun Oil Exports'!DJ$88</f>
        <v>0</v>
      </c>
      <c r="L68" s="82">
        <f>'[2]Ukraine Sun Oil Exports'!DK$88</f>
        <v>0</v>
      </c>
      <c r="M68" s="82">
        <f>'[2]Ukraine Sun Oil Exports'!DL$88</f>
        <v>0</v>
      </c>
      <c r="N68" s="82">
        <f t="shared" si="10"/>
        <v>0</v>
      </c>
      <c r="O68" s="27"/>
      <c r="P68" s="82">
        <f t="shared" si="11"/>
        <v>0</v>
      </c>
      <c r="Q68" s="82">
        <f t="shared" si="12"/>
        <v>0</v>
      </c>
      <c r="R68" s="82">
        <f t="shared" si="13"/>
        <v>0</v>
      </c>
      <c r="S68" s="82">
        <f t="shared" si="14"/>
        <v>0</v>
      </c>
    </row>
    <row r="69" spans="1:19" ht="16.5" hidden="1">
      <c r="A69" s="81" t="s">
        <v>62</v>
      </c>
      <c r="B69" s="82">
        <f>'[2]Ukraine Sun Oil Exports'!DM$88</f>
        <v>0</v>
      </c>
      <c r="C69" s="82">
        <f>'[2]Ukraine Sun Oil Exports'!DN$88</f>
        <v>0</v>
      </c>
      <c r="D69" s="82">
        <f>'[2]Ukraine Sun Oil Exports'!DO$88</f>
        <v>0</v>
      </c>
      <c r="E69" s="82">
        <f>'[2]Ukraine Sun Oil Exports'!DP$88</f>
        <v>0</v>
      </c>
      <c r="F69" s="82">
        <f>'[2]Ukraine Sun Oil Exports'!DQ$88</f>
        <v>0</v>
      </c>
      <c r="G69" s="82">
        <f>'[2]Ukraine Sun Oil Exports'!DR$88</f>
        <v>0</v>
      </c>
      <c r="H69" s="82">
        <f>'[2]Ukraine Sun Oil Exports'!DS$88</f>
        <v>0</v>
      </c>
      <c r="I69" s="82">
        <f>'[2]Ukraine Sun Oil Exports'!DT$88</f>
        <v>0</v>
      </c>
      <c r="J69" s="82">
        <f>'[2]Ukraine Sun Oil Exports'!DU$88</f>
        <v>0</v>
      </c>
      <c r="K69" s="82">
        <f>'[2]Ukraine Sun Oil Exports'!DV$88</f>
        <v>0</v>
      </c>
      <c r="L69" s="82">
        <f>'[2]Ukraine Sun Oil Exports'!DW$88</f>
        <v>0</v>
      </c>
      <c r="M69" s="82">
        <f>'[2]Ukraine Sun Oil Exports'!DX$88</f>
        <v>0</v>
      </c>
      <c r="N69" s="82">
        <f t="shared" si="10"/>
        <v>0</v>
      </c>
      <c r="O69" s="27"/>
      <c r="P69" s="82">
        <f t="shared" si="11"/>
        <v>0</v>
      </c>
      <c r="Q69" s="82">
        <f t="shared" si="12"/>
        <v>0</v>
      </c>
      <c r="R69" s="82">
        <f t="shared" si="13"/>
        <v>0</v>
      </c>
      <c r="S69" s="82">
        <f t="shared" si="14"/>
        <v>0</v>
      </c>
    </row>
    <row r="70" spans="1:19" ht="16.5" hidden="1">
      <c r="A70" s="81" t="s">
        <v>63</v>
      </c>
      <c r="B70" s="82">
        <f>'[2]Ukraine Sun Oil Exports'!DY$88</f>
        <v>0</v>
      </c>
      <c r="C70" s="82">
        <f>'[2]Ukraine Sun Oil Exports'!DZ$88</f>
        <v>0</v>
      </c>
      <c r="D70" s="82">
        <f>'[2]Ukraine Sun Oil Exports'!EA$88</f>
        <v>0</v>
      </c>
      <c r="E70" s="82">
        <f>'[2]Ukraine Sun Oil Exports'!EB$88</f>
        <v>0</v>
      </c>
      <c r="F70" s="82">
        <f>'[2]Ukraine Sun Oil Exports'!EC$88</f>
        <v>0</v>
      </c>
      <c r="G70" s="82">
        <f>'[2]Ukraine Sun Oil Exports'!ED$88</f>
        <v>0</v>
      </c>
      <c r="H70" s="82">
        <f>'[2]Ukraine Sun Oil Exports'!EE$88</f>
        <v>0</v>
      </c>
      <c r="I70" s="82">
        <f>'[2]Ukraine Sun Oil Exports'!EF$88</f>
        <v>0</v>
      </c>
      <c r="J70" s="82">
        <f>'[2]Ukraine Sun Oil Exports'!EG$88</f>
        <v>0</v>
      </c>
      <c r="K70" s="82">
        <f>'[2]Ukraine Sun Oil Exports'!EH$88</f>
        <v>0</v>
      </c>
      <c r="L70" s="82">
        <f>'[2]Ukraine Sun Oil Exports'!EI$88</f>
        <v>0</v>
      </c>
      <c r="M70" s="82">
        <f>'[2]Ukraine Sun Oil Exports'!EJ$88</f>
        <v>0</v>
      </c>
      <c r="N70" s="82">
        <f t="shared" si="10"/>
        <v>0</v>
      </c>
      <c r="O70" s="27"/>
      <c r="P70" s="82">
        <f t="shared" si="11"/>
        <v>0</v>
      </c>
      <c r="Q70" s="82">
        <f t="shared" si="12"/>
        <v>0</v>
      </c>
      <c r="R70" s="82">
        <f t="shared" si="13"/>
        <v>0</v>
      </c>
      <c r="S70" s="82">
        <f t="shared" si="14"/>
        <v>0</v>
      </c>
    </row>
    <row r="71" spans="1:19" ht="16.5" hidden="1">
      <c r="A71" s="81" t="s">
        <v>64</v>
      </c>
      <c r="B71" s="82">
        <f>'[2]Ukraine Sun Oil Exports'!EK$88</f>
        <v>0</v>
      </c>
      <c r="C71" s="82">
        <f>'[2]Ukraine Sun Oil Exports'!EL$88</f>
        <v>0</v>
      </c>
      <c r="D71" s="82">
        <f>'[2]Ukraine Sun Oil Exports'!EM$88</f>
        <v>0</v>
      </c>
      <c r="E71" s="82">
        <f>'[2]Ukraine Sun Oil Exports'!EN$88</f>
        <v>0</v>
      </c>
      <c r="F71" s="82">
        <f>'[2]Ukraine Sun Oil Exports'!EO$88</f>
        <v>0</v>
      </c>
      <c r="G71" s="82">
        <f>'[2]Ukraine Sun Oil Exports'!EP$88</f>
        <v>0</v>
      </c>
      <c r="H71" s="82">
        <f>'[2]Ukraine Sun Oil Exports'!EQ$88</f>
        <v>0</v>
      </c>
      <c r="I71" s="82">
        <f>'[2]Ukraine Sun Oil Exports'!ER$88</f>
        <v>0</v>
      </c>
      <c r="J71" s="82">
        <f>'[2]Ukraine Sun Oil Exports'!ES$88</f>
        <v>0</v>
      </c>
      <c r="K71" s="82">
        <f>'[2]Ukraine Sun Oil Exports'!ET$88</f>
        <v>0</v>
      </c>
      <c r="L71" s="82">
        <f>'[2]Ukraine Sun Oil Exports'!EU$88</f>
        <v>0</v>
      </c>
      <c r="M71" s="82">
        <f>'[2]Ukraine Sun Oil Exports'!EV$88</f>
        <v>0</v>
      </c>
      <c r="N71" s="82">
        <f t="shared" si="10"/>
        <v>0</v>
      </c>
      <c r="O71" s="27"/>
      <c r="P71" s="82">
        <f t="shared" si="11"/>
        <v>0</v>
      </c>
      <c r="Q71" s="82">
        <f t="shared" si="12"/>
        <v>0</v>
      </c>
      <c r="R71" s="82">
        <f t="shared" si="13"/>
        <v>0</v>
      </c>
      <c r="S71" s="82">
        <f t="shared" si="14"/>
        <v>0</v>
      </c>
    </row>
    <row r="72" spans="1:19" ht="16.5" hidden="1">
      <c r="A72" s="83" t="s">
        <v>65</v>
      </c>
      <c r="B72" s="82">
        <f>'[2]Ukraine Sun Oil Exports'!EW$88</f>
        <v>0</v>
      </c>
      <c r="C72" s="82">
        <f>'[2]Ukraine Sun Oil Exports'!EX$88</f>
        <v>0</v>
      </c>
      <c r="D72" s="82">
        <f>'[2]Ukraine Sun Oil Exports'!EY$88</f>
        <v>0</v>
      </c>
      <c r="E72" s="82">
        <f>'[2]Ukraine Sun Oil Exports'!EZ$88</f>
        <v>0</v>
      </c>
      <c r="F72" s="82">
        <f>'[2]Ukraine Sun Oil Exports'!FA$88</f>
        <v>0</v>
      </c>
      <c r="G72" s="82">
        <f>'[2]Ukraine Sun Oil Exports'!FB$88</f>
        <v>0</v>
      </c>
      <c r="H72" s="82">
        <f>'[2]Ukraine Sun Oil Exports'!FC$88</f>
        <v>0</v>
      </c>
      <c r="I72" s="82">
        <f>'[2]Ukraine Sun Oil Exports'!FD$88</f>
        <v>0</v>
      </c>
      <c r="J72" s="82">
        <f>'[2]Ukraine Sun Oil Exports'!FE$88</f>
        <v>0</v>
      </c>
      <c r="K72" s="82">
        <f>'[2]Ukraine Sun Oil Exports'!FF$88</f>
        <v>0</v>
      </c>
      <c r="L72" s="82">
        <f>'[2]Ukraine Sun Oil Exports'!FG$88</f>
        <v>0</v>
      </c>
      <c r="M72" s="82">
        <f>'[2]Ukraine Sun Oil Exports'!FH$88</f>
        <v>0</v>
      </c>
      <c r="N72" s="82">
        <f t="shared" si="10"/>
        <v>0</v>
      </c>
      <c r="O72" s="27"/>
      <c r="P72" s="82">
        <f t="shared" si="11"/>
        <v>0</v>
      </c>
      <c r="Q72" s="82">
        <f t="shared" si="12"/>
        <v>0</v>
      </c>
      <c r="R72" s="82">
        <f t="shared" si="13"/>
        <v>0</v>
      </c>
      <c r="S72" s="82">
        <f t="shared" si="14"/>
        <v>0</v>
      </c>
    </row>
    <row r="73" spans="1:19" ht="16.5" hidden="1">
      <c r="A73" s="83" t="s">
        <v>66</v>
      </c>
      <c r="B73" s="82">
        <f>'[2]Ukraine Sun Oil Exports'!FI$88</f>
        <v>0</v>
      </c>
      <c r="C73" s="82">
        <f>'[2]Ukraine Sun Oil Exports'!FJ$88</f>
        <v>0</v>
      </c>
      <c r="D73" s="82">
        <f>'[2]Ukraine Sun Oil Exports'!FK$88</f>
        <v>0</v>
      </c>
      <c r="E73" s="82">
        <f>'[2]Ukraine Sun Oil Exports'!FL$88</f>
        <v>0</v>
      </c>
      <c r="F73" s="82">
        <f>'[2]Ukraine Sun Oil Exports'!FM$88</f>
        <v>0</v>
      </c>
      <c r="G73" s="82">
        <f>'[2]Ukraine Sun Oil Exports'!FN$88</f>
        <v>0</v>
      </c>
      <c r="H73" s="82">
        <f>'[2]Ukraine Sun Oil Exports'!FO$88</f>
        <v>0</v>
      </c>
      <c r="I73" s="82">
        <f>'[2]Ukraine Sun Oil Exports'!FP$88</f>
        <v>0</v>
      </c>
      <c r="J73" s="82">
        <f>'[2]Ukraine Sun Oil Exports'!FQ$88</f>
        <v>0</v>
      </c>
      <c r="K73" s="82">
        <f>'[2]Ukraine Sun Oil Exports'!FR$88</f>
        <v>0</v>
      </c>
      <c r="L73" s="82">
        <f>'[2]Ukraine Sun Oil Exports'!FS$88</f>
        <v>0</v>
      </c>
      <c r="M73" s="82">
        <f>'[2]Ukraine Sun Oil Exports'!FT$88</f>
        <v>0</v>
      </c>
      <c r="N73" s="82">
        <f t="shared" si="10"/>
        <v>0</v>
      </c>
      <c r="O73" s="27"/>
      <c r="P73" s="82">
        <f t="shared" si="11"/>
        <v>0</v>
      </c>
      <c r="Q73" s="82">
        <f t="shared" si="12"/>
        <v>0</v>
      </c>
      <c r="R73" s="82">
        <f t="shared" si="13"/>
        <v>0</v>
      </c>
      <c r="S73" s="82">
        <f t="shared" si="14"/>
        <v>0</v>
      </c>
    </row>
    <row r="74" spans="1:19" ht="16.5" hidden="1">
      <c r="A74" s="84" t="s">
        <v>67</v>
      </c>
      <c r="B74" s="82">
        <f>'[2]Ukraine Sun Oil Exports'!FU$88</f>
        <v>0</v>
      </c>
      <c r="C74" s="82">
        <f>'[2]Ukraine Sun Oil Exports'!FV$88</f>
        <v>0</v>
      </c>
      <c r="D74" s="82">
        <f>'[2]Ukraine Sun Oil Exports'!FW$88</f>
        <v>0</v>
      </c>
      <c r="E74" s="82">
        <f>'[2]Ukraine Sun Oil Exports'!FX$88</f>
        <v>0</v>
      </c>
      <c r="F74" s="82">
        <f>'[2]Ukraine Sun Oil Exports'!FY$88</f>
        <v>0</v>
      </c>
      <c r="G74" s="82">
        <f>'[2]Ukraine Sun Oil Exports'!FZ$88</f>
        <v>0</v>
      </c>
      <c r="H74" s="82">
        <f>'[2]Ukraine Sun Oil Exports'!GA$88</f>
        <v>0</v>
      </c>
      <c r="I74" s="82">
        <f>'[2]Ukraine Sun Oil Exports'!GB$88</f>
        <v>0</v>
      </c>
      <c r="J74" s="82">
        <f>'[2]Ukraine Sun Oil Exports'!GC$88</f>
        <v>0</v>
      </c>
      <c r="K74" s="82">
        <f>'[2]Ukraine Sun Oil Exports'!GD$88</f>
        <v>0</v>
      </c>
      <c r="L74" s="82">
        <f>'[2]Ukraine Sun Oil Exports'!GE$88</f>
        <v>0</v>
      </c>
      <c r="M74" s="82">
        <f>'[2]Ukraine Sun Oil Exports'!GF$88</f>
        <v>0</v>
      </c>
      <c r="N74" s="82">
        <f t="shared" si="10"/>
        <v>0</v>
      </c>
      <c r="O74" s="27"/>
      <c r="P74" s="82">
        <f t="shared" si="11"/>
        <v>0</v>
      </c>
      <c r="Q74" s="82">
        <f t="shared" si="12"/>
        <v>0</v>
      </c>
      <c r="R74" s="82">
        <f t="shared" si="13"/>
        <v>0</v>
      </c>
      <c r="S74" s="82">
        <f t="shared" si="14"/>
        <v>0</v>
      </c>
    </row>
    <row r="75" spans="1:19" ht="16.5" hidden="1">
      <c r="A75" s="83" t="s">
        <v>68</v>
      </c>
      <c r="B75" s="82">
        <f>'[2]Ukraine Sun Oil Exports'!GG$88</f>
        <v>0</v>
      </c>
      <c r="C75" s="82">
        <f>'[2]Ukraine Sun Oil Exports'!GH$88</f>
        <v>0</v>
      </c>
      <c r="D75" s="82">
        <f>'[2]Ukraine Sun Oil Exports'!GI$88</f>
        <v>0</v>
      </c>
      <c r="E75" s="82">
        <f>'[2]Ukraine Sun Oil Exports'!GJ$88</f>
        <v>0</v>
      </c>
      <c r="F75" s="82">
        <f>'[2]Ukraine Sun Oil Exports'!GK$88</f>
        <v>0</v>
      </c>
      <c r="G75" s="82">
        <f>'[2]Ukraine Sun Oil Exports'!GL$88</f>
        <v>0</v>
      </c>
      <c r="H75" s="82">
        <f>'[2]Ukraine Sun Oil Exports'!GM$88</f>
        <v>0</v>
      </c>
      <c r="I75" s="82">
        <f>'[2]Ukraine Sun Oil Exports'!GN$88</f>
        <v>0</v>
      </c>
      <c r="J75" s="82">
        <f>'[2]Ukraine Sun Oil Exports'!GO$88</f>
        <v>0</v>
      </c>
      <c r="K75" s="82">
        <f>'[2]Ukraine Sun Oil Exports'!GP$88</f>
        <v>0</v>
      </c>
      <c r="L75" s="82">
        <f>'[2]Ukraine Sun Oil Exports'!GQ$88</f>
        <v>0</v>
      </c>
      <c r="M75" s="82">
        <f>'[2]Ukraine Sun Oil Exports'!GR$88</f>
        <v>0</v>
      </c>
      <c r="N75" s="82">
        <f t="shared" si="10"/>
        <v>0</v>
      </c>
      <c r="O75" s="27"/>
      <c r="P75" s="82">
        <f t="shared" si="11"/>
        <v>0</v>
      </c>
      <c r="Q75" s="82">
        <f t="shared" si="12"/>
        <v>0</v>
      </c>
      <c r="R75" s="82">
        <f t="shared" si="13"/>
        <v>0</v>
      </c>
      <c r="S75" s="82">
        <f t="shared" si="14"/>
        <v>0</v>
      </c>
    </row>
    <row r="76" spans="1:19" ht="16.5" hidden="1">
      <c r="A76" s="84" t="s">
        <v>69</v>
      </c>
      <c r="B76" s="82">
        <f>'[2]Ukraine Sun Oil Exports'!GS$88</f>
        <v>0</v>
      </c>
      <c r="C76" s="82">
        <f>'[2]Ukraine Sun Oil Exports'!GT$88</f>
        <v>0</v>
      </c>
      <c r="D76" s="82">
        <f>'[2]Ukraine Sun Oil Exports'!GU$88</f>
        <v>0</v>
      </c>
      <c r="E76" s="82">
        <f>'[2]Ukraine Sun Oil Exports'!GV$88</f>
        <v>0</v>
      </c>
      <c r="F76" s="82">
        <f>'[2]Ukraine Sun Oil Exports'!GW$88</f>
        <v>0</v>
      </c>
      <c r="G76" s="82">
        <f>'[2]Ukraine Sun Oil Exports'!GX$88</f>
        <v>0</v>
      </c>
      <c r="H76" s="82">
        <f>'[2]Ukraine Sun Oil Exports'!GY$88</f>
        <v>0</v>
      </c>
      <c r="I76" s="82">
        <f>'[2]Ukraine Sun Oil Exports'!GZ$88</f>
        <v>0</v>
      </c>
      <c r="J76" s="82">
        <f>'[2]Ukraine Sun Oil Exports'!HA$88</f>
        <v>0</v>
      </c>
      <c r="K76" s="82">
        <f>'[2]Ukraine Sun Oil Exports'!HB$88</f>
        <v>0</v>
      </c>
      <c r="L76" s="82">
        <f>'[2]Ukraine Sun Oil Exports'!HC$88</f>
        <v>0</v>
      </c>
      <c r="M76" s="82">
        <f>'[2]Ukraine Sun Oil Exports'!HD$88</f>
        <v>0</v>
      </c>
      <c r="N76" s="82">
        <f t="shared" si="10"/>
        <v>0</v>
      </c>
      <c r="O76" s="27"/>
      <c r="P76" s="82">
        <f t="shared" si="11"/>
        <v>0</v>
      </c>
      <c r="Q76" s="82">
        <f t="shared" si="12"/>
        <v>0</v>
      </c>
      <c r="R76" s="82">
        <f t="shared" si="13"/>
        <v>0</v>
      </c>
      <c r="S76" s="82">
        <f t="shared" si="14"/>
        <v>0</v>
      </c>
    </row>
    <row r="77" spans="1:19" ht="16.5" hidden="1">
      <c r="A77" s="84" t="s">
        <v>70</v>
      </c>
      <c r="B77" s="82">
        <f>'[2]Ukraine Sun Oil Exports'!HE$88</f>
        <v>0</v>
      </c>
      <c r="C77" s="82">
        <f>'[2]Ukraine Sun Oil Exports'!HF$88</f>
        <v>0</v>
      </c>
      <c r="D77" s="82">
        <f>'[2]Ukraine Sun Oil Exports'!HG$88</f>
        <v>0</v>
      </c>
      <c r="E77" s="82">
        <f>'[2]Ukraine Sun Oil Exports'!HH$88</f>
        <v>0</v>
      </c>
      <c r="F77" s="82">
        <f>'[2]Ukraine Sun Oil Exports'!HI$88</f>
        <v>0</v>
      </c>
      <c r="G77" s="82">
        <f>'[2]Ukraine Sun Oil Exports'!HJ$88</f>
        <v>2.7E-2</v>
      </c>
      <c r="H77" s="82">
        <f>'[2]Ukraine Sun Oil Exports'!HK$88</f>
        <v>0</v>
      </c>
      <c r="I77" s="82">
        <f>'[2]Ukraine Sun Oil Exports'!HL$88</f>
        <v>2.5999999999999999E-2</v>
      </c>
      <c r="J77" s="82">
        <f>'[2]Ukraine Sun Oil Exports'!HM$88</f>
        <v>0</v>
      </c>
      <c r="K77" s="82">
        <f>'[2]Ukraine Sun Oil Exports'!HN$88</f>
        <v>0</v>
      </c>
      <c r="L77" s="82">
        <f>'[2]Ukraine Sun Oil Exports'!HO$88</f>
        <v>2.5999999999999999E-2</v>
      </c>
      <c r="M77" s="82">
        <f>'[2]Ukraine Sun Oil Exports'!HP$88</f>
        <v>0</v>
      </c>
      <c r="N77" s="82">
        <f t="shared" si="10"/>
        <v>7.9000000000000001E-2</v>
      </c>
      <c r="O77" s="27"/>
      <c r="P77" s="82">
        <f t="shared" si="11"/>
        <v>0</v>
      </c>
      <c r="Q77" s="82">
        <f t="shared" si="12"/>
        <v>2.7E-2</v>
      </c>
      <c r="R77" s="82">
        <f t="shared" si="13"/>
        <v>2.5999999999999999E-2</v>
      </c>
      <c r="S77" s="82">
        <f t="shared" si="14"/>
        <v>2.5999999999999999E-2</v>
      </c>
    </row>
    <row r="78" spans="1:19" ht="16.5" hidden="1">
      <c r="A78" s="83" t="s">
        <v>71</v>
      </c>
      <c r="B78" s="82">
        <f>'[2]Ukraine Sun Oil Exports'!HQ$88</f>
        <v>2.1000000000000001E-2</v>
      </c>
      <c r="C78" s="82">
        <f>'[2]Ukraine Sun Oil Exports'!HR$88</f>
        <v>0</v>
      </c>
      <c r="D78" s="82">
        <f>'[2]Ukraine Sun Oil Exports'!HS$88</f>
        <v>2.1000000000000001E-2</v>
      </c>
      <c r="E78" s="82">
        <f>'[2]Ukraine Sun Oil Exports'!HT$88</f>
        <v>0.38700000000000001</v>
      </c>
      <c r="F78" s="82">
        <f>'[2]Ukraine Sun Oil Exports'!HU$88</f>
        <v>1.085</v>
      </c>
      <c r="G78" s="82">
        <f>'[2]Ukraine Sun Oil Exports'!HV$88</f>
        <v>1.0640000000000001</v>
      </c>
      <c r="H78" s="82">
        <f>'[2]Ukraine Sun Oil Exports'!HW$88</f>
        <v>0.84899999999999998</v>
      </c>
      <c r="I78" s="82">
        <f>'[2]Ukraine Sun Oil Exports'!HX$88</f>
        <v>0.30399999999999999</v>
      </c>
      <c r="J78" s="82">
        <f>'[2]Ukraine Sun Oil Exports'!HY$88</f>
        <v>18.48</v>
      </c>
      <c r="K78" s="82">
        <f>'[2]Ukraine Sun Oil Exports'!HZ$88</f>
        <v>11.932</v>
      </c>
      <c r="L78" s="82">
        <f>'[2]Ukraine Sun Oil Exports'!IA$88</f>
        <v>2.069</v>
      </c>
      <c r="M78" s="82">
        <f>'[2]Ukraine Sun Oil Exports'!IB$88</f>
        <v>0</v>
      </c>
      <c r="N78" s="82">
        <f t="shared" si="10"/>
        <v>36.212000000000003</v>
      </c>
      <c r="O78" s="27"/>
      <c r="P78" s="82">
        <f t="shared" si="11"/>
        <v>4.2000000000000003E-2</v>
      </c>
      <c r="Q78" s="82">
        <f t="shared" si="12"/>
        <v>2.536</v>
      </c>
      <c r="R78" s="82">
        <f t="shared" si="13"/>
        <v>19.632999999999999</v>
      </c>
      <c r="S78" s="82">
        <f t="shared" si="14"/>
        <v>14.001000000000001</v>
      </c>
    </row>
    <row r="79" spans="1:19" ht="16.5" hidden="1">
      <c r="A79" s="84" t="s">
        <v>72</v>
      </c>
      <c r="B79" s="82">
        <f>'[2]Ukraine Sun Oil Exports'!IC$88</f>
        <v>0</v>
      </c>
      <c r="C79" s="82">
        <f>'[2]Ukraine Sun Oil Exports'!ID$88</f>
        <v>0.56299999999999994</v>
      </c>
      <c r="D79" s="82">
        <f>'[2]Ukraine Sun Oil Exports'!IE$88</f>
        <v>0.98099999999999998</v>
      </c>
      <c r="E79" s="82">
        <f>'[2]Ukraine Sun Oil Exports'!IF$88</f>
        <v>0</v>
      </c>
      <c r="F79" s="82">
        <f>'[2]Ukraine Sun Oil Exports'!IG$88</f>
        <v>0.52900000000000003</v>
      </c>
      <c r="G79" s="82">
        <f>'[2]Ukraine Sun Oil Exports'!IH$88</f>
        <v>1.0269999999999999</v>
      </c>
      <c r="H79" s="82">
        <f>'[2]Ukraine Sun Oil Exports'!II$88</f>
        <v>2.585</v>
      </c>
      <c r="I79" s="82">
        <f>'[2]Ukraine Sun Oil Exports'!IJ$88</f>
        <v>3.133</v>
      </c>
      <c r="J79" s="82">
        <f>'[2]Ukraine Sun Oil Exports'!IK$88</f>
        <v>0</v>
      </c>
      <c r="K79" s="82">
        <f>'[2]Ukraine Sun Oil Exports'!IL$88</f>
        <v>1.296</v>
      </c>
      <c r="L79" s="82">
        <f>'[2]Ukraine Sun Oil Exports'!IM$88</f>
        <v>0.22</v>
      </c>
      <c r="M79" s="82">
        <f>'[2]Ukraine Sun Oil Exports'!IN$88</f>
        <v>2.37</v>
      </c>
      <c r="N79" s="82">
        <f t="shared" si="10"/>
        <v>12.704000000000001</v>
      </c>
      <c r="O79" s="27"/>
      <c r="P79" s="82">
        <f t="shared" si="11"/>
        <v>1.544</v>
      </c>
      <c r="Q79" s="82">
        <f t="shared" si="12"/>
        <v>1.556</v>
      </c>
      <c r="R79" s="82">
        <f t="shared" si="13"/>
        <v>5.718</v>
      </c>
      <c r="S79" s="82">
        <f t="shared" si="14"/>
        <v>3.8860000000000001</v>
      </c>
    </row>
    <row r="80" spans="1:19" ht="16.5" hidden="1">
      <c r="A80" s="83" t="s">
        <v>73</v>
      </c>
      <c r="B80" s="82">
        <f>'[2]Ukraine Sun Oil Exports'!IO$88</f>
        <v>27.594000000000001</v>
      </c>
      <c r="C80" s="82">
        <f>'[2]Ukraine Sun Oil Exports'!IP$88</f>
        <v>16.763000000000002</v>
      </c>
      <c r="D80" s="82">
        <f>'[2]Ukraine Sun Oil Exports'!IQ$88</f>
        <v>28.616</v>
      </c>
      <c r="E80" s="82">
        <f>'[2]Ukraine Sun Oil Exports'!IR$88</f>
        <v>6.4000000000000001E-2</v>
      </c>
      <c r="F80" s="82">
        <f>'[2]Ukraine Sun Oil Exports'!IS$88</f>
        <v>1.51</v>
      </c>
      <c r="G80" s="82">
        <f>'[2]Ukraine Sun Oil Exports'!IT$88</f>
        <v>3.4769999999999999</v>
      </c>
      <c r="H80" s="82">
        <f>'[2]Ukraine Sun Oil Exports'!IU$88</f>
        <v>1.998</v>
      </c>
      <c r="I80" s="82">
        <f>'[2]Ukraine Sun Oil Exports'!IV$88</f>
        <v>2.6520000000000001</v>
      </c>
      <c r="J80" s="82">
        <f>'[2]Ukraine Sun Oil Exports'!IW$88</f>
        <v>5.117</v>
      </c>
      <c r="K80" s="82">
        <f>'[2]Ukraine Sun Oil Exports'!IX$88</f>
        <v>4.4740000000000002</v>
      </c>
      <c r="L80" s="82">
        <f>'[2]Ukraine Sun Oil Exports'!IY$88</f>
        <v>2.1139999999999999</v>
      </c>
      <c r="M80" s="82">
        <f>'[2]Ukraine Sun Oil Exports'!IZ$88</f>
        <v>0.439</v>
      </c>
      <c r="N80" s="82">
        <f t="shared" si="10"/>
        <v>94.818000000000012</v>
      </c>
      <c r="O80" s="27"/>
      <c r="P80" s="82">
        <f t="shared" si="11"/>
        <v>72.972999999999999</v>
      </c>
      <c r="Q80" s="82">
        <f t="shared" si="12"/>
        <v>5.0510000000000002</v>
      </c>
      <c r="R80" s="82">
        <f t="shared" si="13"/>
        <v>9.7669999999999995</v>
      </c>
      <c r="S80" s="82">
        <f t="shared" si="14"/>
        <v>7.0270000000000001</v>
      </c>
    </row>
    <row r="81" spans="1:23" ht="16.5" hidden="1">
      <c r="A81" s="83" t="s">
        <v>74</v>
      </c>
      <c r="B81" s="82">
        <f>'[2]Ukraine Sun Oil Exports'!JA$88</f>
        <v>28.776</v>
      </c>
      <c r="C81" s="82">
        <f>'[2]Ukraine Sun Oil Exports'!JB$88</f>
        <v>6.1219999999999999</v>
      </c>
      <c r="D81" s="82">
        <f>'[2]Ukraine Sun Oil Exports'!JC$88</f>
        <v>2.794</v>
      </c>
      <c r="E81" s="82">
        <f>'[2]Ukraine Sun Oil Exports'!JD$88</f>
        <v>4.8659999999999997</v>
      </c>
      <c r="F81" s="82">
        <f>'[2]Ukraine Sun Oil Exports'!JE$88</f>
        <v>57.759</v>
      </c>
      <c r="G81" s="82">
        <f>'[2]Ukraine Sun Oil Exports'!JF$88</f>
        <v>39.268999999999998</v>
      </c>
      <c r="H81" s="82">
        <f>'[2]Ukraine Sun Oil Exports'!JG$88</f>
        <v>31.067</v>
      </c>
      <c r="I81" s="82">
        <f>'[2]Ukraine Sun Oil Exports'!JH$88</f>
        <v>33.228999999999999</v>
      </c>
      <c r="J81" s="82">
        <f>'[2]Ukraine Sun Oil Exports'!JI$88</f>
        <v>75.286000000000001</v>
      </c>
      <c r="K81" s="82">
        <f>'[2]Ukraine Sun Oil Exports'!JJ$88</f>
        <v>6.8620000000000001</v>
      </c>
      <c r="L81" s="82">
        <f>'[2]Ukraine Sun Oil Exports'!JK$88</f>
        <v>1.101</v>
      </c>
      <c r="M81" s="82">
        <f>'[2]Ukraine Sun Oil Exports'!JL$88</f>
        <v>3.589</v>
      </c>
      <c r="N81" s="82">
        <f t="shared" si="10"/>
        <v>290.72000000000003</v>
      </c>
      <c r="O81" s="27"/>
      <c r="P81" s="82">
        <f t="shared" si="11"/>
        <v>37.692</v>
      </c>
      <c r="Q81" s="82">
        <f t="shared" si="12"/>
        <v>101.89400000000001</v>
      </c>
      <c r="R81" s="82">
        <f t="shared" si="13"/>
        <v>139.58199999999999</v>
      </c>
      <c r="S81" s="82">
        <f t="shared" si="14"/>
        <v>11.552</v>
      </c>
    </row>
    <row r="82" spans="1:23" ht="16.5" hidden="1">
      <c r="A82" s="83" t="s">
        <v>75</v>
      </c>
      <c r="B82" s="82">
        <f>'[2]Ukraine Sun Oil Exports'!JM$88</f>
        <v>105.09</v>
      </c>
      <c r="C82" s="82">
        <f>'[2]Ukraine Sun Oil Exports'!JN$88</f>
        <v>49.984999999999999</v>
      </c>
      <c r="D82" s="82">
        <f>'[2]Ukraine Sun Oil Exports'!JO$88</f>
        <v>26.88</v>
      </c>
      <c r="E82" s="82">
        <f>'[2]Ukraine Sun Oil Exports'!JP$88</f>
        <v>26.852</v>
      </c>
      <c r="F82" s="82">
        <f>'[2]Ukraine Sun Oil Exports'!JQ$88</f>
        <v>16.372</v>
      </c>
      <c r="G82" s="82">
        <f>'[2]Ukraine Sun Oil Exports'!JR$88</f>
        <v>94.930999999999997</v>
      </c>
      <c r="H82" s="82">
        <f>'[2]Ukraine Sun Oil Exports'!JS$88</f>
        <v>59.05</v>
      </c>
      <c r="I82" s="82">
        <f>'[2]Ukraine Sun Oil Exports'!JT$88</f>
        <v>101.58799999999999</v>
      </c>
      <c r="J82" s="82">
        <f>'[2]Ukraine Sun Oil Exports'!JU$88</f>
        <v>10.442</v>
      </c>
      <c r="K82" s="82">
        <f>'[2]Ukraine Sun Oil Exports'!JV$88</f>
        <v>4.4359999999999999</v>
      </c>
      <c r="L82" s="82">
        <f>'[2]Ukraine Sun Oil Exports'!JW$88</f>
        <v>1.4970000000000001</v>
      </c>
      <c r="M82" s="82">
        <f>'[2]Ukraine Sun Oil Exports'!JX$88</f>
        <v>3.6469999999999998</v>
      </c>
      <c r="N82" s="82">
        <f t="shared" si="10"/>
        <v>500.76999999999992</v>
      </c>
      <c r="O82" s="27"/>
      <c r="P82" s="82">
        <f t="shared" si="11"/>
        <v>181.95499999999998</v>
      </c>
      <c r="Q82" s="82">
        <f t="shared" si="12"/>
        <v>138.155</v>
      </c>
      <c r="R82" s="82">
        <f t="shared" si="13"/>
        <v>171.07999999999998</v>
      </c>
      <c r="S82" s="82">
        <f t="shared" si="14"/>
        <v>9.58</v>
      </c>
    </row>
    <row r="83" spans="1:23" ht="16.5" hidden="1">
      <c r="A83" s="83" t="s">
        <v>76</v>
      </c>
      <c r="B83" s="82">
        <f>'[2]Ukraine Sun Oil Exports'!JY$88</f>
        <v>9.7910000000000004</v>
      </c>
      <c r="C83" s="82">
        <f>'[2]Ukraine Sun Oil Exports'!JZ$88</f>
        <v>37.225999999999999</v>
      </c>
      <c r="D83" s="82">
        <f>'[2]Ukraine Sun Oil Exports'!KA$88</f>
        <v>34.656999999999996</v>
      </c>
      <c r="E83" s="82">
        <f>'[2]Ukraine Sun Oil Exports'!KB$88</f>
        <v>87.78</v>
      </c>
      <c r="F83" s="82">
        <f>'[2]Ukraine Sun Oil Exports'!KC$88</f>
        <v>22.692</v>
      </c>
      <c r="G83" s="82">
        <f>'[2]Ukraine Sun Oil Exports'!KD$88</f>
        <v>95.765000000000001</v>
      </c>
      <c r="H83" s="82">
        <f>'[2]Ukraine Sun Oil Exports'!KE$88</f>
        <v>71.06</v>
      </c>
      <c r="I83" s="82">
        <f>'[2]Ukraine Sun Oil Exports'!KF$88</f>
        <v>13.493</v>
      </c>
      <c r="J83" s="82">
        <f>'[2]Ukraine Sun Oil Exports'!KG$88</f>
        <v>38.762</v>
      </c>
      <c r="K83" s="82">
        <f>'[2]Ukraine Sun Oil Exports'!KH$88</f>
        <v>2.7090000000000001</v>
      </c>
      <c r="L83" s="82">
        <f>'[2]Ukraine Sun Oil Exports'!KI$88</f>
        <v>33.884</v>
      </c>
      <c r="M83" s="82">
        <f>'[2]Ukraine Sun Oil Exports'!KJ$88</f>
        <v>18.795000000000002</v>
      </c>
      <c r="N83" s="82">
        <f t="shared" si="10"/>
        <v>466.61400000000003</v>
      </c>
      <c r="O83" s="27"/>
      <c r="P83" s="82">
        <f t="shared" si="11"/>
        <v>81.673999999999992</v>
      </c>
      <c r="Q83" s="82">
        <f t="shared" si="12"/>
        <v>206.23700000000002</v>
      </c>
      <c r="R83" s="82">
        <f t="shared" si="13"/>
        <v>123.315</v>
      </c>
      <c r="S83" s="82">
        <f t="shared" si="14"/>
        <v>55.388000000000005</v>
      </c>
    </row>
    <row r="84" spans="1:23" ht="16.5" hidden="1">
      <c r="A84" s="83" t="s">
        <v>77</v>
      </c>
      <c r="B84" s="82">
        <f>'[2]Ukraine Sun Oil Exports'!KK$88</f>
        <v>52.851999999999997</v>
      </c>
      <c r="C84" s="82">
        <f>'[2]Ukraine Sun Oil Exports'!KL$88</f>
        <v>78.703000000000003</v>
      </c>
      <c r="D84" s="82">
        <f>'[2]Ukraine Sun Oil Exports'!KM$88</f>
        <v>62.564</v>
      </c>
      <c r="E84" s="82">
        <f>'[2]Ukraine Sun Oil Exports'!KN$88</f>
        <v>58.277000000000001</v>
      </c>
      <c r="F84" s="82">
        <f>'[2]Ukraine Sun Oil Exports'!KO$88</f>
        <v>17.18</v>
      </c>
      <c r="G84" s="82">
        <f>'[2]Ukraine Sun Oil Exports'!KP$88</f>
        <v>64.105000000000004</v>
      </c>
      <c r="H84" s="82">
        <f>'[2]Ukraine Sun Oil Exports'!KQ$88</f>
        <v>64.84</v>
      </c>
      <c r="I84" s="82">
        <f>'[2]Ukraine Sun Oil Exports'!KR$88</f>
        <v>44.195999999999998</v>
      </c>
      <c r="J84" s="82">
        <f>'[2]Ukraine Sun Oil Exports'!KS$88</f>
        <v>55.722000000000001</v>
      </c>
      <c r="K84" s="82">
        <f>'[2]Ukraine Sun Oil Exports'!KT$88</f>
        <v>65.668999999999997</v>
      </c>
      <c r="L84" s="82">
        <f>'[2]Ukraine Sun Oil Exports'!KU$88</f>
        <v>34.651000000000003</v>
      </c>
      <c r="M84" s="82">
        <f>'[2]Ukraine Sun Oil Exports'!KV$88</f>
        <v>28.404</v>
      </c>
      <c r="N84" s="82">
        <f t="shared" si="10"/>
        <v>627.16300000000001</v>
      </c>
      <c r="O84" s="27"/>
      <c r="P84" s="82">
        <f t="shared" si="11"/>
        <v>194.119</v>
      </c>
      <c r="Q84" s="82">
        <f t="shared" si="12"/>
        <v>139.56200000000001</v>
      </c>
      <c r="R84" s="82">
        <f t="shared" si="13"/>
        <v>164.75800000000001</v>
      </c>
      <c r="S84" s="82">
        <f t="shared" si="14"/>
        <v>128.72399999999999</v>
      </c>
    </row>
    <row r="85" spans="1:23" ht="16.5" hidden="1">
      <c r="A85" s="83" t="s">
        <v>78</v>
      </c>
      <c r="B85" s="82">
        <f>'[2]Ukraine Sun Oil Exports'!KW$88</f>
        <v>112.91800000000001</v>
      </c>
      <c r="C85" s="82">
        <f>'[2]Ukraine Sun Oil Exports'!KX$88</f>
        <v>42.856000000000002</v>
      </c>
      <c r="D85" s="82">
        <f>'[2]Ukraine Sun Oil Exports'!KY$88</f>
        <v>44.552999999999997</v>
      </c>
      <c r="E85" s="82">
        <f>'[2]Ukraine Sun Oil Exports'!KZ$88</f>
        <v>8.8659999999999997</v>
      </c>
      <c r="F85" s="82">
        <f>'[2]Ukraine Sun Oil Exports'!LA$88</f>
        <v>58.228999999999999</v>
      </c>
      <c r="G85" s="82">
        <f>'[2]Ukraine Sun Oil Exports'!LB$88</f>
        <v>88.950999999999993</v>
      </c>
      <c r="H85" s="82">
        <f>'[2]Ukraine Sun Oil Exports'!LC$88</f>
        <v>41.77</v>
      </c>
      <c r="I85" s="82">
        <f>'[2]Ukraine Sun Oil Exports'!LD$88</f>
        <v>34.454999999999998</v>
      </c>
      <c r="J85" s="82">
        <f>'[2]Ukraine Sun Oil Exports'!LE$88</f>
        <v>38.448929</v>
      </c>
      <c r="K85" s="82">
        <f>'[2]Ukraine Sun Oil Exports'!LF$88</f>
        <v>39.614857000000001</v>
      </c>
      <c r="L85" s="82">
        <f>'[2]Ukraine Sun Oil Exports'!LG$88</f>
        <v>48.772039999999997</v>
      </c>
      <c r="M85" s="82">
        <f>'[2]Ukraine Sun Oil Exports'!LH$88</f>
        <v>73.052076999999997</v>
      </c>
      <c r="N85" s="82">
        <f t="shared" si="10"/>
        <v>632.48590299999978</v>
      </c>
      <c r="O85" s="27"/>
      <c r="P85" s="82">
        <f t="shared" si="11"/>
        <v>200.327</v>
      </c>
      <c r="Q85" s="82">
        <f t="shared" si="12"/>
        <v>156.04599999999999</v>
      </c>
      <c r="R85" s="82">
        <f t="shared" si="13"/>
        <v>114.67392899999999</v>
      </c>
      <c r="S85" s="82">
        <f t="shared" si="14"/>
        <v>161.438974</v>
      </c>
    </row>
    <row r="86" spans="1:23" ht="16.5" hidden="1">
      <c r="A86" s="83" t="s">
        <v>79</v>
      </c>
      <c r="B86" s="82">
        <f>'[2]Ukraine Sun Oil Exports'!LI$88</f>
        <v>94.070449999999994</v>
      </c>
      <c r="C86" s="82">
        <f>'[2]Ukraine Sun Oil Exports'!LJ$88</f>
        <v>29.848236</v>
      </c>
      <c r="D86" s="82">
        <f>'[2]Ukraine Sun Oil Exports'!LK$88</f>
        <v>60.297916999999998</v>
      </c>
      <c r="E86" s="82">
        <f>'[2]Ukraine Sun Oil Exports'!LL$88</f>
        <v>0.76675499999999996</v>
      </c>
      <c r="F86" s="82">
        <f>'[2]Ukraine Sun Oil Exports'!LM$88</f>
        <v>2.475994</v>
      </c>
      <c r="G86" s="82">
        <f>'[2]Ukraine Sun Oil Exports'!LN$88</f>
        <v>57.44435</v>
      </c>
      <c r="H86" s="82">
        <f>'[2]Ukraine Sun Oil Exports'!LO$88</f>
        <v>53.396073999999999</v>
      </c>
      <c r="I86" s="82">
        <f>'[2]Ukraine Sun Oil Exports'!LP$88</f>
        <v>22.366931999999998</v>
      </c>
      <c r="J86" s="82">
        <f>'[2]Ukraine Sun Oil Exports'!LQ$88</f>
        <v>19.941402</v>
      </c>
      <c r="K86" s="82">
        <f>'[2]Ukraine Sun Oil Exports'!LR$88</f>
        <v>60.085579000000003</v>
      </c>
      <c r="L86" s="82">
        <f>'[2]Ukraine Sun Oil Exports'!LS$88</f>
        <v>7.5845659999999997</v>
      </c>
      <c r="M86" s="82">
        <f>'[2]Ukraine Sun Oil Exports'!LT$88</f>
        <v>17.640274999999999</v>
      </c>
      <c r="N86" s="82">
        <f t="shared" si="10"/>
        <v>425.91852999999992</v>
      </c>
      <c r="O86" s="27"/>
      <c r="P86" s="82">
        <f t="shared" si="11"/>
        <v>184.21660299999996</v>
      </c>
      <c r="Q86" s="82">
        <f t="shared" si="12"/>
        <v>60.687099000000003</v>
      </c>
      <c r="R86" s="82">
        <f t="shared" si="13"/>
        <v>95.704407999999987</v>
      </c>
      <c r="S86" s="82">
        <f t="shared" si="14"/>
        <v>85.310420000000008</v>
      </c>
      <c r="W86" s="108"/>
    </row>
    <row r="87" spans="1:23" ht="16.5">
      <c r="A87" s="103" t="s">
        <v>80</v>
      </c>
      <c r="B87" s="82">
        <f>'[2]Ukraine Sun Oil Exports'!LU$88</f>
        <v>66.495491999999999</v>
      </c>
      <c r="C87" s="82">
        <f>'[2]Ukraine Sun Oil Exports'!LV$88</f>
        <v>87.396906000000001</v>
      </c>
      <c r="D87" s="82">
        <f>'[2]Ukraine Sun Oil Exports'!LW$88</f>
        <v>71.043998999999999</v>
      </c>
      <c r="E87" s="82">
        <f>'[2]Ukraine Sun Oil Exports'!LX$88</f>
        <v>55.92259</v>
      </c>
      <c r="F87" s="82">
        <f>'[2]Ukraine Sun Oil Exports'!LY$88</f>
        <v>2.8750599999999999</v>
      </c>
      <c r="G87" s="82">
        <f>'[2]Ukraine Sun Oil Exports'!LZ$88</f>
        <v>102.670367</v>
      </c>
      <c r="H87" s="82">
        <f>'[2]Ukraine Sun Oil Exports'!MA$88</f>
        <v>79.750660999999994</v>
      </c>
      <c r="I87" s="82">
        <f>'[2]Ukraine Sun Oil Exports'!MB$88</f>
        <v>98.734819000000002</v>
      </c>
      <c r="J87" s="82">
        <f>'[2]Ukraine Sun Oil Exports'!MC$88</f>
        <v>70.420598999999996</v>
      </c>
      <c r="K87" s="82">
        <f>'[2]Ukraine Sun Oil Exports'!MD$88</f>
        <v>56.155945000000003</v>
      </c>
      <c r="L87" s="82">
        <f>'[2]Ukraine Sun Oil Exports'!ME$88</f>
        <v>91.183012000000005</v>
      </c>
      <c r="M87" s="82">
        <f>'[2]Ukraine Sun Oil Exports'!MF$88</f>
        <v>27.516069000000002</v>
      </c>
      <c r="N87" s="82">
        <f t="shared" si="10"/>
        <v>810.16551900000002</v>
      </c>
      <c r="O87" s="27"/>
      <c r="P87" s="82">
        <f t="shared" si="11"/>
        <v>224.936397</v>
      </c>
      <c r="Q87" s="82">
        <f t="shared" si="12"/>
        <v>161.468017</v>
      </c>
      <c r="R87" s="82">
        <f t="shared" si="13"/>
        <v>248.90607899999998</v>
      </c>
      <c r="S87" s="82">
        <f t="shared" si="14"/>
        <v>174.85502600000001</v>
      </c>
      <c r="W87" s="107"/>
    </row>
    <row r="88" spans="1:23" ht="16.5">
      <c r="A88" s="103" t="s">
        <v>81</v>
      </c>
      <c r="B88" s="82">
        <f>'[2]Ukraine Sun Oil Exports'!MG$88</f>
        <v>140.78252499999999</v>
      </c>
      <c r="C88" s="82">
        <f>'[2]Ukraine Sun Oil Exports'!MH$88</f>
        <v>86.061801000000003</v>
      </c>
      <c r="D88" s="82">
        <f>'[2]Ukraine Sun Oil Exports'!MI$88</f>
        <v>55.235084999999998</v>
      </c>
      <c r="E88" s="82">
        <f>'[2]Ukraine Sun Oil Exports'!MJ$88</f>
        <v>84.807394000000002</v>
      </c>
      <c r="F88" s="82">
        <f>'[2]Ukraine Sun Oil Exports'!MK$88</f>
        <v>9.5312959999999993</v>
      </c>
      <c r="G88" s="82">
        <f>'[2]Ukraine Sun Oil Exports'!ML$88</f>
        <v>131.19849600000001</v>
      </c>
      <c r="H88" s="82">
        <f>'[2]Ukraine Sun Oil Exports'!MM$88</f>
        <v>89.693644000000006</v>
      </c>
      <c r="I88" s="82">
        <f>'[2]Ukraine Sun Oil Exports'!MN$88</f>
        <v>121.70476499999999</v>
      </c>
      <c r="J88" s="82">
        <f>'[2]Ukraine Sun Oil Exports'!MO$88</f>
        <v>89.428617000000003</v>
      </c>
      <c r="K88" s="82">
        <f>'[2]Ukraine Sun Oil Exports'!MP$88</f>
        <v>101.927986</v>
      </c>
      <c r="L88" s="82">
        <f>'[2]Ukraine Sun Oil Exports'!MQ$88</f>
        <v>51.732469999999999</v>
      </c>
      <c r="M88" s="82">
        <f>'[2]Ukraine Sun Oil Exports'!MR$88</f>
        <v>100.76227400000001</v>
      </c>
      <c r="N88" s="82">
        <f>SUM(B88:M88)</f>
        <v>1062.8663529999999</v>
      </c>
      <c r="O88" s="27"/>
      <c r="P88" s="82">
        <f t="shared" si="11"/>
        <v>282.07941099999999</v>
      </c>
      <c r="Q88" s="82">
        <f t="shared" si="12"/>
        <v>225.53718600000002</v>
      </c>
      <c r="R88" s="82">
        <f t="shared" si="13"/>
        <v>300.82702600000005</v>
      </c>
      <c r="S88" s="82">
        <f t="shared" si="14"/>
        <v>254.42273</v>
      </c>
    </row>
    <row r="89" spans="1:23" ht="17.25" thickBot="1">
      <c r="A89" s="103" t="s">
        <v>82</v>
      </c>
      <c r="B89" s="82">
        <f>'[2]Ukraine Sun Oil Exports'!MS$88</f>
        <v>89.610418999999993</v>
      </c>
      <c r="C89" s="82">
        <f>'[2]Ukraine Sun Oil Exports'!MT$88</f>
        <v>313.15110800000002</v>
      </c>
      <c r="D89" s="82">
        <f>'[2]Ukraine Sun Oil Exports'!MU$88</f>
        <v>71.077299999999994</v>
      </c>
      <c r="E89" s="82">
        <f>'[2]Ukraine Sun Oil Exports'!MV$88</f>
        <v>126.91</v>
      </c>
      <c r="F89" s="82">
        <f>'[2]Ukraine Sun Oil Exports'!MW$88</f>
        <v>81.825999999999993</v>
      </c>
      <c r="G89" s="82">
        <f>'[2]Ukraine Sun Oil Exports'!MX$88</f>
        <v>58.439</v>
      </c>
      <c r="H89" s="82">
        <f>'[2]Ukraine Sun Oil Exports'!MY$88</f>
        <v>37.558</v>
      </c>
      <c r="I89" s="82">
        <f>'[2]Ukraine Sun Oil Exports'!MZ$88</f>
        <v>77.67</v>
      </c>
      <c r="J89" s="82">
        <f>'[2]Ukraine Sun Oil Exports'!NA$88</f>
        <v>54.433999999999997</v>
      </c>
      <c r="K89" s="82">
        <f>'[2]Ukraine Sun Oil Exports'!NB$88</f>
        <v>48.701999999999998</v>
      </c>
      <c r="L89" s="82">
        <f>'[2]Ukraine Sun Oil Exports'!NC$88</f>
        <v>4.8000000000000001E-2</v>
      </c>
      <c r="M89" s="82">
        <f>'[2]Ukraine Sun Oil Exports'!ND$88</f>
        <v>17.782</v>
      </c>
      <c r="N89" s="82">
        <f>SUM(B89:M89)</f>
        <v>977.20782699999995</v>
      </c>
      <c r="O89" s="27"/>
      <c r="P89" s="82">
        <f t="shared" si="11"/>
        <v>473.83882700000004</v>
      </c>
      <c r="Q89" s="82">
        <f t="shared" si="12"/>
        <v>267.17500000000001</v>
      </c>
      <c r="R89" s="82">
        <f t="shared" si="13"/>
        <v>169.66200000000001</v>
      </c>
      <c r="S89" s="82">
        <f t="shared" si="14"/>
        <v>66.531999999999996</v>
      </c>
    </row>
    <row r="90" spans="1:23" ht="16.5">
      <c r="A90" s="104" t="s">
        <v>110</v>
      </c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6"/>
      <c r="Q90" s="106"/>
      <c r="R90" s="106"/>
      <c r="S90" s="106"/>
    </row>
    <row r="91" spans="1:23" ht="16.5" hidden="1">
      <c r="A91" s="81" t="s">
        <v>84</v>
      </c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27"/>
      <c r="P91" s="82"/>
      <c r="Q91" s="82"/>
      <c r="R91" s="82"/>
      <c r="S91" s="82"/>
    </row>
    <row r="92" spans="1:23" ht="16.5" hidden="1">
      <c r="A92" s="81" t="s">
        <v>56</v>
      </c>
      <c r="B92" s="82">
        <f t="shared" ref="B92:M107" si="15">B5+B34+B63</f>
        <v>0</v>
      </c>
      <c r="C92" s="82">
        <f t="shared" si="15"/>
        <v>0</v>
      </c>
      <c r="D92" s="82">
        <f t="shared" si="15"/>
        <v>0</v>
      </c>
      <c r="E92" s="82">
        <f t="shared" si="15"/>
        <v>0</v>
      </c>
      <c r="F92" s="82">
        <f t="shared" si="15"/>
        <v>0</v>
      </c>
      <c r="G92" s="82">
        <f t="shared" si="15"/>
        <v>0</v>
      </c>
      <c r="H92" s="82">
        <f t="shared" si="15"/>
        <v>0</v>
      </c>
      <c r="I92" s="82">
        <f t="shared" si="15"/>
        <v>0</v>
      </c>
      <c r="J92" s="82">
        <f t="shared" si="15"/>
        <v>0</v>
      </c>
      <c r="K92" s="82">
        <f t="shared" si="15"/>
        <v>0</v>
      </c>
      <c r="L92" s="82">
        <f t="shared" si="15"/>
        <v>0</v>
      </c>
      <c r="M92" s="82">
        <f t="shared" si="15"/>
        <v>0</v>
      </c>
      <c r="N92" s="82">
        <f>SUM(B92:M92)</f>
        <v>0</v>
      </c>
      <c r="O92" s="27"/>
      <c r="P92" s="82">
        <f>D92+B92+C92</f>
        <v>0</v>
      </c>
      <c r="Q92" s="82">
        <f>SUM(E92:G92)</f>
        <v>0</v>
      </c>
      <c r="R92" s="82">
        <f>SUM(H92:J92)</f>
        <v>0</v>
      </c>
      <c r="S92" s="82">
        <f>SUM(K92:M92)</f>
        <v>0</v>
      </c>
    </row>
    <row r="93" spans="1:23" ht="16.5" hidden="1">
      <c r="A93" s="81" t="s">
        <v>57</v>
      </c>
      <c r="B93" s="82">
        <f t="shared" si="15"/>
        <v>0</v>
      </c>
      <c r="C93" s="82">
        <f t="shared" si="15"/>
        <v>0</v>
      </c>
      <c r="D93" s="82">
        <f t="shared" si="15"/>
        <v>0</v>
      </c>
      <c r="E93" s="82">
        <f t="shared" si="15"/>
        <v>0</v>
      </c>
      <c r="F93" s="82">
        <f t="shared" si="15"/>
        <v>0</v>
      </c>
      <c r="G93" s="82">
        <f t="shared" si="15"/>
        <v>0</v>
      </c>
      <c r="H93" s="82">
        <f t="shared" si="15"/>
        <v>0</v>
      </c>
      <c r="I93" s="82">
        <f t="shared" si="15"/>
        <v>0</v>
      </c>
      <c r="J93" s="82">
        <f t="shared" si="15"/>
        <v>0</v>
      </c>
      <c r="K93" s="82">
        <f t="shared" si="15"/>
        <v>0</v>
      </c>
      <c r="L93" s="82">
        <f t="shared" si="15"/>
        <v>0</v>
      </c>
      <c r="M93" s="82">
        <f t="shared" si="15"/>
        <v>0</v>
      </c>
      <c r="N93" s="82">
        <f t="shared" ref="N93:N118" si="16">SUM(B93:M93)</f>
        <v>0</v>
      </c>
      <c r="O93" s="27"/>
      <c r="P93" s="82">
        <f t="shared" ref="P93:P118" si="17">D93+B93+C93</f>
        <v>0</v>
      </c>
      <c r="Q93" s="82">
        <f t="shared" ref="Q93:Q118" si="18">SUM(E93:G93)</f>
        <v>0</v>
      </c>
      <c r="R93" s="82">
        <f t="shared" ref="R93:R118" si="19">SUM(H93:J93)</f>
        <v>0</v>
      </c>
      <c r="S93" s="82">
        <f t="shared" ref="S93:S118" si="20">SUM(K93:M93)</f>
        <v>0</v>
      </c>
    </row>
    <row r="94" spans="1:23" ht="16.5" hidden="1">
      <c r="A94" s="81" t="s">
        <v>58</v>
      </c>
      <c r="B94" s="82">
        <f t="shared" si="15"/>
        <v>0</v>
      </c>
      <c r="C94" s="82">
        <f t="shared" si="15"/>
        <v>0</v>
      </c>
      <c r="D94" s="82">
        <f t="shared" si="15"/>
        <v>0</v>
      </c>
      <c r="E94" s="82">
        <f t="shared" si="15"/>
        <v>1.5049999999999999</v>
      </c>
      <c r="F94" s="82">
        <f t="shared" si="15"/>
        <v>0.85299999999999998</v>
      </c>
      <c r="G94" s="82">
        <f t="shared" si="15"/>
        <v>0</v>
      </c>
      <c r="H94" s="82">
        <f t="shared" si="15"/>
        <v>0</v>
      </c>
      <c r="I94" s="82">
        <f t="shared" si="15"/>
        <v>0</v>
      </c>
      <c r="J94" s="82">
        <f t="shared" si="15"/>
        <v>0</v>
      </c>
      <c r="K94" s="82">
        <f t="shared" si="15"/>
        <v>0</v>
      </c>
      <c r="L94" s="82">
        <f t="shared" si="15"/>
        <v>0</v>
      </c>
      <c r="M94" s="82">
        <f t="shared" si="15"/>
        <v>0</v>
      </c>
      <c r="N94" s="82">
        <f t="shared" si="16"/>
        <v>2.3579999999999997</v>
      </c>
      <c r="O94" s="27"/>
      <c r="P94" s="82">
        <f t="shared" si="17"/>
        <v>0</v>
      </c>
      <c r="Q94" s="82">
        <f t="shared" si="18"/>
        <v>2.3579999999999997</v>
      </c>
      <c r="R94" s="82">
        <f t="shared" si="19"/>
        <v>0</v>
      </c>
      <c r="S94" s="82">
        <f t="shared" si="20"/>
        <v>0</v>
      </c>
    </row>
    <row r="95" spans="1:23" ht="16.5" hidden="1">
      <c r="A95" s="81" t="s">
        <v>59</v>
      </c>
      <c r="B95" s="82">
        <f t="shared" si="15"/>
        <v>0</v>
      </c>
      <c r="C95" s="82">
        <f t="shared" si="15"/>
        <v>1.9E-2</v>
      </c>
      <c r="D95" s="82">
        <f t="shared" si="15"/>
        <v>0</v>
      </c>
      <c r="E95" s="82">
        <f t="shared" si="15"/>
        <v>0</v>
      </c>
      <c r="F95" s="82">
        <f t="shared" si="15"/>
        <v>0</v>
      </c>
      <c r="G95" s="82">
        <f t="shared" si="15"/>
        <v>0</v>
      </c>
      <c r="H95" s="82">
        <f t="shared" si="15"/>
        <v>0</v>
      </c>
      <c r="I95" s="82">
        <f t="shared" si="15"/>
        <v>0</v>
      </c>
      <c r="J95" s="82">
        <f t="shared" si="15"/>
        <v>0</v>
      </c>
      <c r="K95" s="82">
        <f t="shared" si="15"/>
        <v>0</v>
      </c>
      <c r="L95" s="82">
        <f t="shared" si="15"/>
        <v>0</v>
      </c>
      <c r="M95" s="82">
        <f t="shared" si="15"/>
        <v>0</v>
      </c>
      <c r="N95" s="82">
        <f t="shared" si="16"/>
        <v>1.9E-2</v>
      </c>
      <c r="O95" s="27"/>
      <c r="P95" s="82">
        <f t="shared" si="17"/>
        <v>1.9E-2</v>
      </c>
      <c r="Q95" s="82">
        <f t="shared" si="18"/>
        <v>0</v>
      </c>
      <c r="R95" s="82">
        <f t="shared" si="19"/>
        <v>0</v>
      </c>
      <c r="S95" s="82">
        <f t="shared" si="20"/>
        <v>0</v>
      </c>
    </row>
    <row r="96" spans="1:23" ht="16.5" hidden="1">
      <c r="A96" s="81" t="s">
        <v>60</v>
      </c>
      <c r="B96" s="82">
        <f t="shared" si="15"/>
        <v>0</v>
      </c>
      <c r="C96" s="82">
        <f t="shared" si="15"/>
        <v>0</v>
      </c>
      <c r="D96" s="82">
        <f t="shared" si="15"/>
        <v>0</v>
      </c>
      <c r="E96" s="82">
        <f t="shared" si="15"/>
        <v>0</v>
      </c>
      <c r="F96" s="82">
        <f t="shared" si="15"/>
        <v>0</v>
      </c>
      <c r="G96" s="82">
        <f t="shared" si="15"/>
        <v>0</v>
      </c>
      <c r="H96" s="82">
        <f t="shared" si="15"/>
        <v>0</v>
      </c>
      <c r="I96" s="82">
        <f t="shared" si="15"/>
        <v>0</v>
      </c>
      <c r="J96" s="82">
        <f t="shared" si="15"/>
        <v>0</v>
      </c>
      <c r="K96" s="82">
        <f t="shared" si="15"/>
        <v>0</v>
      </c>
      <c r="L96" s="82">
        <f t="shared" si="15"/>
        <v>0</v>
      </c>
      <c r="M96" s="82">
        <f t="shared" si="15"/>
        <v>0</v>
      </c>
      <c r="N96" s="82">
        <f t="shared" si="16"/>
        <v>0</v>
      </c>
      <c r="O96" s="27"/>
      <c r="P96" s="82">
        <f t="shared" si="17"/>
        <v>0</v>
      </c>
      <c r="Q96" s="82">
        <f t="shared" si="18"/>
        <v>0</v>
      </c>
      <c r="R96" s="82">
        <f t="shared" si="19"/>
        <v>0</v>
      </c>
      <c r="S96" s="82">
        <f t="shared" si="20"/>
        <v>0</v>
      </c>
    </row>
    <row r="97" spans="1:19" ht="16.5" hidden="1">
      <c r="A97" s="81" t="s">
        <v>61</v>
      </c>
      <c r="B97" s="82">
        <f t="shared" si="15"/>
        <v>0</v>
      </c>
      <c r="C97" s="82">
        <f t="shared" si="15"/>
        <v>0</v>
      </c>
      <c r="D97" s="82">
        <f t="shared" si="15"/>
        <v>0</v>
      </c>
      <c r="E97" s="82">
        <f t="shared" si="15"/>
        <v>0</v>
      </c>
      <c r="F97" s="82">
        <f t="shared" si="15"/>
        <v>4.0000000000000001E-3</v>
      </c>
      <c r="G97" s="82">
        <f t="shared" si="15"/>
        <v>0</v>
      </c>
      <c r="H97" s="82">
        <f t="shared" si="15"/>
        <v>0</v>
      </c>
      <c r="I97" s="82">
        <f t="shared" si="15"/>
        <v>0</v>
      </c>
      <c r="J97" s="82">
        <f t="shared" si="15"/>
        <v>0</v>
      </c>
      <c r="K97" s="82">
        <f t="shared" si="15"/>
        <v>0</v>
      </c>
      <c r="L97" s="82">
        <f t="shared" si="15"/>
        <v>0</v>
      </c>
      <c r="M97" s="82">
        <f t="shared" si="15"/>
        <v>0</v>
      </c>
      <c r="N97" s="82">
        <f t="shared" si="16"/>
        <v>4.0000000000000001E-3</v>
      </c>
      <c r="O97" s="27"/>
      <c r="P97" s="82">
        <f t="shared" si="17"/>
        <v>0</v>
      </c>
      <c r="Q97" s="82">
        <f t="shared" si="18"/>
        <v>4.0000000000000001E-3</v>
      </c>
      <c r="R97" s="82">
        <f t="shared" si="19"/>
        <v>0</v>
      </c>
      <c r="S97" s="82">
        <f t="shared" si="20"/>
        <v>0</v>
      </c>
    </row>
    <row r="98" spans="1:19" ht="16.5" hidden="1">
      <c r="A98" s="81" t="s">
        <v>62</v>
      </c>
      <c r="B98" s="82">
        <f t="shared" si="15"/>
        <v>1.5E-5</v>
      </c>
      <c r="C98" s="82">
        <f t="shared" si="15"/>
        <v>0</v>
      </c>
      <c r="D98" s="82">
        <f t="shared" si="15"/>
        <v>0</v>
      </c>
      <c r="E98" s="82">
        <f t="shared" si="15"/>
        <v>0</v>
      </c>
      <c r="F98" s="82">
        <f t="shared" si="15"/>
        <v>0</v>
      </c>
      <c r="G98" s="82">
        <f t="shared" si="15"/>
        <v>0</v>
      </c>
      <c r="H98" s="82">
        <f t="shared" si="15"/>
        <v>0</v>
      </c>
      <c r="I98" s="82">
        <f t="shared" si="15"/>
        <v>0</v>
      </c>
      <c r="J98" s="82">
        <f t="shared" si="15"/>
        <v>0</v>
      </c>
      <c r="K98" s="82">
        <f t="shared" si="15"/>
        <v>0</v>
      </c>
      <c r="L98" s="82">
        <f t="shared" si="15"/>
        <v>0</v>
      </c>
      <c r="M98" s="82">
        <f t="shared" si="15"/>
        <v>0</v>
      </c>
      <c r="N98" s="82">
        <f t="shared" si="16"/>
        <v>1.5E-5</v>
      </c>
      <c r="O98" s="27"/>
      <c r="P98" s="82">
        <f t="shared" si="17"/>
        <v>1.5E-5</v>
      </c>
      <c r="Q98" s="82">
        <f t="shared" si="18"/>
        <v>0</v>
      </c>
      <c r="R98" s="82">
        <f t="shared" si="19"/>
        <v>0</v>
      </c>
      <c r="S98" s="82">
        <f t="shared" si="20"/>
        <v>0</v>
      </c>
    </row>
    <row r="99" spans="1:19" ht="16.5" hidden="1">
      <c r="A99" s="81" t="s">
        <v>63</v>
      </c>
      <c r="B99" s="82">
        <f t="shared" si="15"/>
        <v>0</v>
      </c>
      <c r="C99" s="82">
        <f t="shared" si="15"/>
        <v>1E-3</v>
      </c>
      <c r="D99" s="82">
        <f t="shared" si="15"/>
        <v>0</v>
      </c>
      <c r="E99" s="82">
        <f t="shared" si="15"/>
        <v>0</v>
      </c>
      <c r="F99" s="82">
        <f t="shared" si="15"/>
        <v>0</v>
      </c>
      <c r="G99" s="82">
        <f t="shared" si="15"/>
        <v>0</v>
      </c>
      <c r="H99" s="82">
        <f t="shared" si="15"/>
        <v>0</v>
      </c>
      <c r="I99" s="82">
        <f t="shared" si="15"/>
        <v>0</v>
      </c>
      <c r="J99" s="82">
        <f t="shared" si="15"/>
        <v>0</v>
      </c>
      <c r="K99" s="82">
        <f t="shared" si="15"/>
        <v>0</v>
      </c>
      <c r="L99" s="82">
        <f t="shared" si="15"/>
        <v>0</v>
      </c>
      <c r="M99" s="82">
        <f t="shared" si="15"/>
        <v>0</v>
      </c>
      <c r="N99" s="82">
        <f t="shared" si="16"/>
        <v>1E-3</v>
      </c>
      <c r="O99" s="27"/>
      <c r="P99" s="82">
        <f t="shared" si="17"/>
        <v>1E-3</v>
      </c>
      <c r="Q99" s="82">
        <f t="shared" si="18"/>
        <v>0</v>
      </c>
      <c r="R99" s="82">
        <f t="shared" si="19"/>
        <v>0</v>
      </c>
      <c r="S99" s="82">
        <f t="shared" si="20"/>
        <v>0</v>
      </c>
    </row>
    <row r="100" spans="1:19" ht="16.5" hidden="1">
      <c r="A100" s="81" t="s">
        <v>64</v>
      </c>
      <c r="B100" s="82">
        <f t="shared" si="15"/>
        <v>0</v>
      </c>
      <c r="C100" s="82">
        <f t="shared" si="15"/>
        <v>2E-3</v>
      </c>
      <c r="D100" s="82">
        <f t="shared" si="15"/>
        <v>0</v>
      </c>
      <c r="E100" s="82">
        <f t="shared" si="15"/>
        <v>0</v>
      </c>
      <c r="F100" s="82">
        <f t="shared" si="15"/>
        <v>1E-3</v>
      </c>
      <c r="G100" s="82">
        <f t="shared" si="15"/>
        <v>0</v>
      </c>
      <c r="H100" s="82">
        <f t="shared" si="15"/>
        <v>1E-3</v>
      </c>
      <c r="I100" s="82">
        <f t="shared" si="15"/>
        <v>1E-3</v>
      </c>
      <c r="J100" s="82">
        <f t="shared" si="15"/>
        <v>0</v>
      </c>
      <c r="K100" s="82">
        <f t="shared" si="15"/>
        <v>0</v>
      </c>
      <c r="L100" s="82">
        <f t="shared" si="15"/>
        <v>3.0000000000000001E-3</v>
      </c>
      <c r="M100" s="82">
        <f t="shared" si="15"/>
        <v>4.0000000000000001E-3</v>
      </c>
      <c r="N100" s="82">
        <f t="shared" si="16"/>
        <v>1.2E-2</v>
      </c>
      <c r="O100" s="27"/>
      <c r="P100" s="82">
        <f t="shared" si="17"/>
        <v>2E-3</v>
      </c>
      <c r="Q100" s="82">
        <f t="shared" si="18"/>
        <v>1E-3</v>
      </c>
      <c r="R100" s="82">
        <f t="shared" si="19"/>
        <v>2E-3</v>
      </c>
      <c r="S100" s="82">
        <f t="shared" si="20"/>
        <v>7.0000000000000001E-3</v>
      </c>
    </row>
    <row r="101" spans="1:19" ht="16.5" hidden="1">
      <c r="A101" s="83" t="s">
        <v>65</v>
      </c>
      <c r="B101" s="82">
        <f t="shared" si="15"/>
        <v>6.3E-2</v>
      </c>
      <c r="C101" s="82">
        <f t="shared" si="15"/>
        <v>0</v>
      </c>
      <c r="D101" s="82">
        <f t="shared" si="15"/>
        <v>0</v>
      </c>
      <c r="E101" s="82">
        <f t="shared" si="15"/>
        <v>0</v>
      </c>
      <c r="F101" s="82">
        <f t="shared" si="15"/>
        <v>0</v>
      </c>
      <c r="G101" s="82">
        <f t="shared" si="15"/>
        <v>5.0000000000000001E-3</v>
      </c>
      <c r="H101" s="82">
        <f t="shared" si="15"/>
        <v>0</v>
      </c>
      <c r="I101" s="82">
        <f t="shared" si="15"/>
        <v>6.0000000000000001E-3</v>
      </c>
      <c r="J101" s="82">
        <f t="shared" si="15"/>
        <v>2E-3</v>
      </c>
      <c r="K101" s="82">
        <f t="shared" si="15"/>
        <v>8.0000000000000002E-3</v>
      </c>
      <c r="L101" s="82">
        <f t="shared" si="15"/>
        <v>0</v>
      </c>
      <c r="M101" s="82">
        <f t="shared" si="15"/>
        <v>0</v>
      </c>
      <c r="N101" s="82">
        <f t="shared" si="16"/>
        <v>8.4000000000000019E-2</v>
      </c>
      <c r="O101" s="27"/>
      <c r="P101" s="82">
        <f t="shared" si="17"/>
        <v>6.3E-2</v>
      </c>
      <c r="Q101" s="82">
        <f t="shared" si="18"/>
        <v>5.0000000000000001E-3</v>
      </c>
      <c r="R101" s="82">
        <f t="shared" si="19"/>
        <v>8.0000000000000002E-3</v>
      </c>
      <c r="S101" s="82">
        <f t="shared" si="20"/>
        <v>8.0000000000000002E-3</v>
      </c>
    </row>
    <row r="102" spans="1:19" ht="16.5" hidden="1">
      <c r="A102" s="83" t="s">
        <v>66</v>
      </c>
      <c r="B102" s="82">
        <f t="shared" si="15"/>
        <v>0</v>
      </c>
      <c r="C102" s="82">
        <f t="shared" si="15"/>
        <v>0</v>
      </c>
      <c r="D102" s="82">
        <f t="shared" si="15"/>
        <v>0</v>
      </c>
      <c r="E102" s="82">
        <f t="shared" si="15"/>
        <v>0</v>
      </c>
      <c r="F102" s="82">
        <f t="shared" si="15"/>
        <v>0</v>
      </c>
      <c r="G102" s="82">
        <f t="shared" si="15"/>
        <v>0</v>
      </c>
      <c r="H102" s="82">
        <f t="shared" si="15"/>
        <v>1.2999999999999999E-2</v>
      </c>
      <c r="I102" s="82">
        <f t="shared" si="15"/>
        <v>7.8E-2</v>
      </c>
      <c r="J102" s="82">
        <f t="shared" si="15"/>
        <v>0</v>
      </c>
      <c r="K102" s="82">
        <f t="shared" si="15"/>
        <v>0.01</v>
      </c>
      <c r="L102" s="82">
        <f t="shared" si="15"/>
        <v>7.2999999999999995E-2</v>
      </c>
      <c r="M102" s="82">
        <f t="shared" si="15"/>
        <v>0</v>
      </c>
      <c r="N102" s="82">
        <f t="shared" si="16"/>
        <v>0.17399999999999999</v>
      </c>
      <c r="O102" s="27"/>
      <c r="P102" s="82">
        <f t="shared" si="17"/>
        <v>0</v>
      </c>
      <c r="Q102" s="82">
        <f t="shared" si="18"/>
        <v>0</v>
      </c>
      <c r="R102" s="82">
        <f t="shared" si="19"/>
        <v>9.0999999999999998E-2</v>
      </c>
      <c r="S102" s="82">
        <f t="shared" si="20"/>
        <v>8.299999999999999E-2</v>
      </c>
    </row>
    <row r="103" spans="1:19" ht="16.5" hidden="1">
      <c r="A103" s="84" t="s">
        <v>67</v>
      </c>
      <c r="B103" s="82">
        <f t="shared" si="15"/>
        <v>7.4999999999999997E-2</v>
      </c>
      <c r="C103" s="82">
        <f t="shared" si="15"/>
        <v>1E-3</v>
      </c>
      <c r="D103" s="82">
        <f t="shared" si="15"/>
        <v>1E-3</v>
      </c>
      <c r="E103" s="82">
        <f t="shared" si="15"/>
        <v>6.4000000000000001E-2</v>
      </c>
      <c r="F103" s="82">
        <f t="shared" si="15"/>
        <v>0</v>
      </c>
      <c r="G103" s="82">
        <f t="shared" si="15"/>
        <v>6.0000000000000001E-3</v>
      </c>
      <c r="H103" s="82">
        <f t="shared" si="15"/>
        <v>6.3E-2</v>
      </c>
      <c r="I103" s="82">
        <f t="shared" si="15"/>
        <v>0.06</v>
      </c>
      <c r="J103" s="82">
        <f t="shared" si="15"/>
        <v>8.3000000000000004E-2</v>
      </c>
      <c r="K103" s="82">
        <f t="shared" si="15"/>
        <v>3.0000000000000001E-3</v>
      </c>
      <c r="L103" s="82">
        <f t="shared" si="15"/>
        <v>1.7999999999999999E-2</v>
      </c>
      <c r="M103" s="82">
        <f t="shared" si="15"/>
        <v>2E-3</v>
      </c>
      <c r="N103" s="82">
        <f t="shared" si="16"/>
        <v>0.37600000000000006</v>
      </c>
      <c r="O103" s="27"/>
      <c r="P103" s="82">
        <f t="shared" si="17"/>
        <v>7.6999999999999999E-2</v>
      </c>
      <c r="Q103" s="82">
        <f t="shared" si="18"/>
        <v>7.0000000000000007E-2</v>
      </c>
      <c r="R103" s="82">
        <f t="shared" si="19"/>
        <v>0.20600000000000002</v>
      </c>
      <c r="S103" s="82">
        <f t="shared" si="20"/>
        <v>2.3E-2</v>
      </c>
    </row>
    <row r="104" spans="1:19" ht="16.5" hidden="1">
      <c r="A104" s="83" t="s">
        <v>68</v>
      </c>
      <c r="B104" s="82">
        <f t="shared" si="15"/>
        <v>0</v>
      </c>
      <c r="C104" s="82">
        <f t="shared" si="15"/>
        <v>0</v>
      </c>
      <c r="D104" s="82">
        <f t="shared" si="15"/>
        <v>4.0000000000000001E-3</v>
      </c>
      <c r="E104" s="82">
        <f t="shared" si="15"/>
        <v>1E-3</v>
      </c>
      <c r="F104" s="82">
        <f t="shared" si="15"/>
        <v>2E-3</v>
      </c>
      <c r="G104" s="82">
        <f t="shared" si="15"/>
        <v>3.0000000000000001E-3</v>
      </c>
      <c r="H104" s="82">
        <f t="shared" si="15"/>
        <v>2E-3</v>
      </c>
      <c r="I104" s="82">
        <f t="shared" si="15"/>
        <v>0</v>
      </c>
      <c r="J104" s="82">
        <f t="shared" si="15"/>
        <v>8.0000000000000002E-3</v>
      </c>
      <c r="K104" s="82">
        <f t="shared" si="15"/>
        <v>0</v>
      </c>
      <c r="L104" s="82">
        <f t="shared" si="15"/>
        <v>1.2E-2</v>
      </c>
      <c r="M104" s="82">
        <f t="shared" si="15"/>
        <v>2E-3</v>
      </c>
      <c r="N104" s="82">
        <f t="shared" si="16"/>
        <v>3.4000000000000002E-2</v>
      </c>
      <c r="O104" s="27"/>
      <c r="P104" s="82">
        <f t="shared" si="17"/>
        <v>4.0000000000000001E-3</v>
      </c>
      <c r="Q104" s="82">
        <f t="shared" si="18"/>
        <v>6.0000000000000001E-3</v>
      </c>
      <c r="R104" s="82">
        <f t="shared" si="19"/>
        <v>0.01</v>
      </c>
      <c r="S104" s="82">
        <f t="shared" si="20"/>
        <v>1.4E-2</v>
      </c>
    </row>
    <row r="105" spans="1:19" ht="16.5" hidden="1">
      <c r="A105" s="84" t="s">
        <v>69</v>
      </c>
      <c r="B105" s="82">
        <f t="shared" si="15"/>
        <v>5.0000000000000001E-3</v>
      </c>
      <c r="C105" s="82">
        <f t="shared" si="15"/>
        <v>2E-3</v>
      </c>
      <c r="D105" s="82">
        <f t="shared" si="15"/>
        <v>1E-3</v>
      </c>
      <c r="E105" s="82">
        <f t="shared" si="15"/>
        <v>1E-3</v>
      </c>
      <c r="F105" s="82">
        <f t="shared" si="15"/>
        <v>0</v>
      </c>
      <c r="G105" s="82">
        <f t="shared" si="15"/>
        <v>2E-3</v>
      </c>
      <c r="H105" s="82">
        <f t="shared" si="15"/>
        <v>3.0000000000000001E-3</v>
      </c>
      <c r="I105" s="82">
        <f t="shared" si="15"/>
        <v>2E-3</v>
      </c>
      <c r="J105" s="82">
        <f t="shared" si="15"/>
        <v>8.0000000000000002E-3</v>
      </c>
      <c r="K105" s="82">
        <f t="shared" si="15"/>
        <v>1E-3</v>
      </c>
      <c r="L105" s="82">
        <f t="shared" si="15"/>
        <v>2.5999999999999999E-2</v>
      </c>
      <c r="M105" s="82">
        <f t="shared" si="15"/>
        <v>4.0000000000000001E-3</v>
      </c>
      <c r="N105" s="82">
        <f t="shared" si="16"/>
        <v>5.5000000000000007E-2</v>
      </c>
      <c r="O105" s="27"/>
      <c r="P105" s="82">
        <f t="shared" si="17"/>
        <v>8.0000000000000002E-3</v>
      </c>
      <c r="Q105" s="82">
        <f t="shared" si="18"/>
        <v>3.0000000000000001E-3</v>
      </c>
      <c r="R105" s="82">
        <f t="shared" si="19"/>
        <v>1.3000000000000001E-2</v>
      </c>
      <c r="S105" s="82">
        <f t="shared" si="20"/>
        <v>3.1E-2</v>
      </c>
    </row>
    <row r="106" spans="1:19" ht="16.5" hidden="1">
      <c r="A106" s="84" t="s">
        <v>70</v>
      </c>
      <c r="B106" s="82">
        <f t="shared" si="15"/>
        <v>3.7999999999999999E-2</v>
      </c>
      <c r="C106" s="82">
        <f t="shared" si="15"/>
        <v>4.0000000000000001E-3</v>
      </c>
      <c r="D106" s="82">
        <f t="shared" si="15"/>
        <v>2E-3</v>
      </c>
      <c r="E106" s="82">
        <f t="shared" si="15"/>
        <v>2E-3</v>
      </c>
      <c r="F106" s="82">
        <f t="shared" si="15"/>
        <v>4.2999999999999997E-2</v>
      </c>
      <c r="G106" s="82">
        <f t="shared" si="15"/>
        <v>3.4000000000000002E-2</v>
      </c>
      <c r="H106" s="82">
        <f t="shared" si="15"/>
        <v>0</v>
      </c>
      <c r="I106" s="82">
        <f t="shared" si="15"/>
        <v>6.7000000000000004E-2</v>
      </c>
      <c r="J106" s="82">
        <f t="shared" si="15"/>
        <v>2.4E-2</v>
      </c>
      <c r="K106" s="82">
        <f t="shared" si="15"/>
        <v>3.5000000000000003E-2</v>
      </c>
      <c r="L106" s="82">
        <f t="shared" si="15"/>
        <v>3.5999999999999997E-2</v>
      </c>
      <c r="M106" s="82">
        <f t="shared" si="15"/>
        <v>1E-3</v>
      </c>
      <c r="N106" s="82">
        <f t="shared" si="16"/>
        <v>0.28599999999999998</v>
      </c>
      <c r="O106" s="27"/>
      <c r="P106" s="82">
        <f t="shared" si="17"/>
        <v>4.3999999999999997E-2</v>
      </c>
      <c r="Q106" s="82">
        <f t="shared" si="18"/>
        <v>7.9000000000000001E-2</v>
      </c>
      <c r="R106" s="82">
        <f t="shared" si="19"/>
        <v>9.0999999999999998E-2</v>
      </c>
      <c r="S106" s="82">
        <f t="shared" si="20"/>
        <v>7.2000000000000008E-2</v>
      </c>
    </row>
    <row r="107" spans="1:19" ht="16.5" hidden="1">
      <c r="A107" s="83" t="s">
        <v>71</v>
      </c>
      <c r="B107" s="82">
        <f t="shared" si="15"/>
        <v>4.2000000000000003E-2</v>
      </c>
      <c r="C107" s="82">
        <f t="shared" si="15"/>
        <v>5.3999999999999999E-2</v>
      </c>
      <c r="D107" s="82">
        <f t="shared" si="15"/>
        <v>2.9000000000000001E-2</v>
      </c>
      <c r="E107" s="82">
        <f t="shared" si="15"/>
        <v>0.39100000000000001</v>
      </c>
      <c r="F107" s="82">
        <f t="shared" si="15"/>
        <v>1.216</v>
      </c>
      <c r="G107" s="82">
        <f t="shared" si="15"/>
        <v>1.36</v>
      </c>
      <c r="H107" s="82">
        <f t="shared" si="15"/>
        <v>0.90799999999999992</v>
      </c>
      <c r="I107" s="82">
        <f t="shared" si="15"/>
        <v>0.60099999999999998</v>
      </c>
      <c r="J107" s="82">
        <f t="shared" si="15"/>
        <v>18.562999999999999</v>
      </c>
      <c r="K107" s="82">
        <f t="shared" si="15"/>
        <v>12.604000000000001</v>
      </c>
      <c r="L107" s="82">
        <f t="shared" si="15"/>
        <v>2.1189999999999998</v>
      </c>
      <c r="M107" s="82">
        <f t="shared" si="15"/>
        <v>1.0999999999999999E-2</v>
      </c>
      <c r="N107" s="82">
        <f t="shared" si="16"/>
        <v>37.898000000000003</v>
      </c>
      <c r="O107" s="27"/>
      <c r="P107" s="82">
        <f t="shared" si="17"/>
        <v>0.125</v>
      </c>
      <c r="Q107" s="82">
        <f t="shared" si="18"/>
        <v>2.9670000000000001</v>
      </c>
      <c r="R107" s="82">
        <f t="shared" si="19"/>
        <v>20.071999999999999</v>
      </c>
      <c r="S107" s="82">
        <f t="shared" si="20"/>
        <v>14.734</v>
      </c>
    </row>
    <row r="108" spans="1:19" ht="16.5" hidden="1">
      <c r="A108" s="84" t="s">
        <v>72</v>
      </c>
      <c r="B108" s="82">
        <f t="shared" ref="B108:M118" si="21">B21+B50+B79</f>
        <v>0.104</v>
      </c>
      <c r="C108" s="82">
        <f t="shared" si="21"/>
        <v>0.92999999999999994</v>
      </c>
      <c r="D108" s="82">
        <f t="shared" si="21"/>
        <v>1.1319999999999999</v>
      </c>
      <c r="E108" s="82">
        <f t="shared" si="21"/>
        <v>0.46500000000000002</v>
      </c>
      <c r="F108" s="82">
        <f t="shared" si="21"/>
        <v>0.53800000000000003</v>
      </c>
      <c r="G108" s="82">
        <f t="shared" si="21"/>
        <v>1.7949999999999999</v>
      </c>
      <c r="H108" s="82">
        <f t="shared" si="21"/>
        <v>2.9660000000000002</v>
      </c>
      <c r="I108" s="82">
        <f t="shared" si="21"/>
        <v>3.3610000000000002</v>
      </c>
      <c r="J108" s="82">
        <f t="shared" si="21"/>
        <v>9.5000000000000001E-2</v>
      </c>
      <c r="K108" s="82">
        <f t="shared" si="21"/>
        <v>1.395</v>
      </c>
      <c r="L108" s="82">
        <f t="shared" si="21"/>
        <v>0.68500000000000005</v>
      </c>
      <c r="M108" s="82">
        <f t="shared" si="21"/>
        <v>2.6110000000000002</v>
      </c>
      <c r="N108" s="82">
        <f t="shared" si="16"/>
        <v>16.077000000000002</v>
      </c>
      <c r="O108" s="27"/>
      <c r="P108" s="82">
        <f t="shared" si="17"/>
        <v>2.1659999999999999</v>
      </c>
      <c r="Q108" s="82">
        <f t="shared" si="18"/>
        <v>2.798</v>
      </c>
      <c r="R108" s="82">
        <f t="shared" si="19"/>
        <v>6.4219999999999997</v>
      </c>
      <c r="S108" s="82">
        <f t="shared" si="20"/>
        <v>4.6910000000000007</v>
      </c>
    </row>
    <row r="109" spans="1:19" ht="16.5" hidden="1">
      <c r="A109" s="83" t="s">
        <v>73</v>
      </c>
      <c r="B109" s="82">
        <f t="shared" si="21"/>
        <v>28.028000000000002</v>
      </c>
      <c r="C109" s="82">
        <f t="shared" si="21"/>
        <v>17.169</v>
      </c>
      <c r="D109" s="82">
        <f t="shared" si="21"/>
        <v>28.73</v>
      </c>
      <c r="E109" s="82">
        <f t="shared" si="21"/>
        <v>0.12</v>
      </c>
      <c r="F109" s="82">
        <f t="shared" si="21"/>
        <v>1.542</v>
      </c>
      <c r="G109" s="82">
        <f t="shared" si="21"/>
        <v>3.4989999999999997</v>
      </c>
      <c r="H109" s="82">
        <f t="shared" si="21"/>
        <v>2.0459999999999998</v>
      </c>
      <c r="I109" s="82">
        <f t="shared" si="21"/>
        <v>2.742</v>
      </c>
      <c r="J109" s="82">
        <f t="shared" si="21"/>
        <v>5.2119999999999997</v>
      </c>
      <c r="K109" s="82">
        <f t="shared" si="21"/>
        <v>4.5070000000000006</v>
      </c>
      <c r="L109" s="82">
        <f t="shared" si="21"/>
        <v>2.1359999999999997</v>
      </c>
      <c r="M109" s="82">
        <f t="shared" si="21"/>
        <v>0.441</v>
      </c>
      <c r="N109" s="82">
        <f t="shared" si="16"/>
        <v>96.172000000000025</v>
      </c>
      <c r="O109" s="27"/>
      <c r="P109" s="82">
        <f t="shared" si="17"/>
        <v>73.927000000000007</v>
      </c>
      <c r="Q109" s="82">
        <f t="shared" si="18"/>
        <v>5.1609999999999996</v>
      </c>
      <c r="R109" s="82">
        <f t="shared" si="19"/>
        <v>10</v>
      </c>
      <c r="S109" s="82">
        <f t="shared" si="20"/>
        <v>7.0840000000000005</v>
      </c>
    </row>
    <row r="110" spans="1:19" ht="16.5" hidden="1">
      <c r="A110" s="83" t="s">
        <v>74</v>
      </c>
      <c r="B110" s="82">
        <f t="shared" si="21"/>
        <v>28.963999999999999</v>
      </c>
      <c r="C110" s="82">
        <f t="shared" si="21"/>
        <v>6.202</v>
      </c>
      <c r="D110" s="82">
        <f t="shared" si="21"/>
        <v>2.819</v>
      </c>
      <c r="E110" s="82">
        <f t="shared" si="21"/>
        <v>4.9269999999999996</v>
      </c>
      <c r="F110" s="82">
        <f t="shared" si="21"/>
        <v>57.813000000000002</v>
      </c>
      <c r="G110" s="82">
        <f t="shared" si="21"/>
        <v>39.311999999999998</v>
      </c>
      <c r="H110" s="82">
        <f t="shared" si="21"/>
        <v>31.17</v>
      </c>
      <c r="I110" s="82">
        <f t="shared" si="21"/>
        <v>33.246000000000002</v>
      </c>
      <c r="J110" s="82">
        <f t="shared" si="21"/>
        <v>75.977000000000004</v>
      </c>
      <c r="K110" s="82">
        <f t="shared" si="21"/>
        <v>7.0440000000000005</v>
      </c>
      <c r="L110" s="82">
        <f t="shared" si="21"/>
        <v>3.23</v>
      </c>
      <c r="M110" s="82">
        <f t="shared" si="21"/>
        <v>3.6949999999999998</v>
      </c>
      <c r="N110" s="82">
        <f t="shared" si="16"/>
        <v>294.399</v>
      </c>
      <c r="O110" s="27"/>
      <c r="P110" s="82">
        <f t="shared" si="17"/>
        <v>37.984999999999999</v>
      </c>
      <c r="Q110" s="82">
        <f t="shared" si="18"/>
        <v>102.05199999999999</v>
      </c>
      <c r="R110" s="82">
        <f t="shared" si="19"/>
        <v>140.393</v>
      </c>
      <c r="S110" s="82">
        <f t="shared" si="20"/>
        <v>13.969000000000001</v>
      </c>
    </row>
    <row r="111" spans="1:19" ht="16.5" hidden="1">
      <c r="A111" s="83" t="s">
        <v>75</v>
      </c>
      <c r="B111" s="82">
        <f t="shared" si="21"/>
        <v>106.19</v>
      </c>
      <c r="C111" s="82">
        <f t="shared" si="21"/>
        <v>51.430999999999997</v>
      </c>
      <c r="D111" s="82">
        <f t="shared" si="21"/>
        <v>27.021999999999998</v>
      </c>
      <c r="E111" s="82">
        <f t="shared" si="21"/>
        <v>27.184999999999999</v>
      </c>
      <c r="F111" s="82">
        <f t="shared" si="21"/>
        <v>16.707999999999998</v>
      </c>
      <c r="G111" s="82">
        <f t="shared" si="21"/>
        <v>95.22</v>
      </c>
      <c r="H111" s="82">
        <f t="shared" si="21"/>
        <v>60.331999999999994</v>
      </c>
      <c r="I111" s="82">
        <f t="shared" si="21"/>
        <v>104.119</v>
      </c>
      <c r="J111" s="82">
        <f t="shared" si="21"/>
        <v>10.696</v>
      </c>
      <c r="K111" s="82">
        <f t="shared" si="21"/>
        <v>5.0129999999999999</v>
      </c>
      <c r="L111" s="82">
        <f t="shared" si="21"/>
        <v>1.7310000000000001</v>
      </c>
      <c r="M111" s="82">
        <f t="shared" si="21"/>
        <v>4.59</v>
      </c>
      <c r="N111" s="82">
        <f t="shared" si="16"/>
        <v>510.23699999999997</v>
      </c>
      <c r="O111" s="27"/>
      <c r="P111" s="82">
        <f t="shared" si="17"/>
        <v>184.64299999999997</v>
      </c>
      <c r="Q111" s="82">
        <f t="shared" si="18"/>
        <v>139.113</v>
      </c>
      <c r="R111" s="82">
        <f t="shared" si="19"/>
        <v>175.14699999999999</v>
      </c>
      <c r="S111" s="82">
        <f t="shared" si="20"/>
        <v>11.334</v>
      </c>
    </row>
    <row r="112" spans="1:19" ht="16.5" hidden="1">
      <c r="A112" s="83" t="s">
        <v>76</v>
      </c>
      <c r="B112" s="82">
        <f t="shared" si="21"/>
        <v>10.246</v>
      </c>
      <c r="C112" s="82">
        <f t="shared" si="21"/>
        <v>40.180999999999997</v>
      </c>
      <c r="D112" s="82">
        <f t="shared" si="21"/>
        <v>38.323999999999998</v>
      </c>
      <c r="E112" s="82">
        <f t="shared" si="21"/>
        <v>89.036000000000001</v>
      </c>
      <c r="F112" s="82">
        <f t="shared" si="21"/>
        <v>26.080000000000002</v>
      </c>
      <c r="G112" s="82">
        <f t="shared" si="21"/>
        <v>97.841999999999999</v>
      </c>
      <c r="H112" s="82">
        <f t="shared" si="21"/>
        <v>75.03</v>
      </c>
      <c r="I112" s="82">
        <f t="shared" si="21"/>
        <v>17.466000000000001</v>
      </c>
      <c r="J112" s="82">
        <f t="shared" si="21"/>
        <v>39.866999999999997</v>
      </c>
      <c r="K112" s="82">
        <f t="shared" si="21"/>
        <v>6.7560000000000002</v>
      </c>
      <c r="L112" s="82">
        <f t="shared" si="21"/>
        <v>34.618000000000002</v>
      </c>
      <c r="M112" s="82">
        <f t="shared" si="21"/>
        <v>19.306000000000001</v>
      </c>
      <c r="N112" s="82">
        <f t="shared" si="16"/>
        <v>494.75200000000007</v>
      </c>
      <c r="O112" s="27"/>
      <c r="P112" s="82">
        <f t="shared" si="17"/>
        <v>88.751000000000005</v>
      </c>
      <c r="Q112" s="82">
        <f t="shared" si="18"/>
        <v>212.958</v>
      </c>
      <c r="R112" s="82">
        <f t="shared" si="19"/>
        <v>132.363</v>
      </c>
      <c r="S112" s="82">
        <f t="shared" si="20"/>
        <v>60.680000000000007</v>
      </c>
    </row>
    <row r="113" spans="1:19" ht="16.5" hidden="1">
      <c r="A113" s="83" t="s">
        <v>77</v>
      </c>
      <c r="B113" s="82">
        <f t="shared" si="21"/>
        <v>55.119</v>
      </c>
      <c r="C113" s="82">
        <f t="shared" si="21"/>
        <v>87.271000000000001</v>
      </c>
      <c r="D113" s="82">
        <f t="shared" si="21"/>
        <v>81.977000000000004</v>
      </c>
      <c r="E113" s="82">
        <f t="shared" si="21"/>
        <v>70.141000000000005</v>
      </c>
      <c r="F113" s="82">
        <f t="shared" si="21"/>
        <v>41.480999999999995</v>
      </c>
      <c r="G113" s="82">
        <f t="shared" si="21"/>
        <v>78.676000000000002</v>
      </c>
      <c r="H113" s="82">
        <f t="shared" si="21"/>
        <v>86.995000000000005</v>
      </c>
      <c r="I113" s="82">
        <f t="shared" si="21"/>
        <v>57.43</v>
      </c>
      <c r="J113" s="82">
        <f t="shared" si="21"/>
        <v>64.900999999999996</v>
      </c>
      <c r="K113" s="82">
        <f t="shared" si="21"/>
        <v>74.116</v>
      </c>
      <c r="L113" s="82">
        <f t="shared" si="21"/>
        <v>39.042000000000002</v>
      </c>
      <c r="M113" s="82">
        <f t="shared" si="21"/>
        <v>31.068999999999999</v>
      </c>
      <c r="N113" s="82">
        <f t="shared" si="16"/>
        <v>768.21799999999985</v>
      </c>
      <c r="O113" s="27"/>
      <c r="P113" s="82">
        <f t="shared" si="17"/>
        <v>224.36700000000002</v>
      </c>
      <c r="Q113" s="82">
        <f t="shared" si="18"/>
        <v>190.298</v>
      </c>
      <c r="R113" s="82">
        <f t="shared" si="19"/>
        <v>209.32600000000002</v>
      </c>
      <c r="S113" s="82">
        <f t="shared" si="20"/>
        <v>144.227</v>
      </c>
    </row>
    <row r="114" spans="1:19" ht="16.5" hidden="1">
      <c r="A114" s="83" t="s">
        <v>78</v>
      </c>
      <c r="B114" s="82">
        <f t="shared" si="21"/>
        <v>120.74600000000001</v>
      </c>
      <c r="C114" s="82">
        <f t="shared" si="21"/>
        <v>51.850999999999999</v>
      </c>
      <c r="D114" s="82">
        <f t="shared" si="21"/>
        <v>51.975999999999999</v>
      </c>
      <c r="E114" s="82">
        <f t="shared" si="21"/>
        <v>23.862000000000002</v>
      </c>
      <c r="F114" s="82">
        <f t="shared" si="21"/>
        <v>75.966999999999999</v>
      </c>
      <c r="G114" s="82">
        <f t="shared" si="21"/>
        <v>93.839999999999989</v>
      </c>
      <c r="H114" s="82">
        <f t="shared" si="21"/>
        <v>54.795000000000002</v>
      </c>
      <c r="I114" s="82">
        <f t="shared" si="21"/>
        <v>37.85</v>
      </c>
      <c r="J114" s="82">
        <f t="shared" si="21"/>
        <v>54.164597999999998</v>
      </c>
      <c r="K114" s="82">
        <f t="shared" si="21"/>
        <v>43.161101000000002</v>
      </c>
      <c r="L114" s="82">
        <f t="shared" si="21"/>
        <v>58.725943000000001</v>
      </c>
      <c r="M114" s="82">
        <f t="shared" si="21"/>
        <v>97.500204999999994</v>
      </c>
      <c r="N114" s="82">
        <f t="shared" si="16"/>
        <v>764.43884700000012</v>
      </c>
      <c r="O114" s="27"/>
      <c r="P114" s="82">
        <f t="shared" si="17"/>
        <v>224.57300000000001</v>
      </c>
      <c r="Q114" s="82">
        <f t="shared" si="18"/>
        <v>193.66899999999998</v>
      </c>
      <c r="R114" s="82">
        <f t="shared" si="19"/>
        <v>146.80959799999999</v>
      </c>
      <c r="S114" s="82">
        <f t="shared" si="20"/>
        <v>199.387249</v>
      </c>
    </row>
    <row r="115" spans="1:19" ht="16.5" hidden="1">
      <c r="A115" s="83" t="s">
        <v>79</v>
      </c>
      <c r="B115" s="82">
        <f t="shared" si="21"/>
        <v>98.435116999999991</v>
      </c>
      <c r="C115" s="82">
        <f t="shared" si="21"/>
        <v>38.256661999999999</v>
      </c>
      <c r="D115" s="82">
        <f t="shared" si="21"/>
        <v>92.983264999999989</v>
      </c>
      <c r="E115" s="82">
        <f t="shared" si="21"/>
        <v>3.3922069999999995</v>
      </c>
      <c r="F115" s="82">
        <f t="shared" si="21"/>
        <v>33.355474000000001</v>
      </c>
      <c r="G115" s="82">
        <f t="shared" si="21"/>
        <v>75.563395</v>
      </c>
      <c r="H115" s="82">
        <f t="shared" si="21"/>
        <v>55.375917999999999</v>
      </c>
      <c r="I115" s="82">
        <f t="shared" si="21"/>
        <v>49.656857000000002</v>
      </c>
      <c r="J115" s="82">
        <f t="shared" si="21"/>
        <v>57.019756999999998</v>
      </c>
      <c r="K115" s="82">
        <f t="shared" si="21"/>
        <v>64.775248000000005</v>
      </c>
      <c r="L115" s="82">
        <f t="shared" si="21"/>
        <v>42.258923000000003</v>
      </c>
      <c r="M115" s="82">
        <f t="shared" si="21"/>
        <v>29.356876999999997</v>
      </c>
      <c r="N115" s="82">
        <f t="shared" si="16"/>
        <v>640.42970000000014</v>
      </c>
      <c r="O115" s="27"/>
      <c r="P115" s="82">
        <f t="shared" si="17"/>
        <v>229.67504399999999</v>
      </c>
      <c r="Q115" s="82">
        <f t="shared" si="18"/>
        <v>112.311076</v>
      </c>
      <c r="R115" s="82">
        <f t="shared" si="19"/>
        <v>162.05253199999999</v>
      </c>
      <c r="S115" s="82">
        <f t="shared" si="20"/>
        <v>136.39104800000001</v>
      </c>
    </row>
    <row r="116" spans="1:19" ht="16.5">
      <c r="A116" s="103" t="s">
        <v>80</v>
      </c>
      <c r="B116" s="82">
        <f t="shared" si="21"/>
        <v>70.193733999999992</v>
      </c>
      <c r="C116" s="82">
        <f t="shared" si="21"/>
        <v>94.383297999999996</v>
      </c>
      <c r="D116" s="82">
        <f t="shared" si="21"/>
        <v>100.552317</v>
      </c>
      <c r="E116" s="82">
        <f t="shared" si="21"/>
        <v>64.262702000000004</v>
      </c>
      <c r="F116" s="82">
        <f t="shared" si="21"/>
        <v>18.727494</v>
      </c>
      <c r="G116" s="82">
        <f t="shared" si="21"/>
        <v>116.55999</v>
      </c>
      <c r="H116" s="82">
        <f t="shared" si="21"/>
        <v>110.56857299999999</v>
      </c>
      <c r="I116" s="82">
        <f t="shared" si="21"/>
        <v>129.92080300000001</v>
      </c>
      <c r="J116" s="82">
        <f t="shared" si="21"/>
        <v>81.806597999999994</v>
      </c>
      <c r="K116" s="82">
        <f t="shared" si="21"/>
        <v>86.239101000000005</v>
      </c>
      <c r="L116" s="82">
        <f t="shared" si="21"/>
        <v>147.29072400000001</v>
      </c>
      <c r="M116" s="82">
        <f t="shared" si="21"/>
        <v>76.512278000000009</v>
      </c>
      <c r="N116" s="82">
        <f t="shared" si="16"/>
        <v>1097.0176119999999</v>
      </c>
      <c r="O116" s="27"/>
      <c r="P116" s="82">
        <f t="shared" si="17"/>
        <v>265.12934899999999</v>
      </c>
      <c r="Q116" s="82">
        <f t="shared" si="18"/>
        <v>199.550186</v>
      </c>
      <c r="R116" s="82">
        <f t="shared" si="19"/>
        <v>322.295974</v>
      </c>
      <c r="S116" s="82">
        <f t="shared" si="20"/>
        <v>310.042103</v>
      </c>
    </row>
    <row r="117" spans="1:19" ht="16.5">
      <c r="A117" s="103" t="s">
        <v>81</v>
      </c>
      <c r="B117" s="82">
        <f t="shared" si="21"/>
        <v>186.70151199999998</v>
      </c>
      <c r="C117" s="82">
        <f t="shared" si="21"/>
        <v>107.04699500000001</v>
      </c>
      <c r="D117" s="82">
        <f t="shared" si="21"/>
        <v>137.367096</v>
      </c>
      <c r="E117" s="82">
        <f t="shared" si="21"/>
        <v>101.726967</v>
      </c>
      <c r="F117" s="82">
        <f t="shared" si="21"/>
        <v>81.382943999999995</v>
      </c>
      <c r="G117" s="82">
        <f t="shared" si="21"/>
        <v>233.24152000000001</v>
      </c>
      <c r="H117" s="82">
        <f t="shared" si="21"/>
        <v>154.775442</v>
      </c>
      <c r="I117" s="82">
        <f t="shared" si="21"/>
        <v>189.279515</v>
      </c>
      <c r="J117" s="82">
        <f t="shared" si="21"/>
        <v>172.48273899999998</v>
      </c>
      <c r="K117" s="82">
        <f t="shared" si="21"/>
        <v>181.45828</v>
      </c>
      <c r="L117" s="82">
        <f t="shared" si="21"/>
        <v>151.739296</v>
      </c>
      <c r="M117" s="82">
        <f t="shared" si="21"/>
        <v>117.10967400000001</v>
      </c>
      <c r="N117" s="82">
        <f t="shared" si="16"/>
        <v>1814.3119800000002</v>
      </c>
      <c r="O117" s="27"/>
      <c r="P117" s="82">
        <f t="shared" si="17"/>
        <v>431.11560299999996</v>
      </c>
      <c r="Q117" s="82">
        <f t="shared" si="18"/>
        <v>416.35143100000005</v>
      </c>
      <c r="R117" s="82">
        <f t="shared" si="19"/>
        <v>516.53769599999998</v>
      </c>
      <c r="S117" s="82">
        <f t="shared" si="20"/>
        <v>450.30725000000007</v>
      </c>
    </row>
    <row r="118" spans="1:19" ht="17.25" thickBot="1">
      <c r="A118" s="103" t="s">
        <v>82</v>
      </c>
      <c r="B118" s="82">
        <f t="shared" si="21"/>
        <v>123.800432</v>
      </c>
      <c r="C118" s="82">
        <f t="shared" si="21"/>
        <v>395.62205600000004</v>
      </c>
      <c r="D118" s="82">
        <f t="shared" si="21"/>
        <v>133.080164</v>
      </c>
      <c r="E118" s="82">
        <f t="shared" si="21"/>
        <v>166.845</v>
      </c>
      <c r="F118" s="82">
        <f t="shared" si="21"/>
        <v>101.892</v>
      </c>
      <c r="G118" s="82">
        <f t="shared" si="21"/>
        <v>170.815</v>
      </c>
      <c r="H118" s="82">
        <f t="shared" si="21"/>
        <v>88.658999999999992</v>
      </c>
      <c r="I118" s="82">
        <f t="shared" si="21"/>
        <v>84.522999999999996</v>
      </c>
      <c r="J118" s="82">
        <f t="shared" si="21"/>
        <v>63.08</v>
      </c>
      <c r="K118" s="82">
        <f t="shared" si="21"/>
        <v>59.186999999999998</v>
      </c>
      <c r="L118" s="82">
        <f t="shared" si="21"/>
        <v>4.1690000000000005</v>
      </c>
      <c r="M118" s="82">
        <f t="shared" si="21"/>
        <v>18.161999999999999</v>
      </c>
      <c r="N118" s="82">
        <f t="shared" si="16"/>
        <v>1409.8346519999998</v>
      </c>
      <c r="O118" s="109"/>
      <c r="P118" s="82">
        <f t="shared" si="17"/>
        <v>652.50265200000001</v>
      </c>
      <c r="Q118" s="82">
        <f t="shared" si="18"/>
        <v>439.55199999999996</v>
      </c>
      <c r="R118" s="82">
        <f t="shared" si="19"/>
        <v>236.262</v>
      </c>
      <c r="S118" s="82">
        <f t="shared" si="20"/>
        <v>81.518000000000001</v>
      </c>
    </row>
    <row r="119" spans="1:19" ht="16.5">
      <c r="A119" s="104" t="s">
        <v>111</v>
      </c>
      <c r="B119" s="105"/>
      <c r="C119" s="105"/>
      <c r="D119" s="105"/>
      <c r="E119" s="105"/>
      <c r="F119" s="105"/>
      <c r="G119" s="105"/>
      <c r="H119" s="106"/>
      <c r="I119" s="106"/>
      <c r="J119" s="106"/>
      <c r="K119" s="106"/>
      <c r="L119" s="106"/>
      <c r="M119" s="106"/>
      <c r="N119" s="105"/>
      <c r="O119" s="105"/>
      <c r="P119" s="106"/>
      <c r="Q119" s="106"/>
      <c r="R119" s="106"/>
      <c r="S119" s="106"/>
    </row>
    <row r="120" spans="1:19" ht="16.5" hidden="1">
      <c r="A120" s="81" t="s">
        <v>84</v>
      </c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27"/>
      <c r="P120" s="82"/>
      <c r="Q120" s="82"/>
      <c r="R120" s="82"/>
      <c r="S120" s="82"/>
    </row>
    <row r="121" spans="1:19" ht="16.5" hidden="1">
      <c r="A121" s="81" t="s">
        <v>56</v>
      </c>
      <c r="B121" s="82">
        <f>'[2]EU Sun Oil Exports'!AR$102</f>
        <v>0</v>
      </c>
      <c r="C121" s="82">
        <f>'[2]EU Sun Oil Exports'!AS$102</f>
        <v>0</v>
      </c>
      <c r="D121" s="82">
        <f>'[2]EU Sun Oil Exports'!AT$102</f>
        <v>0</v>
      </c>
      <c r="E121" s="82">
        <f>'[2]EU Sun Oil Exports'!AU$102</f>
        <v>0</v>
      </c>
      <c r="F121" s="82">
        <f>'[2]EU Sun Oil Exports'!AV$102</f>
        <v>0</v>
      </c>
      <c r="G121" s="82">
        <f>'[2]EU Sun Oil Exports'!AW$102</f>
        <v>0</v>
      </c>
      <c r="H121" s="82">
        <f>'[2]EU Sun Oil Exports'!AX$102</f>
        <v>0</v>
      </c>
      <c r="I121" s="82">
        <f>'[2]EU Sun Oil Exports'!AY$102</f>
        <v>0</v>
      </c>
      <c r="J121" s="82">
        <f>'[2]EU Sun Oil Exports'!AZ$102</f>
        <v>0</v>
      </c>
      <c r="K121" s="82">
        <f>'[2]EU Sun Oil Exports'!BA$102</f>
        <v>0</v>
      </c>
      <c r="L121" s="82">
        <f>'[2]EU Sun Oil Exports'!BB$102</f>
        <v>0</v>
      </c>
      <c r="M121" s="82">
        <f>'[2]EU Sun Oil Exports'!BC$102</f>
        <v>0</v>
      </c>
      <c r="N121" s="82">
        <f>SUM(B121:M121)</f>
        <v>0</v>
      </c>
      <c r="O121" s="27"/>
      <c r="P121" s="82">
        <f>D121+B121+C121</f>
        <v>0</v>
      </c>
      <c r="Q121" s="82">
        <f>SUM(E121:G121)</f>
        <v>0</v>
      </c>
      <c r="R121" s="82">
        <f>SUM(H121:J121)</f>
        <v>0</v>
      </c>
      <c r="S121" s="82">
        <f>SUM(K121:M121)</f>
        <v>0</v>
      </c>
    </row>
    <row r="122" spans="1:19" ht="16.5" hidden="1">
      <c r="A122" s="81" t="s">
        <v>57</v>
      </c>
      <c r="B122" s="82">
        <f>'[2]EU Sun Oil Exports'!BD$102</f>
        <v>0</v>
      </c>
      <c r="C122" s="82">
        <f>'[2]EU Sun Oil Exports'!BE$102</f>
        <v>0</v>
      </c>
      <c r="D122" s="82">
        <f>'[2]EU Sun Oil Exports'!BF$102</f>
        <v>0</v>
      </c>
      <c r="E122" s="82">
        <f>'[2]EU Sun Oil Exports'!BG$102</f>
        <v>0</v>
      </c>
      <c r="F122" s="82">
        <f>'[2]EU Sun Oil Exports'!BH$102</f>
        <v>0</v>
      </c>
      <c r="G122" s="82">
        <f>'[2]EU Sun Oil Exports'!BI$102</f>
        <v>0</v>
      </c>
      <c r="H122" s="82">
        <f>'[2]EU Sun Oil Exports'!BJ$102</f>
        <v>0</v>
      </c>
      <c r="I122" s="82">
        <f>'[2]EU Sun Oil Exports'!BK$102</f>
        <v>0</v>
      </c>
      <c r="J122" s="82">
        <f>'[2]EU Sun Oil Exports'!BL$102</f>
        <v>0</v>
      </c>
      <c r="K122" s="82">
        <f>'[2]EU Sun Oil Exports'!BM$102</f>
        <v>0</v>
      </c>
      <c r="L122" s="82">
        <f>'[2]EU Sun Oil Exports'!BN$102</f>
        <v>0</v>
      </c>
      <c r="M122" s="82">
        <f>'[2]EU Sun Oil Exports'!BO$102</f>
        <v>0</v>
      </c>
      <c r="N122" s="82">
        <f t="shared" ref="N122:N146" si="22">SUM(B122:M122)</f>
        <v>0</v>
      </c>
      <c r="O122" s="27"/>
      <c r="P122" s="82">
        <f t="shared" ref="P122:P147" si="23">D122+B122+C122</f>
        <v>0</v>
      </c>
      <c r="Q122" s="82">
        <f t="shared" ref="Q122:Q147" si="24">SUM(E122:G122)</f>
        <v>0</v>
      </c>
      <c r="R122" s="82">
        <f t="shared" ref="R122:R147" si="25">SUM(H122:J122)</f>
        <v>0</v>
      </c>
      <c r="S122" s="82">
        <f t="shared" ref="S122:S147" si="26">SUM(K122:M122)</f>
        <v>0</v>
      </c>
    </row>
    <row r="123" spans="1:19" ht="16.5" hidden="1">
      <c r="A123" s="81" t="s">
        <v>58</v>
      </c>
      <c r="B123" s="82">
        <f>'[2]EU Sun Oil Exports'!BP$102</f>
        <v>0</v>
      </c>
      <c r="C123" s="82">
        <f>'[2]EU Sun Oil Exports'!BQ$102</f>
        <v>0</v>
      </c>
      <c r="D123" s="82">
        <f>'[2]EU Sun Oil Exports'!BR$102</f>
        <v>0</v>
      </c>
      <c r="E123" s="82">
        <f>'[2]EU Sun Oil Exports'!BS$102</f>
        <v>9.9969999999999999</v>
      </c>
      <c r="F123" s="82">
        <f>'[2]EU Sun Oil Exports'!BT$102</f>
        <v>12.689</v>
      </c>
      <c r="G123" s="82">
        <f>'[2]EU Sun Oil Exports'!BU$102</f>
        <v>0</v>
      </c>
      <c r="H123" s="82">
        <f>'[2]EU Sun Oil Exports'!BV$102</f>
        <v>0</v>
      </c>
      <c r="I123" s="82">
        <f>'[2]EU Sun Oil Exports'!BW$102</f>
        <v>2</v>
      </c>
      <c r="J123" s="82">
        <f>'[2]EU Sun Oil Exports'!BX$102</f>
        <v>1</v>
      </c>
      <c r="K123" s="82">
        <f>'[2]EU Sun Oil Exports'!BY$102</f>
        <v>0</v>
      </c>
      <c r="L123" s="82">
        <f>'[2]EU Sun Oil Exports'!BZ$102</f>
        <v>0</v>
      </c>
      <c r="M123" s="82">
        <f>'[2]EU Sun Oil Exports'!CA$102</f>
        <v>0</v>
      </c>
      <c r="N123" s="82">
        <f t="shared" si="22"/>
        <v>25.686</v>
      </c>
      <c r="O123" s="27"/>
      <c r="P123" s="82">
        <f t="shared" si="23"/>
        <v>0</v>
      </c>
      <c r="Q123" s="82">
        <f t="shared" si="24"/>
        <v>22.686</v>
      </c>
      <c r="R123" s="82">
        <f t="shared" si="25"/>
        <v>3</v>
      </c>
      <c r="S123" s="82">
        <f t="shared" si="26"/>
        <v>0</v>
      </c>
    </row>
    <row r="124" spans="1:19" ht="16.5" hidden="1">
      <c r="A124" s="81" t="s">
        <v>59</v>
      </c>
      <c r="B124" s="82">
        <f>'[2]EU Sun Oil Exports'!CB$102</f>
        <v>0</v>
      </c>
      <c r="C124" s="82">
        <f>'[2]EU Sun Oil Exports'!CC$102</f>
        <v>1.5449999999999999</v>
      </c>
      <c r="D124" s="82">
        <f>'[2]EU Sun Oil Exports'!CD$102</f>
        <v>0</v>
      </c>
      <c r="E124" s="82">
        <f>'[2]EU Sun Oil Exports'!CE$102</f>
        <v>0</v>
      </c>
      <c r="F124" s="82">
        <f>'[2]EU Sun Oil Exports'!CF$102</f>
        <v>0</v>
      </c>
      <c r="G124" s="82">
        <f>'[2]EU Sun Oil Exports'!CG$102</f>
        <v>0</v>
      </c>
      <c r="H124" s="82">
        <f>'[2]EU Sun Oil Exports'!CH$102</f>
        <v>0.111</v>
      </c>
      <c r="I124" s="82">
        <f>'[2]EU Sun Oil Exports'!CI$102</f>
        <v>0</v>
      </c>
      <c r="J124" s="82">
        <f>'[2]EU Sun Oil Exports'!CJ$102</f>
        <v>0</v>
      </c>
      <c r="K124" s="82">
        <f>'[2]EU Sun Oil Exports'!CK$102</f>
        <v>0</v>
      </c>
      <c r="L124" s="82">
        <f>'[2]EU Sun Oil Exports'!CL$102</f>
        <v>0</v>
      </c>
      <c r="M124" s="82">
        <f>'[2]EU Sun Oil Exports'!CM$102</f>
        <v>8.5489999999999995</v>
      </c>
      <c r="N124" s="82">
        <f t="shared" si="22"/>
        <v>10.205</v>
      </c>
      <c r="O124" s="27"/>
      <c r="P124" s="82">
        <f t="shared" si="23"/>
        <v>1.5449999999999999</v>
      </c>
      <c r="Q124" s="82">
        <f t="shared" si="24"/>
        <v>0</v>
      </c>
      <c r="R124" s="82">
        <f t="shared" si="25"/>
        <v>0.111</v>
      </c>
      <c r="S124" s="82">
        <f t="shared" si="26"/>
        <v>8.5489999999999995</v>
      </c>
    </row>
    <row r="125" spans="1:19" ht="16.5" hidden="1">
      <c r="A125" s="81" t="s">
        <v>60</v>
      </c>
      <c r="B125" s="82">
        <f>'[2]EU Sun Oil Exports'!CN$102</f>
        <v>3</v>
      </c>
      <c r="C125" s="82">
        <f>'[2]EU Sun Oil Exports'!CO$102</f>
        <v>7.9379999999999997</v>
      </c>
      <c r="D125" s="82">
        <f>'[2]EU Sun Oil Exports'!CP$102</f>
        <v>1.7999999999999999E-2</v>
      </c>
      <c r="E125" s="82">
        <f>'[2]EU Sun Oil Exports'!CQ$102</f>
        <v>0</v>
      </c>
      <c r="F125" s="82">
        <f>'[2]EU Sun Oil Exports'!CR$102</f>
        <v>0</v>
      </c>
      <c r="G125" s="82">
        <f>'[2]EU Sun Oil Exports'!CS$102</f>
        <v>0</v>
      </c>
      <c r="H125" s="82">
        <f>'[2]EU Sun Oil Exports'!CT$102</f>
        <v>0</v>
      </c>
      <c r="I125" s="82">
        <f>'[2]EU Sun Oil Exports'!CU$102</f>
        <v>0</v>
      </c>
      <c r="J125" s="82">
        <f>'[2]EU Sun Oil Exports'!CV$102</f>
        <v>0</v>
      </c>
      <c r="K125" s="82">
        <f>'[2]EU Sun Oil Exports'!CW$102</f>
        <v>0</v>
      </c>
      <c r="L125" s="82">
        <f>'[2]EU Sun Oil Exports'!CX$102</f>
        <v>0</v>
      </c>
      <c r="M125" s="82">
        <f>'[2]EU Sun Oil Exports'!CY$102</f>
        <v>1.7000000000000001E-2</v>
      </c>
      <c r="N125" s="82">
        <f t="shared" si="22"/>
        <v>10.972999999999999</v>
      </c>
      <c r="O125" s="27"/>
      <c r="P125" s="82">
        <f t="shared" si="23"/>
        <v>10.956</v>
      </c>
      <c r="Q125" s="82">
        <f t="shared" si="24"/>
        <v>0</v>
      </c>
      <c r="R125" s="82">
        <f t="shared" si="25"/>
        <v>0</v>
      </c>
      <c r="S125" s="82">
        <f t="shared" si="26"/>
        <v>1.7000000000000001E-2</v>
      </c>
    </row>
    <row r="126" spans="1:19" ht="16.5" hidden="1">
      <c r="A126" s="81" t="s">
        <v>61</v>
      </c>
      <c r="B126" s="82">
        <f>'[2]EU Sun Oil Exports'!CZ$102</f>
        <v>0</v>
      </c>
      <c r="C126" s="82">
        <f>'[2]EU Sun Oil Exports'!DA$102</f>
        <v>0</v>
      </c>
      <c r="D126" s="82">
        <f>'[2]EU Sun Oil Exports'!DB$102</f>
        <v>0</v>
      </c>
      <c r="E126" s="82">
        <f>'[2]EU Sun Oil Exports'!DC$102</f>
        <v>0</v>
      </c>
      <c r="F126" s="82">
        <f>'[2]EU Sun Oil Exports'!DD$102</f>
        <v>0</v>
      </c>
      <c r="G126" s="82">
        <f>'[2]EU Sun Oil Exports'!DE$102</f>
        <v>1.7000000000000001E-2</v>
      </c>
      <c r="H126" s="82">
        <f>'[2]EU Sun Oil Exports'!DF$102</f>
        <v>0</v>
      </c>
      <c r="I126" s="82">
        <f>'[2]EU Sun Oil Exports'!DG$102</f>
        <v>0</v>
      </c>
      <c r="J126" s="82">
        <f>'[2]EU Sun Oil Exports'!DH$102</f>
        <v>0</v>
      </c>
      <c r="K126" s="82">
        <f>'[2]EU Sun Oil Exports'!DI$102</f>
        <v>0</v>
      </c>
      <c r="L126" s="82">
        <f>'[2]EU Sun Oil Exports'!DJ$102</f>
        <v>0</v>
      </c>
      <c r="M126" s="82">
        <f>'[2]EU Sun Oil Exports'!DK$102</f>
        <v>0</v>
      </c>
      <c r="N126" s="82">
        <f t="shared" si="22"/>
        <v>1.7000000000000001E-2</v>
      </c>
      <c r="O126" s="27"/>
      <c r="P126" s="82">
        <f t="shared" si="23"/>
        <v>0</v>
      </c>
      <c r="Q126" s="82">
        <f t="shared" si="24"/>
        <v>1.7000000000000001E-2</v>
      </c>
      <c r="R126" s="82">
        <f t="shared" si="25"/>
        <v>0</v>
      </c>
      <c r="S126" s="82">
        <f t="shared" si="26"/>
        <v>0</v>
      </c>
    </row>
    <row r="127" spans="1:19" ht="16.5" hidden="1">
      <c r="A127" s="81" t="s">
        <v>62</v>
      </c>
      <c r="B127" s="82">
        <f>'[2]EU Sun Oil Exports'!DL$102</f>
        <v>0</v>
      </c>
      <c r="C127" s="82">
        <f>'[2]EU Sun Oil Exports'!DM$102</f>
        <v>1.9E-2</v>
      </c>
      <c r="D127" s="82">
        <f>'[2]EU Sun Oil Exports'!DN$102</f>
        <v>0.03</v>
      </c>
      <c r="E127" s="82">
        <f>'[2]EU Sun Oil Exports'!DO$102</f>
        <v>3.5000000000000003E-2</v>
      </c>
      <c r="F127" s="82">
        <f>'[2]EU Sun Oil Exports'!DP$102</f>
        <v>0</v>
      </c>
      <c r="G127" s="82">
        <f>'[2]EU Sun Oil Exports'!DQ$102</f>
        <v>0</v>
      </c>
      <c r="H127" s="82">
        <f>'[2]EU Sun Oil Exports'!DR$102</f>
        <v>1E-3</v>
      </c>
      <c r="I127" s="82">
        <f>'[2]EU Sun Oil Exports'!DS$102</f>
        <v>0</v>
      </c>
      <c r="J127" s="82">
        <f>'[2]EU Sun Oil Exports'!DT$102</f>
        <v>1E-3</v>
      </c>
      <c r="K127" s="82">
        <f>'[2]EU Sun Oil Exports'!DU$102</f>
        <v>1E-3</v>
      </c>
      <c r="L127" s="82">
        <f>'[2]EU Sun Oil Exports'!DV$102</f>
        <v>0</v>
      </c>
      <c r="M127" s="82">
        <f>'[2]EU Sun Oil Exports'!DW$102</f>
        <v>0</v>
      </c>
      <c r="N127" s="82">
        <f t="shared" si="22"/>
        <v>8.7000000000000008E-2</v>
      </c>
      <c r="O127" s="27"/>
      <c r="P127" s="82">
        <f t="shared" si="23"/>
        <v>4.9000000000000002E-2</v>
      </c>
      <c r="Q127" s="82">
        <f t="shared" si="24"/>
        <v>3.5000000000000003E-2</v>
      </c>
      <c r="R127" s="82">
        <f t="shared" si="25"/>
        <v>2E-3</v>
      </c>
      <c r="S127" s="82">
        <f t="shared" si="26"/>
        <v>1E-3</v>
      </c>
    </row>
    <row r="128" spans="1:19" ht="16.5" hidden="1">
      <c r="A128" s="81" t="s">
        <v>63</v>
      </c>
      <c r="B128" s="82">
        <f>'[2]EU Sun Oil Exports'!DX$102</f>
        <v>0</v>
      </c>
      <c r="C128" s="82">
        <f>'[2]EU Sun Oil Exports'!DY$102</f>
        <v>0</v>
      </c>
      <c r="D128" s="82">
        <f>'[2]EU Sun Oil Exports'!DZ$102</f>
        <v>0</v>
      </c>
      <c r="E128" s="82">
        <f>'[2]EU Sun Oil Exports'!EA$102</f>
        <v>0</v>
      </c>
      <c r="F128" s="82">
        <f>'[2]EU Sun Oil Exports'!EB$102</f>
        <v>1E-3</v>
      </c>
      <c r="G128" s="82">
        <f>'[2]EU Sun Oil Exports'!EC$102</f>
        <v>0</v>
      </c>
      <c r="H128" s="82">
        <f>'[2]EU Sun Oil Exports'!ED$102</f>
        <v>1E-3</v>
      </c>
      <c r="I128" s="82">
        <f>'[2]EU Sun Oil Exports'!EE$102</f>
        <v>4.0000000000000001E-3</v>
      </c>
      <c r="J128" s="82">
        <f>'[2]EU Sun Oil Exports'!EF$102</f>
        <v>0</v>
      </c>
      <c r="K128" s="82">
        <f>'[2]EU Sun Oil Exports'!EG$102</f>
        <v>0</v>
      </c>
      <c r="L128" s="82">
        <f>'[2]EU Sun Oil Exports'!EH$102</f>
        <v>0</v>
      </c>
      <c r="M128" s="82">
        <f>'[2]EU Sun Oil Exports'!EI$102</f>
        <v>0</v>
      </c>
      <c r="N128" s="82">
        <f t="shared" si="22"/>
        <v>6.0000000000000001E-3</v>
      </c>
      <c r="O128" s="27"/>
      <c r="P128" s="82">
        <f t="shared" si="23"/>
        <v>0</v>
      </c>
      <c r="Q128" s="82">
        <f t="shared" si="24"/>
        <v>1E-3</v>
      </c>
      <c r="R128" s="82">
        <f t="shared" si="25"/>
        <v>5.0000000000000001E-3</v>
      </c>
      <c r="S128" s="82">
        <f t="shared" si="26"/>
        <v>0</v>
      </c>
    </row>
    <row r="129" spans="1:19" ht="16.5" hidden="1">
      <c r="A129" s="81" t="s">
        <v>64</v>
      </c>
      <c r="B129" s="82">
        <f>'[2]EU Sun Oil Exports'!EJ$102</f>
        <v>0</v>
      </c>
      <c r="C129" s="82">
        <f>'[2]EU Sun Oil Exports'!EK$102</f>
        <v>0</v>
      </c>
      <c r="D129" s="82">
        <f>'[2]EU Sun Oil Exports'!EL$102</f>
        <v>0</v>
      </c>
      <c r="E129" s="82">
        <f>'[2]EU Sun Oil Exports'!EM$102</f>
        <v>0</v>
      </c>
      <c r="F129" s="82">
        <f>'[2]EU Sun Oil Exports'!EN$102</f>
        <v>0</v>
      </c>
      <c r="G129" s="82">
        <f>'[2]EU Sun Oil Exports'!EO$102</f>
        <v>0</v>
      </c>
      <c r="H129" s="82">
        <f>'[2]EU Sun Oil Exports'!EP$102</f>
        <v>0</v>
      </c>
      <c r="I129" s="82">
        <f>'[2]EU Sun Oil Exports'!EQ$102</f>
        <v>2.1000000000000001E-2</v>
      </c>
      <c r="J129" s="82">
        <f>'[2]EU Sun Oil Exports'!ER$102</f>
        <v>0</v>
      </c>
      <c r="K129" s="82">
        <f>'[2]EU Sun Oil Exports'!ES$102</f>
        <v>2E-3</v>
      </c>
      <c r="L129" s="82">
        <f>'[2]EU Sun Oil Exports'!ET$102</f>
        <v>0</v>
      </c>
      <c r="M129" s="82">
        <f>'[2]EU Sun Oil Exports'!EU$102</f>
        <v>0</v>
      </c>
      <c r="N129" s="82">
        <f t="shared" si="22"/>
        <v>2.3E-2</v>
      </c>
      <c r="O129" s="27"/>
      <c r="P129" s="82">
        <f t="shared" si="23"/>
        <v>0</v>
      </c>
      <c r="Q129" s="82">
        <f t="shared" si="24"/>
        <v>0</v>
      </c>
      <c r="R129" s="82">
        <f t="shared" si="25"/>
        <v>2.1000000000000001E-2</v>
      </c>
      <c r="S129" s="82">
        <f t="shared" si="26"/>
        <v>2E-3</v>
      </c>
    </row>
    <row r="130" spans="1:19" ht="16.5" hidden="1">
      <c r="A130" s="83" t="s">
        <v>65</v>
      </c>
      <c r="B130" s="82">
        <f>'[2]EU Sun Oil Exports'!EV$102</f>
        <v>3.0000000000000001E-3</v>
      </c>
      <c r="C130" s="82">
        <f>'[2]EU Sun Oil Exports'!EW$102</f>
        <v>1E-3</v>
      </c>
      <c r="D130" s="82">
        <f>'[2]EU Sun Oil Exports'!EX$102</f>
        <v>2E-3</v>
      </c>
      <c r="E130" s="82">
        <f>'[2]EU Sun Oil Exports'!EY$102</f>
        <v>2E-3</v>
      </c>
      <c r="F130" s="82">
        <f>'[2]EU Sun Oil Exports'!EZ$102</f>
        <v>4.0000000000000001E-3</v>
      </c>
      <c r="G130" s="82">
        <f>'[2]EU Sun Oil Exports'!FA$102</f>
        <v>3.0000000000000001E-3</v>
      </c>
      <c r="H130" s="82">
        <f>'[2]EU Sun Oil Exports'!FB$102</f>
        <v>0</v>
      </c>
      <c r="I130" s="82">
        <f>'[2]EU Sun Oil Exports'!FC$102</f>
        <v>5.0000000000000001E-3</v>
      </c>
      <c r="J130" s="82">
        <f>'[2]EU Sun Oil Exports'!FD$102</f>
        <v>4.0000000000000001E-3</v>
      </c>
      <c r="K130" s="82">
        <f>'[2]EU Sun Oil Exports'!FE$102</f>
        <v>0</v>
      </c>
      <c r="L130" s="82">
        <f>'[2]EU Sun Oil Exports'!FF$102</f>
        <v>3.0000000000000001E-3</v>
      </c>
      <c r="M130" s="82">
        <f>'[2]EU Sun Oil Exports'!FG$102</f>
        <v>4.0000000000000001E-3</v>
      </c>
      <c r="N130" s="82">
        <f t="shared" si="22"/>
        <v>3.1E-2</v>
      </c>
      <c r="O130" s="27"/>
      <c r="P130" s="82">
        <f t="shared" si="23"/>
        <v>6.0000000000000001E-3</v>
      </c>
      <c r="Q130" s="82">
        <f t="shared" si="24"/>
        <v>9.0000000000000011E-3</v>
      </c>
      <c r="R130" s="82">
        <f t="shared" si="25"/>
        <v>9.0000000000000011E-3</v>
      </c>
      <c r="S130" s="82">
        <f t="shared" si="26"/>
        <v>7.0000000000000001E-3</v>
      </c>
    </row>
    <row r="131" spans="1:19" ht="16.5" hidden="1">
      <c r="A131" s="83" t="s">
        <v>66</v>
      </c>
      <c r="B131" s="82">
        <f>'[2]EU Sun Oil Exports'!FH$102</f>
        <v>5.0000000000000001E-3</v>
      </c>
      <c r="C131" s="82">
        <f>'[2]EU Sun Oil Exports'!FI$102</f>
        <v>0</v>
      </c>
      <c r="D131" s="82">
        <f>'[2]EU Sun Oil Exports'!FJ$102</f>
        <v>0</v>
      </c>
      <c r="E131" s="82">
        <f>'[2]EU Sun Oil Exports'!FK$102</f>
        <v>0</v>
      </c>
      <c r="F131" s="82">
        <f>'[2]EU Sun Oil Exports'!FL$102</f>
        <v>0</v>
      </c>
      <c r="G131" s="82">
        <f>'[2]EU Sun Oil Exports'!FM$102</f>
        <v>0</v>
      </c>
      <c r="H131" s="82">
        <f>'[2]EU Sun Oil Exports'!FN$102</f>
        <v>3.0000000000000001E-3</v>
      </c>
      <c r="I131" s="82">
        <f>'[2]EU Sun Oil Exports'!FO$102</f>
        <v>0</v>
      </c>
      <c r="J131" s="82">
        <f>'[2]EU Sun Oil Exports'!FP$102</f>
        <v>3.0000000000000001E-3</v>
      </c>
      <c r="K131" s="82">
        <f>'[2]EU Sun Oil Exports'!FQ$102</f>
        <v>3.0000000000000001E-3</v>
      </c>
      <c r="L131" s="82">
        <f>'[2]EU Sun Oil Exports'!FR$102</f>
        <v>6.0000000000000001E-3</v>
      </c>
      <c r="M131" s="82">
        <f>'[2]EU Sun Oil Exports'!FS$102</f>
        <v>4.0000000000000001E-3</v>
      </c>
      <c r="N131" s="82">
        <f t="shared" si="22"/>
        <v>2.3999999999999997E-2</v>
      </c>
      <c r="O131" s="27"/>
      <c r="P131" s="82">
        <f t="shared" si="23"/>
        <v>5.0000000000000001E-3</v>
      </c>
      <c r="Q131" s="82">
        <f t="shared" si="24"/>
        <v>0</v>
      </c>
      <c r="R131" s="82">
        <f t="shared" si="25"/>
        <v>6.0000000000000001E-3</v>
      </c>
      <c r="S131" s="82">
        <f t="shared" si="26"/>
        <v>1.3000000000000001E-2</v>
      </c>
    </row>
    <row r="132" spans="1:19" ht="16.5" hidden="1">
      <c r="A132" s="84" t="s">
        <v>67</v>
      </c>
      <c r="B132" s="82">
        <f>'[2]EU Sun Oil Exports'!FT$102</f>
        <v>0</v>
      </c>
      <c r="C132" s="82">
        <f>'[2]EU Sun Oil Exports'!FU$102</f>
        <v>0</v>
      </c>
      <c r="D132" s="82">
        <f>'[2]EU Sun Oil Exports'!FV$102</f>
        <v>4.0000000000000001E-3</v>
      </c>
      <c r="E132" s="82">
        <f>'[2]EU Sun Oil Exports'!FW$102</f>
        <v>2E-3</v>
      </c>
      <c r="F132" s="82">
        <f>'[2]EU Sun Oil Exports'!FX$102</f>
        <v>5.0000000000000001E-3</v>
      </c>
      <c r="G132" s="82">
        <f>'[2]EU Sun Oil Exports'!FY$102</f>
        <v>6.0000000000000001E-3</v>
      </c>
      <c r="H132" s="82">
        <f>'[2]EU Sun Oil Exports'!FZ$102</f>
        <v>0</v>
      </c>
      <c r="I132" s="82">
        <f>'[2]EU Sun Oil Exports'!GA$102</f>
        <v>1.0999999999999999E-2</v>
      </c>
      <c r="J132" s="82">
        <f>'[2]EU Sun Oil Exports'!GB$102</f>
        <v>0</v>
      </c>
      <c r="K132" s="82">
        <f>'[2]EU Sun Oil Exports'!GC$102</f>
        <v>3.0000000000000001E-3</v>
      </c>
      <c r="L132" s="82">
        <f>'[2]EU Sun Oil Exports'!GD$102</f>
        <v>5.0000000000000001E-3</v>
      </c>
      <c r="M132" s="82">
        <f>'[2]EU Sun Oil Exports'!GE$102</f>
        <v>0</v>
      </c>
      <c r="N132" s="82">
        <f t="shared" si="22"/>
        <v>3.5999999999999997E-2</v>
      </c>
      <c r="O132" s="27"/>
      <c r="P132" s="82">
        <f t="shared" si="23"/>
        <v>4.0000000000000001E-3</v>
      </c>
      <c r="Q132" s="82">
        <f t="shared" si="24"/>
        <v>1.3000000000000001E-2</v>
      </c>
      <c r="R132" s="82">
        <f t="shared" si="25"/>
        <v>1.0999999999999999E-2</v>
      </c>
      <c r="S132" s="82">
        <f t="shared" si="26"/>
        <v>8.0000000000000002E-3</v>
      </c>
    </row>
    <row r="133" spans="1:19" ht="16.5" hidden="1">
      <c r="A133" s="83" t="s">
        <v>68</v>
      </c>
      <c r="B133" s="82">
        <f>'[2]EU Sun Oil Exports'!GF$102</f>
        <v>4.0000000000000001E-3</v>
      </c>
      <c r="C133" s="82">
        <f>'[2]EU Sun Oil Exports'!GG$102</f>
        <v>0</v>
      </c>
      <c r="D133" s="82">
        <f>'[2]EU Sun Oil Exports'!GH$102</f>
        <v>0</v>
      </c>
      <c r="E133" s="82">
        <f>'[2]EU Sun Oil Exports'!GI$102</f>
        <v>7.0000000000000001E-3</v>
      </c>
      <c r="F133" s="82">
        <f>'[2]EU Sun Oil Exports'!GJ$102</f>
        <v>3.6999999999999998E-2</v>
      </c>
      <c r="G133" s="82">
        <f>'[2]EU Sun Oil Exports'!GK$102</f>
        <v>0</v>
      </c>
      <c r="H133" s="82">
        <f>'[2]EU Sun Oil Exports'!GL$102</f>
        <v>1.0999999999999999E-2</v>
      </c>
      <c r="I133" s="82">
        <f>'[2]EU Sun Oil Exports'!GM$102</f>
        <v>1.4999999999999999E-2</v>
      </c>
      <c r="J133" s="82">
        <f>'[2]EU Sun Oil Exports'!GN$102</f>
        <v>2.8000000000000001E-2</v>
      </c>
      <c r="K133" s="82">
        <f>'[2]EU Sun Oil Exports'!GO$102</f>
        <v>3.0000000000000001E-3</v>
      </c>
      <c r="L133" s="82">
        <f>'[2]EU Sun Oil Exports'!GP$102</f>
        <v>2.1999999999999999E-2</v>
      </c>
      <c r="M133" s="82">
        <f>'[2]EU Sun Oil Exports'!GQ$102</f>
        <v>2.1000000000000001E-2</v>
      </c>
      <c r="N133" s="82">
        <f t="shared" si="22"/>
        <v>0.14799999999999999</v>
      </c>
      <c r="O133" s="27"/>
      <c r="P133" s="82">
        <f t="shared" si="23"/>
        <v>4.0000000000000001E-3</v>
      </c>
      <c r="Q133" s="82">
        <f t="shared" si="24"/>
        <v>4.3999999999999997E-2</v>
      </c>
      <c r="R133" s="82">
        <f t="shared" si="25"/>
        <v>5.3999999999999999E-2</v>
      </c>
      <c r="S133" s="82">
        <f t="shared" si="26"/>
        <v>4.5999999999999999E-2</v>
      </c>
    </row>
    <row r="134" spans="1:19" ht="16.5" hidden="1">
      <c r="A134" s="84" t="s">
        <v>69</v>
      </c>
      <c r="B134" s="82">
        <f>'[2]EU Sun Oil Exports'!GR$102</f>
        <v>2E-3</v>
      </c>
      <c r="C134" s="82">
        <f>'[2]EU Sun Oil Exports'!GS$102</f>
        <v>3.0000000000000001E-3</v>
      </c>
      <c r="D134" s="82">
        <f>'[2]EU Sun Oil Exports'!GT$102</f>
        <v>7.0000000000000001E-3</v>
      </c>
      <c r="E134" s="82">
        <f>'[2]EU Sun Oil Exports'!GU$102</f>
        <v>4.0000000000000001E-3</v>
      </c>
      <c r="F134" s="82">
        <f>'[2]EU Sun Oil Exports'!GV$102</f>
        <v>3.3000000000000002E-2</v>
      </c>
      <c r="G134" s="82">
        <f>'[2]EU Sun Oil Exports'!GW$102</f>
        <v>1.7999999999999999E-2</v>
      </c>
      <c r="H134" s="82">
        <f>'[2]EU Sun Oil Exports'!GX$102</f>
        <v>7.0000000000000001E-3</v>
      </c>
      <c r="I134" s="82">
        <f>'[2]EU Sun Oil Exports'!GY$102</f>
        <v>0</v>
      </c>
      <c r="J134" s="82">
        <f>'[2]EU Sun Oil Exports'!GZ$102</f>
        <v>4.1000000000000002E-2</v>
      </c>
      <c r="K134" s="82">
        <f>'[2]EU Sun Oil Exports'!HA$102</f>
        <v>0</v>
      </c>
      <c r="L134" s="82">
        <f>'[2]EU Sun Oil Exports'!HB$102</f>
        <v>8.0000000000000002E-3</v>
      </c>
      <c r="M134" s="82">
        <f>'[2]EU Sun Oil Exports'!HC$102</f>
        <v>1.7999999999999999E-2</v>
      </c>
      <c r="N134" s="82">
        <f t="shared" si="22"/>
        <v>0.14100000000000001</v>
      </c>
      <c r="O134" s="27"/>
      <c r="P134" s="82">
        <f t="shared" si="23"/>
        <v>1.2E-2</v>
      </c>
      <c r="Q134" s="82">
        <f t="shared" si="24"/>
        <v>5.5000000000000007E-2</v>
      </c>
      <c r="R134" s="82">
        <f t="shared" si="25"/>
        <v>4.8000000000000001E-2</v>
      </c>
      <c r="S134" s="82">
        <f t="shared" si="26"/>
        <v>2.5999999999999999E-2</v>
      </c>
    </row>
    <row r="135" spans="1:19" ht="16.5" hidden="1">
      <c r="A135" s="84" t="s">
        <v>70</v>
      </c>
      <c r="B135" s="82">
        <f>'[2]EU Sun Oil Exports'!HD$102</f>
        <v>0</v>
      </c>
      <c r="C135" s="82">
        <f>'[2]EU Sun Oil Exports'!HE$102</f>
        <v>0</v>
      </c>
      <c r="D135" s="82">
        <f>'[2]EU Sun Oil Exports'!HF$102</f>
        <v>0</v>
      </c>
      <c r="E135" s="82">
        <f>'[2]EU Sun Oil Exports'!HG$102</f>
        <v>2E-3</v>
      </c>
      <c r="F135" s="82">
        <f>'[2]EU Sun Oil Exports'!HH$102</f>
        <v>5.0000000000000001E-3</v>
      </c>
      <c r="G135" s="82">
        <f>'[2]EU Sun Oil Exports'!HI$102</f>
        <v>3.6999999999999998E-2</v>
      </c>
      <c r="H135" s="82">
        <f>'[2]EU Sun Oil Exports'!HJ$102</f>
        <v>0</v>
      </c>
      <c r="I135" s="82">
        <f>'[2]EU Sun Oil Exports'!HK$102</f>
        <v>0.01</v>
      </c>
      <c r="J135" s="82">
        <f>'[2]EU Sun Oil Exports'!HL$102</f>
        <v>2E-3</v>
      </c>
      <c r="K135" s="82">
        <f>'[2]EU Sun Oil Exports'!HM$102</f>
        <v>0</v>
      </c>
      <c r="L135" s="82">
        <f>'[2]EU Sun Oil Exports'!HN$102</f>
        <v>1.0999999999999999E-2</v>
      </c>
      <c r="M135" s="82">
        <f>'[2]EU Sun Oil Exports'!HO$102</f>
        <v>0</v>
      </c>
      <c r="N135" s="82">
        <f t="shared" si="22"/>
        <v>6.7000000000000004E-2</v>
      </c>
      <c r="O135" s="27"/>
      <c r="P135" s="82">
        <f t="shared" si="23"/>
        <v>0</v>
      </c>
      <c r="Q135" s="82">
        <f t="shared" si="24"/>
        <v>4.3999999999999997E-2</v>
      </c>
      <c r="R135" s="82">
        <f t="shared" si="25"/>
        <v>1.2E-2</v>
      </c>
      <c r="S135" s="82">
        <f t="shared" si="26"/>
        <v>1.0999999999999999E-2</v>
      </c>
    </row>
    <row r="136" spans="1:19" ht="16.5" hidden="1">
      <c r="A136" s="83" t="s">
        <v>71</v>
      </c>
      <c r="B136" s="82">
        <f>'[2]EU Sun Oil Exports'!HP$102</f>
        <v>7.0000000000000001E-3</v>
      </c>
      <c r="C136" s="82">
        <f>'[2]EU Sun Oil Exports'!HQ$102</f>
        <v>0.01</v>
      </c>
      <c r="D136" s="82">
        <f>'[2]EU Sun Oil Exports'!HR$102</f>
        <v>2E-3</v>
      </c>
      <c r="E136" s="82">
        <f>'[2]EU Sun Oil Exports'!HS$102</f>
        <v>3.9E-2</v>
      </c>
      <c r="F136" s="82">
        <f>'[2]EU Sun Oil Exports'!HT$102</f>
        <v>7.0000000000000001E-3</v>
      </c>
      <c r="G136" s="82">
        <f>'[2]EU Sun Oil Exports'!HU$102</f>
        <v>2.1999999999999999E-2</v>
      </c>
      <c r="H136" s="82">
        <f>'[2]EU Sun Oil Exports'!HV$102</f>
        <v>2.1000000000000001E-2</v>
      </c>
      <c r="I136" s="82">
        <f>'[2]EU Sun Oil Exports'!HW$102</f>
        <v>4.4999999999999998E-2</v>
      </c>
      <c r="J136" s="82">
        <f>'[2]EU Sun Oil Exports'!HX$102</f>
        <v>1E-3</v>
      </c>
      <c r="K136" s="82">
        <f>'[2]EU Sun Oil Exports'!HY$102</f>
        <v>2E-3</v>
      </c>
      <c r="L136" s="82">
        <f>'[2]EU Sun Oil Exports'!HZ$102</f>
        <v>0</v>
      </c>
      <c r="M136" s="82">
        <f>'[2]EU Sun Oil Exports'!IA$102</f>
        <v>0</v>
      </c>
      <c r="N136" s="82">
        <f t="shared" si="22"/>
        <v>0.156</v>
      </c>
      <c r="O136" s="27"/>
      <c r="P136" s="82">
        <f t="shared" si="23"/>
        <v>1.9000000000000003E-2</v>
      </c>
      <c r="Q136" s="82">
        <f t="shared" si="24"/>
        <v>6.8000000000000005E-2</v>
      </c>
      <c r="R136" s="82">
        <f t="shared" si="25"/>
        <v>6.7000000000000004E-2</v>
      </c>
      <c r="S136" s="82">
        <f t="shared" si="26"/>
        <v>2E-3</v>
      </c>
    </row>
    <row r="137" spans="1:19" ht="16.5" hidden="1">
      <c r="A137" s="84" t="s">
        <v>72</v>
      </c>
      <c r="B137" s="82">
        <f>'[2]EU Sun Oil Exports'!IB$102</f>
        <v>1E-3</v>
      </c>
      <c r="C137" s="82">
        <f>'[2]EU Sun Oil Exports'!IC$102</f>
        <v>6.0000000000000001E-3</v>
      </c>
      <c r="D137" s="82">
        <f>'[2]EU Sun Oil Exports'!ID$102</f>
        <v>6.0000000000000001E-3</v>
      </c>
      <c r="E137" s="82">
        <f>'[2]EU Sun Oil Exports'!IE$102</f>
        <v>4.0000000000000001E-3</v>
      </c>
      <c r="F137" s="82">
        <f>'[2]EU Sun Oil Exports'!IF$102</f>
        <v>0</v>
      </c>
      <c r="G137" s="82">
        <f>'[2]EU Sun Oil Exports'!IG$102</f>
        <v>0</v>
      </c>
      <c r="H137" s="82">
        <f>'[2]EU Sun Oil Exports'!IH$102</f>
        <v>0</v>
      </c>
      <c r="I137" s="82">
        <f>'[2]EU Sun Oil Exports'!II$102</f>
        <v>0</v>
      </c>
      <c r="J137" s="82">
        <f>'[2]EU Sun Oil Exports'!IJ$102</f>
        <v>4.0000000000000001E-3</v>
      </c>
      <c r="K137" s="82">
        <f>'[2]EU Sun Oil Exports'!IK$102</f>
        <v>1E-3</v>
      </c>
      <c r="L137" s="82">
        <f>'[2]EU Sun Oil Exports'!IL$102</f>
        <v>0</v>
      </c>
      <c r="M137" s="82">
        <f>'[2]EU Sun Oil Exports'!IM$102</f>
        <v>0</v>
      </c>
      <c r="N137" s="82">
        <f t="shared" si="22"/>
        <v>2.2000000000000002E-2</v>
      </c>
      <c r="O137" s="27"/>
      <c r="P137" s="82">
        <f t="shared" si="23"/>
        <v>1.3000000000000001E-2</v>
      </c>
      <c r="Q137" s="82">
        <f t="shared" si="24"/>
        <v>4.0000000000000001E-3</v>
      </c>
      <c r="R137" s="82">
        <f t="shared" si="25"/>
        <v>4.0000000000000001E-3</v>
      </c>
      <c r="S137" s="82">
        <f t="shared" si="26"/>
        <v>1E-3</v>
      </c>
    </row>
    <row r="138" spans="1:19" ht="16.5" hidden="1">
      <c r="A138" s="83" t="s">
        <v>73</v>
      </c>
      <c r="B138" s="82">
        <f>'[2]EU Sun Oil Exports'!IN$102</f>
        <v>1.6E-2</v>
      </c>
      <c r="C138" s="82">
        <f>'[2]EU Sun Oil Exports'!IO$102</f>
        <v>0</v>
      </c>
      <c r="D138" s="82">
        <f>'[2]EU Sun Oil Exports'!IP$102</f>
        <v>0</v>
      </c>
      <c r="E138" s="82">
        <f>'[2]EU Sun Oil Exports'!IQ$102</f>
        <v>0</v>
      </c>
      <c r="F138" s="82">
        <f>'[2]EU Sun Oil Exports'!IR$102</f>
        <v>0</v>
      </c>
      <c r="G138" s="82">
        <f>'[2]EU Sun Oil Exports'!IS$102</f>
        <v>0</v>
      </c>
      <c r="H138" s="82">
        <f>'[2]EU Sun Oil Exports'!IT$102</f>
        <v>0</v>
      </c>
      <c r="I138" s="82">
        <f>'[2]EU Sun Oil Exports'!IU$102</f>
        <v>0.18</v>
      </c>
      <c r="J138" s="82">
        <f>'[2]EU Sun Oil Exports'!IV$102</f>
        <v>0</v>
      </c>
      <c r="K138" s="82">
        <f>'[2]EU Sun Oil Exports'!IW$102</f>
        <v>2E-3</v>
      </c>
      <c r="L138" s="82">
        <f>'[2]EU Sun Oil Exports'!IX$102</f>
        <v>0</v>
      </c>
      <c r="M138" s="82">
        <f>'[2]EU Sun Oil Exports'!IY$102</f>
        <v>1E-3</v>
      </c>
      <c r="N138" s="82">
        <f t="shared" si="22"/>
        <v>0.19900000000000001</v>
      </c>
      <c r="O138" s="27"/>
      <c r="P138" s="82">
        <f t="shared" si="23"/>
        <v>1.6E-2</v>
      </c>
      <c r="Q138" s="82">
        <f t="shared" si="24"/>
        <v>0</v>
      </c>
      <c r="R138" s="82">
        <f t="shared" si="25"/>
        <v>0.18</v>
      </c>
      <c r="S138" s="82">
        <f t="shared" si="26"/>
        <v>3.0000000000000001E-3</v>
      </c>
    </row>
    <row r="139" spans="1:19" ht="16.5" hidden="1">
      <c r="A139" s="83" t="s">
        <v>74</v>
      </c>
      <c r="B139" s="82">
        <f>'[2]EU Sun Oil Exports'!IZ$102</f>
        <v>0</v>
      </c>
      <c r="C139" s="82">
        <f>'[2]EU Sun Oil Exports'!JA$102</f>
        <v>6.0000000000000001E-3</v>
      </c>
      <c r="D139" s="82">
        <f>'[2]EU Sun Oil Exports'!JB$102</f>
        <v>1E-3</v>
      </c>
      <c r="E139" s="82">
        <f>'[2]EU Sun Oil Exports'!JC$102</f>
        <v>2E-3</v>
      </c>
      <c r="F139" s="82">
        <f>'[2]EU Sun Oil Exports'!JD$102</f>
        <v>2E-3</v>
      </c>
      <c r="G139" s="82">
        <f>'[2]EU Sun Oil Exports'!JE$102</f>
        <v>2E-3</v>
      </c>
      <c r="H139" s="82">
        <f>'[2]EU Sun Oil Exports'!JF$102</f>
        <v>2E-3</v>
      </c>
      <c r="I139" s="82">
        <f>'[2]EU Sun Oil Exports'!JG$102</f>
        <v>0</v>
      </c>
      <c r="J139" s="82">
        <f>'[2]EU Sun Oil Exports'!JH$102</f>
        <v>7.1999999999999995E-2</v>
      </c>
      <c r="K139" s="82">
        <f>'[2]EU Sun Oil Exports'!JI$102</f>
        <v>8.0000000000000002E-3</v>
      </c>
      <c r="L139" s="82">
        <f>'[2]EU Sun Oil Exports'!JJ$102</f>
        <v>1E-3</v>
      </c>
      <c r="M139" s="82">
        <f>'[2]EU Sun Oil Exports'!JK$102</f>
        <v>4.3999999999999997E-2</v>
      </c>
      <c r="N139" s="82">
        <f t="shared" si="22"/>
        <v>0.14000000000000001</v>
      </c>
      <c r="O139" s="27"/>
      <c r="P139" s="82">
        <f t="shared" si="23"/>
        <v>7.0000000000000001E-3</v>
      </c>
      <c r="Q139" s="82">
        <f t="shared" si="24"/>
        <v>6.0000000000000001E-3</v>
      </c>
      <c r="R139" s="82">
        <f t="shared" si="25"/>
        <v>7.3999999999999996E-2</v>
      </c>
      <c r="S139" s="82">
        <f t="shared" si="26"/>
        <v>5.2999999999999999E-2</v>
      </c>
    </row>
    <row r="140" spans="1:19" ht="16.5" hidden="1">
      <c r="A140" s="83" t="s">
        <v>75</v>
      </c>
      <c r="B140" s="82">
        <f>'[2]EU Sun Oil Exports'!JL$102</f>
        <v>2E-3</v>
      </c>
      <c r="C140" s="82">
        <f>'[2]EU Sun Oil Exports'!JM$102</f>
        <v>0</v>
      </c>
      <c r="D140" s="82">
        <f>'[2]EU Sun Oil Exports'!JN$102</f>
        <v>3.0000000000000001E-3</v>
      </c>
      <c r="E140" s="82">
        <f>'[2]EU Sun Oil Exports'!JO$102</f>
        <v>1E-3</v>
      </c>
      <c r="F140" s="82">
        <f>'[2]EU Sun Oil Exports'!JP$102</f>
        <v>8.9999999999999993E-3</v>
      </c>
      <c r="G140" s="82">
        <f>'[2]EU Sun Oil Exports'!JQ$102</f>
        <v>1E-3</v>
      </c>
      <c r="H140" s="82">
        <f>'[2]EU Sun Oil Exports'!JR$102</f>
        <v>2E-3</v>
      </c>
      <c r="I140" s="82">
        <f>'[2]EU Sun Oil Exports'!JS$102</f>
        <v>1E-3</v>
      </c>
      <c r="J140" s="82">
        <f>'[2]EU Sun Oil Exports'!JT$102</f>
        <v>3.0000000000000001E-3</v>
      </c>
      <c r="K140" s="82">
        <f>'[2]EU Sun Oil Exports'!JU$102</f>
        <v>1E-3</v>
      </c>
      <c r="L140" s="82">
        <f>'[2]EU Sun Oil Exports'!JV$102</f>
        <v>0</v>
      </c>
      <c r="M140" s="82">
        <f>'[2]EU Sun Oil Exports'!JW$102</f>
        <v>5.0000000000000001E-3</v>
      </c>
      <c r="N140" s="82">
        <f t="shared" si="22"/>
        <v>2.8000000000000004E-2</v>
      </c>
      <c r="O140" s="27"/>
      <c r="P140" s="82">
        <f t="shared" si="23"/>
        <v>5.0000000000000001E-3</v>
      </c>
      <c r="Q140" s="82">
        <f t="shared" si="24"/>
        <v>1.0999999999999999E-2</v>
      </c>
      <c r="R140" s="82">
        <f t="shared" si="25"/>
        <v>6.0000000000000001E-3</v>
      </c>
      <c r="S140" s="82">
        <f t="shared" si="26"/>
        <v>6.0000000000000001E-3</v>
      </c>
    </row>
    <row r="141" spans="1:19" ht="16.5" hidden="1">
      <c r="A141" s="83" t="s">
        <v>76</v>
      </c>
      <c r="B141" s="82">
        <f>'[2]EU Sun Oil Exports'!JX$102</f>
        <v>3.0049999999999999</v>
      </c>
      <c r="C141" s="82">
        <f>'[2]EU Sun Oil Exports'!JY$102</f>
        <v>2.5999999999999999E-2</v>
      </c>
      <c r="D141" s="82">
        <f>'[2]EU Sun Oil Exports'!JZ$102</f>
        <v>4.8000000000000001E-2</v>
      </c>
      <c r="E141" s="82">
        <f>'[2]EU Sun Oil Exports'!KA$102</f>
        <v>1E-3</v>
      </c>
      <c r="F141" s="82">
        <f>'[2]EU Sun Oil Exports'!KB$102</f>
        <v>0</v>
      </c>
      <c r="G141" s="82">
        <f>'[2]EU Sun Oil Exports'!KC$102</f>
        <v>5.0000000000000001E-3</v>
      </c>
      <c r="H141" s="82">
        <f>'[2]EU Sun Oil Exports'!KD$102</f>
        <v>6.3E-2</v>
      </c>
      <c r="I141" s="82">
        <f>'[2]EU Sun Oil Exports'!KE$102</f>
        <v>2.9000000000000001E-2</v>
      </c>
      <c r="J141" s="82">
        <f>'[2]EU Sun Oil Exports'!KF$102</f>
        <v>5.0000000000000001E-3</v>
      </c>
      <c r="K141" s="82">
        <f>'[2]EU Sun Oil Exports'!KG$102</f>
        <v>3.0000000000000001E-3</v>
      </c>
      <c r="L141" s="82">
        <f>'[2]EU Sun Oil Exports'!KH$102</f>
        <v>1E-3</v>
      </c>
      <c r="M141" s="82">
        <f>'[2]EU Sun Oil Exports'!KI$102</f>
        <v>1E-3</v>
      </c>
      <c r="N141" s="82">
        <f t="shared" si="22"/>
        <v>3.1869999999999994</v>
      </c>
      <c r="O141" s="27"/>
      <c r="P141" s="82">
        <f t="shared" si="23"/>
        <v>3.0789999999999997</v>
      </c>
      <c r="Q141" s="82">
        <f t="shared" si="24"/>
        <v>6.0000000000000001E-3</v>
      </c>
      <c r="R141" s="82">
        <f t="shared" si="25"/>
        <v>9.7000000000000003E-2</v>
      </c>
      <c r="S141" s="82">
        <f t="shared" si="26"/>
        <v>5.0000000000000001E-3</v>
      </c>
    </row>
    <row r="142" spans="1:19" ht="16.5" hidden="1">
      <c r="A142" s="83" t="s">
        <v>77</v>
      </c>
      <c r="B142" s="82">
        <f>'[2]EU Sun Oil Exports'!KJ$102</f>
        <v>1E-3</v>
      </c>
      <c r="C142" s="82">
        <f>'[2]EU Sun Oil Exports'!KK$102</f>
        <v>0</v>
      </c>
      <c r="D142" s="82">
        <f>'[2]EU Sun Oil Exports'!KL$102</f>
        <v>1E-3</v>
      </c>
      <c r="E142" s="82">
        <f>'[2]EU Sun Oil Exports'!KM$102</f>
        <v>3.0000000000000001E-3</v>
      </c>
      <c r="F142" s="82">
        <f>'[2]EU Sun Oil Exports'!KN$102</f>
        <v>3.0000000000000001E-3</v>
      </c>
      <c r="G142" s="82">
        <f>'[2]EU Sun Oil Exports'!KO$102</f>
        <v>0</v>
      </c>
      <c r="H142" s="82">
        <f>'[2]EU Sun Oil Exports'!KP$102</f>
        <v>1.0999999999999999E-2</v>
      </c>
      <c r="I142" s="82">
        <f>'[2]EU Sun Oil Exports'!KQ$102</f>
        <v>0</v>
      </c>
      <c r="J142" s="82">
        <f>'[2]EU Sun Oil Exports'!KR$102</f>
        <v>7.0000000000000001E-3</v>
      </c>
      <c r="K142" s="82">
        <f>'[2]EU Sun Oil Exports'!KS$102</f>
        <v>8.9999999999999993E-3</v>
      </c>
      <c r="L142" s="82">
        <f>'[2]EU Sun Oil Exports'!KT$102</f>
        <v>5.0000000000000001E-3</v>
      </c>
      <c r="M142" s="82">
        <f>'[2]EU Sun Oil Exports'!KU$102</f>
        <v>0.123</v>
      </c>
      <c r="N142" s="82">
        <f t="shared" si="22"/>
        <v>0.16299999999999998</v>
      </c>
      <c r="O142" s="27"/>
      <c r="P142" s="82">
        <f t="shared" si="23"/>
        <v>2E-3</v>
      </c>
      <c r="Q142" s="82">
        <f t="shared" si="24"/>
        <v>6.0000000000000001E-3</v>
      </c>
      <c r="R142" s="82">
        <f t="shared" si="25"/>
        <v>1.7999999999999999E-2</v>
      </c>
      <c r="S142" s="82">
        <f t="shared" si="26"/>
        <v>0.13700000000000001</v>
      </c>
    </row>
    <row r="143" spans="1:19" ht="16.5" hidden="1">
      <c r="A143" s="83" t="s">
        <v>78</v>
      </c>
      <c r="B143" s="82">
        <f>'[2]EU Sun Oil Exports'!KV$102</f>
        <v>1.4E-2</v>
      </c>
      <c r="C143" s="82">
        <f>'[2]EU Sun Oil Exports'!KW$102</f>
        <v>0.01</v>
      </c>
      <c r="D143" s="82">
        <f>'[2]EU Sun Oil Exports'!KX$102</f>
        <v>2.5999999999999999E-2</v>
      </c>
      <c r="E143" s="82">
        <f>'[2]EU Sun Oil Exports'!KY$102</f>
        <v>0</v>
      </c>
      <c r="F143" s="82">
        <f>'[2]EU Sun Oil Exports'!KZ$102</f>
        <v>2.5000000000000001E-2</v>
      </c>
      <c r="G143" s="82">
        <f>'[2]EU Sun Oil Exports'!LA$102</f>
        <v>1.7999999999999999E-2</v>
      </c>
      <c r="H143" s="82">
        <f>'[2]EU Sun Oil Exports'!LB$102</f>
        <v>1.4999999999999999E-2</v>
      </c>
      <c r="I143" s="82">
        <f>'[2]EU Sun Oil Exports'!LC$102</f>
        <v>1.9E-2</v>
      </c>
      <c r="J143" s="82">
        <f>'[2]EU Sun Oil Exports'!LD$102</f>
        <v>1.6E-2</v>
      </c>
      <c r="K143" s="82">
        <f>'[2]EU Sun Oil Exports'!LE$102</f>
        <v>0</v>
      </c>
      <c r="L143" s="82">
        <f>'[2]EU Sun Oil Exports'!LF$102</f>
        <v>5.0000000000000001E-3</v>
      </c>
      <c r="M143" s="82">
        <f>'[2]EU Sun Oil Exports'!LG$102</f>
        <v>7.0000000000000001E-3</v>
      </c>
      <c r="N143" s="82">
        <f t="shared" si="22"/>
        <v>0.15500000000000003</v>
      </c>
      <c r="O143" s="27"/>
      <c r="P143" s="82">
        <f t="shared" si="23"/>
        <v>0.05</v>
      </c>
      <c r="Q143" s="82">
        <f t="shared" si="24"/>
        <v>4.2999999999999997E-2</v>
      </c>
      <c r="R143" s="82">
        <f t="shared" si="25"/>
        <v>0.05</v>
      </c>
      <c r="S143" s="82">
        <f t="shared" si="26"/>
        <v>1.2E-2</v>
      </c>
    </row>
    <row r="144" spans="1:19" ht="16.5" hidden="1">
      <c r="A144" s="83" t="s">
        <v>79</v>
      </c>
      <c r="B144" s="82">
        <f>'[2]EU Sun Oil Exports'!LH$102</f>
        <v>0.02</v>
      </c>
      <c r="C144" s="82">
        <f>'[2]EU Sun Oil Exports'!LI$102</f>
        <v>6.0999999999999999E-2</v>
      </c>
      <c r="D144" s="82">
        <f>'[2]EU Sun Oil Exports'!LJ$102</f>
        <v>0</v>
      </c>
      <c r="E144" s="82">
        <f>'[2]EU Sun Oil Exports'!LK$102</f>
        <v>8.0000000000000002E-3</v>
      </c>
      <c r="F144" s="82">
        <f>'[2]EU Sun Oil Exports'!LL$102</f>
        <v>1.7000000000000001E-2</v>
      </c>
      <c r="G144" s="82">
        <f>'[2]EU Sun Oil Exports'!LM$102</f>
        <v>8.9999999999999993E-3</v>
      </c>
      <c r="H144" s="82">
        <f>'[2]EU Sun Oil Exports'!LN$102</f>
        <v>0</v>
      </c>
      <c r="I144" s="82">
        <f>'[2]EU Sun Oil Exports'!LO$102</f>
        <v>7.0000000000000001E-3</v>
      </c>
      <c r="J144" s="82">
        <f>'[2]EU Sun Oil Exports'!LP$102</f>
        <v>1.2999999999999999E-2</v>
      </c>
      <c r="K144" s="82">
        <f>'[2]EU Sun Oil Exports'!LQ$102</f>
        <v>0</v>
      </c>
      <c r="L144" s="82">
        <f>'[2]EU Sun Oil Exports'!LR$102</f>
        <v>1E-3</v>
      </c>
      <c r="M144" s="82">
        <f>'[2]EU Sun Oil Exports'!LS$102</f>
        <v>1E-3</v>
      </c>
      <c r="N144" s="82">
        <f t="shared" si="22"/>
        <v>0.13700000000000001</v>
      </c>
      <c r="O144" s="27"/>
      <c r="P144" s="82">
        <f t="shared" si="23"/>
        <v>8.1000000000000003E-2</v>
      </c>
      <c r="Q144" s="82">
        <f t="shared" si="24"/>
        <v>3.4000000000000002E-2</v>
      </c>
      <c r="R144" s="82">
        <f t="shared" si="25"/>
        <v>0.02</v>
      </c>
      <c r="S144" s="82">
        <f t="shared" si="26"/>
        <v>2E-3</v>
      </c>
    </row>
    <row r="145" spans="1:19" ht="16.5">
      <c r="A145" s="103" t="s">
        <v>80</v>
      </c>
      <c r="B145" s="82">
        <f>'[2]EU Sun Oil Exports'!LT$102</f>
        <v>0.04</v>
      </c>
      <c r="C145" s="82">
        <f>'[2]EU Sun Oil Exports'!LU$102</f>
        <v>8.0000000000000002E-3</v>
      </c>
      <c r="D145" s="82">
        <f>'[2]EU Sun Oil Exports'!LV$102</f>
        <v>5.1999999999999998E-2</v>
      </c>
      <c r="E145" s="82">
        <f>'[2]EU Sun Oil Exports'!LW$102</f>
        <v>6.0000000000000001E-3</v>
      </c>
      <c r="F145" s="82">
        <f>'[2]EU Sun Oil Exports'!LX$102</f>
        <v>5.0000000000000001E-3</v>
      </c>
      <c r="G145" s="82">
        <f>'[2]EU Sun Oil Exports'!LY$102</f>
        <v>7.0000000000000001E-3</v>
      </c>
      <c r="H145" s="82">
        <f>'[2]EU Sun Oil Exports'!LZ$102</f>
        <v>3.0000000000000001E-3</v>
      </c>
      <c r="I145" s="82">
        <f>'[2]EU Sun Oil Exports'!MA$102</f>
        <v>0</v>
      </c>
      <c r="J145" s="110">
        <f>'[2]EU Sun Oil Exports'!MB$102</f>
        <v>0</v>
      </c>
      <c r="K145" s="82">
        <f>'[2]EU Sun Oil Exports'!MC$102</f>
        <v>6.0000000000000001E-3</v>
      </c>
      <c r="L145" s="82">
        <f>'[2]EU Sun Oil Exports'!MD$102</f>
        <v>2E-3</v>
      </c>
      <c r="M145" s="82">
        <f>'[2]EU Sun Oil Exports'!ME$102</f>
        <v>6.0000000000000001E-3</v>
      </c>
      <c r="N145" s="82">
        <f t="shared" si="22"/>
        <v>0.13500000000000004</v>
      </c>
      <c r="O145" s="27"/>
      <c r="P145" s="82">
        <f t="shared" si="23"/>
        <v>0.1</v>
      </c>
      <c r="Q145" s="82">
        <f t="shared" si="24"/>
        <v>1.7999999999999999E-2</v>
      </c>
      <c r="R145" s="82">
        <f t="shared" si="25"/>
        <v>3.0000000000000001E-3</v>
      </c>
      <c r="S145" s="82">
        <f t="shared" si="26"/>
        <v>1.4E-2</v>
      </c>
    </row>
    <row r="146" spans="1:19" ht="16.5">
      <c r="A146" s="103" t="s">
        <v>81</v>
      </c>
      <c r="B146" s="82">
        <f>'[2]EU Sun Oil Exports'!MF$102</f>
        <v>9</v>
      </c>
      <c r="C146" s="82">
        <f>'[2]EU Sun Oil Exports'!MG$102</f>
        <v>0</v>
      </c>
      <c r="D146" s="82">
        <f>'[2]EU Sun Oil Exports'!MH$102</f>
        <v>2.1999999999999999E-2</v>
      </c>
      <c r="E146" s="82">
        <f>'[2]EU Sun Oil Exports'!MI$102</f>
        <v>0</v>
      </c>
      <c r="F146" s="82">
        <f>'[2]EU Sun Oil Exports'!MJ$102</f>
        <v>0</v>
      </c>
      <c r="G146" s="82">
        <f>'[2]EU Sun Oil Exports'!MK$102</f>
        <v>1E-3</v>
      </c>
      <c r="H146" s="82">
        <f>'[2]EU Sun Oil Exports'!ML$102</f>
        <v>1E-3</v>
      </c>
      <c r="I146" s="82">
        <f>'[2]EU Sun Oil Exports'!MM$102</f>
        <v>0</v>
      </c>
      <c r="J146" s="82">
        <f>'[2]EU Sun Oil Exports'!MN$102</f>
        <v>0</v>
      </c>
      <c r="K146" s="82">
        <f>'[2]EU Sun Oil Exports'!MO$102</f>
        <v>2.1999999999999999E-2</v>
      </c>
      <c r="L146" s="82">
        <f>'[2]EU Sun Oil Exports'!MP$102</f>
        <v>6.0259999999999998</v>
      </c>
      <c r="M146" s="82">
        <f>'[2]EU Sun Oil Exports'!MQ$102</f>
        <v>15.015000000000001</v>
      </c>
      <c r="N146" s="82">
        <f t="shared" si="22"/>
        <v>30.087</v>
      </c>
      <c r="O146" s="27"/>
      <c r="P146" s="82">
        <f t="shared" si="23"/>
        <v>9.0220000000000002</v>
      </c>
      <c r="Q146" s="82">
        <f t="shared" si="24"/>
        <v>1E-3</v>
      </c>
      <c r="R146" s="82">
        <f t="shared" si="25"/>
        <v>1E-3</v>
      </c>
      <c r="S146" s="82">
        <f t="shared" si="26"/>
        <v>21.063000000000002</v>
      </c>
    </row>
    <row r="147" spans="1:19" ht="17.25" thickBot="1">
      <c r="A147" s="103" t="s">
        <v>82</v>
      </c>
      <c r="B147" s="82">
        <f>'[2]EU Sun Oil Exports'!MR$102</f>
        <v>9.0009999999999994</v>
      </c>
      <c r="C147" s="82">
        <f>'[2]EU Sun Oil Exports'!MS$102</f>
        <v>0</v>
      </c>
      <c r="D147" s="82">
        <f>'[2]EU Sun Oil Exports'!MT$102</f>
        <v>1E-3</v>
      </c>
      <c r="E147" s="82">
        <f>'[2]EU Sun Oil Exports'!MU$102</f>
        <v>0.24099999999999999</v>
      </c>
      <c r="F147" s="82">
        <f>'[2]EU Sun Oil Exports'!MV$102</f>
        <v>0</v>
      </c>
      <c r="G147" s="82">
        <f>'[2]EU Sun Oil Exports'!MW$102</f>
        <v>8.0000000000000002E-3</v>
      </c>
      <c r="H147" s="82">
        <f>'[2]EU Sun Oil Exports'!MX$102</f>
        <v>0.156</v>
      </c>
      <c r="I147" s="82">
        <f>'[2]EU Sun Oil Exports'!MY$102</f>
        <v>1E-3</v>
      </c>
      <c r="J147" s="82">
        <f>'[2]EU Sun Oil Exports'!MZ$102</f>
        <v>0</v>
      </c>
      <c r="K147" s="82">
        <f>'[2]EU Sun Oil Exports'!NA$102</f>
        <v>0.39400000000000002</v>
      </c>
      <c r="L147" s="82">
        <f>'[2]EU Sun Oil Exports'!NB$102</f>
        <v>1.2E-2</v>
      </c>
      <c r="M147" s="82">
        <f>'[2]EU Sun Oil Exports'!NC$102</f>
        <v>8.0060000000000002</v>
      </c>
      <c r="N147" s="111">
        <f>'Sun Oil Matrix'!AC8</f>
        <v>17.82</v>
      </c>
      <c r="O147" s="27"/>
      <c r="P147" s="82">
        <f t="shared" si="23"/>
        <v>9.0019999999999989</v>
      </c>
      <c r="Q147" s="82">
        <f t="shared" si="24"/>
        <v>0.249</v>
      </c>
      <c r="R147" s="82">
        <f t="shared" si="25"/>
        <v>0.157</v>
      </c>
      <c r="S147" s="82">
        <f t="shared" si="26"/>
        <v>8.4120000000000008</v>
      </c>
    </row>
    <row r="148" spans="1:19" ht="16.5">
      <c r="A148" s="104" t="s">
        <v>112</v>
      </c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6"/>
      <c r="Q148" s="106"/>
      <c r="R148" s="106"/>
      <c r="S148" s="106"/>
    </row>
    <row r="149" spans="1:19" ht="21.95" hidden="1" customHeight="1">
      <c r="A149" s="81" t="s">
        <v>84</v>
      </c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27"/>
      <c r="P149" s="82"/>
      <c r="Q149" s="82"/>
      <c r="R149" s="82"/>
      <c r="S149" s="82"/>
    </row>
    <row r="150" spans="1:19" ht="16.5" hidden="1">
      <c r="A150" s="81" t="s">
        <v>56</v>
      </c>
      <c r="B150" s="82">
        <f>'[2]Russia Sun Oil Exports'!AR$102</f>
        <v>0</v>
      </c>
      <c r="C150" s="82">
        <f>'[2]Russia Sun Oil Exports'!AS$102</f>
        <v>0</v>
      </c>
      <c r="D150" s="82">
        <f>'[2]Russia Sun Oil Exports'!AT$102</f>
        <v>0</v>
      </c>
      <c r="E150" s="82">
        <f>'[2]Russia Sun Oil Exports'!AU$102</f>
        <v>0</v>
      </c>
      <c r="F150" s="82">
        <f>'[2]Russia Sun Oil Exports'!AV$102</f>
        <v>0</v>
      </c>
      <c r="G150" s="82">
        <f>'[2]Russia Sun Oil Exports'!AW$102</f>
        <v>0</v>
      </c>
      <c r="H150" s="82">
        <f>'[2]Russia Sun Oil Exports'!AX$102</f>
        <v>0</v>
      </c>
      <c r="I150" s="82">
        <f>'[2]Russia Sun Oil Exports'!AY$102</f>
        <v>0</v>
      </c>
      <c r="J150" s="82">
        <f>'[2]Russia Sun Oil Exports'!AZ$102</f>
        <v>0</v>
      </c>
      <c r="K150" s="82">
        <f>'[2]Russia Sun Oil Exports'!BA$102</f>
        <v>0</v>
      </c>
      <c r="L150" s="82">
        <f>'[2]Russia Sun Oil Exports'!BB$102</f>
        <v>0</v>
      </c>
      <c r="M150" s="82">
        <f>'[2]Russia Sun Oil Exports'!BC$102</f>
        <v>0</v>
      </c>
      <c r="N150" s="82">
        <f>SUM(B150:M150)</f>
        <v>0</v>
      </c>
      <c r="O150" s="27"/>
      <c r="P150" s="82">
        <f>D150+B150+C150</f>
        <v>0</v>
      </c>
      <c r="Q150" s="82">
        <f>SUM(E150:G150)</f>
        <v>0</v>
      </c>
      <c r="R150" s="82">
        <f>SUM(H150:J150)</f>
        <v>0</v>
      </c>
      <c r="S150" s="82">
        <f>SUM(K150:M150)</f>
        <v>0</v>
      </c>
    </row>
    <row r="151" spans="1:19" ht="16.5" hidden="1">
      <c r="A151" s="81" t="s">
        <v>57</v>
      </c>
      <c r="B151" s="82">
        <f>'[2]Russia Sun Oil Exports'!BD$102</f>
        <v>0</v>
      </c>
      <c r="C151" s="82">
        <f>'[2]Russia Sun Oil Exports'!BE$102</f>
        <v>0</v>
      </c>
      <c r="D151" s="82">
        <f>'[2]Russia Sun Oil Exports'!BF$102</f>
        <v>0</v>
      </c>
      <c r="E151" s="82">
        <f>'[2]Russia Sun Oil Exports'!BG$102</f>
        <v>0</v>
      </c>
      <c r="F151" s="82">
        <f>'[2]Russia Sun Oil Exports'!BH$102</f>
        <v>0</v>
      </c>
      <c r="G151" s="82">
        <f>'[2]Russia Sun Oil Exports'!BI$102</f>
        <v>0</v>
      </c>
      <c r="H151" s="82">
        <f>'[2]Russia Sun Oil Exports'!BJ$102</f>
        <v>0</v>
      </c>
      <c r="I151" s="82">
        <f>'[2]Russia Sun Oil Exports'!BK$102</f>
        <v>0</v>
      </c>
      <c r="J151" s="82">
        <f>'[2]Russia Sun Oil Exports'!BL$102</f>
        <v>0</v>
      </c>
      <c r="K151" s="82">
        <f>'[2]Russia Sun Oil Exports'!BM$102</f>
        <v>0</v>
      </c>
      <c r="L151" s="82">
        <f>'[2]Russia Sun Oil Exports'!BN$102</f>
        <v>0</v>
      </c>
      <c r="M151" s="82">
        <f>'[2]Russia Sun Oil Exports'!BO$102</f>
        <v>0</v>
      </c>
      <c r="N151" s="82">
        <f t="shared" ref="N151:N175" si="27">SUM(B151:M151)</f>
        <v>0</v>
      </c>
      <c r="O151" s="27"/>
      <c r="P151" s="82">
        <f t="shared" ref="P151:P176" si="28">D151+B151+C151</f>
        <v>0</v>
      </c>
      <c r="Q151" s="82">
        <f t="shared" ref="Q151:Q176" si="29">SUM(E151:G151)</f>
        <v>0</v>
      </c>
      <c r="R151" s="82">
        <f t="shared" ref="R151:R176" si="30">SUM(H151:J151)</f>
        <v>0</v>
      </c>
      <c r="S151" s="82">
        <f t="shared" ref="S151:S176" si="31">SUM(K151:M151)</f>
        <v>0</v>
      </c>
    </row>
    <row r="152" spans="1:19" ht="16.5" hidden="1">
      <c r="A152" s="81" t="s">
        <v>58</v>
      </c>
      <c r="B152" s="82">
        <f>'[2]Russia Sun Oil Exports'!BP$102</f>
        <v>0</v>
      </c>
      <c r="C152" s="82">
        <f>'[2]Russia Sun Oil Exports'!BQ$102</f>
        <v>0</v>
      </c>
      <c r="D152" s="82">
        <f>'[2]Russia Sun Oil Exports'!BR$102</f>
        <v>0</v>
      </c>
      <c r="E152" s="82">
        <f>'[2]Russia Sun Oil Exports'!BS$102</f>
        <v>0</v>
      </c>
      <c r="F152" s="82">
        <f>'[2]Russia Sun Oil Exports'!BT$102</f>
        <v>0</v>
      </c>
      <c r="G152" s="82">
        <f>'[2]Russia Sun Oil Exports'!BU$102</f>
        <v>0</v>
      </c>
      <c r="H152" s="82">
        <f>'[2]Russia Sun Oil Exports'!BV$102</f>
        <v>0</v>
      </c>
      <c r="I152" s="82">
        <f>'[2]Russia Sun Oil Exports'!BW$102</f>
        <v>0</v>
      </c>
      <c r="J152" s="82">
        <f>'[2]Russia Sun Oil Exports'!BX$102</f>
        <v>0</v>
      </c>
      <c r="K152" s="82">
        <f>'[2]Russia Sun Oil Exports'!BY$102</f>
        <v>0</v>
      </c>
      <c r="L152" s="82">
        <f>'[2]Russia Sun Oil Exports'!BZ$102</f>
        <v>0</v>
      </c>
      <c r="M152" s="82">
        <f>'[2]Russia Sun Oil Exports'!CA$102</f>
        <v>0</v>
      </c>
      <c r="N152" s="82">
        <f t="shared" si="27"/>
        <v>0</v>
      </c>
      <c r="O152" s="27"/>
      <c r="P152" s="82">
        <f t="shared" si="28"/>
        <v>0</v>
      </c>
      <c r="Q152" s="82">
        <f t="shared" si="29"/>
        <v>0</v>
      </c>
      <c r="R152" s="82">
        <f t="shared" si="30"/>
        <v>0</v>
      </c>
      <c r="S152" s="82">
        <f t="shared" si="31"/>
        <v>0</v>
      </c>
    </row>
    <row r="153" spans="1:19" ht="16.5" hidden="1">
      <c r="A153" s="81" t="s">
        <v>59</v>
      </c>
      <c r="B153" s="82">
        <f>'[2]Russia Sun Oil Exports'!CB$102</f>
        <v>0</v>
      </c>
      <c r="C153" s="82">
        <f>'[2]Russia Sun Oil Exports'!CC$102</f>
        <v>0</v>
      </c>
      <c r="D153" s="82">
        <f>'[2]Russia Sun Oil Exports'!CD$102</f>
        <v>0</v>
      </c>
      <c r="E153" s="82">
        <f>'[2]Russia Sun Oil Exports'!CE$102</f>
        <v>0</v>
      </c>
      <c r="F153" s="82">
        <f>'[2]Russia Sun Oil Exports'!CF$102</f>
        <v>0</v>
      </c>
      <c r="G153" s="82">
        <f>'[2]Russia Sun Oil Exports'!CG$102</f>
        <v>0</v>
      </c>
      <c r="H153" s="82">
        <f>'[2]Russia Sun Oil Exports'!CH$102</f>
        <v>0</v>
      </c>
      <c r="I153" s="82">
        <f>'[2]Russia Sun Oil Exports'!CI$102</f>
        <v>0</v>
      </c>
      <c r="J153" s="82">
        <f>'[2]Russia Sun Oil Exports'!CJ$102</f>
        <v>0</v>
      </c>
      <c r="K153" s="82">
        <f>'[2]Russia Sun Oil Exports'!CK$102</f>
        <v>0</v>
      </c>
      <c r="L153" s="82">
        <f>'[2]Russia Sun Oil Exports'!CL$102</f>
        <v>0</v>
      </c>
      <c r="M153" s="82">
        <f>'[2]Russia Sun Oil Exports'!CM$102</f>
        <v>0</v>
      </c>
      <c r="N153" s="82">
        <f t="shared" si="27"/>
        <v>0</v>
      </c>
      <c r="O153" s="27"/>
      <c r="P153" s="82">
        <f t="shared" si="28"/>
        <v>0</v>
      </c>
      <c r="Q153" s="82">
        <f t="shared" si="29"/>
        <v>0</v>
      </c>
      <c r="R153" s="82">
        <f t="shared" si="30"/>
        <v>0</v>
      </c>
      <c r="S153" s="82">
        <f t="shared" si="31"/>
        <v>0</v>
      </c>
    </row>
    <row r="154" spans="1:19" ht="16.5" hidden="1">
      <c r="A154" s="81" t="s">
        <v>60</v>
      </c>
      <c r="B154" s="82">
        <f>'[2]Russia Sun Oil Exports'!CN$102</f>
        <v>0</v>
      </c>
      <c r="C154" s="82">
        <f>'[2]Russia Sun Oil Exports'!CO$102</f>
        <v>0</v>
      </c>
      <c r="D154" s="82">
        <f>'[2]Russia Sun Oil Exports'!CP$102</f>
        <v>1.3062499999999999</v>
      </c>
      <c r="E154" s="82">
        <f>'[2]Russia Sun Oil Exports'!CQ$102</f>
        <v>0.4199</v>
      </c>
      <c r="F154" s="82">
        <f>'[2]Russia Sun Oil Exports'!CR$102</f>
        <v>0.23269999999999999</v>
      </c>
      <c r="G154" s="82">
        <f>'[2]Russia Sun Oil Exports'!CS$102</f>
        <v>0</v>
      </c>
      <c r="H154" s="82">
        <f>'[2]Russia Sun Oil Exports'!CT$102</f>
        <v>0</v>
      </c>
      <c r="I154" s="82">
        <f>'[2]Russia Sun Oil Exports'!CU$102</f>
        <v>0</v>
      </c>
      <c r="J154" s="82">
        <f>'[2]Russia Sun Oil Exports'!CV$102</f>
        <v>0</v>
      </c>
      <c r="K154" s="82">
        <f>'[2]Russia Sun Oil Exports'!CW$102</f>
        <v>0</v>
      </c>
      <c r="L154" s="82">
        <f>'[2]Russia Sun Oil Exports'!CX$102</f>
        <v>0</v>
      </c>
      <c r="M154" s="82">
        <f>'[2]Russia Sun Oil Exports'!CY$102</f>
        <v>0</v>
      </c>
      <c r="N154" s="82">
        <f t="shared" si="27"/>
        <v>1.9588499999999998</v>
      </c>
      <c r="O154" s="27"/>
      <c r="P154" s="82">
        <f t="shared" si="28"/>
        <v>1.3062499999999999</v>
      </c>
      <c r="Q154" s="82">
        <f t="shared" si="29"/>
        <v>0.65259999999999996</v>
      </c>
      <c r="R154" s="82">
        <f t="shared" si="30"/>
        <v>0</v>
      </c>
      <c r="S154" s="82">
        <f t="shared" si="31"/>
        <v>0</v>
      </c>
    </row>
    <row r="155" spans="1:19" ht="16.5" hidden="1">
      <c r="A155" s="81" t="s">
        <v>61</v>
      </c>
      <c r="B155" s="82">
        <f>'[2]Russia Sun Oil Exports'!CZ$102</f>
        <v>0</v>
      </c>
      <c r="C155" s="82">
        <f>'[2]Russia Sun Oil Exports'!DA$102</f>
        <v>0</v>
      </c>
      <c r="D155" s="82">
        <f>'[2]Russia Sun Oil Exports'!DB$102</f>
        <v>0</v>
      </c>
      <c r="E155" s="82">
        <f>'[2]Russia Sun Oil Exports'!DC$102</f>
        <v>0</v>
      </c>
      <c r="F155" s="82">
        <f>'[2]Russia Sun Oil Exports'!DD$102</f>
        <v>0</v>
      </c>
      <c r="G155" s="82">
        <f>'[2]Russia Sun Oil Exports'!DE$102</f>
        <v>0</v>
      </c>
      <c r="H155" s="82">
        <f>'[2]Russia Sun Oil Exports'!DF$102</f>
        <v>0</v>
      </c>
      <c r="I155" s="82">
        <f>'[2]Russia Sun Oil Exports'!DG$102</f>
        <v>0</v>
      </c>
      <c r="J155" s="82">
        <f>'[2]Russia Sun Oil Exports'!DH$102</f>
        <v>0</v>
      </c>
      <c r="K155" s="82">
        <f>'[2]Russia Sun Oil Exports'!DI$102</f>
        <v>0</v>
      </c>
      <c r="L155" s="82">
        <f>'[2]Russia Sun Oil Exports'!DJ$102</f>
        <v>0</v>
      </c>
      <c r="M155" s="82">
        <f>'[2]Russia Sun Oil Exports'!DK$102</f>
        <v>0</v>
      </c>
      <c r="N155" s="82">
        <f t="shared" si="27"/>
        <v>0</v>
      </c>
      <c r="O155" s="27"/>
      <c r="P155" s="82">
        <f t="shared" si="28"/>
        <v>0</v>
      </c>
      <c r="Q155" s="82">
        <f t="shared" si="29"/>
        <v>0</v>
      </c>
      <c r="R155" s="82">
        <f t="shared" si="30"/>
        <v>0</v>
      </c>
      <c r="S155" s="82">
        <f t="shared" si="31"/>
        <v>0</v>
      </c>
    </row>
    <row r="156" spans="1:19" ht="16.5" hidden="1">
      <c r="A156" s="81" t="s">
        <v>62</v>
      </c>
      <c r="B156" s="82">
        <f>'[2]Russia Sun Oil Exports'!DL$102</f>
        <v>0</v>
      </c>
      <c r="C156" s="82">
        <f>'[2]Russia Sun Oil Exports'!DM$102</f>
        <v>0</v>
      </c>
      <c r="D156" s="82">
        <f>'[2]Russia Sun Oil Exports'!DN$102</f>
        <v>0</v>
      </c>
      <c r="E156" s="82">
        <f>'[2]Russia Sun Oil Exports'!DO$102</f>
        <v>0</v>
      </c>
      <c r="F156" s="82">
        <f>'[2]Russia Sun Oil Exports'!DP$102</f>
        <v>0</v>
      </c>
      <c r="G156" s="82">
        <f>'[2]Russia Sun Oil Exports'!DQ$102</f>
        <v>0</v>
      </c>
      <c r="H156" s="82">
        <f>'[2]Russia Sun Oil Exports'!DR$102</f>
        <v>0</v>
      </c>
      <c r="I156" s="82">
        <f>'[2]Russia Sun Oil Exports'!DS$102</f>
        <v>0</v>
      </c>
      <c r="J156" s="82">
        <f>'[2]Russia Sun Oil Exports'!DT$102</f>
        <v>0</v>
      </c>
      <c r="K156" s="82">
        <f>'[2]Russia Sun Oil Exports'!DU$102</f>
        <v>0</v>
      </c>
      <c r="L156" s="82">
        <f>'[2]Russia Sun Oil Exports'!DV$102</f>
        <v>0</v>
      </c>
      <c r="M156" s="82">
        <f>'[2]Russia Sun Oil Exports'!DW$102</f>
        <v>0</v>
      </c>
      <c r="N156" s="82">
        <f t="shared" si="27"/>
        <v>0</v>
      </c>
      <c r="O156" s="27"/>
      <c r="P156" s="82">
        <f t="shared" si="28"/>
        <v>0</v>
      </c>
      <c r="Q156" s="82">
        <f t="shared" si="29"/>
        <v>0</v>
      </c>
      <c r="R156" s="82">
        <f t="shared" si="30"/>
        <v>0</v>
      </c>
      <c r="S156" s="82">
        <f t="shared" si="31"/>
        <v>0</v>
      </c>
    </row>
    <row r="157" spans="1:19" ht="16.5" hidden="1">
      <c r="A157" s="81" t="s">
        <v>63</v>
      </c>
      <c r="B157" s="82">
        <f>'[2]Russia Sun Oil Exports'!DX$102</f>
        <v>0</v>
      </c>
      <c r="C157" s="82">
        <f>'[2]Russia Sun Oil Exports'!DY$102</f>
        <v>0</v>
      </c>
      <c r="D157" s="82">
        <f>'[2]Russia Sun Oil Exports'!DZ$102</f>
        <v>0</v>
      </c>
      <c r="E157" s="82">
        <f>'[2]Russia Sun Oil Exports'!EA$102</f>
        <v>0</v>
      </c>
      <c r="F157" s="82">
        <f>'[2]Russia Sun Oil Exports'!EB$102</f>
        <v>0</v>
      </c>
      <c r="G157" s="82">
        <f>'[2]Russia Sun Oil Exports'!EC$102</f>
        <v>0</v>
      </c>
      <c r="H157" s="82">
        <f>'[2]Russia Sun Oil Exports'!ED$102</f>
        <v>0</v>
      </c>
      <c r="I157" s="82">
        <f>'[2]Russia Sun Oil Exports'!EE$102</f>
        <v>0</v>
      </c>
      <c r="J157" s="82">
        <f>'[2]Russia Sun Oil Exports'!EF$102</f>
        <v>0</v>
      </c>
      <c r="K157" s="82">
        <f>'[2]Russia Sun Oil Exports'!EG$102</f>
        <v>0</v>
      </c>
      <c r="L157" s="82">
        <f>'[2]Russia Sun Oil Exports'!EH$102</f>
        <v>0</v>
      </c>
      <c r="M157" s="82">
        <f>'[2]Russia Sun Oil Exports'!EI$102</f>
        <v>0</v>
      </c>
      <c r="N157" s="82">
        <f t="shared" si="27"/>
        <v>0</v>
      </c>
      <c r="O157" s="27"/>
      <c r="P157" s="82">
        <f t="shared" si="28"/>
        <v>0</v>
      </c>
      <c r="Q157" s="82">
        <f t="shared" si="29"/>
        <v>0</v>
      </c>
      <c r="R157" s="82">
        <f t="shared" si="30"/>
        <v>0</v>
      </c>
      <c r="S157" s="82">
        <f t="shared" si="31"/>
        <v>0</v>
      </c>
    </row>
    <row r="158" spans="1:19" ht="16.5" hidden="1">
      <c r="A158" s="81" t="s">
        <v>64</v>
      </c>
      <c r="B158" s="82">
        <f>'[2]Russia Sun Oil Exports'!EJ$102</f>
        <v>0</v>
      </c>
      <c r="C158" s="82">
        <f>'[2]Russia Sun Oil Exports'!EK$102</f>
        <v>0</v>
      </c>
      <c r="D158" s="82">
        <f>'[2]Russia Sun Oil Exports'!EL$102</f>
        <v>0</v>
      </c>
      <c r="E158" s="82">
        <f>'[2]Russia Sun Oil Exports'!EM$102</f>
        <v>0</v>
      </c>
      <c r="F158" s="82">
        <f>'[2]Russia Sun Oil Exports'!EN$102</f>
        <v>0</v>
      </c>
      <c r="G158" s="82">
        <f>'[2]Russia Sun Oil Exports'!EO$102</f>
        <v>0</v>
      </c>
      <c r="H158" s="82">
        <f>'[2]Russia Sun Oil Exports'!EP$102</f>
        <v>0</v>
      </c>
      <c r="I158" s="82">
        <f>'[2]Russia Sun Oil Exports'!EQ$102</f>
        <v>0</v>
      </c>
      <c r="J158" s="82">
        <f>'[2]Russia Sun Oil Exports'!ER$102</f>
        <v>0</v>
      </c>
      <c r="K158" s="82">
        <f>'[2]Russia Sun Oil Exports'!ES$102</f>
        <v>0</v>
      </c>
      <c r="L158" s="82">
        <f>'[2]Russia Sun Oil Exports'!ET$102</f>
        <v>0</v>
      </c>
      <c r="M158" s="82">
        <f>'[2]Russia Sun Oil Exports'!EU$102</f>
        <v>0</v>
      </c>
      <c r="N158" s="82">
        <f t="shared" si="27"/>
        <v>0</v>
      </c>
      <c r="O158" s="27"/>
      <c r="P158" s="82">
        <f t="shared" si="28"/>
        <v>0</v>
      </c>
      <c r="Q158" s="82">
        <f t="shared" si="29"/>
        <v>0</v>
      </c>
      <c r="R158" s="82">
        <f t="shared" si="30"/>
        <v>0</v>
      </c>
      <c r="S158" s="82">
        <f t="shared" si="31"/>
        <v>0</v>
      </c>
    </row>
    <row r="159" spans="1:19" ht="16.5" hidden="1">
      <c r="A159" s="83" t="s">
        <v>65</v>
      </c>
      <c r="B159" s="82">
        <f>'[2]Russia Sun Oil Exports'!EV$102</f>
        <v>0</v>
      </c>
      <c r="C159" s="82">
        <f>'[2]Russia Sun Oil Exports'!EW$102</f>
        <v>0</v>
      </c>
      <c r="D159" s="82">
        <f>'[2]Russia Sun Oil Exports'!EX$102</f>
        <v>0</v>
      </c>
      <c r="E159" s="82">
        <f>'[2]Russia Sun Oil Exports'!EY$102</f>
        <v>0</v>
      </c>
      <c r="F159" s="82">
        <f>'[2]Russia Sun Oil Exports'!EZ$102</f>
        <v>0</v>
      </c>
      <c r="G159" s="82">
        <f>'[2]Russia Sun Oil Exports'!FA$102</f>
        <v>0</v>
      </c>
      <c r="H159" s="82">
        <f>'[2]Russia Sun Oil Exports'!FB$102</f>
        <v>0</v>
      </c>
      <c r="I159" s="82">
        <f>'[2]Russia Sun Oil Exports'!FC$102</f>
        <v>0</v>
      </c>
      <c r="J159" s="82">
        <f>'[2]Russia Sun Oil Exports'!FD$102</f>
        <v>0</v>
      </c>
      <c r="K159" s="82">
        <f>'[2]Russia Sun Oil Exports'!FE$102</f>
        <v>0</v>
      </c>
      <c r="L159" s="82">
        <f>'[2]Russia Sun Oil Exports'!FF$102</f>
        <v>0</v>
      </c>
      <c r="M159" s="82">
        <f>'[2]Russia Sun Oil Exports'!FG$102</f>
        <v>0</v>
      </c>
      <c r="N159" s="82">
        <f t="shared" si="27"/>
        <v>0</v>
      </c>
      <c r="O159" s="27"/>
      <c r="P159" s="82">
        <f t="shared" si="28"/>
        <v>0</v>
      </c>
      <c r="Q159" s="82">
        <f t="shared" si="29"/>
        <v>0</v>
      </c>
      <c r="R159" s="82">
        <f t="shared" si="30"/>
        <v>0</v>
      </c>
      <c r="S159" s="82">
        <f t="shared" si="31"/>
        <v>0</v>
      </c>
    </row>
    <row r="160" spans="1:19" ht="16.5" hidden="1">
      <c r="A160" s="83" t="s">
        <v>66</v>
      </c>
      <c r="B160" s="82">
        <f>'[2]Russia Sun Oil Exports'!FH$102</f>
        <v>0</v>
      </c>
      <c r="C160" s="82">
        <f>'[2]Russia Sun Oil Exports'!FI$102</f>
        <v>0</v>
      </c>
      <c r="D160" s="82">
        <f>'[2]Russia Sun Oil Exports'!FJ$102</f>
        <v>0</v>
      </c>
      <c r="E160" s="82">
        <f>'[2]Russia Sun Oil Exports'!FK$102</f>
        <v>0</v>
      </c>
      <c r="F160" s="82">
        <f>'[2]Russia Sun Oil Exports'!FL$102</f>
        <v>0</v>
      </c>
      <c r="G160" s="82">
        <f>'[2]Russia Sun Oil Exports'!FM$102</f>
        <v>0</v>
      </c>
      <c r="H160" s="82">
        <f>'[2]Russia Sun Oil Exports'!FN$102</f>
        <v>0</v>
      </c>
      <c r="I160" s="82">
        <f>'[2]Russia Sun Oil Exports'!FO$102</f>
        <v>0</v>
      </c>
      <c r="J160" s="82">
        <f>'[2]Russia Sun Oil Exports'!FP$102</f>
        <v>0</v>
      </c>
      <c r="K160" s="82">
        <f>'[2]Russia Sun Oil Exports'!FQ$102</f>
        <v>0</v>
      </c>
      <c r="L160" s="82">
        <f>'[2]Russia Sun Oil Exports'!FR$102</f>
        <v>0</v>
      </c>
      <c r="M160" s="82">
        <f>'[2]Russia Sun Oil Exports'!FS$102</f>
        <v>0</v>
      </c>
      <c r="N160" s="82">
        <f t="shared" si="27"/>
        <v>0</v>
      </c>
      <c r="O160" s="27"/>
      <c r="P160" s="82">
        <f t="shared" si="28"/>
        <v>0</v>
      </c>
      <c r="Q160" s="82">
        <f t="shared" si="29"/>
        <v>0</v>
      </c>
      <c r="R160" s="82">
        <f t="shared" si="30"/>
        <v>0</v>
      </c>
      <c r="S160" s="82">
        <f t="shared" si="31"/>
        <v>0</v>
      </c>
    </row>
    <row r="161" spans="1:19" ht="16.5" hidden="1">
      <c r="A161" s="84" t="s">
        <v>67</v>
      </c>
      <c r="B161" s="82">
        <f>'[2]Russia Sun Oil Exports'!FT$102</f>
        <v>0</v>
      </c>
      <c r="C161" s="82">
        <f>'[2]Russia Sun Oil Exports'!FU$102</f>
        <v>0</v>
      </c>
      <c r="D161" s="82">
        <f>'[2]Russia Sun Oil Exports'!FV$102</f>
        <v>0</v>
      </c>
      <c r="E161" s="82">
        <f>'[2]Russia Sun Oil Exports'!FW$102</f>
        <v>0</v>
      </c>
      <c r="F161" s="82">
        <f>'[2]Russia Sun Oil Exports'!FX$102</f>
        <v>0</v>
      </c>
      <c r="G161" s="82">
        <f>'[2]Russia Sun Oil Exports'!FY$102</f>
        <v>0</v>
      </c>
      <c r="H161" s="82">
        <f>'[2]Russia Sun Oil Exports'!FZ$102</f>
        <v>0</v>
      </c>
      <c r="I161" s="82">
        <f>'[2]Russia Sun Oil Exports'!GA$102</f>
        <v>0</v>
      </c>
      <c r="J161" s="82">
        <f>'[2]Russia Sun Oil Exports'!GB$102</f>
        <v>0</v>
      </c>
      <c r="K161" s="82">
        <f>'[2]Russia Sun Oil Exports'!GC$102</f>
        <v>0</v>
      </c>
      <c r="L161" s="82">
        <f>'[2]Russia Sun Oil Exports'!GD$102</f>
        <v>0</v>
      </c>
      <c r="M161" s="82">
        <f>'[2]Russia Sun Oil Exports'!GE$102</f>
        <v>0</v>
      </c>
      <c r="N161" s="82">
        <f t="shared" si="27"/>
        <v>0</v>
      </c>
      <c r="O161" s="27"/>
      <c r="P161" s="82">
        <f t="shared" si="28"/>
        <v>0</v>
      </c>
      <c r="Q161" s="82">
        <f t="shared" si="29"/>
        <v>0</v>
      </c>
      <c r="R161" s="82">
        <f t="shared" si="30"/>
        <v>0</v>
      </c>
      <c r="S161" s="82">
        <f t="shared" si="31"/>
        <v>0</v>
      </c>
    </row>
    <row r="162" spans="1:19" ht="16.5" hidden="1">
      <c r="A162" s="83" t="s">
        <v>68</v>
      </c>
      <c r="B162" s="82">
        <f>'[2]Russia Sun Oil Exports'!GF$102</f>
        <v>0</v>
      </c>
      <c r="C162" s="82">
        <f>'[2]Russia Sun Oil Exports'!GG$102</f>
        <v>0</v>
      </c>
      <c r="D162" s="82">
        <f>'[2]Russia Sun Oil Exports'!GH$102</f>
        <v>25.696000000000002</v>
      </c>
      <c r="E162" s="82">
        <f>'[2]Russia Sun Oil Exports'!GI$102</f>
        <v>0</v>
      </c>
      <c r="F162" s="82">
        <f>'[2]Russia Sun Oil Exports'!GJ$102</f>
        <v>0</v>
      </c>
      <c r="G162" s="82">
        <f>'[2]Russia Sun Oil Exports'!GK$102</f>
        <v>11.818</v>
      </c>
      <c r="H162" s="82">
        <f>'[2]Russia Sun Oil Exports'!GL$102</f>
        <v>0</v>
      </c>
      <c r="I162" s="82">
        <f>'[2]Russia Sun Oil Exports'!GM$102</f>
        <v>0</v>
      </c>
      <c r="J162" s="82">
        <f>'[2]Russia Sun Oil Exports'!GN$102</f>
        <v>0</v>
      </c>
      <c r="K162" s="82">
        <f>'[2]Russia Sun Oil Exports'!GO$102</f>
        <v>0</v>
      </c>
      <c r="L162" s="82">
        <f>'[2]Russia Sun Oil Exports'!GP$102</f>
        <v>0</v>
      </c>
      <c r="M162" s="82">
        <f>'[2]Russia Sun Oil Exports'!GQ$102</f>
        <v>0</v>
      </c>
      <c r="N162" s="82">
        <f t="shared" si="27"/>
        <v>37.514000000000003</v>
      </c>
      <c r="O162" s="27"/>
      <c r="P162" s="82">
        <f t="shared" si="28"/>
        <v>25.696000000000002</v>
      </c>
      <c r="Q162" s="82">
        <f t="shared" si="29"/>
        <v>11.818</v>
      </c>
      <c r="R162" s="82">
        <f t="shared" si="30"/>
        <v>0</v>
      </c>
      <c r="S162" s="82">
        <f t="shared" si="31"/>
        <v>0</v>
      </c>
    </row>
    <row r="163" spans="1:19" ht="16.5" hidden="1">
      <c r="A163" s="84" t="s">
        <v>69</v>
      </c>
      <c r="B163" s="82">
        <f>'[2]Russia Sun Oil Exports'!GR$102</f>
        <v>0</v>
      </c>
      <c r="C163" s="82">
        <f>'[2]Russia Sun Oil Exports'!GS$102</f>
        <v>0</v>
      </c>
      <c r="D163" s="82">
        <f>'[2]Russia Sun Oil Exports'!GT$102</f>
        <v>0</v>
      </c>
      <c r="E163" s="82">
        <f>'[2]Russia Sun Oil Exports'!GU$102</f>
        <v>0</v>
      </c>
      <c r="F163" s="82">
        <f>'[2]Russia Sun Oil Exports'!GV$102</f>
        <v>0</v>
      </c>
      <c r="G163" s="82">
        <f>'[2]Russia Sun Oil Exports'!GW$102</f>
        <v>0</v>
      </c>
      <c r="H163" s="82">
        <f>'[2]Russia Sun Oil Exports'!GX$102</f>
        <v>0</v>
      </c>
      <c r="I163" s="82">
        <f>'[2]Russia Sun Oil Exports'!GY$102</f>
        <v>0</v>
      </c>
      <c r="J163" s="82">
        <f>'[2]Russia Sun Oil Exports'!GZ$102</f>
        <v>0</v>
      </c>
      <c r="K163" s="82">
        <f>'[2]Russia Sun Oil Exports'!HA$102</f>
        <v>0</v>
      </c>
      <c r="L163" s="82">
        <f>'[2]Russia Sun Oil Exports'!HB$102</f>
        <v>0</v>
      </c>
      <c r="M163" s="82">
        <f>'[2]Russia Sun Oil Exports'!HC$102</f>
        <v>0</v>
      </c>
      <c r="N163" s="82">
        <f t="shared" si="27"/>
        <v>0</v>
      </c>
      <c r="O163" s="27"/>
      <c r="P163" s="82">
        <f t="shared" si="28"/>
        <v>0</v>
      </c>
      <c r="Q163" s="82">
        <f t="shared" si="29"/>
        <v>0</v>
      </c>
      <c r="R163" s="82">
        <f t="shared" si="30"/>
        <v>0</v>
      </c>
      <c r="S163" s="82">
        <f t="shared" si="31"/>
        <v>0</v>
      </c>
    </row>
    <row r="164" spans="1:19" ht="16.5" hidden="1">
      <c r="A164" s="84" t="s">
        <v>70</v>
      </c>
      <c r="B164" s="82">
        <f>'[2]Russia Sun Oil Exports'!HD$102</f>
        <v>0</v>
      </c>
      <c r="C164" s="82">
        <f>'[2]Russia Sun Oil Exports'!HE$102</f>
        <v>4.4210000000000003</v>
      </c>
      <c r="D164" s="82">
        <f>'[2]Russia Sun Oil Exports'!HF$102</f>
        <v>18.88</v>
      </c>
      <c r="E164" s="82">
        <f>'[2]Russia Sun Oil Exports'!HG$102</f>
        <v>12.275</v>
      </c>
      <c r="F164" s="82">
        <f>'[2]Russia Sun Oil Exports'!HH$102</f>
        <v>0</v>
      </c>
      <c r="G164" s="82">
        <f>'[2]Russia Sun Oil Exports'!HI$102</f>
        <v>0</v>
      </c>
      <c r="H164" s="82">
        <f>'[2]Russia Sun Oil Exports'!HJ$102</f>
        <v>0</v>
      </c>
      <c r="I164" s="82">
        <f>'[2]Russia Sun Oil Exports'!HK$102</f>
        <v>0</v>
      </c>
      <c r="J164" s="82">
        <f>'[2]Russia Sun Oil Exports'!HL$102</f>
        <v>4.2009999999999996</v>
      </c>
      <c r="K164" s="82">
        <f>'[2]Russia Sun Oil Exports'!HM$102</f>
        <v>10.521000000000001</v>
      </c>
      <c r="L164" s="82">
        <f>'[2]Russia Sun Oil Exports'!HN$102</f>
        <v>10.039</v>
      </c>
      <c r="M164" s="82">
        <f>'[2]Russia Sun Oil Exports'!HO$102</f>
        <v>0</v>
      </c>
      <c r="N164" s="82">
        <f t="shared" si="27"/>
        <v>60.337000000000003</v>
      </c>
      <c r="O164" s="27"/>
      <c r="P164" s="82">
        <f t="shared" si="28"/>
        <v>23.300999999999998</v>
      </c>
      <c r="Q164" s="82">
        <f t="shared" si="29"/>
        <v>12.275</v>
      </c>
      <c r="R164" s="82">
        <f t="shared" si="30"/>
        <v>4.2009999999999996</v>
      </c>
      <c r="S164" s="82">
        <f t="shared" si="31"/>
        <v>20.560000000000002</v>
      </c>
    </row>
    <row r="165" spans="1:19" ht="16.5" hidden="1">
      <c r="A165" s="83" t="s">
        <v>71</v>
      </c>
      <c r="B165" s="82">
        <f>'[2]Russia Sun Oil Exports'!HP$102</f>
        <v>0</v>
      </c>
      <c r="C165" s="82">
        <f>'[2]Russia Sun Oil Exports'!HQ$102</f>
        <v>0</v>
      </c>
      <c r="D165" s="82">
        <f>'[2]Russia Sun Oil Exports'!HR$102</f>
        <v>3.4940000000000002</v>
      </c>
      <c r="E165" s="82">
        <f>'[2]Russia Sun Oil Exports'!HS$102</f>
        <v>0</v>
      </c>
      <c r="F165" s="82">
        <f>'[2]Russia Sun Oil Exports'!HT$102</f>
        <v>13.984</v>
      </c>
      <c r="G165" s="82">
        <f>'[2]Russia Sun Oil Exports'!HU$102</f>
        <v>0</v>
      </c>
      <c r="H165" s="82">
        <f>'[2]Russia Sun Oil Exports'!HV$102</f>
        <v>5.9409999999999998</v>
      </c>
      <c r="I165" s="82">
        <f>'[2]Russia Sun Oil Exports'!HW$102</f>
        <v>0</v>
      </c>
      <c r="J165" s="82">
        <f>'[2]Russia Sun Oil Exports'!HX$102</f>
        <v>0</v>
      </c>
      <c r="K165" s="82">
        <f>'[2]Russia Sun Oil Exports'!HY$102</f>
        <v>0</v>
      </c>
      <c r="L165" s="82">
        <f>'[2]Russia Sun Oil Exports'!HZ$102</f>
        <v>0</v>
      </c>
      <c r="M165" s="82">
        <f>'[2]Russia Sun Oil Exports'!IA$102</f>
        <v>3.077</v>
      </c>
      <c r="N165" s="82">
        <f t="shared" si="27"/>
        <v>26.496000000000002</v>
      </c>
      <c r="O165" s="27"/>
      <c r="P165" s="82">
        <f t="shared" si="28"/>
        <v>3.4940000000000002</v>
      </c>
      <c r="Q165" s="82">
        <f t="shared" si="29"/>
        <v>13.984</v>
      </c>
      <c r="R165" s="82">
        <f t="shared" si="30"/>
        <v>5.9409999999999998</v>
      </c>
      <c r="S165" s="82">
        <f t="shared" si="31"/>
        <v>3.077</v>
      </c>
    </row>
    <row r="166" spans="1:19" ht="16.5" hidden="1">
      <c r="A166" s="84" t="s">
        <v>72</v>
      </c>
      <c r="B166" s="82">
        <f>'[2]Russia Sun Oil Exports'!IB$102</f>
        <v>0</v>
      </c>
      <c r="C166" s="82">
        <f>'[2]Russia Sun Oil Exports'!IC$102</f>
        <v>0</v>
      </c>
      <c r="D166" s="82">
        <f>'[2]Russia Sun Oil Exports'!ID$102</f>
        <v>0</v>
      </c>
      <c r="E166" s="82">
        <f>'[2]Russia Sun Oil Exports'!IE$102</f>
        <v>0</v>
      </c>
      <c r="F166" s="82">
        <f>'[2]Russia Sun Oil Exports'!IF$102</f>
        <v>0</v>
      </c>
      <c r="G166" s="82">
        <f>'[2]Russia Sun Oil Exports'!IG$102</f>
        <v>0</v>
      </c>
      <c r="H166" s="82">
        <f>'[2]Russia Sun Oil Exports'!IH$102</f>
        <v>0</v>
      </c>
      <c r="I166" s="82">
        <f>'[2]Russia Sun Oil Exports'!II$102</f>
        <v>0</v>
      </c>
      <c r="J166" s="82">
        <f>'[2]Russia Sun Oil Exports'!IJ$102</f>
        <v>0</v>
      </c>
      <c r="K166" s="82">
        <f>'[2]Russia Sun Oil Exports'!IK$102</f>
        <v>0</v>
      </c>
      <c r="L166" s="82">
        <f>'[2]Russia Sun Oil Exports'!IL$102</f>
        <v>0</v>
      </c>
      <c r="M166" s="82">
        <f>'[2]Russia Sun Oil Exports'!IM$102</f>
        <v>0</v>
      </c>
      <c r="N166" s="82">
        <f t="shared" si="27"/>
        <v>0</v>
      </c>
      <c r="O166" s="27"/>
      <c r="P166" s="82">
        <f t="shared" si="28"/>
        <v>0</v>
      </c>
      <c r="Q166" s="82">
        <f t="shared" si="29"/>
        <v>0</v>
      </c>
      <c r="R166" s="82">
        <f t="shared" si="30"/>
        <v>0</v>
      </c>
      <c r="S166" s="82">
        <f t="shared" si="31"/>
        <v>0</v>
      </c>
    </row>
    <row r="167" spans="1:19" ht="16.5" hidden="1">
      <c r="A167" s="83" t="s">
        <v>73</v>
      </c>
      <c r="B167" s="82">
        <f>'[2]Russia Sun Oil Exports'!IN$102</f>
        <v>0</v>
      </c>
      <c r="C167" s="82">
        <f>'[2]Russia Sun Oil Exports'!IO$102</f>
        <v>0</v>
      </c>
      <c r="D167" s="82">
        <f>'[2]Russia Sun Oil Exports'!IP$102</f>
        <v>5.9050000000000002</v>
      </c>
      <c r="E167" s="82">
        <f>'[2]Russia Sun Oil Exports'!IQ$102</f>
        <v>5.9130000000000003</v>
      </c>
      <c r="F167" s="82">
        <f>'[2]Russia Sun Oil Exports'!IR$102</f>
        <v>0</v>
      </c>
      <c r="G167" s="82">
        <f>'[2]Russia Sun Oil Exports'!IS$102</f>
        <v>11.118</v>
      </c>
      <c r="H167" s="82">
        <f>'[2]Russia Sun Oil Exports'!IT$102</f>
        <v>0</v>
      </c>
      <c r="I167" s="82">
        <f>'[2]Russia Sun Oil Exports'!IU$102</f>
        <v>0</v>
      </c>
      <c r="J167" s="82">
        <f>'[2]Russia Sun Oil Exports'!IV$102</f>
        <v>0</v>
      </c>
      <c r="K167" s="82">
        <f>'[2]Russia Sun Oil Exports'!IW$102</f>
        <v>0</v>
      </c>
      <c r="L167" s="82">
        <f>'[2]Russia Sun Oil Exports'!IX$102</f>
        <v>0</v>
      </c>
      <c r="M167" s="82">
        <f>'[2]Russia Sun Oil Exports'!IY$102</f>
        <v>0</v>
      </c>
      <c r="N167" s="82">
        <f t="shared" si="27"/>
        <v>22.936</v>
      </c>
      <c r="O167" s="27"/>
      <c r="P167" s="82">
        <f t="shared" si="28"/>
        <v>5.9050000000000002</v>
      </c>
      <c r="Q167" s="82">
        <f t="shared" si="29"/>
        <v>17.030999999999999</v>
      </c>
      <c r="R167" s="82">
        <f t="shared" si="30"/>
        <v>0</v>
      </c>
      <c r="S167" s="82">
        <f t="shared" si="31"/>
        <v>0</v>
      </c>
    </row>
    <row r="168" spans="1:19" ht="16.5" hidden="1">
      <c r="A168" s="83" t="s">
        <v>74</v>
      </c>
      <c r="B168" s="82">
        <f>'[2]Russia Sun Oil Exports'!IZ$102</f>
        <v>0</v>
      </c>
      <c r="C168" s="82">
        <f>'[2]Russia Sun Oil Exports'!JA$102</f>
        <v>0</v>
      </c>
      <c r="D168" s="82">
        <f>'[2]Russia Sun Oil Exports'!JB$102</f>
        <v>0</v>
      </c>
      <c r="E168" s="82">
        <f>'[2]Russia Sun Oil Exports'!JC$102</f>
        <v>0</v>
      </c>
      <c r="F168" s="82">
        <f>'[2]Russia Sun Oil Exports'!JD$102</f>
        <v>0</v>
      </c>
      <c r="G168" s="82">
        <f>'[2]Russia Sun Oil Exports'!JE$102</f>
        <v>0</v>
      </c>
      <c r="H168" s="82">
        <f>'[2]Russia Sun Oil Exports'!JF$102</f>
        <v>0</v>
      </c>
      <c r="I168" s="82">
        <f>'[2]Russia Sun Oil Exports'!JG$102</f>
        <v>0</v>
      </c>
      <c r="J168" s="82">
        <f>'[2]Russia Sun Oil Exports'!JH$102</f>
        <v>0</v>
      </c>
      <c r="K168" s="82">
        <f>'[2]Russia Sun Oil Exports'!JI$102</f>
        <v>0</v>
      </c>
      <c r="L168" s="82">
        <f>'[2]Russia Sun Oil Exports'!JJ$102</f>
        <v>0</v>
      </c>
      <c r="M168" s="82">
        <f>'[2]Russia Sun Oil Exports'!JK$102</f>
        <v>0</v>
      </c>
      <c r="N168" s="82">
        <f t="shared" si="27"/>
        <v>0</v>
      </c>
      <c r="O168" s="27"/>
      <c r="P168" s="82">
        <f t="shared" si="28"/>
        <v>0</v>
      </c>
      <c r="Q168" s="82">
        <f t="shared" si="29"/>
        <v>0</v>
      </c>
      <c r="R168" s="82">
        <f t="shared" si="30"/>
        <v>0</v>
      </c>
      <c r="S168" s="82">
        <f t="shared" si="31"/>
        <v>0</v>
      </c>
    </row>
    <row r="169" spans="1:19" ht="16.5" hidden="1">
      <c r="A169" s="83" t="s">
        <v>75</v>
      </c>
      <c r="B169" s="82">
        <f>'[2]Russia Sun Oil Exports'!JL$102</f>
        <v>0</v>
      </c>
      <c r="C169" s="82">
        <f>'[2]Russia Sun Oil Exports'!JM$102</f>
        <v>0</v>
      </c>
      <c r="D169" s="82">
        <f>'[2]Russia Sun Oil Exports'!JN$102</f>
        <v>0</v>
      </c>
      <c r="E169" s="82">
        <f>'[2]Russia Sun Oil Exports'!JO$102</f>
        <v>0</v>
      </c>
      <c r="F169" s="82">
        <f>'[2]Russia Sun Oil Exports'!JP$102</f>
        <v>0</v>
      </c>
      <c r="G169" s="82">
        <f>'[2]Russia Sun Oil Exports'!JQ$102</f>
        <v>0</v>
      </c>
      <c r="H169" s="82">
        <f>'[2]Russia Sun Oil Exports'!JR$102</f>
        <v>0</v>
      </c>
      <c r="I169" s="82">
        <f>'[2]Russia Sun Oil Exports'!JS$102</f>
        <v>0</v>
      </c>
      <c r="J169" s="82">
        <f>'[2]Russia Sun Oil Exports'!JT$102</f>
        <v>0</v>
      </c>
      <c r="K169" s="82">
        <f>'[2]Russia Sun Oil Exports'!JU$102</f>
        <v>0</v>
      </c>
      <c r="L169" s="82">
        <f>'[2]Russia Sun Oil Exports'!JV$102</f>
        <v>0</v>
      </c>
      <c r="M169" s="82">
        <f>'[2]Russia Sun Oil Exports'!JW$102</f>
        <v>0</v>
      </c>
      <c r="N169" s="82">
        <f t="shared" si="27"/>
        <v>0</v>
      </c>
      <c r="O169" s="27"/>
      <c r="P169" s="82">
        <f t="shared" si="28"/>
        <v>0</v>
      </c>
      <c r="Q169" s="82">
        <f t="shared" si="29"/>
        <v>0</v>
      </c>
      <c r="R169" s="82">
        <f t="shared" si="30"/>
        <v>0</v>
      </c>
      <c r="S169" s="82">
        <f t="shared" si="31"/>
        <v>0</v>
      </c>
    </row>
    <row r="170" spans="1:19" ht="16.5" hidden="1">
      <c r="A170" s="83" t="s">
        <v>76</v>
      </c>
      <c r="B170" s="82">
        <f>'[2]Russia Sun Oil Exports'!JX$102</f>
        <v>0</v>
      </c>
      <c r="C170" s="82">
        <f>'[2]Russia Sun Oil Exports'!JY$102</f>
        <v>0.248</v>
      </c>
      <c r="D170" s="82">
        <f>'[2]Russia Sun Oil Exports'!JZ$102</f>
        <v>0</v>
      </c>
      <c r="E170" s="82">
        <f>'[2]Russia Sun Oil Exports'!KA$102</f>
        <v>0</v>
      </c>
      <c r="F170" s="82">
        <f>'[2]Russia Sun Oil Exports'!KB$102</f>
        <v>0</v>
      </c>
      <c r="G170" s="82">
        <f>'[2]Russia Sun Oil Exports'!KC$102</f>
        <v>0</v>
      </c>
      <c r="H170" s="82">
        <f>'[2]Russia Sun Oil Exports'!KD$102</f>
        <v>0</v>
      </c>
      <c r="I170" s="82">
        <f>'[2]Russia Sun Oil Exports'!KE$102</f>
        <v>0</v>
      </c>
      <c r="J170" s="82">
        <f>'[2]Russia Sun Oil Exports'!KF$102</f>
        <v>0</v>
      </c>
      <c r="K170" s="82">
        <f>'[2]Russia Sun Oil Exports'!KG$102</f>
        <v>0</v>
      </c>
      <c r="L170" s="82">
        <f>'[2]Russia Sun Oil Exports'!KH$102</f>
        <v>0</v>
      </c>
      <c r="M170" s="82">
        <f>'[2]Russia Sun Oil Exports'!KI$102</f>
        <v>0</v>
      </c>
      <c r="N170" s="82">
        <f t="shared" si="27"/>
        <v>0.248</v>
      </c>
      <c r="O170" s="27"/>
      <c r="P170" s="82">
        <f t="shared" si="28"/>
        <v>0.248</v>
      </c>
      <c r="Q170" s="82">
        <f t="shared" si="29"/>
        <v>0</v>
      </c>
      <c r="R170" s="82">
        <f t="shared" si="30"/>
        <v>0</v>
      </c>
      <c r="S170" s="82">
        <f t="shared" si="31"/>
        <v>0</v>
      </c>
    </row>
    <row r="171" spans="1:19" ht="16.5" hidden="1">
      <c r="A171" s="83" t="s">
        <v>77</v>
      </c>
      <c r="B171" s="82">
        <f>'[2]Russia Sun Oil Exports'!KJ$102</f>
        <v>0</v>
      </c>
      <c r="C171" s="82">
        <f>'[2]Russia Sun Oil Exports'!KK$102</f>
        <v>0</v>
      </c>
      <c r="D171" s="82">
        <f>'[2]Russia Sun Oil Exports'!KL$102</f>
        <v>0.217</v>
      </c>
      <c r="E171" s="82">
        <f>'[2]Russia Sun Oil Exports'!KM$102</f>
        <v>0</v>
      </c>
      <c r="F171" s="82">
        <f>'[2]Russia Sun Oil Exports'!KN$102</f>
        <v>0</v>
      </c>
      <c r="G171" s="82">
        <f>'[2]Russia Sun Oil Exports'!KO$102</f>
        <v>0</v>
      </c>
      <c r="H171" s="82">
        <f>'[2]Russia Sun Oil Exports'!KP$102</f>
        <v>0</v>
      </c>
      <c r="I171" s="82">
        <f>'[2]Russia Sun Oil Exports'!KQ$102</f>
        <v>0</v>
      </c>
      <c r="J171" s="82">
        <f>'[2]Russia Sun Oil Exports'!KR$102</f>
        <v>0</v>
      </c>
      <c r="K171" s="82">
        <f>'[2]Russia Sun Oil Exports'!KS$102</f>
        <v>0</v>
      </c>
      <c r="L171" s="82">
        <f>'[2]Russia Sun Oil Exports'!KT$102</f>
        <v>0</v>
      </c>
      <c r="M171" s="82">
        <f>'[2]Russia Sun Oil Exports'!KU$102</f>
        <v>0</v>
      </c>
      <c r="N171" s="82">
        <f t="shared" si="27"/>
        <v>0.217</v>
      </c>
      <c r="O171" s="27"/>
      <c r="P171" s="82">
        <f t="shared" si="28"/>
        <v>0.217</v>
      </c>
      <c r="Q171" s="82">
        <f t="shared" si="29"/>
        <v>0</v>
      </c>
      <c r="R171" s="82">
        <f t="shared" si="30"/>
        <v>0</v>
      </c>
      <c r="S171" s="82">
        <f t="shared" si="31"/>
        <v>0</v>
      </c>
    </row>
    <row r="172" spans="1:19" ht="16.5" hidden="1">
      <c r="A172" s="83" t="s">
        <v>78</v>
      </c>
      <c r="B172" s="82">
        <f>'[2]Russia Sun Oil Exports'!KV$102</f>
        <v>0</v>
      </c>
      <c r="C172" s="82">
        <f>'[2]Russia Sun Oil Exports'!KW$102</f>
        <v>0</v>
      </c>
      <c r="D172" s="82">
        <f>'[2]Russia Sun Oil Exports'!KX$102</f>
        <v>0</v>
      </c>
      <c r="E172" s="82">
        <f>'[2]Russia Sun Oil Exports'!KY$102</f>
        <v>5.7770000000000001</v>
      </c>
      <c r="F172" s="82">
        <f>'[2]Russia Sun Oil Exports'!KZ$102</f>
        <v>5.43</v>
      </c>
      <c r="G172" s="82">
        <f>'[2]Russia Sun Oil Exports'!LA$102</f>
        <v>16</v>
      </c>
      <c r="H172" s="82">
        <f>'[2]Russia Sun Oil Exports'!LB$102</f>
        <v>0</v>
      </c>
      <c r="I172" s="82">
        <f>'[2]Russia Sun Oil Exports'!LC$102</f>
        <v>0</v>
      </c>
      <c r="J172" s="82">
        <f>'[2]Russia Sun Oil Exports'!LD$102</f>
        <v>0</v>
      </c>
      <c r="K172" s="82">
        <f>'[2]Russia Sun Oil Exports'!LE$102</f>
        <v>0</v>
      </c>
      <c r="L172" s="82">
        <f>'[2]Russia Sun Oil Exports'!LF$102</f>
        <v>0.98940399999999995</v>
      </c>
      <c r="M172" s="82">
        <f>'[2]Russia Sun Oil Exports'!LG$102</f>
        <v>0</v>
      </c>
      <c r="N172" s="82">
        <f t="shared" si="27"/>
        <v>28.196404000000001</v>
      </c>
      <c r="O172" s="27"/>
      <c r="P172" s="82">
        <f t="shared" si="28"/>
        <v>0</v>
      </c>
      <c r="Q172" s="82">
        <f t="shared" si="29"/>
        <v>27.207000000000001</v>
      </c>
      <c r="R172" s="82">
        <f t="shared" si="30"/>
        <v>0</v>
      </c>
      <c r="S172" s="82">
        <f t="shared" si="31"/>
        <v>0.98940399999999995</v>
      </c>
    </row>
    <row r="173" spans="1:19" ht="16.5" hidden="1">
      <c r="A173" s="83" t="s">
        <v>79</v>
      </c>
      <c r="B173" s="82">
        <f>'[2]Russia Sun Oil Exports'!LH$102</f>
        <v>0</v>
      </c>
      <c r="C173" s="82">
        <f>'[2]Russia Sun Oil Exports'!LI$102</f>
        <v>9.2802720000000001</v>
      </c>
      <c r="D173" s="82">
        <f>'[2]Russia Sun Oil Exports'!LJ$102</f>
        <v>0</v>
      </c>
      <c r="E173" s="82">
        <f>'[2]Russia Sun Oil Exports'!LK$102</f>
        <v>0</v>
      </c>
      <c r="F173" s="82">
        <f>'[2]Russia Sun Oil Exports'!LL$102</f>
        <v>9.0007990000000007</v>
      </c>
      <c r="G173" s="82">
        <f>'[2]Russia Sun Oil Exports'!LM$102</f>
        <v>0</v>
      </c>
      <c r="H173" s="82">
        <f>'[2]Russia Sun Oil Exports'!LN$102</f>
        <v>0</v>
      </c>
      <c r="I173" s="82">
        <f>'[2]Russia Sun Oil Exports'!LO$102</f>
        <v>0</v>
      </c>
      <c r="J173" s="82">
        <f>'[2]Russia Sun Oil Exports'!LP$102</f>
        <v>0</v>
      </c>
      <c r="K173" s="82">
        <f>'[2]Russia Sun Oil Exports'!LQ$102</f>
        <v>0</v>
      </c>
      <c r="L173" s="82">
        <f>'[2]Russia Sun Oil Exports'!LR$102</f>
        <v>0</v>
      </c>
      <c r="M173" s="82">
        <f>'[2]Russia Sun Oil Exports'!LS$102</f>
        <v>0</v>
      </c>
      <c r="N173" s="82">
        <f t="shared" si="27"/>
        <v>18.281071000000001</v>
      </c>
      <c r="O173" s="27"/>
      <c r="P173" s="82">
        <f t="shared" si="28"/>
        <v>9.2802720000000001</v>
      </c>
      <c r="Q173" s="82">
        <f t="shared" si="29"/>
        <v>9.0007990000000007</v>
      </c>
      <c r="R173" s="82">
        <f t="shared" si="30"/>
        <v>0</v>
      </c>
      <c r="S173" s="82">
        <f t="shared" si="31"/>
        <v>0</v>
      </c>
    </row>
    <row r="174" spans="1:19" ht="16.5">
      <c r="A174" s="103" t="s">
        <v>80</v>
      </c>
      <c r="B174" s="82">
        <f>'[2]Russia Sun Oil Exports'!LT$102</f>
        <v>0</v>
      </c>
      <c r="C174" s="82">
        <f>'[2]Russia Sun Oil Exports'!LU$102</f>
        <v>0.15214</v>
      </c>
      <c r="D174" s="82">
        <f>'[2]Russia Sun Oil Exports'!LV$102</f>
        <v>7.3328300000000004</v>
      </c>
      <c r="E174" s="82">
        <f>'[2]Russia Sun Oil Exports'!LW$102</f>
        <v>0</v>
      </c>
      <c r="F174" s="82">
        <f>'[2]Russia Sun Oil Exports'!LX$102</f>
        <v>6.15</v>
      </c>
      <c r="G174" s="82">
        <f>'[2]Russia Sun Oil Exports'!LY$102</f>
        <v>17.591038999999999</v>
      </c>
      <c r="H174" s="82">
        <f>'[2]Russia Sun Oil Exports'!LZ$102</f>
        <v>0</v>
      </c>
      <c r="I174" s="82">
        <f>'[2]Russia Sun Oil Exports'!MA$102</f>
        <v>0</v>
      </c>
      <c r="J174" s="82">
        <f>'[2]Russia Sun Oil Exports'!MB$102</f>
        <v>19.047692000000001</v>
      </c>
      <c r="K174" s="82">
        <f>'[2]Russia Sun Oil Exports'!MC$102</f>
        <v>20</v>
      </c>
      <c r="L174" s="82">
        <f>'[2]Russia Sun Oil Exports'!MD$102</f>
        <v>19</v>
      </c>
      <c r="M174" s="82">
        <f>'[2]Russia Sun Oil Exports'!ME$102</f>
        <v>53.163079000000003</v>
      </c>
      <c r="N174" s="82">
        <f t="shared" si="27"/>
        <v>142.43678</v>
      </c>
      <c r="O174" s="27"/>
      <c r="P174" s="82">
        <f t="shared" si="28"/>
        <v>7.4849700000000006</v>
      </c>
      <c r="Q174" s="82">
        <f t="shared" si="29"/>
        <v>23.741039000000001</v>
      </c>
      <c r="R174" s="82">
        <f t="shared" si="30"/>
        <v>19.047692000000001</v>
      </c>
      <c r="S174" s="82">
        <f t="shared" si="31"/>
        <v>92.16307900000001</v>
      </c>
    </row>
    <row r="175" spans="1:19" ht="16.5">
      <c r="A175" s="103" t="s">
        <v>81</v>
      </c>
      <c r="B175" s="82">
        <f>'[2]Russia Sun Oil Exports'!MF$102</f>
        <v>0</v>
      </c>
      <c r="C175" s="82">
        <f>'[2]Russia Sun Oil Exports'!MG$102</f>
        <v>59.333725000000001</v>
      </c>
      <c r="D175" s="82">
        <f>'[2]Russia Sun Oil Exports'!MH$102</f>
        <v>46.229304999999997</v>
      </c>
      <c r="E175" s="82">
        <f>'[2]Russia Sun Oil Exports'!MI$102</f>
        <v>81.814419000000001</v>
      </c>
      <c r="F175" s="82">
        <f>'[2]Russia Sun Oil Exports'!MJ$102</f>
        <v>57.659605999999997</v>
      </c>
      <c r="G175" s="82">
        <f>'[2]Russia Sun Oil Exports'!MK$102</f>
        <v>74.900451000000004</v>
      </c>
      <c r="H175" s="82">
        <f>'[2]Russia Sun Oil Exports'!ML$102</f>
        <v>47.818022999999997</v>
      </c>
      <c r="I175" s="82">
        <f>'[2]Russia Sun Oil Exports'!MM$102</f>
        <v>36.805739000000003</v>
      </c>
      <c r="J175" s="82">
        <f>'[2]Russia Sun Oil Exports'!MN$102</f>
        <v>10.017265</v>
      </c>
      <c r="K175" s="82">
        <f>'[2]Russia Sun Oil Exports'!MO$102</f>
        <v>19.057307999999999</v>
      </c>
      <c r="L175" s="82">
        <f>'[2]Russia Sun Oil Exports'!MP$102</f>
        <v>38.911959000000003</v>
      </c>
      <c r="M175" s="82">
        <f>'[2]Russia Sun Oil Exports'!MQ$102</f>
        <v>10.189444</v>
      </c>
      <c r="N175" s="82">
        <f t="shared" si="27"/>
        <v>482.73724399999998</v>
      </c>
      <c r="O175" s="27"/>
      <c r="P175" s="82">
        <f t="shared" si="28"/>
        <v>105.56303</v>
      </c>
      <c r="Q175" s="82">
        <f t="shared" si="29"/>
        <v>214.37447599999999</v>
      </c>
      <c r="R175" s="82">
        <f t="shared" si="30"/>
        <v>94.641026999999994</v>
      </c>
      <c r="S175" s="82">
        <f t="shared" si="31"/>
        <v>68.158710999999997</v>
      </c>
    </row>
    <row r="176" spans="1:19" ht="17.25" thickBot="1">
      <c r="A176" s="103" t="s">
        <v>82</v>
      </c>
      <c r="B176" s="82">
        <f>'[2]Russia Sun Oil Exports'!MR$102</f>
        <v>18.899999999999999</v>
      </c>
      <c r="C176" s="82">
        <f>'[2]Russia Sun Oil Exports'!MS$102</f>
        <v>8.1464510000000008</v>
      </c>
      <c r="D176" s="82">
        <f>'[2]Russia Sun Oil Exports'!MT$102</f>
        <v>55.556151</v>
      </c>
      <c r="E176" s="82">
        <f>'[2]Russia Sun Oil Exports'!MU$102</f>
        <v>0</v>
      </c>
      <c r="F176" s="82">
        <f>'[2]Russia Sun Oil Exports'!MV$102</f>
        <v>13</v>
      </c>
      <c r="G176" s="82">
        <f>'[2]Russia Sun Oil Exports'!MW$102</f>
        <v>19.023</v>
      </c>
      <c r="H176" s="82">
        <f>'[2]Russia Sun Oil Exports'!MX$102</f>
        <v>39.104999999999997</v>
      </c>
      <c r="I176" s="82">
        <f>'[2]Russia Sun Oil Exports'!MY$102</f>
        <v>20.013999999999999</v>
      </c>
      <c r="J176" s="82">
        <f>'[2]Russia Sun Oil Exports'!MZ$102</f>
        <v>0</v>
      </c>
      <c r="K176" s="82">
        <f>'[2]Russia Sun Oil Exports'!NA$102</f>
        <v>6</v>
      </c>
      <c r="L176" s="82">
        <f>'[2]Russia Sun Oil Exports'!NB$102</f>
        <v>82.134</v>
      </c>
      <c r="M176" s="82">
        <f>'[2]Russia Sun Oil Exports'!NC$102</f>
        <v>0</v>
      </c>
      <c r="N176" s="111">
        <f>'Sun Oil Matrix'!CI8</f>
        <v>261.878602</v>
      </c>
      <c r="O176" s="27"/>
      <c r="P176" s="82">
        <f t="shared" si="28"/>
        <v>82.602602000000005</v>
      </c>
      <c r="Q176" s="82">
        <f t="shared" si="29"/>
        <v>32.022999999999996</v>
      </c>
      <c r="R176" s="82">
        <f t="shared" si="30"/>
        <v>59.119</v>
      </c>
      <c r="S176" s="82">
        <f t="shared" si="31"/>
        <v>88.134</v>
      </c>
    </row>
    <row r="177" spans="1:19" ht="16.5">
      <c r="A177" s="104" t="s">
        <v>113</v>
      </c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6"/>
      <c r="Q177" s="106"/>
      <c r="R177" s="106"/>
      <c r="S177" s="106"/>
    </row>
    <row r="178" spans="1:19" ht="16.5" hidden="1">
      <c r="A178" s="81" t="s">
        <v>84</v>
      </c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27"/>
      <c r="P178" s="82"/>
      <c r="Q178" s="82"/>
      <c r="R178" s="82"/>
      <c r="S178" s="82"/>
    </row>
    <row r="179" spans="1:19" ht="16.5" hidden="1">
      <c r="A179" s="81" t="s">
        <v>56</v>
      </c>
      <c r="B179" s="82">
        <f>'[2]Ukraine Sun Oil Exports'!AS$102</f>
        <v>0</v>
      </c>
      <c r="C179" s="82">
        <f>'[2]Ukraine Sun Oil Exports'!AT$102</f>
        <v>0</v>
      </c>
      <c r="D179" s="82">
        <f>'[2]Ukraine Sun Oil Exports'!AU$102</f>
        <v>0</v>
      </c>
      <c r="E179" s="82">
        <f>'[2]Ukraine Sun Oil Exports'!AV$102</f>
        <v>0</v>
      </c>
      <c r="F179" s="82">
        <f>'[2]Ukraine Sun Oil Exports'!AW$102</f>
        <v>0</v>
      </c>
      <c r="G179" s="82">
        <f>'[2]Ukraine Sun Oil Exports'!AX$102</f>
        <v>0</v>
      </c>
      <c r="H179" s="82">
        <f>'[2]Ukraine Sun Oil Exports'!AY$102</f>
        <v>0</v>
      </c>
      <c r="I179" s="82">
        <f>'[2]Ukraine Sun Oil Exports'!AZ$102</f>
        <v>0</v>
      </c>
      <c r="J179" s="82">
        <f>'[2]Ukraine Sun Oil Exports'!BA$102</f>
        <v>0</v>
      </c>
      <c r="K179" s="82">
        <f>'[2]Ukraine Sun Oil Exports'!BB$102</f>
        <v>0</v>
      </c>
      <c r="L179" s="82">
        <f>'[2]Ukraine Sun Oil Exports'!BC$102</f>
        <v>0</v>
      </c>
      <c r="M179" s="82">
        <f>'[2]Ukraine Sun Oil Exports'!BD$102</f>
        <v>0</v>
      </c>
      <c r="N179" s="82">
        <f>SUM(B179:M179)</f>
        <v>0</v>
      </c>
      <c r="O179" s="27"/>
      <c r="P179" s="82">
        <f>D179+B179+C179</f>
        <v>0</v>
      </c>
      <c r="Q179" s="82">
        <f>SUM(E179:G179)</f>
        <v>0</v>
      </c>
      <c r="R179" s="82">
        <f>SUM(H179:J179)</f>
        <v>0</v>
      </c>
      <c r="S179" s="82">
        <f>SUM(K179:M179)</f>
        <v>0</v>
      </c>
    </row>
    <row r="180" spans="1:19" ht="16.5" hidden="1">
      <c r="A180" s="81" t="s">
        <v>57</v>
      </c>
      <c r="B180" s="82">
        <f>'[2]Ukraine Sun Oil Exports'!BE$102</f>
        <v>0</v>
      </c>
      <c r="C180" s="82">
        <f>'[2]Ukraine Sun Oil Exports'!BF$102</f>
        <v>0</v>
      </c>
      <c r="D180" s="82">
        <f>'[2]Ukraine Sun Oil Exports'!BG$102</f>
        <v>0</v>
      </c>
      <c r="E180" s="82">
        <f>'[2]Ukraine Sun Oil Exports'!BH$102</f>
        <v>0</v>
      </c>
      <c r="F180" s="82">
        <f>'[2]Ukraine Sun Oil Exports'!BI$102</f>
        <v>0</v>
      </c>
      <c r="G180" s="82">
        <f>'[2]Ukraine Sun Oil Exports'!BJ$102</f>
        <v>0</v>
      </c>
      <c r="H180" s="82">
        <f>'[2]Ukraine Sun Oil Exports'!BK$102</f>
        <v>0</v>
      </c>
      <c r="I180" s="82">
        <f>'[2]Ukraine Sun Oil Exports'!BL$102</f>
        <v>0</v>
      </c>
      <c r="J180" s="82">
        <f>'[2]Ukraine Sun Oil Exports'!BM$102</f>
        <v>0</v>
      </c>
      <c r="K180" s="82">
        <f>'[2]Ukraine Sun Oil Exports'!BN$102</f>
        <v>0</v>
      </c>
      <c r="L180" s="82">
        <f>'[2]Ukraine Sun Oil Exports'!BO$102</f>
        <v>0</v>
      </c>
      <c r="M180" s="82">
        <f>'[2]Ukraine Sun Oil Exports'!BP$102</f>
        <v>0</v>
      </c>
      <c r="N180" s="82">
        <f t="shared" ref="N180:N204" si="32">SUM(B180:M180)</f>
        <v>0</v>
      </c>
      <c r="O180" s="27"/>
      <c r="P180" s="82">
        <f t="shared" ref="P180:P205" si="33">D180+B180+C180</f>
        <v>0</v>
      </c>
      <c r="Q180" s="82">
        <f t="shared" ref="Q180:Q205" si="34">SUM(E180:G180)</f>
        <v>0</v>
      </c>
      <c r="R180" s="82">
        <f t="shared" ref="R180:R205" si="35">SUM(H180:J180)</f>
        <v>0</v>
      </c>
      <c r="S180" s="82">
        <f t="shared" ref="S180:S205" si="36">SUM(K180:M180)</f>
        <v>0</v>
      </c>
    </row>
    <row r="181" spans="1:19" ht="16.5" hidden="1">
      <c r="A181" s="81" t="s">
        <v>58</v>
      </c>
      <c r="B181" s="82">
        <f>'[2]Ukraine Sun Oil Exports'!BQ$102</f>
        <v>0</v>
      </c>
      <c r="C181" s="82">
        <f>'[2]Ukraine Sun Oil Exports'!BR$102</f>
        <v>0</v>
      </c>
      <c r="D181" s="82">
        <f>'[2]Ukraine Sun Oil Exports'!BS$102</f>
        <v>0</v>
      </c>
      <c r="E181" s="82">
        <f>'[2]Ukraine Sun Oil Exports'!BT$102</f>
        <v>0</v>
      </c>
      <c r="F181" s="82">
        <f>'[2]Ukraine Sun Oil Exports'!BU$102</f>
        <v>0</v>
      </c>
      <c r="G181" s="82">
        <f>'[2]Ukraine Sun Oil Exports'!BV$102</f>
        <v>0</v>
      </c>
      <c r="H181" s="82">
        <f>'[2]Ukraine Sun Oil Exports'!BW$102</f>
        <v>0</v>
      </c>
      <c r="I181" s="82">
        <f>'[2]Ukraine Sun Oil Exports'!BX$102</f>
        <v>0</v>
      </c>
      <c r="J181" s="82">
        <f>'[2]Ukraine Sun Oil Exports'!BY$102</f>
        <v>0</v>
      </c>
      <c r="K181" s="82">
        <f>'[2]Ukraine Sun Oil Exports'!BZ$102</f>
        <v>0</v>
      </c>
      <c r="L181" s="82">
        <f>'[2]Ukraine Sun Oil Exports'!CA$102</f>
        <v>0</v>
      </c>
      <c r="M181" s="82">
        <f>'[2]Ukraine Sun Oil Exports'!CB$102</f>
        <v>0</v>
      </c>
      <c r="N181" s="82">
        <f t="shared" si="32"/>
        <v>0</v>
      </c>
      <c r="O181" s="27"/>
      <c r="P181" s="82">
        <f t="shared" si="33"/>
        <v>0</v>
      </c>
      <c r="Q181" s="82">
        <f t="shared" si="34"/>
        <v>0</v>
      </c>
      <c r="R181" s="82">
        <f t="shared" si="35"/>
        <v>0</v>
      </c>
      <c r="S181" s="82">
        <f t="shared" si="36"/>
        <v>0</v>
      </c>
    </row>
    <row r="182" spans="1:19" ht="16.5" hidden="1">
      <c r="A182" s="81" t="s">
        <v>59</v>
      </c>
      <c r="B182" s="82">
        <f>'[2]Ukraine Sun Oil Exports'!CC$102</f>
        <v>0</v>
      </c>
      <c r="C182" s="82">
        <f>'[2]Ukraine Sun Oil Exports'!CD$102</f>
        <v>0</v>
      </c>
      <c r="D182" s="82">
        <f>'[2]Ukraine Sun Oil Exports'!CE$102</f>
        <v>0</v>
      </c>
      <c r="E182" s="82">
        <f>'[2]Ukraine Sun Oil Exports'!CF$102</f>
        <v>0</v>
      </c>
      <c r="F182" s="82">
        <f>'[2]Ukraine Sun Oil Exports'!CG$102</f>
        <v>0</v>
      </c>
      <c r="G182" s="82">
        <f>'[2]Ukraine Sun Oil Exports'!CH$102</f>
        <v>0</v>
      </c>
      <c r="H182" s="82">
        <f>'[2]Ukraine Sun Oil Exports'!CI$102</f>
        <v>0</v>
      </c>
      <c r="I182" s="82">
        <f>'[2]Ukraine Sun Oil Exports'!CJ$102</f>
        <v>0</v>
      </c>
      <c r="J182" s="82">
        <f>'[2]Ukraine Sun Oil Exports'!CK$102</f>
        <v>0</v>
      </c>
      <c r="K182" s="82">
        <f>'[2]Ukraine Sun Oil Exports'!CL$102</f>
        <v>0</v>
      </c>
      <c r="L182" s="82">
        <f>'[2]Ukraine Sun Oil Exports'!CM$102</f>
        <v>0</v>
      </c>
      <c r="M182" s="82">
        <f>'[2]Ukraine Sun Oil Exports'!CN$102</f>
        <v>2.5</v>
      </c>
      <c r="N182" s="82">
        <f t="shared" si="32"/>
        <v>2.5</v>
      </c>
      <c r="O182" s="27"/>
      <c r="P182" s="82">
        <f t="shared" si="33"/>
        <v>0</v>
      </c>
      <c r="Q182" s="82">
        <f t="shared" si="34"/>
        <v>0</v>
      </c>
      <c r="R182" s="82">
        <f t="shared" si="35"/>
        <v>0</v>
      </c>
      <c r="S182" s="82">
        <f t="shared" si="36"/>
        <v>2.5</v>
      </c>
    </row>
    <row r="183" spans="1:19" ht="16.5" hidden="1">
      <c r="A183" s="81" t="s">
        <v>60</v>
      </c>
      <c r="B183" s="82">
        <f>'[2]Ukraine Sun Oil Exports'!CO$102</f>
        <v>0</v>
      </c>
      <c r="C183" s="82">
        <f>'[2]Ukraine Sun Oil Exports'!CP$102</f>
        <v>0</v>
      </c>
      <c r="D183" s="82">
        <f>'[2]Ukraine Sun Oil Exports'!CQ$102</f>
        <v>0</v>
      </c>
      <c r="E183" s="82">
        <f>'[2]Ukraine Sun Oil Exports'!CR$102</f>
        <v>0</v>
      </c>
      <c r="F183" s="82">
        <f>'[2]Ukraine Sun Oil Exports'!CS$102</f>
        <v>0</v>
      </c>
      <c r="G183" s="82">
        <f>'[2]Ukraine Sun Oil Exports'!CT$102</f>
        <v>0</v>
      </c>
      <c r="H183" s="82">
        <f>'[2]Ukraine Sun Oil Exports'!CU$102</f>
        <v>0</v>
      </c>
      <c r="I183" s="82">
        <f>'[2]Ukraine Sun Oil Exports'!CV$102</f>
        <v>0</v>
      </c>
      <c r="J183" s="82">
        <f>'[2]Ukraine Sun Oil Exports'!CW$102</f>
        <v>0</v>
      </c>
      <c r="K183" s="82">
        <f>'[2]Ukraine Sun Oil Exports'!CX$102</f>
        <v>0</v>
      </c>
      <c r="L183" s="82">
        <f>'[2]Ukraine Sun Oil Exports'!CY$102</f>
        <v>0</v>
      </c>
      <c r="M183" s="82">
        <f>'[2]Ukraine Sun Oil Exports'!CZ$102</f>
        <v>19</v>
      </c>
      <c r="N183" s="82">
        <f t="shared" si="32"/>
        <v>19</v>
      </c>
      <c r="O183" s="27"/>
      <c r="P183" s="82">
        <f t="shared" si="33"/>
        <v>0</v>
      </c>
      <c r="Q183" s="82">
        <f t="shared" si="34"/>
        <v>0</v>
      </c>
      <c r="R183" s="82">
        <f t="shared" si="35"/>
        <v>0</v>
      </c>
      <c r="S183" s="82">
        <f t="shared" si="36"/>
        <v>19</v>
      </c>
    </row>
    <row r="184" spans="1:19" ht="16.5" hidden="1">
      <c r="A184" s="81" t="s">
        <v>61</v>
      </c>
      <c r="B184" s="82">
        <f>'[2]Ukraine Sun Oil Exports'!DA$102</f>
        <v>0</v>
      </c>
      <c r="C184" s="82">
        <f>'[2]Ukraine Sun Oil Exports'!DB$102</f>
        <v>0</v>
      </c>
      <c r="D184" s="82">
        <f>'[2]Ukraine Sun Oil Exports'!DC$102</f>
        <v>0</v>
      </c>
      <c r="E184" s="82">
        <f>'[2]Ukraine Sun Oil Exports'!DD$102</f>
        <v>0</v>
      </c>
      <c r="F184" s="82">
        <f>'[2]Ukraine Sun Oil Exports'!DE$102</f>
        <v>0</v>
      </c>
      <c r="G184" s="82">
        <f>'[2]Ukraine Sun Oil Exports'!DF$102</f>
        <v>0</v>
      </c>
      <c r="H184" s="82">
        <f>'[2]Ukraine Sun Oil Exports'!DG$102</f>
        <v>0</v>
      </c>
      <c r="I184" s="82">
        <f>'[2]Ukraine Sun Oil Exports'!DH$102</f>
        <v>0</v>
      </c>
      <c r="J184" s="82">
        <f>'[2]Ukraine Sun Oil Exports'!DI$102</f>
        <v>0</v>
      </c>
      <c r="K184" s="82">
        <f>'[2]Ukraine Sun Oil Exports'!DJ$102</f>
        <v>0</v>
      </c>
      <c r="L184" s="82">
        <f>'[2]Ukraine Sun Oil Exports'!DK$102</f>
        <v>0</v>
      </c>
      <c r="M184" s="82">
        <f>'[2]Ukraine Sun Oil Exports'!DL$102</f>
        <v>17</v>
      </c>
      <c r="N184" s="82">
        <f t="shared" si="32"/>
        <v>17</v>
      </c>
      <c r="O184" s="27"/>
      <c r="P184" s="82">
        <f t="shared" si="33"/>
        <v>0</v>
      </c>
      <c r="Q184" s="82">
        <f t="shared" si="34"/>
        <v>0</v>
      </c>
      <c r="R184" s="82">
        <f t="shared" si="35"/>
        <v>0</v>
      </c>
      <c r="S184" s="82">
        <f t="shared" si="36"/>
        <v>17</v>
      </c>
    </row>
    <row r="185" spans="1:19" ht="16.5" hidden="1">
      <c r="A185" s="81" t="s">
        <v>62</v>
      </c>
      <c r="B185" s="82">
        <f>'[2]Ukraine Sun Oil Exports'!DM$102</f>
        <v>0</v>
      </c>
      <c r="C185" s="82">
        <f>'[2]Ukraine Sun Oil Exports'!DN$102</f>
        <v>0</v>
      </c>
      <c r="D185" s="82">
        <f>'[2]Ukraine Sun Oil Exports'!DO$102</f>
        <v>0</v>
      </c>
      <c r="E185" s="82">
        <f>'[2]Ukraine Sun Oil Exports'!DP$102</f>
        <v>0</v>
      </c>
      <c r="F185" s="82">
        <f>'[2]Ukraine Sun Oil Exports'!DQ$102</f>
        <v>0</v>
      </c>
      <c r="G185" s="82">
        <f>'[2]Ukraine Sun Oil Exports'!DR$102</f>
        <v>0</v>
      </c>
      <c r="H185" s="82">
        <f>'[2]Ukraine Sun Oil Exports'!DS$102</f>
        <v>0</v>
      </c>
      <c r="I185" s="82">
        <f>'[2]Ukraine Sun Oil Exports'!DT$102</f>
        <v>0</v>
      </c>
      <c r="J185" s="82">
        <f>'[2]Ukraine Sun Oil Exports'!DU$102</f>
        <v>0</v>
      </c>
      <c r="K185" s="82">
        <f>'[2]Ukraine Sun Oil Exports'!DV$102</f>
        <v>0</v>
      </c>
      <c r="L185" s="82">
        <f>'[2]Ukraine Sun Oil Exports'!DW$102</f>
        <v>0</v>
      </c>
      <c r="M185" s="82">
        <f>'[2]Ukraine Sun Oil Exports'!DX$102</f>
        <v>35</v>
      </c>
      <c r="N185" s="82">
        <f t="shared" si="32"/>
        <v>35</v>
      </c>
      <c r="O185" s="27"/>
      <c r="P185" s="82">
        <f t="shared" si="33"/>
        <v>0</v>
      </c>
      <c r="Q185" s="82">
        <f t="shared" si="34"/>
        <v>0</v>
      </c>
      <c r="R185" s="82">
        <f t="shared" si="35"/>
        <v>0</v>
      </c>
      <c r="S185" s="82">
        <f t="shared" si="36"/>
        <v>35</v>
      </c>
    </row>
    <row r="186" spans="1:19" ht="16.5" hidden="1">
      <c r="A186" s="81" t="s">
        <v>63</v>
      </c>
      <c r="B186" s="82">
        <f>'[2]Ukraine Sun Oil Exports'!DY$102</f>
        <v>0</v>
      </c>
      <c r="C186" s="82">
        <f>'[2]Ukraine Sun Oil Exports'!DZ$102</f>
        <v>0</v>
      </c>
      <c r="D186" s="82">
        <f>'[2]Ukraine Sun Oil Exports'!EA$102</f>
        <v>0</v>
      </c>
      <c r="E186" s="82">
        <f>'[2]Ukraine Sun Oil Exports'!EB$102</f>
        <v>0</v>
      </c>
      <c r="F186" s="82">
        <f>'[2]Ukraine Sun Oil Exports'!EC$102</f>
        <v>0</v>
      </c>
      <c r="G186" s="82">
        <f>'[2]Ukraine Sun Oil Exports'!ED$102</f>
        <v>0</v>
      </c>
      <c r="H186" s="82">
        <f>'[2]Ukraine Sun Oil Exports'!EE$102</f>
        <v>0</v>
      </c>
      <c r="I186" s="82">
        <f>'[2]Ukraine Sun Oil Exports'!EF$102</f>
        <v>0</v>
      </c>
      <c r="J186" s="82">
        <f>'[2]Ukraine Sun Oil Exports'!EG$102</f>
        <v>0</v>
      </c>
      <c r="K186" s="82">
        <f>'[2]Ukraine Sun Oil Exports'!EH$102</f>
        <v>0</v>
      </c>
      <c r="L186" s="82">
        <f>'[2]Ukraine Sun Oil Exports'!EI$102</f>
        <v>0</v>
      </c>
      <c r="M186" s="82">
        <f>'[2]Ukraine Sun Oil Exports'!EJ$102</f>
        <v>0</v>
      </c>
      <c r="N186" s="82">
        <f t="shared" si="32"/>
        <v>0</v>
      </c>
      <c r="O186" s="27"/>
      <c r="P186" s="82">
        <f t="shared" si="33"/>
        <v>0</v>
      </c>
      <c r="Q186" s="82">
        <f t="shared" si="34"/>
        <v>0</v>
      </c>
      <c r="R186" s="82">
        <f t="shared" si="35"/>
        <v>0</v>
      </c>
      <c r="S186" s="82">
        <f t="shared" si="36"/>
        <v>0</v>
      </c>
    </row>
    <row r="187" spans="1:19" ht="16.5" hidden="1">
      <c r="A187" s="81" t="s">
        <v>64</v>
      </c>
      <c r="B187" s="82">
        <f>'[2]Ukraine Sun Oil Exports'!EK$102</f>
        <v>0</v>
      </c>
      <c r="C187" s="82">
        <f>'[2]Ukraine Sun Oil Exports'!EL$102</f>
        <v>0</v>
      </c>
      <c r="D187" s="82">
        <f>'[2]Ukraine Sun Oil Exports'!EM$102</f>
        <v>0</v>
      </c>
      <c r="E187" s="82">
        <f>'[2]Ukraine Sun Oil Exports'!EN$102</f>
        <v>0</v>
      </c>
      <c r="F187" s="82">
        <f>'[2]Ukraine Sun Oil Exports'!EO$102</f>
        <v>0</v>
      </c>
      <c r="G187" s="82">
        <f>'[2]Ukraine Sun Oil Exports'!EP$102</f>
        <v>0</v>
      </c>
      <c r="H187" s="82">
        <f>'[2]Ukraine Sun Oil Exports'!EQ$102</f>
        <v>0</v>
      </c>
      <c r="I187" s="82">
        <f>'[2]Ukraine Sun Oil Exports'!ER$102</f>
        <v>0</v>
      </c>
      <c r="J187" s="82">
        <f>'[2]Ukraine Sun Oil Exports'!ES$102</f>
        <v>0</v>
      </c>
      <c r="K187" s="82">
        <f>'[2]Ukraine Sun Oil Exports'!ET$102</f>
        <v>0</v>
      </c>
      <c r="L187" s="82">
        <f>'[2]Ukraine Sun Oil Exports'!EU$102</f>
        <v>0</v>
      </c>
      <c r="M187" s="82">
        <f>'[2]Ukraine Sun Oil Exports'!EV$102</f>
        <v>0</v>
      </c>
      <c r="N187" s="82">
        <f t="shared" si="32"/>
        <v>0</v>
      </c>
      <c r="O187" s="27"/>
      <c r="P187" s="82">
        <f t="shared" si="33"/>
        <v>0</v>
      </c>
      <c r="Q187" s="82">
        <f t="shared" si="34"/>
        <v>0</v>
      </c>
      <c r="R187" s="82">
        <f t="shared" si="35"/>
        <v>0</v>
      </c>
      <c r="S187" s="82">
        <f t="shared" si="36"/>
        <v>0</v>
      </c>
    </row>
    <row r="188" spans="1:19" ht="16.5" hidden="1">
      <c r="A188" s="83" t="s">
        <v>65</v>
      </c>
      <c r="B188" s="82">
        <f>'[2]Ukraine Sun Oil Exports'!EW$102</f>
        <v>0</v>
      </c>
      <c r="C188" s="82">
        <f>'[2]Ukraine Sun Oil Exports'!EX$102</f>
        <v>0</v>
      </c>
      <c r="D188" s="82">
        <f>'[2]Ukraine Sun Oil Exports'!EY$102</f>
        <v>0</v>
      </c>
      <c r="E188" s="82">
        <f>'[2]Ukraine Sun Oil Exports'!EZ$102</f>
        <v>0</v>
      </c>
      <c r="F188" s="82">
        <f>'[2]Ukraine Sun Oil Exports'!FA$102</f>
        <v>0</v>
      </c>
      <c r="G188" s="82">
        <f>'[2]Ukraine Sun Oil Exports'!FB$102</f>
        <v>0</v>
      </c>
      <c r="H188" s="82">
        <f>'[2]Ukraine Sun Oil Exports'!FC$102</f>
        <v>0</v>
      </c>
      <c r="I188" s="82">
        <f>'[2]Ukraine Sun Oil Exports'!FD$102</f>
        <v>0</v>
      </c>
      <c r="J188" s="82">
        <f>'[2]Ukraine Sun Oil Exports'!FE$102</f>
        <v>0</v>
      </c>
      <c r="K188" s="82">
        <f>'[2]Ukraine Sun Oil Exports'!FF$102</f>
        <v>0</v>
      </c>
      <c r="L188" s="82">
        <f>'[2]Ukraine Sun Oil Exports'!FG$102</f>
        <v>0</v>
      </c>
      <c r="M188" s="82">
        <f>'[2]Ukraine Sun Oil Exports'!FH$102</f>
        <v>0</v>
      </c>
      <c r="N188" s="82">
        <f t="shared" si="32"/>
        <v>0</v>
      </c>
      <c r="O188" s="27"/>
      <c r="P188" s="82">
        <f t="shared" si="33"/>
        <v>0</v>
      </c>
      <c r="Q188" s="82">
        <f t="shared" si="34"/>
        <v>0</v>
      </c>
      <c r="R188" s="82">
        <f t="shared" si="35"/>
        <v>0</v>
      </c>
      <c r="S188" s="82">
        <f t="shared" si="36"/>
        <v>0</v>
      </c>
    </row>
    <row r="189" spans="1:19" ht="16.5" hidden="1">
      <c r="A189" s="83" t="s">
        <v>66</v>
      </c>
      <c r="B189" s="82">
        <f>'[2]Ukraine Sun Oil Exports'!FI$102</f>
        <v>0</v>
      </c>
      <c r="C189" s="82">
        <f>'[2]Ukraine Sun Oil Exports'!FJ$102</f>
        <v>0</v>
      </c>
      <c r="D189" s="82">
        <f>'[2]Ukraine Sun Oil Exports'!FK$102</f>
        <v>0</v>
      </c>
      <c r="E189" s="82">
        <f>'[2]Ukraine Sun Oil Exports'!FL$102</f>
        <v>0</v>
      </c>
      <c r="F189" s="82">
        <f>'[2]Ukraine Sun Oil Exports'!FM$102</f>
        <v>0</v>
      </c>
      <c r="G189" s="82">
        <f>'[2]Ukraine Sun Oil Exports'!FN$102</f>
        <v>0</v>
      </c>
      <c r="H189" s="82">
        <f>'[2]Ukraine Sun Oil Exports'!FO$102</f>
        <v>0</v>
      </c>
      <c r="I189" s="82">
        <f>'[2]Ukraine Sun Oil Exports'!FP$102</f>
        <v>0</v>
      </c>
      <c r="J189" s="82">
        <f>'[2]Ukraine Sun Oil Exports'!FQ$102</f>
        <v>0</v>
      </c>
      <c r="K189" s="82">
        <f>'[2]Ukraine Sun Oil Exports'!FR$102</f>
        <v>0</v>
      </c>
      <c r="L189" s="82">
        <f>'[2]Ukraine Sun Oil Exports'!FS$102</f>
        <v>0</v>
      </c>
      <c r="M189" s="82">
        <f>'[2]Ukraine Sun Oil Exports'!FT$102</f>
        <v>0</v>
      </c>
      <c r="N189" s="82">
        <f t="shared" si="32"/>
        <v>0</v>
      </c>
      <c r="O189" s="27"/>
      <c r="P189" s="82">
        <f t="shared" si="33"/>
        <v>0</v>
      </c>
      <c r="Q189" s="82">
        <f t="shared" si="34"/>
        <v>0</v>
      </c>
      <c r="R189" s="82">
        <f t="shared" si="35"/>
        <v>0</v>
      </c>
      <c r="S189" s="82">
        <f t="shared" si="36"/>
        <v>0</v>
      </c>
    </row>
    <row r="190" spans="1:19" ht="16.5" hidden="1">
      <c r="A190" s="84" t="s">
        <v>67</v>
      </c>
      <c r="B190" s="82">
        <f>'[2]Ukraine Sun Oil Exports'!FU$102</f>
        <v>0</v>
      </c>
      <c r="C190" s="82">
        <f>'[2]Ukraine Sun Oil Exports'!FV$102</f>
        <v>0</v>
      </c>
      <c r="D190" s="82">
        <f>'[2]Ukraine Sun Oil Exports'!FW$102</f>
        <v>0</v>
      </c>
      <c r="E190" s="82">
        <f>'[2]Ukraine Sun Oil Exports'!FX$102</f>
        <v>0</v>
      </c>
      <c r="F190" s="82">
        <f>'[2]Ukraine Sun Oil Exports'!FY$102</f>
        <v>0</v>
      </c>
      <c r="G190" s="82">
        <f>'[2]Ukraine Sun Oil Exports'!FZ$102</f>
        <v>0</v>
      </c>
      <c r="H190" s="82">
        <f>'[2]Ukraine Sun Oil Exports'!GA$102</f>
        <v>0</v>
      </c>
      <c r="I190" s="82">
        <f>'[2]Ukraine Sun Oil Exports'!GB$102</f>
        <v>0</v>
      </c>
      <c r="J190" s="82">
        <f>'[2]Ukraine Sun Oil Exports'!GC$102</f>
        <v>0</v>
      </c>
      <c r="K190" s="82">
        <f>'[2]Ukraine Sun Oil Exports'!GD$102</f>
        <v>0</v>
      </c>
      <c r="L190" s="82">
        <f>'[2]Ukraine Sun Oil Exports'!GE$102</f>
        <v>0</v>
      </c>
      <c r="M190" s="82">
        <f>'[2]Ukraine Sun Oil Exports'!GF$102</f>
        <v>0</v>
      </c>
      <c r="N190" s="82">
        <f t="shared" si="32"/>
        <v>0</v>
      </c>
      <c r="O190" s="27"/>
      <c r="P190" s="82">
        <f t="shared" si="33"/>
        <v>0</v>
      </c>
      <c r="Q190" s="82">
        <f t="shared" si="34"/>
        <v>0</v>
      </c>
      <c r="R190" s="82">
        <f t="shared" si="35"/>
        <v>0</v>
      </c>
      <c r="S190" s="82">
        <f t="shared" si="36"/>
        <v>0</v>
      </c>
    </row>
    <row r="191" spans="1:19" ht="16.5" hidden="1">
      <c r="A191" s="83" t="s">
        <v>68</v>
      </c>
      <c r="B191" s="82">
        <f>'[2]Ukraine Sun Oil Exports'!GG$102</f>
        <v>0</v>
      </c>
      <c r="C191" s="82">
        <f>'[2]Ukraine Sun Oil Exports'!GH$102</f>
        <v>0</v>
      </c>
      <c r="D191" s="82">
        <f>'[2]Ukraine Sun Oil Exports'!GI$102</f>
        <v>11.5</v>
      </c>
      <c r="E191" s="82">
        <f>'[2]Ukraine Sun Oil Exports'!GJ$102</f>
        <v>17</v>
      </c>
      <c r="F191" s="82">
        <f>'[2]Ukraine Sun Oil Exports'!GK$102</f>
        <v>3</v>
      </c>
      <c r="G191" s="82">
        <f>'[2]Ukraine Sun Oil Exports'!GL$102</f>
        <v>0.32300000000000001</v>
      </c>
      <c r="H191" s="82">
        <f>'[2]Ukraine Sun Oil Exports'!GM$102</f>
        <v>3.5</v>
      </c>
      <c r="I191" s="82">
        <f>'[2]Ukraine Sun Oil Exports'!GN$102</f>
        <v>12.061999999999999</v>
      </c>
      <c r="J191" s="82">
        <f>'[2]Ukraine Sun Oil Exports'!GO$102</f>
        <v>5.8</v>
      </c>
      <c r="K191" s="82">
        <f>'[2]Ukraine Sun Oil Exports'!GP$102</f>
        <v>0</v>
      </c>
      <c r="L191" s="82">
        <f>'[2]Ukraine Sun Oil Exports'!GQ$102</f>
        <v>0</v>
      </c>
      <c r="M191" s="82">
        <f>'[2]Ukraine Sun Oil Exports'!GR$102</f>
        <v>0</v>
      </c>
      <c r="N191" s="82">
        <f t="shared" si="32"/>
        <v>53.184999999999995</v>
      </c>
      <c r="O191" s="27"/>
      <c r="P191" s="82">
        <f t="shared" si="33"/>
        <v>11.5</v>
      </c>
      <c r="Q191" s="82">
        <f t="shared" si="34"/>
        <v>20.323</v>
      </c>
      <c r="R191" s="82">
        <f t="shared" si="35"/>
        <v>21.361999999999998</v>
      </c>
      <c r="S191" s="82">
        <f t="shared" si="36"/>
        <v>0</v>
      </c>
    </row>
    <row r="192" spans="1:19" ht="16.5" hidden="1">
      <c r="A192" s="84" t="s">
        <v>69</v>
      </c>
      <c r="B192" s="82">
        <f>'[2]Ukraine Sun Oil Exports'!GS$102</f>
        <v>0</v>
      </c>
      <c r="C192" s="82">
        <f>'[2]Ukraine Sun Oil Exports'!GT$102</f>
        <v>0</v>
      </c>
      <c r="D192" s="82">
        <f>'[2]Ukraine Sun Oil Exports'!GU$102</f>
        <v>0</v>
      </c>
      <c r="E192" s="82">
        <f>'[2]Ukraine Sun Oil Exports'!GV$102</f>
        <v>0</v>
      </c>
      <c r="F192" s="82">
        <f>'[2]Ukraine Sun Oil Exports'!GW$102</f>
        <v>0</v>
      </c>
      <c r="G192" s="82">
        <f>'[2]Ukraine Sun Oil Exports'!GX$102</f>
        <v>0</v>
      </c>
      <c r="H192" s="82">
        <f>'[2]Ukraine Sun Oil Exports'!GY$102</f>
        <v>0</v>
      </c>
      <c r="I192" s="82">
        <f>'[2]Ukraine Sun Oil Exports'!GZ$102</f>
        <v>0</v>
      </c>
      <c r="J192" s="82">
        <f>'[2]Ukraine Sun Oil Exports'!HA$102</f>
        <v>0</v>
      </c>
      <c r="K192" s="82">
        <f>'[2]Ukraine Sun Oil Exports'!HB$102</f>
        <v>0</v>
      </c>
      <c r="L192" s="82">
        <f>'[2]Ukraine Sun Oil Exports'!HC$102</f>
        <v>0</v>
      </c>
      <c r="M192" s="82">
        <f>'[2]Ukraine Sun Oil Exports'!HD$102</f>
        <v>0</v>
      </c>
      <c r="N192" s="82">
        <f t="shared" si="32"/>
        <v>0</v>
      </c>
      <c r="O192" s="27"/>
      <c r="P192" s="82">
        <f t="shared" si="33"/>
        <v>0</v>
      </c>
      <c r="Q192" s="82">
        <f t="shared" si="34"/>
        <v>0</v>
      </c>
      <c r="R192" s="82">
        <f t="shared" si="35"/>
        <v>0</v>
      </c>
      <c r="S192" s="82">
        <f t="shared" si="36"/>
        <v>0</v>
      </c>
    </row>
    <row r="193" spans="1:19" ht="16.5" hidden="1">
      <c r="A193" s="84" t="s">
        <v>70</v>
      </c>
      <c r="B193" s="82">
        <f>'[2]Ukraine Sun Oil Exports'!HE$102</f>
        <v>0</v>
      </c>
      <c r="C193" s="82">
        <f>'[2]Ukraine Sun Oil Exports'!HF$102</f>
        <v>10.8</v>
      </c>
      <c r="D193" s="82">
        <f>'[2]Ukraine Sun Oil Exports'!HG$102</f>
        <v>47.561999999999998</v>
      </c>
      <c r="E193" s="82">
        <f>'[2]Ukraine Sun Oil Exports'!HH$102</f>
        <v>81.614999999999995</v>
      </c>
      <c r="F193" s="82">
        <f>'[2]Ukraine Sun Oil Exports'!HI$102</f>
        <v>24.77</v>
      </c>
      <c r="G193" s="82">
        <f>'[2]Ukraine Sun Oil Exports'!HJ$102</f>
        <v>54.058999999999997</v>
      </c>
      <c r="H193" s="82">
        <f>'[2]Ukraine Sun Oil Exports'!HK$102</f>
        <v>53.216999999999999</v>
      </c>
      <c r="I193" s="82">
        <f>'[2]Ukraine Sun Oil Exports'!HL$102</f>
        <v>88.248000000000005</v>
      </c>
      <c r="J193" s="82">
        <f>'[2]Ukraine Sun Oil Exports'!HM$102</f>
        <v>25.719000000000001</v>
      </c>
      <c r="K193" s="82">
        <f>'[2]Ukraine Sun Oil Exports'!HN$102</f>
        <v>25.5</v>
      </c>
      <c r="L193" s="82">
        <f>'[2]Ukraine Sun Oil Exports'!HO$102</f>
        <v>16.765000000000001</v>
      </c>
      <c r="M193" s="82">
        <f>'[2]Ukraine Sun Oil Exports'!HP$102</f>
        <v>44.073999999999998</v>
      </c>
      <c r="N193" s="82">
        <f t="shared" si="32"/>
        <v>472.32899999999995</v>
      </c>
      <c r="O193" s="27"/>
      <c r="P193" s="82">
        <f t="shared" si="33"/>
        <v>58.361999999999995</v>
      </c>
      <c r="Q193" s="82">
        <f t="shared" si="34"/>
        <v>160.44399999999999</v>
      </c>
      <c r="R193" s="82">
        <f t="shared" si="35"/>
        <v>167.184</v>
      </c>
      <c r="S193" s="82">
        <f t="shared" si="36"/>
        <v>86.338999999999999</v>
      </c>
    </row>
    <row r="194" spans="1:19" ht="16.5" hidden="1">
      <c r="A194" s="83" t="s">
        <v>71</v>
      </c>
      <c r="B194" s="82">
        <f>'[2]Ukraine Sun Oil Exports'!HQ$102</f>
        <v>37.313000000000002</v>
      </c>
      <c r="C194" s="82">
        <f>'[2]Ukraine Sun Oil Exports'!HR$102</f>
        <v>19.454999999999998</v>
      </c>
      <c r="D194" s="82">
        <f>'[2]Ukraine Sun Oil Exports'!HS$102</f>
        <v>51.991999999999997</v>
      </c>
      <c r="E194" s="82">
        <f>'[2]Ukraine Sun Oil Exports'!HT$102</f>
        <v>53.845999999999997</v>
      </c>
      <c r="F194" s="82">
        <f>'[2]Ukraine Sun Oil Exports'!HU$102</f>
        <v>60.451000000000001</v>
      </c>
      <c r="G194" s="82">
        <f>'[2]Ukraine Sun Oil Exports'!HV$102</f>
        <v>52.636000000000003</v>
      </c>
      <c r="H194" s="82">
        <f>'[2]Ukraine Sun Oil Exports'!HW$102</f>
        <v>32.816000000000003</v>
      </c>
      <c r="I194" s="82">
        <f>'[2]Ukraine Sun Oil Exports'!HX$102</f>
        <v>31.678000000000001</v>
      </c>
      <c r="J194" s="82">
        <f>'[2]Ukraine Sun Oil Exports'!HY$102</f>
        <v>58.131</v>
      </c>
      <c r="K194" s="82">
        <f>'[2]Ukraine Sun Oil Exports'!HZ$102</f>
        <v>86.381</v>
      </c>
      <c r="L194" s="82">
        <f>'[2]Ukraine Sun Oil Exports'!IA$102</f>
        <v>69.242999999999995</v>
      </c>
      <c r="M194" s="82">
        <f>'[2]Ukraine Sun Oil Exports'!IB$102</f>
        <v>11.87</v>
      </c>
      <c r="N194" s="82">
        <f t="shared" si="32"/>
        <v>565.81200000000001</v>
      </c>
      <c r="O194" s="27"/>
      <c r="P194" s="82">
        <f t="shared" si="33"/>
        <v>108.76</v>
      </c>
      <c r="Q194" s="82">
        <f t="shared" si="34"/>
        <v>166.93299999999999</v>
      </c>
      <c r="R194" s="82">
        <f t="shared" si="35"/>
        <v>122.625</v>
      </c>
      <c r="S194" s="82">
        <f t="shared" si="36"/>
        <v>167.494</v>
      </c>
    </row>
    <row r="195" spans="1:19" ht="16.5" hidden="1">
      <c r="A195" s="84" t="s">
        <v>72</v>
      </c>
      <c r="B195" s="82">
        <f>'[2]Ukraine Sun Oil Exports'!IC$102</f>
        <v>54.786999999999999</v>
      </c>
      <c r="C195" s="82">
        <f>'[2]Ukraine Sun Oil Exports'!ID$102</f>
        <v>63.048000000000002</v>
      </c>
      <c r="D195" s="82">
        <f>'[2]Ukraine Sun Oil Exports'!IE$102</f>
        <v>93.06</v>
      </c>
      <c r="E195" s="82">
        <f>'[2]Ukraine Sun Oil Exports'!IF$102</f>
        <v>55.639000000000003</v>
      </c>
      <c r="F195" s="82">
        <f>'[2]Ukraine Sun Oil Exports'!IG$102</f>
        <v>54.957000000000001</v>
      </c>
      <c r="G195" s="82">
        <f>'[2]Ukraine Sun Oil Exports'!IH$102</f>
        <v>97.88</v>
      </c>
      <c r="H195" s="82">
        <f>'[2]Ukraine Sun Oil Exports'!II$102</f>
        <v>51.74</v>
      </c>
      <c r="I195" s="82">
        <f>'[2]Ukraine Sun Oil Exports'!IJ$102</f>
        <v>50.5</v>
      </c>
      <c r="J195" s="82">
        <f>'[2]Ukraine Sun Oil Exports'!IK$102</f>
        <v>69.227000000000004</v>
      </c>
      <c r="K195" s="82">
        <f>'[2]Ukraine Sun Oil Exports'!IL$102</f>
        <v>42.164999999999999</v>
      </c>
      <c r="L195" s="82">
        <f>'[2]Ukraine Sun Oil Exports'!IM$102</f>
        <v>72.438999999999993</v>
      </c>
      <c r="M195" s="82">
        <f>'[2]Ukraine Sun Oil Exports'!IN$102</f>
        <v>39.161000000000001</v>
      </c>
      <c r="N195" s="82">
        <f t="shared" si="32"/>
        <v>744.60299999999984</v>
      </c>
      <c r="O195" s="27"/>
      <c r="P195" s="82">
        <f t="shared" si="33"/>
        <v>210.89500000000001</v>
      </c>
      <c r="Q195" s="82">
        <f t="shared" si="34"/>
        <v>208.476</v>
      </c>
      <c r="R195" s="82">
        <f t="shared" si="35"/>
        <v>171.46700000000001</v>
      </c>
      <c r="S195" s="82">
        <f t="shared" si="36"/>
        <v>153.76499999999999</v>
      </c>
    </row>
    <row r="196" spans="1:19" ht="16.5" hidden="1">
      <c r="A196" s="83" t="s">
        <v>73</v>
      </c>
      <c r="B196" s="82">
        <f>'[2]Ukraine Sun Oil Exports'!IO$102</f>
        <v>82.765000000000001</v>
      </c>
      <c r="C196" s="82">
        <f>'[2]Ukraine Sun Oil Exports'!IP$102</f>
        <v>87.885000000000005</v>
      </c>
      <c r="D196" s="82">
        <f>'[2]Ukraine Sun Oil Exports'!IQ$102</f>
        <v>108.669</v>
      </c>
      <c r="E196" s="82">
        <f>'[2]Ukraine Sun Oil Exports'!IR$102</f>
        <v>98.686000000000007</v>
      </c>
      <c r="F196" s="82">
        <f>'[2]Ukraine Sun Oil Exports'!IS$102</f>
        <v>83.725999999999999</v>
      </c>
      <c r="G196" s="82">
        <f>'[2]Ukraine Sun Oil Exports'!IT$102</f>
        <v>143.77199999999999</v>
      </c>
      <c r="H196" s="82">
        <f>'[2]Ukraine Sun Oil Exports'!IU$102</f>
        <v>138.53399999999999</v>
      </c>
      <c r="I196" s="82">
        <f>'[2]Ukraine Sun Oil Exports'!IV$102</f>
        <v>135.066</v>
      </c>
      <c r="J196" s="82">
        <f>'[2]Ukraine Sun Oil Exports'!IW$102</f>
        <v>64.168999999999997</v>
      </c>
      <c r="K196" s="82">
        <f>'[2]Ukraine Sun Oil Exports'!IX$102</f>
        <v>36.771999999999998</v>
      </c>
      <c r="L196" s="82">
        <f>'[2]Ukraine Sun Oil Exports'!IY$102</f>
        <v>97.896000000000001</v>
      </c>
      <c r="M196" s="82">
        <f>'[2]Ukraine Sun Oil Exports'!IZ$102</f>
        <v>89.921000000000006</v>
      </c>
      <c r="N196" s="82">
        <f t="shared" si="32"/>
        <v>1167.8610000000001</v>
      </c>
      <c r="O196" s="27"/>
      <c r="P196" s="82">
        <f t="shared" si="33"/>
        <v>279.31900000000002</v>
      </c>
      <c r="Q196" s="82">
        <f t="shared" si="34"/>
        <v>326.18399999999997</v>
      </c>
      <c r="R196" s="82">
        <f t="shared" si="35"/>
        <v>337.76900000000001</v>
      </c>
      <c r="S196" s="82">
        <f t="shared" si="36"/>
        <v>224.589</v>
      </c>
    </row>
    <row r="197" spans="1:19" ht="16.5" hidden="1">
      <c r="A197" s="83" t="s">
        <v>74</v>
      </c>
      <c r="B197" s="82">
        <f>'[2]Ukraine Sun Oil Exports'!JA$102</f>
        <v>42</v>
      </c>
      <c r="C197" s="82">
        <f>'[2]Ukraine Sun Oil Exports'!JB$102</f>
        <v>68</v>
      </c>
      <c r="D197" s="82">
        <f>'[2]Ukraine Sun Oil Exports'!JC$102</f>
        <v>133.34399999999999</v>
      </c>
      <c r="E197" s="82">
        <f>'[2]Ukraine Sun Oil Exports'!JD$102</f>
        <v>94.203999999999994</v>
      </c>
      <c r="F197" s="82">
        <f>'[2]Ukraine Sun Oil Exports'!JE$102</f>
        <v>121.005</v>
      </c>
      <c r="G197" s="82">
        <f>'[2]Ukraine Sun Oil Exports'!JF$102</f>
        <v>43.872</v>
      </c>
      <c r="H197" s="82">
        <f>'[2]Ukraine Sun Oil Exports'!JG$102</f>
        <v>57</v>
      </c>
      <c r="I197" s="82">
        <f>'[2]Ukraine Sun Oil Exports'!JH$102</f>
        <v>137.53700000000001</v>
      </c>
      <c r="J197" s="82">
        <f>'[2]Ukraine Sun Oil Exports'!JI$102</f>
        <v>60.039000000000001</v>
      </c>
      <c r="K197" s="82">
        <f>'[2]Ukraine Sun Oil Exports'!JJ$102</f>
        <v>44.960999999999999</v>
      </c>
      <c r="L197" s="82">
        <f>'[2]Ukraine Sun Oil Exports'!JK$102</f>
        <v>37.65</v>
      </c>
      <c r="M197" s="82">
        <f>'[2]Ukraine Sun Oil Exports'!JL$102</f>
        <v>86.293000000000006</v>
      </c>
      <c r="N197" s="82">
        <f t="shared" si="32"/>
        <v>925.90499999999997</v>
      </c>
      <c r="O197" s="27"/>
      <c r="P197" s="82">
        <f t="shared" si="33"/>
        <v>243.34399999999999</v>
      </c>
      <c r="Q197" s="82">
        <f t="shared" si="34"/>
        <v>259.08100000000002</v>
      </c>
      <c r="R197" s="82">
        <f t="shared" si="35"/>
        <v>254.57600000000002</v>
      </c>
      <c r="S197" s="82">
        <f t="shared" si="36"/>
        <v>168.904</v>
      </c>
    </row>
    <row r="198" spans="1:19" ht="16.5" hidden="1">
      <c r="A198" s="83" t="s">
        <v>75</v>
      </c>
      <c r="B198" s="82">
        <f>'[2]Ukraine Sun Oil Exports'!JM$102</f>
        <v>130.02500000000001</v>
      </c>
      <c r="C198" s="82">
        <f>'[2]Ukraine Sun Oil Exports'!JN$102</f>
        <v>135.53700000000001</v>
      </c>
      <c r="D198" s="82">
        <f>'[2]Ukraine Sun Oil Exports'!JO$102</f>
        <v>127.913</v>
      </c>
      <c r="E198" s="82">
        <f>'[2]Ukraine Sun Oil Exports'!JP$102</f>
        <v>86.548000000000002</v>
      </c>
      <c r="F198" s="82">
        <f>'[2]Ukraine Sun Oil Exports'!JQ$102</f>
        <v>93.881</v>
      </c>
      <c r="G198" s="82">
        <f>'[2]Ukraine Sun Oil Exports'!JR$102</f>
        <v>129.12899999999999</v>
      </c>
      <c r="H198" s="82">
        <f>'[2]Ukraine Sun Oil Exports'!JS$102</f>
        <v>231.768</v>
      </c>
      <c r="I198" s="82">
        <f>'[2]Ukraine Sun Oil Exports'!JT$102</f>
        <v>145.999</v>
      </c>
      <c r="J198" s="82">
        <f>'[2]Ukraine Sun Oil Exports'!JU$102</f>
        <v>163.84399999999999</v>
      </c>
      <c r="K198" s="82">
        <f>'[2]Ukraine Sun Oil Exports'!JV$102</f>
        <v>99.995000000000005</v>
      </c>
      <c r="L198" s="82">
        <f>'[2]Ukraine Sun Oil Exports'!JW$102</f>
        <v>144.22800000000001</v>
      </c>
      <c r="M198" s="82">
        <f>'[2]Ukraine Sun Oil Exports'!JX$102</f>
        <v>105.658</v>
      </c>
      <c r="N198" s="82">
        <f t="shared" si="32"/>
        <v>1594.5250000000001</v>
      </c>
      <c r="O198" s="27"/>
      <c r="P198" s="82">
        <f t="shared" si="33"/>
        <v>393.47500000000002</v>
      </c>
      <c r="Q198" s="82">
        <f t="shared" si="34"/>
        <v>309.55799999999999</v>
      </c>
      <c r="R198" s="82">
        <f t="shared" si="35"/>
        <v>541.61099999999999</v>
      </c>
      <c r="S198" s="82">
        <f t="shared" si="36"/>
        <v>349.88100000000003</v>
      </c>
    </row>
    <row r="199" spans="1:19" ht="16.5" hidden="1">
      <c r="A199" s="83" t="s">
        <v>76</v>
      </c>
      <c r="B199" s="82">
        <f>'[2]Ukraine Sun Oil Exports'!JY$102</f>
        <v>189.22900000000001</v>
      </c>
      <c r="C199" s="82">
        <f>'[2]Ukraine Sun Oil Exports'!JZ$102</f>
        <v>202.738</v>
      </c>
      <c r="D199" s="82">
        <f>'[2]Ukraine Sun Oil Exports'!KA$102</f>
        <v>109.729</v>
      </c>
      <c r="E199" s="82">
        <f>'[2]Ukraine Sun Oil Exports'!KB$102</f>
        <v>95.186999999999998</v>
      </c>
      <c r="F199" s="82">
        <f>'[2]Ukraine Sun Oil Exports'!KC$102</f>
        <v>134.559</v>
      </c>
      <c r="G199" s="82">
        <f>'[2]Ukraine Sun Oil Exports'!KD$102</f>
        <v>134.40799999999999</v>
      </c>
      <c r="H199" s="82">
        <f>'[2]Ukraine Sun Oil Exports'!KE$102</f>
        <v>150.43</v>
      </c>
      <c r="I199" s="82">
        <f>'[2]Ukraine Sun Oil Exports'!KF$102</f>
        <v>126.29600000000001</v>
      </c>
      <c r="J199" s="82">
        <f>'[2]Ukraine Sun Oil Exports'!KG$102</f>
        <v>103.952</v>
      </c>
      <c r="K199" s="82">
        <f>'[2]Ukraine Sun Oil Exports'!KH$102</f>
        <v>112.277</v>
      </c>
      <c r="L199" s="82">
        <f>'[2]Ukraine Sun Oil Exports'!KI$102</f>
        <v>56.643000000000001</v>
      </c>
      <c r="M199" s="82">
        <f>'[2]Ukraine Sun Oil Exports'!KJ$102</f>
        <v>66.406999999999996</v>
      </c>
      <c r="N199" s="82">
        <f t="shared" si="32"/>
        <v>1481.855</v>
      </c>
      <c r="O199" s="27"/>
      <c r="P199" s="82">
        <f t="shared" si="33"/>
        <v>501.69600000000003</v>
      </c>
      <c r="Q199" s="82">
        <f t="shared" si="34"/>
        <v>364.154</v>
      </c>
      <c r="R199" s="82">
        <f t="shared" si="35"/>
        <v>380.678</v>
      </c>
      <c r="S199" s="82">
        <f t="shared" si="36"/>
        <v>235.327</v>
      </c>
    </row>
    <row r="200" spans="1:19" ht="16.5" hidden="1">
      <c r="A200" s="83" t="s">
        <v>77</v>
      </c>
      <c r="B200" s="82">
        <f>'[2]Ukraine Sun Oil Exports'!KK$102</f>
        <v>193.52199999999999</v>
      </c>
      <c r="C200" s="82">
        <f>'[2]Ukraine Sun Oil Exports'!KL$102</f>
        <v>55.692999999999998</v>
      </c>
      <c r="D200" s="82">
        <f>'[2]Ukraine Sun Oil Exports'!KM$102</f>
        <v>162.792</v>
      </c>
      <c r="E200" s="82">
        <f>'[2]Ukraine Sun Oil Exports'!KN$102</f>
        <v>88.909000000000006</v>
      </c>
      <c r="F200" s="82">
        <f>'[2]Ukraine Sun Oil Exports'!KO$102</f>
        <v>114.96599999999999</v>
      </c>
      <c r="G200" s="82">
        <f>'[2]Ukraine Sun Oil Exports'!KP$102</f>
        <v>158.142</v>
      </c>
      <c r="H200" s="82">
        <f>'[2]Ukraine Sun Oil Exports'!KQ$102</f>
        <v>111.188</v>
      </c>
      <c r="I200" s="82">
        <f>'[2]Ukraine Sun Oil Exports'!KR$102</f>
        <v>113.146</v>
      </c>
      <c r="J200" s="82">
        <f>'[2]Ukraine Sun Oil Exports'!KS$102</f>
        <v>126.446</v>
      </c>
      <c r="K200" s="82">
        <f>'[2]Ukraine Sun Oil Exports'!KT$102</f>
        <v>97.483000000000004</v>
      </c>
      <c r="L200" s="82">
        <f>'[2]Ukraine Sun Oil Exports'!KU$102</f>
        <v>126.764</v>
      </c>
      <c r="M200" s="82">
        <f>'[2]Ukraine Sun Oil Exports'!KV$102</f>
        <v>82.884</v>
      </c>
      <c r="N200" s="82">
        <f t="shared" si="32"/>
        <v>1431.9349999999997</v>
      </c>
      <c r="O200" s="27"/>
      <c r="P200" s="82">
        <f t="shared" si="33"/>
        <v>412.00699999999995</v>
      </c>
      <c r="Q200" s="82">
        <f t="shared" si="34"/>
        <v>362.017</v>
      </c>
      <c r="R200" s="82">
        <f t="shared" si="35"/>
        <v>350.78</v>
      </c>
      <c r="S200" s="82">
        <f t="shared" si="36"/>
        <v>307.13100000000003</v>
      </c>
    </row>
    <row r="201" spans="1:19" ht="16.5" hidden="1">
      <c r="A201" s="83" t="s">
        <v>78</v>
      </c>
      <c r="B201" s="82">
        <f>'[2]Ukraine Sun Oil Exports'!KW$102</f>
        <v>123.51900000000001</v>
      </c>
      <c r="C201" s="82">
        <f>'[2]Ukraine Sun Oil Exports'!KX$102</f>
        <v>175.34800000000001</v>
      </c>
      <c r="D201" s="82">
        <f>'[2]Ukraine Sun Oil Exports'!KY$102</f>
        <v>216.1</v>
      </c>
      <c r="E201" s="82">
        <f>'[2]Ukraine Sun Oil Exports'!KZ$102</f>
        <v>183.53800000000001</v>
      </c>
      <c r="F201" s="82">
        <f>'[2]Ukraine Sun Oil Exports'!LA$102</f>
        <v>195.316</v>
      </c>
      <c r="G201" s="82">
        <f>'[2]Ukraine Sun Oil Exports'!LB$102</f>
        <v>252.62799999999999</v>
      </c>
      <c r="H201" s="82">
        <f>'[2]Ukraine Sun Oil Exports'!LC$102</f>
        <v>181.55199999999999</v>
      </c>
      <c r="I201" s="82">
        <f>'[2]Ukraine Sun Oil Exports'!LD$102</f>
        <v>122.363</v>
      </c>
      <c r="J201" s="82">
        <f>'[2]Ukraine Sun Oil Exports'!LE$102</f>
        <v>154.71495400000001</v>
      </c>
      <c r="K201" s="82">
        <f>'[2]Ukraine Sun Oil Exports'!LF$102</f>
        <v>188.94992300000001</v>
      </c>
      <c r="L201" s="82">
        <f>'[2]Ukraine Sun Oil Exports'!LG$102</f>
        <v>158.307007</v>
      </c>
      <c r="M201" s="82">
        <f>'[2]Ukraine Sun Oil Exports'!LH$102</f>
        <v>95.063359000000005</v>
      </c>
      <c r="N201" s="82">
        <f t="shared" si="32"/>
        <v>2047.3992430000001</v>
      </c>
      <c r="O201" s="27"/>
      <c r="P201" s="82">
        <f t="shared" si="33"/>
        <v>514.9670000000001</v>
      </c>
      <c r="Q201" s="82">
        <f t="shared" si="34"/>
        <v>631.48199999999997</v>
      </c>
      <c r="R201" s="82">
        <f t="shared" si="35"/>
        <v>458.629954</v>
      </c>
      <c r="S201" s="82">
        <f t="shared" si="36"/>
        <v>442.320289</v>
      </c>
    </row>
    <row r="202" spans="1:19" ht="16.5" hidden="1">
      <c r="A202" s="83" t="s">
        <v>79</v>
      </c>
      <c r="B202" s="82">
        <f>'[2]Ukraine Sun Oil Exports'!LI$102</f>
        <v>238.74087</v>
      </c>
      <c r="C202" s="82">
        <f>'[2]Ukraine Sun Oil Exports'!LJ$102</f>
        <v>200.65535</v>
      </c>
      <c r="D202" s="82">
        <f>'[2]Ukraine Sun Oil Exports'!LK$102</f>
        <v>183.744945</v>
      </c>
      <c r="E202" s="82">
        <f>'[2]Ukraine Sun Oil Exports'!LL$102</f>
        <v>211.422316</v>
      </c>
      <c r="F202" s="82">
        <f>'[2]Ukraine Sun Oil Exports'!LM$102</f>
        <v>224.242446</v>
      </c>
      <c r="G202" s="82">
        <f>'[2]Ukraine Sun Oil Exports'!LN$102</f>
        <v>252.374709</v>
      </c>
      <c r="H202" s="82">
        <f>'[2]Ukraine Sun Oil Exports'!LO$102</f>
        <v>320.23988000000003</v>
      </c>
      <c r="I202" s="82">
        <f>'[2]Ukraine Sun Oil Exports'!LP$102</f>
        <v>219.01287400000001</v>
      </c>
      <c r="J202" s="82">
        <f>'[2]Ukraine Sun Oil Exports'!LQ$102</f>
        <v>161.809957</v>
      </c>
      <c r="K202" s="82">
        <f>'[2]Ukraine Sun Oil Exports'!LR$102</f>
        <v>172.40218999999999</v>
      </c>
      <c r="L202" s="82">
        <f>'[2]Ukraine Sun Oil Exports'!LS$102</f>
        <v>172.33175800000001</v>
      </c>
      <c r="M202" s="82">
        <f>'[2]Ukraine Sun Oil Exports'!LT$102</f>
        <v>95.104134000000002</v>
      </c>
      <c r="N202" s="82">
        <f t="shared" si="32"/>
        <v>2452.0814289999998</v>
      </c>
      <c r="O202" s="27"/>
      <c r="P202" s="82">
        <f t="shared" si="33"/>
        <v>623.141165</v>
      </c>
      <c r="Q202" s="82">
        <f t="shared" si="34"/>
        <v>688.03947100000005</v>
      </c>
      <c r="R202" s="82">
        <f t="shared" si="35"/>
        <v>701.06271100000004</v>
      </c>
      <c r="S202" s="82">
        <f t="shared" si="36"/>
        <v>439.83808199999999</v>
      </c>
    </row>
    <row r="203" spans="1:19" ht="16.5">
      <c r="A203" s="103" t="s">
        <v>80</v>
      </c>
      <c r="B203" s="82">
        <f>'[2]Ukraine Sun Oil Exports'!LU$102</f>
        <v>161.233057</v>
      </c>
      <c r="C203" s="82">
        <f>'[2]Ukraine Sun Oil Exports'!LV$102</f>
        <v>198.893182</v>
      </c>
      <c r="D203" s="82">
        <f>'[2]Ukraine Sun Oil Exports'!LW$102</f>
        <v>270.38316800000001</v>
      </c>
      <c r="E203" s="82">
        <f>'[2]Ukraine Sun Oil Exports'!LX$102</f>
        <v>197.92618999999999</v>
      </c>
      <c r="F203" s="82">
        <f>'[2]Ukraine Sun Oil Exports'!LY$102</f>
        <v>282.62779699999999</v>
      </c>
      <c r="G203" s="82">
        <f>'[2]Ukraine Sun Oil Exports'!LZ$102</f>
        <v>284.51422300000002</v>
      </c>
      <c r="H203" s="82">
        <f>'[2]Ukraine Sun Oil Exports'!MA$102</f>
        <v>124.79025799999999</v>
      </c>
      <c r="I203" s="82">
        <f>'[2]Ukraine Sun Oil Exports'!MB$102</f>
        <v>149.18912</v>
      </c>
      <c r="J203" s="82">
        <f>'[2]Ukraine Sun Oil Exports'!MC$102</f>
        <v>105.011341</v>
      </c>
      <c r="K203" s="82">
        <f>'[2]Ukraine Sun Oil Exports'!MD$102</f>
        <v>194.285979</v>
      </c>
      <c r="L203" s="82">
        <f>'[2]Ukraine Sun Oil Exports'!ME$102</f>
        <v>92.821734000000006</v>
      </c>
      <c r="M203" s="82">
        <f>'[2]Ukraine Sun Oil Exports'!MF$102</f>
        <v>125.584035</v>
      </c>
      <c r="N203" s="82">
        <f t="shared" si="32"/>
        <v>2187.2600839999996</v>
      </c>
      <c r="O203" s="27"/>
      <c r="P203" s="82">
        <f t="shared" si="33"/>
        <v>630.50940700000001</v>
      </c>
      <c r="Q203" s="82">
        <f t="shared" si="34"/>
        <v>765.06821000000002</v>
      </c>
      <c r="R203" s="82">
        <f t="shared" si="35"/>
        <v>378.99071900000001</v>
      </c>
      <c r="S203" s="82">
        <f t="shared" si="36"/>
        <v>412.69174799999996</v>
      </c>
    </row>
    <row r="204" spans="1:19" ht="16.5">
      <c r="A204" s="103" t="s">
        <v>81</v>
      </c>
      <c r="B204" s="82">
        <f>'[2]Ukraine Sun Oil Exports'!MG$102</f>
        <v>164.804293</v>
      </c>
      <c r="C204" s="82">
        <f>'[2]Ukraine Sun Oil Exports'!MH$102</f>
        <v>202.73004399999999</v>
      </c>
      <c r="D204" s="82">
        <f>'[2]Ukraine Sun Oil Exports'!MI$102</f>
        <v>204.80767800000001</v>
      </c>
      <c r="E204" s="82">
        <f>'[2]Ukraine Sun Oil Exports'!MJ$102</f>
        <v>150.61715799999999</v>
      </c>
      <c r="F204" s="82">
        <f>'[2]Ukraine Sun Oil Exports'!MK$102</f>
        <v>227.84993</v>
      </c>
      <c r="G204" s="82">
        <f>'[2]Ukraine Sun Oil Exports'!ML$102</f>
        <v>145.196755</v>
      </c>
      <c r="H204" s="82">
        <f>'[2]Ukraine Sun Oil Exports'!MM$102</f>
        <v>81.685267999999994</v>
      </c>
      <c r="I204" s="82">
        <f>'[2]Ukraine Sun Oil Exports'!MN$102</f>
        <v>150.95411799999999</v>
      </c>
      <c r="J204" s="82">
        <f>'[2]Ukraine Sun Oil Exports'!MO$102</f>
        <v>228.369528</v>
      </c>
      <c r="K204" s="82">
        <f>'[2]Ukraine Sun Oil Exports'!MP$102</f>
        <v>159.073778</v>
      </c>
      <c r="L204" s="82">
        <f>'[2]Ukraine Sun Oil Exports'!MQ$102</f>
        <v>78.461135999999996</v>
      </c>
      <c r="M204" s="82">
        <f>'[2]Ukraine Sun Oil Exports'!MR$102</f>
        <v>89.173371000000003</v>
      </c>
      <c r="N204" s="82">
        <f t="shared" si="32"/>
        <v>1883.7230569999997</v>
      </c>
      <c r="O204" s="27"/>
      <c r="P204" s="82">
        <f t="shared" si="33"/>
        <v>572.34201500000006</v>
      </c>
      <c r="Q204" s="82">
        <f t="shared" si="34"/>
        <v>523.66384300000004</v>
      </c>
      <c r="R204" s="82">
        <f t="shared" si="35"/>
        <v>461.008914</v>
      </c>
      <c r="S204" s="82">
        <f t="shared" si="36"/>
        <v>326.70828500000005</v>
      </c>
    </row>
    <row r="205" spans="1:19" ht="17.25" thickBot="1">
      <c r="A205" s="103" t="s">
        <v>82</v>
      </c>
      <c r="B205" s="82">
        <f>'[2]Ukraine Sun Oil Exports'!MS$102</f>
        <v>202.87394599999999</v>
      </c>
      <c r="C205" s="82">
        <f>'[2]Ukraine Sun Oil Exports'!MT$102</f>
        <v>174.688322</v>
      </c>
      <c r="D205" s="82">
        <f>'[2]Ukraine Sun Oil Exports'!MU$102</f>
        <v>235.86020300000001</v>
      </c>
      <c r="E205" s="82">
        <f>'[2]Ukraine Sun Oil Exports'!MV$102</f>
        <v>113.102</v>
      </c>
      <c r="F205" s="82">
        <f>'[2]Ukraine Sun Oil Exports'!MW$102</f>
        <v>146.33199999999999</v>
      </c>
      <c r="G205" s="82">
        <f>'[2]Ukraine Sun Oil Exports'!MX$102</f>
        <v>127.203</v>
      </c>
      <c r="H205" s="82">
        <f>'[2]Ukraine Sun Oil Exports'!MY$102</f>
        <v>122.744</v>
      </c>
      <c r="I205" s="82">
        <f>'[2]Ukraine Sun Oil Exports'!MZ$102</f>
        <v>173.98099999999999</v>
      </c>
      <c r="J205" s="82">
        <f>'[2]Ukraine Sun Oil Exports'!NA$102</f>
        <v>64.507000000000005</v>
      </c>
      <c r="K205" s="82">
        <f>'[2]Ukraine Sun Oil Exports'!NB$102</f>
        <v>52.395000000000003</v>
      </c>
      <c r="L205" s="82">
        <f>'[2]Ukraine Sun Oil Exports'!NC$102</f>
        <v>64.087000000000003</v>
      </c>
      <c r="M205" s="82">
        <f>'[2]Ukraine Sun Oil Exports'!ND$102</f>
        <v>92.528000000000006</v>
      </c>
      <c r="N205" s="111">
        <f>'Sun Oil Matrix'!BF8</f>
        <v>1570.301471</v>
      </c>
      <c r="O205" s="109"/>
      <c r="P205" s="82">
        <f t="shared" si="33"/>
        <v>613.42247099999997</v>
      </c>
      <c r="Q205" s="82">
        <f t="shared" si="34"/>
        <v>386.63699999999994</v>
      </c>
      <c r="R205" s="82">
        <f t="shared" si="35"/>
        <v>361.23200000000003</v>
      </c>
      <c r="S205" s="82">
        <f t="shared" si="36"/>
        <v>209.01</v>
      </c>
    </row>
    <row r="206" spans="1:19" ht="16.5">
      <c r="A206" s="104" t="s">
        <v>114</v>
      </c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6"/>
      <c r="Q206" s="106"/>
      <c r="R206" s="106"/>
      <c r="S206" s="106"/>
    </row>
    <row r="207" spans="1:19" ht="16.5" hidden="1">
      <c r="A207" s="81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27"/>
      <c r="P207" s="82"/>
      <c r="Q207" s="82"/>
      <c r="R207" s="82"/>
      <c r="S207" s="82"/>
    </row>
    <row r="208" spans="1:19" ht="16.5" hidden="1">
      <c r="A208" s="81" t="s">
        <v>56</v>
      </c>
      <c r="B208" s="82">
        <f t="shared" ref="B208:M223" si="37">B121+B150+B179</f>
        <v>0</v>
      </c>
      <c r="C208" s="82">
        <f t="shared" si="37"/>
        <v>0</v>
      </c>
      <c r="D208" s="82">
        <f t="shared" si="37"/>
        <v>0</v>
      </c>
      <c r="E208" s="82">
        <f t="shared" si="37"/>
        <v>0</v>
      </c>
      <c r="F208" s="82">
        <f t="shared" si="37"/>
        <v>0</v>
      </c>
      <c r="G208" s="82">
        <f t="shared" si="37"/>
        <v>0</v>
      </c>
      <c r="H208" s="82">
        <f t="shared" si="37"/>
        <v>0</v>
      </c>
      <c r="I208" s="82">
        <f t="shared" si="37"/>
        <v>0</v>
      </c>
      <c r="J208" s="82">
        <f t="shared" si="37"/>
        <v>0</v>
      </c>
      <c r="K208" s="82">
        <f t="shared" si="37"/>
        <v>0</v>
      </c>
      <c r="L208" s="82">
        <f t="shared" si="37"/>
        <v>0</v>
      </c>
      <c r="M208" s="82">
        <f t="shared" si="37"/>
        <v>0</v>
      </c>
      <c r="N208" s="82">
        <f>SUM(B208:M208)</f>
        <v>0</v>
      </c>
      <c r="O208" s="27"/>
      <c r="P208" s="82">
        <f>D208+B208+C208</f>
        <v>0</v>
      </c>
      <c r="Q208" s="82">
        <f>SUM(E208:G208)</f>
        <v>0</v>
      </c>
      <c r="R208" s="82">
        <f>SUM(H208:J208)</f>
        <v>0</v>
      </c>
      <c r="S208" s="82">
        <f>SUM(K208:M208)</f>
        <v>0</v>
      </c>
    </row>
    <row r="209" spans="1:19" ht="16.5" hidden="1">
      <c r="A209" s="81" t="s">
        <v>57</v>
      </c>
      <c r="B209" s="82">
        <f t="shared" si="37"/>
        <v>0</v>
      </c>
      <c r="C209" s="82">
        <f t="shared" si="37"/>
        <v>0</v>
      </c>
      <c r="D209" s="82">
        <f t="shared" si="37"/>
        <v>0</v>
      </c>
      <c r="E209" s="82">
        <f t="shared" si="37"/>
        <v>0</v>
      </c>
      <c r="F209" s="82">
        <f t="shared" si="37"/>
        <v>0</v>
      </c>
      <c r="G209" s="82">
        <f t="shared" si="37"/>
        <v>0</v>
      </c>
      <c r="H209" s="82">
        <f t="shared" si="37"/>
        <v>0</v>
      </c>
      <c r="I209" s="82">
        <f t="shared" si="37"/>
        <v>0</v>
      </c>
      <c r="J209" s="82">
        <f t="shared" si="37"/>
        <v>0</v>
      </c>
      <c r="K209" s="82">
        <f t="shared" si="37"/>
        <v>0</v>
      </c>
      <c r="L209" s="82">
        <f t="shared" si="37"/>
        <v>0</v>
      </c>
      <c r="M209" s="82">
        <f t="shared" si="37"/>
        <v>0</v>
      </c>
      <c r="N209" s="82">
        <f t="shared" ref="N209:N233" si="38">SUM(B209:M209)</f>
        <v>0</v>
      </c>
      <c r="O209" s="27"/>
      <c r="P209" s="82">
        <f t="shared" ref="P209:P234" si="39">D209+B209+C209</f>
        <v>0</v>
      </c>
      <c r="Q209" s="82">
        <f t="shared" ref="Q209:Q234" si="40">SUM(E209:G209)</f>
        <v>0</v>
      </c>
      <c r="R209" s="82">
        <f t="shared" ref="R209:R234" si="41">SUM(H209:J209)</f>
        <v>0</v>
      </c>
      <c r="S209" s="82">
        <f t="shared" ref="S209:S234" si="42">SUM(K209:M209)</f>
        <v>0</v>
      </c>
    </row>
    <row r="210" spans="1:19" ht="16.5" hidden="1">
      <c r="A210" s="81" t="s">
        <v>58</v>
      </c>
      <c r="B210" s="82">
        <f t="shared" si="37"/>
        <v>0</v>
      </c>
      <c r="C210" s="82">
        <f t="shared" si="37"/>
        <v>0</v>
      </c>
      <c r="D210" s="82">
        <f t="shared" si="37"/>
        <v>0</v>
      </c>
      <c r="E210" s="82">
        <f t="shared" si="37"/>
        <v>9.9969999999999999</v>
      </c>
      <c r="F210" s="82">
        <f t="shared" si="37"/>
        <v>12.689</v>
      </c>
      <c r="G210" s="82">
        <f t="shared" si="37"/>
        <v>0</v>
      </c>
      <c r="H210" s="82">
        <f t="shared" si="37"/>
        <v>0</v>
      </c>
      <c r="I210" s="82">
        <f t="shared" si="37"/>
        <v>2</v>
      </c>
      <c r="J210" s="82">
        <f t="shared" si="37"/>
        <v>1</v>
      </c>
      <c r="K210" s="82">
        <f t="shared" si="37"/>
        <v>0</v>
      </c>
      <c r="L210" s="82">
        <f t="shared" si="37"/>
        <v>0</v>
      </c>
      <c r="M210" s="82">
        <f t="shared" si="37"/>
        <v>0</v>
      </c>
      <c r="N210" s="82">
        <f t="shared" si="38"/>
        <v>25.686</v>
      </c>
      <c r="O210" s="27"/>
      <c r="P210" s="82">
        <f t="shared" si="39"/>
        <v>0</v>
      </c>
      <c r="Q210" s="82">
        <f t="shared" si="40"/>
        <v>22.686</v>
      </c>
      <c r="R210" s="82">
        <f t="shared" si="41"/>
        <v>3</v>
      </c>
      <c r="S210" s="82">
        <f t="shared" si="42"/>
        <v>0</v>
      </c>
    </row>
    <row r="211" spans="1:19" ht="16.5" hidden="1">
      <c r="A211" s="81" t="s">
        <v>59</v>
      </c>
      <c r="B211" s="82">
        <f t="shared" si="37"/>
        <v>0</v>
      </c>
      <c r="C211" s="82">
        <f t="shared" si="37"/>
        <v>1.5449999999999999</v>
      </c>
      <c r="D211" s="82">
        <f t="shared" si="37"/>
        <v>0</v>
      </c>
      <c r="E211" s="82">
        <f t="shared" si="37"/>
        <v>0</v>
      </c>
      <c r="F211" s="82">
        <f t="shared" si="37"/>
        <v>0</v>
      </c>
      <c r="G211" s="82">
        <f t="shared" si="37"/>
        <v>0</v>
      </c>
      <c r="H211" s="82">
        <f t="shared" si="37"/>
        <v>0.111</v>
      </c>
      <c r="I211" s="82">
        <f t="shared" si="37"/>
        <v>0</v>
      </c>
      <c r="J211" s="82">
        <f t="shared" si="37"/>
        <v>0</v>
      </c>
      <c r="K211" s="82">
        <f t="shared" si="37"/>
        <v>0</v>
      </c>
      <c r="L211" s="82">
        <f t="shared" si="37"/>
        <v>0</v>
      </c>
      <c r="M211" s="82">
        <f t="shared" si="37"/>
        <v>11.048999999999999</v>
      </c>
      <c r="N211" s="82">
        <f t="shared" si="38"/>
        <v>12.705</v>
      </c>
      <c r="O211" s="27"/>
      <c r="P211" s="82">
        <f t="shared" si="39"/>
        <v>1.5449999999999999</v>
      </c>
      <c r="Q211" s="82">
        <f t="shared" si="40"/>
        <v>0</v>
      </c>
      <c r="R211" s="82">
        <f t="shared" si="41"/>
        <v>0.111</v>
      </c>
      <c r="S211" s="82">
        <f t="shared" si="42"/>
        <v>11.048999999999999</v>
      </c>
    </row>
    <row r="212" spans="1:19" ht="16.5" hidden="1">
      <c r="A212" s="81" t="s">
        <v>60</v>
      </c>
      <c r="B212" s="82">
        <f t="shared" si="37"/>
        <v>3</v>
      </c>
      <c r="C212" s="82">
        <f t="shared" si="37"/>
        <v>7.9379999999999997</v>
      </c>
      <c r="D212" s="82">
        <f t="shared" si="37"/>
        <v>1.3242499999999999</v>
      </c>
      <c r="E212" s="82">
        <f t="shared" si="37"/>
        <v>0.4199</v>
      </c>
      <c r="F212" s="82">
        <f t="shared" si="37"/>
        <v>0.23269999999999999</v>
      </c>
      <c r="G212" s="82">
        <f t="shared" si="37"/>
        <v>0</v>
      </c>
      <c r="H212" s="82">
        <f t="shared" si="37"/>
        <v>0</v>
      </c>
      <c r="I212" s="82">
        <f t="shared" si="37"/>
        <v>0</v>
      </c>
      <c r="J212" s="82">
        <f t="shared" si="37"/>
        <v>0</v>
      </c>
      <c r="K212" s="82">
        <f t="shared" si="37"/>
        <v>0</v>
      </c>
      <c r="L212" s="82">
        <f t="shared" si="37"/>
        <v>0</v>
      </c>
      <c r="M212" s="82">
        <f t="shared" si="37"/>
        <v>19.016999999999999</v>
      </c>
      <c r="N212" s="82">
        <f t="shared" si="38"/>
        <v>31.931849999999997</v>
      </c>
      <c r="O212" s="27"/>
      <c r="P212" s="82">
        <f t="shared" si="39"/>
        <v>12.26225</v>
      </c>
      <c r="Q212" s="82">
        <f t="shared" si="40"/>
        <v>0.65259999999999996</v>
      </c>
      <c r="R212" s="82">
        <f t="shared" si="41"/>
        <v>0</v>
      </c>
      <c r="S212" s="82">
        <f t="shared" si="42"/>
        <v>19.016999999999999</v>
      </c>
    </row>
    <row r="213" spans="1:19" ht="16.5" hidden="1">
      <c r="A213" s="81" t="s">
        <v>61</v>
      </c>
      <c r="B213" s="82">
        <f t="shared" si="37"/>
        <v>0</v>
      </c>
      <c r="C213" s="82">
        <f t="shared" si="37"/>
        <v>0</v>
      </c>
      <c r="D213" s="82">
        <f t="shared" si="37"/>
        <v>0</v>
      </c>
      <c r="E213" s="82">
        <f t="shared" si="37"/>
        <v>0</v>
      </c>
      <c r="F213" s="82">
        <f t="shared" si="37"/>
        <v>0</v>
      </c>
      <c r="G213" s="82">
        <f t="shared" si="37"/>
        <v>1.7000000000000001E-2</v>
      </c>
      <c r="H213" s="82">
        <f t="shared" si="37"/>
        <v>0</v>
      </c>
      <c r="I213" s="82">
        <f t="shared" si="37"/>
        <v>0</v>
      </c>
      <c r="J213" s="82">
        <f t="shared" si="37"/>
        <v>0</v>
      </c>
      <c r="K213" s="82">
        <f t="shared" si="37"/>
        <v>0</v>
      </c>
      <c r="L213" s="82">
        <f t="shared" si="37"/>
        <v>0</v>
      </c>
      <c r="M213" s="82">
        <f t="shared" si="37"/>
        <v>17</v>
      </c>
      <c r="N213" s="82">
        <f t="shared" si="38"/>
        <v>17.016999999999999</v>
      </c>
      <c r="O213" s="27"/>
      <c r="P213" s="82">
        <f t="shared" si="39"/>
        <v>0</v>
      </c>
      <c r="Q213" s="82">
        <f t="shared" si="40"/>
        <v>1.7000000000000001E-2</v>
      </c>
      <c r="R213" s="82">
        <f t="shared" si="41"/>
        <v>0</v>
      </c>
      <c r="S213" s="82">
        <f t="shared" si="42"/>
        <v>17</v>
      </c>
    </row>
    <row r="214" spans="1:19" ht="16.5" hidden="1">
      <c r="A214" s="81" t="s">
        <v>62</v>
      </c>
      <c r="B214" s="82">
        <f t="shared" si="37"/>
        <v>0</v>
      </c>
      <c r="C214" s="82">
        <f t="shared" si="37"/>
        <v>1.9E-2</v>
      </c>
      <c r="D214" s="82">
        <f t="shared" si="37"/>
        <v>0.03</v>
      </c>
      <c r="E214" s="82">
        <f t="shared" si="37"/>
        <v>3.5000000000000003E-2</v>
      </c>
      <c r="F214" s="82">
        <f t="shared" si="37"/>
        <v>0</v>
      </c>
      <c r="G214" s="82">
        <f t="shared" si="37"/>
        <v>0</v>
      </c>
      <c r="H214" s="82">
        <f t="shared" si="37"/>
        <v>1E-3</v>
      </c>
      <c r="I214" s="82">
        <f t="shared" si="37"/>
        <v>0</v>
      </c>
      <c r="J214" s="82">
        <f t="shared" si="37"/>
        <v>1E-3</v>
      </c>
      <c r="K214" s="82">
        <f t="shared" si="37"/>
        <v>1E-3</v>
      </c>
      <c r="L214" s="82">
        <f t="shared" si="37"/>
        <v>0</v>
      </c>
      <c r="M214" s="82">
        <f t="shared" si="37"/>
        <v>35</v>
      </c>
      <c r="N214" s="82">
        <f t="shared" si="38"/>
        <v>35.087000000000003</v>
      </c>
      <c r="O214" s="27"/>
      <c r="P214" s="82">
        <f t="shared" si="39"/>
        <v>4.9000000000000002E-2</v>
      </c>
      <c r="Q214" s="82">
        <f t="shared" si="40"/>
        <v>3.5000000000000003E-2</v>
      </c>
      <c r="R214" s="82">
        <f t="shared" si="41"/>
        <v>2E-3</v>
      </c>
      <c r="S214" s="82">
        <f t="shared" si="42"/>
        <v>35.000999999999998</v>
      </c>
    </row>
    <row r="215" spans="1:19" ht="16.5" hidden="1">
      <c r="A215" s="81" t="s">
        <v>63</v>
      </c>
      <c r="B215" s="82">
        <f t="shared" si="37"/>
        <v>0</v>
      </c>
      <c r="C215" s="82">
        <f t="shared" si="37"/>
        <v>0</v>
      </c>
      <c r="D215" s="82">
        <f t="shared" si="37"/>
        <v>0</v>
      </c>
      <c r="E215" s="82">
        <f t="shared" si="37"/>
        <v>0</v>
      </c>
      <c r="F215" s="82">
        <f t="shared" si="37"/>
        <v>1E-3</v>
      </c>
      <c r="G215" s="82">
        <f t="shared" si="37"/>
        <v>0</v>
      </c>
      <c r="H215" s="82">
        <f t="shared" si="37"/>
        <v>1E-3</v>
      </c>
      <c r="I215" s="82">
        <f t="shared" si="37"/>
        <v>4.0000000000000001E-3</v>
      </c>
      <c r="J215" s="82">
        <f t="shared" si="37"/>
        <v>0</v>
      </c>
      <c r="K215" s="82">
        <f t="shared" si="37"/>
        <v>0</v>
      </c>
      <c r="L215" s="82">
        <f t="shared" si="37"/>
        <v>0</v>
      </c>
      <c r="M215" s="82">
        <f t="shared" si="37"/>
        <v>0</v>
      </c>
      <c r="N215" s="82">
        <f t="shared" si="38"/>
        <v>6.0000000000000001E-3</v>
      </c>
      <c r="O215" s="27"/>
      <c r="P215" s="82">
        <f t="shared" si="39"/>
        <v>0</v>
      </c>
      <c r="Q215" s="82">
        <f t="shared" si="40"/>
        <v>1E-3</v>
      </c>
      <c r="R215" s="82">
        <f t="shared" si="41"/>
        <v>5.0000000000000001E-3</v>
      </c>
      <c r="S215" s="82">
        <f t="shared" si="42"/>
        <v>0</v>
      </c>
    </row>
    <row r="216" spans="1:19" ht="16.5" hidden="1">
      <c r="A216" s="81" t="s">
        <v>64</v>
      </c>
      <c r="B216" s="82">
        <f t="shared" si="37"/>
        <v>0</v>
      </c>
      <c r="C216" s="82">
        <f t="shared" si="37"/>
        <v>0</v>
      </c>
      <c r="D216" s="82">
        <f t="shared" si="37"/>
        <v>0</v>
      </c>
      <c r="E216" s="82">
        <f t="shared" si="37"/>
        <v>0</v>
      </c>
      <c r="F216" s="82">
        <f t="shared" si="37"/>
        <v>0</v>
      </c>
      <c r="G216" s="82">
        <f t="shared" si="37"/>
        <v>0</v>
      </c>
      <c r="H216" s="82">
        <f t="shared" si="37"/>
        <v>0</v>
      </c>
      <c r="I216" s="82">
        <f t="shared" si="37"/>
        <v>2.1000000000000001E-2</v>
      </c>
      <c r="J216" s="82">
        <f t="shared" si="37"/>
        <v>0</v>
      </c>
      <c r="K216" s="82">
        <f t="shared" si="37"/>
        <v>2E-3</v>
      </c>
      <c r="L216" s="82">
        <f t="shared" si="37"/>
        <v>0</v>
      </c>
      <c r="M216" s="82">
        <f t="shared" si="37"/>
        <v>0</v>
      </c>
      <c r="N216" s="82">
        <f t="shared" si="38"/>
        <v>2.3E-2</v>
      </c>
      <c r="O216" s="27"/>
      <c r="P216" s="82">
        <f t="shared" si="39"/>
        <v>0</v>
      </c>
      <c r="Q216" s="82">
        <f t="shared" si="40"/>
        <v>0</v>
      </c>
      <c r="R216" s="82">
        <f t="shared" si="41"/>
        <v>2.1000000000000001E-2</v>
      </c>
      <c r="S216" s="82">
        <f t="shared" si="42"/>
        <v>2E-3</v>
      </c>
    </row>
    <row r="217" spans="1:19" ht="16.5" hidden="1">
      <c r="A217" s="83" t="s">
        <v>65</v>
      </c>
      <c r="B217" s="82">
        <f t="shared" si="37"/>
        <v>3.0000000000000001E-3</v>
      </c>
      <c r="C217" s="82">
        <f t="shared" si="37"/>
        <v>1E-3</v>
      </c>
      <c r="D217" s="82">
        <f t="shared" si="37"/>
        <v>2E-3</v>
      </c>
      <c r="E217" s="82">
        <f t="shared" si="37"/>
        <v>2E-3</v>
      </c>
      <c r="F217" s="82">
        <f t="shared" si="37"/>
        <v>4.0000000000000001E-3</v>
      </c>
      <c r="G217" s="82">
        <f t="shared" si="37"/>
        <v>3.0000000000000001E-3</v>
      </c>
      <c r="H217" s="82">
        <f t="shared" si="37"/>
        <v>0</v>
      </c>
      <c r="I217" s="82">
        <f t="shared" si="37"/>
        <v>5.0000000000000001E-3</v>
      </c>
      <c r="J217" s="82">
        <f t="shared" si="37"/>
        <v>4.0000000000000001E-3</v>
      </c>
      <c r="K217" s="82">
        <f t="shared" si="37"/>
        <v>0</v>
      </c>
      <c r="L217" s="82">
        <f t="shared" si="37"/>
        <v>3.0000000000000001E-3</v>
      </c>
      <c r="M217" s="82">
        <f t="shared" si="37"/>
        <v>4.0000000000000001E-3</v>
      </c>
      <c r="N217" s="82">
        <f t="shared" si="38"/>
        <v>3.1E-2</v>
      </c>
      <c r="O217" s="27"/>
      <c r="P217" s="82">
        <f t="shared" si="39"/>
        <v>6.0000000000000001E-3</v>
      </c>
      <c r="Q217" s="82">
        <f t="shared" si="40"/>
        <v>9.0000000000000011E-3</v>
      </c>
      <c r="R217" s="82">
        <f t="shared" si="41"/>
        <v>9.0000000000000011E-3</v>
      </c>
      <c r="S217" s="82">
        <f t="shared" si="42"/>
        <v>7.0000000000000001E-3</v>
      </c>
    </row>
    <row r="218" spans="1:19" ht="16.5" hidden="1">
      <c r="A218" s="83" t="s">
        <v>66</v>
      </c>
      <c r="B218" s="82">
        <f t="shared" si="37"/>
        <v>5.0000000000000001E-3</v>
      </c>
      <c r="C218" s="82">
        <f t="shared" si="37"/>
        <v>0</v>
      </c>
      <c r="D218" s="82">
        <f t="shared" si="37"/>
        <v>0</v>
      </c>
      <c r="E218" s="82">
        <f t="shared" si="37"/>
        <v>0</v>
      </c>
      <c r="F218" s="82">
        <f t="shared" si="37"/>
        <v>0</v>
      </c>
      <c r="G218" s="82">
        <f t="shared" si="37"/>
        <v>0</v>
      </c>
      <c r="H218" s="82">
        <f t="shared" si="37"/>
        <v>3.0000000000000001E-3</v>
      </c>
      <c r="I218" s="82">
        <f t="shared" si="37"/>
        <v>0</v>
      </c>
      <c r="J218" s="82">
        <f t="shared" si="37"/>
        <v>3.0000000000000001E-3</v>
      </c>
      <c r="K218" s="82">
        <f t="shared" si="37"/>
        <v>3.0000000000000001E-3</v>
      </c>
      <c r="L218" s="82">
        <f t="shared" si="37"/>
        <v>6.0000000000000001E-3</v>
      </c>
      <c r="M218" s="82">
        <f t="shared" si="37"/>
        <v>4.0000000000000001E-3</v>
      </c>
      <c r="N218" s="82">
        <f t="shared" si="38"/>
        <v>2.3999999999999997E-2</v>
      </c>
      <c r="O218" s="27"/>
      <c r="P218" s="82">
        <f t="shared" si="39"/>
        <v>5.0000000000000001E-3</v>
      </c>
      <c r="Q218" s="82">
        <f t="shared" si="40"/>
        <v>0</v>
      </c>
      <c r="R218" s="82">
        <f t="shared" si="41"/>
        <v>6.0000000000000001E-3</v>
      </c>
      <c r="S218" s="82">
        <f t="shared" si="42"/>
        <v>1.3000000000000001E-2</v>
      </c>
    </row>
    <row r="219" spans="1:19" ht="16.5" hidden="1">
      <c r="A219" s="84" t="s">
        <v>67</v>
      </c>
      <c r="B219" s="82">
        <f t="shared" si="37"/>
        <v>0</v>
      </c>
      <c r="C219" s="82">
        <f t="shared" si="37"/>
        <v>0</v>
      </c>
      <c r="D219" s="82">
        <f t="shared" si="37"/>
        <v>4.0000000000000001E-3</v>
      </c>
      <c r="E219" s="82">
        <f t="shared" si="37"/>
        <v>2E-3</v>
      </c>
      <c r="F219" s="82">
        <f t="shared" si="37"/>
        <v>5.0000000000000001E-3</v>
      </c>
      <c r="G219" s="82">
        <f t="shared" si="37"/>
        <v>6.0000000000000001E-3</v>
      </c>
      <c r="H219" s="82">
        <f t="shared" si="37"/>
        <v>0</v>
      </c>
      <c r="I219" s="82">
        <f t="shared" si="37"/>
        <v>1.0999999999999999E-2</v>
      </c>
      <c r="J219" s="82">
        <f t="shared" si="37"/>
        <v>0</v>
      </c>
      <c r="K219" s="82">
        <f t="shared" si="37"/>
        <v>3.0000000000000001E-3</v>
      </c>
      <c r="L219" s="82">
        <f t="shared" si="37"/>
        <v>5.0000000000000001E-3</v>
      </c>
      <c r="M219" s="82">
        <f t="shared" si="37"/>
        <v>0</v>
      </c>
      <c r="N219" s="82">
        <f t="shared" si="38"/>
        <v>3.5999999999999997E-2</v>
      </c>
      <c r="O219" s="27"/>
      <c r="P219" s="82">
        <f t="shared" si="39"/>
        <v>4.0000000000000001E-3</v>
      </c>
      <c r="Q219" s="82">
        <f t="shared" si="40"/>
        <v>1.3000000000000001E-2</v>
      </c>
      <c r="R219" s="82">
        <f t="shared" si="41"/>
        <v>1.0999999999999999E-2</v>
      </c>
      <c r="S219" s="82">
        <f t="shared" si="42"/>
        <v>8.0000000000000002E-3</v>
      </c>
    </row>
    <row r="220" spans="1:19" ht="16.5" hidden="1">
      <c r="A220" s="83" t="s">
        <v>68</v>
      </c>
      <c r="B220" s="82">
        <f t="shared" si="37"/>
        <v>4.0000000000000001E-3</v>
      </c>
      <c r="C220" s="82">
        <f t="shared" si="37"/>
        <v>0</v>
      </c>
      <c r="D220" s="82">
        <f t="shared" si="37"/>
        <v>37.195999999999998</v>
      </c>
      <c r="E220" s="82">
        <f t="shared" si="37"/>
        <v>17.007000000000001</v>
      </c>
      <c r="F220" s="82">
        <f t="shared" si="37"/>
        <v>3.0369999999999999</v>
      </c>
      <c r="G220" s="82">
        <f t="shared" si="37"/>
        <v>12.141</v>
      </c>
      <c r="H220" s="82">
        <f t="shared" si="37"/>
        <v>3.5110000000000001</v>
      </c>
      <c r="I220" s="82">
        <f t="shared" si="37"/>
        <v>12.077</v>
      </c>
      <c r="J220" s="82">
        <f t="shared" si="37"/>
        <v>5.8279999999999994</v>
      </c>
      <c r="K220" s="82">
        <f t="shared" si="37"/>
        <v>3.0000000000000001E-3</v>
      </c>
      <c r="L220" s="82">
        <f t="shared" si="37"/>
        <v>2.1999999999999999E-2</v>
      </c>
      <c r="M220" s="82">
        <f t="shared" si="37"/>
        <v>2.1000000000000001E-2</v>
      </c>
      <c r="N220" s="82">
        <f t="shared" si="38"/>
        <v>90.846999999999994</v>
      </c>
      <c r="O220" s="27"/>
      <c r="P220" s="82">
        <f t="shared" si="39"/>
        <v>37.199999999999996</v>
      </c>
      <c r="Q220" s="82">
        <f t="shared" si="40"/>
        <v>32.185000000000002</v>
      </c>
      <c r="R220" s="82">
        <f t="shared" si="41"/>
        <v>21.416</v>
      </c>
      <c r="S220" s="82">
        <f t="shared" si="42"/>
        <v>4.5999999999999999E-2</v>
      </c>
    </row>
    <row r="221" spans="1:19" ht="16.5" hidden="1">
      <c r="A221" s="84" t="s">
        <v>69</v>
      </c>
      <c r="B221" s="82">
        <f t="shared" si="37"/>
        <v>2E-3</v>
      </c>
      <c r="C221" s="82">
        <f t="shared" si="37"/>
        <v>3.0000000000000001E-3</v>
      </c>
      <c r="D221" s="82">
        <f t="shared" si="37"/>
        <v>7.0000000000000001E-3</v>
      </c>
      <c r="E221" s="82">
        <f t="shared" si="37"/>
        <v>4.0000000000000001E-3</v>
      </c>
      <c r="F221" s="82">
        <f t="shared" si="37"/>
        <v>3.3000000000000002E-2</v>
      </c>
      <c r="G221" s="82">
        <f t="shared" si="37"/>
        <v>1.7999999999999999E-2</v>
      </c>
      <c r="H221" s="82">
        <f t="shared" si="37"/>
        <v>7.0000000000000001E-3</v>
      </c>
      <c r="I221" s="82">
        <f t="shared" si="37"/>
        <v>0</v>
      </c>
      <c r="J221" s="82">
        <f t="shared" si="37"/>
        <v>4.1000000000000002E-2</v>
      </c>
      <c r="K221" s="82">
        <f t="shared" si="37"/>
        <v>0</v>
      </c>
      <c r="L221" s="82">
        <f t="shared" si="37"/>
        <v>8.0000000000000002E-3</v>
      </c>
      <c r="M221" s="82">
        <f t="shared" si="37"/>
        <v>1.7999999999999999E-2</v>
      </c>
      <c r="N221" s="82">
        <f t="shared" si="38"/>
        <v>0.14100000000000001</v>
      </c>
      <c r="O221" s="27"/>
      <c r="P221" s="82">
        <f t="shared" si="39"/>
        <v>1.2E-2</v>
      </c>
      <c r="Q221" s="82">
        <f t="shared" si="40"/>
        <v>5.5000000000000007E-2</v>
      </c>
      <c r="R221" s="82">
        <f t="shared" si="41"/>
        <v>4.8000000000000001E-2</v>
      </c>
      <c r="S221" s="82">
        <f t="shared" si="42"/>
        <v>2.5999999999999999E-2</v>
      </c>
    </row>
    <row r="222" spans="1:19" ht="16.5" hidden="1">
      <c r="A222" s="84" t="s">
        <v>70</v>
      </c>
      <c r="B222" s="82">
        <f t="shared" si="37"/>
        <v>0</v>
      </c>
      <c r="C222" s="82">
        <f t="shared" si="37"/>
        <v>15.221</v>
      </c>
      <c r="D222" s="82">
        <f t="shared" si="37"/>
        <v>66.441999999999993</v>
      </c>
      <c r="E222" s="82">
        <f t="shared" si="37"/>
        <v>93.891999999999996</v>
      </c>
      <c r="F222" s="82">
        <f t="shared" si="37"/>
        <v>24.774999999999999</v>
      </c>
      <c r="G222" s="82">
        <f t="shared" si="37"/>
        <v>54.095999999999997</v>
      </c>
      <c r="H222" s="82">
        <f t="shared" si="37"/>
        <v>53.216999999999999</v>
      </c>
      <c r="I222" s="82">
        <f t="shared" si="37"/>
        <v>88.25800000000001</v>
      </c>
      <c r="J222" s="82">
        <f t="shared" si="37"/>
        <v>29.922000000000001</v>
      </c>
      <c r="K222" s="82">
        <f t="shared" si="37"/>
        <v>36.021000000000001</v>
      </c>
      <c r="L222" s="82">
        <f t="shared" si="37"/>
        <v>26.814999999999998</v>
      </c>
      <c r="M222" s="82">
        <f t="shared" si="37"/>
        <v>44.073999999999998</v>
      </c>
      <c r="N222" s="82">
        <f t="shared" si="38"/>
        <v>532.73300000000006</v>
      </c>
      <c r="O222" s="27"/>
      <c r="P222" s="82">
        <f t="shared" si="39"/>
        <v>81.662999999999997</v>
      </c>
      <c r="Q222" s="82">
        <f t="shared" si="40"/>
        <v>172.76300000000001</v>
      </c>
      <c r="R222" s="82">
        <f t="shared" si="41"/>
        <v>171.39700000000002</v>
      </c>
      <c r="S222" s="82">
        <f t="shared" si="42"/>
        <v>106.91</v>
      </c>
    </row>
    <row r="223" spans="1:19" ht="16.5" hidden="1">
      <c r="A223" s="83" t="s">
        <v>71</v>
      </c>
      <c r="B223" s="82">
        <f t="shared" si="37"/>
        <v>37.32</v>
      </c>
      <c r="C223" s="82">
        <f t="shared" si="37"/>
        <v>19.465</v>
      </c>
      <c r="D223" s="82">
        <f t="shared" si="37"/>
        <v>55.488</v>
      </c>
      <c r="E223" s="82">
        <f t="shared" si="37"/>
        <v>53.884999999999998</v>
      </c>
      <c r="F223" s="82">
        <f t="shared" si="37"/>
        <v>74.442000000000007</v>
      </c>
      <c r="G223" s="82">
        <f t="shared" si="37"/>
        <v>52.658000000000001</v>
      </c>
      <c r="H223" s="82">
        <f t="shared" si="37"/>
        <v>38.778000000000006</v>
      </c>
      <c r="I223" s="82">
        <f t="shared" si="37"/>
        <v>31.723000000000003</v>
      </c>
      <c r="J223" s="82">
        <f t="shared" si="37"/>
        <v>58.131999999999998</v>
      </c>
      <c r="K223" s="82">
        <f t="shared" si="37"/>
        <v>86.382999999999996</v>
      </c>
      <c r="L223" s="82">
        <f t="shared" si="37"/>
        <v>69.242999999999995</v>
      </c>
      <c r="M223" s="82">
        <f t="shared" si="37"/>
        <v>14.946999999999999</v>
      </c>
      <c r="N223" s="82">
        <f t="shared" si="38"/>
        <v>592.46400000000006</v>
      </c>
      <c r="O223" s="27"/>
      <c r="P223" s="82">
        <f t="shared" si="39"/>
        <v>112.273</v>
      </c>
      <c r="Q223" s="82">
        <f t="shared" si="40"/>
        <v>180.98500000000001</v>
      </c>
      <c r="R223" s="82">
        <f t="shared" si="41"/>
        <v>128.63300000000001</v>
      </c>
      <c r="S223" s="82">
        <f t="shared" si="42"/>
        <v>170.57299999999998</v>
      </c>
    </row>
    <row r="224" spans="1:19" ht="16.5" hidden="1">
      <c r="A224" s="84" t="s">
        <v>72</v>
      </c>
      <c r="B224" s="82">
        <f t="shared" ref="B224:M234" si="43">B137+B166+B195</f>
        <v>54.787999999999997</v>
      </c>
      <c r="C224" s="82">
        <f t="shared" si="43"/>
        <v>63.054000000000002</v>
      </c>
      <c r="D224" s="82">
        <f t="shared" si="43"/>
        <v>93.066000000000003</v>
      </c>
      <c r="E224" s="82">
        <f t="shared" si="43"/>
        <v>55.643000000000001</v>
      </c>
      <c r="F224" s="82">
        <f t="shared" si="43"/>
        <v>54.957000000000001</v>
      </c>
      <c r="G224" s="82">
        <f t="shared" si="43"/>
        <v>97.88</v>
      </c>
      <c r="H224" s="82">
        <f t="shared" si="43"/>
        <v>51.74</v>
      </c>
      <c r="I224" s="82">
        <f t="shared" si="43"/>
        <v>50.5</v>
      </c>
      <c r="J224" s="82">
        <f t="shared" si="43"/>
        <v>69.231000000000009</v>
      </c>
      <c r="K224" s="82">
        <f t="shared" si="43"/>
        <v>42.165999999999997</v>
      </c>
      <c r="L224" s="82">
        <f t="shared" si="43"/>
        <v>72.438999999999993</v>
      </c>
      <c r="M224" s="82">
        <f t="shared" si="43"/>
        <v>39.161000000000001</v>
      </c>
      <c r="N224" s="82">
        <f t="shared" si="38"/>
        <v>744.625</v>
      </c>
      <c r="O224" s="27"/>
      <c r="P224" s="82">
        <f t="shared" si="39"/>
        <v>210.90799999999999</v>
      </c>
      <c r="Q224" s="82">
        <f t="shared" si="40"/>
        <v>208.48</v>
      </c>
      <c r="R224" s="82">
        <f t="shared" si="41"/>
        <v>171.471</v>
      </c>
      <c r="S224" s="82">
        <f t="shared" si="42"/>
        <v>153.76599999999999</v>
      </c>
    </row>
    <row r="225" spans="1:19" ht="16.5" hidden="1">
      <c r="A225" s="83" t="s">
        <v>73</v>
      </c>
      <c r="B225" s="82">
        <f t="shared" si="43"/>
        <v>82.781000000000006</v>
      </c>
      <c r="C225" s="82">
        <f t="shared" si="43"/>
        <v>87.885000000000005</v>
      </c>
      <c r="D225" s="82">
        <f t="shared" si="43"/>
        <v>114.574</v>
      </c>
      <c r="E225" s="82">
        <f t="shared" si="43"/>
        <v>104.599</v>
      </c>
      <c r="F225" s="82">
        <f t="shared" si="43"/>
        <v>83.725999999999999</v>
      </c>
      <c r="G225" s="82">
        <f t="shared" si="43"/>
        <v>154.88999999999999</v>
      </c>
      <c r="H225" s="82">
        <f t="shared" si="43"/>
        <v>138.53399999999999</v>
      </c>
      <c r="I225" s="82">
        <f t="shared" si="43"/>
        <v>135.24600000000001</v>
      </c>
      <c r="J225" s="82">
        <f t="shared" si="43"/>
        <v>64.168999999999997</v>
      </c>
      <c r="K225" s="82">
        <f t="shared" si="43"/>
        <v>36.774000000000001</v>
      </c>
      <c r="L225" s="82">
        <f t="shared" si="43"/>
        <v>97.896000000000001</v>
      </c>
      <c r="M225" s="82">
        <f t="shared" si="43"/>
        <v>89.922000000000011</v>
      </c>
      <c r="N225" s="82">
        <f t="shared" si="38"/>
        <v>1190.9959999999999</v>
      </c>
      <c r="O225" s="27"/>
      <c r="P225" s="82">
        <f t="shared" si="39"/>
        <v>285.24</v>
      </c>
      <c r="Q225" s="82">
        <f t="shared" si="40"/>
        <v>343.21499999999997</v>
      </c>
      <c r="R225" s="82">
        <f t="shared" si="41"/>
        <v>337.94899999999996</v>
      </c>
      <c r="S225" s="82">
        <f t="shared" si="42"/>
        <v>224.59200000000004</v>
      </c>
    </row>
    <row r="226" spans="1:19" ht="16.5" hidden="1">
      <c r="A226" s="83" t="s">
        <v>74</v>
      </c>
      <c r="B226" s="82">
        <f t="shared" si="43"/>
        <v>42</v>
      </c>
      <c r="C226" s="82">
        <f t="shared" si="43"/>
        <v>68.006</v>
      </c>
      <c r="D226" s="82">
        <f t="shared" si="43"/>
        <v>133.345</v>
      </c>
      <c r="E226" s="82">
        <f t="shared" si="43"/>
        <v>94.205999999999989</v>
      </c>
      <c r="F226" s="82">
        <f t="shared" si="43"/>
        <v>121.00699999999999</v>
      </c>
      <c r="G226" s="82">
        <f t="shared" si="43"/>
        <v>43.874000000000002</v>
      </c>
      <c r="H226" s="82">
        <f t="shared" si="43"/>
        <v>57.002000000000002</v>
      </c>
      <c r="I226" s="82">
        <f t="shared" si="43"/>
        <v>137.53700000000001</v>
      </c>
      <c r="J226" s="82">
        <f t="shared" si="43"/>
        <v>60.111000000000004</v>
      </c>
      <c r="K226" s="82">
        <f t="shared" si="43"/>
        <v>44.969000000000001</v>
      </c>
      <c r="L226" s="82">
        <f t="shared" si="43"/>
        <v>37.650999999999996</v>
      </c>
      <c r="M226" s="82">
        <f t="shared" si="43"/>
        <v>86.337000000000003</v>
      </c>
      <c r="N226" s="82">
        <f t="shared" si="38"/>
        <v>926.04500000000007</v>
      </c>
      <c r="O226" s="27"/>
      <c r="P226" s="82">
        <f t="shared" si="39"/>
        <v>243.351</v>
      </c>
      <c r="Q226" s="82">
        <f t="shared" si="40"/>
        <v>259.08699999999999</v>
      </c>
      <c r="R226" s="82">
        <f t="shared" si="41"/>
        <v>254.65000000000003</v>
      </c>
      <c r="S226" s="82">
        <f t="shared" si="42"/>
        <v>168.95699999999999</v>
      </c>
    </row>
    <row r="227" spans="1:19" ht="16.5" hidden="1">
      <c r="A227" s="83" t="s">
        <v>75</v>
      </c>
      <c r="B227" s="82">
        <f t="shared" si="43"/>
        <v>130.02700000000002</v>
      </c>
      <c r="C227" s="82">
        <f t="shared" si="43"/>
        <v>135.53700000000001</v>
      </c>
      <c r="D227" s="82">
        <f t="shared" si="43"/>
        <v>127.916</v>
      </c>
      <c r="E227" s="82">
        <f t="shared" si="43"/>
        <v>86.549000000000007</v>
      </c>
      <c r="F227" s="82">
        <f t="shared" si="43"/>
        <v>93.89</v>
      </c>
      <c r="G227" s="82">
        <f t="shared" si="43"/>
        <v>129.13</v>
      </c>
      <c r="H227" s="82">
        <f t="shared" si="43"/>
        <v>231.77</v>
      </c>
      <c r="I227" s="82">
        <f t="shared" si="43"/>
        <v>146</v>
      </c>
      <c r="J227" s="82">
        <f t="shared" si="43"/>
        <v>163.84699999999998</v>
      </c>
      <c r="K227" s="82">
        <f t="shared" si="43"/>
        <v>99.996000000000009</v>
      </c>
      <c r="L227" s="82">
        <f t="shared" si="43"/>
        <v>144.22800000000001</v>
      </c>
      <c r="M227" s="82">
        <f t="shared" si="43"/>
        <v>105.663</v>
      </c>
      <c r="N227" s="82">
        <f t="shared" si="38"/>
        <v>1594.5530000000001</v>
      </c>
      <c r="O227" s="27"/>
      <c r="P227" s="82">
        <f t="shared" si="39"/>
        <v>393.48</v>
      </c>
      <c r="Q227" s="82">
        <f t="shared" si="40"/>
        <v>309.56900000000002</v>
      </c>
      <c r="R227" s="82">
        <f t="shared" si="41"/>
        <v>541.61699999999996</v>
      </c>
      <c r="S227" s="82">
        <f t="shared" si="42"/>
        <v>349.887</v>
      </c>
    </row>
    <row r="228" spans="1:19" ht="16.5" hidden="1">
      <c r="A228" s="83" t="s">
        <v>76</v>
      </c>
      <c r="B228" s="82">
        <f t="shared" si="43"/>
        <v>192.23400000000001</v>
      </c>
      <c r="C228" s="82">
        <f t="shared" si="43"/>
        <v>203.012</v>
      </c>
      <c r="D228" s="82">
        <f t="shared" si="43"/>
        <v>109.777</v>
      </c>
      <c r="E228" s="82">
        <f t="shared" si="43"/>
        <v>95.188000000000002</v>
      </c>
      <c r="F228" s="82">
        <f t="shared" si="43"/>
        <v>134.559</v>
      </c>
      <c r="G228" s="82">
        <f t="shared" si="43"/>
        <v>134.41299999999998</v>
      </c>
      <c r="H228" s="82">
        <f t="shared" si="43"/>
        <v>150.49299999999999</v>
      </c>
      <c r="I228" s="82">
        <f t="shared" si="43"/>
        <v>126.325</v>
      </c>
      <c r="J228" s="82">
        <f t="shared" si="43"/>
        <v>103.95699999999999</v>
      </c>
      <c r="K228" s="82">
        <f t="shared" si="43"/>
        <v>112.28</v>
      </c>
      <c r="L228" s="82">
        <f t="shared" si="43"/>
        <v>56.643999999999998</v>
      </c>
      <c r="M228" s="82">
        <f t="shared" si="43"/>
        <v>66.408000000000001</v>
      </c>
      <c r="N228" s="82">
        <f t="shared" si="38"/>
        <v>1485.29</v>
      </c>
      <c r="O228" s="27"/>
      <c r="P228" s="82">
        <f t="shared" si="39"/>
        <v>505.02300000000002</v>
      </c>
      <c r="Q228" s="82">
        <f t="shared" si="40"/>
        <v>364.15999999999997</v>
      </c>
      <c r="R228" s="82">
        <f t="shared" si="41"/>
        <v>380.77499999999998</v>
      </c>
      <c r="S228" s="82">
        <f t="shared" si="42"/>
        <v>235.33199999999999</v>
      </c>
    </row>
    <row r="229" spans="1:19" ht="16.5" hidden="1">
      <c r="A229" s="83" t="s">
        <v>77</v>
      </c>
      <c r="B229" s="82">
        <f t="shared" si="43"/>
        <v>193.523</v>
      </c>
      <c r="C229" s="82">
        <f t="shared" si="43"/>
        <v>55.692999999999998</v>
      </c>
      <c r="D229" s="82">
        <f t="shared" si="43"/>
        <v>163.01</v>
      </c>
      <c r="E229" s="82">
        <f t="shared" si="43"/>
        <v>88.912000000000006</v>
      </c>
      <c r="F229" s="82">
        <f t="shared" si="43"/>
        <v>114.96899999999999</v>
      </c>
      <c r="G229" s="82">
        <f t="shared" si="43"/>
        <v>158.142</v>
      </c>
      <c r="H229" s="82">
        <f t="shared" si="43"/>
        <v>111.199</v>
      </c>
      <c r="I229" s="82">
        <f t="shared" si="43"/>
        <v>113.146</v>
      </c>
      <c r="J229" s="82">
        <f t="shared" si="43"/>
        <v>126.453</v>
      </c>
      <c r="K229" s="82">
        <f t="shared" si="43"/>
        <v>97.492000000000004</v>
      </c>
      <c r="L229" s="82">
        <f t="shared" si="43"/>
        <v>126.76899999999999</v>
      </c>
      <c r="M229" s="82">
        <f t="shared" si="43"/>
        <v>83.007000000000005</v>
      </c>
      <c r="N229" s="82">
        <f t="shared" si="38"/>
        <v>1432.3150000000001</v>
      </c>
      <c r="O229" s="27"/>
      <c r="P229" s="82">
        <f t="shared" si="39"/>
        <v>412.226</v>
      </c>
      <c r="Q229" s="82">
        <f t="shared" si="40"/>
        <v>362.02300000000002</v>
      </c>
      <c r="R229" s="82">
        <f t="shared" si="41"/>
        <v>350.798</v>
      </c>
      <c r="S229" s="82">
        <f t="shared" si="42"/>
        <v>307.26800000000003</v>
      </c>
    </row>
    <row r="230" spans="1:19" ht="16.5" hidden="1">
      <c r="A230" s="83" t="s">
        <v>78</v>
      </c>
      <c r="B230" s="82">
        <f t="shared" si="43"/>
        <v>123.533</v>
      </c>
      <c r="C230" s="82">
        <f t="shared" si="43"/>
        <v>175.358</v>
      </c>
      <c r="D230" s="82">
        <f t="shared" si="43"/>
        <v>216.126</v>
      </c>
      <c r="E230" s="82">
        <f t="shared" si="43"/>
        <v>189.315</v>
      </c>
      <c r="F230" s="82">
        <f t="shared" si="43"/>
        <v>200.77100000000002</v>
      </c>
      <c r="G230" s="82">
        <f t="shared" si="43"/>
        <v>268.64599999999996</v>
      </c>
      <c r="H230" s="82">
        <f t="shared" si="43"/>
        <v>181.56699999999998</v>
      </c>
      <c r="I230" s="82">
        <f t="shared" si="43"/>
        <v>122.38200000000001</v>
      </c>
      <c r="J230" s="82">
        <f t="shared" si="43"/>
        <v>154.730954</v>
      </c>
      <c r="K230" s="82">
        <f t="shared" si="43"/>
        <v>188.94992300000001</v>
      </c>
      <c r="L230" s="82">
        <f t="shared" si="43"/>
        <v>159.301411</v>
      </c>
      <c r="M230" s="82">
        <f t="shared" si="43"/>
        <v>95.07035900000001</v>
      </c>
      <c r="N230" s="82">
        <f t="shared" si="38"/>
        <v>2075.7506469999998</v>
      </c>
      <c r="O230" s="27"/>
      <c r="P230" s="82">
        <f t="shared" si="39"/>
        <v>515.01700000000005</v>
      </c>
      <c r="Q230" s="82">
        <f t="shared" si="40"/>
        <v>658.73199999999997</v>
      </c>
      <c r="R230" s="82">
        <f t="shared" si="41"/>
        <v>458.67995399999995</v>
      </c>
      <c r="S230" s="82">
        <f t="shared" si="42"/>
        <v>443.32169300000004</v>
      </c>
    </row>
    <row r="231" spans="1:19" ht="16.5" hidden="1">
      <c r="A231" s="83" t="s">
        <v>79</v>
      </c>
      <c r="B231" s="82">
        <f t="shared" si="43"/>
        <v>238.76087000000001</v>
      </c>
      <c r="C231" s="82">
        <f t="shared" si="43"/>
        <v>209.996622</v>
      </c>
      <c r="D231" s="82">
        <f t="shared" si="43"/>
        <v>183.744945</v>
      </c>
      <c r="E231" s="82">
        <f t="shared" si="43"/>
        <v>211.430316</v>
      </c>
      <c r="F231" s="82">
        <f t="shared" si="43"/>
        <v>233.260245</v>
      </c>
      <c r="G231" s="82">
        <f t="shared" si="43"/>
        <v>252.38370899999998</v>
      </c>
      <c r="H231" s="82">
        <f t="shared" si="43"/>
        <v>320.23988000000003</v>
      </c>
      <c r="I231" s="82">
        <f t="shared" si="43"/>
        <v>219.01987400000002</v>
      </c>
      <c r="J231" s="82">
        <f t="shared" si="43"/>
        <v>161.822957</v>
      </c>
      <c r="K231" s="82">
        <f t="shared" si="43"/>
        <v>172.40218999999999</v>
      </c>
      <c r="L231" s="82">
        <f t="shared" si="43"/>
        <v>172.33275800000001</v>
      </c>
      <c r="M231" s="82">
        <f t="shared" si="43"/>
        <v>95.105134000000007</v>
      </c>
      <c r="N231" s="82">
        <f t="shared" si="38"/>
        <v>2470.4994999999999</v>
      </c>
      <c r="O231" s="27"/>
      <c r="P231" s="82">
        <f t="shared" si="39"/>
        <v>632.50243699999999</v>
      </c>
      <c r="Q231" s="82">
        <f t="shared" si="40"/>
        <v>697.07426999999996</v>
      </c>
      <c r="R231" s="82">
        <f t="shared" si="41"/>
        <v>701.08271100000002</v>
      </c>
      <c r="S231" s="82">
        <f t="shared" si="42"/>
        <v>439.84008200000005</v>
      </c>
    </row>
    <row r="232" spans="1:19" ht="16.5">
      <c r="A232" s="103" t="s">
        <v>80</v>
      </c>
      <c r="B232" s="82">
        <f t="shared" si="43"/>
        <v>161.27305699999999</v>
      </c>
      <c r="C232" s="82">
        <f t="shared" si="43"/>
        <v>199.05332200000001</v>
      </c>
      <c r="D232" s="82">
        <f t="shared" si="43"/>
        <v>277.76799800000003</v>
      </c>
      <c r="E232" s="82">
        <f t="shared" si="43"/>
        <v>197.93218999999999</v>
      </c>
      <c r="F232" s="82">
        <f t="shared" si="43"/>
        <v>288.78279699999996</v>
      </c>
      <c r="G232" s="82">
        <f t="shared" si="43"/>
        <v>302.11226199999999</v>
      </c>
      <c r="H232" s="82">
        <f t="shared" si="43"/>
        <v>124.79325799999999</v>
      </c>
      <c r="I232" s="82">
        <f t="shared" si="43"/>
        <v>149.18912</v>
      </c>
      <c r="J232" s="82">
        <f t="shared" si="43"/>
        <v>124.059033</v>
      </c>
      <c r="K232" s="82">
        <f t="shared" si="43"/>
        <v>214.291979</v>
      </c>
      <c r="L232" s="82">
        <f t="shared" si="43"/>
        <v>111.823734</v>
      </c>
      <c r="M232" s="82">
        <f t="shared" si="43"/>
        <v>178.75311400000001</v>
      </c>
      <c r="N232" s="82">
        <f t="shared" si="38"/>
        <v>2329.8318639999998</v>
      </c>
      <c r="O232" s="27"/>
      <c r="P232" s="82">
        <f t="shared" si="39"/>
        <v>638.09437700000001</v>
      </c>
      <c r="Q232" s="82">
        <f t="shared" si="40"/>
        <v>788.82724899999994</v>
      </c>
      <c r="R232" s="82">
        <f t="shared" si="41"/>
        <v>398.04141099999998</v>
      </c>
      <c r="S232" s="82">
        <f t="shared" si="42"/>
        <v>504.86882700000001</v>
      </c>
    </row>
    <row r="233" spans="1:19" ht="16.5">
      <c r="A233" s="103" t="s">
        <v>81</v>
      </c>
      <c r="B233" s="82">
        <f t="shared" si="43"/>
        <v>173.804293</v>
      </c>
      <c r="C233" s="82">
        <f t="shared" si="43"/>
        <v>262.06376899999998</v>
      </c>
      <c r="D233" s="82">
        <f t="shared" si="43"/>
        <v>251.05898300000001</v>
      </c>
      <c r="E233" s="82">
        <f>E146+E175+E204</f>
        <v>232.431577</v>
      </c>
      <c r="F233" s="82">
        <f t="shared" si="43"/>
        <v>285.50953600000003</v>
      </c>
      <c r="G233" s="82">
        <f t="shared" si="43"/>
        <v>220.098206</v>
      </c>
      <c r="H233" s="82">
        <f t="shared" si="43"/>
        <v>129.50429099999999</v>
      </c>
      <c r="I233" s="82">
        <f t="shared" si="43"/>
        <v>187.75985700000001</v>
      </c>
      <c r="J233" s="82">
        <f t="shared" si="43"/>
        <v>238.38679300000001</v>
      </c>
      <c r="K233" s="82">
        <f t="shared" si="43"/>
        <v>178.153086</v>
      </c>
      <c r="L233" s="82">
        <f t="shared" si="43"/>
        <v>123.399095</v>
      </c>
      <c r="M233" s="82">
        <f t="shared" si="43"/>
        <v>114.377815</v>
      </c>
      <c r="N233" s="82">
        <f t="shared" si="38"/>
        <v>2396.5473009999996</v>
      </c>
      <c r="O233" s="27"/>
      <c r="P233" s="82">
        <f t="shared" si="39"/>
        <v>686.92704500000002</v>
      </c>
      <c r="Q233" s="82">
        <f t="shared" si="40"/>
        <v>738.03931900000009</v>
      </c>
      <c r="R233" s="82">
        <f t="shared" si="41"/>
        <v>555.65094099999999</v>
      </c>
      <c r="S233" s="82">
        <f t="shared" si="42"/>
        <v>415.92999600000002</v>
      </c>
    </row>
    <row r="234" spans="1:19" ht="17.25" thickBot="1">
      <c r="A234" s="103" t="s">
        <v>82</v>
      </c>
      <c r="B234" s="82">
        <f t="shared" si="43"/>
        <v>230.774946</v>
      </c>
      <c r="C234" s="82">
        <f t="shared" si="43"/>
        <v>182.83477300000001</v>
      </c>
      <c r="D234" s="82">
        <f t="shared" si="43"/>
        <v>291.41735399999999</v>
      </c>
      <c r="E234" s="82">
        <f t="shared" si="43"/>
        <v>113.343</v>
      </c>
      <c r="F234" s="82">
        <f t="shared" si="43"/>
        <v>159.33199999999999</v>
      </c>
      <c r="G234" s="82">
        <f t="shared" si="43"/>
        <v>146.23400000000001</v>
      </c>
      <c r="H234" s="82">
        <f t="shared" si="43"/>
        <v>162.005</v>
      </c>
      <c r="I234" s="82">
        <f t="shared" si="43"/>
        <v>193.99599999999998</v>
      </c>
      <c r="J234" s="82">
        <f t="shared" si="43"/>
        <v>64.507000000000005</v>
      </c>
      <c r="K234" s="82">
        <f t="shared" si="43"/>
        <v>58.789000000000001</v>
      </c>
      <c r="L234" s="82">
        <f t="shared" si="43"/>
        <v>146.233</v>
      </c>
      <c r="M234" s="82">
        <f t="shared" si="43"/>
        <v>100.53400000000001</v>
      </c>
      <c r="N234" s="111">
        <f>SUM(B234:M234)</f>
        <v>1850.0000730000002</v>
      </c>
      <c r="O234" s="27"/>
      <c r="P234" s="82">
        <f t="shared" si="39"/>
        <v>705.02707299999997</v>
      </c>
      <c r="Q234" s="82">
        <f t="shared" si="40"/>
        <v>418.90899999999999</v>
      </c>
      <c r="R234" s="82">
        <f t="shared" si="41"/>
        <v>420.50799999999998</v>
      </c>
      <c r="S234" s="82">
        <f t="shared" si="42"/>
        <v>305.55599999999998</v>
      </c>
    </row>
    <row r="235" spans="1:19" ht="16.5">
      <c r="A235" s="104" t="s">
        <v>115</v>
      </c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6"/>
      <c r="Q235" s="106"/>
      <c r="R235" s="106"/>
      <c r="S235" s="106"/>
    </row>
    <row r="236" spans="1:19" ht="16.5" hidden="1">
      <c r="A236" s="81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27"/>
      <c r="P236" s="82"/>
      <c r="Q236" s="82"/>
      <c r="R236" s="82"/>
      <c r="S236" s="82"/>
    </row>
    <row r="237" spans="1:19" ht="16.5" hidden="1">
      <c r="A237" s="81" t="s">
        <v>56</v>
      </c>
      <c r="B237" s="82">
        <f>B353-B121-B5</f>
        <v>0</v>
      </c>
      <c r="C237" s="82">
        <f t="shared" ref="C237:M237" si="44">C353-C121-C5</f>
        <v>0</v>
      </c>
      <c r="D237" s="82">
        <f t="shared" si="44"/>
        <v>0</v>
      </c>
      <c r="E237" s="82">
        <f t="shared" si="44"/>
        <v>0</v>
      </c>
      <c r="F237" s="82">
        <f t="shared" si="44"/>
        <v>0</v>
      </c>
      <c r="G237" s="82">
        <f t="shared" si="44"/>
        <v>0</v>
      </c>
      <c r="H237" s="82">
        <f t="shared" si="44"/>
        <v>0</v>
      </c>
      <c r="I237" s="82">
        <f t="shared" si="44"/>
        <v>0</v>
      </c>
      <c r="J237" s="82">
        <f t="shared" si="44"/>
        <v>0</v>
      </c>
      <c r="K237" s="82">
        <f t="shared" si="44"/>
        <v>0</v>
      </c>
      <c r="L237" s="82">
        <f t="shared" si="44"/>
        <v>0</v>
      </c>
      <c r="M237" s="82">
        <f t="shared" si="44"/>
        <v>0</v>
      </c>
      <c r="N237" s="82">
        <f>SUM(B237:M237)</f>
        <v>0</v>
      </c>
      <c r="O237" s="27"/>
      <c r="P237" s="82">
        <f>D237+B237+C237</f>
        <v>0</v>
      </c>
      <c r="Q237" s="82">
        <f>SUM(E237:G237)</f>
        <v>0</v>
      </c>
      <c r="R237" s="82">
        <f>SUM(H237:J237)</f>
        <v>0</v>
      </c>
      <c r="S237" s="82">
        <f>SUM(K237:M237)</f>
        <v>0</v>
      </c>
    </row>
    <row r="238" spans="1:19" ht="16.5" hidden="1">
      <c r="A238" s="81" t="s">
        <v>57</v>
      </c>
      <c r="B238" s="82">
        <f t="shared" ref="B238:M253" si="45">B354-B122-B6</f>
        <v>0</v>
      </c>
      <c r="C238" s="82">
        <f t="shared" si="45"/>
        <v>0</v>
      </c>
      <c r="D238" s="82">
        <f t="shared" si="45"/>
        <v>0</v>
      </c>
      <c r="E238" s="82">
        <f t="shared" si="45"/>
        <v>0</v>
      </c>
      <c r="F238" s="82">
        <f t="shared" si="45"/>
        <v>0</v>
      </c>
      <c r="G238" s="82">
        <f t="shared" si="45"/>
        <v>0</v>
      </c>
      <c r="H238" s="82">
        <f t="shared" si="45"/>
        <v>0</v>
      </c>
      <c r="I238" s="82">
        <f t="shared" si="45"/>
        <v>0</v>
      </c>
      <c r="J238" s="82">
        <f t="shared" si="45"/>
        <v>0</v>
      </c>
      <c r="K238" s="82">
        <f t="shared" si="45"/>
        <v>0</v>
      </c>
      <c r="L238" s="82">
        <f t="shared" si="45"/>
        <v>0</v>
      </c>
      <c r="M238" s="82">
        <f t="shared" si="45"/>
        <v>0</v>
      </c>
      <c r="N238" s="82">
        <f t="shared" ref="N238:N262" si="46">SUM(B238:M238)</f>
        <v>0</v>
      </c>
      <c r="O238" s="27"/>
      <c r="P238" s="82">
        <f t="shared" ref="P238:P263" si="47">D238+B238+C238</f>
        <v>0</v>
      </c>
      <c r="Q238" s="82">
        <f t="shared" ref="Q238:Q263" si="48">SUM(E238:G238)</f>
        <v>0</v>
      </c>
      <c r="R238" s="82">
        <f t="shared" ref="R238:R263" si="49">SUM(H238:J238)</f>
        <v>0</v>
      </c>
      <c r="S238" s="82">
        <f t="shared" ref="S238:S263" si="50">SUM(K238:M238)</f>
        <v>0</v>
      </c>
    </row>
    <row r="239" spans="1:19" ht="16.5" hidden="1">
      <c r="A239" s="81" t="s">
        <v>58</v>
      </c>
      <c r="B239" s="82">
        <f t="shared" si="45"/>
        <v>0</v>
      </c>
      <c r="C239" s="82">
        <f t="shared" si="45"/>
        <v>0</v>
      </c>
      <c r="D239" s="82">
        <f t="shared" si="45"/>
        <v>0</v>
      </c>
      <c r="E239" s="82">
        <f t="shared" si="45"/>
        <v>40.197000000000003</v>
      </c>
      <c r="F239" s="82">
        <f t="shared" si="45"/>
        <v>39.793999999999997</v>
      </c>
      <c r="G239" s="82">
        <f t="shared" si="45"/>
        <v>58.904000000000011</v>
      </c>
      <c r="H239" s="82">
        <f t="shared" si="45"/>
        <v>39.405000000000001</v>
      </c>
      <c r="I239" s="82">
        <f t="shared" si="45"/>
        <v>18.687000000000001</v>
      </c>
      <c r="J239" s="82">
        <f t="shared" si="45"/>
        <v>14.518999999999998</v>
      </c>
      <c r="K239" s="82">
        <f t="shared" si="45"/>
        <v>20.745000000000001</v>
      </c>
      <c r="L239" s="82">
        <f t="shared" si="45"/>
        <v>16.856999999999999</v>
      </c>
      <c r="M239" s="82">
        <f t="shared" si="45"/>
        <v>37.288999999999994</v>
      </c>
      <c r="N239" s="82">
        <f t="shared" si="46"/>
        <v>286.39700000000005</v>
      </c>
      <c r="O239" s="27"/>
      <c r="P239" s="82">
        <f t="shared" si="47"/>
        <v>0</v>
      </c>
      <c r="Q239" s="82">
        <f t="shared" si="48"/>
        <v>138.89500000000001</v>
      </c>
      <c r="R239" s="82">
        <f t="shared" si="49"/>
        <v>72.61099999999999</v>
      </c>
      <c r="S239" s="82">
        <f t="shared" si="50"/>
        <v>74.890999999999991</v>
      </c>
    </row>
    <row r="240" spans="1:19" ht="16.5" hidden="1">
      <c r="A240" s="81" t="s">
        <v>59</v>
      </c>
      <c r="B240" s="82">
        <f t="shared" si="45"/>
        <v>46.970999999999997</v>
      </c>
      <c r="C240" s="82">
        <f t="shared" si="45"/>
        <v>23.474999999999994</v>
      </c>
      <c r="D240" s="82">
        <f t="shared" si="45"/>
        <v>26.263000000000002</v>
      </c>
      <c r="E240" s="82">
        <f t="shared" si="45"/>
        <v>42.505999999999993</v>
      </c>
      <c r="F240" s="82">
        <f t="shared" si="45"/>
        <v>19.212</v>
      </c>
      <c r="G240" s="82">
        <f t="shared" si="45"/>
        <v>13.084999999999999</v>
      </c>
      <c r="H240" s="82">
        <f t="shared" si="45"/>
        <v>11.851999999999999</v>
      </c>
      <c r="I240" s="82">
        <f t="shared" si="45"/>
        <v>10.503</v>
      </c>
      <c r="J240" s="82">
        <f t="shared" si="45"/>
        <v>7.4449999999999994</v>
      </c>
      <c r="K240" s="82">
        <f t="shared" si="45"/>
        <v>11.656000000000001</v>
      </c>
      <c r="L240" s="82">
        <f t="shared" si="45"/>
        <v>14.628</v>
      </c>
      <c r="M240" s="82">
        <f t="shared" si="45"/>
        <v>13.436999999999998</v>
      </c>
      <c r="N240" s="82">
        <f t="shared" si="46"/>
        <v>241.03300000000002</v>
      </c>
      <c r="O240" s="27"/>
      <c r="P240" s="82">
        <f t="shared" si="47"/>
        <v>96.708999999999989</v>
      </c>
      <c r="Q240" s="82">
        <f t="shared" si="48"/>
        <v>74.802999999999983</v>
      </c>
      <c r="R240" s="82">
        <f t="shared" si="49"/>
        <v>29.799999999999997</v>
      </c>
      <c r="S240" s="82">
        <f t="shared" si="50"/>
        <v>39.720999999999997</v>
      </c>
    </row>
    <row r="241" spans="1:19" ht="16.5" hidden="1">
      <c r="A241" s="81" t="s">
        <v>60</v>
      </c>
      <c r="B241" s="82">
        <f t="shared" si="45"/>
        <v>20.262999999999998</v>
      </c>
      <c r="C241" s="82">
        <f t="shared" si="45"/>
        <v>28.924000000000003</v>
      </c>
      <c r="D241" s="82">
        <f t="shared" si="45"/>
        <v>23.337000000000003</v>
      </c>
      <c r="E241" s="82">
        <f t="shared" si="45"/>
        <v>27.952999999999999</v>
      </c>
      <c r="F241" s="82">
        <f t="shared" si="45"/>
        <v>25.196999999999999</v>
      </c>
      <c r="G241" s="82">
        <f t="shared" si="45"/>
        <v>26.117999999999999</v>
      </c>
      <c r="H241" s="82">
        <f t="shared" si="45"/>
        <v>21.1</v>
      </c>
      <c r="I241" s="82">
        <f t="shared" si="45"/>
        <v>15.923</v>
      </c>
      <c r="J241" s="82">
        <f t="shared" si="45"/>
        <v>29.010999999999999</v>
      </c>
      <c r="K241" s="82">
        <f t="shared" si="45"/>
        <v>21.135999999999999</v>
      </c>
      <c r="L241" s="82">
        <f t="shared" si="45"/>
        <v>21.152999999999999</v>
      </c>
      <c r="M241" s="82">
        <f t="shared" si="45"/>
        <v>18.884</v>
      </c>
      <c r="N241" s="82">
        <f t="shared" si="46"/>
        <v>278.99900000000002</v>
      </c>
      <c r="O241" s="27"/>
      <c r="P241" s="82">
        <f t="shared" si="47"/>
        <v>72.524000000000001</v>
      </c>
      <c r="Q241" s="82">
        <f t="shared" si="48"/>
        <v>79.268000000000001</v>
      </c>
      <c r="R241" s="82">
        <f t="shared" si="49"/>
        <v>66.034000000000006</v>
      </c>
      <c r="S241" s="82">
        <f t="shared" si="50"/>
        <v>61.173000000000002</v>
      </c>
    </row>
    <row r="242" spans="1:19" ht="16.5" hidden="1">
      <c r="A242" s="81" t="s">
        <v>61</v>
      </c>
      <c r="B242" s="82">
        <f t="shared" si="45"/>
        <v>28.177</v>
      </c>
      <c r="C242" s="82">
        <f t="shared" si="45"/>
        <v>31.222999999999999</v>
      </c>
      <c r="D242" s="82">
        <f t="shared" si="45"/>
        <v>14.225</v>
      </c>
      <c r="E242" s="82">
        <f t="shared" si="45"/>
        <v>23.321999999999999</v>
      </c>
      <c r="F242" s="82">
        <f t="shared" si="45"/>
        <v>19.867999999999999</v>
      </c>
      <c r="G242" s="82">
        <f t="shared" si="45"/>
        <v>12.619</v>
      </c>
      <c r="H242" s="82">
        <f t="shared" si="45"/>
        <v>13.776999999999999</v>
      </c>
      <c r="I242" s="82">
        <f t="shared" si="45"/>
        <v>18.367000000000001</v>
      </c>
      <c r="J242" s="82">
        <f t="shared" si="45"/>
        <v>18.385999999999999</v>
      </c>
      <c r="K242" s="82">
        <f t="shared" si="45"/>
        <v>16.085000000000001</v>
      </c>
      <c r="L242" s="82">
        <f t="shared" si="45"/>
        <v>17.766999999999999</v>
      </c>
      <c r="M242" s="82">
        <f t="shared" si="45"/>
        <v>27.093</v>
      </c>
      <c r="N242" s="82">
        <f t="shared" si="46"/>
        <v>240.90899999999996</v>
      </c>
      <c r="O242" s="27"/>
      <c r="P242" s="82">
        <f t="shared" si="47"/>
        <v>73.625</v>
      </c>
      <c r="Q242" s="82">
        <f t="shared" si="48"/>
        <v>55.808999999999997</v>
      </c>
      <c r="R242" s="82">
        <f t="shared" si="49"/>
        <v>50.53</v>
      </c>
      <c r="S242" s="82">
        <f t="shared" si="50"/>
        <v>60.945000000000007</v>
      </c>
    </row>
    <row r="243" spans="1:19" ht="16.5" hidden="1">
      <c r="A243" s="81" t="s">
        <v>62</v>
      </c>
      <c r="B243" s="82">
        <f t="shared" si="45"/>
        <v>24.143000000000001</v>
      </c>
      <c r="C243" s="82">
        <f t="shared" si="45"/>
        <v>22.537000000000003</v>
      </c>
      <c r="D243" s="82">
        <f t="shared" si="45"/>
        <v>20.820999999999998</v>
      </c>
      <c r="E243" s="82">
        <f t="shared" si="45"/>
        <v>17.274000000000001</v>
      </c>
      <c r="F243" s="82">
        <f t="shared" si="45"/>
        <v>10.512</v>
      </c>
      <c r="G243" s="82">
        <f t="shared" si="45"/>
        <v>10.672000000000001</v>
      </c>
      <c r="H243" s="82">
        <f t="shared" si="45"/>
        <v>16.343</v>
      </c>
      <c r="I243" s="82">
        <f t="shared" si="45"/>
        <v>10.667999999999999</v>
      </c>
      <c r="J243" s="82">
        <f t="shared" si="45"/>
        <v>18.931999999999999</v>
      </c>
      <c r="K243" s="82">
        <f t="shared" si="45"/>
        <v>12.862</v>
      </c>
      <c r="L243" s="82">
        <f t="shared" si="45"/>
        <v>10.755000000000001</v>
      </c>
      <c r="M243" s="82">
        <f t="shared" si="45"/>
        <v>8.82</v>
      </c>
      <c r="N243" s="82">
        <f t="shared" si="46"/>
        <v>184.33899999999997</v>
      </c>
      <c r="O243" s="27"/>
      <c r="P243" s="82">
        <f t="shared" si="47"/>
        <v>67.501000000000005</v>
      </c>
      <c r="Q243" s="82">
        <f t="shared" si="48"/>
        <v>38.457999999999998</v>
      </c>
      <c r="R243" s="82">
        <f t="shared" si="49"/>
        <v>45.942999999999998</v>
      </c>
      <c r="S243" s="82">
        <f t="shared" si="50"/>
        <v>32.436999999999998</v>
      </c>
    </row>
    <row r="244" spans="1:19" ht="16.5" hidden="1">
      <c r="A244" s="81" t="s">
        <v>63</v>
      </c>
      <c r="B244" s="82">
        <f t="shared" si="45"/>
        <v>11.433</v>
      </c>
      <c r="C244" s="82">
        <f t="shared" si="45"/>
        <v>9.0549999999999997</v>
      </c>
      <c r="D244" s="82">
        <f t="shared" si="45"/>
        <v>9.9719999999999995</v>
      </c>
      <c r="E244" s="82">
        <f t="shared" si="45"/>
        <v>7.4930000000000003</v>
      </c>
      <c r="F244" s="82">
        <f t="shared" si="45"/>
        <v>6.6689999999999996</v>
      </c>
      <c r="G244" s="82">
        <f t="shared" si="45"/>
        <v>5.0490000000000004</v>
      </c>
      <c r="H244" s="82">
        <f t="shared" si="45"/>
        <v>6.2679999999999998</v>
      </c>
      <c r="I244" s="82">
        <f t="shared" si="45"/>
        <v>7.74</v>
      </c>
      <c r="J244" s="82">
        <f t="shared" si="45"/>
        <v>11.151</v>
      </c>
      <c r="K244" s="82">
        <f t="shared" si="45"/>
        <v>7.726</v>
      </c>
      <c r="L244" s="82">
        <f t="shared" si="45"/>
        <v>8.9480000000000004</v>
      </c>
      <c r="M244" s="82">
        <f t="shared" si="45"/>
        <v>11.41</v>
      </c>
      <c r="N244" s="82">
        <f t="shared" si="46"/>
        <v>102.91399999999999</v>
      </c>
      <c r="O244" s="27"/>
      <c r="P244" s="82">
        <f t="shared" si="47"/>
        <v>30.46</v>
      </c>
      <c r="Q244" s="82">
        <f t="shared" si="48"/>
        <v>19.210999999999999</v>
      </c>
      <c r="R244" s="82">
        <f t="shared" si="49"/>
        <v>25.158999999999999</v>
      </c>
      <c r="S244" s="82">
        <f t="shared" si="50"/>
        <v>28.084</v>
      </c>
    </row>
    <row r="245" spans="1:19" ht="16.5" hidden="1">
      <c r="A245" s="81" t="s">
        <v>64</v>
      </c>
      <c r="B245" s="82">
        <f t="shared" si="45"/>
        <v>13.148999999999999</v>
      </c>
      <c r="C245" s="82">
        <f t="shared" si="45"/>
        <v>11.946</v>
      </c>
      <c r="D245" s="82">
        <f t="shared" si="45"/>
        <v>13.558</v>
      </c>
      <c r="E245" s="82">
        <f t="shared" si="45"/>
        <v>10.228</v>
      </c>
      <c r="F245" s="82">
        <f t="shared" si="45"/>
        <v>10.629000000000001</v>
      </c>
      <c r="G245" s="82">
        <f t="shared" si="45"/>
        <v>8.9909999999999997</v>
      </c>
      <c r="H245" s="82">
        <f t="shared" si="45"/>
        <v>9.9760000000000009</v>
      </c>
      <c r="I245" s="82">
        <f t="shared" si="45"/>
        <v>15.026999999999999</v>
      </c>
      <c r="J245" s="82">
        <f t="shared" si="45"/>
        <v>12.291</v>
      </c>
      <c r="K245" s="82">
        <f t="shared" si="45"/>
        <v>15.303999999999998</v>
      </c>
      <c r="L245" s="82">
        <f t="shared" si="45"/>
        <v>18.283999999999999</v>
      </c>
      <c r="M245" s="82">
        <f t="shared" si="45"/>
        <v>16.84</v>
      </c>
      <c r="N245" s="82">
        <f t="shared" si="46"/>
        <v>156.22300000000001</v>
      </c>
      <c r="O245" s="27"/>
      <c r="P245" s="82">
        <f t="shared" si="47"/>
        <v>38.652999999999999</v>
      </c>
      <c r="Q245" s="82">
        <f t="shared" si="48"/>
        <v>29.847999999999999</v>
      </c>
      <c r="R245" s="82">
        <f t="shared" si="49"/>
        <v>37.293999999999997</v>
      </c>
      <c r="S245" s="82">
        <f t="shared" si="50"/>
        <v>50.427999999999997</v>
      </c>
    </row>
    <row r="246" spans="1:19" ht="16.5" hidden="1">
      <c r="A246" s="83" t="s">
        <v>65</v>
      </c>
      <c r="B246" s="82">
        <f t="shared" si="45"/>
        <v>25.048000000000002</v>
      </c>
      <c r="C246" s="82">
        <f t="shared" si="45"/>
        <v>29.603999999999999</v>
      </c>
      <c r="D246" s="82">
        <f t="shared" si="45"/>
        <v>26.644000000000002</v>
      </c>
      <c r="E246" s="82">
        <f t="shared" si="45"/>
        <v>12.942</v>
      </c>
      <c r="F246" s="82">
        <f t="shared" si="45"/>
        <v>13.408000000000001</v>
      </c>
      <c r="G246" s="82">
        <f t="shared" si="45"/>
        <v>16.116</v>
      </c>
      <c r="H246" s="82">
        <f t="shared" si="45"/>
        <v>18.558</v>
      </c>
      <c r="I246" s="82">
        <f t="shared" si="45"/>
        <v>20.074999999999999</v>
      </c>
      <c r="J246" s="82">
        <f t="shared" si="45"/>
        <v>13.574999999999999</v>
      </c>
      <c r="K246" s="82">
        <f t="shared" si="45"/>
        <v>16.198</v>
      </c>
      <c r="L246" s="82">
        <f t="shared" si="45"/>
        <v>8.532</v>
      </c>
      <c r="M246" s="82">
        <f t="shared" si="45"/>
        <v>16.931999999999999</v>
      </c>
      <c r="N246" s="82">
        <f t="shared" si="46"/>
        <v>217.63199999999998</v>
      </c>
      <c r="O246" s="27"/>
      <c r="P246" s="82">
        <f t="shared" si="47"/>
        <v>81.296000000000006</v>
      </c>
      <c r="Q246" s="82">
        <f t="shared" si="48"/>
        <v>42.466000000000001</v>
      </c>
      <c r="R246" s="82">
        <f t="shared" si="49"/>
        <v>52.207999999999998</v>
      </c>
      <c r="S246" s="82">
        <f t="shared" si="50"/>
        <v>41.661999999999999</v>
      </c>
    </row>
    <row r="247" spans="1:19" ht="16.5" hidden="1">
      <c r="A247" s="83" t="s">
        <v>66</v>
      </c>
      <c r="B247" s="82">
        <f t="shared" si="45"/>
        <v>20.98</v>
      </c>
      <c r="C247" s="82">
        <f t="shared" si="45"/>
        <v>11.734</v>
      </c>
      <c r="D247" s="82">
        <f t="shared" si="45"/>
        <v>13.727</v>
      </c>
      <c r="E247" s="82">
        <f t="shared" si="45"/>
        <v>15.206</v>
      </c>
      <c r="F247" s="82">
        <f t="shared" si="45"/>
        <v>11.89</v>
      </c>
      <c r="G247" s="82">
        <f t="shared" si="45"/>
        <v>18.744</v>
      </c>
      <c r="H247" s="82">
        <f t="shared" si="45"/>
        <v>9.5549999999999997</v>
      </c>
      <c r="I247" s="82">
        <f t="shared" si="45"/>
        <v>19.539000000000001</v>
      </c>
      <c r="J247" s="82">
        <f t="shared" si="45"/>
        <v>21.163</v>
      </c>
      <c r="K247" s="82">
        <f t="shared" si="45"/>
        <v>22.641999999999999</v>
      </c>
      <c r="L247" s="82">
        <f t="shared" si="45"/>
        <v>10.956</v>
      </c>
      <c r="M247" s="82">
        <f t="shared" si="45"/>
        <v>10.795</v>
      </c>
      <c r="N247" s="82">
        <f t="shared" si="46"/>
        <v>186.93099999999998</v>
      </c>
      <c r="O247" s="27"/>
      <c r="P247" s="82">
        <f t="shared" si="47"/>
        <v>46.441000000000003</v>
      </c>
      <c r="Q247" s="82">
        <f t="shared" si="48"/>
        <v>45.84</v>
      </c>
      <c r="R247" s="82">
        <f t="shared" si="49"/>
        <v>50.257000000000005</v>
      </c>
      <c r="S247" s="82">
        <f t="shared" si="50"/>
        <v>44.393000000000001</v>
      </c>
    </row>
    <row r="248" spans="1:19" ht="16.5" hidden="1">
      <c r="A248" s="84" t="s">
        <v>67</v>
      </c>
      <c r="B248" s="82">
        <f t="shared" si="45"/>
        <v>11.956000000000001</v>
      </c>
      <c r="C248" s="82">
        <f t="shared" si="45"/>
        <v>10.814</v>
      </c>
      <c r="D248" s="82">
        <f t="shared" si="45"/>
        <v>12.415000000000001</v>
      </c>
      <c r="E248" s="82">
        <f t="shared" si="45"/>
        <v>7.1130000000000004</v>
      </c>
      <c r="F248" s="82">
        <f t="shared" si="45"/>
        <v>8.7799999999999994</v>
      </c>
      <c r="G248" s="82">
        <f t="shared" si="45"/>
        <v>12.933</v>
      </c>
      <c r="H248" s="82">
        <f t="shared" si="45"/>
        <v>9.1109999999999989</v>
      </c>
      <c r="I248" s="82">
        <f t="shared" si="45"/>
        <v>15.944000000000001</v>
      </c>
      <c r="J248" s="82">
        <f t="shared" si="45"/>
        <v>14.936</v>
      </c>
      <c r="K248" s="82">
        <f t="shared" si="45"/>
        <v>14.363</v>
      </c>
      <c r="L248" s="82">
        <f t="shared" si="45"/>
        <v>5.7650000000000006</v>
      </c>
      <c r="M248" s="82">
        <f t="shared" si="45"/>
        <v>8.7050000000000001</v>
      </c>
      <c r="N248" s="82">
        <f t="shared" si="46"/>
        <v>132.83500000000001</v>
      </c>
      <c r="O248" s="27"/>
      <c r="P248" s="82">
        <f t="shared" si="47"/>
        <v>35.185000000000002</v>
      </c>
      <c r="Q248" s="82">
        <f t="shared" si="48"/>
        <v>28.826000000000001</v>
      </c>
      <c r="R248" s="82">
        <f t="shared" si="49"/>
        <v>39.991</v>
      </c>
      <c r="S248" s="82">
        <f t="shared" si="50"/>
        <v>28.832999999999998</v>
      </c>
    </row>
    <row r="249" spans="1:19" ht="16.5" hidden="1">
      <c r="A249" s="83" t="s">
        <v>68</v>
      </c>
      <c r="B249" s="82">
        <f t="shared" si="45"/>
        <v>11.216000000000001</v>
      </c>
      <c r="C249" s="82">
        <f t="shared" si="45"/>
        <v>11.176</v>
      </c>
      <c r="D249" s="82">
        <f t="shared" si="45"/>
        <v>10.118</v>
      </c>
      <c r="E249" s="82">
        <f t="shared" si="45"/>
        <v>11.004000000000001</v>
      </c>
      <c r="F249" s="82">
        <f t="shared" si="45"/>
        <v>9.0959999999999983</v>
      </c>
      <c r="G249" s="82">
        <f t="shared" si="45"/>
        <v>10.494999999999999</v>
      </c>
      <c r="H249" s="82">
        <f t="shared" si="45"/>
        <v>10.229000000000001</v>
      </c>
      <c r="I249" s="82">
        <f t="shared" si="45"/>
        <v>18.486999999999998</v>
      </c>
      <c r="J249" s="82">
        <f t="shared" si="45"/>
        <v>17.303000000000001</v>
      </c>
      <c r="K249" s="82">
        <f t="shared" si="45"/>
        <v>16.224</v>
      </c>
      <c r="L249" s="82">
        <f t="shared" si="45"/>
        <v>12.255999999999998</v>
      </c>
      <c r="M249" s="82">
        <f t="shared" si="45"/>
        <v>9.2719999999999985</v>
      </c>
      <c r="N249" s="82">
        <f t="shared" si="46"/>
        <v>146.87599999999998</v>
      </c>
      <c r="O249" s="27"/>
      <c r="P249" s="82">
        <f t="shared" si="47"/>
        <v>32.510000000000005</v>
      </c>
      <c r="Q249" s="82">
        <f t="shared" si="48"/>
        <v>30.594999999999999</v>
      </c>
      <c r="R249" s="82">
        <f t="shared" si="49"/>
        <v>46.019000000000005</v>
      </c>
      <c r="S249" s="82">
        <f t="shared" si="50"/>
        <v>37.751999999999995</v>
      </c>
    </row>
    <row r="250" spans="1:19" ht="16.5" hidden="1">
      <c r="A250" s="84" t="s">
        <v>69</v>
      </c>
      <c r="B250" s="82">
        <f t="shared" si="45"/>
        <v>9.2009999999999987</v>
      </c>
      <c r="C250" s="82">
        <f t="shared" si="45"/>
        <v>9.331999999999999</v>
      </c>
      <c r="D250" s="82">
        <f t="shared" si="45"/>
        <v>7.984</v>
      </c>
      <c r="E250" s="82">
        <f t="shared" si="45"/>
        <v>9.6530000000000005</v>
      </c>
      <c r="F250" s="82">
        <f t="shared" si="45"/>
        <v>12.312000000000001</v>
      </c>
      <c r="G250" s="82">
        <f t="shared" si="45"/>
        <v>9.4669999999999987</v>
      </c>
      <c r="H250" s="82">
        <f t="shared" si="45"/>
        <v>11.717000000000001</v>
      </c>
      <c r="I250" s="82">
        <f t="shared" si="45"/>
        <v>6.7890000000000006</v>
      </c>
      <c r="J250" s="82">
        <f t="shared" si="45"/>
        <v>8.7200000000000006</v>
      </c>
      <c r="K250" s="82">
        <f t="shared" si="45"/>
        <v>7.6659999999999995</v>
      </c>
      <c r="L250" s="82">
        <f t="shared" si="45"/>
        <v>8.0290000000000017</v>
      </c>
      <c r="M250" s="82">
        <f t="shared" si="45"/>
        <v>11.565999999999999</v>
      </c>
      <c r="N250" s="82">
        <f t="shared" si="46"/>
        <v>112.43599999999999</v>
      </c>
      <c r="O250" s="27"/>
      <c r="P250" s="82">
        <f t="shared" si="47"/>
        <v>26.516999999999996</v>
      </c>
      <c r="Q250" s="82">
        <f t="shared" si="48"/>
        <v>31.432000000000002</v>
      </c>
      <c r="R250" s="82">
        <f t="shared" si="49"/>
        <v>27.225999999999999</v>
      </c>
      <c r="S250" s="82">
        <f t="shared" si="50"/>
        <v>27.260999999999999</v>
      </c>
    </row>
    <row r="251" spans="1:19" ht="16.5" hidden="1">
      <c r="A251" s="84" t="s">
        <v>70</v>
      </c>
      <c r="B251" s="82">
        <f t="shared" si="45"/>
        <v>15.036999999999999</v>
      </c>
      <c r="C251" s="82">
        <f t="shared" si="45"/>
        <v>11.58</v>
      </c>
      <c r="D251" s="82">
        <f t="shared" si="45"/>
        <v>13.629999999999999</v>
      </c>
      <c r="E251" s="82">
        <f t="shared" si="45"/>
        <v>9.2849999999999984</v>
      </c>
      <c r="F251" s="82">
        <f t="shared" si="45"/>
        <v>8.5939999999999994</v>
      </c>
      <c r="G251" s="82">
        <f t="shared" si="45"/>
        <v>7.0580000000000007</v>
      </c>
      <c r="H251" s="82">
        <f t="shared" si="45"/>
        <v>11.972</v>
      </c>
      <c r="I251" s="82">
        <f t="shared" si="45"/>
        <v>8.4629999999999992</v>
      </c>
      <c r="J251" s="82">
        <f t="shared" si="45"/>
        <v>10.99</v>
      </c>
      <c r="K251" s="82">
        <f t="shared" si="45"/>
        <v>8.2210000000000001</v>
      </c>
      <c r="L251" s="82">
        <f t="shared" si="45"/>
        <v>7.9940000000000015</v>
      </c>
      <c r="M251" s="82">
        <f t="shared" si="45"/>
        <v>13.257</v>
      </c>
      <c r="N251" s="82">
        <f t="shared" si="46"/>
        <v>126.08099999999999</v>
      </c>
      <c r="O251" s="27"/>
      <c r="P251" s="82">
        <f t="shared" si="47"/>
        <v>40.247</v>
      </c>
      <c r="Q251" s="82">
        <f t="shared" si="48"/>
        <v>24.936999999999998</v>
      </c>
      <c r="R251" s="82">
        <f t="shared" si="49"/>
        <v>31.424999999999997</v>
      </c>
      <c r="S251" s="82">
        <f t="shared" si="50"/>
        <v>29.472000000000001</v>
      </c>
    </row>
    <row r="252" spans="1:19" ht="16.5" hidden="1">
      <c r="A252" s="83" t="s">
        <v>71</v>
      </c>
      <c r="B252" s="82">
        <f t="shared" si="45"/>
        <v>13.481999999999999</v>
      </c>
      <c r="C252" s="82">
        <f t="shared" si="45"/>
        <v>13.994</v>
      </c>
      <c r="D252" s="82">
        <f t="shared" si="45"/>
        <v>12.845000000000001</v>
      </c>
      <c r="E252" s="82">
        <f t="shared" si="45"/>
        <v>8.1300000000000008</v>
      </c>
      <c r="F252" s="82">
        <f t="shared" si="45"/>
        <v>10.602</v>
      </c>
      <c r="G252" s="82">
        <f t="shared" si="45"/>
        <v>12.693</v>
      </c>
      <c r="H252" s="82">
        <f t="shared" si="45"/>
        <v>11.952999999999999</v>
      </c>
      <c r="I252" s="82">
        <f t="shared" si="45"/>
        <v>16.791999999999998</v>
      </c>
      <c r="J252" s="82">
        <f t="shared" si="45"/>
        <v>11.602</v>
      </c>
      <c r="K252" s="82">
        <f t="shared" si="45"/>
        <v>12.530999999999999</v>
      </c>
      <c r="L252" s="82">
        <f t="shared" si="45"/>
        <v>11.154999999999999</v>
      </c>
      <c r="M252" s="82">
        <f t="shared" si="45"/>
        <v>13.557</v>
      </c>
      <c r="N252" s="82">
        <f t="shared" si="46"/>
        <v>149.33599999999998</v>
      </c>
      <c r="O252" s="27"/>
      <c r="P252" s="82">
        <f t="shared" si="47"/>
        <v>40.320999999999998</v>
      </c>
      <c r="Q252" s="82">
        <f t="shared" si="48"/>
        <v>31.424999999999997</v>
      </c>
      <c r="R252" s="82">
        <f t="shared" si="49"/>
        <v>40.346999999999994</v>
      </c>
      <c r="S252" s="82">
        <f t="shared" si="50"/>
        <v>37.243000000000002</v>
      </c>
    </row>
    <row r="253" spans="1:19" ht="16.5" hidden="1">
      <c r="A253" s="84" t="s">
        <v>72</v>
      </c>
      <c r="B253" s="82">
        <f t="shared" si="45"/>
        <v>14.726000000000001</v>
      </c>
      <c r="C253" s="82">
        <f t="shared" si="45"/>
        <v>13.928999999999998</v>
      </c>
      <c r="D253" s="82">
        <f t="shared" si="45"/>
        <v>13.026999999999999</v>
      </c>
      <c r="E253" s="82">
        <f t="shared" si="45"/>
        <v>12.477</v>
      </c>
      <c r="F253" s="82">
        <f t="shared" si="45"/>
        <v>13.372</v>
      </c>
      <c r="G253" s="82">
        <f t="shared" si="45"/>
        <v>12.76</v>
      </c>
      <c r="H253" s="82">
        <f t="shared" si="45"/>
        <v>13.456999999999999</v>
      </c>
      <c r="I253" s="82">
        <f t="shared" si="45"/>
        <v>13.792</v>
      </c>
      <c r="J253" s="82">
        <f t="shared" si="45"/>
        <v>11.881</v>
      </c>
      <c r="K253" s="82">
        <f t="shared" si="45"/>
        <v>14.518000000000001</v>
      </c>
      <c r="L253" s="82">
        <f t="shared" si="45"/>
        <v>12.073</v>
      </c>
      <c r="M253" s="82">
        <f t="shared" si="45"/>
        <v>14.068</v>
      </c>
      <c r="N253" s="82">
        <f t="shared" si="46"/>
        <v>160.08000000000004</v>
      </c>
      <c r="O253" s="27"/>
      <c r="P253" s="82">
        <f t="shared" si="47"/>
        <v>41.682000000000002</v>
      </c>
      <c r="Q253" s="82">
        <f t="shared" si="48"/>
        <v>38.609000000000002</v>
      </c>
      <c r="R253" s="82">
        <f t="shared" si="49"/>
        <v>39.129999999999995</v>
      </c>
      <c r="S253" s="82">
        <f t="shared" si="50"/>
        <v>40.658999999999999</v>
      </c>
    </row>
    <row r="254" spans="1:19" ht="16.5" hidden="1">
      <c r="A254" s="83" t="s">
        <v>73</v>
      </c>
      <c r="B254" s="82">
        <f t="shared" ref="B254:M263" si="51">B370-B138-B22</f>
        <v>17.652000000000001</v>
      </c>
      <c r="C254" s="82">
        <f t="shared" si="51"/>
        <v>16.703000000000003</v>
      </c>
      <c r="D254" s="82">
        <f t="shared" si="51"/>
        <v>14.356999999999999</v>
      </c>
      <c r="E254" s="82">
        <f t="shared" si="51"/>
        <v>16.542999999999999</v>
      </c>
      <c r="F254" s="82">
        <f t="shared" si="51"/>
        <v>15.528</v>
      </c>
      <c r="G254" s="82">
        <f t="shared" si="51"/>
        <v>21.26</v>
      </c>
      <c r="H254" s="82">
        <f t="shared" si="51"/>
        <v>18.908000000000001</v>
      </c>
      <c r="I254" s="82">
        <f t="shared" si="51"/>
        <v>16.952999999999999</v>
      </c>
      <c r="J254" s="82">
        <f t="shared" si="51"/>
        <v>17.420999999999999</v>
      </c>
      <c r="K254" s="82">
        <f t="shared" si="51"/>
        <v>17.78</v>
      </c>
      <c r="L254" s="82">
        <f t="shared" si="51"/>
        <v>15.499000000000001</v>
      </c>
      <c r="M254" s="82">
        <f t="shared" si="51"/>
        <v>13.552</v>
      </c>
      <c r="N254" s="82">
        <f t="shared" si="46"/>
        <v>202.15599999999998</v>
      </c>
      <c r="O254" s="27"/>
      <c r="P254" s="82">
        <f t="shared" si="47"/>
        <v>48.712000000000003</v>
      </c>
      <c r="Q254" s="82">
        <f t="shared" si="48"/>
        <v>53.331000000000003</v>
      </c>
      <c r="R254" s="82">
        <f t="shared" si="49"/>
        <v>53.282000000000004</v>
      </c>
      <c r="S254" s="82">
        <f t="shared" si="50"/>
        <v>46.831000000000003</v>
      </c>
    </row>
    <row r="255" spans="1:19" ht="16.5" hidden="1">
      <c r="A255" s="83" t="s">
        <v>74</v>
      </c>
      <c r="B255" s="82">
        <f t="shared" si="51"/>
        <v>16.044999999999998</v>
      </c>
      <c r="C255" s="82">
        <f t="shared" si="51"/>
        <v>15.887</v>
      </c>
      <c r="D255" s="82">
        <f t="shared" si="51"/>
        <v>12.906000000000001</v>
      </c>
      <c r="E255" s="82">
        <f t="shared" si="51"/>
        <v>16.510999999999999</v>
      </c>
      <c r="F255" s="82">
        <f t="shared" si="51"/>
        <v>17.976000000000003</v>
      </c>
      <c r="G255" s="82">
        <f t="shared" si="51"/>
        <v>16.331000000000003</v>
      </c>
      <c r="H255" s="82">
        <f t="shared" si="51"/>
        <v>21.032</v>
      </c>
      <c r="I255" s="82">
        <f t="shared" si="51"/>
        <v>31.68</v>
      </c>
      <c r="J255" s="82">
        <f t="shared" si="51"/>
        <v>24.503</v>
      </c>
      <c r="K255" s="82">
        <f t="shared" si="51"/>
        <v>21.492000000000001</v>
      </c>
      <c r="L255" s="82">
        <f t="shared" si="51"/>
        <v>19.685999999999996</v>
      </c>
      <c r="M255" s="82">
        <f t="shared" si="51"/>
        <v>22.277999999999999</v>
      </c>
      <c r="N255" s="82">
        <f t="shared" si="46"/>
        <v>236.32699999999997</v>
      </c>
      <c r="O255" s="27"/>
      <c r="P255" s="82">
        <f t="shared" si="47"/>
        <v>44.838000000000001</v>
      </c>
      <c r="Q255" s="82">
        <f t="shared" si="48"/>
        <v>50.818000000000005</v>
      </c>
      <c r="R255" s="82">
        <f t="shared" si="49"/>
        <v>77.215000000000003</v>
      </c>
      <c r="S255" s="82">
        <f t="shared" si="50"/>
        <v>63.455999999999996</v>
      </c>
    </row>
    <row r="256" spans="1:19" ht="16.5" hidden="1">
      <c r="A256" s="83" t="s">
        <v>75</v>
      </c>
      <c r="B256" s="82">
        <f t="shared" si="51"/>
        <v>50.747</v>
      </c>
      <c r="C256" s="82">
        <f t="shared" si="51"/>
        <v>26.478000000000002</v>
      </c>
      <c r="D256" s="82">
        <f t="shared" si="51"/>
        <v>30.956</v>
      </c>
      <c r="E256" s="82">
        <f t="shared" si="51"/>
        <v>26.335000000000001</v>
      </c>
      <c r="F256" s="82">
        <f t="shared" si="51"/>
        <v>30.783000000000001</v>
      </c>
      <c r="G256" s="82">
        <f t="shared" si="51"/>
        <v>31.939000000000004</v>
      </c>
      <c r="H256" s="82">
        <f t="shared" si="51"/>
        <v>23.546000000000003</v>
      </c>
      <c r="I256" s="82">
        <f t="shared" si="51"/>
        <v>32.19</v>
      </c>
      <c r="J256" s="82">
        <f t="shared" si="51"/>
        <v>15.613</v>
      </c>
      <c r="K256" s="82">
        <f t="shared" si="51"/>
        <v>22.792999999999999</v>
      </c>
      <c r="L256" s="82">
        <f t="shared" si="51"/>
        <v>14.113</v>
      </c>
      <c r="M256" s="82">
        <f t="shared" si="51"/>
        <v>56.741999999999997</v>
      </c>
      <c r="N256" s="82">
        <f t="shared" si="46"/>
        <v>362.23500000000001</v>
      </c>
      <c r="O256" s="27"/>
      <c r="P256" s="82">
        <f t="shared" si="47"/>
        <v>108.18100000000001</v>
      </c>
      <c r="Q256" s="82">
        <f t="shared" si="48"/>
        <v>89.057000000000002</v>
      </c>
      <c r="R256" s="82">
        <f t="shared" si="49"/>
        <v>71.349000000000004</v>
      </c>
      <c r="S256" s="82">
        <f t="shared" si="50"/>
        <v>93.647999999999996</v>
      </c>
    </row>
    <row r="257" spans="1:19" ht="16.5" hidden="1">
      <c r="A257" s="83" t="s">
        <v>76</v>
      </c>
      <c r="B257" s="82">
        <f t="shared" si="51"/>
        <v>73.781000000000006</v>
      </c>
      <c r="C257" s="82">
        <f t="shared" si="51"/>
        <v>31.376999999999999</v>
      </c>
      <c r="D257" s="82">
        <f t="shared" si="51"/>
        <v>23.654000000000003</v>
      </c>
      <c r="E257" s="82">
        <f t="shared" si="51"/>
        <v>27.627999999999997</v>
      </c>
      <c r="F257" s="82">
        <f t="shared" si="51"/>
        <v>40.173000000000002</v>
      </c>
      <c r="G257" s="82">
        <f t="shared" si="51"/>
        <v>32.757999999999996</v>
      </c>
      <c r="H257" s="82">
        <f t="shared" si="51"/>
        <v>27.251000000000001</v>
      </c>
      <c r="I257" s="82">
        <f t="shared" si="51"/>
        <v>28.509</v>
      </c>
      <c r="J257" s="82">
        <f t="shared" si="51"/>
        <v>28.954000000000001</v>
      </c>
      <c r="K257" s="82">
        <f t="shared" si="51"/>
        <v>33.613</v>
      </c>
      <c r="L257" s="82">
        <f t="shared" si="51"/>
        <v>14.879000000000001</v>
      </c>
      <c r="M257" s="82">
        <f t="shared" si="51"/>
        <v>38.370000000000005</v>
      </c>
      <c r="N257" s="82">
        <f t="shared" si="46"/>
        <v>400.947</v>
      </c>
      <c r="O257" s="27"/>
      <c r="P257" s="82">
        <f t="shared" si="47"/>
        <v>128.81200000000001</v>
      </c>
      <c r="Q257" s="82">
        <f t="shared" si="48"/>
        <v>100.559</v>
      </c>
      <c r="R257" s="82">
        <f t="shared" si="49"/>
        <v>84.713999999999999</v>
      </c>
      <c r="S257" s="82">
        <f t="shared" si="50"/>
        <v>86.862000000000009</v>
      </c>
    </row>
    <row r="258" spans="1:19" ht="16.5" hidden="1">
      <c r="A258" s="83" t="s">
        <v>77</v>
      </c>
      <c r="B258" s="82">
        <f t="shared" si="51"/>
        <v>44.793999999999997</v>
      </c>
      <c r="C258" s="82">
        <f t="shared" si="51"/>
        <v>31.628000000000004</v>
      </c>
      <c r="D258" s="82">
        <f t="shared" si="51"/>
        <v>20.763999999999999</v>
      </c>
      <c r="E258" s="82">
        <f t="shared" si="51"/>
        <v>37.726999999999997</v>
      </c>
      <c r="F258" s="82">
        <f t="shared" si="51"/>
        <v>20.747</v>
      </c>
      <c r="G258" s="82">
        <f t="shared" si="51"/>
        <v>37.101999999999997</v>
      </c>
      <c r="H258" s="82">
        <f t="shared" si="51"/>
        <v>30.173999999999999</v>
      </c>
      <c r="I258" s="82">
        <f t="shared" si="51"/>
        <v>27.744</v>
      </c>
      <c r="J258" s="82">
        <f t="shared" si="51"/>
        <v>29.005999999999997</v>
      </c>
      <c r="K258" s="82">
        <f t="shared" si="51"/>
        <v>20.709</v>
      </c>
      <c r="L258" s="82">
        <f t="shared" si="51"/>
        <v>25.551999999999996</v>
      </c>
      <c r="M258" s="82">
        <f t="shared" si="51"/>
        <v>34.578000000000003</v>
      </c>
      <c r="N258" s="82">
        <f t="shared" si="46"/>
        <v>360.52499999999998</v>
      </c>
      <c r="O258" s="27"/>
      <c r="P258" s="82">
        <f t="shared" si="47"/>
        <v>97.185999999999993</v>
      </c>
      <c r="Q258" s="82">
        <f t="shared" si="48"/>
        <v>95.575999999999993</v>
      </c>
      <c r="R258" s="82">
        <f t="shared" si="49"/>
        <v>86.923999999999992</v>
      </c>
      <c r="S258" s="82">
        <f t="shared" si="50"/>
        <v>80.838999999999999</v>
      </c>
    </row>
    <row r="259" spans="1:19" ht="16.5" hidden="1">
      <c r="A259" s="83" t="s">
        <v>78</v>
      </c>
      <c r="B259" s="82">
        <f t="shared" si="51"/>
        <v>50.173999999999992</v>
      </c>
      <c r="C259" s="82">
        <f t="shared" si="51"/>
        <v>48.096999999999994</v>
      </c>
      <c r="D259" s="82">
        <f t="shared" si="51"/>
        <v>46.359999999999992</v>
      </c>
      <c r="E259" s="82">
        <f t="shared" si="51"/>
        <v>43.117000000000004</v>
      </c>
      <c r="F259" s="82">
        <f t="shared" si="51"/>
        <v>43.123999999999995</v>
      </c>
      <c r="G259" s="82">
        <f t="shared" si="51"/>
        <v>39.397999999999996</v>
      </c>
      <c r="H259" s="82">
        <f t="shared" si="51"/>
        <v>26.604999999999997</v>
      </c>
      <c r="I259" s="82">
        <f t="shared" si="51"/>
        <v>25.837</v>
      </c>
      <c r="J259" s="82">
        <f t="shared" si="51"/>
        <v>45.447000000000003</v>
      </c>
      <c r="K259" s="82">
        <f t="shared" si="51"/>
        <v>23.134999999999998</v>
      </c>
      <c r="L259" s="82">
        <f t="shared" si="51"/>
        <v>27.2</v>
      </c>
      <c r="M259" s="82">
        <f t="shared" si="51"/>
        <v>39.370000000000005</v>
      </c>
      <c r="N259" s="82">
        <f t="shared" si="46"/>
        <v>457.86399999999998</v>
      </c>
      <c r="O259" s="27"/>
      <c r="P259" s="82">
        <f t="shared" si="47"/>
        <v>144.63099999999997</v>
      </c>
      <c r="Q259" s="82">
        <f t="shared" si="48"/>
        <v>125.639</v>
      </c>
      <c r="R259" s="82">
        <f t="shared" si="49"/>
        <v>97.888999999999996</v>
      </c>
      <c r="S259" s="82">
        <f t="shared" si="50"/>
        <v>89.704999999999998</v>
      </c>
    </row>
    <row r="260" spans="1:19" ht="16.5" hidden="1">
      <c r="A260" s="83" t="s">
        <v>79</v>
      </c>
      <c r="B260" s="82">
        <f t="shared" si="51"/>
        <v>59.85199999999999</v>
      </c>
      <c r="C260" s="82">
        <f t="shared" si="51"/>
        <v>52.233000000000011</v>
      </c>
      <c r="D260" s="82">
        <f t="shared" si="51"/>
        <v>30.863</v>
      </c>
      <c r="E260" s="82">
        <f t="shared" si="51"/>
        <v>41.179999999999993</v>
      </c>
      <c r="F260" s="82">
        <f t="shared" si="51"/>
        <v>38.656999999999989</v>
      </c>
      <c r="G260" s="82">
        <f t="shared" si="51"/>
        <v>48.933999999999997</v>
      </c>
      <c r="H260" s="82">
        <f t="shared" si="51"/>
        <v>33.224999999999994</v>
      </c>
      <c r="I260" s="82">
        <f t="shared" si="51"/>
        <v>49.467999999999996</v>
      </c>
      <c r="J260" s="82">
        <f t="shared" si="51"/>
        <v>29.664999999999999</v>
      </c>
      <c r="K260" s="82">
        <f t="shared" si="51"/>
        <v>45.96</v>
      </c>
      <c r="L260" s="82">
        <f t="shared" si="51"/>
        <v>52.781000000000006</v>
      </c>
      <c r="M260" s="82">
        <f t="shared" si="51"/>
        <v>46.678000000000004</v>
      </c>
      <c r="N260" s="82">
        <f t="shared" si="46"/>
        <v>529.49599999999998</v>
      </c>
      <c r="O260" s="27"/>
      <c r="P260" s="82">
        <f t="shared" si="47"/>
        <v>142.94800000000001</v>
      </c>
      <c r="Q260" s="82">
        <f t="shared" si="48"/>
        <v>128.77099999999999</v>
      </c>
      <c r="R260" s="82">
        <f t="shared" si="49"/>
        <v>112.35799999999998</v>
      </c>
      <c r="S260" s="82">
        <f t="shared" si="50"/>
        <v>145.41900000000001</v>
      </c>
    </row>
    <row r="261" spans="1:19" ht="16.5">
      <c r="A261" s="103" t="s">
        <v>80</v>
      </c>
      <c r="B261" s="82">
        <f t="shared" si="51"/>
        <v>37.42</v>
      </c>
      <c r="C261" s="82">
        <f t="shared" si="51"/>
        <v>56.125</v>
      </c>
      <c r="D261" s="82">
        <f t="shared" si="51"/>
        <v>28.254999999999999</v>
      </c>
      <c r="E261" s="82">
        <f t="shared" si="51"/>
        <v>59.872999999999998</v>
      </c>
      <c r="F261" s="82">
        <f t="shared" si="51"/>
        <v>31.14</v>
      </c>
      <c r="G261" s="82">
        <f t="shared" si="51"/>
        <v>57.426000000000009</v>
      </c>
      <c r="H261" s="82">
        <f t="shared" si="51"/>
        <v>35.527999999999999</v>
      </c>
      <c r="I261" s="82">
        <f t="shared" si="51"/>
        <v>51.183999999999997</v>
      </c>
      <c r="J261" s="82">
        <f t="shared" si="51"/>
        <v>39.872000000000007</v>
      </c>
      <c r="K261" s="82">
        <f t="shared" si="51"/>
        <v>30340.584999999995</v>
      </c>
      <c r="L261" s="82">
        <f t="shared" si="51"/>
        <v>35618.85</v>
      </c>
      <c r="M261" s="82">
        <f t="shared" si="51"/>
        <v>54575.811999999998</v>
      </c>
      <c r="N261" s="82">
        <f t="shared" si="46"/>
        <v>120932.07</v>
      </c>
      <c r="O261" s="27"/>
      <c r="P261" s="82">
        <f t="shared" si="47"/>
        <v>121.8</v>
      </c>
      <c r="Q261" s="82">
        <f t="shared" si="48"/>
        <v>148.43900000000002</v>
      </c>
      <c r="R261" s="82">
        <f t="shared" si="49"/>
        <v>126.584</v>
      </c>
      <c r="S261" s="82">
        <f t="shared" si="50"/>
        <v>120535.247</v>
      </c>
    </row>
    <row r="262" spans="1:19" ht="16.5">
      <c r="A262" s="103" t="s">
        <v>81</v>
      </c>
      <c r="B262" s="82">
        <f t="shared" si="51"/>
        <v>85765.817999999956</v>
      </c>
      <c r="C262" s="82">
        <f t="shared" si="51"/>
        <v>53524.543000000005</v>
      </c>
      <c r="D262" s="82">
        <f t="shared" si="51"/>
        <v>53203.256999999969</v>
      </c>
      <c r="E262" s="82">
        <f t="shared" si="51"/>
        <v>92620.009000000035</v>
      </c>
      <c r="F262" s="82">
        <f t="shared" si="51"/>
        <v>54953.656999999999</v>
      </c>
      <c r="G262" s="82">
        <f t="shared" si="51"/>
        <v>78554.092999999979</v>
      </c>
      <c r="H262" s="82">
        <f t="shared" si="51"/>
        <v>68954.320999999953</v>
      </c>
      <c r="I262" s="82">
        <f t="shared" si="51"/>
        <v>59306.848999999987</v>
      </c>
      <c r="J262" s="82">
        <f t="shared" si="51"/>
        <v>94728.83899999992</v>
      </c>
      <c r="K262" s="82">
        <f t="shared" si="51"/>
        <v>108707.17199999995</v>
      </c>
      <c r="L262" s="82">
        <f t="shared" si="51"/>
        <v>44271.930000000022</v>
      </c>
      <c r="M262" s="82">
        <f t="shared" si="51"/>
        <v>68209.759999999995</v>
      </c>
      <c r="N262" s="82">
        <f t="shared" si="46"/>
        <v>862800.24799999979</v>
      </c>
      <c r="O262" s="27"/>
      <c r="P262" s="82">
        <f t="shared" si="47"/>
        <v>192493.61799999993</v>
      </c>
      <c r="Q262" s="82">
        <f t="shared" si="48"/>
        <v>226127.75900000002</v>
      </c>
      <c r="R262" s="82">
        <f t="shared" si="49"/>
        <v>222990.00899999985</v>
      </c>
      <c r="S262" s="82">
        <f t="shared" si="50"/>
        <v>221188.86199999996</v>
      </c>
    </row>
    <row r="263" spans="1:19" ht="17.25" thickBot="1">
      <c r="A263" s="103" t="s">
        <v>82</v>
      </c>
      <c r="B263" s="82">
        <f t="shared" si="51"/>
        <v>62340.785000000033</v>
      </c>
      <c r="C263" s="82">
        <f t="shared" si="51"/>
        <v>56909.696999999971</v>
      </c>
      <c r="D263" s="82">
        <f t="shared" si="51"/>
        <v>67162.373999999996</v>
      </c>
      <c r="E263" s="82">
        <f t="shared" si="51"/>
        <v>36269.995999999999</v>
      </c>
      <c r="F263" s="82">
        <f t="shared" si="51"/>
        <v>58634.786999999975</v>
      </c>
      <c r="G263" s="82">
        <f t="shared" si="51"/>
        <v>58379.677999999949</v>
      </c>
      <c r="H263" s="111">
        <f t="shared" si="51"/>
        <v>46.869818999999964</v>
      </c>
      <c r="I263" s="111">
        <f t="shared" si="51"/>
        <v>41.319381</v>
      </c>
      <c r="J263" s="111">
        <f t="shared" si="51"/>
        <v>80.055596999999963</v>
      </c>
      <c r="K263" s="111">
        <f t="shared" si="51"/>
        <v>55.069762999999995</v>
      </c>
      <c r="L263" s="111">
        <f t="shared" si="51"/>
        <v>45.937468999999986</v>
      </c>
      <c r="M263" s="111">
        <f>M379-M147-M31</f>
        <v>61.005968000000017</v>
      </c>
      <c r="N263" s="111">
        <f t="shared" ref="N263" si="52">SUM(B263:L263)</f>
        <v>339966.56902899995</v>
      </c>
      <c r="O263" s="109"/>
      <c r="P263" s="82">
        <f t="shared" si="47"/>
        <v>186412.856</v>
      </c>
      <c r="Q263" s="82">
        <f t="shared" si="48"/>
        <v>153284.46099999992</v>
      </c>
      <c r="R263" s="82">
        <f t="shared" si="49"/>
        <v>168.24479699999995</v>
      </c>
      <c r="S263" s="82">
        <f t="shared" si="50"/>
        <v>162.01320000000001</v>
      </c>
    </row>
    <row r="264" spans="1:19" ht="16.5">
      <c r="A264" s="104" t="s">
        <v>116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6"/>
      <c r="Q264" s="106"/>
      <c r="R264" s="106"/>
      <c r="S264" s="106"/>
    </row>
    <row r="265" spans="1:19" ht="16.5" hidden="1">
      <c r="A265" s="81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27"/>
      <c r="P265" s="82"/>
      <c r="Q265" s="82"/>
      <c r="R265" s="82"/>
      <c r="S265" s="82"/>
    </row>
    <row r="266" spans="1:19" ht="16.5" hidden="1">
      <c r="A266" s="81" t="s">
        <v>56</v>
      </c>
      <c r="B266" s="82">
        <f>B382-B150-B34</f>
        <v>0</v>
      </c>
      <c r="C266" s="82">
        <f t="shared" ref="C266:M266" si="53">C382-C150-C34</f>
        <v>0</v>
      </c>
      <c r="D266" s="82">
        <f t="shared" si="53"/>
        <v>0</v>
      </c>
      <c r="E266" s="82">
        <f t="shared" si="53"/>
        <v>0</v>
      </c>
      <c r="F266" s="82">
        <f t="shared" si="53"/>
        <v>0</v>
      </c>
      <c r="G266" s="82">
        <f t="shared" si="53"/>
        <v>0</v>
      </c>
      <c r="H266" s="82">
        <f t="shared" si="53"/>
        <v>0</v>
      </c>
      <c r="I266" s="82">
        <f t="shared" si="53"/>
        <v>0</v>
      </c>
      <c r="J266" s="82">
        <f t="shared" si="53"/>
        <v>0</v>
      </c>
      <c r="K266" s="82">
        <f t="shared" si="53"/>
        <v>0</v>
      </c>
      <c r="L266" s="82">
        <f t="shared" si="53"/>
        <v>0</v>
      </c>
      <c r="M266" s="82">
        <f t="shared" si="53"/>
        <v>0</v>
      </c>
      <c r="N266" s="82">
        <f>SUM(B266:M266)</f>
        <v>0</v>
      </c>
      <c r="O266" s="27"/>
      <c r="P266" s="82">
        <f>D266+B266+C266</f>
        <v>0</v>
      </c>
      <c r="Q266" s="82">
        <f>SUM(E266:G266)</f>
        <v>0</v>
      </c>
      <c r="R266" s="82">
        <f>SUM(H266:J266)</f>
        <v>0</v>
      </c>
      <c r="S266" s="82">
        <f>SUM(K266:M266)</f>
        <v>0</v>
      </c>
    </row>
    <row r="267" spans="1:19" ht="16.5" hidden="1">
      <c r="A267" s="81" t="s">
        <v>57</v>
      </c>
      <c r="B267" s="82">
        <f t="shared" ref="B267:M282" si="54">B383-B151-B35</f>
        <v>0</v>
      </c>
      <c r="C267" s="82">
        <f t="shared" si="54"/>
        <v>0</v>
      </c>
      <c r="D267" s="82">
        <f t="shared" si="54"/>
        <v>0</v>
      </c>
      <c r="E267" s="82">
        <f t="shared" si="54"/>
        <v>0</v>
      </c>
      <c r="F267" s="82">
        <f t="shared" si="54"/>
        <v>0</v>
      </c>
      <c r="G267" s="82">
        <f t="shared" si="54"/>
        <v>0</v>
      </c>
      <c r="H267" s="82">
        <f t="shared" si="54"/>
        <v>0</v>
      </c>
      <c r="I267" s="82">
        <f t="shared" si="54"/>
        <v>0</v>
      </c>
      <c r="J267" s="82">
        <f t="shared" si="54"/>
        <v>0</v>
      </c>
      <c r="K267" s="82">
        <f t="shared" si="54"/>
        <v>0</v>
      </c>
      <c r="L267" s="82">
        <f t="shared" si="54"/>
        <v>0</v>
      </c>
      <c r="M267" s="82">
        <f t="shared" si="54"/>
        <v>0</v>
      </c>
      <c r="N267" s="82">
        <f t="shared" ref="N267:N291" si="55">SUM(B267:M267)</f>
        <v>0</v>
      </c>
      <c r="O267" s="27"/>
      <c r="P267" s="82">
        <f t="shared" ref="P267:P292" si="56">D267+B267+C267</f>
        <v>0</v>
      </c>
      <c r="Q267" s="82">
        <f t="shared" ref="Q267:Q292" si="57">SUM(E267:G267)</f>
        <v>0</v>
      </c>
      <c r="R267" s="82">
        <f t="shared" ref="R267:R292" si="58">SUM(H267:J267)</f>
        <v>0</v>
      </c>
      <c r="S267" s="82">
        <f t="shared" ref="S267:S292" si="59">SUM(K267:M267)</f>
        <v>0</v>
      </c>
    </row>
    <row r="268" spans="1:19" ht="16.5" hidden="1">
      <c r="A268" s="81" t="s">
        <v>58</v>
      </c>
      <c r="B268" s="82">
        <f t="shared" si="54"/>
        <v>0</v>
      </c>
      <c r="C268" s="82">
        <f t="shared" si="54"/>
        <v>0</v>
      </c>
      <c r="D268" s="82">
        <f t="shared" si="54"/>
        <v>0</v>
      </c>
      <c r="E268" s="82">
        <f t="shared" si="54"/>
        <v>2.9753250000000002</v>
      </c>
      <c r="F268" s="82">
        <f t="shared" si="54"/>
        <v>3.5593319999999999</v>
      </c>
      <c r="G268" s="82">
        <f t="shared" si="54"/>
        <v>2.3844189999999998</v>
      </c>
      <c r="H268" s="82">
        <f t="shared" si="54"/>
        <v>2.7628499999999998</v>
      </c>
      <c r="I268" s="82">
        <f t="shared" si="54"/>
        <v>3.0320520000000002</v>
      </c>
      <c r="J268" s="82">
        <f t="shared" si="54"/>
        <v>1.913751</v>
      </c>
      <c r="K268" s="82">
        <f t="shared" si="54"/>
        <v>0.802651</v>
      </c>
      <c r="L268" s="82">
        <f t="shared" si="54"/>
        <v>0.46494400000000002</v>
      </c>
      <c r="M268" s="82">
        <f t="shared" si="54"/>
        <v>0.536443</v>
      </c>
      <c r="N268" s="82">
        <f t="shared" si="55"/>
        <v>18.431767000000001</v>
      </c>
      <c r="O268" s="27"/>
      <c r="P268" s="82">
        <f t="shared" si="56"/>
        <v>0</v>
      </c>
      <c r="Q268" s="82">
        <f t="shared" si="57"/>
        <v>8.9190760000000004</v>
      </c>
      <c r="R268" s="82">
        <f t="shared" si="58"/>
        <v>7.708653</v>
      </c>
      <c r="S268" s="82">
        <f t="shared" si="59"/>
        <v>1.804038</v>
      </c>
    </row>
    <row r="269" spans="1:19" ht="16.5" hidden="1">
      <c r="A269" s="81" t="s">
        <v>59</v>
      </c>
      <c r="B269" s="82">
        <f t="shared" si="54"/>
        <v>1.907063</v>
      </c>
      <c r="C269" s="82">
        <f t="shared" si="54"/>
        <v>2.1860550000000001</v>
      </c>
      <c r="D269" s="82">
        <f t="shared" si="54"/>
        <v>3.2736010000000002</v>
      </c>
      <c r="E269" s="82">
        <f t="shared" si="54"/>
        <v>3.4355980000000002</v>
      </c>
      <c r="F269" s="82">
        <f t="shared" si="54"/>
        <v>1.74753</v>
      </c>
      <c r="G269" s="82">
        <f t="shared" si="54"/>
        <v>1.891087</v>
      </c>
      <c r="H269" s="82">
        <f t="shared" si="54"/>
        <v>1.6171660000000001</v>
      </c>
      <c r="I269" s="82">
        <f t="shared" si="54"/>
        <v>1.778448</v>
      </c>
      <c r="J269" s="82">
        <f t="shared" si="54"/>
        <v>1.1772910000000001</v>
      </c>
      <c r="K269" s="82">
        <f t="shared" si="54"/>
        <v>1.206251</v>
      </c>
      <c r="L269" s="82">
        <f t="shared" si="54"/>
        <v>1.461454</v>
      </c>
      <c r="M269" s="82">
        <f t="shared" si="54"/>
        <v>1.482588</v>
      </c>
      <c r="N269" s="82">
        <f t="shared" si="55"/>
        <v>23.164131999999999</v>
      </c>
      <c r="O269" s="27"/>
      <c r="P269" s="82">
        <f t="shared" si="56"/>
        <v>7.3667189999999998</v>
      </c>
      <c r="Q269" s="82">
        <f t="shared" si="57"/>
        <v>7.0742149999999997</v>
      </c>
      <c r="R269" s="82">
        <f t="shared" si="58"/>
        <v>4.5729050000000004</v>
      </c>
      <c r="S269" s="82">
        <f t="shared" si="59"/>
        <v>4.1502929999999996</v>
      </c>
    </row>
    <row r="270" spans="1:19" ht="16.5" hidden="1">
      <c r="A270" s="81" t="s">
        <v>60</v>
      </c>
      <c r="B270" s="82">
        <f t="shared" si="54"/>
        <v>6.1691269999999996</v>
      </c>
      <c r="C270" s="82">
        <f t="shared" si="54"/>
        <v>3.1317970000000002</v>
      </c>
      <c r="D270" s="82">
        <f t="shared" si="54"/>
        <v>8.0806629999999995</v>
      </c>
      <c r="E270" s="82">
        <f t="shared" si="54"/>
        <v>1.945114</v>
      </c>
      <c r="F270" s="82">
        <f t="shared" si="54"/>
        <v>0.58941100000000002</v>
      </c>
      <c r="G270" s="82">
        <f t="shared" si="54"/>
        <v>0.57048900000000002</v>
      </c>
      <c r="H270" s="82">
        <f t="shared" si="54"/>
        <v>0.576824</v>
      </c>
      <c r="I270" s="82">
        <f t="shared" si="54"/>
        <v>0.57740499999999995</v>
      </c>
      <c r="J270" s="82">
        <f t="shared" si="54"/>
        <v>0.48706700000000003</v>
      </c>
      <c r="K270" s="82">
        <f t="shared" si="54"/>
        <v>0.75376799999999999</v>
      </c>
      <c r="L270" s="82">
        <f t="shared" si="54"/>
        <v>0.79705899999999996</v>
      </c>
      <c r="M270" s="82">
        <f t="shared" si="54"/>
        <v>0.91144099999999995</v>
      </c>
      <c r="N270" s="82">
        <f t="shared" si="55"/>
        <v>24.590164999999995</v>
      </c>
      <c r="O270" s="27"/>
      <c r="P270" s="82">
        <f t="shared" si="56"/>
        <v>17.381587</v>
      </c>
      <c r="Q270" s="82">
        <f t="shared" si="57"/>
        <v>3.1050139999999997</v>
      </c>
      <c r="R270" s="82">
        <f t="shared" si="58"/>
        <v>1.6412960000000001</v>
      </c>
      <c r="S270" s="82">
        <f t="shared" si="59"/>
        <v>2.4622679999999999</v>
      </c>
    </row>
    <row r="271" spans="1:19" ht="16.5" hidden="1">
      <c r="A271" s="81" t="s">
        <v>61</v>
      </c>
      <c r="B271" s="82">
        <f t="shared" si="54"/>
        <v>6.6017039999999998</v>
      </c>
      <c r="C271" s="82">
        <f t="shared" si="54"/>
        <v>5.7424619999999997</v>
      </c>
      <c r="D271" s="82">
        <f t="shared" si="54"/>
        <v>10.601800000000001</v>
      </c>
      <c r="E271" s="82">
        <f t="shared" si="54"/>
        <v>16.422888</v>
      </c>
      <c r="F271" s="82">
        <f t="shared" si="54"/>
        <v>20.496344000000001</v>
      </c>
      <c r="G271" s="82">
        <f t="shared" si="54"/>
        <v>36.953786999999998</v>
      </c>
      <c r="H271" s="82">
        <f t="shared" si="54"/>
        <v>32.768791999999998</v>
      </c>
      <c r="I271" s="82">
        <f t="shared" si="54"/>
        <v>20.946370999999999</v>
      </c>
      <c r="J271" s="82">
        <f t="shared" si="54"/>
        <v>16.769016000000001</v>
      </c>
      <c r="K271" s="82">
        <f t="shared" si="54"/>
        <v>11.284528</v>
      </c>
      <c r="L271" s="82">
        <f t="shared" si="54"/>
        <v>12.780911</v>
      </c>
      <c r="M271" s="82">
        <f t="shared" si="54"/>
        <v>7.1379989999999998</v>
      </c>
      <c r="N271" s="82">
        <f t="shared" si="55"/>
        <v>198.50660199999999</v>
      </c>
      <c r="O271" s="27"/>
      <c r="P271" s="82">
        <f t="shared" si="56"/>
        <v>22.945966000000002</v>
      </c>
      <c r="Q271" s="82">
        <f t="shared" si="57"/>
        <v>73.873018999999999</v>
      </c>
      <c r="R271" s="82">
        <f t="shared" si="58"/>
        <v>70.484178999999997</v>
      </c>
      <c r="S271" s="82">
        <f t="shared" si="59"/>
        <v>31.203437999999998</v>
      </c>
    </row>
    <row r="272" spans="1:19" ht="16.5" hidden="1">
      <c r="A272" s="81" t="s">
        <v>62</v>
      </c>
      <c r="B272" s="82">
        <f t="shared" si="54"/>
        <v>5.5385849999999994</v>
      </c>
      <c r="C272" s="82">
        <f t="shared" si="54"/>
        <v>3.9697480000000001</v>
      </c>
      <c r="D272" s="82">
        <f t="shared" si="54"/>
        <v>9.6522640000000006</v>
      </c>
      <c r="E272" s="82">
        <f t="shared" si="54"/>
        <v>11.532731</v>
      </c>
      <c r="F272" s="82">
        <f t="shared" si="54"/>
        <v>20.446791000000001</v>
      </c>
      <c r="G272" s="82">
        <f t="shared" si="54"/>
        <v>20.436394</v>
      </c>
      <c r="H272" s="82">
        <f t="shared" si="54"/>
        <v>19.515737000000001</v>
      </c>
      <c r="I272" s="82">
        <f t="shared" si="54"/>
        <v>9.1879530000000003</v>
      </c>
      <c r="J272" s="82">
        <f t="shared" si="54"/>
        <v>7.4031469999999997</v>
      </c>
      <c r="K272" s="82">
        <f t="shared" si="54"/>
        <v>10.937514999999999</v>
      </c>
      <c r="L272" s="82">
        <f t="shared" si="54"/>
        <v>5.2123549999999996</v>
      </c>
      <c r="M272" s="82">
        <f t="shared" si="54"/>
        <v>2.0726230000000001</v>
      </c>
      <c r="N272" s="82">
        <f t="shared" si="55"/>
        <v>125.905843</v>
      </c>
      <c r="O272" s="27"/>
      <c r="P272" s="82">
        <f t="shared" si="56"/>
        <v>19.160596999999999</v>
      </c>
      <c r="Q272" s="82">
        <f t="shared" si="57"/>
        <v>52.415916000000003</v>
      </c>
      <c r="R272" s="82">
        <f t="shared" si="58"/>
        <v>36.106836999999999</v>
      </c>
      <c r="S272" s="82">
        <f t="shared" si="59"/>
        <v>18.222493</v>
      </c>
    </row>
    <row r="273" spans="1:19" ht="16.5" hidden="1">
      <c r="A273" s="81" t="s">
        <v>63</v>
      </c>
      <c r="B273" s="82">
        <f t="shared" si="54"/>
        <v>2.5039549999999999</v>
      </c>
      <c r="C273" s="82">
        <f t="shared" si="54"/>
        <v>2.949824</v>
      </c>
      <c r="D273" s="82">
        <f t="shared" si="54"/>
        <v>2.4707940000000002</v>
      </c>
      <c r="E273" s="82">
        <f t="shared" si="54"/>
        <v>2.3395090000000001</v>
      </c>
      <c r="F273" s="82">
        <f t="shared" si="54"/>
        <v>1.826962</v>
      </c>
      <c r="G273" s="82">
        <f t="shared" si="54"/>
        <v>2.683589</v>
      </c>
      <c r="H273" s="82">
        <f t="shared" si="54"/>
        <v>3.0979329999999998</v>
      </c>
      <c r="I273" s="82">
        <f t="shared" si="54"/>
        <v>1.8174269999999999</v>
      </c>
      <c r="J273" s="82">
        <f t="shared" si="54"/>
        <v>2.31453</v>
      </c>
      <c r="K273" s="82">
        <f t="shared" si="54"/>
        <v>4.5696880000000002</v>
      </c>
      <c r="L273" s="82">
        <f t="shared" si="54"/>
        <v>5.8788850000000004</v>
      </c>
      <c r="M273" s="82">
        <f t="shared" si="54"/>
        <v>8.539453</v>
      </c>
      <c r="N273" s="82">
        <f t="shared" si="55"/>
        <v>40.992549000000004</v>
      </c>
      <c r="O273" s="27"/>
      <c r="P273" s="82">
        <f t="shared" si="56"/>
        <v>7.9245730000000005</v>
      </c>
      <c r="Q273" s="82">
        <f t="shared" si="57"/>
        <v>6.8500599999999991</v>
      </c>
      <c r="R273" s="82">
        <f t="shared" si="58"/>
        <v>7.2298899999999993</v>
      </c>
      <c r="S273" s="82">
        <f t="shared" si="59"/>
        <v>18.988025999999998</v>
      </c>
    </row>
    <row r="274" spans="1:19" ht="16.5" hidden="1">
      <c r="A274" s="81" t="s">
        <v>64</v>
      </c>
      <c r="B274" s="82">
        <f t="shared" si="54"/>
        <v>8.9082740000000005</v>
      </c>
      <c r="C274" s="82">
        <f t="shared" si="54"/>
        <v>10.926143</v>
      </c>
      <c r="D274" s="82">
        <f t="shared" si="54"/>
        <v>21.329159000000001</v>
      </c>
      <c r="E274" s="82">
        <f t="shared" si="54"/>
        <v>12.617766</v>
      </c>
      <c r="F274" s="82">
        <f t="shared" si="54"/>
        <v>14.565524</v>
      </c>
      <c r="G274" s="82">
        <f t="shared" si="54"/>
        <v>10.02177</v>
      </c>
      <c r="H274" s="82">
        <f t="shared" si="54"/>
        <v>8.6986500000000007</v>
      </c>
      <c r="I274" s="82">
        <f t="shared" si="54"/>
        <v>1.969069</v>
      </c>
      <c r="J274" s="82">
        <f t="shared" si="54"/>
        <v>2.9295049999999998</v>
      </c>
      <c r="K274" s="82">
        <f t="shared" si="54"/>
        <v>1.261487</v>
      </c>
      <c r="L274" s="82">
        <f t="shared" si="54"/>
        <v>1.3691949999999999</v>
      </c>
      <c r="M274" s="82">
        <f t="shared" si="54"/>
        <v>1.2788280000000001</v>
      </c>
      <c r="N274" s="82">
        <f t="shared" si="55"/>
        <v>95.875370000000032</v>
      </c>
      <c r="O274" s="27"/>
      <c r="P274" s="82">
        <f t="shared" si="56"/>
        <v>41.163576000000006</v>
      </c>
      <c r="Q274" s="82">
        <f t="shared" si="57"/>
        <v>37.205060000000003</v>
      </c>
      <c r="R274" s="82">
        <f t="shared" si="58"/>
        <v>13.597224000000001</v>
      </c>
      <c r="S274" s="82">
        <f t="shared" si="59"/>
        <v>3.90951</v>
      </c>
    </row>
    <row r="275" spans="1:19" ht="16.5" hidden="1">
      <c r="A275" s="83" t="s">
        <v>65</v>
      </c>
      <c r="B275" s="82">
        <f t="shared" si="54"/>
        <v>2.1495169999999999</v>
      </c>
      <c r="C275" s="82">
        <f t="shared" si="54"/>
        <v>10.594804999999999</v>
      </c>
      <c r="D275" s="82">
        <f t="shared" si="54"/>
        <v>16.094083000000001</v>
      </c>
      <c r="E275" s="82">
        <f t="shared" si="54"/>
        <v>16.398164999999999</v>
      </c>
      <c r="F275" s="82">
        <f t="shared" si="54"/>
        <v>20.781853000000002</v>
      </c>
      <c r="G275" s="82">
        <f t="shared" si="54"/>
        <v>31.607655000000001</v>
      </c>
      <c r="H275" s="82">
        <f t="shared" si="54"/>
        <v>15.573313000000001</v>
      </c>
      <c r="I275" s="82">
        <f t="shared" si="54"/>
        <v>11.544064000000001</v>
      </c>
      <c r="J275" s="82">
        <f t="shared" si="54"/>
        <v>5.7280189999999997</v>
      </c>
      <c r="K275" s="82">
        <f t="shared" si="54"/>
        <v>3.3873310000000001</v>
      </c>
      <c r="L275" s="82">
        <f t="shared" si="54"/>
        <v>1.1276949999999999</v>
      </c>
      <c r="M275" s="82">
        <f t="shared" si="54"/>
        <v>1.6565810000000001</v>
      </c>
      <c r="N275" s="82">
        <f t="shared" si="55"/>
        <v>136.64308099999997</v>
      </c>
      <c r="O275" s="27"/>
      <c r="P275" s="82">
        <f t="shared" si="56"/>
        <v>28.838405000000002</v>
      </c>
      <c r="Q275" s="82">
        <f t="shared" si="57"/>
        <v>68.787673000000012</v>
      </c>
      <c r="R275" s="82">
        <f t="shared" si="58"/>
        <v>32.845396000000001</v>
      </c>
      <c r="S275" s="82">
        <f t="shared" si="59"/>
        <v>6.1716069999999998</v>
      </c>
    </row>
    <row r="276" spans="1:19" ht="16.5" hidden="1">
      <c r="A276" s="83" t="s">
        <v>66</v>
      </c>
      <c r="B276" s="82">
        <f t="shared" si="54"/>
        <v>8.2843809999999998</v>
      </c>
      <c r="C276" s="82">
        <f t="shared" si="54"/>
        <v>3.9151340000000001</v>
      </c>
      <c r="D276" s="82">
        <f t="shared" si="54"/>
        <v>25.13</v>
      </c>
      <c r="E276" s="82">
        <f t="shared" si="54"/>
        <v>26.690999999999999</v>
      </c>
      <c r="F276" s="82">
        <f t="shared" si="54"/>
        <v>29.548999999999999</v>
      </c>
      <c r="G276" s="82">
        <f t="shared" si="54"/>
        <v>27.501999999999999</v>
      </c>
      <c r="H276" s="82">
        <f t="shared" si="54"/>
        <v>26.542999999999999</v>
      </c>
      <c r="I276" s="82">
        <f t="shared" si="54"/>
        <v>26.939</v>
      </c>
      <c r="J276" s="82">
        <f t="shared" si="54"/>
        <v>34.472999999999999</v>
      </c>
      <c r="K276" s="82">
        <f t="shared" si="54"/>
        <v>12.022</v>
      </c>
      <c r="L276" s="82">
        <f t="shared" si="54"/>
        <v>2.9510000000000001</v>
      </c>
      <c r="M276" s="82">
        <f t="shared" si="54"/>
        <v>4.117</v>
      </c>
      <c r="N276" s="82">
        <f t="shared" si="55"/>
        <v>228.11651499999994</v>
      </c>
      <c r="O276" s="27"/>
      <c r="P276" s="82">
        <f t="shared" si="56"/>
        <v>37.329515000000001</v>
      </c>
      <c r="Q276" s="82">
        <f t="shared" si="57"/>
        <v>83.74199999999999</v>
      </c>
      <c r="R276" s="82">
        <f t="shared" si="58"/>
        <v>87.954999999999998</v>
      </c>
      <c r="S276" s="82">
        <f t="shared" si="59"/>
        <v>19.09</v>
      </c>
    </row>
    <row r="277" spans="1:19" ht="16.5" hidden="1">
      <c r="A277" s="84" t="s">
        <v>67</v>
      </c>
      <c r="B277" s="82">
        <f t="shared" si="54"/>
        <v>25.940999999999999</v>
      </c>
      <c r="C277" s="82">
        <f t="shared" si="54"/>
        <v>35.954999999999998</v>
      </c>
      <c r="D277" s="82">
        <f t="shared" si="54"/>
        <v>60.878</v>
      </c>
      <c r="E277" s="82">
        <f t="shared" si="54"/>
        <v>56.313000000000002</v>
      </c>
      <c r="F277" s="82">
        <f t="shared" si="54"/>
        <v>54.2</v>
      </c>
      <c r="G277" s="82">
        <f t="shared" si="54"/>
        <v>106.03100000000001</v>
      </c>
      <c r="H277" s="82">
        <f t="shared" si="54"/>
        <v>93.936000000000007</v>
      </c>
      <c r="I277" s="82">
        <f t="shared" si="54"/>
        <v>69.679000000000002</v>
      </c>
      <c r="J277" s="82">
        <f t="shared" si="54"/>
        <v>42.372</v>
      </c>
      <c r="K277" s="82">
        <f t="shared" si="54"/>
        <v>39.287999999999997</v>
      </c>
      <c r="L277" s="82">
        <f t="shared" si="54"/>
        <v>27.177</v>
      </c>
      <c r="M277" s="82">
        <f t="shared" si="54"/>
        <v>16.245999999999999</v>
      </c>
      <c r="N277" s="82">
        <f t="shared" si="55"/>
        <v>628.01599999999996</v>
      </c>
      <c r="O277" s="27"/>
      <c r="P277" s="82">
        <f t="shared" si="56"/>
        <v>122.774</v>
      </c>
      <c r="Q277" s="82">
        <f t="shared" si="57"/>
        <v>216.54400000000001</v>
      </c>
      <c r="R277" s="82">
        <f t="shared" si="58"/>
        <v>205.98700000000002</v>
      </c>
      <c r="S277" s="82">
        <f t="shared" si="59"/>
        <v>82.710999999999999</v>
      </c>
    </row>
    <row r="278" spans="1:19" ht="16.5" hidden="1">
      <c r="A278" s="83" t="s">
        <v>68</v>
      </c>
      <c r="B278" s="82">
        <f t="shared" si="54"/>
        <v>16.577000000000002</v>
      </c>
      <c r="C278" s="82">
        <f t="shared" si="54"/>
        <v>44.048999999999999</v>
      </c>
      <c r="D278" s="82">
        <f t="shared" si="54"/>
        <v>93.201000000000008</v>
      </c>
      <c r="E278" s="82">
        <f t="shared" si="54"/>
        <v>76.676000000000002</v>
      </c>
      <c r="F278" s="82">
        <f t="shared" si="54"/>
        <v>62.459000000000003</v>
      </c>
      <c r="G278" s="82">
        <f t="shared" si="54"/>
        <v>76.994</v>
      </c>
      <c r="H278" s="82">
        <f t="shared" si="54"/>
        <v>73.12</v>
      </c>
      <c r="I278" s="82">
        <f t="shared" si="54"/>
        <v>111.489</v>
      </c>
      <c r="J278" s="82">
        <f t="shared" si="54"/>
        <v>55.752000000000002</v>
      </c>
      <c r="K278" s="82">
        <f t="shared" si="54"/>
        <v>31.33</v>
      </c>
      <c r="L278" s="82">
        <f t="shared" si="54"/>
        <v>15.561</v>
      </c>
      <c r="M278" s="82">
        <f t="shared" si="54"/>
        <v>6.7569999999999997</v>
      </c>
      <c r="N278" s="82">
        <f t="shared" si="55"/>
        <v>663.96500000000003</v>
      </c>
      <c r="O278" s="27"/>
      <c r="P278" s="82">
        <f t="shared" si="56"/>
        <v>153.827</v>
      </c>
      <c r="Q278" s="82">
        <f t="shared" si="57"/>
        <v>216.12899999999999</v>
      </c>
      <c r="R278" s="82">
        <f t="shared" si="58"/>
        <v>240.36100000000002</v>
      </c>
      <c r="S278" s="82">
        <f t="shared" si="59"/>
        <v>53.647999999999996</v>
      </c>
    </row>
    <row r="279" spans="1:19" ht="16.5" hidden="1">
      <c r="A279" s="84" t="s">
        <v>69</v>
      </c>
      <c r="B279" s="82">
        <f t="shared" si="54"/>
        <v>19.184999999999999</v>
      </c>
      <c r="C279" s="82">
        <f t="shared" si="54"/>
        <v>26.841000000000001</v>
      </c>
      <c r="D279" s="82">
        <f t="shared" si="54"/>
        <v>45.71</v>
      </c>
      <c r="E279" s="82">
        <f t="shared" si="54"/>
        <v>19.542000000000002</v>
      </c>
      <c r="F279" s="82">
        <f t="shared" si="54"/>
        <v>23.654</v>
      </c>
      <c r="G279" s="82">
        <f t="shared" si="54"/>
        <v>45.22</v>
      </c>
      <c r="H279" s="82">
        <f t="shared" si="54"/>
        <v>22.120999999999999</v>
      </c>
      <c r="I279" s="82">
        <f t="shared" si="54"/>
        <v>7.9059999999999997</v>
      </c>
      <c r="J279" s="82">
        <f t="shared" si="54"/>
        <v>36.459000000000003</v>
      </c>
      <c r="K279" s="82">
        <f t="shared" si="54"/>
        <v>51.600999999999999</v>
      </c>
      <c r="L279" s="82">
        <f t="shared" si="54"/>
        <v>16.919</v>
      </c>
      <c r="M279" s="82">
        <f t="shared" si="54"/>
        <v>12.393000000000001</v>
      </c>
      <c r="N279" s="82">
        <f t="shared" si="55"/>
        <v>327.55100000000004</v>
      </c>
      <c r="O279" s="27"/>
      <c r="P279" s="82">
        <f t="shared" si="56"/>
        <v>91.73599999999999</v>
      </c>
      <c r="Q279" s="82">
        <f t="shared" si="57"/>
        <v>88.415999999999997</v>
      </c>
      <c r="R279" s="82">
        <f t="shared" si="58"/>
        <v>66.486000000000004</v>
      </c>
      <c r="S279" s="82">
        <f t="shared" si="59"/>
        <v>80.912999999999997</v>
      </c>
    </row>
    <row r="280" spans="1:19" ht="16.5" hidden="1">
      <c r="A280" s="84" t="s">
        <v>70</v>
      </c>
      <c r="B280" s="82">
        <f t="shared" si="54"/>
        <v>67.328000000000003</v>
      </c>
      <c r="C280" s="82">
        <f t="shared" si="54"/>
        <v>58.468000000000004</v>
      </c>
      <c r="D280" s="82">
        <f t="shared" si="54"/>
        <v>105.346</v>
      </c>
      <c r="E280" s="82">
        <f t="shared" si="54"/>
        <v>49.63</v>
      </c>
      <c r="F280" s="82">
        <f t="shared" si="54"/>
        <v>79.457999999999998</v>
      </c>
      <c r="G280" s="82">
        <f t="shared" si="54"/>
        <v>58.176000000000002</v>
      </c>
      <c r="H280" s="82">
        <f t="shared" si="54"/>
        <v>50.421999999999997</v>
      </c>
      <c r="I280" s="82">
        <f t="shared" si="54"/>
        <v>71.210999999999999</v>
      </c>
      <c r="J280" s="82">
        <f t="shared" si="54"/>
        <v>94.960000000000008</v>
      </c>
      <c r="K280" s="82">
        <f t="shared" si="54"/>
        <v>64.524000000000001</v>
      </c>
      <c r="L280" s="82">
        <f t="shared" si="54"/>
        <v>29.957000000000001</v>
      </c>
      <c r="M280" s="82">
        <f t="shared" si="54"/>
        <v>10.94</v>
      </c>
      <c r="N280" s="82">
        <f t="shared" si="55"/>
        <v>740.42000000000007</v>
      </c>
      <c r="O280" s="27"/>
      <c r="P280" s="82">
        <f t="shared" si="56"/>
        <v>231.142</v>
      </c>
      <c r="Q280" s="82">
        <f t="shared" si="57"/>
        <v>187.26400000000001</v>
      </c>
      <c r="R280" s="82">
        <f t="shared" si="58"/>
        <v>216.59300000000002</v>
      </c>
      <c r="S280" s="82">
        <f t="shared" si="59"/>
        <v>105.42099999999999</v>
      </c>
    </row>
    <row r="281" spans="1:19" ht="16.5" hidden="1">
      <c r="A281" s="83" t="s">
        <v>71</v>
      </c>
      <c r="B281" s="82">
        <f t="shared" si="54"/>
        <v>22.795999999999999</v>
      </c>
      <c r="C281" s="82">
        <f t="shared" si="54"/>
        <v>57.465000000000003</v>
      </c>
      <c r="D281" s="82">
        <f t="shared" si="54"/>
        <v>60.974000000000004</v>
      </c>
      <c r="E281" s="82">
        <f t="shared" si="54"/>
        <v>36.311999999999998</v>
      </c>
      <c r="F281" s="82">
        <f t="shared" si="54"/>
        <v>25.427</v>
      </c>
      <c r="G281" s="82">
        <f t="shared" si="54"/>
        <v>35.228000000000002</v>
      </c>
      <c r="H281" s="82">
        <f t="shared" si="54"/>
        <v>39.608999999999995</v>
      </c>
      <c r="I281" s="82">
        <f t="shared" si="54"/>
        <v>56.716999999999999</v>
      </c>
      <c r="J281" s="82">
        <f t="shared" si="54"/>
        <v>66.665000000000006</v>
      </c>
      <c r="K281" s="82">
        <f t="shared" si="54"/>
        <v>52.673000000000002</v>
      </c>
      <c r="L281" s="82">
        <f t="shared" si="54"/>
        <v>15.917999999999999</v>
      </c>
      <c r="M281" s="82">
        <f t="shared" si="54"/>
        <v>6.6140000000000008</v>
      </c>
      <c r="N281" s="82">
        <f t="shared" si="55"/>
        <v>476.39800000000002</v>
      </c>
      <c r="O281" s="27"/>
      <c r="P281" s="82">
        <f t="shared" si="56"/>
        <v>141.23500000000001</v>
      </c>
      <c r="Q281" s="82">
        <f t="shared" si="57"/>
        <v>96.966999999999999</v>
      </c>
      <c r="R281" s="82">
        <f t="shared" si="58"/>
        <v>162.99099999999999</v>
      </c>
      <c r="S281" s="82">
        <f t="shared" si="59"/>
        <v>75.205000000000013</v>
      </c>
    </row>
    <row r="282" spans="1:19" ht="16.5" hidden="1">
      <c r="A282" s="84" t="s">
        <v>72</v>
      </c>
      <c r="B282" s="82">
        <f t="shared" si="54"/>
        <v>13.154</v>
      </c>
      <c r="C282" s="82">
        <f t="shared" si="54"/>
        <v>11.755000000000001</v>
      </c>
      <c r="D282" s="82">
        <f t="shared" si="54"/>
        <v>9.7420000000000009</v>
      </c>
      <c r="E282" s="82">
        <f t="shared" si="54"/>
        <v>2.8839999999999999</v>
      </c>
      <c r="F282" s="82">
        <f t="shared" si="54"/>
        <v>8.0449999999999999</v>
      </c>
      <c r="G282" s="82">
        <f t="shared" si="54"/>
        <v>12.366</v>
      </c>
      <c r="H282" s="82">
        <f t="shared" si="54"/>
        <v>11.222</v>
      </c>
      <c r="I282" s="82">
        <f t="shared" si="54"/>
        <v>15.141999999999999</v>
      </c>
      <c r="J282" s="82">
        <f t="shared" si="54"/>
        <v>22.475000000000001</v>
      </c>
      <c r="K282" s="82">
        <f t="shared" si="54"/>
        <v>32.619</v>
      </c>
      <c r="L282" s="82">
        <f t="shared" si="54"/>
        <v>31.18</v>
      </c>
      <c r="M282" s="82">
        <f t="shared" si="54"/>
        <v>24.286000000000001</v>
      </c>
      <c r="N282" s="82">
        <f t="shared" si="55"/>
        <v>194.87</v>
      </c>
      <c r="O282" s="27"/>
      <c r="P282" s="82">
        <f t="shared" si="56"/>
        <v>34.651000000000003</v>
      </c>
      <c r="Q282" s="82">
        <f t="shared" si="57"/>
        <v>23.295000000000002</v>
      </c>
      <c r="R282" s="82">
        <f t="shared" si="58"/>
        <v>48.838999999999999</v>
      </c>
      <c r="S282" s="82">
        <f t="shared" si="59"/>
        <v>88.085000000000008</v>
      </c>
    </row>
    <row r="283" spans="1:19" ht="16.5" hidden="1">
      <c r="A283" s="83" t="s">
        <v>73</v>
      </c>
      <c r="B283" s="82">
        <f t="shared" ref="B283:M292" si="60">B399-B167-B51</f>
        <v>65.212000000000003</v>
      </c>
      <c r="C283" s="82">
        <f t="shared" si="60"/>
        <v>140.30799999999999</v>
      </c>
      <c r="D283" s="82">
        <f t="shared" si="60"/>
        <v>120.977</v>
      </c>
      <c r="E283" s="82">
        <f t="shared" si="60"/>
        <v>90.359000000000009</v>
      </c>
      <c r="F283" s="82">
        <f t="shared" si="60"/>
        <v>68.700999999999993</v>
      </c>
      <c r="G283" s="82">
        <f t="shared" si="60"/>
        <v>174.72499999999999</v>
      </c>
      <c r="H283" s="82">
        <f t="shared" si="60"/>
        <v>186.72900000000001</v>
      </c>
      <c r="I283" s="82">
        <f t="shared" si="60"/>
        <v>209.328</v>
      </c>
      <c r="J283" s="82">
        <f t="shared" si="60"/>
        <v>158.59700000000001</v>
      </c>
      <c r="K283" s="82">
        <f t="shared" si="60"/>
        <v>78.546999999999997</v>
      </c>
      <c r="L283" s="82">
        <f t="shared" si="60"/>
        <v>86.006</v>
      </c>
      <c r="M283" s="82">
        <f t="shared" si="60"/>
        <v>25.59</v>
      </c>
      <c r="N283" s="82">
        <f t="shared" si="55"/>
        <v>1405.0790000000002</v>
      </c>
      <c r="O283" s="27"/>
      <c r="P283" s="82">
        <f t="shared" si="56"/>
        <v>326.49700000000001</v>
      </c>
      <c r="Q283" s="82">
        <f t="shared" si="57"/>
        <v>333.78499999999997</v>
      </c>
      <c r="R283" s="82">
        <f t="shared" si="58"/>
        <v>554.654</v>
      </c>
      <c r="S283" s="82">
        <f t="shared" si="59"/>
        <v>190.143</v>
      </c>
    </row>
    <row r="284" spans="1:19" ht="16.5" hidden="1">
      <c r="A284" s="83" t="s">
        <v>74</v>
      </c>
      <c r="B284" s="82">
        <f t="shared" si="60"/>
        <v>60.27</v>
      </c>
      <c r="C284" s="82">
        <f t="shared" si="60"/>
        <v>71.364999999999995</v>
      </c>
      <c r="D284" s="82">
        <f t="shared" si="60"/>
        <v>92.146000000000001</v>
      </c>
      <c r="E284" s="82">
        <f t="shared" si="60"/>
        <v>116.004</v>
      </c>
      <c r="F284" s="82">
        <f t="shared" si="60"/>
        <v>109.726</v>
      </c>
      <c r="G284" s="82">
        <f t="shared" si="60"/>
        <v>140.316</v>
      </c>
      <c r="H284" s="82">
        <f t="shared" si="60"/>
        <v>91.418999999999997</v>
      </c>
      <c r="I284" s="82">
        <f t="shared" si="60"/>
        <v>137.28200000000001</v>
      </c>
      <c r="J284" s="82">
        <f t="shared" si="60"/>
        <v>71.164000000000001</v>
      </c>
      <c r="K284" s="82">
        <f t="shared" si="60"/>
        <v>56.363999999999997</v>
      </c>
      <c r="L284" s="82">
        <f t="shared" si="60"/>
        <v>38.853000000000002</v>
      </c>
      <c r="M284" s="82">
        <f t="shared" si="60"/>
        <v>66.786000000000001</v>
      </c>
      <c r="N284" s="82">
        <f t="shared" si="55"/>
        <v>1051.6949999999999</v>
      </c>
      <c r="O284" s="27"/>
      <c r="P284" s="82">
        <f t="shared" si="56"/>
        <v>223.78100000000001</v>
      </c>
      <c r="Q284" s="82">
        <f t="shared" si="57"/>
        <v>366.04600000000005</v>
      </c>
      <c r="R284" s="82">
        <f t="shared" si="58"/>
        <v>299.86500000000001</v>
      </c>
      <c r="S284" s="82">
        <f t="shared" si="59"/>
        <v>162.00299999999999</v>
      </c>
    </row>
    <row r="285" spans="1:19" ht="16.5" hidden="1">
      <c r="A285" s="83" t="s">
        <v>75</v>
      </c>
      <c r="B285" s="82">
        <f t="shared" si="60"/>
        <v>147.709</v>
      </c>
      <c r="C285" s="82">
        <f t="shared" si="60"/>
        <v>161.08199999999999</v>
      </c>
      <c r="D285" s="82">
        <f t="shared" si="60"/>
        <v>218.39700000000002</v>
      </c>
      <c r="E285" s="82">
        <f t="shared" si="60"/>
        <v>135.44199999999998</v>
      </c>
      <c r="F285" s="82">
        <f t="shared" si="60"/>
        <v>194.05699999999999</v>
      </c>
      <c r="G285" s="82">
        <f t="shared" si="60"/>
        <v>208.874</v>
      </c>
      <c r="H285" s="82">
        <f t="shared" si="60"/>
        <v>211.13</v>
      </c>
      <c r="I285" s="82">
        <f t="shared" si="60"/>
        <v>140.72399999999999</v>
      </c>
      <c r="J285" s="82">
        <f t="shared" si="60"/>
        <v>141.38900000000001</v>
      </c>
      <c r="K285" s="82">
        <f t="shared" si="60"/>
        <v>91.278999999999996</v>
      </c>
      <c r="L285" s="82">
        <f t="shared" si="60"/>
        <v>77.637999999999991</v>
      </c>
      <c r="M285" s="82">
        <f t="shared" si="60"/>
        <v>79.361999999999995</v>
      </c>
      <c r="N285" s="82">
        <f t="shared" si="55"/>
        <v>1807.0829999999996</v>
      </c>
      <c r="O285" s="27"/>
      <c r="P285" s="82">
        <f t="shared" si="56"/>
        <v>527.18799999999999</v>
      </c>
      <c r="Q285" s="82">
        <f t="shared" si="57"/>
        <v>538.37299999999993</v>
      </c>
      <c r="R285" s="82">
        <f t="shared" si="58"/>
        <v>493.24299999999999</v>
      </c>
      <c r="S285" s="82">
        <f t="shared" si="59"/>
        <v>248.27899999999997</v>
      </c>
    </row>
    <row r="286" spans="1:19" ht="16.5" hidden="1">
      <c r="A286" s="83" t="s">
        <v>76</v>
      </c>
      <c r="B286" s="82">
        <f t="shared" si="60"/>
        <v>110.069</v>
      </c>
      <c r="C286" s="82">
        <f t="shared" si="60"/>
        <v>108.10999999999999</v>
      </c>
      <c r="D286" s="82">
        <f t="shared" si="60"/>
        <v>163.09300000000002</v>
      </c>
      <c r="E286" s="82">
        <f t="shared" si="60"/>
        <v>146.279</v>
      </c>
      <c r="F286" s="82">
        <f t="shared" si="60"/>
        <v>152.78400000000002</v>
      </c>
      <c r="G286" s="82">
        <f t="shared" si="60"/>
        <v>152.95499999999998</v>
      </c>
      <c r="H286" s="82">
        <f t="shared" si="60"/>
        <v>137.04000000000002</v>
      </c>
      <c r="I286" s="82">
        <f t="shared" si="60"/>
        <v>134.001</v>
      </c>
      <c r="J286" s="82">
        <f t="shared" si="60"/>
        <v>123.11399999999999</v>
      </c>
      <c r="K286" s="82">
        <f t="shared" si="60"/>
        <v>66.242999999999995</v>
      </c>
      <c r="L286" s="82">
        <f t="shared" si="60"/>
        <v>58.536000000000001</v>
      </c>
      <c r="M286" s="82">
        <f t="shared" si="60"/>
        <v>40.246000000000002</v>
      </c>
      <c r="N286" s="82">
        <f t="shared" si="55"/>
        <v>1392.47</v>
      </c>
      <c r="O286" s="27"/>
      <c r="P286" s="82">
        <f t="shared" si="56"/>
        <v>381.27200000000005</v>
      </c>
      <c r="Q286" s="82">
        <f t="shared" si="57"/>
        <v>452.01799999999997</v>
      </c>
      <c r="R286" s="82">
        <f t="shared" si="58"/>
        <v>394.15500000000003</v>
      </c>
      <c r="S286" s="82">
        <f t="shared" si="59"/>
        <v>165.02500000000001</v>
      </c>
    </row>
    <row r="287" spans="1:19" ht="16.5" hidden="1">
      <c r="A287" s="83" t="s">
        <v>77</v>
      </c>
      <c r="B287" s="82">
        <f t="shared" si="60"/>
        <v>97.338999999999999</v>
      </c>
      <c r="C287" s="82">
        <f t="shared" si="60"/>
        <v>121.55100000000002</v>
      </c>
      <c r="D287" s="82">
        <f t="shared" si="60"/>
        <v>170.416</v>
      </c>
      <c r="E287" s="82">
        <f t="shared" si="60"/>
        <v>129.33100000000002</v>
      </c>
      <c r="F287" s="82">
        <f t="shared" si="60"/>
        <v>144.70400000000001</v>
      </c>
      <c r="G287" s="82">
        <f t="shared" si="60"/>
        <v>172.80199999999999</v>
      </c>
      <c r="H287" s="82">
        <f t="shared" si="60"/>
        <v>144.05500000000001</v>
      </c>
      <c r="I287" s="82">
        <f t="shared" si="60"/>
        <v>138.35599999999999</v>
      </c>
      <c r="J287" s="82">
        <f t="shared" si="60"/>
        <v>109.303</v>
      </c>
      <c r="K287" s="82">
        <f t="shared" si="60"/>
        <v>57.858000000000004</v>
      </c>
      <c r="L287" s="82">
        <f t="shared" si="60"/>
        <v>81.671999999999997</v>
      </c>
      <c r="M287" s="82">
        <f t="shared" si="60"/>
        <v>109.83799999999999</v>
      </c>
      <c r="N287" s="82">
        <f t="shared" si="55"/>
        <v>1477.2249999999999</v>
      </c>
      <c r="O287" s="27"/>
      <c r="P287" s="82">
        <f t="shared" si="56"/>
        <v>389.30600000000004</v>
      </c>
      <c r="Q287" s="82">
        <f t="shared" si="57"/>
        <v>446.83699999999999</v>
      </c>
      <c r="R287" s="82">
        <f t="shared" si="58"/>
        <v>391.714</v>
      </c>
      <c r="S287" s="82">
        <f t="shared" si="59"/>
        <v>249.36799999999999</v>
      </c>
    </row>
    <row r="288" spans="1:19" ht="16.5" hidden="1">
      <c r="A288" s="83" t="s">
        <v>78</v>
      </c>
      <c r="B288" s="82">
        <f t="shared" si="60"/>
        <v>135.869</v>
      </c>
      <c r="C288" s="82">
        <f t="shared" si="60"/>
        <v>198.05600000000001</v>
      </c>
      <c r="D288" s="82">
        <f t="shared" si="60"/>
        <v>238.952</v>
      </c>
      <c r="E288" s="82">
        <f t="shared" si="60"/>
        <v>154.06</v>
      </c>
      <c r="F288" s="82">
        <f t="shared" si="60"/>
        <v>117.48199999999999</v>
      </c>
      <c r="G288" s="82">
        <f t="shared" si="60"/>
        <v>247.65599999999998</v>
      </c>
      <c r="H288" s="82">
        <f t="shared" si="60"/>
        <v>154.39499999999998</v>
      </c>
      <c r="I288" s="82">
        <f t="shared" si="60"/>
        <v>244.982</v>
      </c>
      <c r="J288" s="82">
        <f t="shared" si="60"/>
        <v>210.16545399999998</v>
      </c>
      <c r="K288" s="82">
        <f t="shared" si="60"/>
        <v>114.080659</v>
      </c>
      <c r="L288" s="82">
        <f t="shared" si="60"/>
        <v>119.88062599999999</v>
      </c>
      <c r="M288" s="82">
        <f t="shared" si="60"/>
        <v>133.18094200000002</v>
      </c>
      <c r="N288" s="82">
        <f t="shared" si="55"/>
        <v>2068.7596809999995</v>
      </c>
      <c r="O288" s="27"/>
      <c r="P288" s="82">
        <f t="shared" si="56"/>
        <v>572.87700000000007</v>
      </c>
      <c r="Q288" s="82">
        <f t="shared" si="57"/>
        <v>519.19799999999998</v>
      </c>
      <c r="R288" s="82">
        <f t="shared" si="58"/>
        <v>609.54245399999991</v>
      </c>
      <c r="S288" s="82">
        <f t="shared" si="59"/>
        <v>367.14222699999999</v>
      </c>
    </row>
    <row r="289" spans="1:19" ht="16.5" hidden="1">
      <c r="A289" s="83" t="s">
        <v>79</v>
      </c>
      <c r="B289" s="82">
        <f t="shared" si="60"/>
        <v>173.067891</v>
      </c>
      <c r="C289" s="82">
        <f t="shared" si="60"/>
        <v>236.550051</v>
      </c>
      <c r="D289" s="82">
        <f t="shared" si="60"/>
        <v>235.22460300000003</v>
      </c>
      <c r="E289" s="82">
        <f t="shared" si="60"/>
        <v>130.218526</v>
      </c>
      <c r="F289" s="82">
        <f t="shared" si="60"/>
        <v>147.08926500000001</v>
      </c>
      <c r="G289" s="82">
        <f t="shared" si="60"/>
        <v>174.36247900000001</v>
      </c>
      <c r="H289" s="82">
        <f t="shared" si="60"/>
        <v>232.84740500000001</v>
      </c>
      <c r="I289" s="82">
        <f t="shared" si="60"/>
        <v>183.54796099999999</v>
      </c>
      <c r="J289" s="82">
        <f t="shared" si="60"/>
        <v>166.61881099999999</v>
      </c>
      <c r="K289" s="82">
        <f t="shared" si="60"/>
        <v>158.69198</v>
      </c>
      <c r="L289" s="82">
        <f t="shared" si="60"/>
        <v>94.582594999999998</v>
      </c>
      <c r="M289" s="82">
        <f t="shared" si="60"/>
        <v>96.24369999999999</v>
      </c>
      <c r="N289" s="82">
        <f t="shared" si="55"/>
        <v>2029.0452670000002</v>
      </c>
      <c r="O289" s="27"/>
      <c r="P289" s="82">
        <f t="shared" si="56"/>
        <v>644.84254499999997</v>
      </c>
      <c r="Q289" s="82">
        <f t="shared" si="57"/>
        <v>451.67027000000002</v>
      </c>
      <c r="R289" s="82">
        <f t="shared" si="58"/>
        <v>583.01417700000002</v>
      </c>
      <c r="S289" s="82">
        <f t="shared" si="59"/>
        <v>349.51827500000002</v>
      </c>
    </row>
    <row r="290" spans="1:19" ht="16.5">
      <c r="A290" s="103" t="s">
        <v>80</v>
      </c>
      <c r="B290" s="82">
        <f t="shared" si="60"/>
        <v>103.11276599999999</v>
      </c>
      <c r="C290" s="82">
        <f t="shared" si="60"/>
        <v>150.88857899999999</v>
      </c>
      <c r="D290" s="82">
        <f t="shared" si="60"/>
        <v>245.645026</v>
      </c>
      <c r="E290" s="82">
        <f t="shared" si="60"/>
        <v>233.05661000000001</v>
      </c>
      <c r="F290" s="82">
        <f t="shared" si="60"/>
        <v>189.47544399999998</v>
      </c>
      <c r="G290" s="82">
        <f t="shared" si="60"/>
        <v>259.10681699999998</v>
      </c>
      <c r="H290" s="82">
        <f t="shared" si="60"/>
        <v>213.40763800000002</v>
      </c>
      <c r="I290" s="82">
        <f t="shared" si="60"/>
        <v>289.22412299999996</v>
      </c>
      <c r="J290" s="82">
        <f t="shared" si="60"/>
        <v>182.18552099999997</v>
      </c>
      <c r="K290" s="82">
        <f t="shared" si="60"/>
        <v>170.94990300000001</v>
      </c>
      <c r="L290" s="82">
        <f t="shared" si="60"/>
        <v>181.489283</v>
      </c>
      <c r="M290" s="82">
        <f t="shared" si="60"/>
        <v>129.36306499999998</v>
      </c>
      <c r="N290" s="82">
        <f t="shared" si="55"/>
        <v>2347.904775</v>
      </c>
      <c r="O290" s="27"/>
      <c r="P290" s="82">
        <f t="shared" si="56"/>
        <v>499.64637099999999</v>
      </c>
      <c r="Q290" s="82">
        <f t="shared" si="57"/>
        <v>681.63887099999999</v>
      </c>
      <c r="R290" s="82">
        <f t="shared" si="58"/>
        <v>684.81728199999998</v>
      </c>
      <c r="S290" s="82">
        <f t="shared" si="59"/>
        <v>481.80225099999996</v>
      </c>
    </row>
    <row r="291" spans="1:19" ht="16.5">
      <c r="A291" s="103" t="s">
        <v>81</v>
      </c>
      <c r="B291" s="82">
        <f t="shared" si="60"/>
        <v>167.22771399999999</v>
      </c>
      <c r="C291" s="82">
        <f t="shared" si="60"/>
        <v>199.766007</v>
      </c>
      <c r="D291" s="82">
        <f t="shared" si="60"/>
        <v>245.829928</v>
      </c>
      <c r="E291" s="82">
        <f t="shared" si="60"/>
        <v>152.84441799999999</v>
      </c>
      <c r="F291" s="82">
        <f t="shared" si="60"/>
        <v>124.25388699999999</v>
      </c>
      <c r="G291" s="82">
        <f t="shared" si="60"/>
        <v>239.40497799999997</v>
      </c>
      <c r="H291" s="82">
        <f t="shared" si="60"/>
        <v>264.801962</v>
      </c>
      <c r="I291" s="82">
        <f t="shared" si="60"/>
        <v>211.22499199999996</v>
      </c>
      <c r="J291" s="82">
        <f t="shared" si="60"/>
        <v>133.12082700000002</v>
      </c>
      <c r="K291" s="82">
        <f t="shared" si="60"/>
        <v>170.60129499999999</v>
      </c>
      <c r="L291" s="82">
        <f t="shared" si="60"/>
        <v>148.22683500000002</v>
      </c>
      <c r="M291" s="82">
        <f t="shared" si="60"/>
        <v>65.977249999999998</v>
      </c>
      <c r="N291" s="82">
        <f t="shared" si="55"/>
        <v>2123.2800929999999</v>
      </c>
      <c r="O291" s="27"/>
      <c r="P291" s="82">
        <f t="shared" si="56"/>
        <v>612.82364899999993</v>
      </c>
      <c r="Q291" s="82">
        <f t="shared" si="57"/>
        <v>516.50328300000001</v>
      </c>
      <c r="R291" s="82">
        <f t="shared" si="58"/>
        <v>609.1477809999999</v>
      </c>
      <c r="S291" s="82">
        <f t="shared" si="59"/>
        <v>384.80538000000001</v>
      </c>
    </row>
    <row r="292" spans="1:19" ht="17.25" thickBot="1">
      <c r="A292" s="103" t="s">
        <v>82</v>
      </c>
      <c r="B292" s="82">
        <f t="shared" si="60"/>
        <v>107.242605</v>
      </c>
      <c r="C292" s="82">
        <f t="shared" si="60"/>
        <v>161.83461199999999</v>
      </c>
      <c r="D292" s="82">
        <f t="shared" si="60"/>
        <v>197.27411499999999</v>
      </c>
      <c r="E292" s="82">
        <f t="shared" si="60"/>
        <v>260.55099999999999</v>
      </c>
      <c r="F292" s="82">
        <f t="shared" si="60"/>
        <v>264.67500000000001</v>
      </c>
      <c r="G292" s="82">
        <f t="shared" si="60"/>
        <v>364.47300000000001</v>
      </c>
      <c r="H292" s="82">
        <f t="shared" si="60"/>
        <v>286.01599999999996</v>
      </c>
      <c r="I292" s="111">
        <f t="shared" si="60"/>
        <v>149.23400000000001</v>
      </c>
      <c r="J292" s="111">
        <f t="shared" si="60"/>
        <v>131.02100000000002</v>
      </c>
      <c r="K292" s="111">
        <f t="shared" si="60"/>
        <v>137.048</v>
      </c>
      <c r="L292" s="111">
        <f>L408-L176-L60</f>
        <v>283.25899999999996</v>
      </c>
      <c r="M292" s="111">
        <f>M408-M176-M60</f>
        <v>98.283000000000001</v>
      </c>
      <c r="N292" s="111">
        <f t="shared" ref="N292" si="61">SUM(B292:L292)</f>
        <v>2342.6283319999998</v>
      </c>
      <c r="O292" s="27"/>
      <c r="P292" s="82">
        <f t="shared" si="56"/>
        <v>466.35133199999996</v>
      </c>
      <c r="Q292" s="82">
        <f t="shared" si="57"/>
        <v>889.69900000000007</v>
      </c>
      <c r="R292" s="82">
        <f t="shared" si="58"/>
        <v>566.27099999999996</v>
      </c>
      <c r="S292" s="82">
        <f t="shared" si="59"/>
        <v>518.58999999999992</v>
      </c>
    </row>
    <row r="293" spans="1:19" ht="16.5">
      <c r="A293" s="104" t="s">
        <v>117</v>
      </c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6"/>
      <c r="Q293" s="106"/>
      <c r="R293" s="106"/>
      <c r="S293" s="106"/>
    </row>
    <row r="294" spans="1:19" ht="16.5" hidden="1">
      <c r="A294" s="81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27"/>
      <c r="P294" s="82"/>
      <c r="Q294" s="82"/>
      <c r="R294" s="82"/>
      <c r="S294" s="82"/>
    </row>
    <row r="295" spans="1:19" ht="16.5" hidden="1">
      <c r="A295" s="81" t="s">
        <v>56</v>
      </c>
      <c r="B295" s="82">
        <f>B411-B179-B63</f>
        <v>17.7</v>
      </c>
      <c r="C295" s="82">
        <f t="shared" ref="C295:M295" si="62">C411-C179-C63</f>
        <v>24.1</v>
      </c>
      <c r="D295" s="82">
        <f t="shared" si="62"/>
        <v>16.7</v>
      </c>
      <c r="E295" s="82">
        <f t="shared" si="62"/>
        <v>10.9</v>
      </c>
      <c r="F295" s="82">
        <f t="shared" si="62"/>
        <v>10.7</v>
      </c>
      <c r="G295" s="82">
        <f t="shared" si="62"/>
        <v>17.399999999999999</v>
      </c>
      <c r="H295" s="82">
        <f t="shared" si="62"/>
        <v>8</v>
      </c>
      <c r="I295" s="82">
        <f t="shared" si="62"/>
        <v>15.1</v>
      </c>
      <c r="J295" s="82">
        <f t="shared" si="62"/>
        <v>12.9</v>
      </c>
      <c r="K295" s="82">
        <f t="shared" si="62"/>
        <v>13.5</v>
      </c>
      <c r="L295" s="82">
        <f t="shared" si="62"/>
        <v>23.9</v>
      </c>
      <c r="M295" s="82">
        <f t="shared" si="62"/>
        <v>12.3</v>
      </c>
      <c r="N295" s="82">
        <f>SUM(B295:M295)</f>
        <v>183.20000000000002</v>
      </c>
      <c r="O295" s="27"/>
      <c r="P295" s="82">
        <f>D295+B295+C295</f>
        <v>58.5</v>
      </c>
      <c r="Q295" s="82">
        <f>SUM(E295:G295)</f>
        <v>39</v>
      </c>
      <c r="R295" s="82">
        <f>SUM(H295:J295)</f>
        <v>36</v>
      </c>
      <c r="S295" s="82">
        <f>SUM(K295:M295)</f>
        <v>49.7</v>
      </c>
    </row>
    <row r="296" spans="1:19" ht="16.5" hidden="1">
      <c r="A296" s="81" t="s">
        <v>57</v>
      </c>
      <c r="B296" s="82">
        <f t="shared" ref="B296:M311" si="63">B412-B180-B64</f>
        <v>16.3</v>
      </c>
      <c r="C296" s="82">
        <f t="shared" si="63"/>
        <v>29.2</v>
      </c>
      <c r="D296" s="82">
        <f t="shared" si="63"/>
        <v>25.8</v>
      </c>
      <c r="E296" s="82">
        <f t="shared" si="63"/>
        <v>29</v>
      </c>
      <c r="F296" s="82">
        <f t="shared" si="63"/>
        <v>29</v>
      </c>
      <c r="G296" s="82">
        <f t="shared" si="63"/>
        <v>26</v>
      </c>
      <c r="H296" s="82">
        <f t="shared" si="63"/>
        <v>19</v>
      </c>
      <c r="I296" s="82">
        <f t="shared" si="63"/>
        <v>20.7</v>
      </c>
      <c r="J296" s="82">
        <f t="shared" si="63"/>
        <v>24.7</v>
      </c>
      <c r="K296" s="82">
        <f t="shared" si="63"/>
        <v>10.7</v>
      </c>
      <c r="L296" s="82">
        <f t="shared" si="63"/>
        <v>22.8</v>
      </c>
      <c r="M296" s="82">
        <f t="shared" si="63"/>
        <v>15.7</v>
      </c>
      <c r="N296" s="82">
        <f t="shared" ref="N296:N320" si="64">SUM(B296:M296)</f>
        <v>268.89999999999998</v>
      </c>
      <c r="O296" s="27"/>
      <c r="P296" s="82">
        <f t="shared" ref="P296:P321" si="65">D296+B296+C296</f>
        <v>71.3</v>
      </c>
      <c r="Q296" s="82">
        <f t="shared" ref="Q296:Q321" si="66">SUM(E296:G296)</f>
        <v>84</v>
      </c>
      <c r="R296" s="82">
        <f t="shared" ref="R296:R321" si="67">SUM(H296:J296)</f>
        <v>64.400000000000006</v>
      </c>
      <c r="S296" s="82">
        <f t="shared" ref="S296:S321" si="68">SUM(K296:M296)</f>
        <v>49.2</v>
      </c>
    </row>
    <row r="297" spans="1:19" ht="16.5" hidden="1">
      <c r="A297" s="81" t="s">
        <v>58</v>
      </c>
      <c r="B297" s="82">
        <f t="shared" si="63"/>
        <v>17.600000000000001</v>
      </c>
      <c r="C297" s="82">
        <f t="shared" si="63"/>
        <v>26.4</v>
      </c>
      <c r="D297" s="82">
        <f t="shared" si="63"/>
        <v>28.1</v>
      </c>
      <c r="E297" s="82">
        <f t="shared" si="63"/>
        <v>17.100000000000001</v>
      </c>
      <c r="F297" s="82">
        <f t="shared" si="63"/>
        <v>23.9</v>
      </c>
      <c r="G297" s="82">
        <f t="shared" si="63"/>
        <v>14.9</v>
      </c>
      <c r="H297" s="82">
        <f t="shared" si="63"/>
        <v>14.4</v>
      </c>
      <c r="I297" s="82">
        <f t="shared" si="63"/>
        <v>10.7</v>
      </c>
      <c r="J297" s="82">
        <f t="shared" si="63"/>
        <v>5.9</v>
      </c>
      <c r="K297" s="82">
        <f t="shared" si="63"/>
        <v>1.9</v>
      </c>
      <c r="L297" s="82">
        <f t="shared" si="63"/>
        <v>2.2000000000000002</v>
      </c>
      <c r="M297" s="82">
        <f t="shared" si="63"/>
        <v>1.5</v>
      </c>
      <c r="N297" s="82">
        <f t="shared" si="64"/>
        <v>164.6</v>
      </c>
      <c r="O297" s="27"/>
      <c r="P297" s="82">
        <f t="shared" si="65"/>
        <v>72.099999999999994</v>
      </c>
      <c r="Q297" s="82">
        <f t="shared" si="66"/>
        <v>55.9</v>
      </c>
      <c r="R297" s="82">
        <f t="shared" si="67"/>
        <v>31</v>
      </c>
      <c r="S297" s="82">
        <f t="shared" si="68"/>
        <v>5.6</v>
      </c>
    </row>
    <row r="298" spans="1:19" ht="16.5" hidden="1">
      <c r="A298" s="81" t="s">
        <v>59</v>
      </c>
      <c r="B298" s="82">
        <f t="shared" si="63"/>
        <v>17.5</v>
      </c>
      <c r="C298" s="82">
        <f t="shared" si="63"/>
        <v>33.6</v>
      </c>
      <c r="D298" s="82">
        <f t="shared" si="63"/>
        <v>43.6</v>
      </c>
      <c r="E298" s="82">
        <f t="shared" si="63"/>
        <v>26</v>
      </c>
      <c r="F298" s="82">
        <f t="shared" si="63"/>
        <v>18.2</v>
      </c>
      <c r="G298" s="82">
        <f t="shared" si="63"/>
        <v>13.4</v>
      </c>
      <c r="H298" s="82">
        <f t="shared" si="63"/>
        <v>2.2999999999999998</v>
      </c>
      <c r="I298" s="82">
        <f t="shared" si="63"/>
        <v>2.9</v>
      </c>
      <c r="J298" s="82">
        <f t="shared" si="63"/>
        <v>2.5</v>
      </c>
      <c r="K298" s="82">
        <f t="shared" si="63"/>
        <v>6.4</v>
      </c>
      <c r="L298" s="82">
        <f t="shared" si="63"/>
        <v>6.4</v>
      </c>
      <c r="M298" s="82">
        <f t="shared" si="63"/>
        <v>3.9000000000000004</v>
      </c>
      <c r="N298" s="82">
        <f t="shared" si="64"/>
        <v>176.70000000000005</v>
      </c>
      <c r="O298" s="27"/>
      <c r="P298" s="82">
        <f t="shared" si="65"/>
        <v>94.7</v>
      </c>
      <c r="Q298" s="82">
        <f t="shared" si="66"/>
        <v>57.6</v>
      </c>
      <c r="R298" s="82">
        <f t="shared" si="67"/>
        <v>7.6999999999999993</v>
      </c>
      <c r="S298" s="82">
        <f t="shared" si="68"/>
        <v>16.700000000000003</v>
      </c>
    </row>
    <row r="299" spans="1:19" ht="16.5" hidden="1">
      <c r="A299" s="81" t="s">
        <v>60</v>
      </c>
      <c r="B299" s="82">
        <f t="shared" si="63"/>
        <v>15</v>
      </c>
      <c r="C299" s="82">
        <f t="shared" si="63"/>
        <v>15</v>
      </c>
      <c r="D299" s="82">
        <f t="shared" si="63"/>
        <v>46</v>
      </c>
      <c r="E299" s="82">
        <f t="shared" si="63"/>
        <v>15</v>
      </c>
      <c r="F299" s="82">
        <f t="shared" si="63"/>
        <v>15</v>
      </c>
      <c r="G299" s="82">
        <f t="shared" si="63"/>
        <v>15</v>
      </c>
      <c r="H299" s="82">
        <f t="shared" si="63"/>
        <v>15</v>
      </c>
      <c r="I299" s="82">
        <f t="shared" si="63"/>
        <v>8</v>
      </c>
      <c r="J299" s="82">
        <f t="shared" si="63"/>
        <v>15</v>
      </c>
      <c r="K299" s="82">
        <f t="shared" si="63"/>
        <v>15</v>
      </c>
      <c r="L299" s="82">
        <f t="shared" si="63"/>
        <v>15</v>
      </c>
      <c r="M299" s="82">
        <f t="shared" si="63"/>
        <v>2</v>
      </c>
      <c r="N299" s="82">
        <f t="shared" si="64"/>
        <v>191</v>
      </c>
      <c r="O299" s="27"/>
      <c r="P299" s="82">
        <f t="shared" si="65"/>
        <v>76</v>
      </c>
      <c r="Q299" s="82">
        <f t="shared" si="66"/>
        <v>45</v>
      </c>
      <c r="R299" s="82">
        <f t="shared" si="67"/>
        <v>38</v>
      </c>
      <c r="S299" s="82">
        <f t="shared" si="68"/>
        <v>32</v>
      </c>
    </row>
    <row r="300" spans="1:19" ht="16.5" hidden="1">
      <c r="A300" s="81" t="s">
        <v>61</v>
      </c>
      <c r="B300" s="82">
        <f t="shared" si="63"/>
        <v>18.831002499999997</v>
      </c>
      <c r="C300" s="82">
        <f t="shared" si="63"/>
        <v>38.272650999999996</v>
      </c>
      <c r="D300" s="82">
        <f t="shared" si="63"/>
        <v>30.701353509999997</v>
      </c>
      <c r="E300" s="82">
        <f t="shared" si="63"/>
        <v>29.4</v>
      </c>
      <c r="F300" s="82">
        <f t="shared" si="63"/>
        <v>50.3</v>
      </c>
      <c r="G300" s="82">
        <f t="shared" si="63"/>
        <v>36.200000000000003</v>
      </c>
      <c r="H300" s="82">
        <f t="shared" si="63"/>
        <v>30.6</v>
      </c>
      <c r="I300" s="82">
        <f t="shared" si="63"/>
        <v>28.5</v>
      </c>
      <c r="J300" s="82">
        <f t="shared" si="63"/>
        <v>51.3</v>
      </c>
      <c r="K300" s="82">
        <f t="shared" si="63"/>
        <v>52.6</v>
      </c>
      <c r="L300" s="82">
        <f t="shared" si="63"/>
        <v>40.200000000000003</v>
      </c>
      <c r="M300" s="82">
        <f t="shared" si="63"/>
        <v>25.799999999999997</v>
      </c>
      <c r="N300" s="82">
        <f t="shared" si="64"/>
        <v>432.70500700999997</v>
      </c>
      <c r="O300" s="27"/>
      <c r="P300" s="82">
        <f t="shared" si="65"/>
        <v>87.805007009999997</v>
      </c>
      <c r="Q300" s="82">
        <f t="shared" si="66"/>
        <v>115.89999999999999</v>
      </c>
      <c r="R300" s="82">
        <f t="shared" si="67"/>
        <v>110.4</v>
      </c>
      <c r="S300" s="82">
        <f t="shared" si="68"/>
        <v>118.60000000000001</v>
      </c>
    </row>
    <row r="301" spans="1:19" ht="16.5" hidden="1">
      <c r="A301" s="81" t="s">
        <v>62</v>
      </c>
      <c r="B301" s="82">
        <f t="shared" si="63"/>
        <v>56</v>
      </c>
      <c r="C301" s="82">
        <f t="shared" si="63"/>
        <v>75.099999999999994</v>
      </c>
      <c r="D301" s="82">
        <f t="shared" si="63"/>
        <v>90.4</v>
      </c>
      <c r="E301" s="82">
        <f t="shared" si="63"/>
        <v>61.1</v>
      </c>
      <c r="F301" s="82">
        <f t="shared" si="63"/>
        <v>63.5</v>
      </c>
      <c r="G301" s="82">
        <f t="shared" si="63"/>
        <v>51.4</v>
      </c>
      <c r="H301" s="82">
        <f t="shared" si="63"/>
        <v>28.1</v>
      </c>
      <c r="I301" s="82">
        <f t="shared" si="63"/>
        <v>22.1</v>
      </c>
      <c r="J301" s="82">
        <f t="shared" si="63"/>
        <v>37.799999999999997</v>
      </c>
      <c r="K301" s="82">
        <f t="shared" si="63"/>
        <v>35.299999999999997</v>
      </c>
      <c r="L301" s="82">
        <f t="shared" si="63"/>
        <v>24.1</v>
      </c>
      <c r="M301" s="82">
        <f t="shared" si="63"/>
        <v>-18.600000000000001</v>
      </c>
      <c r="N301" s="82">
        <f t="shared" si="64"/>
        <v>526.30000000000007</v>
      </c>
      <c r="O301" s="27"/>
      <c r="P301" s="82">
        <f t="shared" si="65"/>
        <v>221.5</v>
      </c>
      <c r="Q301" s="82">
        <f t="shared" si="66"/>
        <v>176</v>
      </c>
      <c r="R301" s="82">
        <f t="shared" si="67"/>
        <v>88</v>
      </c>
      <c r="S301" s="82">
        <f t="shared" si="68"/>
        <v>40.799999999999997</v>
      </c>
    </row>
    <row r="302" spans="1:19" ht="16.5" hidden="1">
      <c r="A302" s="81" t="s">
        <v>63</v>
      </c>
      <c r="B302" s="82">
        <f t="shared" si="63"/>
        <v>50.3</v>
      </c>
      <c r="C302" s="82">
        <f t="shared" si="63"/>
        <v>47.669477000000001</v>
      </c>
      <c r="D302" s="82">
        <f t="shared" si="63"/>
        <v>35.5119872</v>
      </c>
      <c r="E302" s="82">
        <f t="shared" si="63"/>
        <v>35.562013499999999</v>
      </c>
      <c r="F302" s="82">
        <f t="shared" si="63"/>
        <v>27.251011500000001</v>
      </c>
      <c r="G302" s="82">
        <f t="shared" si="63"/>
        <v>49.874612649999996</v>
      </c>
      <c r="H302" s="82">
        <f t="shared" si="63"/>
        <v>41.326000000000001</v>
      </c>
      <c r="I302" s="82">
        <f t="shared" si="63"/>
        <v>33.131</v>
      </c>
      <c r="J302" s="82">
        <f t="shared" si="63"/>
        <v>29.664999999999999</v>
      </c>
      <c r="K302" s="82">
        <f t="shared" si="63"/>
        <v>36.664000000000001</v>
      </c>
      <c r="L302" s="82">
        <f t="shared" si="63"/>
        <v>22.021999999999998</v>
      </c>
      <c r="M302" s="82">
        <f t="shared" si="63"/>
        <v>37.023000000000003</v>
      </c>
      <c r="N302" s="82">
        <f t="shared" si="64"/>
        <v>446.00010185000008</v>
      </c>
      <c r="O302" s="27"/>
      <c r="P302" s="82">
        <f t="shared" si="65"/>
        <v>133.4814642</v>
      </c>
      <c r="Q302" s="82">
        <f t="shared" si="66"/>
        <v>112.68763765</v>
      </c>
      <c r="R302" s="82">
        <f t="shared" si="67"/>
        <v>104.12199999999999</v>
      </c>
      <c r="S302" s="82">
        <f t="shared" si="68"/>
        <v>95.709000000000003</v>
      </c>
    </row>
    <row r="303" spans="1:19" ht="16.5" hidden="1">
      <c r="A303" s="81" t="s">
        <v>64</v>
      </c>
      <c r="B303" s="82">
        <f t="shared" si="63"/>
        <v>85.304000000000002</v>
      </c>
      <c r="C303" s="82">
        <f t="shared" si="63"/>
        <v>75.3</v>
      </c>
      <c r="D303" s="82">
        <f t="shared" si="63"/>
        <v>93.031999999999996</v>
      </c>
      <c r="E303" s="82">
        <f t="shared" si="63"/>
        <v>76.394999999999996</v>
      </c>
      <c r="F303" s="82">
        <f t="shared" si="63"/>
        <v>69.561999999999998</v>
      </c>
      <c r="G303" s="82">
        <f t="shared" si="63"/>
        <v>97.436000000000007</v>
      </c>
      <c r="H303" s="82">
        <f t="shared" si="63"/>
        <v>100.86</v>
      </c>
      <c r="I303" s="82">
        <f t="shared" si="63"/>
        <v>94.347999999999999</v>
      </c>
      <c r="J303" s="82">
        <f t="shared" si="63"/>
        <v>76.277000000000001</v>
      </c>
      <c r="K303" s="82">
        <f t="shared" si="63"/>
        <v>64.959000000000003</v>
      </c>
      <c r="L303" s="82">
        <f t="shared" si="63"/>
        <v>40.981999999999999</v>
      </c>
      <c r="M303" s="82">
        <f t="shared" si="63"/>
        <v>32.715000000000003</v>
      </c>
      <c r="N303" s="82">
        <f t="shared" si="64"/>
        <v>907.17</v>
      </c>
      <c r="O303" s="27"/>
      <c r="P303" s="82">
        <f t="shared" si="65"/>
        <v>253.63600000000002</v>
      </c>
      <c r="Q303" s="82">
        <f t="shared" si="66"/>
        <v>243.393</v>
      </c>
      <c r="R303" s="82">
        <f t="shared" si="67"/>
        <v>271.48500000000001</v>
      </c>
      <c r="S303" s="82">
        <f t="shared" si="68"/>
        <v>138.65600000000001</v>
      </c>
    </row>
    <row r="304" spans="1:19" ht="16.5" hidden="1">
      <c r="A304" s="83" t="s">
        <v>65</v>
      </c>
      <c r="B304" s="82">
        <f t="shared" si="63"/>
        <v>94.885000000000005</v>
      </c>
      <c r="C304" s="82">
        <f t="shared" si="63"/>
        <v>82.816000000000003</v>
      </c>
      <c r="D304" s="82">
        <f t="shared" si="63"/>
        <v>92.948999999999998</v>
      </c>
      <c r="E304" s="82">
        <f t="shared" si="63"/>
        <v>67.051000000000002</v>
      </c>
      <c r="F304" s="82">
        <f t="shared" si="63"/>
        <v>67.221999999999994</v>
      </c>
      <c r="G304" s="82">
        <f t="shared" si="63"/>
        <v>105.078</v>
      </c>
      <c r="H304" s="82">
        <f t="shared" si="63"/>
        <v>102.76900000000001</v>
      </c>
      <c r="I304" s="82">
        <f t="shared" si="63"/>
        <v>69.835999999999999</v>
      </c>
      <c r="J304" s="82">
        <f t="shared" si="63"/>
        <v>106.31</v>
      </c>
      <c r="K304" s="82">
        <f t="shared" si="63"/>
        <v>79.394999999999996</v>
      </c>
      <c r="L304" s="82">
        <f t="shared" si="63"/>
        <v>77.554000000000002</v>
      </c>
      <c r="M304" s="82">
        <f t="shared" si="63"/>
        <v>26.024999999999999</v>
      </c>
      <c r="N304" s="82">
        <f t="shared" si="64"/>
        <v>971.88999999999987</v>
      </c>
      <c r="O304" s="27"/>
      <c r="P304" s="82">
        <f t="shared" si="65"/>
        <v>270.64999999999998</v>
      </c>
      <c r="Q304" s="82">
        <f t="shared" si="66"/>
        <v>239.351</v>
      </c>
      <c r="R304" s="82">
        <f t="shared" si="67"/>
        <v>278.91500000000002</v>
      </c>
      <c r="S304" s="82">
        <f t="shared" si="68"/>
        <v>182.97400000000002</v>
      </c>
    </row>
    <row r="305" spans="1:19" ht="16.5" hidden="1">
      <c r="A305" s="83" t="s">
        <v>66</v>
      </c>
      <c r="B305" s="82">
        <f t="shared" si="63"/>
        <v>54.412999999999997</v>
      </c>
      <c r="C305" s="82">
        <f t="shared" si="63"/>
        <v>47.856000000000002</v>
      </c>
      <c r="D305" s="82">
        <f t="shared" si="63"/>
        <v>65.724999999999994</v>
      </c>
      <c r="E305" s="82">
        <f t="shared" si="63"/>
        <v>74.537000000000006</v>
      </c>
      <c r="F305" s="82">
        <f t="shared" si="63"/>
        <v>46.591000000000001</v>
      </c>
      <c r="G305" s="82">
        <f t="shared" si="63"/>
        <v>60.488</v>
      </c>
      <c r="H305" s="82">
        <f t="shared" si="63"/>
        <v>61.981999999999999</v>
      </c>
      <c r="I305" s="82">
        <f t="shared" si="63"/>
        <v>50.91</v>
      </c>
      <c r="J305" s="82">
        <f t="shared" si="63"/>
        <v>68.117000000000004</v>
      </c>
      <c r="K305" s="82">
        <f t="shared" si="63"/>
        <v>44.56</v>
      </c>
      <c r="L305" s="82">
        <f t="shared" si="63"/>
        <v>40.557000000000002</v>
      </c>
      <c r="M305" s="82">
        <f t="shared" si="63"/>
        <v>40.924999999999997</v>
      </c>
      <c r="N305" s="82">
        <f t="shared" si="64"/>
        <v>656.66099999999983</v>
      </c>
      <c r="O305" s="27"/>
      <c r="P305" s="82">
        <f t="shared" si="65"/>
        <v>167.994</v>
      </c>
      <c r="Q305" s="82">
        <f t="shared" si="66"/>
        <v>181.61600000000001</v>
      </c>
      <c r="R305" s="82">
        <f t="shared" si="67"/>
        <v>181.00900000000001</v>
      </c>
      <c r="S305" s="82">
        <f t="shared" si="68"/>
        <v>126.042</v>
      </c>
    </row>
    <row r="306" spans="1:19" ht="16.5" hidden="1">
      <c r="A306" s="84" t="s">
        <v>67</v>
      </c>
      <c r="B306" s="82">
        <f t="shared" si="63"/>
        <v>106.84399999999999</v>
      </c>
      <c r="C306" s="82">
        <f t="shared" si="63"/>
        <v>122.02</v>
      </c>
      <c r="D306" s="82">
        <f t="shared" si="63"/>
        <v>134.60400000000001</v>
      </c>
      <c r="E306" s="82">
        <f t="shared" si="63"/>
        <v>125.322</v>
      </c>
      <c r="F306" s="82">
        <f t="shared" si="63"/>
        <v>132.30000000000001</v>
      </c>
      <c r="G306" s="82">
        <f t="shared" si="63"/>
        <v>163.93299999999999</v>
      </c>
      <c r="H306" s="82">
        <f t="shared" si="63"/>
        <v>139.684</v>
      </c>
      <c r="I306" s="82">
        <f t="shared" si="63"/>
        <v>166.666</v>
      </c>
      <c r="J306" s="82">
        <f t="shared" si="63"/>
        <v>163.964</v>
      </c>
      <c r="K306" s="82">
        <f t="shared" si="63"/>
        <v>109.245</v>
      </c>
      <c r="L306" s="82">
        <f t="shared" si="63"/>
        <v>108.705</v>
      </c>
      <c r="M306" s="82">
        <f t="shared" si="63"/>
        <v>112.93899999999999</v>
      </c>
      <c r="N306" s="82">
        <f t="shared" si="64"/>
        <v>1586.2259999999999</v>
      </c>
      <c r="O306" s="27"/>
      <c r="P306" s="82">
        <f t="shared" si="65"/>
        <v>363.46800000000002</v>
      </c>
      <c r="Q306" s="82">
        <f t="shared" si="66"/>
        <v>421.55500000000001</v>
      </c>
      <c r="R306" s="82">
        <f t="shared" si="67"/>
        <v>470.31400000000002</v>
      </c>
      <c r="S306" s="82">
        <f t="shared" si="68"/>
        <v>330.88900000000001</v>
      </c>
    </row>
    <row r="307" spans="1:19" ht="16.5" hidden="1">
      <c r="A307" s="83" t="s">
        <v>68</v>
      </c>
      <c r="B307" s="82">
        <f t="shared" si="63"/>
        <v>114.271</v>
      </c>
      <c r="C307" s="82">
        <f t="shared" si="63"/>
        <v>149.25700000000001</v>
      </c>
      <c r="D307" s="82">
        <f t="shared" si="63"/>
        <v>131.03399999999999</v>
      </c>
      <c r="E307" s="82">
        <f t="shared" si="63"/>
        <v>130.88200000000001</v>
      </c>
      <c r="F307" s="82">
        <f t="shared" si="63"/>
        <v>167.99299999999999</v>
      </c>
      <c r="G307" s="82">
        <f t="shared" si="63"/>
        <v>192.642</v>
      </c>
      <c r="H307" s="82">
        <f t="shared" si="63"/>
        <v>183.155</v>
      </c>
      <c r="I307" s="82">
        <f t="shared" si="63"/>
        <v>185.57999999999998</v>
      </c>
      <c r="J307" s="82">
        <f t="shared" si="63"/>
        <v>193.7</v>
      </c>
      <c r="K307" s="82">
        <f t="shared" si="63"/>
        <v>153.71799999999999</v>
      </c>
      <c r="L307" s="82">
        <f t="shared" si="63"/>
        <v>98.667000000000002</v>
      </c>
      <c r="M307" s="82">
        <f t="shared" si="63"/>
        <v>72.317999999999998</v>
      </c>
      <c r="N307" s="82">
        <f t="shared" si="64"/>
        <v>1773.2169999999999</v>
      </c>
      <c r="O307" s="27"/>
      <c r="P307" s="82">
        <f t="shared" si="65"/>
        <v>394.56200000000001</v>
      </c>
      <c r="Q307" s="82">
        <f t="shared" si="66"/>
        <v>491.517</v>
      </c>
      <c r="R307" s="82">
        <f t="shared" si="67"/>
        <v>562.43499999999995</v>
      </c>
      <c r="S307" s="82">
        <f t="shared" si="68"/>
        <v>324.70299999999997</v>
      </c>
    </row>
    <row r="308" spans="1:19" ht="16.5" hidden="1">
      <c r="A308" s="84" t="s">
        <v>69</v>
      </c>
      <c r="B308" s="82">
        <f t="shared" si="63"/>
        <v>137.30500000000001</v>
      </c>
      <c r="C308" s="82">
        <f t="shared" si="63"/>
        <v>170.81399999999999</v>
      </c>
      <c r="D308" s="82">
        <f t="shared" si="63"/>
        <v>194.78100000000001</v>
      </c>
      <c r="E308" s="82">
        <f t="shared" si="63"/>
        <v>115.402</v>
      </c>
      <c r="F308" s="82">
        <f t="shared" si="63"/>
        <v>177.71600000000001</v>
      </c>
      <c r="G308" s="82">
        <f t="shared" si="63"/>
        <v>115.15900000000001</v>
      </c>
      <c r="H308" s="82">
        <f t="shared" si="63"/>
        <v>14.031000000000001</v>
      </c>
      <c r="I308" s="82">
        <f t="shared" si="63"/>
        <v>56.164999999999999</v>
      </c>
      <c r="J308" s="82">
        <f t="shared" si="63"/>
        <v>95.971999999999994</v>
      </c>
      <c r="K308" s="82">
        <f t="shared" si="63"/>
        <v>94.212000000000003</v>
      </c>
      <c r="L308" s="82">
        <f t="shared" si="63"/>
        <v>81.866</v>
      </c>
      <c r="M308" s="82">
        <f t="shared" si="63"/>
        <v>83.444000000000003</v>
      </c>
      <c r="N308" s="82">
        <f t="shared" si="64"/>
        <v>1336.867</v>
      </c>
      <c r="O308" s="27"/>
      <c r="P308" s="82">
        <f t="shared" si="65"/>
        <v>502.9</v>
      </c>
      <c r="Q308" s="82">
        <f t="shared" si="66"/>
        <v>408.27699999999999</v>
      </c>
      <c r="R308" s="82">
        <f t="shared" si="67"/>
        <v>166.16800000000001</v>
      </c>
      <c r="S308" s="82">
        <f t="shared" si="68"/>
        <v>259.52199999999999</v>
      </c>
    </row>
    <row r="309" spans="1:19" ht="16.5" hidden="1">
      <c r="A309" s="84" t="s">
        <v>70</v>
      </c>
      <c r="B309" s="82">
        <f t="shared" si="63"/>
        <v>141.13999999999999</v>
      </c>
      <c r="C309" s="82">
        <f t="shared" si="63"/>
        <v>152.381</v>
      </c>
      <c r="D309" s="82">
        <f t="shared" si="63"/>
        <v>153.70800000000003</v>
      </c>
      <c r="E309" s="82">
        <f t="shared" si="63"/>
        <v>112.19700000000002</v>
      </c>
      <c r="F309" s="82">
        <f t="shared" si="63"/>
        <v>134.61199999999999</v>
      </c>
      <c r="G309" s="82">
        <f t="shared" si="63"/>
        <v>148.82400000000001</v>
      </c>
      <c r="H309" s="82">
        <f t="shared" si="63"/>
        <v>125.264</v>
      </c>
      <c r="I309" s="82">
        <f t="shared" si="63"/>
        <v>140.57900000000001</v>
      </c>
      <c r="J309" s="82">
        <f t="shared" si="63"/>
        <v>182.82599999999999</v>
      </c>
      <c r="K309" s="82">
        <f t="shared" si="63"/>
        <v>162.988</v>
      </c>
      <c r="L309" s="82">
        <f t="shared" si="63"/>
        <v>132.08499999999998</v>
      </c>
      <c r="M309" s="82">
        <f t="shared" si="63"/>
        <v>136.20800000000003</v>
      </c>
      <c r="N309" s="82">
        <f t="shared" si="64"/>
        <v>1722.8120000000004</v>
      </c>
      <c r="O309" s="27"/>
      <c r="P309" s="82">
        <f t="shared" si="65"/>
        <v>447.22900000000004</v>
      </c>
      <c r="Q309" s="82">
        <f t="shared" si="66"/>
        <v>395.63300000000004</v>
      </c>
      <c r="R309" s="82">
        <f t="shared" si="67"/>
        <v>448.66899999999998</v>
      </c>
      <c r="S309" s="82">
        <f t="shared" si="68"/>
        <v>431.28100000000001</v>
      </c>
    </row>
    <row r="310" spans="1:19" ht="16.5" hidden="1">
      <c r="A310" s="83" t="s">
        <v>71</v>
      </c>
      <c r="B310" s="82">
        <f t="shared" si="63"/>
        <v>156.749</v>
      </c>
      <c r="C310" s="82">
        <f t="shared" si="63"/>
        <v>161.55799999999999</v>
      </c>
      <c r="D310" s="82">
        <f t="shared" si="63"/>
        <v>217.10400000000004</v>
      </c>
      <c r="E310" s="82">
        <f t="shared" si="63"/>
        <v>102.03</v>
      </c>
      <c r="F310" s="82">
        <f t="shared" si="63"/>
        <v>154.89500000000001</v>
      </c>
      <c r="G310" s="82">
        <f t="shared" si="63"/>
        <v>144.87100000000001</v>
      </c>
      <c r="H310" s="82">
        <f t="shared" si="63"/>
        <v>229.48699999999999</v>
      </c>
      <c r="I310" s="82">
        <f t="shared" si="63"/>
        <v>203.55199999999999</v>
      </c>
      <c r="J310" s="82">
        <f t="shared" si="63"/>
        <v>200.68200000000002</v>
      </c>
      <c r="K310" s="82">
        <f t="shared" si="63"/>
        <v>164.38900000000001</v>
      </c>
      <c r="L310" s="82">
        <f t="shared" si="63"/>
        <v>139.02000000000001</v>
      </c>
      <c r="M310" s="82">
        <f t="shared" si="63"/>
        <v>74.061999999999998</v>
      </c>
      <c r="N310" s="82">
        <f t="shared" si="64"/>
        <v>1948.3989999999999</v>
      </c>
      <c r="O310" s="27"/>
      <c r="P310" s="82">
        <f t="shared" si="65"/>
        <v>535.41100000000006</v>
      </c>
      <c r="Q310" s="82">
        <f t="shared" si="66"/>
        <v>401.79600000000005</v>
      </c>
      <c r="R310" s="82">
        <f t="shared" si="67"/>
        <v>633.721</v>
      </c>
      <c r="S310" s="82">
        <f t="shared" si="68"/>
        <v>377.471</v>
      </c>
    </row>
    <row r="311" spans="1:19" ht="16.5" hidden="1">
      <c r="A311" s="84" t="s">
        <v>72</v>
      </c>
      <c r="B311" s="82">
        <f t="shared" si="63"/>
        <v>164.911</v>
      </c>
      <c r="C311" s="82">
        <f t="shared" si="63"/>
        <v>194.24600000000004</v>
      </c>
      <c r="D311" s="82">
        <f t="shared" si="63"/>
        <v>223.65300000000002</v>
      </c>
      <c r="E311" s="82">
        <f t="shared" si="63"/>
        <v>210.25</v>
      </c>
      <c r="F311" s="82">
        <f t="shared" si="63"/>
        <v>143.81400000000002</v>
      </c>
      <c r="G311" s="82">
        <f t="shared" si="63"/>
        <v>211.31900000000002</v>
      </c>
      <c r="H311" s="82">
        <f t="shared" si="63"/>
        <v>151.47299999999998</v>
      </c>
      <c r="I311" s="82">
        <f t="shared" si="63"/>
        <v>220.10099999999997</v>
      </c>
      <c r="J311" s="82">
        <f t="shared" si="63"/>
        <v>147.38800000000001</v>
      </c>
      <c r="K311" s="82">
        <f t="shared" si="63"/>
        <v>102.86999999999999</v>
      </c>
      <c r="L311" s="82">
        <f t="shared" si="63"/>
        <v>80.342000000000013</v>
      </c>
      <c r="M311" s="82">
        <f t="shared" si="63"/>
        <v>43.538999999999994</v>
      </c>
      <c r="N311" s="82">
        <f t="shared" si="64"/>
        <v>1893.9059999999997</v>
      </c>
      <c r="O311" s="27"/>
      <c r="P311" s="82">
        <f t="shared" si="65"/>
        <v>582.81000000000006</v>
      </c>
      <c r="Q311" s="82">
        <f t="shared" si="66"/>
        <v>565.38300000000004</v>
      </c>
      <c r="R311" s="82">
        <f t="shared" si="67"/>
        <v>518.96199999999999</v>
      </c>
      <c r="S311" s="82">
        <f t="shared" si="68"/>
        <v>226.75099999999998</v>
      </c>
    </row>
    <row r="312" spans="1:19" ht="16.5" hidden="1">
      <c r="A312" s="83" t="s">
        <v>73</v>
      </c>
      <c r="B312" s="82">
        <f t="shared" ref="B312:M321" si="69">B428-B196-B80</f>
        <v>159.00400000000002</v>
      </c>
      <c r="C312" s="82">
        <f t="shared" si="69"/>
        <v>191.196</v>
      </c>
      <c r="D312" s="82">
        <f t="shared" si="69"/>
        <v>124.88700000000004</v>
      </c>
      <c r="E312" s="82">
        <f t="shared" si="69"/>
        <v>151.03200000000001</v>
      </c>
      <c r="F312" s="82">
        <f t="shared" si="69"/>
        <v>173.27100000000002</v>
      </c>
      <c r="G312" s="82">
        <f t="shared" si="69"/>
        <v>136.19500000000002</v>
      </c>
      <c r="H312" s="82">
        <f t="shared" si="69"/>
        <v>202.46300000000002</v>
      </c>
      <c r="I312" s="82">
        <f t="shared" si="69"/>
        <v>211.48400000000001</v>
      </c>
      <c r="J312" s="82">
        <f t="shared" si="69"/>
        <v>216.14900000000003</v>
      </c>
      <c r="K312" s="82">
        <f t="shared" si="69"/>
        <v>197.36400000000003</v>
      </c>
      <c r="L312" s="82">
        <f t="shared" si="69"/>
        <v>242.56799999999996</v>
      </c>
      <c r="M312" s="82">
        <f t="shared" si="69"/>
        <v>191.69000000000003</v>
      </c>
      <c r="N312" s="82">
        <f t="shared" si="64"/>
        <v>2197.3030000000003</v>
      </c>
      <c r="O312" s="27"/>
      <c r="P312" s="82">
        <f t="shared" si="65"/>
        <v>475.0870000000001</v>
      </c>
      <c r="Q312" s="82">
        <f t="shared" si="66"/>
        <v>460.49800000000005</v>
      </c>
      <c r="R312" s="82">
        <f t="shared" si="67"/>
        <v>630.096</v>
      </c>
      <c r="S312" s="82">
        <f t="shared" si="68"/>
        <v>631.62200000000007</v>
      </c>
    </row>
    <row r="313" spans="1:19" ht="16.5" hidden="1">
      <c r="A313" s="83" t="s">
        <v>74</v>
      </c>
      <c r="B313" s="82">
        <f t="shared" si="69"/>
        <v>306.11199999999997</v>
      </c>
      <c r="C313" s="82">
        <f t="shared" si="69"/>
        <v>220.846</v>
      </c>
      <c r="D313" s="82">
        <f t="shared" si="69"/>
        <v>173.42299999999997</v>
      </c>
      <c r="E313" s="82">
        <f t="shared" si="69"/>
        <v>178.06200000000001</v>
      </c>
      <c r="F313" s="82">
        <f t="shared" si="69"/>
        <v>103.07700000000001</v>
      </c>
      <c r="G313" s="82">
        <f t="shared" si="69"/>
        <v>146.88</v>
      </c>
      <c r="H313" s="82">
        <f t="shared" si="69"/>
        <v>117.76499999999999</v>
      </c>
      <c r="I313" s="82">
        <f t="shared" si="69"/>
        <v>128.21899999999999</v>
      </c>
      <c r="J313" s="82">
        <f t="shared" si="69"/>
        <v>149.23400000000004</v>
      </c>
      <c r="K313" s="82">
        <f t="shared" si="69"/>
        <v>129.49800000000002</v>
      </c>
      <c r="L313" s="82">
        <f t="shared" si="69"/>
        <v>183.49099999999999</v>
      </c>
      <c r="M313" s="82">
        <f t="shared" si="69"/>
        <v>63.066000000000003</v>
      </c>
      <c r="N313" s="82">
        <f t="shared" si="64"/>
        <v>1899.673</v>
      </c>
      <c r="O313" s="27"/>
      <c r="P313" s="82">
        <f t="shared" si="65"/>
        <v>700.38099999999997</v>
      </c>
      <c r="Q313" s="82">
        <f t="shared" si="66"/>
        <v>428.01900000000001</v>
      </c>
      <c r="R313" s="82">
        <f t="shared" si="67"/>
        <v>395.21800000000002</v>
      </c>
      <c r="S313" s="82">
        <f t="shared" si="68"/>
        <v>376.05500000000006</v>
      </c>
    </row>
    <row r="314" spans="1:19" ht="16.5" hidden="1">
      <c r="A314" s="83" t="s">
        <v>75</v>
      </c>
      <c r="B314" s="82">
        <f t="shared" si="69"/>
        <v>153.79999999999998</v>
      </c>
      <c r="C314" s="82">
        <f t="shared" si="69"/>
        <v>164.35500000000002</v>
      </c>
      <c r="D314" s="82">
        <f t="shared" si="69"/>
        <v>180.95499999999998</v>
      </c>
      <c r="E314" s="82">
        <f t="shared" si="69"/>
        <v>180.15099999999998</v>
      </c>
      <c r="F314" s="82">
        <f t="shared" si="69"/>
        <v>156.00299999999999</v>
      </c>
      <c r="G314" s="82">
        <f t="shared" si="69"/>
        <v>153.91399999999999</v>
      </c>
      <c r="H314" s="82">
        <f t="shared" si="69"/>
        <v>192.24299999999999</v>
      </c>
      <c r="I314" s="82">
        <f t="shared" si="69"/>
        <v>262.98300000000006</v>
      </c>
      <c r="J314" s="82">
        <f t="shared" si="69"/>
        <v>205.63799999999998</v>
      </c>
      <c r="K314" s="82">
        <f t="shared" si="69"/>
        <v>229.27799999999999</v>
      </c>
      <c r="L314" s="82">
        <f t="shared" si="69"/>
        <v>162.70599999999996</v>
      </c>
      <c r="M314" s="82">
        <f t="shared" si="69"/>
        <v>185.22199999999998</v>
      </c>
      <c r="N314" s="82">
        <f t="shared" si="64"/>
        <v>2227.2479999999996</v>
      </c>
      <c r="O314" s="27"/>
      <c r="P314" s="82">
        <f t="shared" si="65"/>
        <v>499.11</v>
      </c>
      <c r="Q314" s="82">
        <f t="shared" si="66"/>
        <v>490.06799999999998</v>
      </c>
      <c r="R314" s="82">
        <f t="shared" si="67"/>
        <v>660.86400000000003</v>
      </c>
      <c r="S314" s="82">
        <f t="shared" si="68"/>
        <v>577.2059999999999</v>
      </c>
    </row>
    <row r="315" spans="1:19" ht="16.5" hidden="1">
      <c r="A315" s="83" t="s">
        <v>76</v>
      </c>
      <c r="B315" s="82">
        <f t="shared" si="69"/>
        <v>184.79999999999998</v>
      </c>
      <c r="C315" s="82">
        <f t="shared" si="69"/>
        <v>143.27699999999999</v>
      </c>
      <c r="D315" s="82">
        <f t="shared" si="69"/>
        <v>182.63900000000001</v>
      </c>
      <c r="E315" s="82">
        <f t="shared" si="69"/>
        <v>131.28799999999998</v>
      </c>
      <c r="F315" s="82">
        <f t="shared" si="69"/>
        <v>157.87300000000002</v>
      </c>
      <c r="G315" s="82">
        <f t="shared" si="69"/>
        <v>172.11700000000008</v>
      </c>
      <c r="H315" s="82">
        <f t="shared" si="69"/>
        <v>105.09499999999997</v>
      </c>
      <c r="I315" s="82">
        <f t="shared" si="69"/>
        <v>125.24700000000001</v>
      </c>
      <c r="J315" s="82">
        <f t="shared" si="69"/>
        <v>205.71899999999999</v>
      </c>
      <c r="K315" s="82">
        <f t="shared" si="69"/>
        <v>173.10200000000003</v>
      </c>
      <c r="L315" s="82">
        <f t="shared" si="69"/>
        <v>132.68599999999998</v>
      </c>
      <c r="M315" s="82">
        <f t="shared" si="69"/>
        <v>78.161000000000001</v>
      </c>
      <c r="N315" s="82">
        <f t="shared" si="64"/>
        <v>1792.0040000000004</v>
      </c>
      <c r="O315" s="27"/>
      <c r="P315" s="82">
        <f t="shared" si="65"/>
        <v>510.71599999999995</v>
      </c>
      <c r="Q315" s="82">
        <f t="shared" si="66"/>
        <v>461.27800000000008</v>
      </c>
      <c r="R315" s="82">
        <f t="shared" si="67"/>
        <v>436.06099999999998</v>
      </c>
      <c r="S315" s="82">
        <f t="shared" si="68"/>
        <v>383.94900000000001</v>
      </c>
    </row>
    <row r="316" spans="1:19" ht="16.5" hidden="1">
      <c r="A316" s="83" t="s">
        <v>77</v>
      </c>
      <c r="B316" s="82">
        <f t="shared" si="69"/>
        <v>161.64399999999998</v>
      </c>
      <c r="C316" s="82">
        <f t="shared" si="69"/>
        <v>238.17</v>
      </c>
      <c r="D316" s="82">
        <f t="shared" si="69"/>
        <v>286.24700000000001</v>
      </c>
      <c r="E316" s="82">
        <f t="shared" si="69"/>
        <v>200.91900000000004</v>
      </c>
      <c r="F316" s="82">
        <f t="shared" si="69"/>
        <v>260.69399999999996</v>
      </c>
      <c r="G316" s="82">
        <f t="shared" si="69"/>
        <v>207.16999999999996</v>
      </c>
      <c r="H316" s="82">
        <f t="shared" si="69"/>
        <v>241.97900000000001</v>
      </c>
      <c r="I316" s="82">
        <f t="shared" si="69"/>
        <v>226.727</v>
      </c>
      <c r="J316" s="82">
        <f t="shared" si="69"/>
        <v>262.27100000000007</v>
      </c>
      <c r="K316" s="82">
        <f t="shared" si="69"/>
        <v>203.40899999999999</v>
      </c>
      <c r="L316" s="82">
        <f t="shared" si="69"/>
        <v>99.477999999999952</v>
      </c>
      <c r="M316" s="82">
        <f t="shared" si="69"/>
        <v>160.428</v>
      </c>
      <c r="N316" s="82">
        <f t="shared" si="64"/>
        <v>2549.1360000000004</v>
      </c>
      <c r="O316" s="27"/>
      <c r="P316" s="82">
        <f t="shared" si="65"/>
        <v>686.06099999999992</v>
      </c>
      <c r="Q316" s="82">
        <f t="shared" si="66"/>
        <v>668.7829999999999</v>
      </c>
      <c r="R316" s="82">
        <f t="shared" si="67"/>
        <v>730.97700000000009</v>
      </c>
      <c r="S316" s="82">
        <f t="shared" si="68"/>
        <v>463.31499999999994</v>
      </c>
    </row>
    <row r="317" spans="1:19" ht="16.5" hidden="1">
      <c r="A317" s="83" t="s">
        <v>78</v>
      </c>
      <c r="B317" s="82">
        <f t="shared" si="69"/>
        <v>197.839</v>
      </c>
      <c r="C317" s="82">
        <f t="shared" si="69"/>
        <v>317.363</v>
      </c>
      <c r="D317" s="82">
        <f t="shared" si="69"/>
        <v>296.10699999999997</v>
      </c>
      <c r="E317" s="82">
        <f t="shared" si="69"/>
        <v>272.70100000000002</v>
      </c>
      <c r="F317" s="82">
        <f t="shared" si="69"/>
        <v>188.10999999999996</v>
      </c>
      <c r="G317" s="82">
        <f t="shared" si="69"/>
        <v>342.14800000000002</v>
      </c>
      <c r="H317" s="82">
        <f t="shared" si="69"/>
        <v>351.82399999999996</v>
      </c>
      <c r="I317" s="82">
        <f t="shared" si="69"/>
        <v>316.733</v>
      </c>
      <c r="J317" s="82">
        <f t="shared" si="69"/>
        <v>315.85979799999996</v>
      </c>
      <c r="K317" s="82">
        <f t="shared" si="69"/>
        <v>281.17605800000001</v>
      </c>
      <c r="L317" s="82">
        <f t="shared" si="69"/>
        <v>187.23894200000001</v>
      </c>
      <c r="M317" s="82">
        <f t="shared" si="69"/>
        <v>141.748738</v>
      </c>
      <c r="N317" s="82">
        <f t="shared" si="64"/>
        <v>3208.8485360000004</v>
      </c>
      <c r="O317" s="27"/>
      <c r="P317" s="82">
        <f t="shared" si="65"/>
        <v>811.30899999999997</v>
      </c>
      <c r="Q317" s="82">
        <f t="shared" si="66"/>
        <v>802.95900000000006</v>
      </c>
      <c r="R317" s="82">
        <f t="shared" si="67"/>
        <v>984.41679799999997</v>
      </c>
      <c r="S317" s="82">
        <f t="shared" si="68"/>
        <v>610.16373799999997</v>
      </c>
    </row>
    <row r="318" spans="1:19" ht="16.5" hidden="1">
      <c r="A318" s="83" t="s">
        <v>79</v>
      </c>
      <c r="B318" s="82">
        <f t="shared" si="69"/>
        <v>203.67969800000009</v>
      </c>
      <c r="C318" s="82">
        <f t="shared" si="69"/>
        <v>225.068399</v>
      </c>
      <c r="D318" s="82">
        <f t="shared" si="69"/>
        <v>167.88158699999997</v>
      </c>
      <c r="E318" s="82">
        <f t="shared" si="69"/>
        <v>207.79869500000004</v>
      </c>
      <c r="F318" s="82">
        <f t="shared" si="69"/>
        <v>205.14065800000003</v>
      </c>
      <c r="G318" s="82">
        <f t="shared" si="69"/>
        <v>252.174869</v>
      </c>
      <c r="H318" s="82">
        <f t="shared" si="69"/>
        <v>208.55434599999995</v>
      </c>
      <c r="I318" s="82">
        <f t="shared" si="69"/>
        <v>198.61609999999999</v>
      </c>
      <c r="J318" s="82">
        <f t="shared" si="69"/>
        <v>253.89287499999998</v>
      </c>
      <c r="K318" s="82">
        <f t="shared" si="69"/>
        <v>169.16363300000003</v>
      </c>
      <c r="L318" s="82">
        <f t="shared" si="69"/>
        <v>174.67157899999998</v>
      </c>
      <c r="M318" s="82">
        <f t="shared" si="69"/>
        <v>137.61329900000001</v>
      </c>
      <c r="N318" s="82">
        <f t="shared" si="64"/>
        <v>2404.2557379999998</v>
      </c>
      <c r="O318" s="27"/>
      <c r="P318" s="82">
        <f t="shared" si="65"/>
        <v>596.629684</v>
      </c>
      <c r="Q318" s="82">
        <f t="shared" si="66"/>
        <v>665.11422200000015</v>
      </c>
      <c r="R318" s="82">
        <f t="shared" si="67"/>
        <v>661.06332099999997</v>
      </c>
      <c r="S318" s="82">
        <f t="shared" si="68"/>
        <v>481.44851100000005</v>
      </c>
    </row>
    <row r="319" spans="1:19" ht="16.5">
      <c r="A319" s="103" t="s">
        <v>80</v>
      </c>
      <c r="B319" s="82">
        <f t="shared" si="69"/>
        <v>314.21934599999997</v>
      </c>
      <c r="C319" s="82">
        <f t="shared" si="69"/>
        <v>288.39974599999999</v>
      </c>
      <c r="D319" s="82">
        <f t="shared" si="69"/>
        <v>251.15408800000006</v>
      </c>
      <c r="E319" s="82">
        <f t="shared" si="69"/>
        <v>241.76226099999997</v>
      </c>
      <c r="F319" s="82">
        <f t="shared" si="69"/>
        <v>275.236468</v>
      </c>
      <c r="G319" s="82">
        <f t="shared" si="69"/>
        <v>244.85833699999995</v>
      </c>
      <c r="H319" s="82">
        <f t="shared" si="69"/>
        <v>294.90400800000003</v>
      </c>
      <c r="I319" s="82">
        <f t="shared" si="69"/>
        <v>337.74889399999995</v>
      </c>
      <c r="J319" s="82">
        <f t="shared" si="69"/>
        <v>291.475121</v>
      </c>
      <c r="K319" s="82">
        <f t="shared" si="69"/>
        <v>303.62101100000007</v>
      </c>
      <c r="L319" s="82">
        <f t="shared" si="69"/>
        <v>125.31067300000002</v>
      </c>
      <c r="M319" s="82">
        <f t="shared" si="69"/>
        <v>74.979508999999993</v>
      </c>
      <c r="N319" s="82">
        <f t="shared" si="64"/>
        <v>3043.6694619999998</v>
      </c>
      <c r="O319" s="27"/>
      <c r="P319" s="82">
        <f t="shared" si="65"/>
        <v>853.77318000000014</v>
      </c>
      <c r="Q319" s="82">
        <f t="shared" si="66"/>
        <v>761.8570659999998</v>
      </c>
      <c r="R319" s="82">
        <f t="shared" si="67"/>
        <v>924.12802299999998</v>
      </c>
      <c r="S319" s="82">
        <f t="shared" si="68"/>
        <v>503.91119300000008</v>
      </c>
    </row>
    <row r="320" spans="1:19" ht="16.5">
      <c r="A320" s="103" t="s">
        <v>81</v>
      </c>
      <c r="B320" s="82">
        <f t="shared" si="69"/>
        <v>259.12524299999995</v>
      </c>
      <c r="C320" s="82">
        <f t="shared" si="69"/>
        <v>338.50515899999999</v>
      </c>
      <c r="D320" s="82">
        <f t="shared" si="69"/>
        <v>323.37515099999996</v>
      </c>
      <c r="E320" s="82">
        <f t="shared" si="69"/>
        <v>346.04362799999996</v>
      </c>
      <c r="F320" s="82">
        <f t="shared" si="69"/>
        <v>389.91431699999998</v>
      </c>
      <c r="G320" s="82">
        <f t="shared" si="69"/>
        <v>331.70263799999998</v>
      </c>
      <c r="H320" s="82">
        <f t="shared" si="69"/>
        <v>545.45305099999996</v>
      </c>
      <c r="I320" s="82">
        <f t="shared" si="69"/>
        <v>366.76755299999996</v>
      </c>
      <c r="J320" s="82">
        <f t="shared" si="69"/>
        <v>270.00984400000004</v>
      </c>
      <c r="K320" s="82">
        <f t="shared" si="69"/>
        <v>331.60227700000007</v>
      </c>
      <c r="L320" s="82">
        <f t="shared" si="69"/>
        <v>198.96667999999997</v>
      </c>
      <c r="M320" s="82">
        <f t="shared" si="69"/>
        <v>113.94442799999997</v>
      </c>
      <c r="N320" s="82">
        <f t="shared" si="64"/>
        <v>3815.4099689999998</v>
      </c>
      <c r="O320" s="27"/>
      <c r="P320" s="82">
        <f t="shared" si="65"/>
        <v>921.00555299999996</v>
      </c>
      <c r="Q320" s="82">
        <f t="shared" si="66"/>
        <v>1067.6605829999999</v>
      </c>
      <c r="R320" s="82">
        <f t="shared" si="67"/>
        <v>1182.2304479999998</v>
      </c>
      <c r="S320" s="82">
        <f t="shared" si="68"/>
        <v>644.51338500000008</v>
      </c>
    </row>
    <row r="321" spans="1:19" ht="17.25" thickBot="1">
      <c r="A321" s="103" t="s">
        <v>82</v>
      </c>
      <c r="B321" s="82">
        <f t="shared" si="69"/>
        <v>232.32392299999998</v>
      </c>
      <c r="C321" s="82">
        <f t="shared" si="69"/>
        <v>268.22687500000006</v>
      </c>
      <c r="D321" s="82">
        <f t="shared" si="69"/>
        <v>286.57365000000004</v>
      </c>
      <c r="E321" s="82">
        <f t="shared" si="69"/>
        <v>241.518</v>
      </c>
      <c r="F321" s="82">
        <f t="shared" si="69"/>
        <v>256.20299999999997</v>
      </c>
      <c r="G321" s="82">
        <f t="shared" si="69"/>
        <v>195.27699999999999</v>
      </c>
      <c r="H321" s="82">
        <f>H437-H205-H89</f>
        <v>230.80700000000002</v>
      </c>
      <c r="I321" s="111">
        <f t="shared" si="69"/>
        <v>250.733</v>
      </c>
      <c r="J321" s="112">
        <f t="shared" si="69"/>
        <v>206.083</v>
      </c>
      <c r="K321" s="112">
        <f t="shared" si="69"/>
        <v>226.90700000000004</v>
      </c>
      <c r="L321" s="111">
        <f t="shared" si="69"/>
        <v>137.67700000000002</v>
      </c>
      <c r="M321" s="111">
        <f>M437-M205-M89</f>
        <v>166.74399999999994</v>
      </c>
      <c r="N321" s="111">
        <f t="shared" ref="N321" si="70">SUM(B321:L321)</f>
        <v>2532.3294480000004</v>
      </c>
      <c r="O321" s="27"/>
      <c r="P321" s="82">
        <f t="shared" si="65"/>
        <v>787.12444800000003</v>
      </c>
      <c r="Q321" s="82">
        <f t="shared" si="66"/>
        <v>692.99800000000005</v>
      </c>
      <c r="R321" s="82">
        <f t="shared" si="67"/>
        <v>687.62300000000005</v>
      </c>
      <c r="S321" s="82">
        <f t="shared" si="68"/>
        <v>531.32799999999997</v>
      </c>
    </row>
    <row r="322" spans="1:19" ht="16.5">
      <c r="A322" s="104" t="s">
        <v>118</v>
      </c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6"/>
      <c r="Q322" s="106"/>
      <c r="R322" s="106"/>
      <c r="S322" s="106"/>
    </row>
    <row r="323" spans="1:19" ht="16.5" hidden="1">
      <c r="A323" s="81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27"/>
      <c r="P323" s="82"/>
      <c r="Q323" s="82"/>
      <c r="R323" s="82"/>
      <c r="S323" s="82"/>
    </row>
    <row r="324" spans="1:19" ht="16.5" hidden="1">
      <c r="A324" s="81" t="s">
        <v>56</v>
      </c>
      <c r="B324" s="82">
        <f t="shared" ref="B324:M339" si="71">B237+B266+B295</f>
        <v>17.7</v>
      </c>
      <c r="C324" s="82">
        <f t="shared" si="71"/>
        <v>24.1</v>
      </c>
      <c r="D324" s="82">
        <f t="shared" si="71"/>
        <v>16.7</v>
      </c>
      <c r="E324" s="82">
        <f t="shared" si="71"/>
        <v>10.9</v>
      </c>
      <c r="F324" s="82">
        <f t="shared" si="71"/>
        <v>10.7</v>
      </c>
      <c r="G324" s="82">
        <f t="shared" si="71"/>
        <v>17.399999999999999</v>
      </c>
      <c r="H324" s="82">
        <f t="shared" si="71"/>
        <v>8</v>
      </c>
      <c r="I324" s="82">
        <f t="shared" si="71"/>
        <v>15.1</v>
      </c>
      <c r="J324" s="82">
        <f t="shared" si="71"/>
        <v>12.9</v>
      </c>
      <c r="K324" s="82">
        <f t="shared" si="71"/>
        <v>13.5</v>
      </c>
      <c r="L324" s="82">
        <f t="shared" si="71"/>
        <v>23.9</v>
      </c>
      <c r="M324" s="82">
        <f t="shared" si="71"/>
        <v>12.3</v>
      </c>
      <c r="N324" s="82">
        <f>SUM(B324:M324)</f>
        <v>183.20000000000002</v>
      </c>
      <c r="O324" s="27"/>
      <c r="P324" s="82">
        <f>D324+B324+C324</f>
        <v>58.5</v>
      </c>
      <c r="Q324" s="82">
        <f>SUM(E324:G324)</f>
        <v>39</v>
      </c>
      <c r="R324" s="82">
        <f>SUM(H324:J324)</f>
        <v>36</v>
      </c>
      <c r="S324" s="82">
        <f>SUM(K324:M324)</f>
        <v>49.7</v>
      </c>
    </row>
    <row r="325" spans="1:19" ht="16.5" hidden="1">
      <c r="A325" s="81" t="s">
        <v>57</v>
      </c>
      <c r="B325" s="82">
        <f t="shared" si="71"/>
        <v>16.3</v>
      </c>
      <c r="C325" s="82">
        <f t="shared" si="71"/>
        <v>29.2</v>
      </c>
      <c r="D325" s="82">
        <f t="shared" si="71"/>
        <v>25.8</v>
      </c>
      <c r="E325" s="82">
        <f t="shared" si="71"/>
        <v>29</v>
      </c>
      <c r="F325" s="82">
        <f t="shared" si="71"/>
        <v>29</v>
      </c>
      <c r="G325" s="82">
        <f t="shared" si="71"/>
        <v>26</v>
      </c>
      <c r="H325" s="82">
        <f t="shared" si="71"/>
        <v>19</v>
      </c>
      <c r="I325" s="82">
        <f t="shared" si="71"/>
        <v>20.7</v>
      </c>
      <c r="J325" s="82">
        <f t="shared" si="71"/>
        <v>24.7</v>
      </c>
      <c r="K325" s="82">
        <f t="shared" si="71"/>
        <v>10.7</v>
      </c>
      <c r="L325" s="82">
        <f t="shared" si="71"/>
        <v>22.8</v>
      </c>
      <c r="M325" s="82">
        <f t="shared" si="71"/>
        <v>15.7</v>
      </c>
      <c r="N325" s="82">
        <f t="shared" ref="N325:N349" si="72">SUM(B325:M325)</f>
        <v>268.89999999999998</v>
      </c>
      <c r="O325" s="27"/>
      <c r="P325" s="82">
        <f t="shared" ref="P325:P350" si="73">D325+B325+C325</f>
        <v>71.3</v>
      </c>
      <c r="Q325" s="82">
        <f t="shared" ref="Q325:Q350" si="74">SUM(E325:G325)</f>
        <v>84</v>
      </c>
      <c r="R325" s="82">
        <f t="shared" ref="R325:R350" si="75">SUM(H325:J325)</f>
        <v>64.400000000000006</v>
      </c>
      <c r="S325" s="82">
        <f t="shared" ref="S325:S350" si="76">SUM(K325:M325)</f>
        <v>49.2</v>
      </c>
    </row>
    <row r="326" spans="1:19" ht="16.5" hidden="1">
      <c r="A326" s="81" t="s">
        <v>58</v>
      </c>
      <c r="B326" s="82">
        <f t="shared" si="71"/>
        <v>17.600000000000001</v>
      </c>
      <c r="C326" s="82">
        <f t="shared" si="71"/>
        <v>26.4</v>
      </c>
      <c r="D326" s="82">
        <f t="shared" si="71"/>
        <v>28.1</v>
      </c>
      <c r="E326" s="82">
        <f t="shared" si="71"/>
        <v>60.272325000000002</v>
      </c>
      <c r="F326" s="82">
        <f t="shared" si="71"/>
        <v>67.253332</v>
      </c>
      <c r="G326" s="82">
        <f t="shared" si="71"/>
        <v>76.18841900000001</v>
      </c>
      <c r="H326" s="82">
        <f t="shared" si="71"/>
        <v>56.56785</v>
      </c>
      <c r="I326" s="82">
        <f t="shared" si="71"/>
        <v>32.419052000000001</v>
      </c>
      <c r="J326" s="82">
        <f t="shared" si="71"/>
        <v>22.332751000000002</v>
      </c>
      <c r="K326" s="82">
        <f t="shared" si="71"/>
        <v>23.447651</v>
      </c>
      <c r="L326" s="82">
        <f t="shared" si="71"/>
        <v>19.521943999999998</v>
      </c>
      <c r="M326" s="82">
        <f t="shared" si="71"/>
        <v>39.325442999999993</v>
      </c>
      <c r="N326" s="82">
        <f t="shared" si="72"/>
        <v>469.42876700000005</v>
      </c>
      <c r="O326" s="27"/>
      <c r="P326" s="82">
        <f t="shared" si="73"/>
        <v>72.099999999999994</v>
      </c>
      <c r="Q326" s="82">
        <f t="shared" si="74"/>
        <v>203.71407600000001</v>
      </c>
      <c r="R326" s="82">
        <f t="shared" si="75"/>
        <v>111.319653</v>
      </c>
      <c r="S326" s="82">
        <f t="shared" si="76"/>
        <v>82.295037999999991</v>
      </c>
    </row>
    <row r="327" spans="1:19" ht="16.5" hidden="1">
      <c r="A327" s="81" t="s">
        <v>59</v>
      </c>
      <c r="B327" s="82">
        <f t="shared" si="71"/>
        <v>66.378062999999997</v>
      </c>
      <c r="C327" s="82">
        <f t="shared" si="71"/>
        <v>59.261054999999999</v>
      </c>
      <c r="D327" s="82">
        <f t="shared" si="71"/>
        <v>73.136600999999999</v>
      </c>
      <c r="E327" s="82">
        <f t="shared" si="71"/>
        <v>71.941597999999999</v>
      </c>
      <c r="F327" s="82">
        <f t="shared" si="71"/>
        <v>39.159530000000004</v>
      </c>
      <c r="G327" s="82">
        <f t="shared" si="71"/>
        <v>28.376086999999998</v>
      </c>
      <c r="H327" s="82">
        <f t="shared" si="71"/>
        <v>15.769165999999998</v>
      </c>
      <c r="I327" s="82">
        <f t="shared" si="71"/>
        <v>15.181448000000001</v>
      </c>
      <c r="J327" s="82">
        <f t="shared" si="71"/>
        <v>11.122290999999999</v>
      </c>
      <c r="K327" s="82">
        <f t="shared" si="71"/>
        <v>19.262250999999999</v>
      </c>
      <c r="L327" s="82">
        <f t="shared" si="71"/>
        <v>22.489454000000002</v>
      </c>
      <c r="M327" s="82">
        <f t="shared" si="71"/>
        <v>18.819587999999996</v>
      </c>
      <c r="N327" s="82">
        <f t="shared" si="72"/>
        <v>440.897132</v>
      </c>
      <c r="O327" s="27"/>
      <c r="P327" s="82">
        <f t="shared" si="73"/>
        <v>198.77571899999998</v>
      </c>
      <c r="Q327" s="82">
        <f t="shared" si="74"/>
        <v>139.477215</v>
      </c>
      <c r="R327" s="82">
        <f t="shared" si="75"/>
        <v>42.072904999999999</v>
      </c>
      <c r="S327" s="82">
        <f t="shared" si="76"/>
        <v>60.571292999999997</v>
      </c>
    </row>
    <row r="328" spans="1:19" ht="16.5" hidden="1">
      <c r="A328" s="81" t="s">
        <v>60</v>
      </c>
      <c r="B328" s="82">
        <f t="shared" si="71"/>
        <v>41.432126999999994</v>
      </c>
      <c r="C328" s="82">
        <f t="shared" si="71"/>
        <v>47.055797000000005</v>
      </c>
      <c r="D328" s="82">
        <f t="shared" si="71"/>
        <v>77.417663000000005</v>
      </c>
      <c r="E328" s="82">
        <f t="shared" si="71"/>
        <v>44.898114</v>
      </c>
      <c r="F328" s="82">
        <f t="shared" si="71"/>
        <v>40.786411000000001</v>
      </c>
      <c r="G328" s="82">
        <f t="shared" si="71"/>
        <v>41.688488999999997</v>
      </c>
      <c r="H328" s="82">
        <f t="shared" si="71"/>
        <v>36.676823999999996</v>
      </c>
      <c r="I328" s="82">
        <f t="shared" si="71"/>
        <v>24.500405000000001</v>
      </c>
      <c r="J328" s="82">
        <f t="shared" si="71"/>
        <v>44.498066999999999</v>
      </c>
      <c r="K328" s="82">
        <f t="shared" si="71"/>
        <v>36.889768000000004</v>
      </c>
      <c r="L328" s="82">
        <f t="shared" si="71"/>
        <v>36.950058999999996</v>
      </c>
      <c r="M328" s="82">
        <f t="shared" si="71"/>
        <v>21.795441</v>
      </c>
      <c r="N328" s="82">
        <f t="shared" si="72"/>
        <v>494.58916499999998</v>
      </c>
      <c r="O328" s="27"/>
      <c r="P328" s="82">
        <f t="shared" si="73"/>
        <v>165.905587</v>
      </c>
      <c r="Q328" s="82">
        <f t="shared" si="74"/>
        <v>127.37301400000001</v>
      </c>
      <c r="R328" s="82">
        <f t="shared" si="75"/>
        <v>105.675296</v>
      </c>
      <c r="S328" s="82">
        <f t="shared" si="76"/>
        <v>95.635267999999996</v>
      </c>
    </row>
    <row r="329" spans="1:19" ht="16.5" hidden="1">
      <c r="A329" s="81" t="s">
        <v>61</v>
      </c>
      <c r="B329" s="82">
        <f t="shared" si="71"/>
        <v>53.609706499999994</v>
      </c>
      <c r="C329" s="82">
        <f t="shared" si="71"/>
        <v>75.238112999999998</v>
      </c>
      <c r="D329" s="82">
        <f t="shared" si="71"/>
        <v>55.528153509999996</v>
      </c>
      <c r="E329" s="82">
        <f t="shared" si="71"/>
        <v>69.144888000000009</v>
      </c>
      <c r="F329" s="82">
        <f t="shared" si="71"/>
        <v>90.664344</v>
      </c>
      <c r="G329" s="82">
        <f t="shared" si="71"/>
        <v>85.772786999999994</v>
      </c>
      <c r="H329" s="82">
        <f t="shared" si="71"/>
        <v>77.145792</v>
      </c>
      <c r="I329" s="82">
        <f t="shared" si="71"/>
        <v>67.813371000000004</v>
      </c>
      <c r="J329" s="82">
        <f t="shared" si="71"/>
        <v>86.455016000000001</v>
      </c>
      <c r="K329" s="82">
        <f t="shared" si="71"/>
        <v>79.969527999999997</v>
      </c>
      <c r="L329" s="82">
        <f t="shared" si="71"/>
        <v>70.747911000000002</v>
      </c>
      <c r="M329" s="82">
        <f t="shared" si="71"/>
        <v>60.030998999999994</v>
      </c>
      <c r="N329" s="82">
        <f t="shared" si="72"/>
        <v>872.12060900999995</v>
      </c>
      <c r="O329" s="27"/>
      <c r="P329" s="82">
        <f t="shared" si="73"/>
        <v>184.37597301</v>
      </c>
      <c r="Q329" s="82">
        <f t="shared" si="74"/>
        <v>245.582019</v>
      </c>
      <c r="R329" s="82">
        <f t="shared" si="75"/>
        <v>231.41417899999999</v>
      </c>
      <c r="S329" s="82">
        <f t="shared" si="76"/>
        <v>210.74843800000002</v>
      </c>
    </row>
    <row r="330" spans="1:19" ht="16.5" hidden="1">
      <c r="A330" s="81" t="s">
        <v>62</v>
      </c>
      <c r="B330" s="82">
        <f t="shared" si="71"/>
        <v>85.681584999999998</v>
      </c>
      <c r="C330" s="82">
        <f t="shared" si="71"/>
        <v>101.606748</v>
      </c>
      <c r="D330" s="82">
        <f t="shared" si="71"/>
        <v>120.87326400000001</v>
      </c>
      <c r="E330" s="82">
        <f t="shared" si="71"/>
        <v>89.906731000000008</v>
      </c>
      <c r="F330" s="82">
        <f t="shared" si="71"/>
        <v>94.458791000000005</v>
      </c>
      <c r="G330" s="82">
        <f t="shared" si="71"/>
        <v>82.508393999999996</v>
      </c>
      <c r="H330" s="82">
        <f t="shared" si="71"/>
        <v>63.958737000000006</v>
      </c>
      <c r="I330" s="82">
        <f t="shared" si="71"/>
        <v>41.955953000000001</v>
      </c>
      <c r="J330" s="82">
        <f t="shared" si="71"/>
        <v>64.135146999999989</v>
      </c>
      <c r="K330" s="82">
        <f t="shared" si="71"/>
        <v>59.099514999999997</v>
      </c>
      <c r="L330" s="82">
        <f t="shared" si="71"/>
        <v>40.067355000000006</v>
      </c>
      <c r="M330" s="82">
        <f t="shared" si="71"/>
        <v>-7.707377000000001</v>
      </c>
      <c r="N330" s="82">
        <f t="shared" si="72"/>
        <v>836.54484300000013</v>
      </c>
      <c r="O330" s="27"/>
      <c r="P330" s="82">
        <f t="shared" si="73"/>
        <v>308.16159699999997</v>
      </c>
      <c r="Q330" s="82">
        <f t="shared" si="74"/>
        <v>266.87391600000001</v>
      </c>
      <c r="R330" s="82">
        <f t="shared" si="75"/>
        <v>170.049837</v>
      </c>
      <c r="S330" s="82">
        <f t="shared" si="76"/>
        <v>91.459493000000009</v>
      </c>
    </row>
    <row r="331" spans="1:19" ht="16.5" hidden="1">
      <c r="A331" s="81" t="s">
        <v>63</v>
      </c>
      <c r="B331" s="82">
        <f t="shared" si="71"/>
        <v>64.236954999999995</v>
      </c>
      <c r="C331" s="82">
        <f t="shared" si="71"/>
        <v>59.674301</v>
      </c>
      <c r="D331" s="82">
        <f t="shared" si="71"/>
        <v>47.954781199999999</v>
      </c>
      <c r="E331" s="82">
        <f t="shared" si="71"/>
        <v>45.394522500000001</v>
      </c>
      <c r="F331" s="82">
        <f t="shared" si="71"/>
        <v>35.746973499999996</v>
      </c>
      <c r="G331" s="82">
        <f t="shared" si="71"/>
        <v>57.607201649999993</v>
      </c>
      <c r="H331" s="82">
        <f t="shared" si="71"/>
        <v>50.691932999999999</v>
      </c>
      <c r="I331" s="82">
        <f t="shared" si="71"/>
        <v>42.688427000000004</v>
      </c>
      <c r="J331" s="82">
        <f t="shared" si="71"/>
        <v>43.13053</v>
      </c>
      <c r="K331" s="82">
        <f t="shared" si="71"/>
        <v>48.959688</v>
      </c>
      <c r="L331" s="82">
        <f t="shared" si="71"/>
        <v>36.848884999999996</v>
      </c>
      <c r="M331" s="82">
        <f t="shared" si="71"/>
        <v>56.972453000000002</v>
      </c>
      <c r="N331" s="82">
        <f t="shared" si="72"/>
        <v>589.90665085000001</v>
      </c>
      <c r="O331" s="27"/>
      <c r="P331" s="82">
        <f t="shared" si="73"/>
        <v>171.86603719999999</v>
      </c>
      <c r="Q331" s="82">
        <f t="shared" si="74"/>
        <v>138.74869765</v>
      </c>
      <c r="R331" s="82">
        <f t="shared" si="75"/>
        <v>136.51088999999999</v>
      </c>
      <c r="S331" s="82">
        <f t="shared" si="76"/>
        <v>142.781026</v>
      </c>
    </row>
    <row r="332" spans="1:19" ht="16.5" hidden="1">
      <c r="A332" s="81" t="s">
        <v>64</v>
      </c>
      <c r="B332" s="82">
        <f t="shared" si="71"/>
        <v>107.36127400000001</v>
      </c>
      <c r="C332" s="82">
        <f t="shared" si="71"/>
        <v>98.172143000000005</v>
      </c>
      <c r="D332" s="82">
        <f t="shared" si="71"/>
        <v>127.91915899999999</v>
      </c>
      <c r="E332" s="82">
        <f t="shared" si="71"/>
        <v>99.240765999999994</v>
      </c>
      <c r="F332" s="82">
        <f t="shared" si="71"/>
        <v>94.756523999999999</v>
      </c>
      <c r="G332" s="82">
        <f t="shared" si="71"/>
        <v>116.44877000000001</v>
      </c>
      <c r="H332" s="82">
        <f t="shared" si="71"/>
        <v>119.53465</v>
      </c>
      <c r="I332" s="82">
        <f t="shared" si="71"/>
        <v>111.34406899999999</v>
      </c>
      <c r="J332" s="82">
        <f t="shared" si="71"/>
        <v>91.497505000000004</v>
      </c>
      <c r="K332" s="82">
        <f t="shared" si="71"/>
        <v>81.524486999999993</v>
      </c>
      <c r="L332" s="82">
        <f t="shared" si="71"/>
        <v>60.635194999999996</v>
      </c>
      <c r="M332" s="82">
        <f t="shared" si="71"/>
        <v>50.833828000000004</v>
      </c>
      <c r="N332" s="82">
        <f t="shared" si="72"/>
        <v>1159.26837</v>
      </c>
      <c r="O332" s="27"/>
      <c r="P332" s="82">
        <f t="shared" si="73"/>
        <v>333.45257600000002</v>
      </c>
      <c r="Q332" s="82">
        <f t="shared" si="74"/>
        <v>310.44605999999999</v>
      </c>
      <c r="R332" s="82">
        <f t="shared" si="75"/>
        <v>322.37622399999998</v>
      </c>
      <c r="S332" s="82">
        <f t="shared" si="76"/>
        <v>192.99350999999999</v>
      </c>
    </row>
    <row r="333" spans="1:19" ht="16.5" hidden="1">
      <c r="A333" s="83" t="s">
        <v>65</v>
      </c>
      <c r="B333" s="82">
        <f t="shared" si="71"/>
        <v>122.08251700000001</v>
      </c>
      <c r="C333" s="82">
        <f t="shared" si="71"/>
        <v>123.014805</v>
      </c>
      <c r="D333" s="82">
        <f t="shared" si="71"/>
        <v>135.687083</v>
      </c>
      <c r="E333" s="82">
        <f t="shared" si="71"/>
        <v>96.391165000000001</v>
      </c>
      <c r="F333" s="82">
        <f t="shared" si="71"/>
        <v>101.41185299999999</v>
      </c>
      <c r="G333" s="82">
        <f t="shared" si="71"/>
        <v>152.80165500000001</v>
      </c>
      <c r="H333" s="82">
        <f t="shared" si="71"/>
        <v>136.90031300000001</v>
      </c>
      <c r="I333" s="82">
        <f t="shared" si="71"/>
        <v>101.45506399999999</v>
      </c>
      <c r="J333" s="82">
        <f t="shared" si="71"/>
        <v>125.61301900000001</v>
      </c>
      <c r="K333" s="82">
        <f t="shared" si="71"/>
        <v>98.980330999999993</v>
      </c>
      <c r="L333" s="82">
        <f t="shared" si="71"/>
        <v>87.213695000000001</v>
      </c>
      <c r="M333" s="82">
        <f t="shared" si="71"/>
        <v>44.613580999999996</v>
      </c>
      <c r="N333" s="82">
        <f t="shared" si="72"/>
        <v>1326.1650809999999</v>
      </c>
      <c r="O333" s="27"/>
      <c r="P333" s="82">
        <f t="shared" si="73"/>
        <v>380.78440499999999</v>
      </c>
      <c r="Q333" s="82">
        <f t="shared" si="74"/>
        <v>350.60467300000005</v>
      </c>
      <c r="R333" s="82">
        <f t="shared" si="75"/>
        <v>363.96839599999998</v>
      </c>
      <c r="S333" s="82">
        <f t="shared" si="76"/>
        <v>230.80760700000002</v>
      </c>
    </row>
    <row r="334" spans="1:19" ht="16.5" hidden="1">
      <c r="A334" s="83" t="s">
        <v>66</v>
      </c>
      <c r="B334" s="82">
        <f t="shared" si="71"/>
        <v>83.677380999999997</v>
      </c>
      <c r="C334" s="82">
        <f t="shared" si="71"/>
        <v>63.505133999999998</v>
      </c>
      <c r="D334" s="82">
        <f t="shared" si="71"/>
        <v>104.58199999999999</v>
      </c>
      <c r="E334" s="82">
        <f t="shared" si="71"/>
        <v>116.434</v>
      </c>
      <c r="F334" s="82">
        <f t="shared" si="71"/>
        <v>88.03</v>
      </c>
      <c r="G334" s="82">
        <f t="shared" si="71"/>
        <v>106.73399999999999</v>
      </c>
      <c r="H334" s="82">
        <f t="shared" si="71"/>
        <v>98.08</v>
      </c>
      <c r="I334" s="82">
        <f t="shared" si="71"/>
        <v>97.388000000000005</v>
      </c>
      <c r="J334" s="82">
        <f t="shared" si="71"/>
        <v>123.753</v>
      </c>
      <c r="K334" s="82">
        <f t="shared" si="71"/>
        <v>79.224000000000004</v>
      </c>
      <c r="L334" s="82">
        <f t="shared" si="71"/>
        <v>54.463999999999999</v>
      </c>
      <c r="M334" s="82">
        <f t="shared" si="71"/>
        <v>55.836999999999996</v>
      </c>
      <c r="N334" s="82">
        <f t="shared" si="72"/>
        <v>1071.7085150000003</v>
      </c>
      <c r="O334" s="27"/>
      <c r="P334" s="82">
        <f t="shared" si="73"/>
        <v>251.76451499999999</v>
      </c>
      <c r="Q334" s="82">
        <f t="shared" si="74"/>
        <v>311.19799999999998</v>
      </c>
      <c r="R334" s="82">
        <f t="shared" si="75"/>
        <v>319.221</v>
      </c>
      <c r="S334" s="82">
        <f t="shared" si="76"/>
        <v>189.52499999999998</v>
      </c>
    </row>
    <row r="335" spans="1:19" ht="16.5" hidden="1">
      <c r="A335" s="84" t="s">
        <v>67</v>
      </c>
      <c r="B335" s="82">
        <f t="shared" si="71"/>
        <v>144.74099999999999</v>
      </c>
      <c r="C335" s="82">
        <f t="shared" si="71"/>
        <v>168.78899999999999</v>
      </c>
      <c r="D335" s="82">
        <f t="shared" si="71"/>
        <v>207.89700000000002</v>
      </c>
      <c r="E335" s="82">
        <f t="shared" si="71"/>
        <v>188.74799999999999</v>
      </c>
      <c r="F335" s="82">
        <f t="shared" si="71"/>
        <v>195.28000000000003</v>
      </c>
      <c r="G335" s="82">
        <f t="shared" si="71"/>
        <v>282.89699999999999</v>
      </c>
      <c r="H335" s="82">
        <f t="shared" si="71"/>
        <v>242.73099999999999</v>
      </c>
      <c r="I335" s="82">
        <f t="shared" si="71"/>
        <v>252.28899999999999</v>
      </c>
      <c r="J335" s="82">
        <f t="shared" si="71"/>
        <v>221.27199999999999</v>
      </c>
      <c r="K335" s="82">
        <f t="shared" si="71"/>
        <v>162.89600000000002</v>
      </c>
      <c r="L335" s="82">
        <f t="shared" si="71"/>
        <v>141.64699999999999</v>
      </c>
      <c r="M335" s="82">
        <f t="shared" si="71"/>
        <v>137.88999999999999</v>
      </c>
      <c r="N335" s="82">
        <f t="shared" si="72"/>
        <v>2347.0769999999998</v>
      </c>
      <c r="O335" s="27"/>
      <c r="P335" s="82">
        <f t="shared" si="73"/>
        <v>521.42700000000002</v>
      </c>
      <c r="Q335" s="82">
        <f t="shared" si="74"/>
        <v>666.92499999999995</v>
      </c>
      <c r="R335" s="82">
        <f t="shared" si="75"/>
        <v>716.29199999999992</v>
      </c>
      <c r="S335" s="82">
        <f t="shared" si="76"/>
        <v>442.43299999999999</v>
      </c>
    </row>
    <row r="336" spans="1:19" ht="16.5" hidden="1">
      <c r="A336" s="83" t="s">
        <v>68</v>
      </c>
      <c r="B336" s="82">
        <f t="shared" si="71"/>
        <v>142.06399999999999</v>
      </c>
      <c r="C336" s="82">
        <f t="shared" si="71"/>
        <v>204.482</v>
      </c>
      <c r="D336" s="82">
        <f t="shared" si="71"/>
        <v>234.35300000000001</v>
      </c>
      <c r="E336" s="82">
        <f t="shared" si="71"/>
        <v>218.56200000000001</v>
      </c>
      <c r="F336" s="82">
        <f t="shared" si="71"/>
        <v>239.548</v>
      </c>
      <c r="G336" s="82">
        <f t="shared" si="71"/>
        <v>280.13099999999997</v>
      </c>
      <c r="H336" s="82">
        <f t="shared" si="71"/>
        <v>266.50400000000002</v>
      </c>
      <c r="I336" s="82">
        <f t="shared" si="71"/>
        <v>315.55599999999998</v>
      </c>
      <c r="J336" s="82">
        <f t="shared" si="71"/>
        <v>266.755</v>
      </c>
      <c r="K336" s="82">
        <f t="shared" si="71"/>
        <v>201.27199999999999</v>
      </c>
      <c r="L336" s="82">
        <f t="shared" si="71"/>
        <v>126.48400000000001</v>
      </c>
      <c r="M336" s="82">
        <f t="shared" si="71"/>
        <v>88.346999999999994</v>
      </c>
      <c r="N336" s="82">
        <f t="shared" si="72"/>
        <v>2584.058</v>
      </c>
      <c r="O336" s="27"/>
      <c r="P336" s="82">
        <f t="shared" si="73"/>
        <v>580.899</v>
      </c>
      <c r="Q336" s="82">
        <f t="shared" si="74"/>
        <v>738.24099999999999</v>
      </c>
      <c r="R336" s="82">
        <f t="shared" si="75"/>
        <v>848.81499999999994</v>
      </c>
      <c r="S336" s="82">
        <f t="shared" si="76"/>
        <v>416.10299999999995</v>
      </c>
    </row>
    <row r="337" spans="1:19" ht="16.5" hidden="1">
      <c r="A337" s="84" t="s">
        <v>69</v>
      </c>
      <c r="B337" s="82">
        <f t="shared" si="71"/>
        <v>165.691</v>
      </c>
      <c r="C337" s="82">
        <f t="shared" si="71"/>
        <v>206.98699999999999</v>
      </c>
      <c r="D337" s="82">
        <f t="shared" si="71"/>
        <v>248.47500000000002</v>
      </c>
      <c r="E337" s="82">
        <f t="shared" si="71"/>
        <v>144.59700000000001</v>
      </c>
      <c r="F337" s="82">
        <f t="shared" si="71"/>
        <v>213.68200000000002</v>
      </c>
      <c r="G337" s="82">
        <f t="shared" si="71"/>
        <v>169.846</v>
      </c>
      <c r="H337" s="82">
        <f t="shared" si="71"/>
        <v>47.869</v>
      </c>
      <c r="I337" s="82">
        <f t="shared" si="71"/>
        <v>70.86</v>
      </c>
      <c r="J337" s="82">
        <f t="shared" si="71"/>
        <v>141.15100000000001</v>
      </c>
      <c r="K337" s="82">
        <f t="shared" si="71"/>
        <v>153.47899999999998</v>
      </c>
      <c r="L337" s="82">
        <f t="shared" si="71"/>
        <v>106.81399999999999</v>
      </c>
      <c r="M337" s="82">
        <f t="shared" si="71"/>
        <v>107.40300000000001</v>
      </c>
      <c r="N337" s="82">
        <f t="shared" si="72"/>
        <v>1776.854</v>
      </c>
      <c r="O337" s="27"/>
      <c r="P337" s="82">
        <f t="shared" si="73"/>
        <v>621.15300000000002</v>
      </c>
      <c r="Q337" s="82">
        <f t="shared" si="74"/>
        <v>528.125</v>
      </c>
      <c r="R337" s="82">
        <f t="shared" si="75"/>
        <v>259.88</v>
      </c>
      <c r="S337" s="82">
        <f t="shared" si="76"/>
        <v>367.69600000000003</v>
      </c>
    </row>
    <row r="338" spans="1:19" ht="16.5" hidden="1">
      <c r="A338" s="84" t="s">
        <v>70</v>
      </c>
      <c r="B338" s="82">
        <f t="shared" si="71"/>
        <v>223.505</v>
      </c>
      <c r="C338" s="82">
        <f t="shared" si="71"/>
        <v>222.429</v>
      </c>
      <c r="D338" s="82">
        <f t="shared" si="71"/>
        <v>272.68400000000003</v>
      </c>
      <c r="E338" s="82">
        <f t="shared" si="71"/>
        <v>171.11200000000002</v>
      </c>
      <c r="F338" s="82">
        <f t="shared" si="71"/>
        <v>222.66399999999999</v>
      </c>
      <c r="G338" s="82">
        <f t="shared" si="71"/>
        <v>214.05800000000002</v>
      </c>
      <c r="H338" s="82">
        <f t="shared" si="71"/>
        <v>187.65799999999999</v>
      </c>
      <c r="I338" s="82">
        <f t="shared" si="71"/>
        <v>220.25299999999999</v>
      </c>
      <c r="J338" s="82">
        <f t="shared" si="71"/>
        <v>288.77600000000001</v>
      </c>
      <c r="K338" s="82">
        <f t="shared" si="71"/>
        <v>235.733</v>
      </c>
      <c r="L338" s="82">
        <f t="shared" si="71"/>
        <v>170.03599999999997</v>
      </c>
      <c r="M338" s="82">
        <f t="shared" si="71"/>
        <v>160.40500000000003</v>
      </c>
      <c r="N338" s="82">
        <f t="shared" si="72"/>
        <v>2589.3130000000001</v>
      </c>
      <c r="O338" s="27"/>
      <c r="P338" s="82">
        <f t="shared" si="73"/>
        <v>718.61800000000005</v>
      </c>
      <c r="Q338" s="82">
        <f t="shared" si="74"/>
        <v>607.83400000000006</v>
      </c>
      <c r="R338" s="82">
        <f t="shared" si="75"/>
        <v>696.6869999999999</v>
      </c>
      <c r="S338" s="82">
        <f t="shared" si="76"/>
        <v>566.17399999999998</v>
      </c>
    </row>
    <row r="339" spans="1:19" ht="16.5" hidden="1">
      <c r="A339" s="83" t="s">
        <v>71</v>
      </c>
      <c r="B339" s="82">
        <f t="shared" si="71"/>
        <v>193.02699999999999</v>
      </c>
      <c r="C339" s="82">
        <f t="shared" si="71"/>
        <v>233.017</v>
      </c>
      <c r="D339" s="82">
        <f t="shared" si="71"/>
        <v>290.92300000000006</v>
      </c>
      <c r="E339" s="82">
        <f t="shared" si="71"/>
        <v>146.47200000000001</v>
      </c>
      <c r="F339" s="82">
        <f t="shared" si="71"/>
        <v>190.92400000000001</v>
      </c>
      <c r="G339" s="82">
        <f t="shared" si="71"/>
        <v>192.792</v>
      </c>
      <c r="H339" s="82">
        <f t="shared" si="71"/>
        <v>281.04899999999998</v>
      </c>
      <c r="I339" s="82">
        <f t="shared" si="71"/>
        <v>277.06099999999998</v>
      </c>
      <c r="J339" s="82">
        <f t="shared" si="71"/>
        <v>278.94900000000001</v>
      </c>
      <c r="K339" s="82">
        <f t="shared" si="71"/>
        <v>229.59300000000002</v>
      </c>
      <c r="L339" s="82">
        <f t="shared" si="71"/>
        <v>166.09300000000002</v>
      </c>
      <c r="M339" s="82">
        <f t="shared" si="71"/>
        <v>94.233000000000004</v>
      </c>
      <c r="N339" s="82">
        <f t="shared" si="72"/>
        <v>2574.1329999999998</v>
      </c>
      <c r="O339" s="27"/>
      <c r="P339" s="82">
        <f t="shared" si="73"/>
        <v>716.9670000000001</v>
      </c>
      <c r="Q339" s="82">
        <f t="shared" si="74"/>
        <v>530.18799999999999</v>
      </c>
      <c r="R339" s="82">
        <f t="shared" si="75"/>
        <v>837.05899999999997</v>
      </c>
      <c r="S339" s="82">
        <f t="shared" si="76"/>
        <v>489.91900000000004</v>
      </c>
    </row>
    <row r="340" spans="1:19" ht="16.5" hidden="1">
      <c r="A340" s="84" t="s">
        <v>72</v>
      </c>
      <c r="B340" s="82">
        <f t="shared" ref="B340:M350" si="77">B253+B282+B311</f>
        <v>192.791</v>
      </c>
      <c r="C340" s="82">
        <f t="shared" si="77"/>
        <v>219.93000000000004</v>
      </c>
      <c r="D340" s="82">
        <f t="shared" si="77"/>
        <v>246.42200000000003</v>
      </c>
      <c r="E340" s="82">
        <f t="shared" si="77"/>
        <v>225.61099999999999</v>
      </c>
      <c r="F340" s="82">
        <f t="shared" si="77"/>
        <v>165.23100000000002</v>
      </c>
      <c r="G340" s="82">
        <f t="shared" si="77"/>
        <v>236.44500000000002</v>
      </c>
      <c r="H340" s="82">
        <f t="shared" si="77"/>
        <v>176.15199999999999</v>
      </c>
      <c r="I340" s="82">
        <f t="shared" si="77"/>
        <v>249.03499999999997</v>
      </c>
      <c r="J340" s="82">
        <f t="shared" si="77"/>
        <v>181.744</v>
      </c>
      <c r="K340" s="82">
        <f t="shared" si="77"/>
        <v>150.00700000000001</v>
      </c>
      <c r="L340" s="82">
        <f t="shared" si="77"/>
        <v>123.59500000000001</v>
      </c>
      <c r="M340" s="82">
        <f t="shared" si="77"/>
        <v>81.893000000000001</v>
      </c>
      <c r="N340" s="82">
        <f t="shared" si="72"/>
        <v>2248.8560000000002</v>
      </c>
      <c r="O340" s="27"/>
      <c r="P340" s="82">
        <f t="shared" si="73"/>
        <v>659.14300000000003</v>
      </c>
      <c r="Q340" s="82">
        <f t="shared" si="74"/>
        <v>627.28700000000003</v>
      </c>
      <c r="R340" s="82">
        <f t="shared" si="75"/>
        <v>606.93099999999993</v>
      </c>
      <c r="S340" s="82">
        <f t="shared" si="76"/>
        <v>355.495</v>
      </c>
    </row>
    <row r="341" spans="1:19" ht="16.5" hidden="1">
      <c r="A341" s="83" t="s">
        <v>73</v>
      </c>
      <c r="B341" s="82">
        <f t="shared" si="77"/>
        <v>241.86800000000002</v>
      </c>
      <c r="C341" s="82">
        <f t="shared" si="77"/>
        <v>348.20699999999999</v>
      </c>
      <c r="D341" s="82">
        <f t="shared" si="77"/>
        <v>260.22100000000006</v>
      </c>
      <c r="E341" s="82">
        <f t="shared" si="77"/>
        <v>257.93400000000003</v>
      </c>
      <c r="F341" s="82">
        <f t="shared" si="77"/>
        <v>257.5</v>
      </c>
      <c r="G341" s="82">
        <f t="shared" si="77"/>
        <v>332.18</v>
      </c>
      <c r="H341" s="82">
        <f t="shared" si="77"/>
        <v>408.1</v>
      </c>
      <c r="I341" s="82">
        <f t="shared" si="77"/>
        <v>437.76499999999999</v>
      </c>
      <c r="J341" s="82">
        <f t="shared" si="77"/>
        <v>392.16700000000003</v>
      </c>
      <c r="K341" s="82">
        <f t="shared" si="77"/>
        <v>293.69100000000003</v>
      </c>
      <c r="L341" s="82">
        <f t="shared" si="77"/>
        <v>344.07299999999998</v>
      </c>
      <c r="M341" s="82">
        <f t="shared" si="77"/>
        <v>230.83200000000002</v>
      </c>
      <c r="N341" s="82">
        <f t="shared" si="72"/>
        <v>3804.5379999999996</v>
      </c>
      <c r="O341" s="27"/>
      <c r="P341" s="82">
        <f t="shared" si="73"/>
        <v>850.29600000000005</v>
      </c>
      <c r="Q341" s="82">
        <f t="shared" si="74"/>
        <v>847.61400000000003</v>
      </c>
      <c r="R341" s="82">
        <f t="shared" si="75"/>
        <v>1238.0320000000002</v>
      </c>
      <c r="S341" s="82">
        <f t="shared" si="76"/>
        <v>868.596</v>
      </c>
    </row>
    <row r="342" spans="1:19" ht="16.5" hidden="1">
      <c r="A342" s="83" t="s">
        <v>74</v>
      </c>
      <c r="B342" s="82">
        <f t="shared" si="77"/>
        <v>382.42699999999996</v>
      </c>
      <c r="C342" s="82">
        <f t="shared" si="77"/>
        <v>308.09800000000001</v>
      </c>
      <c r="D342" s="82">
        <f t="shared" si="77"/>
        <v>278.47499999999997</v>
      </c>
      <c r="E342" s="82">
        <f t="shared" si="77"/>
        <v>310.577</v>
      </c>
      <c r="F342" s="82">
        <f t="shared" si="77"/>
        <v>230.779</v>
      </c>
      <c r="G342" s="82">
        <f t="shared" si="77"/>
        <v>303.52699999999999</v>
      </c>
      <c r="H342" s="82">
        <f t="shared" si="77"/>
        <v>230.21599999999998</v>
      </c>
      <c r="I342" s="82">
        <f t="shared" si="77"/>
        <v>297.18100000000004</v>
      </c>
      <c r="J342" s="82">
        <f t="shared" si="77"/>
        <v>244.90100000000004</v>
      </c>
      <c r="K342" s="82">
        <f t="shared" si="77"/>
        <v>207.35400000000001</v>
      </c>
      <c r="L342" s="82">
        <f t="shared" si="77"/>
        <v>242.02999999999997</v>
      </c>
      <c r="M342" s="82">
        <f t="shared" si="77"/>
        <v>152.13</v>
      </c>
      <c r="N342" s="82">
        <f t="shared" si="72"/>
        <v>3187.6949999999997</v>
      </c>
      <c r="O342" s="27"/>
      <c r="P342" s="82">
        <f t="shared" si="73"/>
        <v>969</v>
      </c>
      <c r="Q342" s="82">
        <f t="shared" si="74"/>
        <v>844.88300000000004</v>
      </c>
      <c r="R342" s="82">
        <f t="shared" si="75"/>
        <v>772.29800000000012</v>
      </c>
      <c r="S342" s="82">
        <f t="shared" si="76"/>
        <v>601.51400000000001</v>
      </c>
    </row>
    <row r="343" spans="1:19" ht="16.5" hidden="1">
      <c r="A343" s="83" t="s">
        <v>75</v>
      </c>
      <c r="B343" s="82">
        <f t="shared" si="77"/>
        <v>352.25599999999997</v>
      </c>
      <c r="C343" s="82">
        <f t="shared" si="77"/>
        <v>351.91500000000002</v>
      </c>
      <c r="D343" s="82">
        <f t="shared" si="77"/>
        <v>430.30799999999999</v>
      </c>
      <c r="E343" s="82">
        <f t="shared" si="77"/>
        <v>341.928</v>
      </c>
      <c r="F343" s="82">
        <f t="shared" si="77"/>
        <v>380.84299999999996</v>
      </c>
      <c r="G343" s="82">
        <f t="shared" si="77"/>
        <v>394.72699999999998</v>
      </c>
      <c r="H343" s="82">
        <f t="shared" si="77"/>
        <v>426.91899999999998</v>
      </c>
      <c r="I343" s="82">
        <f t="shared" si="77"/>
        <v>435.89700000000005</v>
      </c>
      <c r="J343" s="82">
        <f t="shared" si="77"/>
        <v>362.64</v>
      </c>
      <c r="K343" s="82">
        <f t="shared" si="77"/>
        <v>343.35</v>
      </c>
      <c r="L343" s="82">
        <f t="shared" si="77"/>
        <v>254.45699999999994</v>
      </c>
      <c r="M343" s="82">
        <f t="shared" si="77"/>
        <v>321.32599999999996</v>
      </c>
      <c r="N343" s="82">
        <f t="shared" si="72"/>
        <v>4396.5659999999989</v>
      </c>
      <c r="O343" s="27"/>
      <c r="P343" s="82">
        <f t="shared" si="73"/>
        <v>1134.479</v>
      </c>
      <c r="Q343" s="82">
        <f t="shared" si="74"/>
        <v>1117.498</v>
      </c>
      <c r="R343" s="82">
        <f t="shared" si="75"/>
        <v>1225.4560000000001</v>
      </c>
      <c r="S343" s="82">
        <f t="shared" si="76"/>
        <v>919.13300000000004</v>
      </c>
    </row>
    <row r="344" spans="1:19" ht="16.5" hidden="1">
      <c r="A344" s="83" t="s">
        <v>76</v>
      </c>
      <c r="B344" s="82">
        <f t="shared" si="77"/>
        <v>368.65</v>
      </c>
      <c r="C344" s="82">
        <f t="shared" si="77"/>
        <v>282.76400000000001</v>
      </c>
      <c r="D344" s="82">
        <f t="shared" si="77"/>
        <v>369.38600000000002</v>
      </c>
      <c r="E344" s="82">
        <f t="shared" si="77"/>
        <v>305.19499999999994</v>
      </c>
      <c r="F344" s="82">
        <f t="shared" si="77"/>
        <v>350.83000000000004</v>
      </c>
      <c r="G344" s="82">
        <f t="shared" si="77"/>
        <v>357.83000000000004</v>
      </c>
      <c r="H344" s="82">
        <f t="shared" si="77"/>
        <v>269.38599999999997</v>
      </c>
      <c r="I344" s="82">
        <f t="shared" si="77"/>
        <v>287.75700000000001</v>
      </c>
      <c r="J344" s="82">
        <f t="shared" si="77"/>
        <v>357.78699999999998</v>
      </c>
      <c r="K344" s="82">
        <f t="shared" si="77"/>
        <v>272.95800000000003</v>
      </c>
      <c r="L344" s="82">
        <f t="shared" si="77"/>
        <v>206.101</v>
      </c>
      <c r="M344" s="82">
        <f t="shared" si="77"/>
        <v>156.77700000000002</v>
      </c>
      <c r="N344" s="82">
        <f t="shared" si="72"/>
        <v>3585.4209999999998</v>
      </c>
      <c r="O344" s="27"/>
      <c r="P344" s="82">
        <f t="shared" si="73"/>
        <v>1020.8000000000001</v>
      </c>
      <c r="Q344" s="82">
        <f t="shared" si="74"/>
        <v>1013.855</v>
      </c>
      <c r="R344" s="82">
        <f t="shared" si="75"/>
        <v>914.93000000000006</v>
      </c>
      <c r="S344" s="82">
        <f t="shared" si="76"/>
        <v>635.83600000000001</v>
      </c>
    </row>
    <row r="345" spans="1:19" ht="16.5" hidden="1">
      <c r="A345" s="83" t="s">
        <v>77</v>
      </c>
      <c r="B345" s="82">
        <f t="shared" si="77"/>
        <v>303.77699999999993</v>
      </c>
      <c r="C345" s="82">
        <f t="shared" si="77"/>
        <v>391.34900000000005</v>
      </c>
      <c r="D345" s="82">
        <f t="shared" si="77"/>
        <v>477.42700000000002</v>
      </c>
      <c r="E345" s="82">
        <f t="shared" si="77"/>
        <v>367.97700000000009</v>
      </c>
      <c r="F345" s="82">
        <f t="shared" si="77"/>
        <v>426.14499999999998</v>
      </c>
      <c r="G345" s="82">
        <f t="shared" si="77"/>
        <v>417.07399999999996</v>
      </c>
      <c r="H345" s="82">
        <f t="shared" si="77"/>
        <v>416.20800000000003</v>
      </c>
      <c r="I345" s="82">
        <f t="shared" si="77"/>
        <v>392.827</v>
      </c>
      <c r="J345" s="82">
        <f t="shared" si="77"/>
        <v>400.58000000000004</v>
      </c>
      <c r="K345" s="82">
        <f t="shared" si="77"/>
        <v>281.976</v>
      </c>
      <c r="L345" s="82">
        <f t="shared" si="77"/>
        <v>206.70199999999994</v>
      </c>
      <c r="M345" s="82">
        <f t="shared" si="77"/>
        <v>304.84399999999999</v>
      </c>
      <c r="N345" s="82">
        <f t="shared" si="72"/>
        <v>4386.8859999999995</v>
      </c>
      <c r="O345" s="27"/>
      <c r="P345" s="82">
        <f t="shared" si="73"/>
        <v>1172.5529999999999</v>
      </c>
      <c r="Q345" s="82">
        <f t="shared" si="74"/>
        <v>1211.1959999999999</v>
      </c>
      <c r="R345" s="82">
        <f t="shared" si="75"/>
        <v>1209.6150000000002</v>
      </c>
      <c r="S345" s="82">
        <f t="shared" si="76"/>
        <v>793.52199999999993</v>
      </c>
    </row>
    <row r="346" spans="1:19" ht="16.5" hidden="1">
      <c r="A346" s="83" t="s">
        <v>78</v>
      </c>
      <c r="B346" s="82">
        <f t="shared" si="77"/>
        <v>383.88200000000001</v>
      </c>
      <c r="C346" s="82">
        <f t="shared" si="77"/>
        <v>563.51600000000008</v>
      </c>
      <c r="D346" s="82">
        <f t="shared" si="77"/>
        <v>581.41899999999998</v>
      </c>
      <c r="E346" s="82">
        <f t="shared" si="77"/>
        <v>469.87800000000004</v>
      </c>
      <c r="F346" s="82">
        <f t="shared" si="77"/>
        <v>348.71599999999995</v>
      </c>
      <c r="G346" s="82">
        <f t="shared" si="77"/>
        <v>629.202</v>
      </c>
      <c r="H346" s="82">
        <f t="shared" si="77"/>
        <v>532.82399999999996</v>
      </c>
      <c r="I346" s="82">
        <f t="shared" si="77"/>
        <v>587.55200000000002</v>
      </c>
      <c r="J346" s="82">
        <f t="shared" si="77"/>
        <v>571.47225199999991</v>
      </c>
      <c r="K346" s="82">
        <f t="shared" si="77"/>
        <v>418.39171699999997</v>
      </c>
      <c r="L346" s="82">
        <f t="shared" si="77"/>
        <v>334.319568</v>
      </c>
      <c r="M346" s="82">
        <f t="shared" si="77"/>
        <v>314.29968000000002</v>
      </c>
      <c r="N346" s="82">
        <f t="shared" si="72"/>
        <v>5735.4722169999995</v>
      </c>
      <c r="O346" s="27"/>
      <c r="P346" s="82">
        <f t="shared" si="73"/>
        <v>1528.817</v>
      </c>
      <c r="Q346" s="82">
        <f t="shared" si="74"/>
        <v>1447.796</v>
      </c>
      <c r="R346" s="82">
        <f t="shared" si="75"/>
        <v>1691.8482519999998</v>
      </c>
      <c r="S346" s="82">
        <f t="shared" si="76"/>
        <v>1067.0109649999999</v>
      </c>
    </row>
    <row r="347" spans="1:19" ht="16.5" hidden="1">
      <c r="A347" s="83" t="s">
        <v>79</v>
      </c>
      <c r="B347" s="82">
        <f t="shared" si="77"/>
        <v>436.59958900000009</v>
      </c>
      <c r="C347" s="82">
        <f t="shared" si="77"/>
        <v>513.85145</v>
      </c>
      <c r="D347" s="82">
        <f t="shared" si="77"/>
        <v>433.96919000000003</v>
      </c>
      <c r="E347" s="82">
        <f t="shared" si="77"/>
        <v>379.19722100000001</v>
      </c>
      <c r="F347" s="82">
        <f t="shared" si="77"/>
        <v>390.88692300000002</v>
      </c>
      <c r="G347" s="82">
        <f t="shared" si="77"/>
        <v>475.47134800000003</v>
      </c>
      <c r="H347" s="82">
        <f t="shared" si="77"/>
        <v>474.62675099999996</v>
      </c>
      <c r="I347" s="82">
        <f t="shared" si="77"/>
        <v>431.63206099999996</v>
      </c>
      <c r="J347" s="82">
        <f t="shared" si="77"/>
        <v>450.17668599999996</v>
      </c>
      <c r="K347" s="82">
        <f t="shared" si="77"/>
        <v>373.81561300000004</v>
      </c>
      <c r="L347" s="82">
        <f t="shared" si="77"/>
        <v>322.03517399999998</v>
      </c>
      <c r="M347" s="82">
        <f t="shared" si="77"/>
        <v>280.53499899999997</v>
      </c>
      <c r="N347" s="82">
        <f t="shared" si="72"/>
        <v>4962.7970049999985</v>
      </c>
      <c r="O347" s="27"/>
      <c r="P347" s="82">
        <f t="shared" si="73"/>
        <v>1384.4202290000003</v>
      </c>
      <c r="Q347" s="82">
        <f t="shared" si="74"/>
        <v>1245.555492</v>
      </c>
      <c r="R347" s="82">
        <f t="shared" si="75"/>
        <v>1356.4354979999998</v>
      </c>
      <c r="S347" s="82">
        <f t="shared" si="76"/>
        <v>976.38578600000005</v>
      </c>
    </row>
    <row r="348" spans="1:19" ht="16.5">
      <c r="A348" s="103" t="s">
        <v>80</v>
      </c>
      <c r="B348" s="82">
        <f t="shared" si="77"/>
        <v>454.75211199999995</v>
      </c>
      <c r="C348" s="82">
        <f t="shared" si="77"/>
        <v>495.41332499999999</v>
      </c>
      <c r="D348" s="82">
        <f t="shared" si="77"/>
        <v>525.05411400000003</v>
      </c>
      <c r="E348" s="82">
        <f t="shared" si="77"/>
        <v>534.69187099999999</v>
      </c>
      <c r="F348" s="82">
        <f t="shared" si="77"/>
        <v>495.85191199999997</v>
      </c>
      <c r="G348" s="82">
        <f t="shared" si="77"/>
        <v>561.39115399999991</v>
      </c>
      <c r="H348" s="82">
        <f t="shared" si="77"/>
        <v>543.83964600000002</v>
      </c>
      <c r="I348" s="82">
        <f t="shared" si="77"/>
        <v>678.15701699999988</v>
      </c>
      <c r="J348" s="82">
        <f t="shared" si="77"/>
        <v>513.53264200000001</v>
      </c>
      <c r="K348" s="82">
        <f t="shared" si="77"/>
        <v>30815.155913999995</v>
      </c>
      <c r="L348" s="82">
        <f t="shared" si="77"/>
        <v>35925.649956000001</v>
      </c>
      <c r="M348" s="82">
        <f t="shared" si="77"/>
        <v>54780.154573999993</v>
      </c>
      <c r="N348" s="82">
        <f t="shared" si="72"/>
        <v>126323.64423699997</v>
      </c>
      <c r="O348" s="27"/>
      <c r="P348" s="82">
        <f t="shared" si="73"/>
        <v>1475.2195509999999</v>
      </c>
      <c r="Q348" s="82">
        <f t="shared" si="74"/>
        <v>1591.934937</v>
      </c>
      <c r="R348" s="82">
        <f t="shared" si="75"/>
        <v>1735.529305</v>
      </c>
      <c r="S348" s="82">
        <f t="shared" si="76"/>
        <v>121520.960444</v>
      </c>
    </row>
    <row r="349" spans="1:19" ht="16.5">
      <c r="A349" s="103" t="s">
        <v>81</v>
      </c>
      <c r="B349" s="82">
        <f t="shared" si="77"/>
        <v>86192.170956999951</v>
      </c>
      <c r="C349" s="82">
        <f t="shared" si="77"/>
        <v>54062.814166000004</v>
      </c>
      <c r="D349" s="82">
        <f t="shared" si="77"/>
        <v>53772.462078999968</v>
      </c>
      <c r="E349" s="82">
        <f t="shared" si="77"/>
        <v>93118.897046000027</v>
      </c>
      <c r="F349" s="82">
        <f t="shared" si="77"/>
        <v>55467.825204000001</v>
      </c>
      <c r="G349" s="82">
        <f t="shared" si="77"/>
        <v>79125.200615999987</v>
      </c>
      <c r="H349" s="82">
        <f t="shared" si="77"/>
        <v>69764.576012999954</v>
      </c>
      <c r="I349" s="82">
        <f t="shared" si="77"/>
        <v>59884.841544999988</v>
      </c>
      <c r="J349" s="82">
        <f t="shared" si="77"/>
        <v>95131.969670999926</v>
      </c>
      <c r="K349" s="82">
        <f t="shared" si="77"/>
        <v>109209.37557199995</v>
      </c>
      <c r="L349" s="82">
        <f t="shared" si="77"/>
        <v>44619.123515000021</v>
      </c>
      <c r="M349" s="82">
        <f t="shared" si="77"/>
        <v>68389.681677999994</v>
      </c>
      <c r="N349" s="82">
        <f t="shared" si="72"/>
        <v>868738.93806199974</v>
      </c>
      <c r="O349" s="27"/>
      <c r="P349" s="82">
        <f t="shared" si="73"/>
        <v>194027.44720199992</v>
      </c>
      <c r="Q349" s="82">
        <f t="shared" si="74"/>
        <v>227711.92286600001</v>
      </c>
      <c r="R349" s="82">
        <f t="shared" si="75"/>
        <v>224781.38722899987</v>
      </c>
      <c r="S349" s="82">
        <f t="shared" si="76"/>
        <v>222218.18076499997</v>
      </c>
    </row>
    <row r="350" spans="1:19" ht="17.25" thickBot="1">
      <c r="A350" s="103" t="s">
        <v>82</v>
      </c>
      <c r="B350" s="82">
        <f t="shared" si="77"/>
        <v>62680.351528000036</v>
      </c>
      <c r="C350" s="82">
        <f t="shared" si="77"/>
        <v>57339.75848699997</v>
      </c>
      <c r="D350" s="82">
        <f t="shared" si="77"/>
        <v>67646.221764999995</v>
      </c>
      <c r="E350" s="82">
        <f t="shared" si="77"/>
        <v>36772.064999999995</v>
      </c>
      <c r="F350" s="82">
        <f t="shared" si="77"/>
        <v>59155.664999999979</v>
      </c>
      <c r="G350" s="82">
        <f t="shared" si="77"/>
        <v>58939.427999999949</v>
      </c>
      <c r="H350" s="82">
        <f t="shared" si="77"/>
        <v>563.69281899999987</v>
      </c>
      <c r="I350" s="111">
        <f t="shared" si="77"/>
        <v>441.28638100000001</v>
      </c>
      <c r="J350" s="111">
        <f t="shared" si="77"/>
        <v>417.15959699999996</v>
      </c>
      <c r="K350" s="111">
        <f t="shared" si="77"/>
        <v>419.02476300000001</v>
      </c>
      <c r="L350" s="111">
        <f t="shared" si="77"/>
        <v>466.87346899999994</v>
      </c>
      <c r="M350" s="111">
        <f t="shared" si="77"/>
        <v>326.03296799999998</v>
      </c>
      <c r="N350" s="111">
        <f t="shared" ref="N350" si="78">SUM(B350:L350)</f>
        <v>344841.52680899994</v>
      </c>
      <c r="O350" s="27"/>
      <c r="P350" s="82">
        <f t="shared" si="73"/>
        <v>187666.33178000001</v>
      </c>
      <c r="Q350" s="82">
        <f t="shared" si="74"/>
        <v>154867.15799999994</v>
      </c>
      <c r="R350" s="82">
        <f t="shared" si="75"/>
        <v>1422.1387969999998</v>
      </c>
      <c r="S350" s="82">
        <f t="shared" si="76"/>
        <v>1211.9312</v>
      </c>
    </row>
    <row r="351" spans="1:19" ht="16.5">
      <c r="A351" s="104" t="s">
        <v>119</v>
      </c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6"/>
      <c r="Q351" s="106"/>
      <c r="R351" s="106"/>
      <c r="S351" s="106"/>
    </row>
    <row r="352" spans="1:19" ht="16.5" hidden="1">
      <c r="A352" s="81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27"/>
      <c r="P352" s="82"/>
      <c r="Q352" s="82"/>
      <c r="R352" s="82"/>
      <c r="S352" s="82"/>
    </row>
    <row r="353" spans="1:19" ht="16.5" hidden="1">
      <c r="A353" s="81" t="s">
        <v>56</v>
      </c>
      <c r="B353" s="82">
        <f>'[2]EU Sun Oil Exports'!AR$290</f>
        <v>0</v>
      </c>
      <c r="C353" s="82">
        <f>'[2]EU Sun Oil Exports'!AS$290</f>
        <v>0</v>
      </c>
      <c r="D353" s="82">
        <f>'[2]EU Sun Oil Exports'!AT$290</f>
        <v>0</v>
      </c>
      <c r="E353" s="82">
        <f>'[2]EU Sun Oil Exports'!AU$290</f>
        <v>0</v>
      </c>
      <c r="F353" s="82">
        <f>'[2]EU Sun Oil Exports'!AV$290</f>
        <v>0</v>
      </c>
      <c r="G353" s="82">
        <f>'[2]EU Sun Oil Exports'!AW$290</f>
        <v>0</v>
      </c>
      <c r="H353" s="82">
        <f>'[2]EU Sun Oil Exports'!AX$290</f>
        <v>0</v>
      </c>
      <c r="I353" s="82">
        <f>'[2]EU Sun Oil Exports'!AY$290</f>
        <v>0</v>
      </c>
      <c r="J353" s="82">
        <f>'[2]EU Sun Oil Exports'!AZ$290</f>
        <v>0</v>
      </c>
      <c r="K353" s="82">
        <f>'[2]EU Sun Oil Exports'!BA$290</f>
        <v>0</v>
      </c>
      <c r="L353" s="82">
        <f>'[2]EU Sun Oil Exports'!BB$290</f>
        <v>0</v>
      </c>
      <c r="M353" s="82">
        <f>'[2]EU Sun Oil Exports'!BC$290</f>
        <v>0</v>
      </c>
      <c r="N353" s="82">
        <f>SUM(B353:M353)</f>
        <v>0</v>
      </c>
      <c r="O353" s="82"/>
      <c r="P353" s="82">
        <f>D353+B353+C353</f>
        <v>0</v>
      </c>
      <c r="Q353" s="82">
        <f>SUM(E353:G353)</f>
        <v>0</v>
      </c>
      <c r="R353" s="82">
        <f>SUM(H353:J353)</f>
        <v>0</v>
      </c>
      <c r="S353" s="82">
        <f>SUM(K353:M353)</f>
        <v>0</v>
      </c>
    </row>
    <row r="354" spans="1:19" ht="16.5" hidden="1">
      <c r="A354" s="81" t="s">
        <v>57</v>
      </c>
      <c r="B354" s="82">
        <f>'[2]EU Sun Oil Exports'!BD$290</f>
        <v>0</v>
      </c>
      <c r="C354" s="82">
        <f>'[2]EU Sun Oil Exports'!BE$290</f>
        <v>0</v>
      </c>
      <c r="D354" s="82">
        <f>'[2]EU Sun Oil Exports'!BF$290</f>
        <v>0</v>
      </c>
      <c r="E354" s="82">
        <f>'[2]EU Sun Oil Exports'!BG$290</f>
        <v>0</v>
      </c>
      <c r="F354" s="82">
        <f>'[2]EU Sun Oil Exports'!BH$290</f>
        <v>0</v>
      </c>
      <c r="G354" s="82">
        <f>'[2]EU Sun Oil Exports'!BI$290</f>
        <v>0</v>
      </c>
      <c r="H354" s="82">
        <f>'[2]EU Sun Oil Exports'!BJ$290</f>
        <v>0</v>
      </c>
      <c r="I354" s="82">
        <f>'[2]EU Sun Oil Exports'!BK$290</f>
        <v>0</v>
      </c>
      <c r="J354" s="82">
        <f>'[2]EU Sun Oil Exports'!BL$290</f>
        <v>0</v>
      </c>
      <c r="K354" s="82">
        <f>'[2]EU Sun Oil Exports'!BM$290</f>
        <v>0</v>
      </c>
      <c r="L354" s="82">
        <f>'[2]EU Sun Oil Exports'!BN$290</f>
        <v>0</v>
      </c>
      <c r="M354" s="82">
        <f>'[2]EU Sun Oil Exports'!BO$290</f>
        <v>0</v>
      </c>
      <c r="N354" s="82">
        <f t="shared" ref="N354:N378" si="79">SUM(B354:M354)</f>
        <v>0</v>
      </c>
      <c r="O354" s="82"/>
      <c r="P354" s="82">
        <f t="shared" ref="P354:P379" si="80">D354+B354+C354</f>
        <v>0</v>
      </c>
      <c r="Q354" s="82">
        <f t="shared" ref="Q354:Q379" si="81">SUM(E354:G354)</f>
        <v>0</v>
      </c>
      <c r="R354" s="82">
        <f t="shared" ref="R354:R379" si="82">SUM(H354:J354)</f>
        <v>0</v>
      </c>
      <c r="S354" s="82">
        <f t="shared" ref="S354:S379" si="83">SUM(K354:M354)</f>
        <v>0</v>
      </c>
    </row>
    <row r="355" spans="1:19" ht="16.5" hidden="1">
      <c r="A355" s="81" t="s">
        <v>58</v>
      </c>
      <c r="B355" s="82">
        <f>'[2]EU Sun Oil Exports'!BP$290</f>
        <v>0</v>
      </c>
      <c r="C355" s="82">
        <f>'[2]EU Sun Oil Exports'!BQ$290</f>
        <v>0</v>
      </c>
      <c r="D355" s="82">
        <f>'[2]EU Sun Oil Exports'!BR$290</f>
        <v>0</v>
      </c>
      <c r="E355" s="82">
        <f>'[2]EU Sun Oil Exports'!BS$290</f>
        <v>51.699000000000005</v>
      </c>
      <c r="F355" s="82">
        <f>'[2]EU Sun Oil Exports'!BT$290</f>
        <v>53.335999999999999</v>
      </c>
      <c r="G355" s="82">
        <f>'[2]EU Sun Oil Exports'!BU$290</f>
        <v>58.904000000000011</v>
      </c>
      <c r="H355" s="82">
        <f>'[2]EU Sun Oil Exports'!BV$290</f>
        <v>39.405000000000001</v>
      </c>
      <c r="I355" s="82">
        <f>'[2]EU Sun Oil Exports'!BW$290</f>
        <v>20.687000000000001</v>
      </c>
      <c r="J355" s="82">
        <f>'[2]EU Sun Oil Exports'!BX$290</f>
        <v>15.518999999999998</v>
      </c>
      <c r="K355" s="82">
        <f>'[2]EU Sun Oil Exports'!BY$290</f>
        <v>20.745000000000001</v>
      </c>
      <c r="L355" s="82">
        <f>'[2]EU Sun Oil Exports'!BZ$290</f>
        <v>16.856999999999999</v>
      </c>
      <c r="M355" s="82">
        <f>'[2]EU Sun Oil Exports'!CA$290</f>
        <v>37.288999999999994</v>
      </c>
      <c r="N355" s="82">
        <f t="shared" si="79"/>
        <v>314.44100000000003</v>
      </c>
      <c r="O355" s="82"/>
      <c r="P355" s="82">
        <f t="shared" si="80"/>
        <v>0</v>
      </c>
      <c r="Q355" s="82">
        <f t="shared" si="81"/>
        <v>163.93900000000002</v>
      </c>
      <c r="R355" s="82">
        <f t="shared" si="82"/>
        <v>75.61099999999999</v>
      </c>
      <c r="S355" s="82">
        <f t="shared" si="83"/>
        <v>74.890999999999991</v>
      </c>
    </row>
    <row r="356" spans="1:19" ht="16.5" hidden="1">
      <c r="A356" s="81" t="s">
        <v>59</v>
      </c>
      <c r="B356" s="82">
        <f>'[2]EU Sun Oil Exports'!CB$290</f>
        <v>46.970999999999997</v>
      </c>
      <c r="C356" s="82">
        <f>'[2]EU Sun Oil Exports'!CC$290</f>
        <v>25.038999999999994</v>
      </c>
      <c r="D356" s="82">
        <f>'[2]EU Sun Oil Exports'!CD$290</f>
        <v>26.263000000000002</v>
      </c>
      <c r="E356" s="82">
        <f>'[2]EU Sun Oil Exports'!CE$290</f>
        <v>42.505999999999993</v>
      </c>
      <c r="F356" s="82">
        <f>'[2]EU Sun Oil Exports'!CF$290</f>
        <v>19.212</v>
      </c>
      <c r="G356" s="82">
        <f>'[2]EU Sun Oil Exports'!CG$290</f>
        <v>13.084999999999999</v>
      </c>
      <c r="H356" s="82">
        <f>'[2]EU Sun Oil Exports'!CH$290</f>
        <v>11.962999999999999</v>
      </c>
      <c r="I356" s="82">
        <f>'[2]EU Sun Oil Exports'!CI$290</f>
        <v>10.503</v>
      </c>
      <c r="J356" s="82">
        <f>'[2]EU Sun Oil Exports'!CJ$290</f>
        <v>7.4449999999999994</v>
      </c>
      <c r="K356" s="82">
        <f>'[2]EU Sun Oil Exports'!CK$290</f>
        <v>11.656000000000001</v>
      </c>
      <c r="L356" s="82">
        <f>'[2]EU Sun Oil Exports'!CL$290</f>
        <v>14.628</v>
      </c>
      <c r="M356" s="82">
        <f>'[2]EU Sun Oil Exports'!CM$290</f>
        <v>21.985999999999997</v>
      </c>
      <c r="N356" s="82">
        <f t="shared" si="79"/>
        <v>251.25699999999995</v>
      </c>
      <c r="O356" s="82"/>
      <c r="P356" s="82">
        <f t="shared" si="80"/>
        <v>98.272999999999996</v>
      </c>
      <c r="Q356" s="82">
        <f t="shared" si="81"/>
        <v>74.802999999999983</v>
      </c>
      <c r="R356" s="82">
        <f t="shared" si="82"/>
        <v>29.911000000000001</v>
      </c>
      <c r="S356" s="82">
        <f t="shared" si="83"/>
        <v>48.269999999999996</v>
      </c>
    </row>
    <row r="357" spans="1:19" ht="16.5" hidden="1">
      <c r="A357" s="81" t="s">
        <v>60</v>
      </c>
      <c r="B357" s="82">
        <f>'[2]EU Sun Oil Exports'!CN$290</f>
        <v>23.262999999999998</v>
      </c>
      <c r="C357" s="82">
        <f>'[2]EU Sun Oil Exports'!CO$290</f>
        <v>36.862000000000002</v>
      </c>
      <c r="D357" s="82">
        <f>'[2]EU Sun Oil Exports'!CP$290</f>
        <v>23.355000000000004</v>
      </c>
      <c r="E357" s="82">
        <f>'[2]EU Sun Oil Exports'!CQ$290</f>
        <v>27.952999999999999</v>
      </c>
      <c r="F357" s="82">
        <f>'[2]EU Sun Oil Exports'!CR$290</f>
        <v>25.196999999999999</v>
      </c>
      <c r="G357" s="82">
        <f>'[2]EU Sun Oil Exports'!CS$290</f>
        <v>26.117999999999999</v>
      </c>
      <c r="H357" s="82">
        <f>'[2]EU Sun Oil Exports'!CT$290</f>
        <v>21.1</v>
      </c>
      <c r="I357" s="82">
        <f>'[2]EU Sun Oil Exports'!CU$290</f>
        <v>15.923</v>
      </c>
      <c r="J357" s="82">
        <f>'[2]EU Sun Oil Exports'!CV$290</f>
        <v>29.010999999999999</v>
      </c>
      <c r="K357" s="82">
        <f>'[2]EU Sun Oil Exports'!CW$290</f>
        <v>21.135999999999999</v>
      </c>
      <c r="L357" s="82">
        <f>'[2]EU Sun Oil Exports'!CX$290</f>
        <v>21.152999999999999</v>
      </c>
      <c r="M357" s="82">
        <f>'[2]EU Sun Oil Exports'!CY$290</f>
        <v>18.901</v>
      </c>
      <c r="N357" s="82">
        <f t="shared" si="79"/>
        <v>289.97199999999998</v>
      </c>
      <c r="O357" s="82"/>
      <c r="P357" s="82">
        <f t="shared" si="80"/>
        <v>83.48</v>
      </c>
      <c r="Q357" s="82">
        <f t="shared" si="81"/>
        <v>79.268000000000001</v>
      </c>
      <c r="R357" s="82">
        <f t="shared" si="82"/>
        <v>66.034000000000006</v>
      </c>
      <c r="S357" s="82">
        <f t="shared" si="83"/>
        <v>61.19</v>
      </c>
    </row>
    <row r="358" spans="1:19" ht="16.5" hidden="1">
      <c r="A358" s="81" t="s">
        <v>61</v>
      </c>
      <c r="B358" s="82">
        <f>'[2]EU Sun Oil Exports'!CZ$290</f>
        <v>28.177</v>
      </c>
      <c r="C358" s="82">
        <f>'[2]EU Sun Oil Exports'!DA$290</f>
        <v>31.222999999999999</v>
      </c>
      <c r="D358" s="82">
        <f>'[2]EU Sun Oil Exports'!DB$290</f>
        <v>14.225</v>
      </c>
      <c r="E358" s="82">
        <f>'[2]EU Sun Oil Exports'!DC$290</f>
        <v>23.321999999999999</v>
      </c>
      <c r="F358" s="82">
        <f>'[2]EU Sun Oil Exports'!DD$290</f>
        <v>19.872</v>
      </c>
      <c r="G358" s="82">
        <f>'[2]EU Sun Oil Exports'!DE$290</f>
        <v>12.635999999999999</v>
      </c>
      <c r="H358" s="82">
        <f>'[2]EU Sun Oil Exports'!DF$290</f>
        <v>13.776999999999999</v>
      </c>
      <c r="I358" s="82">
        <f>'[2]EU Sun Oil Exports'!DG$290</f>
        <v>18.367000000000001</v>
      </c>
      <c r="J358" s="82">
        <f>'[2]EU Sun Oil Exports'!DH$290</f>
        <v>18.385999999999999</v>
      </c>
      <c r="K358" s="82">
        <f>'[2]EU Sun Oil Exports'!DI$290</f>
        <v>16.085000000000001</v>
      </c>
      <c r="L358" s="82">
        <f>'[2]EU Sun Oil Exports'!DJ$290</f>
        <v>17.766999999999999</v>
      </c>
      <c r="M358" s="82">
        <f>'[2]EU Sun Oil Exports'!DK$290</f>
        <v>27.093</v>
      </c>
      <c r="N358" s="82">
        <f t="shared" si="79"/>
        <v>240.92999999999998</v>
      </c>
      <c r="O358" s="82"/>
      <c r="P358" s="82">
        <f t="shared" si="80"/>
        <v>73.625</v>
      </c>
      <c r="Q358" s="82">
        <f t="shared" si="81"/>
        <v>55.83</v>
      </c>
      <c r="R358" s="82">
        <f t="shared" si="82"/>
        <v>50.53</v>
      </c>
      <c r="S358" s="82">
        <f t="shared" si="83"/>
        <v>60.945000000000007</v>
      </c>
    </row>
    <row r="359" spans="1:19" ht="16.5" hidden="1">
      <c r="A359" s="81" t="s">
        <v>62</v>
      </c>
      <c r="B359" s="82">
        <f>'[2]EU Sun Oil Exports'!DL$290</f>
        <v>24.143000000000001</v>
      </c>
      <c r="C359" s="82">
        <f>'[2]EU Sun Oil Exports'!DM$290</f>
        <v>22.556000000000001</v>
      </c>
      <c r="D359" s="82">
        <f>'[2]EU Sun Oil Exports'!DN$290</f>
        <v>20.850999999999999</v>
      </c>
      <c r="E359" s="82">
        <f>'[2]EU Sun Oil Exports'!DO$290</f>
        <v>17.309000000000001</v>
      </c>
      <c r="F359" s="82">
        <f>'[2]EU Sun Oil Exports'!DP$290</f>
        <v>10.512</v>
      </c>
      <c r="G359" s="82">
        <f>'[2]EU Sun Oil Exports'!DQ$290</f>
        <v>10.672000000000001</v>
      </c>
      <c r="H359" s="82">
        <f>'[2]EU Sun Oil Exports'!DR$290</f>
        <v>16.344000000000001</v>
      </c>
      <c r="I359" s="82">
        <f>'[2]EU Sun Oil Exports'!DS$290</f>
        <v>10.667999999999999</v>
      </c>
      <c r="J359" s="82">
        <f>'[2]EU Sun Oil Exports'!DT$290</f>
        <v>18.933</v>
      </c>
      <c r="K359" s="82">
        <f>'[2]EU Sun Oil Exports'!DU$290</f>
        <v>12.863</v>
      </c>
      <c r="L359" s="82">
        <f>'[2]EU Sun Oil Exports'!DV$290</f>
        <v>10.755000000000001</v>
      </c>
      <c r="M359" s="82">
        <f>'[2]EU Sun Oil Exports'!DW$290</f>
        <v>8.82</v>
      </c>
      <c r="N359" s="82">
        <f t="shared" si="79"/>
        <v>184.42599999999999</v>
      </c>
      <c r="O359" s="82"/>
      <c r="P359" s="82">
        <f t="shared" si="80"/>
        <v>67.55</v>
      </c>
      <c r="Q359" s="82">
        <f t="shared" si="81"/>
        <v>38.493000000000002</v>
      </c>
      <c r="R359" s="82">
        <f t="shared" si="82"/>
        <v>45.945</v>
      </c>
      <c r="S359" s="82">
        <f t="shared" si="83"/>
        <v>32.438000000000002</v>
      </c>
    </row>
    <row r="360" spans="1:19" ht="16.5" hidden="1">
      <c r="A360" s="81" t="s">
        <v>63</v>
      </c>
      <c r="B360" s="82">
        <f>'[2]EU Sun Oil Exports'!DX$290</f>
        <v>11.433</v>
      </c>
      <c r="C360" s="82">
        <f>'[2]EU Sun Oil Exports'!DY$290</f>
        <v>9.0559999999999992</v>
      </c>
      <c r="D360" s="82">
        <f>'[2]EU Sun Oil Exports'!DZ$290</f>
        <v>9.9719999999999995</v>
      </c>
      <c r="E360" s="82">
        <f>'[2]EU Sun Oil Exports'!EA$290</f>
        <v>7.4930000000000003</v>
      </c>
      <c r="F360" s="82">
        <f>'[2]EU Sun Oil Exports'!EB$290</f>
        <v>6.67</v>
      </c>
      <c r="G360" s="82">
        <f>'[2]EU Sun Oil Exports'!EC$290</f>
        <v>5.0490000000000004</v>
      </c>
      <c r="H360" s="82">
        <f>'[2]EU Sun Oil Exports'!ED$290</f>
        <v>6.2690000000000001</v>
      </c>
      <c r="I360" s="82">
        <f>'[2]EU Sun Oil Exports'!EE$290</f>
        <v>7.7439999999999998</v>
      </c>
      <c r="J360" s="82">
        <f>'[2]EU Sun Oil Exports'!EF$290</f>
        <v>11.151</v>
      </c>
      <c r="K360" s="82">
        <f>'[2]EU Sun Oil Exports'!EG$290</f>
        <v>7.726</v>
      </c>
      <c r="L360" s="82">
        <f>'[2]EU Sun Oil Exports'!EH$290</f>
        <v>8.9480000000000004</v>
      </c>
      <c r="M360" s="82">
        <f>'[2]EU Sun Oil Exports'!EI$290</f>
        <v>11.41</v>
      </c>
      <c r="N360" s="82">
        <f t="shared" si="79"/>
        <v>102.92099999999999</v>
      </c>
      <c r="O360" s="82"/>
      <c r="P360" s="82">
        <f t="shared" si="80"/>
        <v>30.460999999999999</v>
      </c>
      <c r="Q360" s="82">
        <f t="shared" si="81"/>
        <v>19.212</v>
      </c>
      <c r="R360" s="82">
        <f t="shared" si="82"/>
        <v>25.164000000000001</v>
      </c>
      <c r="S360" s="82">
        <f t="shared" si="83"/>
        <v>28.084</v>
      </c>
    </row>
    <row r="361" spans="1:19" ht="16.5" hidden="1">
      <c r="A361" s="81" t="s">
        <v>64</v>
      </c>
      <c r="B361" s="82">
        <f>'[2]EU Sun Oil Exports'!EJ$290</f>
        <v>13.148999999999999</v>
      </c>
      <c r="C361" s="82">
        <f>'[2]EU Sun Oil Exports'!EK$290</f>
        <v>11.948</v>
      </c>
      <c r="D361" s="82">
        <f>'[2]EU Sun Oil Exports'!EL$290</f>
        <v>13.558</v>
      </c>
      <c r="E361" s="82">
        <f>'[2]EU Sun Oil Exports'!EM$290</f>
        <v>10.228</v>
      </c>
      <c r="F361" s="82">
        <f>'[2]EU Sun Oil Exports'!EN$290</f>
        <v>10.63</v>
      </c>
      <c r="G361" s="82">
        <f>'[2]EU Sun Oil Exports'!EO$290</f>
        <v>8.9909999999999997</v>
      </c>
      <c r="H361" s="82">
        <f>'[2]EU Sun Oil Exports'!EP$290</f>
        <v>9.9770000000000003</v>
      </c>
      <c r="I361" s="82">
        <f>'[2]EU Sun Oil Exports'!EQ$290</f>
        <v>15.048999999999999</v>
      </c>
      <c r="J361" s="82">
        <f>'[2]EU Sun Oil Exports'!ER$290</f>
        <v>12.291</v>
      </c>
      <c r="K361" s="82">
        <f>'[2]EU Sun Oil Exports'!ES$290</f>
        <v>15.305999999999999</v>
      </c>
      <c r="L361" s="82">
        <f>'[2]EU Sun Oil Exports'!ET$290</f>
        <v>18.286999999999999</v>
      </c>
      <c r="M361" s="82">
        <f>'[2]EU Sun Oil Exports'!EU$290</f>
        <v>16.844000000000001</v>
      </c>
      <c r="N361" s="82">
        <f t="shared" si="79"/>
        <v>156.25799999999998</v>
      </c>
      <c r="O361" s="82"/>
      <c r="P361" s="82">
        <f t="shared" si="80"/>
        <v>38.655000000000001</v>
      </c>
      <c r="Q361" s="82">
        <f t="shared" si="81"/>
        <v>29.849</v>
      </c>
      <c r="R361" s="82">
        <f t="shared" si="82"/>
        <v>37.317</v>
      </c>
      <c r="S361" s="82">
        <f t="shared" si="83"/>
        <v>50.436999999999998</v>
      </c>
    </row>
    <row r="362" spans="1:19" ht="16.5" hidden="1">
      <c r="A362" s="83" t="s">
        <v>65</v>
      </c>
      <c r="B362" s="82">
        <f>'[2]EU Sun Oil Exports'!EV$290</f>
        <v>25.114000000000001</v>
      </c>
      <c r="C362" s="82">
        <f>'[2]EU Sun Oil Exports'!EW$290</f>
        <v>29.605</v>
      </c>
      <c r="D362" s="82">
        <f>'[2]EU Sun Oil Exports'!EX$290</f>
        <v>26.646000000000001</v>
      </c>
      <c r="E362" s="82">
        <f>'[2]EU Sun Oil Exports'!EY$290</f>
        <v>12.944000000000001</v>
      </c>
      <c r="F362" s="82">
        <f>'[2]EU Sun Oil Exports'!EZ$290</f>
        <v>13.412000000000001</v>
      </c>
      <c r="G362" s="82">
        <f>'[2]EU Sun Oil Exports'!FA$290</f>
        <v>16.123999999999999</v>
      </c>
      <c r="H362" s="82">
        <f>'[2]EU Sun Oil Exports'!FB$290</f>
        <v>18.558</v>
      </c>
      <c r="I362" s="82">
        <f>'[2]EU Sun Oil Exports'!FC$290</f>
        <v>20.085999999999999</v>
      </c>
      <c r="J362" s="82">
        <f>'[2]EU Sun Oil Exports'!FD$290</f>
        <v>13.581</v>
      </c>
      <c r="K362" s="82">
        <f>'[2]EU Sun Oil Exports'!FE$290</f>
        <v>16.206</v>
      </c>
      <c r="L362" s="82">
        <f>'[2]EU Sun Oil Exports'!FF$290</f>
        <v>8.5350000000000001</v>
      </c>
      <c r="M362" s="82">
        <f>'[2]EU Sun Oil Exports'!FG$290</f>
        <v>16.936</v>
      </c>
      <c r="N362" s="82">
        <f t="shared" si="79"/>
        <v>217.74700000000001</v>
      </c>
      <c r="O362" s="82"/>
      <c r="P362" s="82">
        <f t="shared" si="80"/>
        <v>81.365000000000009</v>
      </c>
      <c r="Q362" s="82">
        <f t="shared" si="81"/>
        <v>42.480000000000004</v>
      </c>
      <c r="R362" s="82">
        <f t="shared" si="82"/>
        <v>52.224999999999994</v>
      </c>
      <c r="S362" s="82">
        <f t="shared" si="83"/>
        <v>41.677</v>
      </c>
    </row>
    <row r="363" spans="1:19" ht="16.5" hidden="1">
      <c r="A363" s="83" t="s">
        <v>66</v>
      </c>
      <c r="B363" s="82">
        <f>'[2]EU Sun Oil Exports'!FH$290</f>
        <v>20.984999999999999</v>
      </c>
      <c r="C363" s="82">
        <f>'[2]EU Sun Oil Exports'!FI$290</f>
        <v>11.734</v>
      </c>
      <c r="D363" s="82">
        <f>'[2]EU Sun Oil Exports'!FJ$290</f>
        <v>13.727</v>
      </c>
      <c r="E363" s="82">
        <f>'[2]EU Sun Oil Exports'!FK$290</f>
        <v>15.206</v>
      </c>
      <c r="F363" s="82">
        <f>'[2]EU Sun Oil Exports'!FL$290</f>
        <v>11.89</v>
      </c>
      <c r="G363" s="82">
        <f>'[2]EU Sun Oil Exports'!FM$290</f>
        <v>18.744</v>
      </c>
      <c r="H363" s="82">
        <f>'[2]EU Sun Oil Exports'!FN$290</f>
        <v>9.5709999999999997</v>
      </c>
      <c r="I363" s="82">
        <f>'[2]EU Sun Oil Exports'!FO$290</f>
        <v>19.617000000000001</v>
      </c>
      <c r="J363" s="82">
        <f>'[2]EU Sun Oil Exports'!FP$290</f>
        <v>21.166</v>
      </c>
      <c r="K363" s="82">
        <f>'[2]EU Sun Oil Exports'!FQ$290</f>
        <v>22.655000000000001</v>
      </c>
      <c r="L363" s="82">
        <f>'[2]EU Sun Oil Exports'!FR$290</f>
        <v>11.035</v>
      </c>
      <c r="M363" s="82">
        <f>'[2]EU Sun Oil Exports'!FS$290</f>
        <v>10.798999999999999</v>
      </c>
      <c r="N363" s="82">
        <f t="shared" si="79"/>
        <v>187.12900000000002</v>
      </c>
      <c r="O363" s="82"/>
      <c r="P363" s="82">
        <f t="shared" si="80"/>
        <v>46.446000000000005</v>
      </c>
      <c r="Q363" s="82">
        <f t="shared" si="81"/>
        <v>45.84</v>
      </c>
      <c r="R363" s="82">
        <f t="shared" si="82"/>
        <v>50.353999999999999</v>
      </c>
      <c r="S363" s="82">
        <f t="shared" si="83"/>
        <v>44.488999999999997</v>
      </c>
    </row>
    <row r="364" spans="1:19" ht="16.5" hidden="1">
      <c r="A364" s="84" t="s">
        <v>67</v>
      </c>
      <c r="B364" s="82">
        <f>'[2]EU Sun Oil Exports'!FT$290</f>
        <v>12.031000000000001</v>
      </c>
      <c r="C364" s="82">
        <f>'[2]EU Sun Oil Exports'!FU$290</f>
        <v>10.815</v>
      </c>
      <c r="D364" s="82">
        <f>'[2]EU Sun Oil Exports'!FV$290</f>
        <v>12.42</v>
      </c>
      <c r="E364" s="82">
        <f>'[2]EU Sun Oil Exports'!FW$290</f>
        <v>7.1790000000000003</v>
      </c>
      <c r="F364" s="82">
        <f>'[2]EU Sun Oil Exports'!FX$290</f>
        <v>8.7850000000000001</v>
      </c>
      <c r="G364" s="82">
        <f>'[2]EU Sun Oil Exports'!FY$290</f>
        <v>12.945</v>
      </c>
      <c r="H364" s="82">
        <f>'[2]EU Sun Oil Exports'!FZ$290</f>
        <v>9.1739999999999995</v>
      </c>
      <c r="I364" s="82">
        <f>'[2]EU Sun Oil Exports'!GA$290</f>
        <v>16.015000000000001</v>
      </c>
      <c r="J364" s="82">
        <f>'[2]EU Sun Oil Exports'!GB$290</f>
        <v>15.019</v>
      </c>
      <c r="K364" s="82">
        <f>'[2]EU Sun Oil Exports'!GC$290</f>
        <v>14.369</v>
      </c>
      <c r="L364" s="82">
        <f>'[2]EU Sun Oil Exports'!GD$290</f>
        <v>5.7880000000000003</v>
      </c>
      <c r="M364" s="82">
        <f>'[2]EU Sun Oil Exports'!GE$290</f>
        <v>8.7070000000000007</v>
      </c>
      <c r="N364" s="82">
        <f t="shared" si="79"/>
        <v>133.24700000000001</v>
      </c>
      <c r="O364" s="82"/>
      <c r="P364" s="82">
        <f t="shared" si="80"/>
        <v>35.265999999999998</v>
      </c>
      <c r="Q364" s="82">
        <f t="shared" si="81"/>
        <v>28.908999999999999</v>
      </c>
      <c r="R364" s="82">
        <f t="shared" si="82"/>
        <v>40.207999999999998</v>
      </c>
      <c r="S364" s="82">
        <f t="shared" si="83"/>
        <v>28.864000000000001</v>
      </c>
    </row>
    <row r="365" spans="1:19" ht="16.5" hidden="1">
      <c r="A365" s="83" t="s">
        <v>68</v>
      </c>
      <c r="B365" s="82">
        <f>'[2]EU Sun Oil Exports'!GF$290</f>
        <v>11.22</v>
      </c>
      <c r="C365" s="82">
        <f>'[2]EU Sun Oil Exports'!GG$290</f>
        <v>11.176</v>
      </c>
      <c r="D365" s="82">
        <f>'[2]EU Sun Oil Exports'!GH$290</f>
        <v>10.122</v>
      </c>
      <c r="E365" s="82">
        <f>'[2]EU Sun Oil Exports'!GI$290</f>
        <v>11.012</v>
      </c>
      <c r="F365" s="82">
        <f>'[2]EU Sun Oil Exports'!GJ$290</f>
        <v>9.1349999999999998</v>
      </c>
      <c r="G365" s="82">
        <f>'[2]EU Sun Oil Exports'!GK$290</f>
        <v>10.497999999999999</v>
      </c>
      <c r="H365" s="82">
        <f>'[2]EU Sun Oil Exports'!GL$290</f>
        <v>10.242000000000001</v>
      </c>
      <c r="I365" s="82">
        <f>'[2]EU Sun Oil Exports'!GM$290</f>
        <v>18.501999999999999</v>
      </c>
      <c r="J365" s="82">
        <f>'[2]EU Sun Oil Exports'!GN$290</f>
        <v>17.338999999999999</v>
      </c>
      <c r="K365" s="82">
        <f>'[2]EU Sun Oil Exports'!GO$290</f>
        <v>16.227</v>
      </c>
      <c r="L365" s="82">
        <f>'[2]EU Sun Oil Exports'!GP$290</f>
        <v>12.29</v>
      </c>
      <c r="M365" s="82">
        <f>'[2]EU Sun Oil Exports'!GQ$290</f>
        <v>9.2949999999999999</v>
      </c>
      <c r="N365" s="82">
        <f t="shared" si="79"/>
        <v>147.05799999999999</v>
      </c>
      <c r="O365" s="82"/>
      <c r="P365" s="82">
        <f t="shared" si="80"/>
        <v>32.518000000000001</v>
      </c>
      <c r="Q365" s="82">
        <f t="shared" si="81"/>
        <v>30.644999999999996</v>
      </c>
      <c r="R365" s="82">
        <f t="shared" si="82"/>
        <v>46.082999999999998</v>
      </c>
      <c r="S365" s="82">
        <f t="shared" si="83"/>
        <v>37.811999999999998</v>
      </c>
    </row>
    <row r="366" spans="1:19" ht="16.5" hidden="1">
      <c r="A366" s="84" t="s">
        <v>69</v>
      </c>
      <c r="B366" s="82">
        <f>'[2]EU Sun Oil Exports'!GR$290</f>
        <v>9.2080000000000002</v>
      </c>
      <c r="C366" s="82">
        <f>'[2]EU Sun Oil Exports'!GS$290</f>
        <v>9.3369999999999997</v>
      </c>
      <c r="D366" s="82">
        <f>'[2]EU Sun Oil Exports'!GT$290</f>
        <v>7.992</v>
      </c>
      <c r="E366" s="82">
        <f>'[2]EU Sun Oil Exports'!GU$290</f>
        <v>9.6579999999999995</v>
      </c>
      <c r="F366" s="82">
        <f>'[2]EU Sun Oil Exports'!GV$290</f>
        <v>12.345000000000001</v>
      </c>
      <c r="G366" s="82">
        <f>'[2]EU Sun Oil Exports'!GW$290</f>
        <v>9.4870000000000001</v>
      </c>
      <c r="H366" s="82">
        <f>'[2]EU Sun Oil Exports'!GX$290</f>
        <v>11.727</v>
      </c>
      <c r="I366" s="82">
        <f>'[2]EU Sun Oil Exports'!GY$290</f>
        <v>6.7910000000000004</v>
      </c>
      <c r="J366" s="82">
        <f>'[2]EU Sun Oil Exports'!GZ$290</f>
        <v>8.7690000000000001</v>
      </c>
      <c r="K366" s="82">
        <f>'[2]EU Sun Oil Exports'!HA$290</f>
        <v>7.6669999999999998</v>
      </c>
      <c r="L366" s="82">
        <f>'[2]EU Sun Oil Exports'!HB$290</f>
        <v>8.0630000000000006</v>
      </c>
      <c r="M366" s="82">
        <f>'[2]EU Sun Oil Exports'!HC$290</f>
        <v>11.587999999999999</v>
      </c>
      <c r="N366" s="82">
        <f t="shared" si="79"/>
        <v>112.63200000000001</v>
      </c>
      <c r="O366" s="82"/>
      <c r="P366" s="82">
        <f t="shared" si="80"/>
        <v>26.536999999999999</v>
      </c>
      <c r="Q366" s="82">
        <f t="shared" si="81"/>
        <v>31.490000000000002</v>
      </c>
      <c r="R366" s="82">
        <f t="shared" si="82"/>
        <v>27.286999999999999</v>
      </c>
      <c r="S366" s="82">
        <f t="shared" si="83"/>
        <v>27.317999999999998</v>
      </c>
    </row>
    <row r="367" spans="1:19" ht="16.5" hidden="1">
      <c r="A367" s="84" t="s">
        <v>70</v>
      </c>
      <c r="B367" s="82">
        <f>'[2]EU Sun Oil Exports'!HD$290</f>
        <v>15.074999999999999</v>
      </c>
      <c r="C367" s="82">
        <f>'[2]EU Sun Oil Exports'!HE$290</f>
        <v>11.584</v>
      </c>
      <c r="D367" s="82">
        <f>'[2]EU Sun Oil Exports'!HF$290</f>
        <v>13.632</v>
      </c>
      <c r="E367" s="82">
        <f>'[2]EU Sun Oil Exports'!HG$290</f>
        <v>9.2889999999999997</v>
      </c>
      <c r="F367" s="82">
        <f>'[2]EU Sun Oil Exports'!HH$290</f>
        <v>8.6419999999999995</v>
      </c>
      <c r="G367" s="82">
        <f>'[2]EU Sun Oil Exports'!HI$290</f>
        <v>7.1020000000000003</v>
      </c>
      <c r="H367" s="82">
        <f>'[2]EU Sun Oil Exports'!HJ$290</f>
        <v>11.972</v>
      </c>
      <c r="I367" s="82">
        <f>'[2]EU Sun Oil Exports'!HK$290</f>
        <v>8.5139999999999993</v>
      </c>
      <c r="J367" s="82">
        <f>'[2]EU Sun Oil Exports'!HL$290</f>
        <v>11.016</v>
      </c>
      <c r="K367" s="82">
        <f>'[2]EU Sun Oil Exports'!HM$290</f>
        <v>8.2560000000000002</v>
      </c>
      <c r="L367" s="82">
        <f>'[2]EU Sun Oil Exports'!HN$290</f>
        <v>8.0150000000000006</v>
      </c>
      <c r="M367" s="82">
        <f>'[2]EU Sun Oil Exports'!HO$290</f>
        <v>13.257999999999999</v>
      </c>
      <c r="N367" s="82">
        <f t="shared" si="79"/>
        <v>126.35499999999999</v>
      </c>
      <c r="O367" s="82"/>
      <c r="P367" s="82">
        <f t="shared" si="80"/>
        <v>40.290999999999997</v>
      </c>
      <c r="Q367" s="82">
        <f t="shared" si="81"/>
        <v>25.032999999999998</v>
      </c>
      <c r="R367" s="82">
        <f t="shared" si="82"/>
        <v>31.501999999999995</v>
      </c>
      <c r="S367" s="82">
        <f t="shared" si="83"/>
        <v>29.529</v>
      </c>
    </row>
    <row r="368" spans="1:19" ht="16.5" hidden="1">
      <c r="A368" s="83" t="s">
        <v>71</v>
      </c>
      <c r="B368" s="82">
        <f>'[2]EU Sun Oil Exports'!HP$290</f>
        <v>13.51</v>
      </c>
      <c r="C368" s="82">
        <f>'[2]EU Sun Oil Exports'!HQ$290</f>
        <v>14.058</v>
      </c>
      <c r="D368" s="82">
        <f>'[2]EU Sun Oil Exports'!HR$290</f>
        <v>12.855</v>
      </c>
      <c r="E368" s="82">
        <f>'[2]EU Sun Oil Exports'!HS$290</f>
        <v>8.173</v>
      </c>
      <c r="F368" s="82">
        <f>'[2]EU Sun Oil Exports'!HT$290</f>
        <v>10.74</v>
      </c>
      <c r="G368" s="82">
        <f>'[2]EU Sun Oil Exports'!HU$290</f>
        <v>13.010999999999999</v>
      </c>
      <c r="H368" s="82">
        <f>'[2]EU Sun Oil Exports'!HV$290</f>
        <v>12.032999999999999</v>
      </c>
      <c r="I368" s="82">
        <f>'[2]EU Sun Oil Exports'!HW$290</f>
        <v>17.134</v>
      </c>
      <c r="J368" s="82">
        <f>'[2]EU Sun Oil Exports'!HX$290</f>
        <v>11.686</v>
      </c>
      <c r="K368" s="82">
        <f>'[2]EU Sun Oil Exports'!HY$290</f>
        <v>13.205</v>
      </c>
      <c r="L368" s="82">
        <f>'[2]EU Sun Oil Exports'!HZ$290</f>
        <v>11.205</v>
      </c>
      <c r="M368" s="82">
        <f>'[2]EU Sun Oil Exports'!IA$290</f>
        <v>13.568</v>
      </c>
      <c r="N368" s="82">
        <f t="shared" si="79"/>
        <v>151.17800000000003</v>
      </c>
      <c r="O368" s="82"/>
      <c r="P368" s="82">
        <f t="shared" si="80"/>
        <v>40.423000000000002</v>
      </c>
      <c r="Q368" s="82">
        <f t="shared" si="81"/>
        <v>31.923999999999999</v>
      </c>
      <c r="R368" s="82">
        <f t="shared" si="82"/>
        <v>40.853000000000002</v>
      </c>
      <c r="S368" s="82">
        <f t="shared" si="83"/>
        <v>37.978000000000002</v>
      </c>
    </row>
    <row r="369" spans="1:19" ht="16.5" hidden="1">
      <c r="A369" s="84" t="s">
        <v>72</v>
      </c>
      <c r="B369" s="82">
        <f>'[2]EU Sun Oil Exports'!IB$290</f>
        <v>14.831</v>
      </c>
      <c r="C369" s="82">
        <f>'[2]EU Sun Oil Exports'!IC$290</f>
        <v>14.302</v>
      </c>
      <c r="D369" s="82">
        <f>'[2]EU Sun Oil Exports'!ID$290</f>
        <v>13.183999999999999</v>
      </c>
      <c r="E369" s="82">
        <f>'[2]EU Sun Oil Exports'!IE$290</f>
        <v>12.946</v>
      </c>
      <c r="F369" s="82">
        <f>'[2]EU Sun Oil Exports'!IF$290</f>
        <v>13.381</v>
      </c>
      <c r="G369" s="82">
        <f>'[2]EU Sun Oil Exports'!IG$290</f>
        <v>13.528</v>
      </c>
      <c r="H369" s="82">
        <f>'[2]EU Sun Oil Exports'!IH$290</f>
        <v>13.837999999999999</v>
      </c>
      <c r="I369" s="82">
        <f>'[2]EU Sun Oil Exports'!II$290</f>
        <v>14.02</v>
      </c>
      <c r="J369" s="82">
        <f>'[2]EU Sun Oil Exports'!IJ$290</f>
        <v>11.98</v>
      </c>
      <c r="K369" s="82">
        <f>'[2]EU Sun Oil Exports'!IK$290</f>
        <v>14.618</v>
      </c>
      <c r="L369" s="82">
        <f>'[2]EU Sun Oil Exports'!IL$290</f>
        <v>12.538</v>
      </c>
      <c r="M369" s="82">
        <f>'[2]EU Sun Oil Exports'!IM$290</f>
        <v>14.308999999999999</v>
      </c>
      <c r="N369" s="82">
        <f t="shared" si="79"/>
        <v>163.47500000000002</v>
      </c>
      <c r="O369" s="82"/>
      <c r="P369" s="82">
        <f t="shared" si="80"/>
        <v>42.317</v>
      </c>
      <c r="Q369" s="82">
        <f t="shared" si="81"/>
        <v>39.854999999999997</v>
      </c>
      <c r="R369" s="82">
        <f t="shared" si="82"/>
        <v>39.837999999999994</v>
      </c>
      <c r="S369" s="82">
        <f t="shared" si="83"/>
        <v>41.464999999999996</v>
      </c>
    </row>
    <row r="370" spans="1:19" ht="16.5" hidden="1">
      <c r="A370" s="83" t="s">
        <v>73</v>
      </c>
      <c r="B370" s="82">
        <f>'[2]EU Sun Oil Exports'!IN$290</f>
        <v>18.102</v>
      </c>
      <c r="C370" s="82">
        <f>'[2]EU Sun Oil Exports'!IO$290</f>
        <v>17.109000000000002</v>
      </c>
      <c r="D370" s="82">
        <f>'[2]EU Sun Oil Exports'!IP$290</f>
        <v>14.471</v>
      </c>
      <c r="E370" s="82">
        <f>'[2]EU Sun Oil Exports'!IQ$290</f>
        <v>16.585000000000001</v>
      </c>
      <c r="F370" s="82">
        <f>'[2]EU Sun Oil Exports'!IR$290</f>
        <v>15.56</v>
      </c>
      <c r="G370" s="82">
        <f>'[2]EU Sun Oil Exports'!IS$290</f>
        <v>21.282</v>
      </c>
      <c r="H370" s="82">
        <f>'[2]EU Sun Oil Exports'!IT$290</f>
        <v>18.956</v>
      </c>
      <c r="I370" s="82">
        <f>'[2]EU Sun Oil Exports'!IU$290</f>
        <v>17.222999999999999</v>
      </c>
      <c r="J370" s="82">
        <f>'[2]EU Sun Oil Exports'!IV$290</f>
        <v>17.515999999999998</v>
      </c>
      <c r="K370" s="82">
        <f>'[2]EU Sun Oil Exports'!IW$290</f>
        <v>17.815000000000001</v>
      </c>
      <c r="L370" s="82">
        <f>'[2]EU Sun Oil Exports'!IX$290</f>
        <v>15.521000000000001</v>
      </c>
      <c r="M370" s="82">
        <f>'[2]EU Sun Oil Exports'!IY$290</f>
        <v>13.555</v>
      </c>
      <c r="N370" s="82">
        <f t="shared" si="79"/>
        <v>203.69499999999999</v>
      </c>
      <c r="O370" s="82"/>
      <c r="P370" s="82">
        <f t="shared" si="80"/>
        <v>49.682000000000002</v>
      </c>
      <c r="Q370" s="82">
        <f t="shared" si="81"/>
        <v>53.427000000000007</v>
      </c>
      <c r="R370" s="82">
        <f t="shared" si="82"/>
        <v>53.695</v>
      </c>
      <c r="S370" s="82">
        <f t="shared" si="83"/>
        <v>46.890999999999998</v>
      </c>
    </row>
    <row r="371" spans="1:19" ht="16.5" hidden="1">
      <c r="A371" s="83" t="s">
        <v>74</v>
      </c>
      <c r="B371" s="82">
        <f>'[2]EU Sun Oil Exports'!IZ$290</f>
        <v>16.207999999999998</v>
      </c>
      <c r="C371" s="82">
        <f>'[2]EU Sun Oil Exports'!JA$290</f>
        <v>15.973000000000001</v>
      </c>
      <c r="D371" s="82">
        <f>'[2]EU Sun Oil Exports'!JB$290</f>
        <v>12.932</v>
      </c>
      <c r="E371" s="82">
        <f>'[2]EU Sun Oil Exports'!JC$290</f>
        <v>16.559999999999999</v>
      </c>
      <c r="F371" s="82">
        <f>'[2]EU Sun Oil Exports'!JD$290</f>
        <v>18.032</v>
      </c>
      <c r="G371" s="82">
        <f>'[2]EU Sun Oil Exports'!JE$290</f>
        <v>16.376000000000001</v>
      </c>
      <c r="H371" s="82">
        <f>'[2]EU Sun Oil Exports'!JF$290</f>
        <v>21.111000000000001</v>
      </c>
      <c r="I371" s="82">
        <f>'[2]EU Sun Oil Exports'!JG$290</f>
        <v>31.696999999999999</v>
      </c>
      <c r="J371" s="82">
        <f>'[2]EU Sun Oil Exports'!JH$290</f>
        <v>24.649000000000001</v>
      </c>
      <c r="K371" s="82">
        <f>'[2]EU Sun Oil Exports'!JI$290</f>
        <v>21.655999999999999</v>
      </c>
      <c r="L371" s="82">
        <f>'[2]EU Sun Oil Exports'!JJ$290</f>
        <v>20.306999999999999</v>
      </c>
      <c r="M371" s="82">
        <f>'[2]EU Sun Oil Exports'!JK$290</f>
        <v>22.428000000000001</v>
      </c>
      <c r="N371" s="82">
        <f t="shared" si="79"/>
        <v>237.929</v>
      </c>
      <c r="O371" s="82"/>
      <c r="P371" s="82">
        <f t="shared" si="80"/>
        <v>45.113</v>
      </c>
      <c r="Q371" s="82">
        <f t="shared" si="81"/>
        <v>50.968000000000004</v>
      </c>
      <c r="R371" s="82">
        <f t="shared" si="82"/>
        <v>77.456999999999994</v>
      </c>
      <c r="S371" s="82">
        <f t="shared" si="83"/>
        <v>64.390999999999991</v>
      </c>
    </row>
    <row r="372" spans="1:19" ht="16.5" hidden="1">
      <c r="A372" s="83" t="s">
        <v>75</v>
      </c>
      <c r="B372" s="82">
        <f>'[2]EU Sun Oil Exports'!JL$290</f>
        <v>50.853000000000002</v>
      </c>
      <c r="C372" s="82">
        <f>'[2]EU Sun Oil Exports'!JM$290</f>
        <v>26.954000000000001</v>
      </c>
      <c r="D372" s="82">
        <f>'[2]EU Sun Oil Exports'!JN$290</f>
        <v>31.056000000000001</v>
      </c>
      <c r="E372" s="82">
        <f>'[2]EU Sun Oil Exports'!JO$290</f>
        <v>26.649000000000001</v>
      </c>
      <c r="F372" s="82">
        <f>'[2]EU Sun Oil Exports'!JP$290</f>
        <v>31.103000000000002</v>
      </c>
      <c r="G372" s="82">
        <f>'[2]EU Sun Oil Exports'!JQ$290</f>
        <v>32.201000000000001</v>
      </c>
      <c r="H372" s="82">
        <f>'[2]EU Sun Oil Exports'!JR$290</f>
        <v>24.518000000000001</v>
      </c>
      <c r="I372" s="82">
        <f>'[2]EU Sun Oil Exports'!JS$290</f>
        <v>32.320999999999998</v>
      </c>
      <c r="J372" s="82">
        <f>'[2]EU Sun Oil Exports'!JT$290</f>
        <v>15.789</v>
      </c>
      <c r="K372" s="82">
        <f>'[2]EU Sun Oil Exports'!JU$290</f>
        <v>23.233000000000001</v>
      </c>
      <c r="L372" s="82">
        <f>'[2]EU Sun Oil Exports'!JV$290</f>
        <v>14.263</v>
      </c>
      <c r="M372" s="82">
        <f>'[2]EU Sun Oil Exports'!JW$290</f>
        <v>56.917999999999999</v>
      </c>
      <c r="N372" s="82">
        <f t="shared" si="79"/>
        <v>365.858</v>
      </c>
      <c r="O372" s="82"/>
      <c r="P372" s="82">
        <f t="shared" si="80"/>
        <v>108.863</v>
      </c>
      <c r="Q372" s="82">
        <f t="shared" si="81"/>
        <v>89.953000000000003</v>
      </c>
      <c r="R372" s="82">
        <f t="shared" si="82"/>
        <v>72.628</v>
      </c>
      <c r="S372" s="82">
        <f t="shared" si="83"/>
        <v>94.414000000000001</v>
      </c>
    </row>
    <row r="373" spans="1:19" ht="16.5" hidden="1">
      <c r="A373" s="83" t="s">
        <v>76</v>
      </c>
      <c r="B373" s="82">
        <f>'[2]EU Sun Oil Exports'!JX$290</f>
        <v>77.126000000000005</v>
      </c>
      <c r="C373" s="82">
        <f>'[2]EU Sun Oil Exports'!JY$290</f>
        <v>31.710999999999999</v>
      </c>
      <c r="D373" s="82">
        <f>'[2]EU Sun Oil Exports'!JZ$290</f>
        <v>23.989000000000001</v>
      </c>
      <c r="E373" s="82">
        <f>'[2]EU Sun Oil Exports'!KA$290</f>
        <v>28.472999999999999</v>
      </c>
      <c r="F373" s="82">
        <f>'[2]EU Sun Oil Exports'!KB$290</f>
        <v>40.325000000000003</v>
      </c>
      <c r="G373" s="82">
        <f>'[2]EU Sun Oil Exports'!KC$290</f>
        <v>33.219000000000001</v>
      </c>
      <c r="H373" s="82">
        <f>'[2]EU Sun Oil Exports'!KD$290</f>
        <v>28.007000000000001</v>
      </c>
      <c r="I373" s="82">
        <f>'[2]EU Sun Oil Exports'!KE$290</f>
        <v>28.927</v>
      </c>
      <c r="J373" s="82">
        <f>'[2]EU Sun Oil Exports'!KF$290</f>
        <v>29.300999999999998</v>
      </c>
      <c r="K373" s="82">
        <f>'[2]EU Sun Oil Exports'!KG$290</f>
        <v>34.006999999999998</v>
      </c>
      <c r="L373" s="82">
        <f>'[2]EU Sun Oil Exports'!KH$290</f>
        <v>15.364000000000001</v>
      </c>
      <c r="M373" s="82">
        <f>'[2]EU Sun Oil Exports'!KI$290</f>
        <v>38.658999999999999</v>
      </c>
      <c r="N373" s="82">
        <f t="shared" si="79"/>
        <v>409.10799999999995</v>
      </c>
      <c r="O373" s="82"/>
      <c r="P373" s="82">
        <f t="shared" si="80"/>
        <v>132.82600000000002</v>
      </c>
      <c r="Q373" s="82">
        <f t="shared" si="81"/>
        <v>102.017</v>
      </c>
      <c r="R373" s="82">
        <f t="shared" si="82"/>
        <v>86.234999999999999</v>
      </c>
      <c r="S373" s="82">
        <f t="shared" si="83"/>
        <v>88.03</v>
      </c>
    </row>
    <row r="374" spans="1:19" ht="16.5" hidden="1">
      <c r="A374" s="83" t="s">
        <v>77</v>
      </c>
      <c r="B374" s="82">
        <f>'[2]EU Sun Oil Exports'!KJ$290</f>
        <v>45.317999999999998</v>
      </c>
      <c r="C374" s="82">
        <f>'[2]EU Sun Oil Exports'!KK$290</f>
        <v>32.715000000000003</v>
      </c>
      <c r="D374" s="82">
        <f>'[2]EU Sun Oil Exports'!KL$290</f>
        <v>21.693000000000001</v>
      </c>
      <c r="E374" s="82">
        <f>'[2]EU Sun Oil Exports'!KM$290</f>
        <v>37.887999999999998</v>
      </c>
      <c r="F374" s="82">
        <f>'[2]EU Sun Oil Exports'!KN$290</f>
        <v>21.094999999999999</v>
      </c>
      <c r="G374" s="82">
        <f>'[2]EU Sun Oil Exports'!KO$290</f>
        <v>37.595999999999997</v>
      </c>
      <c r="H374" s="82">
        <f>'[2]EU Sun Oil Exports'!KP$290</f>
        <v>30.446999999999999</v>
      </c>
      <c r="I374" s="82">
        <f>'[2]EU Sun Oil Exports'!KQ$290</f>
        <v>28.306999999999999</v>
      </c>
      <c r="J374" s="82">
        <f>'[2]EU Sun Oil Exports'!KR$290</f>
        <v>29.516999999999999</v>
      </c>
      <c r="K374" s="82">
        <f>'[2]EU Sun Oil Exports'!KS$290</f>
        <v>21.545999999999999</v>
      </c>
      <c r="L374" s="82">
        <f>'[2]EU Sun Oil Exports'!KT$290</f>
        <v>25.952999999999996</v>
      </c>
      <c r="M374" s="82">
        <f>'[2]EU Sun Oil Exports'!KU$290</f>
        <v>35.186999999999998</v>
      </c>
      <c r="N374" s="82">
        <f t="shared" si="79"/>
        <v>367.262</v>
      </c>
      <c r="O374" s="82"/>
      <c r="P374" s="82">
        <f t="shared" si="80"/>
        <v>99.725999999999999</v>
      </c>
      <c r="Q374" s="82">
        <f t="shared" si="81"/>
        <v>96.578999999999994</v>
      </c>
      <c r="R374" s="82">
        <f t="shared" si="82"/>
        <v>88.271000000000001</v>
      </c>
      <c r="S374" s="82">
        <f t="shared" si="83"/>
        <v>82.685999999999993</v>
      </c>
    </row>
    <row r="375" spans="1:19" ht="16.5" hidden="1">
      <c r="A375" s="83" t="s">
        <v>78</v>
      </c>
      <c r="B375" s="82">
        <f>'[2]EU Sun Oil Exports'!KV$290</f>
        <v>50.716999999999999</v>
      </c>
      <c r="C375" s="82">
        <f>'[2]EU Sun Oil Exports'!KW$290</f>
        <v>48.824999999999989</v>
      </c>
      <c r="D375" s="82">
        <f>'[2]EU Sun Oil Exports'!KX$290</f>
        <v>46.576999999999998</v>
      </c>
      <c r="E375" s="82">
        <f>'[2]EU Sun Oil Exports'!KY$290</f>
        <v>43.816000000000003</v>
      </c>
      <c r="F375" s="82">
        <f>'[2]EU Sun Oil Exports'!KZ$290</f>
        <v>43.526999999999994</v>
      </c>
      <c r="G375" s="82">
        <f>'[2]EU Sun Oil Exports'!LA$290</f>
        <v>39.994</v>
      </c>
      <c r="H375" s="82">
        <f>'[2]EU Sun Oil Exports'!LB$290</f>
        <v>26.904999999999998</v>
      </c>
      <c r="I375" s="82">
        <f>'[2]EU Sun Oil Exports'!LC$290</f>
        <v>26.09</v>
      </c>
      <c r="J375" s="82">
        <f>'[2]EU Sun Oil Exports'!LD$290</f>
        <v>45.768999999999998</v>
      </c>
      <c r="K375" s="82">
        <f>'[2]EU Sun Oil Exports'!LE$290</f>
        <v>24.020999999999997</v>
      </c>
      <c r="L375" s="82">
        <f>'[2]EU Sun Oil Exports'!LF$290</f>
        <v>27.475999999999999</v>
      </c>
      <c r="M375" s="82">
        <f>'[2]EU Sun Oil Exports'!LG$290</f>
        <v>39.74</v>
      </c>
      <c r="N375" s="82">
        <f t="shared" si="79"/>
        <v>463.45699999999994</v>
      </c>
      <c r="O375" s="82"/>
      <c r="P375" s="82">
        <f t="shared" si="80"/>
        <v>146.11899999999997</v>
      </c>
      <c r="Q375" s="82">
        <f t="shared" si="81"/>
        <v>127.33699999999999</v>
      </c>
      <c r="R375" s="82">
        <f t="shared" si="82"/>
        <v>98.763999999999996</v>
      </c>
      <c r="S375" s="82">
        <f t="shared" si="83"/>
        <v>91.236999999999995</v>
      </c>
    </row>
    <row r="376" spans="1:19" ht="16.5" hidden="1">
      <c r="A376" s="83" t="s">
        <v>79</v>
      </c>
      <c r="B376" s="82">
        <f>'[2]EU Sun Oil Exports'!LH$290</f>
        <v>60.398999999999994</v>
      </c>
      <c r="C376" s="82">
        <f>'[2]EU Sun Oil Exports'!LI$290</f>
        <v>52.865000000000009</v>
      </c>
      <c r="D376" s="82">
        <f>'[2]EU Sun Oil Exports'!LJ$290</f>
        <v>31.18</v>
      </c>
      <c r="E376" s="82">
        <f>'[2]EU Sun Oil Exports'!LK$290</f>
        <v>41.313999999999993</v>
      </c>
      <c r="F376" s="82">
        <f>'[2]EU Sun Oil Exports'!LL$290</f>
        <v>38.943999999999996</v>
      </c>
      <c r="G376" s="82">
        <f>'[2]EU Sun Oil Exports'!LM$290</f>
        <v>49.3</v>
      </c>
      <c r="H376" s="82">
        <f>'[2]EU Sun Oil Exports'!LN$290</f>
        <v>33.464999999999996</v>
      </c>
      <c r="I376" s="82">
        <f>'[2]EU Sun Oil Exports'!LO$290</f>
        <v>50.19</v>
      </c>
      <c r="J376" s="82">
        <f>'[2]EU Sun Oil Exports'!LP$290</f>
        <v>30.042999999999999</v>
      </c>
      <c r="K376" s="82">
        <f>'[2]EU Sun Oil Exports'!LQ$290</f>
        <v>46.416000000000004</v>
      </c>
      <c r="L376" s="82">
        <f>'[2]EU Sun Oil Exports'!LR$290</f>
        <v>53.010000000000005</v>
      </c>
      <c r="M376" s="82">
        <f>'[2]EU Sun Oil Exports'!LS$290</f>
        <v>46.84</v>
      </c>
      <c r="N376" s="82">
        <f t="shared" si="79"/>
        <v>533.96600000000001</v>
      </c>
      <c r="O376" s="82"/>
      <c r="P376" s="82">
        <f t="shared" si="80"/>
        <v>144.44400000000002</v>
      </c>
      <c r="Q376" s="82">
        <f t="shared" si="81"/>
        <v>129.55799999999999</v>
      </c>
      <c r="R376" s="82">
        <f t="shared" si="82"/>
        <v>113.69800000000001</v>
      </c>
      <c r="S376" s="82">
        <f t="shared" si="83"/>
        <v>146.26600000000002</v>
      </c>
    </row>
    <row r="377" spans="1:19" ht="16.5">
      <c r="A377" s="103" t="s">
        <v>80</v>
      </c>
      <c r="B377" s="82">
        <f>'[2]EU Sun Oil Exports'!LT$290</f>
        <v>37.975999999999999</v>
      </c>
      <c r="C377" s="82">
        <f>'[2]EU Sun Oil Exports'!LU$290</f>
        <v>57.378</v>
      </c>
      <c r="D377" s="82">
        <f>'[2]EU Sun Oil Exports'!LV$290</f>
        <v>30.288</v>
      </c>
      <c r="E377" s="82">
        <f>'[2]EU Sun Oil Exports'!LW$290</f>
        <v>60.022999999999996</v>
      </c>
      <c r="F377" s="82">
        <f>'[2]EU Sun Oil Exports'!LX$290</f>
        <v>31.54</v>
      </c>
      <c r="G377" s="82">
        <f>'[2]EU Sun Oil Exports'!LY$290</f>
        <v>58.521000000000008</v>
      </c>
      <c r="H377" s="82">
        <f>'[2]EU Sun Oil Exports'!LZ$290</f>
        <v>35.868000000000002</v>
      </c>
      <c r="I377" s="82">
        <f>'[2]EU Sun Oil Exports'!MA$290</f>
        <v>51.643000000000001</v>
      </c>
      <c r="J377" s="82">
        <f>'[2]EU Sun Oil Exports'!MB$290</f>
        <v>40.137000000000008</v>
      </c>
      <c r="K377" s="82">
        <f>'[2]EU Sun Oil Exports'!MC$290</f>
        <v>30340.907999999996</v>
      </c>
      <c r="L377" s="82">
        <f>'[2]EU Sun Oil Exports'!MD$290</f>
        <v>35619.040000000001</v>
      </c>
      <c r="M377" s="82">
        <f>'[2]EU Sun Oil Exports'!ME$290</f>
        <v>54576.108</v>
      </c>
      <c r="N377" s="82">
        <f t="shared" si="79"/>
        <v>120939.43</v>
      </c>
      <c r="O377" s="82"/>
      <c r="P377" s="82">
        <f t="shared" si="80"/>
        <v>125.642</v>
      </c>
      <c r="Q377" s="82">
        <f t="shared" si="81"/>
        <v>150.084</v>
      </c>
      <c r="R377" s="82">
        <f t="shared" si="82"/>
        <v>127.648</v>
      </c>
      <c r="S377" s="82">
        <f t="shared" si="83"/>
        <v>120536.05600000001</v>
      </c>
    </row>
    <row r="378" spans="1:19" ht="16.5">
      <c r="A378" s="103" t="s">
        <v>81</v>
      </c>
      <c r="B378" s="82">
        <f>'[2]EU Sun Oil Exports'!MF$290</f>
        <v>85776.224999999962</v>
      </c>
      <c r="C378" s="82">
        <f>'[2]EU Sun Oil Exports'!MG$290</f>
        <v>53524.974000000002</v>
      </c>
      <c r="D378" s="82">
        <f>'[2]EU Sun Oil Exports'!MH$290</f>
        <v>53203.531999999963</v>
      </c>
      <c r="E378" s="82">
        <f>'[2]EU Sun Oil Exports'!MI$290</f>
        <v>92620.608000000037</v>
      </c>
      <c r="F378" s="82">
        <f>'[2]EU Sun Oil Exports'!MJ$290</f>
        <v>54954.368000000002</v>
      </c>
      <c r="G378" s="82">
        <f>'[2]EU Sun Oil Exports'!MK$290</f>
        <v>78555.612999999983</v>
      </c>
      <c r="H378" s="82">
        <f>'[2]EU Sun Oil Exports'!ML$290</f>
        <v>68954.748999999953</v>
      </c>
      <c r="I378" s="82">
        <f>'[2]EU Sun Oil Exports'!MM$290</f>
        <v>59307.520999999986</v>
      </c>
      <c r="J378" s="82">
        <f>'[2]EU Sun Oil Exports'!MN$290</f>
        <v>94729.69499999992</v>
      </c>
      <c r="K378" s="82">
        <f>'[2]EU Sun Oil Exports'!MO$290</f>
        <v>108708.78999999995</v>
      </c>
      <c r="L378" s="82">
        <f>'[2]EU Sun Oil Exports'!MP$290</f>
        <v>44278.680000000022</v>
      </c>
      <c r="M378" s="82">
        <f>'[2]EU Sun Oil Exports'!MQ$290</f>
        <v>68225.141999999993</v>
      </c>
      <c r="N378" s="82">
        <f t="shared" si="79"/>
        <v>862839.89699999976</v>
      </c>
      <c r="O378" s="82"/>
      <c r="P378" s="82">
        <f t="shared" si="80"/>
        <v>192504.73099999991</v>
      </c>
      <c r="Q378" s="82">
        <f t="shared" si="81"/>
        <v>226130.58900000001</v>
      </c>
      <c r="R378" s="82">
        <f t="shared" si="82"/>
        <v>222991.96499999985</v>
      </c>
      <c r="S378" s="82">
        <f t="shared" si="83"/>
        <v>221212.61199999996</v>
      </c>
    </row>
    <row r="379" spans="1:19" ht="17.25" thickBot="1">
      <c r="A379" s="103" t="s">
        <v>82</v>
      </c>
      <c r="B379" s="82">
        <f>'[2]EU Sun Oil Exports'!MR$290</f>
        <v>62350.118000000031</v>
      </c>
      <c r="C379" s="82">
        <f>'[2]EU Sun Oil Exports'!MS$290</f>
        <v>56910.970999999969</v>
      </c>
      <c r="D379" s="82">
        <f>'[2]EU Sun Oil Exports'!MT$290</f>
        <v>67164.107000000004</v>
      </c>
      <c r="E379" s="82">
        <f>'[2]EU Sun Oil Exports'!MU$290</f>
        <v>36272.423000000003</v>
      </c>
      <c r="F379" s="82">
        <f>'[2]EU Sun Oil Exports'!MV$290</f>
        <v>58635.941999999974</v>
      </c>
      <c r="G379" s="82">
        <f>'[2]EU Sun Oil Exports'!MW$290</f>
        <v>58380.75599999995</v>
      </c>
      <c r="H379" s="111">
        <f>'EU Sun Complex'!$AC277</f>
        <v>48.341818999999965</v>
      </c>
      <c r="I379" s="111">
        <f>'EU Sun Complex'!$AC278</f>
        <v>41.567380999999997</v>
      </c>
      <c r="J379" s="111">
        <f>'EU Sun Complex'!$AC279</f>
        <v>80.892596999999967</v>
      </c>
      <c r="K379" s="111">
        <f>'EU Sun Complex'!$AC280</f>
        <v>55.865762999999994</v>
      </c>
      <c r="L379" s="111">
        <f>'EU Sun Complex'!$AC281</f>
        <v>46.107468999999988</v>
      </c>
      <c r="M379" s="111">
        <f>'EU Sun Complex'!$AC282</f>
        <v>69.14196800000002</v>
      </c>
      <c r="N379" s="111">
        <f t="shared" ref="N379" si="84">SUM(B379:L379)</f>
        <v>339987.09202899988</v>
      </c>
      <c r="O379" s="82"/>
      <c r="P379" s="82">
        <f t="shared" si="80"/>
        <v>186425.196</v>
      </c>
      <c r="Q379" s="82">
        <f t="shared" si="81"/>
        <v>153289.12099999993</v>
      </c>
      <c r="R379" s="82">
        <f t="shared" si="82"/>
        <v>170.80179699999994</v>
      </c>
      <c r="S379" s="82">
        <f t="shared" si="83"/>
        <v>171.11520000000002</v>
      </c>
    </row>
    <row r="380" spans="1:19" ht="16.5">
      <c r="A380" s="104" t="s">
        <v>120</v>
      </c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6"/>
      <c r="Q380" s="106"/>
      <c r="R380" s="106"/>
      <c r="S380" s="106"/>
    </row>
    <row r="381" spans="1:19" ht="16.5" hidden="1">
      <c r="A381" s="81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27"/>
      <c r="P381" s="82"/>
      <c r="Q381" s="82"/>
      <c r="R381" s="82"/>
      <c r="S381" s="82"/>
    </row>
    <row r="382" spans="1:19" ht="16.5" hidden="1">
      <c r="A382" s="81" t="s">
        <v>56</v>
      </c>
      <c r="B382" s="82">
        <f>'[2]Russia Sun Oil Exports'!AR$290</f>
        <v>0</v>
      </c>
      <c r="C382" s="82">
        <f>'[2]Russia Sun Oil Exports'!AS$290</f>
        <v>0</v>
      </c>
      <c r="D382" s="82">
        <f>'[2]Russia Sun Oil Exports'!AT$290</f>
        <v>0</v>
      </c>
      <c r="E382" s="82">
        <f>'[2]Russia Sun Oil Exports'!AU$290</f>
        <v>0</v>
      </c>
      <c r="F382" s="82">
        <f>'[2]Russia Sun Oil Exports'!AV$290</f>
        <v>0</v>
      </c>
      <c r="G382" s="82">
        <f>'[2]Russia Sun Oil Exports'!AW$290</f>
        <v>0</v>
      </c>
      <c r="H382" s="82">
        <f>'[2]Russia Sun Oil Exports'!AX$290</f>
        <v>0</v>
      </c>
      <c r="I382" s="82">
        <f>'[2]Russia Sun Oil Exports'!AY$290</f>
        <v>0</v>
      </c>
      <c r="J382" s="82">
        <f>'[2]Russia Sun Oil Exports'!AZ$290</f>
        <v>0</v>
      </c>
      <c r="K382" s="82">
        <f>'[2]Russia Sun Oil Exports'!BA$290</f>
        <v>0</v>
      </c>
      <c r="L382" s="82">
        <f>'[2]Russia Sun Oil Exports'!BB$290</f>
        <v>0</v>
      </c>
      <c r="M382" s="82">
        <f>'[2]Russia Sun Oil Exports'!BC$290</f>
        <v>0</v>
      </c>
      <c r="N382" s="82">
        <f>SUM(B382:M382)</f>
        <v>0</v>
      </c>
      <c r="O382" s="27"/>
      <c r="P382" s="82">
        <f>D382+B382+C382</f>
        <v>0</v>
      </c>
      <c r="Q382" s="82">
        <f>SUM(E382:G382)</f>
        <v>0</v>
      </c>
      <c r="R382" s="82">
        <f>SUM(H382:J382)</f>
        <v>0</v>
      </c>
      <c r="S382" s="82">
        <f>SUM(K382:M382)</f>
        <v>0</v>
      </c>
    </row>
    <row r="383" spans="1:19" ht="16.5" hidden="1">
      <c r="A383" s="81" t="s">
        <v>57</v>
      </c>
      <c r="B383" s="82">
        <f>'[2]Russia Sun Oil Exports'!BD$290</f>
        <v>0</v>
      </c>
      <c r="C383" s="82">
        <f>'[2]Russia Sun Oil Exports'!BE$290</f>
        <v>0</v>
      </c>
      <c r="D383" s="82">
        <f>'[2]Russia Sun Oil Exports'!BF$290</f>
        <v>0</v>
      </c>
      <c r="E383" s="82">
        <f>'[2]Russia Sun Oil Exports'!BG$290</f>
        <v>0</v>
      </c>
      <c r="F383" s="82">
        <f>'[2]Russia Sun Oil Exports'!BH$290</f>
        <v>0</v>
      </c>
      <c r="G383" s="82">
        <f>'[2]Russia Sun Oil Exports'!BI$290</f>
        <v>0</v>
      </c>
      <c r="H383" s="82">
        <f>'[2]Russia Sun Oil Exports'!BJ$290</f>
        <v>0</v>
      </c>
      <c r="I383" s="82">
        <f>'[2]Russia Sun Oil Exports'!BK$290</f>
        <v>0</v>
      </c>
      <c r="J383" s="82">
        <f>'[2]Russia Sun Oil Exports'!BL$290</f>
        <v>0</v>
      </c>
      <c r="K383" s="82">
        <f>'[2]Russia Sun Oil Exports'!BM$290</f>
        <v>0</v>
      </c>
      <c r="L383" s="82">
        <f>'[2]Russia Sun Oil Exports'!BN$290</f>
        <v>0</v>
      </c>
      <c r="M383" s="82">
        <f>'[2]Russia Sun Oil Exports'!BO$290</f>
        <v>0</v>
      </c>
      <c r="N383" s="82">
        <f t="shared" ref="N383:N407" si="85">SUM(B383:M383)</f>
        <v>0</v>
      </c>
      <c r="O383" s="27"/>
      <c r="P383" s="82">
        <f t="shared" ref="P383:P408" si="86">D383+B383+C383</f>
        <v>0</v>
      </c>
      <c r="Q383" s="82">
        <f t="shared" ref="Q383:Q408" si="87">SUM(E383:G383)</f>
        <v>0</v>
      </c>
      <c r="R383" s="82">
        <f t="shared" ref="R383:R408" si="88">SUM(H383:J383)</f>
        <v>0</v>
      </c>
      <c r="S383" s="82">
        <f t="shared" ref="S383:S408" si="89">SUM(K383:M383)</f>
        <v>0</v>
      </c>
    </row>
    <row r="384" spans="1:19" ht="16.5" hidden="1">
      <c r="A384" s="81" t="s">
        <v>58</v>
      </c>
      <c r="B384" s="82">
        <f>'[2]Russia Sun Oil Exports'!BP$290</f>
        <v>0</v>
      </c>
      <c r="C384" s="82">
        <f>'[2]Russia Sun Oil Exports'!BQ$290</f>
        <v>0</v>
      </c>
      <c r="D384" s="82">
        <f>'[2]Russia Sun Oil Exports'!BR$290</f>
        <v>0</v>
      </c>
      <c r="E384" s="82">
        <f>'[2]Russia Sun Oil Exports'!BS$290</f>
        <v>2.9753250000000002</v>
      </c>
      <c r="F384" s="82">
        <f>'[2]Russia Sun Oil Exports'!BT$290</f>
        <v>3.5593319999999999</v>
      </c>
      <c r="G384" s="82">
        <f>'[2]Russia Sun Oil Exports'!BU$290</f>
        <v>2.3844189999999998</v>
      </c>
      <c r="H384" s="82">
        <f>'[2]Russia Sun Oil Exports'!BV$290</f>
        <v>2.7628499999999998</v>
      </c>
      <c r="I384" s="82">
        <f>'[2]Russia Sun Oil Exports'!BW$290</f>
        <v>3.0320520000000002</v>
      </c>
      <c r="J384" s="82">
        <f>'[2]Russia Sun Oil Exports'!BX$290</f>
        <v>1.913751</v>
      </c>
      <c r="K384" s="82">
        <f>'[2]Russia Sun Oil Exports'!BY$290</f>
        <v>0.802651</v>
      </c>
      <c r="L384" s="82">
        <f>'[2]Russia Sun Oil Exports'!BZ$290</f>
        <v>0.46494400000000002</v>
      </c>
      <c r="M384" s="82">
        <f>'[2]Russia Sun Oil Exports'!CA$290</f>
        <v>0.536443</v>
      </c>
      <c r="N384" s="82">
        <f t="shared" si="85"/>
        <v>18.431767000000001</v>
      </c>
      <c r="O384" s="27"/>
      <c r="P384" s="82">
        <f t="shared" si="86"/>
        <v>0</v>
      </c>
      <c r="Q384" s="82">
        <f t="shared" si="87"/>
        <v>8.9190760000000004</v>
      </c>
      <c r="R384" s="82">
        <f t="shared" si="88"/>
        <v>7.708653</v>
      </c>
      <c r="S384" s="82">
        <f t="shared" si="89"/>
        <v>1.804038</v>
      </c>
    </row>
    <row r="385" spans="1:19" ht="16.5" hidden="1">
      <c r="A385" s="81" t="s">
        <v>59</v>
      </c>
      <c r="B385" s="82">
        <f>'[2]Russia Sun Oil Exports'!CB$290</f>
        <v>1.907063</v>
      </c>
      <c r="C385" s="82">
        <f>'[2]Russia Sun Oil Exports'!CC$290</f>
        <v>2.1860550000000001</v>
      </c>
      <c r="D385" s="82">
        <f>'[2]Russia Sun Oil Exports'!CD$290</f>
        <v>3.2736010000000002</v>
      </c>
      <c r="E385" s="82">
        <f>'[2]Russia Sun Oil Exports'!CE$290</f>
        <v>3.4355980000000002</v>
      </c>
      <c r="F385" s="82">
        <f>'[2]Russia Sun Oil Exports'!CF$290</f>
        <v>1.74753</v>
      </c>
      <c r="G385" s="82">
        <f>'[2]Russia Sun Oil Exports'!CG$290</f>
        <v>1.891087</v>
      </c>
      <c r="H385" s="82">
        <f>'[2]Russia Sun Oil Exports'!CH$290</f>
        <v>1.6171660000000001</v>
      </c>
      <c r="I385" s="82">
        <f>'[2]Russia Sun Oil Exports'!CI$290</f>
        <v>1.778448</v>
      </c>
      <c r="J385" s="82">
        <f>'[2]Russia Sun Oil Exports'!CJ$290</f>
        <v>1.1772910000000001</v>
      </c>
      <c r="K385" s="82">
        <f>'[2]Russia Sun Oil Exports'!CK$290</f>
        <v>1.206251</v>
      </c>
      <c r="L385" s="82">
        <f>'[2]Russia Sun Oil Exports'!CL$290</f>
        <v>1.461454</v>
      </c>
      <c r="M385" s="82">
        <f>'[2]Russia Sun Oil Exports'!CM$290</f>
        <v>1.482588</v>
      </c>
      <c r="N385" s="82">
        <f t="shared" si="85"/>
        <v>23.164131999999999</v>
      </c>
      <c r="O385" s="27"/>
      <c r="P385" s="82">
        <f t="shared" si="86"/>
        <v>7.3667189999999998</v>
      </c>
      <c r="Q385" s="82">
        <f t="shared" si="87"/>
        <v>7.0742149999999997</v>
      </c>
      <c r="R385" s="82">
        <f t="shared" si="88"/>
        <v>4.5729050000000004</v>
      </c>
      <c r="S385" s="82">
        <f t="shared" si="89"/>
        <v>4.1502929999999996</v>
      </c>
    </row>
    <row r="386" spans="1:19" ht="16.5" hidden="1">
      <c r="A386" s="81" t="s">
        <v>60</v>
      </c>
      <c r="B386" s="82">
        <f>'[2]Russia Sun Oil Exports'!CN$290</f>
        <v>6.1691269999999996</v>
      </c>
      <c r="C386" s="82">
        <f>'[2]Russia Sun Oil Exports'!CO$290</f>
        <v>3.1317970000000002</v>
      </c>
      <c r="D386" s="82">
        <f>'[2]Russia Sun Oil Exports'!CP$290</f>
        <v>9.3869129999999998</v>
      </c>
      <c r="E386" s="82">
        <f>'[2]Russia Sun Oil Exports'!CQ$290</f>
        <v>2.3650139999999999</v>
      </c>
      <c r="F386" s="82">
        <f>'[2]Russia Sun Oil Exports'!CR$290</f>
        <v>0.82211100000000004</v>
      </c>
      <c r="G386" s="82">
        <f>'[2]Russia Sun Oil Exports'!CS$290</f>
        <v>0.57048900000000002</v>
      </c>
      <c r="H386" s="82">
        <f>'[2]Russia Sun Oil Exports'!CT$290</f>
        <v>0.576824</v>
      </c>
      <c r="I386" s="82">
        <f>'[2]Russia Sun Oil Exports'!CU$290</f>
        <v>0.57740499999999995</v>
      </c>
      <c r="J386" s="82">
        <f>'[2]Russia Sun Oil Exports'!CV$290</f>
        <v>0.48706700000000003</v>
      </c>
      <c r="K386" s="82">
        <f>'[2]Russia Sun Oil Exports'!CW$290</f>
        <v>0.75376799999999999</v>
      </c>
      <c r="L386" s="82">
        <f>'[2]Russia Sun Oil Exports'!CX$290</f>
        <v>0.79705899999999996</v>
      </c>
      <c r="M386" s="82">
        <f>'[2]Russia Sun Oil Exports'!CY$290</f>
        <v>0.91144099999999995</v>
      </c>
      <c r="N386" s="82">
        <f t="shared" si="85"/>
        <v>26.549014999999997</v>
      </c>
      <c r="O386" s="27"/>
      <c r="P386" s="82">
        <f t="shared" si="86"/>
        <v>18.687836999999998</v>
      </c>
      <c r="Q386" s="82">
        <f t="shared" si="87"/>
        <v>3.7576140000000002</v>
      </c>
      <c r="R386" s="82">
        <f t="shared" si="88"/>
        <v>1.6412960000000001</v>
      </c>
      <c r="S386" s="82">
        <f t="shared" si="89"/>
        <v>2.4622679999999999</v>
      </c>
    </row>
    <row r="387" spans="1:19" ht="16.5" hidden="1">
      <c r="A387" s="81" t="s">
        <v>61</v>
      </c>
      <c r="B387" s="82">
        <f>'[2]Russia Sun Oil Exports'!CZ$290</f>
        <v>6.6017039999999998</v>
      </c>
      <c r="C387" s="82">
        <f>'[2]Russia Sun Oil Exports'!DA$290</f>
        <v>5.7424619999999997</v>
      </c>
      <c r="D387" s="82">
        <f>'[2]Russia Sun Oil Exports'!DB$290</f>
        <v>10.601800000000001</v>
      </c>
      <c r="E387" s="82">
        <f>'[2]Russia Sun Oil Exports'!DC$290</f>
        <v>16.422888</v>
      </c>
      <c r="F387" s="82">
        <f>'[2]Russia Sun Oil Exports'!DD$290</f>
        <v>20.496344000000001</v>
      </c>
      <c r="G387" s="82">
        <f>'[2]Russia Sun Oil Exports'!DE$290</f>
        <v>36.953786999999998</v>
      </c>
      <c r="H387" s="82">
        <f>'[2]Russia Sun Oil Exports'!DF$290</f>
        <v>32.768791999999998</v>
      </c>
      <c r="I387" s="82">
        <f>'[2]Russia Sun Oil Exports'!DG$290</f>
        <v>20.946370999999999</v>
      </c>
      <c r="J387" s="82">
        <f>'[2]Russia Sun Oil Exports'!DH$290</f>
        <v>16.769016000000001</v>
      </c>
      <c r="K387" s="82">
        <f>'[2]Russia Sun Oil Exports'!DI$290</f>
        <v>11.284528</v>
      </c>
      <c r="L387" s="82">
        <f>'[2]Russia Sun Oil Exports'!DJ$290</f>
        <v>12.780911</v>
      </c>
      <c r="M387" s="82">
        <f>'[2]Russia Sun Oil Exports'!DK$290</f>
        <v>7.1379989999999998</v>
      </c>
      <c r="N387" s="82">
        <f t="shared" si="85"/>
        <v>198.50660199999999</v>
      </c>
      <c r="O387" s="27"/>
      <c r="P387" s="82">
        <f t="shared" si="86"/>
        <v>22.945966000000002</v>
      </c>
      <c r="Q387" s="82">
        <f t="shared" si="87"/>
        <v>73.873018999999999</v>
      </c>
      <c r="R387" s="82">
        <f t="shared" si="88"/>
        <v>70.484178999999997</v>
      </c>
      <c r="S387" s="82">
        <f t="shared" si="89"/>
        <v>31.203437999999998</v>
      </c>
    </row>
    <row r="388" spans="1:19" ht="16.5" hidden="1">
      <c r="A388" s="81" t="s">
        <v>62</v>
      </c>
      <c r="B388" s="82">
        <f>'[2]Russia Sun Oil Exports'!DL$290</f>
        <v>5.5385999999999997</v>
      </c>
      <c r="C388" s="82">
        <f>'[2]Russia Sun Oil Exports'!DM$290</f>
        <v>3.9697480000000001</v>
      </c>
      <c r="D388" s="82">
        <f>'[2]Russia Sun Oil Exports'!DN$290</f>
        <v>9.6522640000000006</v>
      </c>
      <c r="E388" s="82">
        <f>'[2]Russia Sun Oil Exports'!DO$290</f>
        <v>11.532731</v>
      </c>
      <c r="F388" s="82">
        <f>'[2]Russia Sun Oil Exports'!DP$290</f>
        <v>20.446791000000001</v>
      </c>
      <c r="G388" s="82">
        <f>'[2]Russia Sun Oil Exports'!DQ$290</f>
        <v>20.436394</v>
      </c>
      <c r="H388" s="82">
        <f>'[2]Russia Sun Oil Exports'!DR$290</f>
        <v>19.515737000000001</v>
      </c>
      <c r="I388" s="82">
        <f>'[2]Russia Sun Oil Exports'!DS$290</f>
        <v>9.1879530000000003</v>
      </c>
      <c r="J388" s="82">
        <f>'[2]Russia Sun Oil Exports'!DT$290</f>
        <v>7.4031469999999997</v>
      </c>
      <c r="K388" s="82">
        <f>'[2]Russia Sun Oil Exports'!DU$290</f>
        <v>10.937514999999999</v>
      </c>
      <c r="L388" s="82">
        <f>'[2]Russia Sun Oil Exports'!DV$290</f>
        <v>5.2123549999999996</v>
      </c>
      <c r="M388" s="82">
        <f>'[2]Russia Sun Oil Exports'!DW$290</f>
        <v>2.0726230000000001</v>
      </c>
      <c r="N388" s="82">
        <f t="shared" si="85"/>
        <v>125.90585799999999</v>
      </c>
      <c r="O388" s="27"/>
      <c r="P388" s="82">
        <f t="shared" si="86"/>
        <v>19.160612</v>
      </c>
      <c r="Q388" s="82">
        <f t="shared" si="87"/>
        <v>52.415916000000003</v>
      </c>
      <c r="R388" s="82">
        <f t="shared" si="88"/>
        <v>36.106836999999999</v>
      </c>
      <c r="S388" s="82">
        <f t="shared" si="89"/>
        <v>18.222493</v>
      </c>
    </row>
    <row r="389" spans="1:19" ht="16.5" hidden="1">
      <c r="A389" s="81" t="s">
        <v>63</v>
      </c>
      <c r="B389" s="82">
        <f>'[2]Russia Sun Oil Exports'!DX$290</f>
        <v>2.5039549999999999</v>
      </c>
      <c r="C389" s="82">
        <f>'[2]Russia Sun Oil Exports'!DY$290</f>
        <v>2.949824</v>
      </c>
      <c r="D389" s="82">
        <f>'[2]Russia Sun Oil Exports'!DZ$290</f>
        <v>2.4707940000000002</v>
      </c>
      <c r="E389" s="82">
        <f>'[2]Russia Sun Oil Exports'!EA$290</f>
        <v>2.3395090000000001</v>
      </c>
      <c r="F389" s="82">
        <f>'[2]Russia Sun Oil Exports'!EB$290</f>
        <v>1.826962</v>
      </c>
      <c r="G389" s="82">
        <f>'[2]Russia Sun Oil Exports'!EC$290</f>
        <v>2.683589</v>
      </c>
      <c r="H389" s="82">
        <f>'[2]Russia Sun Oil Exports'!ED$290</f>
        <v>3.0979329999999998</v>
      </c>
      <c r="I389" s="82">
        <f>'[2]Russia Sun Oil Exports'!EE$290</f>
        <v>1.8174269999999999</v>
      </c>
      <c r="J389" s="82">
        <f>'[2]Russia Sun Oil Exports'!EF$290</f>
        <v>2.31453</v>
      </c>
      <c r="K389" s="82">
        <f>'[2]Russia Sun Oil Exports'!EG$290</f>
        <v>4.5696880000000002</v>
      </c>
      <c r="L389" s="82">
        <f>'[2]Russia Sun Oil Exports'!EH$290</f>
        <v>5.8788850000000004</v>
      </c>
      <c r="M389" s="82">
        <f>'[2]Russia Sun Oil Exports'!EI$290</f>
        <v>8.539453</v>
      </c>
      <c r="N389" s="82">
        <f t="shared" si="85"/>
        <v>40.992549000000004</v>
      </c>
      <c r="O389" s="27"/>
      <c r="P389" s="82">
        <f t="shared" si="86"/>
        <v>7.9245730000000005</v>
      </c>
      <c r="Q389" s="82">
        <f t="shared" si="87"/>
        <v>6.8500599999999991</v>
      </c>
      <c r="R389" s="82">
        <f t="shared" si="88"/>
        <v>7.2298899999999993</v>
      </c>
      <c r="S389" s="82">
        <f t="shared" si="89"/>
        <v>18.988025999999998</v>
      </c>
    </row>
    <row r="390" spans="1:19" ht="16.5" hidden="1">
      <c r="A390" s="81" t="s">
        <v>64</v>
      </c>
      <c r="B390" s="82">
        <f>'[2]Russia Sun Oil Exports'!EJ$290</f>
        <v>8.9082740000000005</v>
      </c>
      <c r="C390" s="82">
        <f>'[2]Russia Sun Oil Exports'!EK$290</f>
        <v>10.926143</v>
      </c>
      <c r="D390" s="82">
        <f>'[2]Russia Sun Oil Exports'!EL$290</f>
        <v>21.329159000000001</v>
      </c>
      <c r="E390" s="82">
        <f>'[2]Russia Sun Oil Exports'!EM$290</f>
        <v>12.617766</v>
      </c>
      <c r="F390" s="82">
        <f>'[2]Russia Sun Oil Exports'!EN$290</f>
        <v>14.565524</v>
      </c>
      <c r="G390" s="82">
        <f>'[2]Russia Sun Oil Exports'!EO$290</f>
        <v>10.02177</v>
      </c>
      <c r="H390" s="82">
        <f>'[2]Russia Sun Oil Exports'!EP$290</f>
        <v>8.6986500000000007</v>
      </c>
      <c r="I390" s="82">
        <f>'[2]Russia Sun Oil Exports'!EQ$290</f>
        <v>1.969069</v>
      </c>
      <c r="J390" s="82">
        <f>'[2]Russia Sun Oil Exports'!ER$290</f>
        <v>2.9295049999999998</v>
      </c>
      <c r="K390" s="82">
        <f>'[2]Russia Sun Oil Exports'!ES$290</f>
        <v>1.261487</v>
      </c>
      <c r="L390" s="82">
        <f>'[2]Russia Sun Oil Exports'!ET$290</f>
        <v>1.3691949999999999</v>
      </c>
      <c r="M390" s="82">
        <f>'[2]Russia Sun Oil Exports'!EU$290</f>
        <v>1.2788280000000001</v>
      </c>
      <c r="N390" s="82">
        <f t="shared" si="85"/>
        <v>95.875370000000032</v>
      </c>
      <c r="O390" s="27"/>
      <c r="P390" s="82">
        <f t="shared" si="86"/>
        <v>41.163576000000006</v>
      </c>
      <c r="Q390" s="82">
        <f t="shared" si="87"/>
        <v>37.205060000000003</v>
      </c>
      <c r="R390" s="82">
        <f t="shared" si="88"/>
        <v>13.597224000000001</v>
      </c>
      <c r="S390" s="82">
        <f t="shared" si="89"/>
        <v>3.90951</v>
      </c>
    </row>
    <row r="391" spans="1:19" ht="16.5" hidden="1">
      <c r="A391" s="83" t="s">
        <v>65</v>
      </c>
      <c r="B391" s="82">
        <f>'[2]Russia Sun Oil Exports'!EV$290</f>
        <v>2.1495169999999999</v>
      </c>
      <c r="C391" s="82">
        <f>'[2]Russia Sun Oil Exports'!EW$290</f>
        <v>10.594804999999999</v>
      </c>
      <c r="D391" s="82">
        <f>'[2]Russia Sun Oil Exports'!EX$290</f>
        <v>16.094083000000001</v>
      </c>
      <c r="E391" s="82">
        <f>'[2]Russia Sun Oil Exports'!EY$290</f>
        <v>16.398164999999999</v>
      </c>
      <c r="F391" s="82">
        <f>'[2]Russia Sun Oil Exports'!EZ$290</f>
        <v>20.781853000000002</v>
      </c>
      <c r="G391" s="82">
        <f>'[2]Russia Sun Oil Exports'!FA$290</f>
        <v>31.607655000000001</v>
      </c>
      <c r="H391" s="82">
        <f>'[2]Russia Sun Oil Exports'!FB$290</f>
        <v>15.573313000000001</v>
      </c>
      <c r="I391" s="82">
        <f>'[2]Russia Sun Oil Exports'!FC$290</f>
        <v>11.544064000000001</v>
      </c>
      <c r="J391" s="82">
        <f>'[2]Russia Sun Oil Exports'!FD$290</f>
        <v>5.7280189999999997</v>
      </c>
      <c r="K391" s="82">
        <f>'[2]Russia Sun Oil Exports'!FE$290</f>
        <v>3.3873310000000001</v>
      </c>
      <c r="L391" s="82">
        <f>'[2]Russia Sun Oil Exports'!FF$290</f>
        <v>1.1276949999999999</v>
      </c>
      <c r="M391" s="82">
        <f>'[2]Russia Sun Oil Exports'!FG$290</f>
        <v>1.6565810000000001</v>
      </c>
      <c r="N391" s="82">
        <f t="shared" si="85"/>
        <v>136.64308099999997</v>
      </c>
      <c r="O391" s="27"/>
      <c r="P391" s="82">
        <f t="shared" si="86"/>
        <v>28.838405000000002</v>
      </c>
      <c r="Q391" s="82">
        <f t="shared" si="87"/>
        <v>68.787673000000012</v>
      </c>
      <c r="R391" s="82">
        <f t="shared" si="88"/>
        <v>32.845396000000001</v>
      </c>
      <c r="S391" s="82">
        <f t="shared" si="89"/>
        <v>6.1716069999999998</v>
      </c>
    </row>
    <row r="392" spans="1:19" ht="16.5" hidden="1">
      <c r="A392" s="83" t="s">
        <v>66</v>
      </c>
      <c r="B392" s="82">
        <f>'[2]Russia Sun Oil Exports'!FH$290</f>
        <v>8.2843809999999998</v>
      </c>
      <c r="C392" s="82">
        <f>'[2]Russia Sun Oil Exports'!FI$290</f>
        <v>3.9151340000000001</v>
      </c>
      <c r="D392" s="82">
        <f>'[2]Russia Sun Oil Exports'!FJ$290</f>
        <v>25.13</v>
      </c>
      <c r="E392" s="82">
        <f>'[2]Russia Sun Oil Exports'!FK$290</f>
        <v>26.690999999999999</v>
      </c>
      <c r="F392" s="82">
        <f>'[2]Russia Sun Oil Exports'!FL$290</f>
        <v>29.548999999999999</v>
      </c>
      <c r="G392" s="82">
        <f>'[2]Russia Sun Oil Exports'!FM$290</f>
        <v>27.501999999999999</v>
      </c>
      <c r="H392" s="82">
        <f>'[2]Russia Sun Oil Exports'!FN$290</f>
        <v>26.542999999999999</v>
      </c>
      <c r="I392" s="82">
        <f>'[2]Russia Sun Oil Exports'!FO$290</f>
        <v>26.939</v>
      </c>
      <c r="J392" s="82">
        <f>'[2]Russia Sun Oil Exports'!FP$290</f>
        <v>34.472999999999999</v>
      </c>
      <c r="K392" s="82">
        <f>'[2]Russia Sun Oil Exports'!FQ$290</f>
        <v>12.022</v>
      </c>
      <c r="L392" s="82">
        <f>'[2]Russia Sun Oil Exports'!FR$290</f>
        <v>2.9510000000000001</v>
      </c>
      <c r="M392" s="82">
        <f>'[2]Russia Sun Oil Exports'!FS$290</f>
        <v>4.117</v>
      </c>
      <c r="N392" s="82">
        <f t="shared" si="85"/>
        <v>228.11651499999994</v>
      </c>
      <c r="O392" s="27"/>
      <c r="P392" s="82">
        <f t="shared" si="86"/>
        <v>37.329515000000001</v>
      </c>
      <c r="Q392" s="82">
        <f t="shared" si="87"/>
        <v>83.74199999999999</v>
      </c>
      <c r="R392" s="82">
        <f t="shared" si="88"/>
        <v>87.954999999999998</v>
      </c>
      <c r="S392" s="82">
        <f t="shared" si="89"/>
        <v>19.09</v>
      </c>
    </row>
    <row r="393" spans="1:19" ht="16.5" hidden="1">
      <c r="A393" s="84" t="s">
        <v>67</v>
      </c>
      <c r="B393" s="82">
        <f>'[2]Russia Sun Oil Exports'!FT$290</f>
        <v>25.940999999999999</v>
      </c>
      <c r="C393" s="82">
        <f>'[2]Russia Sun Oil Exports'!FU$290</f>
        <v>35.954999999999998</v>
      </c>
      <c r="D393" s="82">
        <f>'[2]Russia Sun Oil Exports'!FV$290</f>
        <v>60.878</v>
      </c>
      <c r="E393" s="82">
        <f>'[2]Russia Sun Oil Exports'!FW$290</f>
        <v>56.313000000000002</v>
      </c>
      <c r="F393" s="82">
        <f>'[2]Russia Sun Oil Exports'!FX$290</f>
        <v>54.2</v>
      </c>
      <c r="G393" s="82">
        <f>'[2]Russia Sun Oil Exports'!FY$290</f>
        <v>106.03100000000001</v>
      </c>
      <c r="H393" s="82">
        <f>'[2]Russia Sun Oil Exports'!FZ$290</f>
        <v>93.936000000000007</v>
      </c>
      <c r="I393" s="82">
        <f>'[2]Russia Sun Oil Exports'!GA$290</f>
        <v>69.679000000000002</v>
      </c>
      <c r="J393" s="82">
        <f>'[2]Russia Sun Oil Exports'!GB$290</f>
        <v>42.372</v>
      </c>
      <c r="K393" s="82">
        <f>'[2]Russia Sun Oil Exports'!GC$290</f>
        <v>39.287999999999997</v>
      </c>
      <c r="L393" s="82">
        <f>'[2]Russia Sun Oil Exports'!GD$290</f>
        <v>27.177</v>
      </c>
      <c r="M393" s="82">
        <f>'[2]Russia Sun Oil Exports'!GE$290</f>
        <v>16.245999999999999</v>
      </c>
      <c r="N393" s="82">
        <f t="shared" si="85"/>
        <v>628.01599999999996</v>
      </c>
      <c r="O393" s="27"/>
      <c r="P393" s="82">
        <f t="shared" si="86"/>
        <v>122.774</v>
      </c>
      <c r="Q393" s="82">
        <f t="shared" si="87"/>
        <v>216.54400000000001</v>
      </c>
      <c r="R393" s="82">
        <f t="shared" si="88"/>
        <v>205.98700000000002</v>
      </c>
      <c r="S393" s="82">
        <f t="shared" si="89"/>
        <v>82.710999999999999</v>
      </c>
    </row>
    <row r="394" spans="1:19" ht="16.5" hidden="1">
      <c r="A394" s="83" t="s">
        <v>68</v>
      </c>
      <c r="B394" s="82">
        <f>'[2]Russia Sun Oil Exports'!GF$290</f>
        <v>16.577000000000002</v>
      </c>
      <c r="C394" s="82">
        <f>'[2]Russia Sun Oil Exports'!GG$290</f>
        <v>44.048999999999999</v>
      </c>
      <c r="D394" s="82">
        <f>'[2]Russia Sun Oil Exports'!GH$290</f>
        <v>118.89700000000001</v>
      </c>
      <c r="E394" s="82">
        <f>'[2]Russia Sun Oil Exports'!GI$290</f>
        <v>76.676000000000002</v>
      </c>
      <c r="F394" s="82">
        <f>'[2]Russia Sun Oil Exports'!GJ$290</f>
        <v>62.459000000000003</v>
      </c>
      <c r="G394" s="82">
        <f>'[2]Russia Sun Oil Exports'!GK$290</f>
        <v>88.811999999999998</v>
      </c>
      <c r="H394" s="82">
        <f>'[2]Russia Sun Oil Exports'!GL$290</f>
        <v>73.12</v>
      </c>
      <c r="I394" s="82">
        <f>'[2]Russia Sun Oil Exports'!GM$290</f>
        <v>111.489</v>
      </c>
      <c r="J394" s="82">
        <f>'[2]Russia Sun Oil Exports'!GN$290</f>
        <v>55.752000000000002</v>
      </c>
      <c r="K394" s="82">
        <f>'[2]Russia Sun Oil Exports'!GO$290</f>
        <v>31.33</v>
      </c>
      <c r="L394" s="82">
        <f>'[2]Russia Sun Oil Exports'!GP$290</f>
        <v>15.561</v>
      </c>
      <c r="M394" s="82">
        <f>'[2]Russia Sun Oil Exports'!GQ$290</f>
        <v>6.7569999999999997</v>
      </c>
      <c r="N394" s="82">
        <f t="shared" si="85"/>
        <v>701.47900000000004</v>
      </c>
      <c r="O394" s="27"/>
      <c r="P394" s="82">
        <f t="shared" si="86"/>
        <v>179.52300000000002</v>
      </c>
      <c r="Q394" s="82">
        <f t="shared" si="87"/>
        <v>227.947</v>
      </c>
      <c r="R394" s="82">
        <f t="shared" si="88"/>
        <v>240.36100000000002</v>
      </c>
      <c r="S394" s="82">
        <f t="shared" si="89"/>
        <v>53.647999999999996</v>
      </c>
    </row>
    <row r="395" spans="1:19" ht="16.5" hidden="1">
      <c r="A395" s="84" t="s">
        <v>69</v>
      </c>
      <c r="B395" s="82">
        <f>'[2]Russia Sun Oil Exports'!GR$290</f>
        <v>19.184999999999999</v>
      </c>
      <c r="C395" s="82">
        <f>'[2]Russia Sun Oil Exports'!GS$290</f>
        <v>26.841000000000001</v>
      </c>
      <c r="D395" s="82">
        <f>'[2]Russia Sun Oil Exports'!GT$290</f>
        <v>45.71</v>
      </c>
      <c r="E395" s="82">
        <f>'[2]Russia Sun Oil Exports'!GU$290</f>
        <v>19.542000000000002</v>
      </c>
      <c r="F395" s="82">
        <f>'[2]Russia Sun Oil Exports'!GV$290</f>
        <v>23.654</v>
      </c>
      <c r="G395" s="82">
        <f>'[2]Russia Sun Oil Exports'!GW$290</f>
        <v>45.22</v>
      </c>
      <c r="H395" s="82">
        <f>'[2]Russia Sun Oil Exports'!GX$290</f>
        <v>22.120999999999999</v>
      </c>
      <c r="I395" s="82">
        <f>'[2]Russia Sun Oil Exports'!GY$290</f>
        <v>7.9059999999999997</v>
      </c>
      <c r="J395" s="82">
        <f>'[2]Russia Sun Oil Exports'!GZ$290</f>
        <v>36.459000000000003</v>
      </c>
      <c r="K395" s="82">
        <f>'[2]Russia Sun Oil Exports'!HA$290</f>
        <v>51.600999999999999</v>
      </c>
      <c r="L395" s="82">
        <f>'[2]Russia Sun Oil Exports'!HB$290</f>
        <v>16.919</v>
      </c>
      <c r="M395" s="82">
        <f>'[2]Russia Sun Oil Exports'!HC$290</f>
        <v>12.393000000000001</v>
      </c>
      <c r="N395" s="82">
        <f t="shared" si="85"/>
        <v>327.55100000000004</v>
      </c>
      <c r="O395" s="27"/>
      <c r="P395" s="82">
        <f t="shared" si="86"/>
        <v>91.73599999999999</v>
      </c>
      <c r="Q395" s="82">
        <f t="shared" si="87"/>
        <v>88.415999999999997</v>
      </c>
      <c r="R395" s="82">
        <f t="shared" si="88"/>
        <v>66.486000000000004</v>
      </c>
      <c r="S395" s="82">
        <f t="shared" si="89"/>
        <v>80.912999999999997</v>
      </c>
    </row>
    <row r="396" spans="1:19" ht="16.5" hidden="1">
      <c r="A396" s="84" t="s">
        <v>70</v>
      </c>
      <c r="B396" s="82">
        <f>'[2]Russia Sun Oil Exports'!HD$290</f>
        <v>67.328000000000003</v>
      </c>
      <c r="C396" s="82">
        <f>'[2]Russia Sun Oil Exports'!HE$290</f>
        <v>62.889000000000003</v>
      </c>
      <c r="D396" s="82">
        <f>'[2]Russia Sun Oil Exports'!HF$290</f>
        <v>124.226</v>
      </c>
      <c r="E396" s="82">
        <f>'[2]Russia Sun Oil Exports'!HG$290</f>
        <v>61.905000000000001</v>
      </c>
      <c r="F396" s="82">
        <f>'[2]Russia Sun Oil Exports'!HH$290</f>
        <v>79.457999999999998</v>
      </c>
      <c r="G396" s="82">
        <f>'[2]Russia Sun Oil Exports'!HI$290</f>
        <v>58.176000000000002</v>
      </c>
      <c r="H396" s="82">
        <f>'[2]Russia Sun Oil Exports'!HJ$290</f>
        <v>50.421999999999997</v>
      </c>
      <c r="I396" s="82">
        <f>'[2]Russia Sun Oil Exports'!HK$290</f>
        <v>71.210999999999999</v>
      </c>
      <c r="J396" s="82">
        <f>'[2]Russia Sun Oil Exports'!HL$290</f>
        <v>99.161000000000001</v>
      </c>
      <c r="K396" s="82">
        <f>'[2]Russia Sun Oil Exports'!HM$290</f>
        <v>75.045000000000002</v>
      </c>
      <c r="L396" s="82">
        <f>'[2]Russia Sun Oil Exports'!HN$290</f>
        <v>39.996000000000002</v>
      </c>
      <c r="M396" s="82">
        <f>'[2]Russia Sun Oil Exports'!HO$290</f>
        <v>10.94</v>
      </c>
      <c r="N396" s="82">
        <f t="shared" si="85"/>
        <v>800.75700000000006</v>
      </c>
      <c r="O396" s="27"/>
      <c r="P396" s="82">
        <f t="shared" si="86"/>
        <v>254.44300000000001</v>
      </c>
      <c r="Q396" s="82">
        <f t="shared" si="87"/>
        <v>199.53899999999999</v>
      </c>
      <c r="R396" s="82">
        <f t="shared" si="88"/>
        <v>220.79399999999998</v>
      </c>
      <c r="S396" s="82">
        <f t="shared" si="89"/>
        <v>125.98099999999999</v>
      </c>
    </row>
    <row r="397" spans="1:19" ht="16.5" hidden="1">
      <c r="A397" s="83" t="s">
        <v>71</v>
      </c>
      <c r="B397" s="82">
        <f>'[2]Russia Sun Oil Exports'!HP$290</f>
        <v>22.795999999999999</v>
      </c>
      <c r="C397" s="82">
        <f>'[2]Russia Sun Oil Exports'!HQ$290</f>
        <v>57.465000000000003</v>
      </c>
      <c r="D397" s="82">
        <f>'[2]Russia Sun Oil Exports'!HR$290</f>
        <v>64.468000000000004</v>
      </c>
      <c r="E397" s="82">
        <f>'[2]Russia Sun Oil Exports'!HS$290</f>
        <v>36.311999999999998</v>
      </c>
      <c r="F397" s="82">
        <f>'[2]Russia Sun Oil Exports'!HT$290</f>
        <v>39.411000000000001</v>
      </c>
      <c r="G397" s="82">
        <f>'[2]Russia Sun Oil Exports'!HU$290</f>
        <v>35.228000000000002</v>
      </c>
      <c r="H397" s="82">
        <f>'[2]Russia Sun Oil Exports'!HV$290</f>
        <v>45.55</v>
      </c>
      <c r="I397" s="82">
        <f>'[2]Russia Sun Oil Exports'!HW$290</f>
        <v>56.716999999999999</v>
      </c>
      <c r="J397" s="82">
        <f>'[2]Russia Sun Oil Exports'!HX$290</f>
        <v>66.665000000000006</v>
      </c>
      <c r="K397" s="82">
        <f>'[2]Russia Sun Oil Exports'!HY$290</f>
        <v>52.673000000000002</v>
      </c>
      <c r="L397" s="82">
        <f>'[2]Russia Sun Oil Exports'!HZ$290</f>
        <v>15.917999999999999</v>
      </c>
      <c r="M397" s="82">
        <f>'[2]Russia Sun Oil Exports'!IA$290</f>
        <v>9.6910000000000007</v>
      </c>
      <c r="N397" s="82">
        <f t="shared" si="85"/>
        <v>502.89400000000001</v>
      </c>
      <c r="O397" s="27"/>
      <c r="P397" s="82">
        <f t="shared" si="86"/>
        <v>144.72900000000001</v>
      </c>
      <c r="Q397" s="82">
        <f t="shared" si="87"/>
        <v>110.95099999999999</v>
      </c>
      <c r="R397" s="82">
        <f t="shared" si="88"/>
        <v>168.93200000000002</v>
      </c>
      <c r="S397" s="82">
        <f t="shared" si="89"/>
        <v>78.282000000000011</v>
      </c>
    </row>
    <row r="398" spans="1:19" ht="16.5" hidden="1">
      <c r="A398" s="84" t="s">
        <v>72</v>
      </c>
      <c r="B398" s="82">
        <f>'[2]Russia Sun Oil Exports'!IB$290</f>
        <v>13.154</v>
      </c>
      <c r="C398" s="82">
        <f>'[2]Russia Sun Oil Exports'!IC$290</f>
        <v>11.755000000000001</v>
      </c>
      <c r="D398" s="82">
        <f>'[2]Russia Sun Oil Exports'!ID$290</f>
        <v>9.7420000000000009</v>
      </c>
      <c r="E398" s="82">
        <f>'[2]Russia Sun Oil Exports'!IE$290</f>
        <v>2.8839999999999999</v>
      </c>
      <c r="F398" s="82">
        <f>'[2]Russia Sun Oil Exports'!IF$290</f>
        <v>8.0449999999999999</v>
      </c>
      <c r="G398" s="82">
        <f>'[2]Russia Sun Oil Exports'!IG$290</f>
        <v>12.366</v>
      </c>
      <c r="H398" s="82">
        <f>'[2]Russia Sun Oil Exports'!IH$290</f>
        <v>11.222</v>
      </c>
      <c r="I398" s="82">
        <f>'[2]Russia Sun Oil Exports'!II$290</f>
        <v>15.141999999999999</v>
      </c>
      <c r="J398" s="82">
        <f>'[2]Russia Sun Oil Exports'!IJ$290</f>
        <v>22.475000000000001</v>
      </c>
      <c r="K398" s="82">
        <f>'[2]Russia Sun Oil Exports'!IK$290</f>
        <v>32.619</v>
      </c>
      <c r="L398" s="82">
        <f>'[2]Russia Sun Oil Exports'!IL$290</f>
        <v>31.18</v>
      </c>
      <c r="M398" s="82">
        <f>'[2]Russia Sun Oil Exports'!IM$290</f>
        <v>24.286000000000001</v>
      </c>
      <c r="N398" s="82">
        <f t="shared" si="85"/>
        <v>194.87</v>
      </c>
      <c r="O398" s="27"/>
      <c r="P398" s="82">
        <f t="shared" si="86"/>
        <v>34.651000000000003</v>
      </c>
      <c r="Q398" s="82">
        <f t="shared" si="87"/>
        <v>23.295000000000002</v>
      </c>
      <c r="R398" s="82">
        <f t="shared" si="88"/>
        <v>48.838999999999999</v>
      </c>
      <c r="S398" s="82">
        <f t="shared" si="89"/>
        <v>88.085000000000008</v>
      </c>
    </row>
    <row r="399" spans="1:19" ht="16.5" hidden="1">
      <c r="A399" s="83" t="s">
        <v>73</v>
      </c>
      <c r="B399" s="82">
        <f>'[2]Russia Sun Oil Exports'!IN$290</f>
        <v>65.212000000000003</v>
      </c>
      <c r="C399" s="82">
        <f>'[2]Russia Sun Oil Exports'!IO$290</f>
        <v>140.30799999999999</v>
      </c>
      <c r="D399" s="82">
        <f>'[2]Russia Sun Oil Exports'!IP$290</f>
        <v>126.88200000000001</v>
      </c>
      <c r="E399" s="82">
        <f>'[2]Russia Sun Oil Exports'!IQ$290</f>
        <v>96.286000000000001</v>
      </c>
      <c r="F399" s="82">
        <f>'[2]Russia Sun Oil Exports'!IR$290</f>
        <v>68.700999999999993</v>
      </c>
      <c r="G399" s="82">
        <f>'[2]Russia Sun Oil Exports'!IS$290</f>
        <v>185.84299999999999</v>
      </c>
      <c r="H399" s="82">
        <f>'[2]Russia Sun Oil Exports'!IT$290</f>
        <v>186.72900000000001</v>
      </c>
      <c r="I399" s="82">
        <f>'[2]Russia Sun Oil Exports'!IU$290</f>
        <v>209.328</v>
      </c>
      <c r="J399" s="82">
        <f>'[2]Russia Sun Oil Exports'!IV$290</f>
        <v>158.59700000000001</v>
      </c>
      <c r="K399" s="82">
        <f>'[2]Russia Sun Oil Exports'!IW$290</f>
        <v>78.546999999999997</v>
      </c>
      <c r="L399" s="82">
        <f>'[2]Russia Sun Oil Exports'!IX$290</f>
        <v>86.006</v>
      </c>
      <c r="M399" s="82">
        <f>'[2]Russia Sun Oil Exports'!IY$290</f>
        <v>25.59</v>
      </c>
      <c r="N399" s="82">
        <f t="shared" si="85"/>
        <v>1428.029</v>
      </c>
      <c r="O399" s="27"/>
      <c r="P399" s="82">
        <f t="shared" si="86"/>
        <v>332.40199999999999</v>
      </c>
      <c r="Q399" s="82">
        <f t="shared" si="87"/>
        <v>350.83</v>
      </c>
      <c r="R399" s="82">
        <f t="shared" si="88"/>
        <v>554.654</v>
      </c>
      <c r="S399" s="82">
        <f t="shared" si="89"/>
        <v>190.143</v>
      </c>
    </row>
    <row r="400" spans="1:19" ht="16.5" hidden="1">
      <c r="A400" s="83" t="s">
        <v>74</v>
      </c>
      <c r="B400" s="82">
        <f>'[2]Russia Sun Oil Exports'!IZ$290</f>
        <v>60.295000000000002</v>
      </c>
      <c r="C400" s="82">
        <f>'[2]Russia Sun Oil Exports'!JA$290</f>
        <v>71.364999999999995</v>
      </c>
      <c r="D400" s="82">
        <f>'[2]Russia Sun Oil Exports'!JB$290</f>
        <v>92.146000000000001</v>
      </c>
      <c r="E400" s="82">
        <f>'[2]Russia Sun Oil Exports'!JC$290</f>
        <v>116.018</v>
      </c>
      <c r="F400" s="82">
        <f>'[2]Russia Sun Oil Exports'!JD$290</f>
        <v>109.726</v>
      </c>
      <c r="G400" s="82">
        <f>'[2]Russia Sun Oil Exports'!JE$290</f>
        <v>140.316</v>
      </c>
      <c r="H400" s="82">
        <f>'[2]Russia Sun Oil Exports'!JF$290</f>
        <v>91.444999999999993</v>
      </c>
      <c r="I400" s="82">
        <f>'[2]Russia Sun Oil Exports'!JG$290</f>
        <v>137.28200000000001</v>
      </c>
      <c r="J400" s="82">
        <f>'[2]Russia Sun Oil Exports'!JH$290</f>
        <v>71.781000000000006</v>
      </c>
      <c r="K400" s="82">
        <f>'[2]Russia Sun Oil Exports'!JI$290</f>
        <v>56.39</v>
      </c>
      <c r="L400" s="82">
        <f>'[2]Russia Sun Oil Exports'!JJ$290</f>
        <v>40.362000000000002</v>
      </c>
      <c r="M400" s="82">
        <f>'[2]Russia Sun Oil Exports'!JK$290</f>
        <v>66.786000000000001</v>
      </c>
      <c r="N400" s="82">
        <f t="shared" si="85"/>
        <v>1053.912</v>
      </c>
      <c r="O400" s="27"/>
      <c r="P400" s="82">
        <f t="shared" si="86"/>
        <v>223.80599999999998</v>
      </c>
      <c r="Q400" s="82">
        <f t="shared" si="87"/>
        <v>366.06</v>
      </c>
      <c r="R400" s="82">
        <f t="shared" si="88"/>
        <v>300.50800000000004</v>
      </c>
      <c r="S400" s="82">
        <f t="shared" si="89"/>
        <v>163.53800000000001</v>
      </c>
    </row>
    <row r="401" spans="1:19" ht="16.5" hidden="1">
      <c r="A401" s="83" t="s">
        <v>75</v>
      </c>
      <c r="B401" s="82">
        <f>'[2]Russia Sun Oil Exports'!JL$290</f>
        <v>148.70500000000001</v>
      </c>
      <c r="C401" s="82">
        <f>'[2]Russia Sun Oil Exports'!JM$290</f>
        <v>162.05199999999999</v>
      </c>
      <c r="D401" s="82">
        <f>'[2]Russia Sun Oil Exports'!JN$290</f>
        <v>218.44200000000001</v>
      </c>
      <c r="E401" s="82">
        <f>'[2]Russia Sun Oil Exports'!JO$290</f>
        <v>135.46199999999999</v>
      </c>
      <c r="F401" s="82">
        <f>'[2]Russia Sun Oil Exports'!JP$290</f>
        <v>194.08199999999999</v>
      </c>
      <c r="G401" s="82">
        <f>'[2]Russia Sun Oil Exports'!JQ$290</f>
        <v>208.90199999999999</v>
      </c>
      <c r="H401" s="82">
        <f>'[2]Russia Sun Oil Exports'!JR$290</f>
        <v>211.44200000000001</v>
      </c>
      <c r="I401" s="82">
        <f>'[2]Russia Sun Oil Exports'!JS$290</f>
        <v>143.125</v>
      </c>
      <c r="J401" s="82">
        <f>'[2]Russia Sun Oil Exports'!JT$290</f>
        <v>141.47</v>
      </c>
      <c r="K401" s="82">
        <f>'[2]Russia Sun Oil Exports'!JU$290</f>
        <v>91.417000000000002</v>
      </c>
      <c r="L401" s="82">
        <f>'[2]Russia Sun Oil Exports'!JV$290</f>
        <v>77.721999999999994</v>
      </c>
      <c r="M401" s="82">
        <f>'[2]Russia Sun Oil Exports'!JW$290</f>
        <v>80.134</v>
      </c>
      <c r="N401" s="82">
        <f t="shared" si="85"/>
        <v>1812.9549999999999</v>
      </c>
      <c r="O401" s="27"/>
      <c r="P401" s="82">
        <f t="shared" si="86"/>
        <v>529.19900000000007</v>
      </c>
      <c r="Q401" s="82">
        <f t="shared" si="87"/>
        <v>538.44599999999991</v>
      </c>
      <c r="R401" s="82">
        <f t="shared" si="88"/>
        <v>496.03700000000003</v>
      </c>
      <c r="S401" s="82">
        <f t="shared" si="89"/>
        <v>249.27300000000002</v>
      </c>
    </row>
    <row r="402" spans="1:19" ht="16.5" hidden="1">
      <c r="A402" s="83" t="s">
        <v>76</v>
      </c>
      <c r="B402" s="82">
        <f>'[2]Russia Sun Oil Exports'!JX$290</f>
        <v>110.184</v>
      </c>
      <c r="C402" s="82">
        <f>'[2]Russia Sun Oil Exports'!JY$290</f>
        <v>111.005</v>
      </c>
      <c r="D402" s="82">
        <f>'[2]Russia Sun Oil Exports'!JZ$290</f>
        <v>166.47300000000001</v>
      </c>
      <c r="E402" s="82">
        <f>'[2]Russia Sun Oil Exports'!KA$290</f>
        <v>146.691</v>
      </c>
      <c r="F402" s="82">
        <f>'[2]Russia Sun Oil Exports'!KB$290</f>
        <v>156.02000000000001</v>
      </c>
      <c r="G402" s="82">
        <f>'[2]Russia Sun Oil Exports'!KC$290</f>
        <v>154.57599999999999</v>
      </c>
      <c r="H402" s="82">
        <f>'[2]Russia Sun Oil Exports'!KD$290</f>
        <v>140.31700000000001</v>
      </c>
      <c r="I402" s="82">
        <f>'[2]Russia Sun Oil Exports'!KE$290</f>
        <v>137.58500000000001</v>
      </c>
      <c r="J402" s="82">
        <f>'[2]Russia Sun Oil Exports'!KF$290</f>
        <v>123.877</v>
      </c>
      <c r="K402" s="82">
        <f>'[2]Russia Sun Oil Exports'!KG$290</f>
        <v>69.899000000000001</v>
      </c>
      <c r="L402" s="82">
        <f>'[2]Russia Sun Oil Exports'!KH$290</f>
        <v>58.786000000000001</v>
      </c>
      <c r="M402" s="82">
        <f>'[2]Russia Sun Oil Exports'!KI$290</f>
        <v>40.469000000000001</v>
      </c>
      <c r="N402" s="82">
        <f t="shared" si="85"/>
        <v>1415.8820000000001</v>
      </c>
      <c r="O402" s="27"/>
      <c r="P402" s="82">
        <f t="shared" si="86"/>
        <v>387.66200000000003</v>
      </c>
      <c r="Q402" s="82">
        <f t="shared" si="87"/>
        <v>457.28700000000003</v>
      </c>
      <c r="R402" s="82">
        <f t="shared" si="88"/>
        <v>401.77900000000005</v>
      </c>
      <c r="S402" s="82">
        <f t="shared" si="89"/>
        <v>169.154</v>
      </c>
    </row>
    <row r="403" spans="1:19" ht="16.5" hidden="1">
      <c r="A403" s="83" t="s">
        <v>77</v>
      </c>
      <c r="B403" s="82">
        <f>'[2]Russia Sun Oil Exports'!KJ$290</f>
        <v>99.082999999999998</v>
      </c>
      <c r="C403" s="82">
        <f>'[2]Russia Sun Oil Exports'!KK$290</f>
        <v>129.03200000000001</v>
      </c>
      <c r="D403" s="82">
        <f>'[2]Russia Sun Oil Exports'!KL$290</f>
        <v>189.11799999999999</v>
      </c>
      <c r="E403" s="82">
        <f>'[2]Russia Sun Oil Exports'!KM$290</f>
        <v>141.03700000000001</v>
      </c>
      <c r="F403" s="82">
        <f>'[2]Russia Sun Oil Exports'!KN$290</f>
        <v>168.66</v>
      </c>
      <c r="G403" s="82">
        <f>'[2]Russia Sun Oil Exports'!KO$290</f>
        <v>186.87899999999999</v>
      </c>
      <c r="H403" s="82">
        <f>'[2]Russia Sun Oil Exports'!KP$290</f>
        <v>165.94800000000001</v>
      </c>
      <c r="I403" s="82">
        <f>'[2]Russia Sun Oil Exports'!KQ$290</f>
        <v>151.02699999999999</v>
      </c>
      <c r="J403" s="82">
        <f>'[2]Russia Sun Oil Exports'!KR$290</f>
        <v>117.97799999999999</v>
      </c>
      <c r="K403" s="82">
        <f>'[2]Russia Sun Oil Exports'!KS$290</f>
        <v>65.477000000000004</v>
      </c>
      <c r="L403" s="82">
        <f>'[2]Russia Sun Oil Exports'!KT$290</f>
        <v>85.667000000000002</v>
      </c>
      <c r="M403" s="82">
        <f>'[2]Russia Sun Oil Exports'!KU$290</f>
        <v>112.017</v>
      </c>
      <c r="N403" s="82">
        <f t="shared" si="85"/>
        <v>1611.9230000000002</v>
      </c>
      <c r="O403" s="27"/>
      <c r="P403" s="82">
        <f t="shared" si="86"/>
        <v>417.23300000000006</v>
      </c>
      <c r="Q403" s="82">
        <f t="shared" si="87"/>
        <v>496.57600000000002</v>
      </c>
      <c r="R403" s="82">
        <f t="shared" si="88"/>
        <v>434.95300000000003</v>
      </c>
      <c r="S403" s="82">
        <f t="shared" si="89"/>
        <v>263.161</v>
      </c>
    </row>
    <row r="404" spans="1:19" ht="16.5" hidden="1">
      <c r="A404" s="83" t="s">
        <v>78</v>
      </c>
      <c r="B404" s="82">
        <f>'[2]Russia Sun Oil Exports'!KV$290</f>
        <v>143.16800000000001</v>
      </c>
      <c r="C404" s="82">
        <f>'[2]Russia Sun Oil Exports'!KW$290</f>
        <v>206.333</v>
      </c>
      <c r="D404" s="82">
        <f>'[2]Russia Sun Oil Exports'!KX$290</f>
        <v>246.184</v>
      </c>
      <c r="E404" s="82">
        <f>'[2]Russia Sun Oil Exports'!KY$290</f>
        <v>174.13399999999999</v>
      </c>
      <c r="F404" s="82">
        <f>'[2]Russia Sun Oil Exports'!KZ$290</f>
        <v>140.27199999999999</v>
      </c>
      <c r="G404" s="82">
        <f>'[2]Russia Sun Oil Exports'!LA$290</f>
        <v>267.96699999999998</v>
      </c>
      <c r="H404" s="82">
        <f>'[2]Russia Sun Oil Exports'!LB$290</f>
        <v>167.13499999999999</v>
      </c>
      <c r="I404" s="82">
        <f>'[2]Russia Sun Oil Exports'!LC$290</f>
        <v>248.143</v>
      </c>
      <c r="J404" s="82">
        <f>'[2]Russia Sun Oil Exports'!LD$290</f>
        <v>225.57512299999999</v>
      </c>
      <c r="K404" s="82">
        <f>'[2]Russia Sun Oil Exports'!LE$290</f>
        <v>116.740903</v>
      </c>
      <c r="L404" s="82">
        <f>'[2]Russia Sun Oil Exports'!LF$290</f>
        <v>130.552933</v>
      </c>
      <c r="M404" s="82">
        <f>'[2]Russia Sun Oil Exports'!LG$290</f>
        <v>157.26607000000001</v>
      </c>
      <c r="N404" s="82">
        <f t="shared" si="85"/>
        <v>2223.4710290000003</v>
      </c>
      <c r="O404" s="27"/>
      <c r="P404" s="82">
        <f t="shared" si="86"/>
        <v>595.68499999999995</v>
      </c>
      <c r="Q404" s="82">
        <f t="shared" si="87"/>
        <v>582.37299999999993</v>
      </c>
      <c r="R404" s="82">
        <f t="shared" si="88"/>
        <v>640.85312299999998</v>
      </c>
      <c r="S404" s="82">
        <f t="shared" si="89"/>
        <v>404.55990600000001</v>
      </c>
    </row>
    <row r="405" spans="1:19" ht="16.5" hidden="1">
      <c r="A405" s="83" t="s">
        <v>79</v>
      </c>
      <c r="B405" s="82">
        <f>'[2]Russia Sun Oil Exports'!LH$290</f>
        <v>176.90555800000001</v>
      </c>
      <c r="C405" s="82">
        <f>'[2]Russia Sun Oil Exports'!LI$290</f>
        <v>253.66774899999999</v>
      </c>
      <c r="D405" s="82">
        <f>'[2]Russia Sun Oil Exports'!LJ$290</f>
        <v>267.59295100000003</v>
      </c>
      <c r="E405" s="82">
        <f>'[2]Russia Sun Oil Exports'!LK$290</f>
        <v>132.71797799999999</v>
      </c>
      <c r="F405" s="82">
        <f>'[2]Russia Sun Oil Exports'!LL$290</f>
        <v>186.699544</v>
      </c>
      <c r="G405" s="82">
        <f>'[2]Russia Sun Oil Exports'!LM$290</f>
        <v>192.12452400000001</v>
      </c>
      <c r="H405" s="82">
        <f>'[2]Russia Sun Oil Exports'!LN$290</f>
        <v>234.58724900000001</v>
      </c>
      <c r="I405" s="82">
        <f>'[2]Russia Sun Oil Exports'!LO$290</f>
        <v>210.12288599999999</v>
      </c>
      <c r="J405" s="82">
        <f>'[2]Russia Sun Oil Exports'!LP$290</f>
        <v>203.332166</v>
      </c>
      <c r="K405" s="82">
        <f>'[2]Russia Sun Oil Exports'!LQ$290</f>
        <v>162.92564899999999</v>
      </c>
      <c r="L405" s="82">
        <f>'[2]Russia Sun Oil Exports'!LR$290</f>
        <v>129.028952</v>
      </c>
      <c r="M405" s="82">
        <f>'[2]Russia Sun Oil Exports'!LS$290</f>
        <v>107.799302</v>
      </c>
      <c r="N405" s="82">
        <f t="shared" si="85"/>
        <v>2257.504508</v>
      </c>
      <c r="O405" s="27"/>
      <c r="P405" s="82">
        <f t="shared" si="86"/>
        <v>698.16625799999997</v>
      </c>
      <c r="Q405" s="82">
        <f t="shared" si="87"/>
        <v>511.54204599999997</v>
      </c>
      <c r="R405" s="82">
        <f t="shared" si="88"/>
        <v>648.04230100000007</v>
      </c>
      <c r="S405" s="82">
        <f t="shared" si="89"/>
        <v>399.75390300000004</v>
      </c>
    </row>
    <row r="406" spans="1:19" ht="16.5">
      <c r="A406" s="103" t="s">
        <v>80</v>
      </c>
      <c r="B406" s="82">
        <f>'[2]Russia Sun Oil Exports'!LT$290</f>
        <v>106.295008</v>
      </c>
      <c r="C406" s="82">
        <f>'[2]Russia Sun Oil Exports'!LU$290</f>
        <v>156.78211099999999</v>
      </c>
      <c r="D406" s="82">
        <f>'[2]Russia Sun Oil Exports'!LV$290</f>
        <v>280.50517400000001</v>
      </c>
      <c r="E406" s="82">
        <f>'[2]Russia Sun Oil Exports'!LW$290</f>
        <v>241.25272200000001</v>
      </c>
      <c r="F406" s="82">
        <f>'[2]Russia Sun Oil Exports'!LX$290</f>
        <v>211.08287799999999</v>
      </c>
      <c r="G406" s="82">
        <f>'[2]Russia Sun Oil Exports'!LY$290</f>
        <v>289.49947900000001</v>
      </c>
      <c r="H406" s="82">
        <f>'[2]Russia Sun Oil Exports'!LZ$290</f>
        <v>243.88855000000001</v>
      </c>
      <c r="I406" s="82">
        <f>'[2]Russia Sun Oil Exports'!MA$290</f>
        <v>319.95110699999998</v>
      </c>
      <c r="J406" s="82">
        <f>'[2]Russia Sun Oil Exports'!MB$290</f>
        <v>212.35421199999999</v>
      </c>
      <c r="K406" s="82">
        <f>'[2]Russia Sun Oil Exports'!MC$290</f>
        <v>220.716059</v>
      </c>
      <c r="L406" s="82">
        <f>'[2]Russia Sun Oil Exports'!MD$290</f>
        <v>256.408995</v>
      </c>
      <c r="M406" s="82">
        <f>'[2]Russia Sun Oil Exports'!ME$290</f>
        <v>231.23235299999999</v>
      </c>
      <c r="N406" s="82">
        <f t="shared" si="85"/>
        <v>2769.9686479999996</v>
      </c>
      <c r="O406" s="27"/>
      <c r="P406" s="82">
        <f t="shared" si="86"/>
        <v>543.58229299999994</v>
      </c>
      <c r="Q406" s="82">
        <f t="shared" si="87"/>
        <v>741.83507899999995</v>
      </c>
      <c r="R406" s="82">
        <f t="shared" si="88"/>
        <v>776.19386899999995</v>
      </c>
      <c r="S406" s="82">
        <f t="shared" si="89"/>
        <v>708.35740699999997</v>
      </c>
    </row>
    <row r="407" spans="1:19" ht="16.5">
      <c r="A407" s="103" t="s">
        <v>81</v>
      </c>
      <c r="B407" s="82">
        <f>'[2]Russia Sun Oil Exports'!MF$290</f>
        <v>211.739701</v>
      </c>
      <c r="C407" s="82">
        <f>'[2]Russia Sun Oil Exports'!MG$290</f>
        <v>279.65392600000001</v>
      </c>
      <c r="D407" s="82">
        <f>'[2]Russia Sun Oil Exports'!MH$290</f>
        <v>373.938244</v>
      </c>
      <c r="E407" s="82">
        <f>'[2]Russia Sun Oil Exports'!MI$290</f>
        <v>250.97941</v>
      </c>
      <c r="F407" s="82">
        <f>'[2]Russia Sun Oil Exports'!MJ$290</f>
        <v>253.05414099999999</v>
      </c>
      <c r="G407" s="82">
        <f>'[2]Russia Sun Oil Exports'!MK$290</f>
        <v>414.829453</v>
      </c>
      <c r="H407" s="82">
        <f>'[2]Russia Sun Oil Exports'!ML$290</f>
        <v>377.27478300000001</v>
      </c>
      <c r="I407" s="82">
        <f>'[2]Russia Sun Oil Exports'!MM$290</f>
        <v>314.93348099999997</v>
      </c>
      <c r="J407" s="82">
        <f>'[2]Russia Sun Oil Exports'!MN$290</f>
        <v>225.33621400000001</v>
      </c>
      <c r="K407" s="82">
        <f>'[2]Russia Sun Oil Exports'!MO$290</f>
        <v>267.59289699999999</v>
      </c>
      <c r="L407" s="82">
        <f>'[2]Russia Sun Oil Exports'!MP$290</f>
        <v>286.42162000000002</v>
      </c>
      <c r="M407" s="82">
        <f>'[2]Russia Sun Oil Exports'!MQ$290</f>
        <v>92.147093999999996</v>
      </c>
      <c r="N407" s="82">
        <f t="shared" si="85"/>
        <v>3347.9009639999999</v>
      </c>
      <c r="O407" s="27"/>
      <c r="P407" s="82">
        <f t="shared" si="86"/>
        <v>865.33187100000009</v>
      </c>
      <c r="Q407" s="82">
        <f t="shared" si="87"/>
        <v>918.86300400000005</v>
      </c>
      <c r="R407" s="82">
        <f t="shared" si="88"/>
        <v>917.54447800000003</v>
      </c>
      <c r="S407" s="82">
        <f t="shared" si="89"/>
        <v>646.16161100000011</v>
      </c>
    </row>
    <row r="408" spans="1:19" ht="17.25" thickBot="1">
      <c r="A408" s="103" t="s">
        <v>82</v>
      </c>
      <c r="B408" s="82">
        <f>'[2]Russia Sun Oil Exports'!MR$290</f>
        <v>160.000618</v>
      </c>
      <c r="C408" s="82">
        <f>'[2]Russia Sun Oil Exports'!MS$290</f>
        <v>251.178011</v>
      </c>
      <c r="D408" s="82">
        <f>'[2]Russia Sun Oil Exports'!MT$290</f>
        <v>313.10113000000001</v>
      </c>
      <c r="E408" s="82">
        <f>'[2]Russia Sun Oil Exports'!MU$290</f>
        <v>298.3</v>
      </c>
      <c r="F408" s="82">
        <f>'[2]Russia Sun Oil Exports'!MV$290</f>
        <v>296.58600000000001</v>
      </c>
      <c r="G408" s="82">
        <f>'[2]Russia Sun Oil Exports'!MW$290</f>
        <v>494.80200000000002</v>
      </c>
      <c r="H408" s="82">
        <f>'[2]Russia Sun Oil Exports'!MX$290</f>
        <v>374.90600000000001</v>
      </c>
      <c r="I408" s="111">
        <f>'Russia Sun Complex'!$AC278</f>
        <v>175.85400000000001</v>
      </c>
      <c r="J408" s="111">
        <f>'Russia Sun Complex'!$AC279</f>
        <v>138.83000000000001</v>
      </c>
      <c r="K408" s="111">
        <f>'Russia Sun Complex'!$AC280</f>
        <v>153.131</v>
      </c>
      <c r="L408" s="111">
        <f>'Russia Sun Complex'!$AC281</f>
        <v>369.35599999999999</v>
      </c>
      <c r="M408" s="111">
        <f>'Russia Sun Complex'!$AC282</f>
        <v>98.533000000000001</v>
      </c>
      <c r="N408" s="111">
        <f t="shared" ref="N408" si="90">SUM(B408:L408)</f>
        <v>3026.0447589999994</v>
      </c>
      <c r="O408" s="27"/>
      <c r="P408" s="82">
        <f t="shared" si="86"/>
        <v>724.27975900000001</v>
      </c>
      <c r="Q408" s="82">
        <f t="shared" si="87"/>
        <v>1089.6880000000001</v>
      </c>
      <c r="R408" s="82">
        <f t="shared" si="88"/>
        <v>689.59</v>
      </c>
      <c r="S408" s="82">
        <f t="shared" si="89"/>
        <v>621.02</v>
      </c>
    </row>
    <row r="409" spans="1:19" ht="16.5">
      <c r="A409" s="104" t="s">
        <v>121</v>
      </c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6"/>
      <c r="Q409" s="106"/>
      <c r="R409" s="106"/>
      <c r="S409" s="106"/>
    </row>
    <row r="410" spans="1:19" ht="16.5" hidden="1">
      <c r="A410" s="81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27"/>
      <c r="P410" s="82"/>
      <c r="Q410" s="82"/>
      <c r="R410" s="82"/>
      <c r="S410" s="82"/>
    </row>
    <row r="411" spans="1:19" ht="16.5" hidden="1">
      <c r="A411" s="81" t="s">
        <v>56</v>
      </c>
      <c r="B411" s="82">
        <f>'[2]Ukraine Sun Oil Exports'!AS$290</f>
        <v>17.7</v>
      </c>
      <c r="C411" s="82">
        <f>'[2]Ukraine Sun Oil Exports'!AT$290</f>
        <v>24.1</v>
      </c>
      <c r="D411" s="82">
        <f>'[2]Ukraine Sun Oil Exports'!AU$290</f>
        <v>16.7</v>
      </c>
      <c r="E411" s="82">
        <f>'[2]Ukraine Sun Oil Exports'!AV$290</f>
        <v>10.9</v>
      </c>
      <c r="F411" s="82">
        <f>'[2]Ukraine Sun Oil Exports'!AW$290</f>
        <v>10.7</v>
      </c>
      <c r="G411" s="82">
        <f>'[2]Ukraine Sun Oil Exports'!AX$290</f>
        <v>17.399999999999999</v>
      </c>
      <c r="H411" s="82">
        <f>'[2]Ukraine Sun Oil Exports'!AY$290</f>
        <v>8</v>
      </c>
      <c r="I411" s="82">
        <f>'[2]Ukraine Sun Oil Exports'!AZ$290</f>
        <v>15.1</v>
      </c>
      <c r="J411" s="82">
        <f>'[2]Ukraine Sun Oil Exports'!BA$290</f>
        <v>12.9</v>
      </c>
      <c r="K411" s="82">
        <f>'[2]Ukraine Sun Oil Exports'!BB$290</f>
        <v>13.5</v>
      </c>
      <c r="L411" s="82">
        <f>'[2]Ukraine Sun Oil Exports'!BC$290</f>
        <v>23.9</v>
      </c>
      <c r="M411" s="82">
        <f>'[2]Ukraine Sun Oil Exports'!BD$290</f>
        <v>12.3</v>
      </c>
      <c r="N411" s="82">
        <f>SUM(B411:M411)</f>
        <v>183.20000000000002</v>
      </c>
      <c r="O411" s="27"/>
      <c r="P411" s="82">
        <f>D411+B411+C411</f>
        <v>58.5</v>
      </c>
      <c r="Q411" s="82">
        <f>SUM(E411:G411)</f>
        <v>39</v>
      </c>
      <c r="R411" s="82">
        <f>SUM(H411:J411)</f>
        <v>36</v>
      </c>
      <c r="S411" s="82">
        <f>SUM(K411:M411)</f>
        <v>49.7</v>
      </c>
    </row>
    <row r="412" spans="1:19" ht="16.5" hidden="1">
      <c r="A412" s="81" t="s">
        <v>57</v>
      </c>
      <c r="B412" s="82">
        <f>'[2]Ukraine Sun Oil Exports'!BE$290</f>
        <v>16.3</v>
      </c>
      <c r="C412" s="82">
        <f>'[2]Ukraine Sun Oil Exports'!BF$290</f>
        <v>29.2</v>
      </c>
      <c r="D412" s="82">
        <f>'[2]Ukraine Sun Oil Exports'!BG$290</f>
        <v>25.8</v>
      </c>
      <c r="E412" s="82">
        <f>'[2]Ukraine Sun Oil Exports'!BH$290</f>
        <v>29</v>
      </c>
      <c r="F412" s="82">
        <f>'[2]Ukraine Sun Oil Exports'!BI$290</f>
        <v>29</v>
      </c>
      <c r="G412" s="82">
        <f>'[2]Ukraine Sun Oil Exports'!BJ$290</f>
        <v>26</v>
      </c>
      <c r="H412" s="82">
        <f>'[2]Ukraine Sun Oil Exports'!BK$290</f>
        <v>19</v>
      </c>
      <c r="I412" s="82">
        <f>'[2]Ukraine Sun Oil Exports'!BL$290</f>
        <v>20.7</v>
      </c>
      <c r="J412" s="82">
        <f>'[2]Ukraine Sun Oil Exports'!BM$290</f>
        <v>24.7</v>
      </c>
      <c r="K412" s="82">
        <f>'[2]Ukraine Sun Oil Exports'!BN$290</f>
        <v>10.7</v>
      </c>
      <c r="L412" s="82">
        <f>'[2]Ukraine Sun Oil Exports'!BO$290</f>
        <v>22.8</v>
      </c>
      <c r="M412" s="82">
        <f>'[2]Ukraine Sun Oil Exports'!BP$290</f>
        <v>15.7</v>
      </c>
      <c r="N412" s="82">
        <f t="shared" ref="N412:N436" si="91">SUM(B412:M412)</f>
        <v>268.89999999999998</v>
      </c>
      <c r="O412" s="27"/>
      <c r="P412" s="82">
        <f t="shared" ref="P412:P437" si="92">D412+B412+C412</f>
        <v>71.3</v>
      </c>
      <c r="Q412" s="82">
        <f t="shared" ref="Q412:Q437" si="93">SUM(E412:G412)</f>
        <v>84</v>
      </c>
      <c r="R412" s="82">
        <f t="shared" ref="R412:R437" si="94">SUM(H412:J412)</f>
        <v>64.400000000000006</v>
      </c>
      <c r="S412" s="82">
        <f t="shared" ref="S412:S437" si="95">SUM(K412:M412)</f>
        <v>49.2</v>
      </c>
    </row>
    <row r="413" spans="1:19" ht="16.5" hidden="1">
      <c r="A413" s="81" t="s">
        <v>58</v>
      </c>
      <c r="B413" s="82">
        <f>'[2]Ukraine Sun Oil Exports'!BQ$290</f>
        <v>17.600000000000001</v>
      </c>
      <c r="C413" s="82">
        <f>'[2]Ukraine Sun Oil Exports'!BR$290</f>
        <v>26.4</v>
      </c>
      <c r="D413" s="82">
        <f>'[2]Ukraine Sun Oil Exports'!BS$290</f>
        <v>28.1</v>
      </c>
      <c r="E413" s="82">
        <f>'[2]Ukraine Sun Oil Exports'!BT$290</f>
        <v>17.100000000000001</v>
      </c>
      <c r="F413" s="82">
        <f>'[2]Ukraine Sun Oil Exports'!BU$290</f>
        <v>23.9</v>
      </c>
      <c r="G413" s="82">
        <f>'[2]Ukraine Sun Oil Exports'!BV$290</f>
        <v>14.9</v>
      </c>
      <c r="H413" s="82">
        <f>'[2]Ukraine Sun Oil Exports'!BW$290</f>
        <v>14.4</v>
      </c>
      <c r="I413" s="82">
        <f>'[2]Ukraine Sun Oil Exports'!BX$290</f>
        <v>10.7</v>
      </c>
      <c r="J413" s="82">
        <f>'[2]Ukraine Sun Oil Exports'!BY$290</f>
        <v>5.9</v>
      </c>
      <c r="K413" s="82">
        <f>'[2]Ukraine Sun Oil Exports'!BZ$290</f>
        <v>1.9</v>
      </c>
      <c r="L413" s="82">
        <f>'[2]Ukraine Sun Oil Exports'!CA$290</f>
        <v>2.2000000000000002</v>
      </c>
      <c r="M413" s="82">
        <f>'[2]Ukraine Sun Oil Exports'!CB$290</f>
        <v>1.5</v>
      </c>
      <c r="N413" s="82">
        <f t="shared" si="91"/>
        <v>164.6</v>
      </c>
      <c r="O413" s="27"/>
      <c r="P413" s="82">
        <f t="shared" si="92"/>
        <v>72.099999999999994</v>
      </c>
      <c r="Q413" s="82">
        <f t="shared" si="93"/>
        <v>55.9</v>
      </c>
      <c r="R413" s="82">
        <f t="shared" si="94"/>
        <v>31</v>
      </c>
      <c r="S413" s="82">
        <f t="shared" si="95"/>
        <v>5.6</v>
      </c>
    </row>
    <row r="414" spans="1:19" ht="16.5" hidden="1">
      <c r="A414" s="81" t="s">
        <v>59</v>
      </c>
      <c r="B414" s="82">
        <f>'[2]Ukraine Sun Oil Exports'!CC$290</f>
        <v>17.5</v>
      </c>
      <c r="C414" s="82">
        <f>'[2]Ukraine Sun Oil Exports'!CD$290</f>
        <v>33.6</v>
      </c>
      <c r="D414" s="82">
        <f>'[2]Ukraine Sun Oil Exports'!CE$290</f>
        <v>43.6</v>
      </c>
      <c r="E414" s="82">
        <f>'[2]Ukraine Sun Oil Exports'!CF$290</f>
        <v>26</v>
      </c>
      <c r="F414" s="82">
        <f>'[2]Ukraine Sun Oil Exports'!CG$290</f>
        <v>18.2</v>
      </c>
      <c r="G414" s="82">
        <f>'[2]Ukraine Sun Oil Exports'!CH$290</f>
        <v>13.4</v>
      </c>
      <c r="H414" s="82">
        <f>'[2]Ukraine Sun Oil Exports'!CI$290</f>
        <v>2.2999999999999998</v>
      </c>
      <c r="I414" s="82">
        <f>'[2]Ukraine Sun Oil Exports'!CJ$290</f>
        <v>2.9</v>
      </c>
      <c r="J414" s="82">
        <f>'[2]Ukraine Sun Oil Exports'!CK$290</f>
        <v>2.5</v>
      </c>
      <c r="K414" s="82">
        <f>'[2]Ukraine Sun Oil Exports'!CL$290</f>
        <v>6.4</v>
      </c>
      <c r="L414" s="82">
        <f>'[2]Ukraine Sun Oil Exports'!CM$290</f>
        <v>6.4</v>
      </c>
      <c r="M414" s="82">
        <f>'[2]Ukraine Sun Oil Exports'!CN$290</f>
        <v>6.4</v>
      </c>
      <c r="N414" s="82">
        <f t="shared" si="91"/>
        <v>179.20000000000005</v>
      </c>
      <c r="O414" s="27"/>
      <c r="P414" s="82">
        <f t="shared" si="92"/>
        <v>94.7</v>
      </c>
      <c r="Q414" s="82">
        <f t="shared" si="93"/>
        <v>57.6</v>
      </c>
      <c r="R414" s="82">
        <f t="shared" si="94"/>
        <v>7.6999999999999993</v>
      </c>
      <c r="S414" s="82">
        <f t="shared" si="95"/>
        <v>19.200000000000003</v>
      </c>
    </row>
    <row r="415" spans="1:19" ht="16.5" hidden="1">
      <c r="A415" s="81" t="s">
        <v>60</v>
      </c>
      <c r="B415" s="82">
        <f>'[2]Ukraine Sun Oil Exports'!CO$290</f>
        <v>15</v>
      </c>
      <c r="C415" s="82">
        <f>'[2]Ukraine Sun Oil Exports'!CP$290</f>
        <v>15</v>
      </c>
      <c r="D415" s="82">
        <f>'[2]Ukraine Sun Oil Exports'!CQ$290</f>
        <v>46</v>
      </c>
      <c r="E415" s="82">
        <f>'[2]Ukraine Sun Oil Exports'!CR$290</f>
        <v>15</v>
      </c>
      <c r="F415" s="82">
        <f>'[2]Ukraine Sun Oil Exports'!CS$290</f>
        <v>15</v>
      </c>
      <c r="G415" s="82">
        <f>'[2]Ukraine Sun Oil Exports'!CT$290</f>
        <v>15</v>
      </c>
      <c r="H415" s="82">
        <f>'[2]Ukraine Sun Oil Exports'!CU$290</f>
        <v>15</v>
      </c>
      <c r="I415" s="82">
        <f>'[2]Ukraine Sun Oil Exports'!CV$290</f>
        <v>8</v>
      </c>
      <c r="J415" s="82">
        <f>'[2]Ukraine Sun Oil Exports'!CW$290</f>
        <v>15</v>
      </c>
      <c r="K415" s="82">
        <f>'[2]Ukraine Sun Oil Exports'!CX$290</f>
        <v>15</v>
      </c>
      <c r="L415" s="82">
        <f>'[2]Ukraine Sun Oil Exports'!CY$290</f>
        <v>15</v>
      </c>
      <c r="M415" s="82">
        <f>'[2]Ukraine Sun Oil Exports'!CZ$290</f>
        <v>21</v>
      </c>
      <c r="N415" s="82">
        <f t="shared" si="91"/>
        <v>210</v>
      </c>
      <c r="O415" s="27"/>
      <c r="P415" s="82">
        <f t="shared" si="92"/>
        <v>76</v>
      </c>
      <c r="Q415" s="82">
        <f t="shared" si="93"/>
        <v>45</v>
      </c>
      <c r="R415" s="82">
        <f t="shared" si="94"/>
        <v>38</v>
      </c>
      <c r="S415" s="82">
        <f t="shared" si="95"/>
        <v>51</v>
      </c>
    </row>
    <row r="416" spans="1:19" ht="16.5" hidden="1">
      <c r="A416" s="81" t="s">
        <v>61</v>
      </c>
      <c r="B416" s="82">
        <f>'[2]Ukraine Sun Oil Exports'!DA$290</f>
        <v>18.831002499999997</v>
      </c>
      <c r="C416" s="82">
        <f>'[2]Ukraine Sun Oil Exports'!DB$290</f>
        <v>38.272650999999996</v>
      </c>
      <c r="D416" s="82">
        <f>'[2]Ukraine Sun Oil Exports'!DC$290</f>
        <v>30.701353509999997</v>
      </c>
      <c r="E416" s="82">
        <f>'[2]Ukraine Sun Oil Exports'!DD$290</f>
        <v>29.4</v>
      </c>
      <c r="F416" s="82">
        <f>'[2]Ukraine Sun Oil Exports'!DE$290</f>
        <v>50.3</v>
      </c>
      <c r="G416" s="82">
        <f>'[2]Ukraine Sun Oil Exports'!DF$290</f>
        <v>36.200000000000003</v>
      </c>
      <c r="H416" s="82">
        <f>'[2]Ukraine Sun Oil Exports'!DG$290</f>
        <v>30.6</v>
      </c>
      <c r="I416" s="82">
        <f>'[2]Ukraine Sun Oil Exports'!DH$290</f>
        <v>28.5</v>
      </c>
      <c r="J416" s="82">
        <f>'[2]Ukraine Sun Oil Exports'!DI$290</f>
        <v>51.3</v>
      </c>
      <c r="K416" s="82">
        <f>'[2]Ukraine Sun Oil Exports'!DJ$290</f>
        <v>52.6</v>
      </c>
      <c r="L416" s="82">
        <f>'[2]Ukraine Sun Oil Exports'!DK$290</f>
        <v>40.200000000000003</v>
      </c>
      <c r="M416" s="82">
        <f>'[2]Ukraine Sun Oil Exports'!DL$290</f>
        <v>42.8</v>
      </c>
      <c r="N416" s="82">
        <f t="shared" si="91"/>
        <v>449.70500700999997</v>
      </c>
      <c r="O416" s="27"/>
      <c r="P416" s="82">
        <f t="shared" si="92"/>
        <v>87.805007009999997</v>
      </c>
      <c r="Q416" s="82">
        <f t="shared" si="93"/>
        <v>115.89999999999999</v>
      </c>
      <c r="R416" s="82">
        <f t="shared" si="94"/>
        <v>110.4</v>
      </c>
      <c r="S416" s="82">
        <f t="shared" si="95"/>
        <v>135.60000000000002</v>
      </c>
    </row>
    <row r="417" spans="1:19" ht="16.5" hidden="1">
      <c r="A417" s="81" t="s">
        <v>62</v>
      </c>
      <c r="B417" s="82">
        <f>'[2]Ukraine Sun Oil Exports'!DM$290</f>
        <v>56</v>
      </c>
      <c r="C417" s="82">
        <f>'[2]Ukraine Sun Oil Exports'!DN$290</f>
        <v>75.099999999999994</v>
      </c>
      <c r="D417" s="82">
        <f>'[2]Ukraine Sun Oil Exports'!DO$290</f>
        <v>90.4</v>
      </c>
      <c r="E417" s="82">
        <f>'[2]Ukraine Sun Oil Exports'!DP$290</f>
        <v>61.1</v>
      </c>
      <c r="F417" s="82">
        <f>'[2]Ukraine Sun Oil Exports'!DQ$290</f>
        <v>63.5</v>
      </c>
      <c r="G417" s="82">
        <f>'[2]Ukraine Sun Oil Exports'!DR$290</f>
        <v>51.4</v>
      </c>
      <c r="H417" s="82">
        <f>'[2]Ukraine Sun Oil Exports'!DS$290</f>
        <v>28.1</v>
      </c>
      <c r="I417" s="82">
        <f>'[2]Ukraine Sun Oil Exports'!DT$290</f>
        <v>22.1</v>
      </c>
      <c r="J417" s="82">
        <f>'[2]Ukraine Sun Oil Exports'!DU$290</f>
        <v>37.799999999999997</v>
      </c>
      <c r="K417" s="82">
        <f>'[2]Ukraine Sun Oil Exports'!DV$290</f>
        <v>35.299999999999997</v>
      </c>
      <c r="L417" s="82">
        <f>'[2]Ukraine Sun Oil Exports'!DW$290</f>
        <v>24.1</v>
      </c>
      <c r="M417" s="82">
        <f>'[2]Ukraine Sun Oil Exports'!DX$290</f>
        <v>16.399999999999999</v>
      </c>
      <c r="N417" s="82">
        <f t="shared" si="91"/>
        <v>561.30000000000007</v>
      </c>
      <c r="O417" s="27"/>
      <c r="P417" s="82">
        <f t="shared" si="92"/>
        <v>221.5</v>
      </c>
      <c r="Q417" s="82">
        <f t="shared" si="93"/>
        <v>176</v>
      </c>
      <c r="R417" s="82">
        <f t="shared" si="94"/>
        <v>88</v>
      </c>
      <c r="S417" s="82">
        <f t="shared" si="95"/>
        <v>75.8</v>
      </c>
    </row>
    <row r="418" spans="1:19" ht="16.5" hidden="1">
      <c r="A418" s="81" t="s">
        <v>63</v>
      </c>
      <c r="B418" s="82">
        <f>'[2]Ukraine Sun Oil Exports'!DY$290</f>
        <v>50.3</v>
      </c>
      <c r="C418" s="82">
        <f>'[2]Ukraine Sun Oil Exports'!DZ$290</f>
        <v>47.669477000000001</v>
      </c>
      <c r="D418" s="82">
        <f>'[2]Ukraine Sun Oil Exports'!EA$290</f>
        <v>35.5119872</v>
      </c>
      <c r="E418" s="82">
        <f>'[2]Ukraine Sun Oil Exports'!EB$290</f>
        <v>35.562013499999999</v>
      </c>
      <c r="F418" s="82">
        <f>'[2]Ukraine Sun Oil Exports'!EC$290</f>
        <v>27.251011500000001</v>
      </c>
      <c r="G418" s="82">
        <f>'[2]Ukraine Sun Oil Exports'!ED$290</f>
        <v>49.874612649999996</v>
      </c>
      <c r="H418" s="82">
        <f>'[2]Ukraine Sun Oil Exports'!EE$290</f>
        <v>41.326000000000001</v>
      </c>
      <c r="I418" s="82">
        <f>'[2]Ukraine Sun Oil Exports'!EF$290</f>
        <v>33.131</v>
      </c>
      <c r="J418" s="82">
        <f>'[2]Ukraine Sun Oil Exports'!EG$290</f>
        <v>29.664999999999999</v>
      </c>
      <c r="K418" s="82">
        <f>'[2]Ukraine Sun Oil Exports'!EH$290</f>
        <v>36.664000000000001</v>
      </c>
      <c r="L418" s="82">
        <f>'[2]Ukraine Sun Oil Exports'!EI$290</f>
        <v>22.021999999999998</v>
      </c>
      <c r="M418" s="82">
        <f>'[2]Ukraine Sun Oil Exports'!EJ$290</f>
        <v>37.023000000000003</v>
      </c>
      <c r="N418" s="82">
        <f t="shared" si="91"/>
        <v>446.00010185000008</v>
      </c>
      <c r="O418" s="27"/>
      <c r="P418" s="82">
        <f t="shared" si="92"/>
        <v>133.4814642</v>
      </c>
      <c r="Q418" s="82">
        <f t="shared" si="93"/>
        <v>112.68763765</v>
      </c>
      <c r="R418" s="82">
        <f t="shared" si="94"/>
        <v>104.12199999999999</v>
      </c>
      <c r="S418" s="82">
        <f t="shared" si="95"/>
        <v>95.709000000000003</v>
      </c>
    </row>
    <row r="419" spans="1:19" ht="16.5" hidden="1">
      <c r="A419" s="81" t="s">
        <v>64</v>
      </c>
      <c r="B419" s="82">
        <f>'[2]Ukraine Sun Oil Exports'!EK$290</f>
        <v>85.304000000000002</v>
      </c>
      <c r="C419" s="82">
        <f>'[2]Ukraine Sun Oil Exports'!EL$290</f>
        <v>75.3</v>
      </c>
      <c r="D419" s="82">
        <f>'[2]Ukraine Sun Oil Exports'!EM$290</f>
        <v>93.031999999999996</v>
      </c>
      <c r="E419" s="82">
        <f>'[2]Ukraine Sun Oil Exports'!EN$290</f>
        <v>76.394999999999996</v>
      </c>
      <c r="F419" s="82">
        <f>'[2]Ukraine Sun Oil Exports'!EO$290</f>
        <v>69.561999999999998</v>
      </c>
      <c r="G419" s="82">
        <f>'[2]Ukraine Sun Oil Exports'!EP$290</f>
        <v>97.436000000000007</v>
      </c>
      <c r="H419" s="82">
        <f>'[2]Ukraine Sun Oil Exports'!EQ$290</f>
        <v>100.86</v>
      </c>
      <c r="I419" s="82">
        <f>'[2]Ukraine Sun Oil Exports'!ER$290</f>
        <v>94.347999999999999</v>
      </c>
      <c r="J419" s="82">
        <f>'[2]Ukraine Sun Oil Exports'!ES$290</f>
        <v>76.277000000000001</v>
      </c>
      <c r="K419" s="82">
        <f>'[2]Ukraine Sun Oil Exports'!ET$290</f>
        <v>64.959000000000003</v>
      </c>
      <c r="L419" s="82">
        <f>'[2]Ukraine Sun Oil Exports'!EU$290</f>
        <v>40.981999999999999</v>
      </c>
      <c r="M419" s="82">
        <f>'[2]Ukraine Sun Oil Exports'!EV$290</f>
        <v>32.715000000000003</v>
      </c>
      <c r="N419" s="82">
        <f t="shared" si="91"/>
        <v>907.17</v>
      </c>
      <c r="O419" s="27"/>
      <c r="P419" s="82">
        <f t="shared" si="92"/>
        <v>253.63600000000002</v>
      </c>
      <c r="Q419" s="82">
        <f t="shared" si="93"/>
        <v>243.393</v>
      </c>
      <c r="R419" s="82">
        <f t="shared" si="94"/>
        <v>271.48500000000001</v>
      </c>
      <c r="S419" s="82">
        <f t="shared" si="95"/>
        <v>138.65600000000001</v>
      </c>
    </row>
    <row r="420" spans="1:19" ht="16.5" hidden="1">
      <c r="A420" s="83" t="s">
        <v>65</v>
      </c>
      <c r="B420" s="82">
        <f>'[2]Ukraine Sun Oil Exports'!EW$290</f>
        <v>94.885000000000005</v>
      </c>
      <c r="C420" s="82">
        <f>'[2]Ukraine Sun Oil Exports'!EX$290</f>
        <v>82.816000000000003</v>
      </c>
      <c r="D420" s="82">
        <f>'[2]Ukraine Sun Oil Exports'!EY$290</f>
        <v>92.948999999999998</v>
      </c>
      <c r="E420" s="82">
        <f>'[2]Ukraine Sun Oil Exports'!EZ$290</f>
        <v>67.051000000000002</v>
      </c>
      <c r="F420" s="82">
        <f>'[2]Ukraine Sun Oil Exports'!FA$290</f>
        <v>67.221999999999994</v>
      </c>
      <c r="G420" s="82">
        <f>'[2]Ukraine Sun Oil Exports'!FB$290</f>
        <v>105.078</v>
      </c>
      <c r="H420" s="82">
        <f>'[2]Ukraine Sun Oil Exports'!FC$290</f>
        <v>102.76900000000001</v>
      </c>
      <c r="I420" s="82">
        <f>'[2]Ukraine Sun Oil Exports'!FD$290</f>
        <v>69.835999999999999</v>
      </c>
      <c r="J420" s="82">
        <f>'[2]Ukraine Sun Oil Exports'!FE$290</f>
        <v>106.31</v>
      </c>
      <c r="K420" s="82">
        <f>'[2]Ukraine Sun Oil Exports'!FF$290</f>
        <v>79.394999999999996</v>
      </c>
      <c r="L420" s="82">
        <f>'[2]Ukraine Sun Oil Exports'!FG$290</f>
        <v>77.554000000000002</v>
      </c>
      <c r="M420" s="82">
        <f>'[2]Ukraine Sun Oil Exports'!FH$290</f>
        <v>26.024999999999999</v>
      </c>
      <c r="N420" s="82">
        <f t="shared" si="91"/>
        <v>971.88999999999987</v>
      </c>
      <c r="O420" s="27"/>
      <c r="P420" s="82">
        <f t="shared" si="92"/>
        <v>270.64999999999998</v>
      </c>
      <c r="Q420" s="82">
        <f t="shared" si="93"/>
        <v>239.351</v>
      </c>
      <c r="R420" s="82">
        <f t="shared" si="94"/>
        <v>278.91500000000002</v>
      </c>
      <c r="S420" s="82">
        <f t="shared" si="95"/>
        <v>182.97400000000002</v>
      </c>
    </row>
    <row r="421" spans="1:19" ht="16.5" hidden="1">
      <c r="A421" s="83" t="s">
        <v>66</v>
      </c>
      <c r="B421" s="82">
        <f>'[2]Ukraine Sun Oil Exports'!FI$290</f>
        <v>54.412999999999997</v>
      </c>
      <c r="C421" s="82">
        <f>'[2]Ukraine Sun Oil Exports'!FJ$290</f>
        <v>47.856000000000002</v>
      </c>
      <c r="D421" s="82">
        <f>'[2]Ukraine Sun Oil Exports'!FK$290</f>
        <v>65.724999999999994</v>
      </c>
      <c r="E421" s="82">
        <f>'[2]Ukraine Sun Oil Exports'!FL$290</f>
        <v>74.537000000000006</v>
      </c>
      <c r="F421" s="82">
        <f>'[2]Ukraine Sun Oil Exports'!FM$290</f>
        <v>46.591000000000001</v>
      </c>
      <c r="G421" s="82">
        <f>'[2]Ukraine Sun Oil Exports'!FN$290</f>
        <v>60.488</v>
      </c>
      <c r="H421" s="82">
        <f>'[2]Ukraine Sun Oil Exports'!FO$290</f>
        <v>61.981999999999999</v>
      </c>
      <c r="I421" s="82">
        <f>'[2]Ukraine Sun Oil Exports'!FP$290</f>
        <v>50.91</v>
      </c>
      <c r="J421" s="82">
        <f>'[2]Ukraine Sun Oil Exports'!FQ$290</f>
        <v>68.117000000000004</v>
      </c>
      <c r="K421" s="82">
        <f>'[2]Ukraine Sun Oil Exports'!FR$290</f>
        <v>44.56</v>
      </c>
      <c r="L421" s="82">
        <f>'[2]Ukraine Sun Oil Exports'!FS$290</f>
        <v>40.557000000000002</v>
      </c>
      <c r="M421" s="82">
        <f>'[2]Ukraine Sun Oil Exports'!FT$290</f>
        <v>40.924999999999997</v>
      </c>
      <c r="N421" s="82">
        <f t="shared" si="91"/>
        <v>656.66099999999983</v>
      </c>
      <c r="O421" s="27"/>
      <c r="P421" s="82">
        <f t="shared" si="92"/>
        <v>167.994</v>
      </c>
      <c r="Q421" s="82">
        <f t="shared" si="93"/>
        <v>181.61600000000001</v>
      </c>
      <c r="R421" s="82">
        <f t="shared" si="94"/>
        <v>181.00900000000001</v>
      </c>
      <c r="S421" s="82">
        <f t="shared" si="95"/>
        <v>126.042</v>
      </c>
    </row>
    <row r="422" spans="1:19" ht="16.5" hidden="1">
      <c r="A422" s="84" t="s">
        <v>67</v>
      </c>
      <c r="B422" s="82">
        <f>'[2]Ukraine Sun Oil Exports'!FU$290</f>
        <v>106.84399999999999</v>
      </c>
      <c r="C422" s="82">
        <f>'[2]Ukraine Sun Oil Exports'!FV$290</f>
        <v>122.02</v>
      </c>
      <c r="D422" s="82">
        <f>'[2]Ukraine Sun Oil Exports'!FW$290</f>
        <v>134.60400000000001</v>
      </c>
      <c r="E422" s="82">
        <f>'[2]Ukraine Sun Oil Exports'!FX$290</f>
        <v>125.322</v>
      </c>
      <c r="F422" s="82">
        <f>'[2]Ukraine Sun Oil Exports'!FY$290</f>
        <v>132.30000000000001</v>
      </c>
      <c r="G422" s="82">
        <f>'[2]Ukraine Sun Oil Exports'!FZ$290</f>
        <v>163.93299999999999</v>
      </c>
      <c r="H422" s="82">
        <f>'[2]Ukraine Sun Oil Exports'!GA$290</f>
        <v>139.684</v>
      </c>
      <c r="I422" s="82">
        <f>'[2]Ukraine Sun Oil Exports'!GB$290</f>
        <v>166.666</v>
      </c>
      <c r="J422" s="82">
        <f>'[2]Ukraine Sun Oil Exports'!GC$290</f>
        <v>163.964</v>
      </c>
      <c r="K422" s="82">
        <f>'[2]Ukraine Sun Oil Exports'!GD$290</f>
        <v>109.245</v>
      </c>
      <c r="L422" s="82">
        <f>'[2]Ukraine Sun Oil Exports'!GE$290</f>
        <v>108.705</v>
      </c>
      <c r="M422" s="82">
        <f>'[2]Ukraine Sun Oil Exports'!GF$290</f>
        <v>112.93899999999999</v>
      </c>
      <c r="N422" s="82">
        <f t="shared" si="91"/>
        <v>1586.2259999999999</v>
      </c>
      <c r="O422" s="27"/>
      <c r="P422" s="82">
        <f t="shared" si="92"/>
        <v>363.46800000000002</v>
      </c>
      <c r="Q422" s="82">
        <f t="shared" si="93"/>
        <v>421.55500000000001</v>
      </c>
      <c r="R422" s="82">
        <f t="shared" si="94"/>
        <v>470.31400000000002</v>
      </c>
      <c r="S422" s="82">
        <f t="shared" si="95"/>
        <v>330.88900000000001</v>
      </c>
    </row>
    <row r="423" spans="1:19" ht="16.5" hidden="1">
      <c r="A423" s="83" t="s">
        <v>68</v>
      </c>
      <c r="B423" s="82">
        <f>'[2]Ukraine Sun Oil Exports'!GG$290</f>
        <v>114.271</v>
      </c>
      <c r="C423" s="82">
        <f>'[2]Ukraine Sun Oil Exports'!GH$290</f>
        <v>149.25700000000001</v>
      </c>
      <c r="D423" s="82">
        <f>'[2]Ukraine Sun Oil Exports'!GI$290</f>
        <v>142.53399999999999</v>
      </c>
      <c r="E423" s="82">
        <f>'[2]Ukraine Sun Oil Exports'!GJ$290</f>
        <v>147.88200000000001</v>
      </c>
      <c r="F423" s="82">
        <f>'[2]Ukraine Sun Oil Exports'!GK$290</f>
        <v>170.99299999999999</v>
      </c>
      <c r="G423" s="82">
        <f>'[2]Ukraine Sun Oil Exports'!GL$290</f>
        <v>192.965</v>
      </c>
      <c r="H423" s="82">
        <f>'[2]Ukraine Sun Oil Exports'!GM$290</f>
        <v>186.655</v>
      </c>
      <c r="I423" s="82">
        <f>'[2]Ukraine Sun Oil Exports'!GN$290</f>
        <v>197.642</v>
      </c>
      <c r="J423" s="82">
        <f>'[2]Ukraine Sun Oil Exports'!GO$290</f>
        <v>199.5</v>
      </c>
      <c r="K423" s="82">
        <f>'[2]Ukraine Sun Oil Exports'!GP$290</f>
        <v>153.71799999999999</v>
      </c>
      <c r="L423" s="82">
        <f>'[2]Ukraine Sun Oil Exports'!GQ$290</f>
        <v>98.667000000000002</v>
      </c>
      <c r="M423" s="82">
        <f>'[2]Ukraine Sun Oil Exports'!GR$290</f>
        <v>72.317999999999998</v>
      </c>
      <c r="N423" s="82">
        <f t="shared" si="91"/>
        <v>1826.402</v>
      </c>
      <c r="O423" s="27"/>
      <c r="P423" s="82">
        <f t="shared" si="92"/>
        <v>406.06200000000001</v>
      </c>
      <c r="Q423" s="82">
        <f t="shared" si="93"/>
        <v>511.84000000000003</v>
      </c>
      <c r="R423" s="82">
        <f t="shared" si="94"/>
        <v>583.79700000000003</v>
      </c>
      <c r="S423" s="82">
        <f t="shared" si="95"/>
        <v>324.70299999999997</v>
      </c>
    </row>
    <row r="424" spans="1:19" ht="16.5" hidden="1">
      <c r="A424" s="84" t="s">
        <v>69</v>
      </c>
      <c r="B424" s="82">
        <f>'[2]Ukraine Sun Oil Exports'!GS$290</f>
        <v>137.30500000000001</v>
      </c>
      <c r="C424" s="82">
        <f>'[2]Ukraine Sun Oil Exports'!GT$290</f>
        <v>170.81399999999999</v>
      </c>
      <c r="D424" s="82">
        <f>'[2]Ukraine Sun Oil Exports'!GU$290</f>
        <v>194.78100000000001</v>
      </c>
      <c r="E424" s="82">
        <f>'[2]Ukraine Sun Oil Exports'!GV$290</f>
        <v>115.402</v>
      </c>
      <c r="F424" s="82">
        <f>'[2]Ukraine Sun Oil Exports'!GW$290</f>
        <v>177.71600000000001</v>
      </c>
      <c r="G424" s="82">
        <f>'[2]Ukraine Sun Oil Exports'!GX$290</f>
        <v>115.15900000000001</v>
      </c>
      <c r="H424" s="82">
        <f>'[2]Ukraine Sun Oil Exports'!GY$290</f>
        <v>14.031000000000001</v>
      </c>
      <c r="I424" s="82">
        <f>'[2]Ukraine Sun Oil Exports'!GZ$290</f>
        <v>56.164999999999999</v>
      </c>
      <c r="J424" s="82">
        <f>'[2]Ukraine Sun Oil Exports'!HA$290</f>
        <v>95.971999999999994</v>
      </c>
      <c r="K424" s="82">
        <f>'[2]Ukraine Sun Oil Exports'!HB$290</f>
        <v>94.212000000000003</v>
      </c>
      <c r="L424" s="82">
        <f>'[2]Ukraine Sun Oil Exports'!HC$290</f>
        <v>81.866</v>
      </c>
      <c r="M424" s="82">
        <f>'[2]Ukraine Sun Oil Exports'!HD$290</f>
        <v>83.444000000000003</v>
      </c>
      <c r="N424" s="82">
        <f t="shared" si="91"/>
        <v>1336.867</v>
      </c>
      <c r="O424" s="27"/>
      <c r="P424" s="82">
        <f t="shared" si="92"/>
        <v>502.9</v>
      </c>
      <c r="Q424" s="82">
        <f t="shared" si="93"/>
        <v>408.27699999999999</v>
      </c>
      <c r="R424" s="82">
        <f t="shared" si="94"/>
        <v>166.16800000000001</v>
      </c>
      <c r="S424" s="82">
        <f t="shared" si="95"/>
        <v>259.52199999999999</v>
      </c>
    </row>
    <row r="425" spans="1:19" ht="16.5" hidden="1">
      <c r="A425" s="84" t="s">
        <v>70</v>
      </c>
      <c r="B425" s="82">
        <f>'[2]Ukraine Sun Oil Exports'!HE$290</f>
        <v>141.13999999999999</v>
      </c>
      <c r="C425" s="82">
        <f>'[2]Ukraine Sun Oil Exports'!HF$290</f>
        <v>163.18100000000001</v>
      </c>
      <c r="D425" s="82">
        <f>'[2]Ukraine Sun Oil Exports'!HG$290</f>
        <v>201.27</v>
      </c>
      <c r="E425" s="82">
        <f>'[2]Ukraine Sun Oil Exports'!HH$290</f>
        <v>193.81200000000001</v>
      </c>
      <c r="F425" s="82">
        <f>'[2]Ukraine Sun Oil Exports'!HI$290</f>
        <v>159.38200000000001</v>
      </c>
      <c r="G425" s="82">
        <f>'[2]Ukraine Sun Oil Exports'!HJ$290</f>
        <v>202.91</v>
      </c>
      <c r="H425" s="82">
        <f>'[2]Ukraine Sun Oil Exports'!HK$290</f>
        <v>178.48099999999999</v>
      </c>
      <c r="I425" s="82">
        <f>'[2]Ukraine Sun Oil Exports'!HL$290</f>
        <v>228.85300000000001</v>
      </c>
      <c r="J425" s="82">
        <f>'[2]Ukraine Sun Oil Exports'!HM$290</f>
        <v>208.54499999999999</v>
      </c>
      <c r="K425" s="82">
        <f>'[2]Ukraine Sun Oil Exports'!HN$290</f>
        <v>188.488</v>
      </c>
      <c r="L425" s="82">
        <f>'[2]Ukraine Sun Oil Exports'!HO$290</f>
        <v>148.876</v>
      </c>
      <c r="M425" s="82">
        <f>'[2]Ukraine Sun Oil Exports'!HP$290</f>
        <v>180.28200000000001</v>
      </c>
      <c r="N425" s="82">
        <f t="shared" si="91"/>
        <v>2195.2200000000003</v>
      </c>
      <c r="O425" s="27"/>
      <c r="P425" s="82">
        <f t="shared" si="92"/>
        <v>505.59100000000001</v>
      </c>
      <c r="Q425" s="82">
        <f t="shared" si="93"/>
        <v>556.10400000000004</v>
      </c>
      <c r="R425" s="82">
        <f t="shared" si="94"/>
        <v>615.87900000000002</v>
      </c>
      <c r="S425" s="82">
        <f t="shared" si="95"/>
        <v>517.64600000000007</v>
      </c>
    </row>
    <row r="426" spans="1:19" ht="16.5" hidden="1">
      <c r="A426" s="83" t="s">
        <v>71</v>
      </c>
      <c r="B426" s="82">
        <f>'[2]Ukraine Sun Oil Exports'!HQ$290</f>
        <v>194.083</v>
      </c>
      <c r="C426" s="82">
        <f>'[2]Ukraine Sun Oil Exports'!HR$290</f>
        <v>181.01300000000001</v>
      </c>
      <c r="D426" s="82">
        <f>'[2]Ukraine Sun Oil Exports'!HS$290</f>
        <v>269.11700000000002</v>
      </c>
      <c r="E426" s="82">
        <f>'[2]Ukraine Sun Oil Exports'!HT$290</f>
        <v>156.26300000000001</v>
      </c>
      <c r="F426" s="82">
        <f>'[2]Ukraine Sun Oil Exports'!HU$290</f>
        <v>216.43100000000001</v>
      </c>
      <c r="G426" s="82">
        <f>'[2]Ukraine Sun Oil Exports'!HV$290</f>
        <v>198.571</v>
      </c>
      <c r="H426" s="82">
        <f>'[2]Ukraine Sun Oil Exports'!HW$290</f>
        <v>263.15199999999999</v>
      </c>
      <c r="I426" s="82">
        <f>'[2]Ukraine Sun Oil Exports'!HX$290</f>
        <v>235.53399999999999</v>
      </c>
      <c r="J426" s="82">
        <f>'[2]Ukraine Sun Oil Exports'!HY$290</f>
        <v>277.29300000000001</v>
      </c>
      <c r="K426" s="82">
        <f>'[2]Ukraine Sun Oil Exports'!HZ$290</f>
        <v>262.702</v>
      </c>
      <c r="L426" s="82">
        <f>'[2]Ukraine Sun Oil Exports'!IA$290</f>
        <v>210.33199999999999</v>
      </c>
      <c r="M426" s="82">
        <f>'[2]Ukraine Sun Oil Exports'!IB$290</f>
        <v>85.932000000000002</v>
      </c>
      <c r="N426" s="82">
        <f t="shared" si="91"/>
        <v>2550.4230000000002</v>
      </c>
      <c r="O426" s="27"/>
      <c r="P426" s="82">
        <f t="shared" si="92"/>
        <v>644.21300000000008</v>
      </c>
      <c r="Q426" s="82">
        <f t="shared" si="93"/>
        <v>571.26499999999999</v>
      </c>
      <c r="R426" s="82">
        <f t="shared" si="94"/>
        <v>775.97900000000004</v>
      </c>
      <c r="S426" s="82">
        <f t="shared" si="95"/>
        <v>558.96600000000001</v>
      </c>
    </row>
    <row r="427" spans="1:19" ht="16.5" hidden="1">
      <c r="A427" s="84" t="s">
        <v>72</v>
      </c>
      <c r="B427" s="82">
        <f>'[2]Ukraine Sun Oil Exports'!IC$290</f>
        <v>219.69800000000001</v>
      </c>
      <c r="C427" s="82">
        <f>'[2]Ukraine Sun Oil Exports'!ID$290</f>
        <v>257.85700000000003</v>
      </c>
      <c r="D427" s="82">
        <f>'[2]Ukraine Sun Oil Exports'!IE$290</f>
        <v>317.69400000000002</v>
      </c>
      <c r="E427" s="82">
        <f>'[2]Ukraine Sun Oil Exports'!IF$290</f>
        <v>265.88900000000001</v>
      </c>
      <c r="F427" s="82">
        <f>'[2]Ukraine Sun Oil Exports'!IG$290</f>
        <v>199.3</v>
      </c>
      <c r="G427" s="82">
        <f>'[2]Ukraine Sun Oil Exports'!IH$290</f>
        <v>310.226</v>
      </c>
      <c r="H427" s="82">
        <f>'[2]Ukraine Sun Oil Exports'!II$290</f>
        <v>205.798</v>
      </c>
      <c r="I427" s="82">
        <f>'[2]Ukraine Sun Oil Exports'!IJ$290</f>
        <v>273.73399999999998</v>
      </c>
      <c r="J427" s="82">
        <f>'[2]Ukraine Sun Oil Exports'!IK$290</f>
        <v>216.61500000000001</v>
      </c>
      <c r="K427" s="82">
        <f>'[2]Ukraine Sun Oil Exports'!IL$290</f>
        <v>146.33099999999999</v>
      </c>
      <c r="L427" s="82">
        <f>'[2]Ukraine Sun Oil Exports'!IM$290</f>
        <v>153.001</v>
      </c>
      <c r="M427" s="82">
        <f>'[2]Ukraine Sun Oil Exports'!IN$290</f>
        <v>85.07</v>
      </c>
      <c r="N427" s="82">
        <f t="shared" si="91"/>
        <v>2651.2130000000002</v>
      </c>
      <c r="O427" s="27"/>
      <c r="P427" s="82">
        <f t="shared" si="92"/>
        <v>795.24900000000002</v>
      </c>
      <c r="Q427" s="82">
        <f t="shared" si="93"/>
        <v>775.41499999999996</v>
      </c>
      <c r="R427" s="82">
        <f t="shared" si="94"/>
        <v>696.14699999999993</v>
      </c>
      <c r="S427" s="82">
        <f t="shared" si="95"/>
        <v>384.40199999999999</v>
      </c>
    </row>
    <row r="428" spans="1:19" ht="16.5" hidden="1">
      <c r="A428" s="83" t="s">
        <v>73</v>
      </c>
      <c r="B428" s="82">
        <f>'[2]Ukraine Sun Oil Exports'!IO$290</f>
        <v>269.363</v>
      </c>
      <c r="C428" s="82">
        <f>'[2]Ukraine Sun Oil Exports'!IP$290</f>
        <v>295.84399999999999</v>
      </c>
      <c r="D428" s="82">
        <f>'[2]Ukraine Sun Oil Exports'!IQ$290</f>
        <v>262.17200000000003</v>
      </c>
      <c r="E428" s="82">
        <f>'[2]Ukraine Sun Oil Exports'!IR$290</f>
        <v>249.78200000000001</v>
      </c>
      <c r="F428" s="82">
        <f>'[2]Ukraine Sun Oil Exports'!IS$290</f>
        <v>258.50700000000001</v>
      </c>
      <c r="G428" s="82">
        <f>'[2]Ukraine Sun Oil Exports'!IT$290</f>
        <v>283.44400000000002</v>
      </c>
      <c r="H428" s="82">
        <f>'[2]Ukraine Sun Oil Exports'!IU$290</f>
        <v>342.995</v>
      </c>
      <c r="I428" s="82">
        <f>'[2]Ukraine Sun Oil Exports'!IV$290</f>
        <v>349.202</v>
      </c>
      <c r="J428" s="82">
        <f>'[2]Ukraine Sun Oil Exports'!IW$290</f>
        <v>285.435</v>
      </c>
      <c r="K428" s="82">
        <f>'[2]Ukraine Sun Oil Exports'!IX$290</f>
        <v>238.61</v>
      </c>
      <c r="L428" s="82">
        <f>'[2]Ukraine Sun Oil Exports'!IY$290</f>
        <v>342.57799999999997</v>
      </c>
      <c r="M428" s="82">
        <f>'[2]Ukraine Sun Oil Exports'!IZ$290</f>
        <v>282.05</v>
      </c>
      <c r="N428" s="82">
        <f t="shared" si="91"/>
        <v>3459.9820000000004</v>
      </c>
      <c r="O428" s="27"/>
      <c r="P428" s="82">
        <f t="shared" si="92"/>
        <v>827.37900000000013</v>
      </c>
      <c r="Q428" s="82">
        <f t="shared" si="93"/>
        <v>791.73299999999995</v>
      </c>
      <c r="R428" s="82">
        <f t="shared" si="94"/>
        <v>977.63200000000006</v>
      </c>
      <c r="S428" s="82">
        <f t="shared" si="95"/>
        <v>863.23800000000006</v>
      </c>
    </row>
    <row r="429" spans="1:19" ht="16.5" hidden="1">
      <c r="A429" s="83" t="s">
        <v>74</v>
      </c>
      <c r="B429" s="82">
        <f>'[2]Ukraine Sun Oil Exports'!JA$290</f>
        <v>376.88799999999998</v>
      </c>
      <c r="C429" s="82">
        <f>'[2]Ukraine Sun Oil Exports'!JB$290</f>
        <v>294.96800000000002</v>
      </c>
      <c r="D429" s="82">
        <f>'[2]Ukraine Sun Oil Exports'!JC$290</f>
        <v>309.56099999999998</v>
      </c>
      <c r="E429" s="82">
        <f>'[2]Ukraine Sun Oil Exports'!JD$290</f>
        <v>277.13200000000001</v>
      </c>
      <c r="F429" s="82">
        <f>'[2]Ukraine Sun Oil Exports'!JE$290</f>
        <v>281.84100000000001</v>
      </c>
      <c r="G429" s="82">
        <f>'[2]Ukraine Sun Oil Exports'!JF$290</f>
        <v>230.02099999999999</v>
      </c>
      <c r="H429" s="82">
        <f>'[2]Ukraine Sun Oil Exports'!JG$290</f>
        <v>205.83199999999999</v>
      </c>
      <c r="I429" s="82">
        <f>'[2]Ukraine Sun Oil Exports'!JH$290</f>
        <v>298.98500000000001</v>
      </c>
      <c r="J429" s="82">
        <f>'[2]Ukraine Sun Oil Exports'!JI$290</f>
        <v>284.55900000000003</v>
      </c>
      <c r="K429" s="82">
        <f>'[2]Ukraine Sun Oil Exports'!JJ$290</f>
        <v>181.321</v>
      </c>
      <c r="L429" s="82">
        <f>'[2]Ukraine Sun Oil Exports'!JK$290</f>
        <v>222.24199999999999</v>
      </c>
      <c r="M429" s="82">
        <f>'[2]Ukraine Sun Oil Exports'!JL$290</f>
        <v>152.94800000000001</v>
      </c>
      <c r="N429" s="82">
        <f t="shared" si="91"/>
        <v>3116.2980000000002</v>
      </c>
      <c r="O429" s="27"/>
      <c r="P429" s="82">
        <f t="shared" si="92"/>
        <v>981.41699999999992</v>
      </c>
      <c r="Q429" s="82">
        <f t="shared" si="93"/>
        <v>788.99399999999991</v>
      </c>
      <c r="R429" s="82">
        <f t="shared" si="94"/>
        <v>789.37599999999998</v>
      </c>
      <c r="S429" s="82">
        <f t="shared" si="95"/>
        <v>556.51099999999997</v>
      </c>
    </row>
    <row r="430" spans="1:19" ht="16.5" hidden="1">
      <c r="A430" s="83" t="s">
        <v>75</v>
      </c>
      <c r="B430" s="82">
        <f>'[2]Ukraine Sun Oil Exports'!JM$290</f>
        <v>388.91500000000002</v>
      </c>
      <c r="C430" s="82">
        <f>'[2]Ukraine Sun Oil Exports'!JN$290</f>
        <v>349.87700000000001</v>
      </c>
      <c r="D430" s="82">
        <f>'[2]Ukraine Sun Oil Exports'!JO$290</f>
        <v>335.74799999999999</v>
      </c>
      <c r="E430" s="82">
        <f>'[2]Ukraine Sun Oil Exports'!JP$290</f>
        <v>293.55099999999999</v>
      </c>
      <c r="F430" s="82">
        <f>'[2]Ukraine Sun Oil Exports'!JQ$290</f>
        <v>266.25599999999997</v>
      </c>
      <c r="G430" s="82">
        <f>'[2]Ukraine Sun Oil Exports'!JR$290</f>
        <v>377.97399999999999</v>
      </c>
      <c r="H430" s="82">
        <f>'[2]Ukraine Sun Oil Exports'!JS$290</f>
        <v>483.06099999999998</v>
      </c>
      <c r="I430" s="82">
        <f>'[2]Ukraine Sun Oil Exports'!JT$290</f>
        <v>510.57</v>
      </c>
      <c r="J430" s="82">
        <f>'[2]Ukraine Sun Oil Exports'!JU$290</f>
        <v>379.92399999999998</v>
      </c>
      <c r="K430" s="82">
        <f>'[2]Ukraine Sun Oil Exports'!JV$290</f>
        <v>333.709</v>
      </c>
      <c r="L430" s="82">
        <f>'[2]Ukraine Sun Oil Exports'!JW$290</f>
        <v>308.43099999999998</v>
      </c>
      <c r="M430" s="82">
        <f>'[2]Ukraine Sun Oil Exports'!JX$290</f>
        <v>294.52699999999999</v>
      </c>
      <c r="N430" s="82">
        <f t="shared" si="91"/>
        <v>4322.5429999999997</v>
      </c>
      <c r="O430" s="27"/>
      <c r="P430" s="82">
        <f t="shared" si="92"/>
        <v>1074.54</v>
      </c>
      <c r="Q430" s="82">
        <f t="shared" si="93"/>
        <v>937.78099999999995</v>
      </c>
      <c r="R430" s="82">
        <f t="shared" si="94"/>
        <v>1373.5549999999998</v>
      </c>
      <c r="S430" s="82">
        <f t="shared" si="95"/>
        <v>936.66699999999992</v>
      </c>
    </row>
    <row r="431" spans="1:19" ht="16.5" hidden="1">
      <c r="A431" s="83" t="s">
        <v>76</v>
      </c>
      <c r="B431" s="82">
        <f>'[2]Ukraine Sun Oil Exports'!JY$290</f>
        <v>383.82</v>
      </c>
      <c r="C431" s="82">
        <f>'[2]Ukraine Sun Oil Exports'!JZ$290</f>
        <v>383.24099999999999</v>
      </c>
      <c r="D431" s="82">
        <f>'[2]Ukraine Sun Oil Exports'!KA$290</f>
        <v>327.02499999999998</v>
      </c>
      <c r="E431" s="82">
        <f>'[2]Ukraine Sun Oil Exports'!KB$290</f>
        <v>314.255</v>
      </c>
      <c r="F431" s="82">
        <f>'[2]Ukraine Sun Oil Exports'!KC$290</f>
        <v>315.12400000000002</v>
      </c>
      <c r="G431" s="82">
        <f>'[2]Ukraine Sun Oil Exports'!KD$290</f>
        <v>402.29</v>
      </c>
      <c r="H431" s="82">
        <f>'[2]Ukraine Sun Oil Exports'!KE$290</f>
        <v>326.58499999999998</v>
      </c>
      <c r="I431" s="82">
        <f>'[2]Ukraine Sun Oil Exports'!KF$290</f>
        <v>265.036</v>
      </c>
      <c r="J431" s="82">
        <f>'[2]Ukraine Sun Oil Exports'!KG$290</f>
        <v>348.43299999999999</v>
      </c>
      <c r="K431" s="82">
        <f>'[2]Ukraine Sun Oil Exports'!KH$290</f>
        <v>288.08800000000002</v>
      </c>
      <c r="L431" s="82">
        <f>'[2]Ukraine Sun Oil Exports'!KI$290</f>
        <v>223.21299999999999</v>
      </c>
      <c r="M431" s="82">
        <f>'[2]Ukraine Sun Oil Exports'!KJ$290</f>
        <v>163.363</v>
      </c>
      <c r="N431" s="82">
        <f t="shared" si="91"/>
        <v>3740.4730000000004</v>
      </c>
      <c r="O431" s="27"/>
      <c r="P431" s="82">
        <f t="shared" si="92"/>
        <v>1094.086</v>
      </c>
      <c r="Q431" s="82">
        <f t="shared" si="93"/>
        <v>1031.6690000000001</v>
      </c>
      <c r="R431" s="82">
        <f t="shared" si="94"/>
        <v>940.05399999999997</v>
      </c>
      <c r="S431" s="82">
        <f t="shared" si="95"/>
        <v>674.66399999999999</v>
      </c>
    </row>
    <row r="432" spans="1:19" ht="16.5" hidden="1">
      <c r="A432" s="83" t="s">
        <v>77</v>
      </c>
      <c r="B432" s="82">
        <f>'[2]Ukraine Sun Oil Exports'!KK$290</f>
        <v>408.01799999999997</v>
      </c>
      <c r="C432" s="82">
        <f>'[2]Ukraine Sun Oil Exports'!KL$290</f>
        <v>372.56599999999997</v>
      </c>
      <c r="D432" s="82">
        <f>'[2]Ukraine Sun Oil Exports'!KM$290</f>
        <v>511.60300000000001</v>
      </c>
      <c r="E432" s="82">
        <f>'[2]Ukraine Sun Oil Exports'!KN$290</f>
        <v>348.10500000000002</v>
      </c>
      <c r="F432" s="82">
        <f>'[2]Ukraine Sun Oil Exports'!KO$290</f>
        <v>392.84</v>
      </c>
      <c r="G432" s="82">
        <f>'[2]Ukraine Sun Oil Exports'!KP$290</f>
        <v>429.41699999999997</v>
      </c>
      <c r="H432" s="82">
        <f>'[2]Ukraine Sun Oil Exports'!KQ$290</f>
        <v>418.00700000000001</v>
      </c>
      <c r="I432" s="82">
        <f>'[2]Ukraine Sun Oil Exports'!KR$290</f>
        <v>384.06900000000002</v>
      </c>
      <c r="J432" s="82">
        <f>'[2]Ukraine Sun Oil Exports'!KS$290</f>
        <v>444.43900000000002</v>
      </c>
      <c r="K432" s="82">
        <f>'[2]Ukraine Sun Oil Exports'!KT$290</f>
        <v>366.56099999999998</v>
      </c>
      <c r="L432" s="82">
        <f>'[2]Ukraine Sun Oil Exports'!KU$290</f>
        <v>260.89299999999997</v>
      </c>
      <c r="M432" s="82">
        <f>'[2]Ukraine Sun Oil Exports'!KV$290</f>
        <v>271.71600000000001</v>
      </c>
      <c r="N432" s="82">
        <f t="shared" si="91"/>
        <v>4608.2340000000004</v>
      </c>
      <c r="O432" s="27"/>
      <c r="P432" s="82">
        <f t="shared" si="92"/>
        <v>1292.1869999999999</v>
      </c>
      <c r="Q432" s="82">
        <f t="shared" si="93"/>
        <v>1170.3619999999999</v>
      </c>
      <c r="R432" s="82">
        <f t="shared" si="94"/>
        <v>1246.5150000000001</v>
      </c>
      <c r="S432" s="82">
        <f t="shared" si="95"/>
        <v>899.17</v>
      </c>
    </row>
    <row r="433" spans="1:19" ht="16.5" hidden="1">
      <c r="A433" s="83" t="s">
        <v>78</v>
      </c>
      <c r="B433" s="82">
        <f>'[2]Ukraine Sun Oil Exports'!KW$290</f>
        <v>434.27600000000001</v>
      </c>
      <c r="C433" s="82">
        <f>'[2]Ukraine Sun Oil Exports'!KX$290</f>
        <v>535.56700000000001</v>
      </c>
      <c r="D433" s="82">
        <f>'[2]Ukraine Sun Oil Exports'!KY$290</f>
        <v>556.76</v>
      </c>
      <c r="E433" s="82">
        <f>'[2]Ukraine Sun Oil Exports'!KZ$290</f>
        <v>465.10500000000002</v>
      </c>
      <c r="F433" s="82">
        <f>'[2]Ukraine Sun Oil Exports'!LA$290</f>
        <v>441.65499999999997</v>
      </c>
      <c r="G433" s="82">
        <f>'[2]Ukraine Sun Oil Exports'!LB$290</f>
        <v>683.72699999999998</v>
      </c>
      <c r="H433" s="82">
        <f>'[2]Ukraine Sun Oil Exports'!LC$290</f>
        <v>575.14599999999996</v>
      </c>
      <c r="I433" s="82">
        <f>'[2]Ukraine Sun Oil Exports'!LD$290</f>
        <v>473.55099999999999</v>
      </c>
      <c r="J433" s="82">
        <f>'[2]Ukraine Sun Oil Exports'!LE$290</f>
        <v>509.02368100000001</v>
      </c>
      <c r="K433" s="82">
        <f>'[2]Ukraine Sun Oil Exports'!LF$290</f>
        <v>509.740838</v>
      </c>
      <c r="L433" s="82">
        <f>'[2]Ukraine Sun Oil Exports'!LG$290</f>
        <v>394.31798900000001</v>
      </c>
      <c r="M433" s="82">
        <f>'[2]Ukraine Sun Oil Exports'!LH$290</f>
        <v>309.86417399999999</v>
      </c>
      <c r="N433" s="82">
        <f t="shared" si="91"/>
        <v>5888.733682</v>
      </c>
      <c r="O433" s="27"/>
      <c r="P433" s="82">
        <f t="shared" si="92"/>
        <v>1526.6030000000001</v>
      </c>
      <c r="Q433" s="82">
        <f t="shared" si="93"/>
        <v>1590.4870000000001</v>
      </c>
      <c r="R433" s="82">
        <f t="shared" si="94"/>
        <v>1557.7206809999998</v>
      </c>
      <c r="S433" s="82">
        <f t="shared" si="95"/>
        <v>1213.9230010000001</v>
      </c>
    </row>
    <row r="434" spans="1:19" ht="16.5" hidden="1">
      <c r="A434" s="83" t="s">
        <v>79</v>
      </c>
      <c r="B434" s="82">
        <f>'[2]Ukraine Sun Oil Exports'!LI$290</f>
        <v>536.49101800000005</v>
      </c>
      <c r="C434" s="82">
        <f>'[2]Ukraine Sun Oil Exports'!LJ$290</f>
        <v>455.57198499999998</v>
      </c>
      <c r="D434" s="82">
        <f>'[2]Ukraine Sun Oil Exports'!LK$290</f>
        <v>411.92444899999998</v>
      </c>
      <c r="E434" s="82">
        <f>'[2]Ukraine Sun Oil Exports'!LL$290</f>
        <v>419.98776600000002</v>
      </c>
      <c r="F434" s="82">
        <f>'[2]Ukraine Sun Oil Exports'!LM$290</f>
        <v>431.85909800000002</v>
      </c>
      <c r="G434" s="82">
        <f>'[2]Ukraine Sun Oil Exports'!LN$290</f>
        <v>561.99392799999998</v>
      </c>
      <c r="H434" s="82">
        <f>'[2]Ukraine Sun Oil Exports'!LO$290</f>
        <v>582.19029999999998</v>
      </c>
      <c r="I434" s="82">
        <f>'[2]Ukraine Sun Oil Exports'!LP$290</f>
        <v>439.99590599999999</v>
      </c>
      <c r="J434" s="82">
        <f>'[2]Ukraine Sun Oil Exports'!LQ$290</f>
        <v>435.64423399999998</v>
      </c>
      <c r="K434" s="82">
        <f>'[2]Ukraine Sun Oil Exports'!LR$290</f>
        <v>401.65140200000002</v>
      </c>
      <c r="L434" s="82">
        <f>'[2]Ukraine Sun Oil Exports'!LS$290</f>
        <v>354.58790299999998</v>
      </c>
      <c r="M434" s="82">
        <f>'[2]Ukraine Sun Oil Exports'!LT$290</f>
        <v>250.357708</v>
      </c>
      <c r="N434" s="82">
        <f t="shared" si="91"/>
        <v>5282.2556970000005</v>
      </c>
      <c r="O434" s="27"/>
      <c r="P434" s="82">
        <f t="shared" si="92"/>
        <v>1403.9874520000001</v>
      </c>
      <c r="Q434" s="82">
        <f t="shared" si="93"/>
        <v>1413.840792</v>
      </c>
      <c r="R434" s="82">
        <f t="shared" si="94"/>
        <v>1457.83044</v>
      </c>
      <c r="S434" s="82">
        <f t="shared" si="95"/>
        <v>1006.5970130000001</v>
      </c>
    </row>
    <row r="435" spans="1:19" ht="16.5">
      <c r="A435" s="103" t="s">
        <v>80</v>
      </c>
      <c r="B435" s="82">
        <f>'[2]Ukraine Sun Oil Exports'!LU$290</f>
        <v>541.94789500000002</v>
      </c>
      <c r="C435" s="82">
        <f>'[2]Ukraine Sun Oil Exports'!LV$290</f>
        <v>574.68983400000002</v>
      </c>
      <c r="D435" s="82">
        <f>'[2]Ukraine Sun Oil Exports'!LW$290</f>
        <v>592.58125500000006</v>
      </c>
      <c r="E435" s="82">
        <f>'[2]Ukraine Sun Oil Exports'!LX$290</f>
        <v>495.611041</v>
      </c>
      <c r="F435" s="82">
        <f>'[2]Ukraine Sun Oil Exports'!LY$290</f>
        <v>560.73932500000001</v>
      </c>
      <c r="G435" s="82">
        <f>'[2]Ukraine Sun Oil Exports'!LZ$290</f>
        <v>632.04292699999996</v>
      </c>
      <c r="H435" s="82">
        <f>'[2]Ukraine Sun Oil Exports'!MA$290</f>
        <v>499.44492700000001</v>
      </c>
      <c r="I435" s="82">
        <f>'[2]Ukraine Sun Oil Exports'!MB$290</f>
        <v>585.67283299999997</v>
      </c>
      <c r="J435" s="82">
        <f>'[2]Ukraine Sun Oil Exports'!MC$290</f>
        <v>466.907061</v>
      </c>
      <c r="K435" s="82">
        <f>'[2]Ukraine Sun Oil Exports'!MD$290</f>
        <v>554.06293500000004</v>
      </c>
      <c r="L435" s="82">
        <f>'[2]Ukraine Sun Oil Exports'!ME$290</f>
        <v>309.31541900000002</v>
      </c>
      <c r="M435" s="82">
        <f>'[2]Ukraine Sun Oil Exports'!MF$290</f>
        <v>228.07961299999999</v>
      </c>
      <c r="N435" s="82">
        <f t="shared" si="91"/>
        <v>6041.0950649999995</v>
      </c>
      <c r="O435" s="27"/>
      <c r="P435" s="82">
        <f t="shared" si="92"/>
        <v>1709.2189840000001</v>
      </c>
      <c r="Q435" s="82">
        <f t="shared" si="93"/>
        <v>1688.3932930000001</v>
      </c>
      <c r="R435" s="82">
        <f t="shared" si="94"/>
        <v>1552.024821</v>
      </c>
      <c r="S435" s="82">
        <f t="shared" si="95"/>
        <v>1091.4579670000001</v>
      </c>
    </row>
    <row r="436" spans="1:19" ht="16.5">
      <c r="A436" s="103" t="s">
        <v>81</v>
      </c>
      <c r="B436" s="82">
        <f>'[2]Ukraine Sun Oil Exports'!MG$290</f>
        <v>564.71206099999995</v>
      </c>
      <c r="C436" s="82">
        <f>'[2]Ukraine Sun Oil Exports'!MH$290</f>
        <v>627.29700400000002</v>
      </c>
      <c r="D436" s="82">
        <f>'[2]Ukraine Sun Oil Exports'!MI$290</f>
        <v>583.417914</v>
      </c>
      <c r="E436" s="82">
        <f>'[2]Ukraine Sun Oil Exports'!MJ$290</f>
        <v>581.46817999999996</v>
      </c>
      <c r="F436" s="82">
        <f>'[2]Ukraine Sun Oil Exports'!MK$290</f>
        <v>627.29554299999995</v>
      </c>
      <c r="G436" s="82">
        <f>'[2]Ukraine Sun Oil Exports'!ML$290</f>
        <v>608.09788900000001</v>
      </c>
      <c r="H436" s="82">
        <f>'[2]Ukraine Sun Oil Exports'!MM$290</f>
        <v>716.83196299999997</v>
      </c>
      <c r="I436" s="82">
        <f>'[2]Ukraine Sun Oil Exports'!MN$290</f>
        <v>639.42643599999997</v>
      </c>
      <c r="J436" s="82">
        <f>'[2]Ukraine Sun Oil Exports'!MO$290</f>
        <v>587.80798900000002</v>
      </c>
      <c r="K436" s="82">
        <f>'[2]Ukraine Sun Oil Exports'!MP$290</f>
        <v>592.60404100000005</v>
      </c>
      <c r="L436" s="82">
        <f>'[2]Ukraine Sun Oil Exports'!MQ$290</f>
        <v>329.16028599999999</v>
      </c>
      <c r="M436" s="82">
        <f>'[2]Ukraine Sun Oil Exports'!MR$290</f>
        <v>303.88007299999998</v>
      </c>
      <c r="N436" s="82">
        <f t="shared" si="91"/>
        <v>6761.9993790000008</v>
      </c>
      <c r="O436" s="27"/>
      <c r="P436" s="82">
        <f t="shared" si="92"/>
        <v>1775.4269789999998</v>
      </c>
      <c r="Q436" s="82">
        <f t="shared" si="93"/>
        <v>1816.8616120000002</v>
      </c>
      <c r="R436" s="82">
        <f t="shared" si="94"/>
        <v>1944.0663879999997</v>
      </c>
      <c r="S436" s="82">
        <f t="shared" si="95"/>
        <v>1225.6444000000001</v>
      </c>
    </row>
    <row r="437" spans="1:19" ht="17.25" thickBot="1">
      <c r="A437" s="103" t="s">
        <v>82</v>
      </c>
      <c r="B437" s="82">
        <f>'[2]Ukraine Sun Oil Exports'!MS$290</f>
        <v>524.80828799999995</v>
      </c>
      <c r="C437" s="82">
        <f>'[2]Ukraine Sun Oil Exports'!MT$290</f>
        <v>756.06630500000006</v>
      </c>
      <c r="D437" s="82">
        <f>'[2]Ukraine Sun Oil Exports'!MU$290</f>
        <v>593.51115300000004</v>
      </c>
      <c r="E437" s="82">
        <f>'[2]Ukraine Sun Oil Exports'!MV$290</f>
        <v>481.53</v>
      </c>
      <c r="F437" s="82">
        <f>'[2]Ukraine Sun Oil Exports'!MW$290</f>
        <v>484.36099999999999</v>
      </c>
      <c r="G437" s="82">
        <f>'[2]Ukraine Sun Oil Exports'!MX$290</f>
        <v>380.91899999999998</v>
      </c>
      <c r="H437" s="82">
        <f>'[2]Ukraine Sun Oil Exports'!MY$290</f>
        <v>391.10899999999998</v>
      </c>
      <c r="I437" s="111">
        <f>'Ukraine Sun Complex'!$AC293</f>
        <v>502.38400000000001</v>
      </c>
      <c r="J437" s="111">
        <f>'Ukraine Sun Complex'!$AC294</f>
        <v>325.024</v>
      </c>
      <c r="K437" s="111">
        <f>'Ukraine Sun Complex'!$AC295</f>
        <v>328.00400000000002</v>
      </c>
      <c r="L437" s="111">
        <f>'Ukraine Sun Complex'!$AC296</f>
        <v>201.81200000000001</v>
      </c>
      <c r="M437" s="111">
        <f>'Ukraine Sun Complex'!$AC297</f>
        <v>277.05399999999997</v>
      </c>
      <c r="N437" s="111">
        <f t="shared" ref="N437" si="96">SUM(B437:L437)</f>
        <v>4969.528746</v>
      </c>
      <c r="O437" s="27"/>
      <c r="P437" s="82">
        <f t="shared" si="92"/>
        <v>1874.3857460000002</v>
      </c>
      <c r="Q437" s="82">
        <f t="shared" si="93"/>
        <v>1346.81</v>
      </c>
      <c r="R437" s="82">
        <f t="shared" si="94"/>
        <v>1218.5169999999998</v>
      </c>
      <c r="S437" s="82">
        <f t="shared" si="95"/>
        <v>806.87</v>
      </c>
    </row>
    <row r="438" spans="1:19" ht="16.5">
      <c r="A438" s="104" t="s">
        <v>122</v>
      </c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6"/>
      <c r="Q438" s="106"/>
      <c r="R438" s="106"/>
      <c r="S438" s="106"/>
    </row>
    <row r="439" spans="1:19" ht="16.5" hidden="1">
      <c r="A439" s="81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27"/>
      <c r="P439" s="82"/>
      <c r="Q439" s="82"/>
      <c r="R439" s="82"/>
      <c r="S439" s="82"/>
    </row>
    <row r="440" spans="1:19" ht="16.5" hidden="1">
      <c r="A440" s="81" t="s">
        <v>56</v>
      </c>
      <c r="B440" s="82">
        <f t="shared" ref="B440:M455" si="97">B353+B382+B411</f>
        <v>17.7</v>
      </c>
      <c r="C440" s="82">
        <f t="shared" si="97"/>
        <v>24.1</v>
      </c>
      <c r="D440" s="82">
        <f t="shared" si="97"/>
        <v>16.7</v>
      </c>
      <c r="E440" s="82">
        <f t="shared" si="97"/>
        <v>10.9</v>
      </c>
      <c r="F440" s="82">
        <f t="shared" si="97"/>
        <v>10.7</v>
      </c>
      <c r="G440" s="82">
        <f t="shared" si="97"/>
        <v>17.399999999999999</v>
      </c>
      <c r="H440" s="82">
        <f t="shared" si="97"/>
        <v>8</v>
      </c>
      <c r="I440" s="82">
        <f t="shared" si="97"/>
        <v>15.1</v>
      </c>
      <c r="J440" s="82">
        <f t="shared" si="97"/>
        <v>12.9</v>
      </c>
      <c r="K440" s="82">
        <f t="shared" si="97"/>
        <v>13.5</v>
      </c>
      <c r="L440" s="82">
        <f t="shared" si="97"/>
        <v>23.9</v>
      </c>
      <c r="M440" s="82">
        <f t="shared" si="97"/>
        <v>12.3</v>
      </c>
      <c r="N440" s="82">
        <f>SUM(B440:M440)</f>
        <v>183.20000000000002</v>
      </c>
      <c r="O440" s="27"/>
      <c r="P440" s="82">
        <f>D440+B440+C440</f>
        <v>58.5</v>
      </c>
      <c r="Q440" s="82">
        <f>SUM(E440:G440)</f>
        <v>39</v>
      </c>
      <c r="R440" s="82">
        <f>SUM(H440:J440)</f>
        <v>36</v>
      </c>
      <c r="S440" s="82">
        <f>SUM(K440:M440)</f>
        <v>49.7</v>
      </c>
    </row>
    <row r="441" spans="1:19" ht="16.5" hidden="1">
      <c r="A441" s="81" t="s">
        <v>57</v>
      </c>
      <c r="B441" s="82">
        <f t="shared" si="97"/>
        <v>16.3</v>
      </c>
      <c r="C441" s="82">
        <f t="shared" si="97"/>
        <v>29.2</v>
      </c>
      <c r="D441" s="82">
        <f t="shared" si="97"/>
        <v>25.8</v>
      </c>
      <c r="E441" s="82">
        <f t="shared" si="97"/>
        <v>29</v>
      </c>
      <c r="F441" s="82">
        <f t="shared" si="97"/>
        <v>29</v>
      </c>
      <c r="G441" s="82">
        <f t="shared" si="97"/>
        <v>26</v>
      </c>
      <c r="H441" s="82">
        <f t="shared" si="97"/>
        <v>19</v>
      </c>
      <c r="I441" s="82">
        <f t="shared" si="97"/>
        <v>20.7</v>
      </c>
      <c r="J441" s="82">
        <f t="shared" si="97"/>
        <v>24.7</v>
      </c>
      <c r="K441" s="82">
        <f t="shared" si="97"/>
        <v>10.7</v>
      </c>
      <c r="L441" s="82">
        <f t="shared" si="97"/>
        <v>22.8</v>
      </c>
      <c r="M441" s="82">
        <f t="shared" si="97"/>
        <v>15.7</v>
      </c>
      <c r="N441" s="82">
        <f t="shared" ref="N441:N465" si="98">SUM(B441:M441)</f>
        <v>268.89999999999998</v>
      </c>
      <c r="O441" s="27"/>
      <c r="P441" s="82">
        <f t="shared" ref="P441:P466" si="99">D441+B441+C441</f>
        <v>71.3</v>
      </c>
      <c r="Q441" s="82">
        <f t="shared" ref="Q441:Q466" si="100">SUM(E441:G441)</f>
        <v>84</v>
      </c>
      <c r="R441" s="82">
        <f t="shared" ref="R441:R466" si="101">SUM(H441:J441)</f>
        <v>64.400000000000006</v>
      </c>
      <c r="S441" s="82">
        <f t="shared" ref="S441:S466" si="102">SUM(K441:M441)</f>
        <v>49.2</v>
      </c>
    </row>
    <row r="442" spans="1:19" ht="16.5" hidden="1">
      <c r="A442" s="81" t="s">
        <v>58</v>
      </c>
      <c r="B442" s="82">
        <f t="shared" si="97"/>
        <v>17.600000000000001</v>
      </c>
      <c r="C442" s="82">
        <f t="shared" si="97"/>
        <v>26.4</v>
      </c>
      <c r="D442" s="82">
        <f t="shared" si="97"/>
        <v>28.1</v>
      </c>
      <c r="E442" s="82">
        <f t="shared" si="97"/>
        <v>71.774325000000005</v>
      </c>
      <c r="F442" s="82">
        <f t="shared" si="97"/>
        <v>80.795332000000002</v>
      </c>
      <c r="G442" s="82">
        <f t="shared" si="97"/>
        <v>76.18841900000001</v>
      </c>
      <c r="H442" s="82">
        <f t="shared" si="97"/>
        <v>56.56785</v>
      </c>
      <c r="I442" s="82">
        <f t="shared" si="97"/>
        <v>34.419052000000001</v>
      </c>
      <c r="J442" s="82">
        <f t="shared" si="97"/>
        <v>23.332751000000002</v>
      </c>
      <c r="K442" s="82">
        <f t="shared" si="97"/>
        <v>23.447651</v>
      </c>
      <c r="L442" s="82">
        <f t="shared" si="97"/>
        <v>19.521943999999998</v>
      </c>
      <c r="M442" s="82">
        <f t="shared" si="97"/>
        <v>39.325442999999993</v>
      </c>
      <c r="N442" s="82">
        <f t="shared" si="98"/>
        <v>497.47276700000003</v>
      </c>
      <c r="O442" s="27"/>
      <c r="P442" s="82">
        <f t="shared" si="99"/>
        <v>72.099999999999994</v>
      </c>
      <c r="Q442" s="82">
        <f t="shared" si="100"/>
        <v>228.75807600000002</v>
      </c>
      <c r="R442" s="82">
        <f t="shared" si="101"/>
        <v>114.319653</v>
      </c>
      <c r="S442" s="82">
        <f t="shared" si="102"/>
        <v>82.295037999999991</v>
      </c>
    </row>
    <row r="443" spans="1:19" ht="16.5" hidden="1">
      <c r="A443" s="81" t="s">
        <v>59</v>
      </c>
      <c r="B443" s="82">
        <f t="shared" si="97"/>
        <v>66.378062999999997</v>
      </c>
      <c r="C443" s="82">
        <f t="shared" si="97"/>
        <v>60.825054999999992</v>
      </c>
      <c r="D443" s="82">
        <f t="shared" si="97"/>
        <v>73.136600999999999</v>
      </c>
      <c r="E443" s="82">
        <f t="shared" si="97"/>
        <v>71.941597999999999</v>
      </c>
      <c r="F443" s="82">
        <f t="shared" si="97"/>
        <v>39.159530000000004</v>
      </c>
      <c r="G443" s="82">
        <f t="shared" si="97"/>
        <v>28.376086999999998</v>
      </c>
      <c r="H443" s="82">
        <f t="shared" si="97"/>
        <v>15.880165999999999</v>
      </c>
      <c r="I443" s="82">
        <f t="shared" si="97"/>
        <v>15.181448000000001</v>
      </c>
      <c r="J443" s="82">
        <f t="shared" si="97"/>
        <v>11.122290999999999</v>
      </c>
      <c r="K443" s="82">
        <f t="shared" si="97"/>
        <v>19.262250999999999</v>
      </c>
      <c r="L443" s="82">
        <f t="shared" si="97"/>
        <v>22.489454000000002</v>
      </c>
      <c r="M443" s="82">
        <f t="shared" si="97"/>
        <v>29.868587999999995</v>
      </c>
      <c r="N443" s="82">
        <f t="shared" si="98"/>
        <v>453.62113199999999</v>
      </c>
      <c r="O443" s="27"/>
      <c r="P443" s="82">
        <f t="shared" si="99"/>
        <v>200.33971899999997</v>
      </c>
      <c r="Q443" s="82">
        <f t="shared" si="100"/>
        <v>139.477215</v>
      </c>
      <c r="R443" s="82">
        <f t="shared" si="101"/>
        <v>42.183904999999996</v>
      </c>
      <c r="S443" s="82">
        <f t="shared" si="102"/>
        <v>71.620293000000004</v>
      </c>
    </row>
    <row r="444" spans="1:19" ht="16.5" hidden="1">
      <c r="A444" s="81" t="s">
        <v>60</v>
      </c>
      <c r="B444" s="82">
        <f t="shared" si="97"/>
        <v>44.432126999999994</v>
      </c>
      <c r="C444" s="82">
        <f t="shared" si="97"/>
        <v>54.993797000000001</v>
      </c>
      <c r="D444" s="82">
        <f t="shared" si="97"/>
        <v>78.741913000000011</v>
      </c>
      <c r="E444" s="82">
        <f t="shared" si="97"/>
        <v>45.318013999999998</v>
      </c>
      <c r="F444" s="82">
        <f t="shared" si="97"/>
        <v>41.019110999999995</v>
      </c>
      <c r="G444" s="82">
        <f t="shared" si="97"/>
        <v>41.688488999999997</v>
      </c>
      <c r="H444" s="82">
        <f t="shared" si="97"/>
        <v>36.676823999999996</v>
      </c>
      <c r="I444" s="82">
        <f t="shared" si="97"/>
        <v>24.500405000000001</v>
      </c>
      <c r="J444" s="82">
        <f t="shared" si="97"/>
        <v>44.498066999999999</v>
      </c>
      <c r="K444" s="82">
        <f t="shared" si="97"/>
        <v>36.889768000000004</v>
      </c>
      <c r="L444" s="82">
        <f t="shared" si="97"/>
        <v>36.950058999999996</v>
      </c>
      <c r="M444" s="82">
        <f t="shared" si="97"/>
        <v>40.812441</v>
      </c>
      <c r="N444" s="82">
        <f t="shared" si="98"/>
        <v>526.52101500000003</v>
      </c>
      <c r="O444" s="27"/>
      <c r="P444" s="82">
        <f t="shared" si="99"/>
        <v>178.16783700000002</v>
      </c>
      <c r="Q444" s="82">
        <f t="shared" si="100"/>
        <v>128.02561399999999</v>
      </c>
      <c r="R444" s="82">
        <f t="shared" si="101"/>
        <v>105.675296</v>
      </c>
      <c r="S444" s="82">
        <f t="shared" si="102"/>
        <v>114.65226799999999</v>
      </c>
    </row>
    <row r="445" spans="1:19" ht="16.5" hidden="1">
      <c r="A445" s="81" t="s">
        <v>61</v>
      </c>
      <c r="B445" s="82">
        <f t="shared" si="97"/>
        <v>53.609706499999994</v>
      </c>
      <c r="C445" s="82">
        <f t="shared" si="97"/>
        <v>75.238112999999998</v>
      </c>
      <c r="D445" s="82">
        <f t="shared" si="97"/>
        <v>55.528153509999996</v>
      </c>
      <c r="E445" s="82">
        <f t="shared" si="97"/>
        <v>69.144888000000009</v>
      </c>
      <c r="F445" s="82">
        <f t="shared" si="97"/>
        <v>90.668343999999991</v>
      </c>
      <c r="G445" s="82">
        <f t="shared" si="97"/>
        <v>85.789787000000004</v>
      </c>
      <c r="H445" s="82">
        <f t="shared" si="97"/>
        <v>77.145792</v>
      </c>
      <c r="I445" s="82">
        <f t="shared" si="97"/>
        <v>67.813371000000004</v>
      </c>
      <c r="J445" s="82">
        <f t="shared" si="97"/>
        <v>86.455016000000001</v>
      </c>
      <c r="K445" s="82">
        <f t="shared" si="97"/>
        <v>79.969527999999997</v>
      </c>
      <c r="L445" s="82">
        <f t="shared" si="97"/>
        <v>70.747911000000002</v>
      </c>
      <c r="M445" s="82">
        <f t="shared" si="97"/>
        <v>77.030998999999994</v>
      </c>
      <c r="N445" s="82">
        <f t="shared" si="98"/>
        <v>889.14160900999991</v>
      </c>
      <c r="O445" s="27"/>
      <c r="P445" s="82">
        <f t="shared" si="99"/>
        <v>184.37597301</v>
      </c>
      <c r="Q445" s="82">
        <f t="shared" si="100"/>
        <v>245.60301900000002</v>
      </c>
      <c r="R445" s="82">
        <f t="shared" si="101"/>
        <v>231.41417899999999</v>
      </c>
      <c r="S445" s="82">
        <f t="shared" si="102"/>
        <v>227.74843800000002</v>
      </c>
    </row>
    <row r="446" spans="1:19" ht="16.5" hidden="1">
      <c r="A446" s="81" t="s">
        <v>62</v>
      </c>
      <c r="B446" s="82">
        <f t="shared" si="97"/>
        <v>85.681600000000003</v>
      </c>
      <c r="C446" s="82">
        <f t="shared" si="97"/>
        <v>101.62574799999999</v>
      </c>
      <c r="D446" s="82">
        <f t="shared" si="97"/>
        <v>120.90326400000001</v>
      </c>
      <c r="E446" s="82">
        <f t="shared" si="97"/>
        <v>89.941731000000004</v>
      </c>
      <c r="F446" s="82">
        <f t="shared" si="97"/>
        <v>94.458791000000005</v>
      </c>
      <c r="G446" s="82">
        <f t="shared" si="97"/>
        <v>82.508393999999996</v>
      </c>
      <c r="H446" s="82">
        <f t="shared" si="97"/>
        <v>63.959737000000004</v>
      </c>
      <c r="I446" s="82">
        <f t="shared" si="97"/>
        <v>41.955953000000001</v>
      </c>
      <c r="J446" s="82">
        <f t="shared" si="97"/>
        <v>64.136146999999994</v>
      </c>
      <c r="K446" s="82">
        <f t="shared" si="97"/>
        <v>59.100514999999994</v>
      </c>
      <c r="L446" s="82">
        <f t="shared" si="97"/>
        <v>40.067355000000006</v>
      </c>
      <c r="M446" s="82">
        <f t="shared" si="97"/>
        <v>27.292622999999999</v>
      </c>
      <c r="N446" s="82">
        <f t="shared" si="98"/>
        <v>871.63185799999997</v>
      </c>
      <c r="O446" s="27"/>
      <c r="P446" s="82">
        <f t="shared" si="99"/>
        <v>308.21061199999997</v>
      </c>
      <c r="Q446" s="82">
        <f t="shared" si="100"/>
        <v>266.90891600000003</v>
      </c>
      <c r="R446" s="82">
        <f t="shared" si="101"/>
        <v>170.05183700000001</v>
      </c>
      <c r="S446" s="82">
        <f t="shared" si="102"/>
        <v>126.46049299999999</v>
      </c>
    </row>
    <row r="447" spans="1:19" ht="16.5" hidden="1">
      <c r="A447" s="81" t="s">
        <v>63</v>
      </c>
      <c r="B447" s="82">
        <f t="shared" si="97"/>
        <v>64.236954999999995</v>
      </c>
      <c r="C447" s="82">
        <f t="shared" si="97"/>
        <v>59.675300999999997</v>
      </c>
      <c r="D447" s="82">
        <f t="shared" si="97"/>
        <v>47.954781199999999</v>
      </c>
      <c r="E447" s="82">
        <f t="shared" si="97"/>
        <v>45.394522500000001</v>
      </c>
      <c r="F447" s="82">
        <f t="shared" si="97"/>
        <v>35.747973500000001</v>
      </c>
      <c r="G447" s="82">
        <f t="shared" si="97"/>
        <v>57.607201649999993</v>
      </c>
      <c r="H447" s="82">
        <f t="shared" si="97"/>
        <v>50.692932999999996</v>
      </c>
      <c r="I447" s="82">
        <f t="shared" si="97"/>
        <v>42.692427000000002</v>
      </c>
      <c r="J447" s="82">
        <f t="shared" si="97"/>
        <v>43.13053</v>
      </c>
      <c r="K447" s="82">
        <f t="shared" si="97"/>
        <v>48.959688</v>
      </c>
      <c r="L447" s="82">
        <f t="shared" si="97"/>
        <v>36.848884999999996</v>
      </c>
      <c r="M447" s="82">
        <f t="shared" si="97"/>
        <v>56.972453000000002</v>
      </c>
      <c r="N447" s="82">
        <f t="shared" si="98"/>
        <v>589.91365084999995</v>
      </c>
      <c r="O447" s="27"/>
      <c r="P447" s="82">
        <f t="shared" si="99"/>
        <v>171.8670372</v>
      </c>
      <c r="Q447" s="82">
        <f t="shared" si="100"/>
        <v>138.74969764999997</v>
      </c>
      <c r="R447" s="82">
        <f t="shared" si="101"/>
        <v>136.51588999999998</v>
      </c>
      <c r="S447" s="82">
        <f t="shared" si="102"/>
        <v>142.781026</v>
      </c>
    </row>
    <row r="448" spans="1:19" ht="16.5" hidden="1">
      <c r="A448" s="81" t="s">
        <v>64</v>
      </c>
      <c r="B448" s="82">
        <f t="shared" si="97"/>
        <v>107.36127400000001</v>
      </c>
      <c r="C448" s="82">
        <f t="shared" si="97"/>
        <v>98.174143000000001</v>
      </c>
      <c r="D448" s="82">
        <f t="shared" si="97"/>
        <v>127.91915899999999</v>
      </c>
      <c r="E448" s="82">
        <f t="shared" si="97"/>
        <v>99.240765999999994</v>
      </c>
      <c r="F448" s="82">
        <f t="shared" si="97"/>
        <v>94.757523999999989</v>
      </c>
      <c r="G448" s="82">
        <f t="shared" si="97"/>
        <v>116.44877000000001</v>
      </c>
      <c r="H448" s="82">
        <f t="shared" si="97"/>
        <v>119.53565</v>
      </c>
      <c r="I448" s="82">
        <f t="shared" si="97"/>
        <v>111.366069</v>
      </c>
      <c r="J448" s="82">
        <f t="shared" si="97"/>
        <v>91.497505000000004</v>
      </c>
      <c r="K448" s="82">
        <f t="shared" si="97"/>
        <v>81.526487000000003</v>
      </c>
      <c r="L448" s="82">
        <f t="shared" si="97"/>
        <v>60.638194999999996</v>
      </c>
      <c r="M448" s="82">
        <f t="shared" si="97"/>
        <v>50.837828000000002</v>
      </c>
      <c r="N448" s="82">
        <f t="shared" si="98"/>
        <v>1159.3033700000001</v>
      </c>
      <c r="O448" s="27"/>
      <c r="P448" s="82">
        <f t="shared" si="99"/>
        <v>333.45457600000003</v>
      </c>
      <c r="Q448" s="82">
        <f t="shared" si="100"/>
        <v>310.44706000000002</v>
      </c>
      <c r="R448" s="82">
        <f t="shared" si="101"/>
        <v>322.399224</v>
      </c>
      <c r="S448" s="82">
        <f t="shared" si="102"/>
        <v>193.00251</v>
      </c>
    </row>
    <row r="449" spans="1:19" ht="16.5" hidden="1">
      <c r="A449" s="83" t="s">
        <v>65</v>
      </c>
      <c r="B449" s="82">
        <f t="shared" si="97"/>
        <v>122.148517</v>
      </c>
      <c r="C449" s="82">
        <f t="shared" si="97"/>
        <v>123.015805</v>
      </c>
      <c r="D449" s="82">
        <f t="shared" si="97"/>
        <v>135.68908299999998</v>
      </c>
      <c r="E449" s="82">
        <f t="shared" si="97"/>
        <v>96.39316500000001</v>
      </c>
      <c r="F449" s="82">
        <f t="shared" si="97"/>
        <v>101.415853</v>
      </c>
      <c r="G449" s="82">
        <f t="shared" si="97"/>
        <v>152.80965500000002</v>
      </c>
      <c r="H449" s="82">
        <f t="shared" si="97"/>
        <v>136.90031300000001</v>
      </c>
      <c r="I449" s="82">
        <f t="shared" si="97"/>
        <v>101.46606399999999</v>
      </c>
      <c r="J449" s="82">
        <f t="shared" si="97"/>
        <v>125.61901900000001</v>
      </c>
      <c r="K449" s="82">
        <f t="shared" si="97"/>
        <v>98.988330999999988</v>
      </c>
      <c r="L449" s="82">
        <f t="shared" si="97"/>
        <v>87.216695000000001</v>
      </c>
      <c r="M449" s="82">
        <f t="shared" si="97"/>
        <v>44.617581000000001</v>
      </c>
      <c r="N449" s="82">
        <f t="shared" si="98"/>
        <v>1326.2800810000001</v>
      </c>
      <c r="O449" s="27"/>
      <c r="P449" s="82">
        <f t="shared" si="99"/>
        <v>380.85340499999995</v>
      </c>
      <c r="Q449" s="82">
        <f t="shared" si="100"/>
        <v>350.61867300000006</v>
      </c>
      <c r="R449" s="82">
        <f t="shared" si="101"/>
        <v>363.98539600000004</v>
      </c>
      <c r="S449" s="82">
        <f t="shared" si="102"/>
        <v>230.82260699999998</v>
      </c>
    </row>
    <row r="450" spans="1:19" ht="16.5" hidden="1">
      <c r="A450" s="83" t="s">
        <v>66</v>
      </c>
      <c r="B450" s="82">
        <f t="shared" si="97"/>
        <v>83.682380999999992</v>
      </c>
      <c r="C450" s="82">
        <f t="shared" si="97"/>
        <v>63.505133999999998</v>
      </c>
      <c r="D450" s="82">
        <f t="shared" si="97"/>
        <v>104.58199999999999</v>
      </c>
      <c r="E450" s="82">
        <f t="shared" si="97"/>
        <v>116.434</v>
      </c>
      <c r="F450" s="82">
        <f t="shared" si="97"/>
        <v>88.03</v>
      </c>
      <c r="G450" s="82">
        <f t="shared" si="97"/>
        <v>106.73399999999999</v>
      </c>
      <c r="H450" s="82">
        <f t="shared" si="97"/>
        <v>98.096000000000004</v>
      </c>
      <c r="I450" s="82">
        <f t="shared" si="97"/>
        <v>97.465999999999994</v>
      </c>
      <c r="J450" s="82">
        <f t="shared" si="97"/>
        <v>123.756</v>
      </c>
      <c r="K450" s="82">
        <f t="shared" si="97"/>
        <v>79.236999999999995</v>
      </c>
      <c r="L450" s="82">
        <f t="shared" si="97"/>
        <v>54.543000000000006</v>
      </c>
      <c r="M450" s="82">
        <f t="shared" si="97"/>
        <v>55.840999999999994</v>
      </c>
      <c r="N450" s="82">
        <f t="shared" si="98"/>
        <v>1071.9065149999999</v>
      </c>
      <c r="O450" s="27"/>
      <c r="P450" s="82">
        <f t="shared" si="99"/>
        <v>251.76951499999998</v>
      </c>
      <c r="Q450" s="82">
        <f t="shared" si="100"/>
        <v>311.19799999999998</v>
      </c>
      <c r="R450" s="82">
        <f t="shared" si="101"/>
        <v>319.31799999999998</v>
      </c>
      <c r="S450" s="82">
        <f t="shared" si="102"/>
        <v>189.62099999999998</v>
      </c>
    </row>
    <row r="451" spans="1:19" ht="16.5" hidden="1">
      <c r="A451" s="84" t="s">
        <v>67</v>
      </c>
      <c r="B451" s="82">
        <f t="shared" si="97"/>
        <v>144.816</v>
      </c>
      <c r="C451" s="82">
        <f t="shared" si="97"/>
        <v>168.79</v>
      </c>
      <c r="D451" s="82">
        <f t="shared" si="97"/>
        <v>207.90200000000002</v>
      </c>
      <c r="E451" s="82">
        <f t="shared" si="97"/>
        <v>188.81400000000002</v>
      </c>
      <c r="F451" s="82">
        <f t="shared" si="97"/>
        <v>195.28500000000003</v>
      </c>
      <c r="G451" s="82">
        <f t="shared" si="97"/>
        <v>282.90899999999999</v>
      </c>
      <c r="H451" s="82">
        <f t="shared" si="97"/>
        <v>242.79400000000001</v>
      </c>
      <c r="I451" s="82">
        <f t="shared" si="97"/>
        <v>252.36</v>
      </c>
      <c r="J451" s="82">
        <f t="shared" si="97"/>
        <v>221.35499999999999</v>
      </c>
      <c r="K451" s="82">
        <f t="shared" si="97"/>
        <v>162.90199999999999</v>
      </c>
      <c r="L451" s="82">
        <f t="shared" si="97"/>
        <v>141.67000000000002</v>
      </c>
      <c r="M451" s="82">
        <f t="shared" si="97"/>
        <v>137.892</v>
      </c>
      <c r="N451" s="82">
        <f t="shared" si="98"/>
        <v>2347.489</v>
      </c>
      <c r="O451" s="27"/>
      <c r="P451" s="82">
        <f t="shared" si="99"/>
        <v>521.50800000000004</v>
      </c>
      <c r="Q451" s="82">
        <f t="shared" si="100"/>
        <v>667.00800000000004</v>
      </c>
      <c r="R451" s="82">
        <f t="shared" si="101"/>
        <v>716.50900000000001</v>
      </c>
      <c r="S451" s="82">
        <f t="shared" si="102"/>
        <v>442.464</v>
      </c>
    </row>
    <row r="452" spans="1:19" ht="16.5" hidden="1">
      <c r="A452" s="83" t="s">
        <v>68</v>
      </c>
      <c r="B452" s="82">
        <f t="shared" si="97"/>
        <v>142.06800000000001</v>
      </c>
      <c r="C452" s="82">
        <f t="shared" si="97"/>
        <v>204.482</v>
      </c>
      <c r="D452" s="82">
        <f t="shared" si="97"/>
        <v>271.553</v>
      </c>
      <c r="E452" s="82">
        <f t="shared" si="97"/>
        <v>235.57</v>
      </c>
      <c r="F452" s="82">
        <f t="shared" si="97"/>
        <v>242.58699999999999</v>
      </c>
      <c r="G452" s="82">
        <f t="shared" si="97"/>
        <v>292.27499999999998</v>
      </c>
      <c r="H452" s="82">
        <f t="shared" si="97"/>
        <v>270.017</v>
      </c>
      <c r="I452" s="82">
        <f t="shared" si="97"/>
        <v>327.63300000000004</v>
      </c>
      <c r="J452" s="82">
        <f t="shared" si="97"/>
        <v>272.59100000000001</v>
      </c>
      <c r="K452" s="82">
        <f t="shared" si="97"/>
        <v>201.27499999999998</v>
      </c>
      <c r="L452" s="82">
        <f t="shared" si="97"/>
        <v>126.518</v>
      </c>
      <c r="M452" s="82">
        <f t="shared" si="97"/>
        <v>88.37</v>
      </c>
      <c r="N452" s="82">
        <f t="shared" si="98"/>
        <v>2674.9389999999999</v>
      </c>
      <c r="O452" s="27"/>
      <c r="P452" s="82">
        <f t="shared" si="99"/>
        <v>618.10299999999995</v>
      </c>
      <c r="Q452" s="82">
        <f t="shared" si="100"/>
        <v>770.43200000000002</v>
      </c>
      <c r="R452" s="82">
        <f t="shared" si="101"/>
        <v>870.2410000000001</v>
      </c>
      <c r="S452" s="82">
        <f t="shared" si="102"/>
        <v>416.16300000000001</v>
      </c>
    </row>
    <row r="453" spans="1:19" ht="16.5" hidden="1">
      <c r="A453" s="84" t="s">
        <v>69</v>
      </c>
      <c r="B453" s="82">
        <f t="shared" si="97"/>
        <v>165.69800000000001</v>
      </c>
      <c r="C453" s="82">
        <f t="shared" si="97"/>
        <v>206.99199999999999</v>
      </c>
      <c r="D453" s="82">
        <f t="shared" si="97"/>
        <v>248.483</v>
      </c>
      <c r="E453" s="82">
        <f t="shared" si="97"/>
        <v>144.602</v>
      </c>
      <c r="F453" s="82">
        <f t="shared" si="97"/>
        <v>213.715</v>
      </c>
      <c r="G453" s="82">
        <f t="shared" si="97"/>
        <v>169.86600000000001</v>
      </c>
      <c r="H453" s="82">
        <f t="shared" si="97"/>
        <v>47.878999999999998</v>
      </c>
      <c r="I453" s="82">
        <f t="shared" si="97"/>
        <v>70.861999999999995</v>
      </c>
      <c r="J453" s="82">
        <f t="shared" si="97"/>
        <v>141.19999999999999</v>
      </c>
      <c r="K453" s="82">
        <f t="shared" si="97"/>
        <v>153.48000000000002</v>
      </c>
      <c r="L453" s="82">
        <f t="shared" si="97"/>
        <v>106.848</v>
      </c>
      <c r="M453" s="82">
        <f t="shared" si="97"/>
        <v>107.42500000000001</v>
      </c>
      <c r="N453" s="82">
        <f t="shared" si="98"/>
        <v>1777.05</v>
      </c>
      <c r="O453" s="27"/>
      <c r="P453" s="82">
        <f t="shared" si="99"/>
        <v>621.173</v>
      </c>
      <c r="Q453" s="82">
        <f t="shared" si="100"/>
        <v>528.18299999999999</v>
      </c>
      <c r="R453" s="82">
        <f t="shared" si="101"/>
        <v>259.94099999999997</v>
      </c>
      <c r="S453" s="82">
        <f t="shared" si="102"/>
        <v>367.75300000000004</v>
      </c>
    </row>
    <row r="454" spans="1:19" ht="16.5" hidden="1">
      <c r="A454" s="84" t="s">
        <v>70</v>
      </c>
      <c r="B454" s="82">
        <f t="shared" si="97"/>
        <v>223.54300000000001</v>
      </c>
      <c r="C454" s="82">
        <f t="shared" si="97"/>
        <v>237.654</v>
      </c>
      <c r="D454" s="82">
        <f t="shared" si="97"/>
        <v>339.12800000000004</v>
      </c>
      <c r="E454" s="82">
        <f t="shared" si="97"/>
        <v>265.00600000000003</v>
      </c>
      <c r="F454" s="82">
        <f t="shared" si="97"/>
        <v>247.482</v>
      </c>
      <c r="G454" s="82">
        <f t="shared" si="97"/>
        <v>268.18799999999999</v>
      </c>
      <c r="H454" s="82">
        <f t="shared" si="97"/>
        <v>240.875</v>
      </c>
      <c r="I454" s="82">
        <f t="shared" si="97"/>
        <v>308.57799999999997</v>
      </c>
      <c r="J454" s="82">
        <f t="shared" si="97"/>
        <v>318.72199999999998</v>
      </c>
      <c r="K454" s="82">
        <f t="shared" si="97"/>
        <v>271.78899999999999</v>
      </c>
      <c r="L454" s="82">
        <f t="shared" si="97"/>
        <v>196.887</v>
      </c>
      <c r="M454" s="82">
        <f t="shared" si="97"/>
        <v>204.48000000000002</v>
      </c>
      <c r="N454" s="82">
        <f t="shared" si="98"/>
        <v>3122.3320000000003</v>
      </c>
      <c r="O454" s="27"/>
      <c r="P454" s="82">
        <f t="shared" si="99"/>
        <v>800.32500000000005</v>
      </c>
      <c r="Q454" s="82">
        <f t="shared" si="100"/>
        <v>780.67600000000004</v>
      </c>
      <c r="R454" s="82">
        <f t="shared" si="101"/>
        <v>868.17499999999995</v>
      </c>
      <c r="S454" s="82">
        <f t="shared" si="102"/>
        <v>673.15599999999995</v>
      </c>
    </row>
    <row r="455" spans="1:19" ht="16.5" hidden="1">
      <c r="A455" s="83" t="s">
        <v>71</v>
      </c>
      <c r="B455" s="82">
        <f t="shared" si="97"/>
        <v>230.38900000000001</v>
      </c>
      <c r="C455" s="82">
        <f t="shared" si="97"/>
        <v>252.536</v>
      </c>
      <c r="D455" s="82">
        <f t="shared" si="97"/>
        <v>346.44000000000005</v>
      </c>
      <c r="E455" s="82">
        <f t="shared" si="97"/>
        <v>200.74799999999999</v>
      </c>
      <c r="F455" s="82">
        <f t="shared" si="97"/>
        <v>266.58199999999999</v>
      </c>
      <c r="G455" s="82">
        <f t="shared" si="97"/>
        <v>246.81</v>
      </c>
      <c r="H455" s="82">
        <f t="shared" si="97"/>
        <v>320.73500000000001</v>
      </c>
      <c r="I455" s="82">
        <f t="shared" si="97"/>
        <v>309.38499999999999</v>
      </c>
      <c r="J455" s="82">
        <f t="shared" si="97"/>
        <v>355.64400000000001</v>
      </c>
      <c r="K455" s="82">
        <f t="shared" si="97"/>
        <v>328.58</v>
      </c>
      <c r="L455" s="82">
        <f t="shared" si="97"/>
        <v>237.45499999999998</v>
      </c>
      <c r="M455" s="82">
        <f t="shared" si="97"/>
        <v>109.191</v>
      </c>
      <c r="N455" s="82">
        <f t="shared" si="98"/>
        <v>3204.4949999999999</v>
      </c>
      <c r="O455" s="27"/>
      <c r="P455" s="82">
        <f t="shared" si="99"/>
        <v>829.36500000000001</v>
      </c>
      <c r="Q455" s="82">
        <f t="shared" si="100"/>
        <v>714.14</v>
      </c>
      <c r="R455" s="82">
        <f t="shared" si="101"/>
        <v>985.76400000000001</v>
      </c>
      <c r="S455" s="82">
        <f t="shared" si="102"/>
        <v>675.226</v>
      </c>
    </row>
    <row r="456" spans="1:19" ht="16.5" hidden="1">
      <c r="A456" s="84" t="s">
        <v>72</v>
      </c>
      <c r="B456" s="82">
        <f t="shared" ref="B456:M466" si="103">B369+B398+B427</f>
        <v>247.68299999999999</v>
      </c>
      <c r="C456" s="82">
        <f t="shared" si="103"/>
        <v>283.91400000000004</v>
      </c>
      <c r="D456" s="82">
        <f t="shared" si="103"/>
        <v>340.62</v>
      </c>
      <c r="E456" s="82">
        <f t="shared" si="103"/>
        <v>281.71899999999999</v>
      </c>
      <c r="F456" s="82">
        <f t="shared" si="103"/>
        <v>220.726</v>
      </c>
      <c r="G456" s="82">
        <f t="shared" si="103"/>
        <v>336.12</v>
      </c>
      <c r="H456" s="82">
        <f t="shared" si="103"/>
        <v>230.858</v>
      </c>
      <c r="I456" s="82">
        <f t="shared" si="103"/>
        <v>302.89599999999996</v>
      </c>
      <c r="J456" s="82">
        <f t="shared" si="103"/>
        <v>251.07</v>
      </c>
      <c r="K456" s="82">
        <f t="shared" si="103"/>
        <v>193.56799999999998</v>
      </c>
      <c r="L456" s="82">
        <f t="shared" si="103"/>
        <v>196.71899999999999</v>
      </c>
      <c r="M456" s="82">
        <f t="shared" si="103"/>
        <v>123.66499999999999</v>
      </c>
      <c r="N456" s="82">
        <f t="shared" si="98"/>
        <v>3009.558</v>
      </c>
      <c r="O456" s="27"/>
      <c r="P456" s="82">
        <f t="shared" si="99"/>
        <v>872.2170000000001</v>
      </c>
      <c r="Q456" s="82">
        <f t="shared" si="100"/>
        <v>838.56500000000005</v>
      </c>
      <c r="R456" s="82">
        <f t="shared" si="101"/>
        <v>784.82399999999984</v>
      </c>
      <c r="S456" s="82">
        <f t="shared" si="102"/>
        <v>513.952</v>
      </c>
    </row>
    <row r="457" spans="1:19" ht="16.5" hidden="1">
      <c r="A457" s="83" t="s">
        <v>73</v>
      </c>
      <c r="B457" s="82">
        <f t="shared" si="103"/>
        <v>352.67700000000002</v>
      </c>
      <c r="C457" s="82">
        <f t="shared" si="103"/>
        <v>453.26099999999997</v>
      </c>
      <c r="D457" s="82">
        <f t="shared" si="103"/>
        <v>403.52500000000003</v>
      </c>
      <c r="E457" s="82">
        <f t="shared" si="103"/>
        <v>362.65300000000002</v>
      </c>
      <c r="F457" s="82">
        <f t="shared" si="103"/>
        <v>342.76800000000003</v>
      </c>
      <c r="G457" s="82">
        <f t="shared" si="103"/>
        <v>490.56900000000002</v>
      </c>
      <c r="H457" s="82">
        <f t="shared" si="103"/>
        <v>548.68000000000006</v>
      </c>
      <c r="I457" s="82">
        <f t="shared" si="103"/>
        <v>575.75299999999993</v>
      </c>
      <c r="J457" s="82">
        <f t="shared" si="103"/>
        <v>461.548</v>
      </c>
      <c r="K457" s="82">
        <f t="shared" si="103"/>
        <v>334.97199999999998</v>
      </c>
      <c r="L457" s="82">
        <f t="shared" si="103"/>
        <v>444.10499999999996</v>
      </c>
      <c r="M457" s="82">
        <f t="shared" si="103"/>
        <v>321.19499999999999</v>
      </c>
      <c r="N457" s="82">
        <f t="shared" si="98"/>
        <v>5091.7059999999983</v>
      </c>
      <c r="O457" s="27"/>
      <c r="P457" s="82">
        <f t="shared" si="99"/>
        <v>1209.463</v>
      </c>
      <c r="Q457" s="82">
        <f t="shared" si="100"/>
        <v>1195.99</v>
      </c>
      <c r="R457" s="82">
        <f t="shared" si="101"/>
        <v>1585.981</v>
      </c>
      <c r="S457" s="82">
        <f t="shared" si="102"/>
        <v>1100.2719999999999</v>
      </c>
    </row>
    <row r="458" spans="1:19" ht="16.5" hidden="1">
      <c r="A458" s="83" t="s">
        <v>74</v>
      </c>
      <c r="B458" s="82">
        <f t="shared" si="103"/>
        <v>453.39099999999996</v>
      </c>
      <c r="C458" s="82">
        <f t="shared" si="103"/>
        <v>382.30600000000004</v>
      </c>
      <c r="D458" s="82">
        <f t="shared" si="103"/>
        <v>414.63900000000001</v>
      </c>
      <c r="E458" s="82">
        <f t="shared" si="103"/>
        <v>409.71000000000004</v>
      </c>
      <c r="F458" s="82">
        <f t="shared" si="103"/>
        <v>409.59899999999999</v>
      </c>
      <c r="G458" s="82">
        <f t="shared" si="103"/>
        <v>386.71299999999997</v>
      </c>
      <c r="H458" s="82">
        <f t="shared" si="103"/>
        <v>318.38799999999998</v>
      </c>
      <c r="I458" s="82">
        <f t="shared" si="103"/>
        <v>467.96400000000006</v>
      </c>
      <c r="J458" s="82">
        <f t="shared" si="103"/>
        <v>380.98900000000003</v>
      </c>
      <c r="K458" s="82">
        <f t="shared" si="103"/>
        <v>259.36699999999996</v>
      </c>
      <c r="L458" s="82">
        <f t="shared" si="103"/>
        <v>282.911</v>
      </c>
      <c r="M458" s="82">
        <f t="shared" si="103"/>
        <v>242.16200000000001</v>
      </c>
      <c r="N458" s="82">
        <f t="shared" si="98"/>
        <v>4408.1390000000001</v>
      </c>
      <c r="O458" s="27"/>
      <c r="P458" s="82">
        <f t="shared" si="99"/>
        <v>1250.336</v>
      </c>
      <c r="Q458" s="82">
        <f t="shared" si="100"/>
        <v>1206.0219999999999</v>
      </c>
      <c r="R458" s="82">
        <f t="shared" si="101"/>
        <v>1167.3410000000001</v>
      </c>
      <c r="S458" s="82">
        <f t="shared" si="102"/>
        <v>784.44</v>
      </c>
    </row>
    <row r="459" spans="1:19" ht="16.5" hidden="1">
      <c r="A459" s="83" t="s">
        <v>75</v>
      </c>
      <c r="B459" s="82">
        <f t="shared" si="103"/>
        <v>588.47300000000007</v>
      </c>
      <c r="C459" s="82">
        <f t="shared" si="103"/>
        <v>538.88300000000004</v>
      </c>
      <c r="D459" s="82">
        <f t="shared" si="103"/>
        <v>585.24599999999998</v>
      </c>
      <c r="E459" s="82">
        <f t="shared" si="103"/>
        <v>455.66199999999998</v>
      </c>
      <c r="F459" s="82">
        <f t="shared" si="103"/>
        <v>491.44099999999997</v>
      </c>
      <c r="G459" s="82">
        <f t="shared" si="103"/>
        <v>619.077</v>
      </c>
      <c r="H459" s="82">
        <f t="shared" si="103"/>
        <v>719.02099999999996</v>
      </c>
      <c r="I459" s="82">
        <f t="shared" si="103"/>
        <v>686.01599999999996</v>
      </c>
      <c r="J459" s="82">
        <f t="shared" si="103"/>
        <v>537.18299999999999</v>
      </c>
      <c r="K459" s="82">
        <f t="shared" si="103"/>
        <v>448.35900000000004</v>
      </c>
      <c r="L459" s="82">
        <f t="shared" si="103"/>
        <v>400.416</v>
      </c>
      <c r="M459" s="82">
        <f t="shared" si="103"/>
        <v>431.57899999999995</v>
      </c>
      <c r="N459" s="82">
        <f t="shared" si="98"/>
        <v>6501.3559999999998</v>
      </c>
      <c r="O459" s="27"/>
      <c r="P459" s="82">
        <f t="shared" si="99"/>
        <v>1712.6020000000001</v>
      </c>
      <c r="Q459" s="82">
        <f t="shared" si="100"/>
        <v>1566.1799999999998</v>
      </c>
      <c r="R459" s="82">
        <f t="shared" si="101"/>
        <v>1942.2199999999998</v>
      </c>
      <c r="S459" s="82">
        <f t="shared" si="102"/>
        <v>1280.354</v>
      </c>
    </row>
    <row r="460" spans="1:19" ht="16.5" hidden="1">
      <c r="A460" s="83" t="s">
        <v>76</v>
      </c>
      <c r="B460" s="82">
        <f t="shared" si="103"/>
        <v>571.13</v>
      </c>
      <c r="C460" s="82">
        <f t="shared" si="103"/>
        <v>525.95699999999999</v>
      </c>
      <c r="D460" s="82">
        <f t="shared" si="103"/>
        <v>517.48699999999997</v>
      </c>
      <c r="E460" s="82">
        <f t="shared" si="103"/>
        <v>489.41899999999998</v>
      </c>
      <c r="F460" s="82">
        <f t="shared" si="103"/>
        <v>511.46900000000005</v>
      </c>
      <c r="G460" s="82">
        <f t="shared" si="103"/>
        <v>590.08500000000004</v>
      </c>
      <c r="H460" s="82">
        <f t="shared" si="103"/>
        <v>494.90899999999999</v>
      </c>
      <c r="I460" s="82">
        <f t="shared" si="103"/>
        <v>431.548</v>
      </c>
      <c r="J460" s="82">
        <f t="shared" si="103"/>
        <v>501.61099999999999</v>
      </c>
      <c r="K460" s="82">
        <f t="shared" si="103"/>
        <v>391.99400000000003</v>
      </c>
      <c r="L460" s="82">
        <f t="shared" si="103"/>
        <v>297.363</v>
      </c>
      <c r="M460" s="82">
        <f t="shared" si="103"/>
        <v>242.49099999999999</v>
      </c>
      <c r="N460" s="82">
        <f t="shared" si="98"/>
        <v>5565.4629999999997</v>
      </c>
      <c r="O460" s="27"/>
      <c r="P460" s="82">
        <f t="shared" si="99"/>
        <v>1614.5740000000001</v>
      </c>
      <c r="Q460" s="82">
        <f t="shared" si="100"/>
        <v>1590.973</v>
      </c>
      <c r="R460" s="82">
        <f t="shared" si="101"/>
        <v>1428.068</v>
      </c>
      <c r="S460" s="82">
        <f t="shared" si="102"/>
        <v>931.84799999999996</v>
      </c>
    </row>
    <row r="461" spans="1:19" ht="16.5" hidden="1">
      <c r="A461" s="83" t="s">
        <v>77</v>
      </c>
      <c r="B461" s="82">
        <f t="shared" si="103"/>
        <v>552.41899999999998</v>
      </c>
      <c r="C461" s="82">
        <f t="shared" si="103"/>
        <v>534.31299999999999</v>
      </c>
      <c r="D461" s="82">
        <f t="shared" si="103"/>
        <v>722.41399999999999</v>
      </c>
      <c r="E461" s="82">
        <f t="shared" si="103"/>
        <v>527.03</v>
      </c>
      <c r="F461" s="82">
        <f t="shared" si="103"/>
        <v>582.59500000000003</v>
      </c>
      <c r="G461" s="82">
        <f t="shared" si="103"/>
        <v>653.89199999999994</v>
      </c>
      <c r="H461" s="82">
        <f t="shared" si="103"/>
        <v>614.40200000000004</v>
      </c>
      <c r="I461" s="82">
        <f t="shared" si="103"/>
        <v>563.40300000000002</v>
      </c>
      <c r="J461" s="82">
        <f t="shared" si="103"/>
        <v>591.93399999999997</v>
      </c>
      <c r="K461" s="82">
        <f t="shared" si="103"/>
        <v>453.58399999999995</v>
      </c>
      <c r="L461" s="82">
        <f t="shared" si="103"/>
        <v>372.51299999999998</v>
      </c>
      <c r="M461" s="82">
        <f t="shared" si="103"/>
        <v>418.92</v>
      </c>
      <c r="N461" s="82">
        <f t="shared" si="98"/>
        <v>6587.4189999999999</v>
      </c>
      <c r="O461" s="27"/>
      <c r="P461" s="82">
        <f t="shared" si="99"/>
        <v>1809.1460000000002</v>
      </c>
      <c r="Q461" s="82">
        <f t="shared" si="100"/>
        <v>1763.5169999999998</v>
      </c>
      <c r="R461" s="82">
        <f t="shared" si="101"/>
        <v>1769.739</v>
      </c>
      <c r="S461" s="82">
        <f t="shared" si="102"/>
        <v>1245.0170000000001</v>
      </c>
    </row>
    <row r="462" spans="1:19" ht="16.5" hidden="1">
      <c r="A462" s="83" t="s">
        <v>78</v>
      </c>
      <c r="B462" s="82">
        <f t="shared" si="103"/>
        <v>628.16100000000006</v>
      </c>
      <c r="C462" s="82">
        <f t="shared" si="103"/>
        <v>790.72500000000002</v>
      </c>
      <c r="D462" s="82">
        <f t="shared" si="103"/>
        <v>849.52099999999996</v>
      </c>
      <c r="E462" s="82">
        <f t="shared" si="103"/>
        <v>683.05500000000006</v>
      </c>
      <c r="F462" s="82">
        <f t="shared" si="103"/>
        <v>625.45399999999995</v>
      </c>
      <c r="G462" s="82">
        <f t="shared" si="103"/>
        <v>991.68799999999999</v>
      </c>
      <c r="H462" s="82">
        <f t="shared" si="103"/>
        <v>769.18599999999992</v>
      </c>
      <c r="I462" s="82">
        <f t="shared" si="103"/>
        <v>747.78399999999999</v>
      </c>
      <c r="J462" s="82">
        <f t="shared" si="103"/>
        <v>780.36780399999998</v>
      </c>
      <c r="K462" s="82">
        <f t="shared" si="103"/>
        <v>650.50274100000001</v>
      </c>
      <c r="L462" s="82">
        <f t="shared" si="103"/>
        <v>552.34692199999995</v>
      </c>
      <c r="M462" s="82">
        <f t="shared" si="103"/>
        <v>506.87024400000001</v>
      </c>
      <c r="N462" s="82">
        <f t="shared" si="98"/>
        <v>8575.6617110000007</v>
      </c>
      <c r="O462" s="27"/>
      <c r="P462" s="82">
        <f t="shared" si="99"/>
        <v>2268.4070000000002</v>
      </c>
      <c r="Q462" s="82">
        <f t="shared" si="100"/>
        <v>2300.1970000000001</v>
      </c>
      <c r="R462" s="82">
        <f t="shared" si="101"/>
        <v>2297.3378039999998</v>
      </c>
      <c r="S462" s="82">
        <f t="shared" si="102"/>
        <v>1709.7199069999999</v>
      </c>
    </row>
    <row r="463" spans="1:19" ht="16.5" hidden="1">
      <c r="A463" s="83" t="s">
        <v>79</v>
      </c>
      <c r="B463" s="82">
        <f t="shared" si="103"/>
        <v>773.7955760000001</v>
      </c>
      <c r="C463" s="82">
        <f t="shared" si="103"/>
        <v>762.10473400000001</v>
      </c>
      <c r="D463" s="82">
        <f t="shared" si="103"/>
        <v>710.69740000000002</v>
      </c>
      <c r="E463" s="82">
        <f t="shared" si="103"/>
        <v>594.01974399999995</v>
      </c>
      <c r="F463" s="82">
        <f t="shared" si="103"/>
        <v>657.50264200000004</v>
      </c>
      <c r="G463" s="82">
        <f t="shared" si="103"/>
        <v>803.418452</v>
      </c>
      <c r="H463" s="82">
        <f t="shared" si="103"/>
        <v>850.24254900000005</v>
      </c>
      <c r="I463" s="82">
        <f t="shared" si="103"/>
        <v>700.30879200000004</v>
      </c>
      <c r="J463" s="82">
        <f t="shared" si="103"/>
        <v>669.01940000000002</v>
      </c>
      <c r="K463" s="82">
        <f t="shared" si="103"/>
        <v>610.99305100000004</v>
      </c>
      <c r="L463" s="82">
        <f t="shared" si="103"/>
        <v>536.62685499999998</v>
      </c>
      <c r="M463" s="82">
        <f t="shared" si="103"/>
        <v>404.99700999999999</v>
      </c>
      <c r="N463" s="82">
        <f t="shared" si="98"/>
        <v>8073.7262050000018</v>
      </c>
      <c r="O463" s="27"/>
      <c r="P463" s="82">
        <f t="shared" si="99"/>
        <v>2246.59771</v>
      </c>
      <c r="Q463" s="82">
        <f t="shared" si="100"/>
        <v>2054.940838</v>
      </c>
      <c r="R463" s="82">
        <f t="shared" si="101"/>
        <v>2219.570741</v>
      </c>
      <c r="S463" s="82">
        <f t="shared" si="102"/>
        <v>1552.6169159999999</v>
      </c>
    </row>
    <row r="464" spans="1:19" ht="16.5">
      <c r="A464" s="103" t="s">
        <v>80</v>
      </c>
      <c r="B464" s="82">
        <f t="shared" si="103"/>
        <v>686.21890299999995</v>
      </c>
      <c r="C464" s="82">
        <f t="shared" si="103"/>
        <v>788.84994499999993</v>
      </c>
      <c r="D464" s="82">
        <f t="shared" si="103"/>
        <v>903.37442900000008</v>
      </c>
      <c r="E464" s="82">
        <f t="shared" si="103"/>
        <v>796.88676299999997</v>
      </c>
      <c r="F464" s="82">
        <f t="shared" si="103"/>
        <v>803.36220300000002</v>
      </c>
      <c r="G464" s="82">
        <f t="shared" si="103"/>
        <v>980.06340599999999</v>
      </c>
      <c r="H464" s="82">
        <f t="shared" si="103"/>
        <v>779.20147700000007</v>
      </c>
      <c r="I464" s="82">
        <f t="shared" si="103"/>
        <v>957.26693999999998</v>
      </c>
      <c r="J464" s="82">
        <f t="shared" si="103"/>
        <v>719.39827300000002</v>
      </c>
      <c r="K464" s="82">
        <f t="shared" si="103"/>
        <v>31115.686993999996</v>
      </c>
      <c r="L464" s="82">
        <f t="shared" si="103"/>
        <v>36184.764413999997</v>
      </c>
      <c r="M464" s="82">
        <f t="shared" si="103"/>
        <v>55035.419966000001</v>
      </c>
      <c r="N464" s="82">
        <f t="shared" si="98"/>
        <v>129750.49371299999</v>
      </c>
      <c r="O464" s="27"/>
      <c r="P464" s="82">
        <f t="shared" si="99"/>
        <v>2378.4432769999999</v>
      </c>
      <c r="Q464" s="82">
        <f t="shared" si="100"/>
        <v>2580.3123720000003</v>
      </c>
      <c r="R464" s="82">
        <f t="shared" si="101"/>
        <v>2455.8666899999998</v>
      </c>
      <c r="S464" s="82">
        <f t="shared" si="102"/>
        <v>122335.87137399999</v>
      </c>
    </row>
    <row r="465" spans="1:19" ht="16.5">
      <c r="A465" s="103" t="s">
        <v>81</v>
      </c>
      <c r="B465" s="82">
        <f t="shared" si="103"/>
        <v>86552.676761999959</v>
      </c>
      <c r="C465" s="82">
        <f t="shared" si="103"/>
        <v>54431.924930000001</v>
      </c>
      <c r="D465" s="82">
        <f t="shared" si="103"/>
        <v>54160.888157999958</v>
      </c>
      <c r="E465" s="82">
        <f t="shared" si="103"/>
        <v>93453.055590000033</v>
      </c>
      <c r="F465" s="82">
        <f t="shared" si="103"/>
        <v>55834.717684000003</v>
      </c>
      <c r="G465" s="82">
        <f t="shared" si="103"/>
        <v>79578.540341999978</v>
      </c>
      <c r="H465" s="82">
        <f t="shared" si="103"/>
        <v>70048.855745999957</v>
      </c>
      <c r="I465" s="82">
        <f t="shared" si="103"/>
        <v>60261.880916999988</v>
      </c>
      <c r="J465" s="82">
        <f t="shared" si="103"/>
        <v>95542.839202999909</v>
      </c>
      <c r="K465" s="82">
        <f t="shared" si="103"/>
        <v>109568.98693799994</v>
      </c>
      <c r="L465" s="82">
        <f t="shared" si="103"/>
        <v>44894.261906000022</v>
      </c>
      <c r="M465" s="82">
        <f t="shared" si="103"/>
        <v>68621.169166999985</v>
      </c>
      <c r="N465" s="82">
        <f t="shared" si="98"/>
        <v>872949.79734299972</v>
      </c>
      <c r="O465" s="27"/>
      <c r="P465" s="82">
        <f t="shared" si="99"/>
        <v>195145.48984999993</v>
      </c>
      <c r="Q465" s="82">
        <f t="shared" si="100"/>
        <v>228866.313616</v>
      </c>
      <c r="R465" s="82">
        <f t="shared" si="101"/>
        <v>225853.57586599985</v>
      </c>
      <c r="S465" s="82">
        <f t="shared" si="102"/>
        <v>223084.41801099994</v>
      </c>
    </row>
    <row r="466" spans="1:19" ht="17.25" thickBot="1">
      <c r="A466" s="103" t="s">
        <v>82</v>
      </c>
      <c r="B466" s="82">
        <f t="shared" si="103"/>
        <v>63034.92690600003</v>
      </c>
      <c r="C466" s="82">
        <f t="shared" si="103"/>
        <v>57918.215315999973</v>
      </c>
      <c r="D466" s="82">
        <f t="shared" si="103"/>
        <v>68070.719282999999</v>
      </c>
      <c r="E466" s="82">
        <f t="shared" si="103"/>
        <v>37052.253000000004</v>
      </c>
      <c r="F466" s="82">
        <f t="shared" si="103"/>
        <v>59416.888999999974</v>
      </c>
      <c r="G466" s="82">
        <f t="shared" si="103"/>
        <v>59256.476999999955</v>
      </c>
      <c r="H466" s="82">
        <f t="shared" si="103"/>
        <v>814.35681899999997</v>
      </c>
      <c r="I466" s="111">
        <f t="shared" si="103"/>
        <v>719.80538100000001</v>
      </c>
      <c r="J466" s="111">
        <f t="shared" si="103"/>
        <v>544.74659699999995</v>
      </c>
      <c r="K466" s="111">
        <f t="shared" si="103"/>
        <v>537.00076300000001</v>
      </c>
      <c r="L466" s="111">
        <f t="shared" si="103"/>
        <v>617.27546899999993</v>
      </c>
      <c r="M466" s="111">
        <f t="shared" si="103"/>
        <v>444.72896800000001</v>
      </c>
      <c r="N466" s="111">
        <f>SUM(B466:M466)</f>
        <v>348427.39450199984</v>
      </c>
      <c r="O466" s="27"/>
      <c r="P466" s="82">
        <f t="shared" si="99"/>
        <v>189023.86150499998</v>
      </c>
      <c r="Q466" s="82">
        <f t="shared" si="100"/>
        <v>155725.61899999995</v>
      </c>
      <c r="R466" s="82">
        <f t="shared" si="101"/>
        <v>2078.908797</v>
      </c>
      <c r="S466" s="82">
        <f t="shared" si="102"/>
        <v>1599.0052000000001</v>
      </c>
    </row>
    <row r="467" spans="1:19">
      <c r="A467" s="113" t="s">
        <v>123</v>
      </c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</row>
  </sheetData>
  <pageMargins left="0.25" right="0.25" top="0.75" bottom="0.75" header="0.3" footer="0.3"/>
  <pageSetup scale="60" orientation="portrait" r:id="rId1"/>
  <headerFooter>
    <oddHeader>&amp;L&amp;G&amp;C&amp;"Arial,Bold"&amp;20MAJOR SUFLOWER OIL EXPORTS</oddHeader>
    <oddFooter>&amp;L&amp;D&amp;C&amp;P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37B3-95CB-4A09-9884-1D6AA3EBA16A}">
  <sheetPr>
    <pageSetUpPr fitToPage="1"/>
  </sheetPr>
  <dimension ref="A1:FB48"/>
  <sheetViews>
    <sheetView zoomScale="90" zoomScaleNormal="90" workbookViewId="0">
      <pane xSplit="1" ySplit="3" topLeftCell="AA4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18.140625" customWidth="1"/>
    <col min="2" max="26" width="9.140625" hidden="1" customWidth="1"/>
    <col min="27" max="30" width="9.140625" customWidth="1"/>
    <col min="31" max="55" width="9.140625" hidden="1" customWidth="1"/>
    <col min="56" max="59" width="9.140625" customWidth="1"/>
    <col min="60" max="84" width="9.140625" hidden="1" customWidth="1"/>
    <col min="85" max="88" width="9.140625" customWidth="1"/>
    <col min="89" max="113" width="9.140625" hidden="1" customWidth="1"/>
    <col min="114" max="117" width="9.140625" customWidth="1"/>
    <col min="118" max="142" width="9.140625" hidden="1" customWidth="1"/>
    <col min="143" max="145" width="9.140625" customWidth="1"/>
  </cols>
  <sheetData>
    <row r="1" spans="1:158" ht="15.75">
      <c r="A1" s="99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14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  <c r="CF1" s="114"/>
      <c r="CG1" s="114"/>
      <c r="CH1" s="114"/>
      <c r="CI1" s="114"/>
      <c r="CJ1" s="114"/>
      <c r="CK1" s="114"/>
      <c r="CL1" s="114"/>
      <c r="CM1" s="114"/>
      <c r="CN1" s="114"/>
      <c r="CO1" s="114"/>
      <c r="CP1" s="114"/>
      <c r="CQ1" s="114"/>
      <c r="CR1" s="114"/>
      <c r="CS1" s="114"/>
      <c r="CT1" s="114"/>
      <c r="CU1" s="114"/>
      <c r="CV1" s="114"/>
      <c r="CW1" s="114"/>
      <c r="CX1" s="114"/>
      <c r="CY1" s="114"/>
      <c r="CZ1" s="114"/>
      <c r="DA1" s="114"/>
      <c r="DB1" s="114"/>
      <c r="DC1" s="114"/>
      <c r="DD1" s="114"/>
      <c r="DE1" s="114"/>
      <c r="DF1" s="114"/>
      <c r="DG1" s="114"/>
      <c r="DH1" s="114"/>
      <c r="DI1" s="114"/>
      <c r="DJ1" s="114"/>
      <c r="DK1" s="114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114"/>
      <c r="EO1" s="114"/>
      <c r="EP1" s="2"/>
      <c r="EQ1" s="114"/>
    </row>
    <row r="2" spans="1:158" ht="16.5" thickBot="1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6"/>
      <c r="AB2" s="117"/>
      <c r="AC2" s="118" t="s">
        <v>125</v>
      </c>
      <c r="AD2" s="119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6"/>
      <c r="BE2" s="117"/>
      <c r="BF2" s="120" t="s">
        <v>126</v>
      </c>
      <c r="BG2" s="121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123"/>
      <c r="CH2" s="120" t="s">
        <v>127</v>
      </c>
      <c r="CI2" s="124"/>
      <c r="CJ2" s="125"/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16"/>
      <c r="DK2" s="120" t="s">
        <v>128</v>
      </c>
      <c r="DL2" s="126"/>
      <c r="DM2" s="117"/>
      <c r="DN2" s="115"/>
      <c r="DO2" s="115"/>
      <c r="DP2" s="115"/>
      <c r="DQ2" s="115"/>
      <c r="DR2" s="115"/>
      <c r="DS2" s="115"/>
      <c r="DT2" s="115"/>
      <c r="DU2" s="115"/>
      <c r="DV2" s="115"/>
      <c r="DW2" s="115"/>
      <c r="DX2" s="115"/>
      <c r="DY2" s="115"/>
      <c r="DZ2" s="115"/>
      <c r="EA2" s="115"/>
      <c r="EB2" s="115"/>
      <c r="EC2" s="115"/>
      <c r="ED2" s="115"/>
      <c r="EE2" s="115"/>
      <c r="EF2" s="115"/>
      <c r="EG2" s="115"/>
      <c r="EH2" s="115"/>
      <c r="EI2" s="115"/>
      <c r="EJ2" s="115"/>
      <c r="EK2" s="115"/>
      <c r="EL2" s="115"/>
      <c r="EM2" s="123"/>
      <c r="EP2" s="127" t="s">
        <v>50</v>
      </c>
      <c r="EQ2" s="78"/>
      <c r="ES2" s="128" t="s">
        <v>129</v>
      </c>
    </row>
    <row r="3" spans="1:158" s="128" customFormat="1" ht="15.75" thickBot="1">
      <c r="A3" s="129"/>
      <c r="B3" s="130" t="s">
        <v>84</v>
      </c>
      <c r="C3" s="130" t="s">
        <v>56</v>
      </c>
      <c r="D3" s="130" t="s">
        <v>57</v>
      </c>
      <c r="E3" s="130" t="s">
        <v>58</v>
      </c>
      <c r="F3" s="130" t="s">
        <v>59</v>
      </c>
      <c r="G3" s="130" t="s">
        <v>60</v>
      </c>
      <c r="H3" s="130" t="s">
        <v>61</v>
      </c>
      <c r="I3" s="130" t="s">
        <v>62</v>
      </c>
      <c r="J3" s="130" t="s">
        <v>63</v>
      </c>
      <c r="K3" s="130" t="s">
        <v>64</v>
      </c>
      <c r="L3" s="130" t="s">
        <v>65</v>
      </c>
      <c r="M3" s="130" t="s">
        <v>66</v>
      </c>
      <c r="N3" s="130" t="s">
        <v>67</v>
      </c>
      <c r="O3" s="130" t="s">
        <v>68</v>
      </c>
      <c r="P3" s="130" t="s">
        <v>69</v>
      </c>
      <c r="Q3" s="130" t="s">
        <v>70</v>
      </c>
      <c r="R3" s="130" t="s">
        <v>71</v>
      </c>
      <c r="S3" s="130" t="s">
        <v>72</v>
      </c>
      <c r="T3" s="130" t="s">
        <v>73</v>
      </c>
      <c r="U3" s="130" t="s">
        <v>74</v>
      </c>
      <c r="V3" s="130" t="s">
        <v>75</v>
      </c>
      <c r="W3" s="130" t="s">
        <v>76</v>
      </c>
      <c r="X3" s="130" t="s">
        <v>77</v>
      </c>
      <c r="Y3" s="130" t="s">
        <v>78</v>
      </c>
      <c r="Z3" s="130" t="s">
        <v>79</v>
      </c>
      <c r="AA3" s="130" t="s">
        <v>80</v>
      </c>
      <c r="AB3" s="130" t="s">
        <v>81</v>
      </c>
      <c r="AC3" s="130" t="s">
        <v>82</v>
      </c>
      <c r="AD3" s="131" t="s">
        <v>130</v>
      </c>
      <c r="AE3" s="132" t="s">
        <v>84</v>
      </c>
      <c r="AF3" s="133" t="s">
        <v>56</v>
      </c>
      <c r="AG3" s="133" t="s">
        <v>57</v>
      </c>
      <c r="AH3" s="133" t="s">
        <v>58</v>
      </c>
      <c r="AI3" s="133" t="s">
        <v>59</v>
      </c>
      <c r="AJ3" s="133" t="s">
        <v>60</v>
      </c>
      <c r="AK3" s="133" t="s">
        <v>61</v>
      </c>
      <c r="AL3" s="133" t="s">
        <v>62</v>
      </c>
      <c r="AM3" s="133" t="s">
        <v>63</v>
      </c>
      <c r="AN3" s="133" t="s">
        <v>64</v>
      </c>
      <c r="AO3" s="133" t="s">
        <v>65</v>
      </c>
      <c r="AP3" s="133" t="s">
        <v>66</v>
      </c>
      <c r="AQ3" s="133" t="s">
        <v>67</v>
      </c>
      <c r="AR3" s="133" t="s">
        <v>68</v>
      </c>
      <c r="AS3" s="133" t="s">
        <v>69</v>
      </c>
      <c r="AT3" s="133" t="s">
        <v>70</v>
      </c>
      <c r="AU3" s="133" t="s">
        <v>71</v>
      </c>
      <c r="AV3" s="133" t="s">
        <v>72</v>
      </c>
      <c r="AW3" s="133" t="s">
        <v>73</v>
      </c>
      <c r="AX3" s="133" t="s">
        <v>74</v>
      </c>
      <c r="AY3" s="133" t="s">
        <v>75</v>
      </c>
      <c r="AZ3" s="133" t="s">
        <v>76</v>
      </c>
      <c r="BA3" s="133" t="s">
        <v>77</v>
      </c>
      <c r="BB3" s="133" t="s">
        <v>78</v>
      </c>
      <c r="BC3" s="133" t="s">
        <v>79</v>
      </c>
      <c r="BD3" s="133" t="s">
        <v>80</v>
      </c>
      <c r="BE3" s="133" t="s">
        <v>81</v>
      </c>
      <c r="BF3" s="133" t="s">
        <v>82</v>
      </c>
      <c r="BG3" s="131" t="s">
        <v>131</v>
      </c>
      <c r="BH3" s="133" t="s">
        <v>84</v>
      </c>
      <c r="BI3" s="133" t="s">
        <v>56</v>
      </c>
      <c r="BJ3" s="133" t="s">
        <v>57</v>
      </c>
      <c r="BK3" s="133" t="s">
        <v>58</v>
      </c>
      <c r="BL3" s="133" t="s">
        <v>59</v>
      </c>
      <c r="BM3" s="133" t="s">
        <v>60</v>
      </c>
      <c r="BN3" s="133" t="s">
        <v>61</v>
      </c>
      <c r="BO3" s="133" t="s">
        <v>62</v>
      </c>
      <c r="BP3" s="133" t="s">
        <v>63</v>
      </c>
      <c r="BQ3" s="133" t="s">
        <v>64</v>
      </c>
      <c r="BR3" s="133" t="s">
        <v>65</v>
      </c>
      <c r="BS3" s="133" t="s">
        <v>66</v>
      </c>
      <c r="BT3" s="133" t="s">
        <v>67</v>
      </c>
      <c r="BU3" s="133" t="s">
        <v>68</v>
      </c>
      <c r="BV3" s="133" t="s">
        <v>69</v>
      </c>
      <c r="BW3" s="133" t="s">
        <v>70</v>
      </c>
      <c r="BX3" s="133" t="s">
        <v>71</v>
      </c>
      <c r="BY3" s="133" t="s">
        <v>72</v>
      </c>
      <c r="BZ3" s="133" t="s">
        <v>73</v>
      </c>
      <c r="CA3" s="133" t="s">
        <v>74</v>
      </c>
      <c r="CB3" s="133" t="s">
        <v>75</v>
      </c>
      <c r="CC3" s="133" t="s">
        <v>76</v>
      </c>
      <c r="CD3" s="133" t="s">
        <v>77</v>
      </c>
      <c r="CE3" s="133" t="s">
        <v>78</v>
      </c>
      <c r="CF3" s="133" t="s">
        <v>79</v>
      </c>
      <c r="CG3" s="133" t="s">
        <v>80</v>
      </c>
      <c r="CH3" s="133" t="s">
        <v>81</v>
      </c>
      <c r="CI3" s="133" t="s">
        <v>82</v>
      </c>
      <c r="CJ3" s="131" t="s">
        <v>132</v>
      </c>
      <c r="CK3" s="133" t="s">
        <v>84</v>
      </c>
      <c r="CL3" s="133" t="s">
        <v>56</v>
      </c>
      <c r="CM3" s="133" t="s">
        <v>57</v>
      </c>
      <c r="CN3" s="133" t="s">
        <v>58</v>
      </c>
      <c r="CO3" s="133" t="s">
        <v>59</v>
      </c>
      <c r="CP3" s="133" t="s">
        <v>60</v>
      </c>
      <c r="CQ3" s="133" t="s">
        <v>61</v>
      </c>
      <c r="CR3" s="133" t="s">
        <v>62</v>
      </c>
      <c r="CS3" s="133" t="s">
        <v>63</v>
      </c>
      <c r="CT3" s="133" t="s">
        <v>64</v>
      </c>
      <c r="CU3" s="133" t="s">
        <v>65</v>
      </c>
      <c r="CV3" s="133" t="s">
        <v>66</v>
      </c>
      <c r="CW3" s="133" t="s">
        <v>67</v>
      </c>
      <c r="CX3" s="133" t="s">
        <v>68</v>
      </c>
      <c r="CY3" s="133" t="s">
        <v>69</v>
      </c>
      <c r="CZ3" s="133" t="s">
        <v>70</v>
      </c>
      <c r="DA3" s="133" t="s">
        <v>71</v>
      </c>
      <c r="DB3" s="133" t="s">
        <v>72</v>
      </c>
      <c r="DC3" s="133" t="s">
        <v>73</v>
      </c>
      <c r="DD3" s="133" t="s">
        <v>74</v>
      </c>
      <c r="DE3" s="133" t="s">
        <v>75</v>
      </c>
      <c r="DF3" s="133" t="s">
        <v>76</v>
      </c>
      <c r="DG3" s="133" t="s">
        <v>77</v>
      </c>
      <c r="DH3" s="133" t="s">
        <v>78</v>
      </c>
      <c r="DI3" s="133" t="s">
        <v>79</v>
      </c>
      <c r="DJ3" s="133" t="s">
        <v>80</v>
      </c>
      <c r="DK3" s="133" t="s">
        <v>81</v>
      </c>
      <c r="DL3" s="133" t="s">
        <v>82</v>
      </c>
      <c r="DM3" s="131" t="s">
        <v>132</v>
      </c>
      <c r="DN3" s="133" t="s">
        <v>84</v>
      </c>
      <c r="DO3" s="133" t="s">
        <v>56</v>
      </c>
      <c r="DP3" s="133" t="s">
        <v>57</v>
      </c>
      <c r="DQ3" s="133" t="s">
        <v>58</v>
      </c>
      <c r="DR3" s="133" t="s">
        <v>59</v>
      </c>
      <c r="DS3" s="133" t="s">
        <v>60</v>
      </c>
      <c r="DT3" s="133" t="s">
        <v>61</v>
      </c>
      <c r="DU3" s="133" t="s">
        <v>62</v>
      </c>
      <c r="DV3" s="133" t="s">
        <v>63</v>
      </c>
      <c r="DW3" s="133" t="s">
        <v>64</v>
      </c>
      <c r="DX3" s="134" t="s">
        <v>65</v>
      </c>
      <c r="DY3" s="134" t="s">
        <v>66</v>
      </c>
      <c r="DZ3" s="134" t="s">
        <v>67</v>
      </c>
      <c r="EA3" s="134" t="s">
        <v>68</v>
      </c>
      <c r="EB3" s="134" t="s">
        <v>69</v>
      </c>
      <c r="EC3" s="134" t="s">
        <v>70</v>
      </c>
      <c r="ED3" s="134" t="s">
        <v>71</v>
      </c>
      <c r="EE3" s="134" t="s">
        <v>72</v>
      </c>
      <c r="EF3" s="134" t="s">
        <v>73</v>
      </c>
      <c r="EG3" s="134" t="s">
        <v>74</v>
      </c>
      <c r="EH3" s="134" t="s">
        <v>75</v>
      </c>
      <c r="EI3" s="134" t="s">
        <v>76</v>
      </c>
      <c r="EJ3" s="134" t="s">
        <v>77</v>
      </c>
      <c r="EK3" s="134" t="s">
        <v>78</v>
      </c>
      <c r="EL3" s="134" t="s">
        <v>79</v>
      </c>
      <c r="EM3" s="134" t="s">
        <v>80</v>
      </c>
      <c r="EN3" s="134" t="s">
        <v>81</v>
      </c>
      <c r="EO3" s="134" t="s">
        <v>82</v>
      </c>
      <c r="EP3" s="134" t="s">
        <v>132</v>
      </c>
      <c r="EQ3" s="135" t="s">
        <v>133</v>
      </c>
      <c r="ES3" s="136" t="str">
        <f>EO3</f>
        <v>2020/21</v>
      </c>
      <c r="ET3" s="136" t="str">
        <f>EP3</f>
        <v xml:space="preserve">2021/22 </v>
      </c>
    </row>
    <row r="4" spans="1:158">
      <c r="A4" s="137" t="s">
        <v>134</v>
      </c>
      <c r="B4" s="138" t="s">
        <v>135</v>
      </c>
      <c r="C4" s="138" t="s">
        <v>135</v>
      </c>
      <c r="D4" s="138" t="s">
        <v>135</v>
      </c>
      <c r="E4" s="138" t="s">
        <v>135</v>
      </c>
      <c r="F4" s="138" t="s">
        <v>135</v>
      </c>
      <c r="G4" s="138" t="s">
        <v>135</v>
      </c>
      <c r="H4" s="138" t="s">
        <v>135</v>
      </c>
      <c r="I4" s="138" t="s">
        <v>135</v>
      </c>
      <c r="J4" s="138" t="s">
        <v>135</v>
      </c>
      <c r="K4" s="138" t="s">
        <v>135</v>
      </c>
      <c r="L4" s="138" t="s">
        <v>135</v>
      </c>
      <c r="M4" s="138" t="s">
        <v>135</v>
      </c>
      <c r="N4" s="138" t="s">
        <v>135</v>
      </c>
      <c r="O4" s="138" t="s">
        <v>135</v>
      </c>
      <c r="P4" s="139" t="s">
        <v>135</v>
      </c>
      <c r="Q4" s="139" t="s">
        <v>135</v>
      </c>
      <c r="R4" s="139" t="s">
        <v>135</v>
      </c>
      <c r="S4" s="139" t="s">
        <v>135</v>
      </c>
      <c r="T4" s="139" t="s">
        <v>135</v>
      </c>
      <c r="U4" s="139" t="s">
        <v>135</v>
      </c>
      <c r="V4" s="139" t="s">
        <v>135</v>
      </c>
      <c r="W4" s="139" t="s">
        <v>135</v>
      </c>
      <c r="X4" s="139" t="s">
        <v>135</v>
      </c>
      <c r="Y4" s="139" t="s">
        <v>135</v>
      </c>
      <c r="Z4" s="139" t="s">
        <v>135</v>
      </c>
      <c r="AA4" s="139" t="s">
        <v>135</v>
      </c>
      <c r="AB4" s="139" t="s">
        <v>135</v>
      </c>
      <c r="AC4" s="139" t="s">
        <v>135</v>
      </c>
      <c r="AD4" s="140" t="s">
        <v>135</v>
      </c>
      <c r="AE4" s="139" t="s">
        <v>135</v>
      </c>
      <c r="AF4" s="139" t="s">
        <v>135</v>
      </c>
      <c r="AG4" s="139" t="s">
        <v>135</v>
      </c>
      <c r="AH4" s="139" t="s">
        <v>135</v>
      </c>
      <c r="AI4" s="139" t="s">
        <v>135</v>
      </c>
      <c r="AJ4" s="139" t="s">
        <v>135</v>
      </c>
      <c r="AK4" s="139" t="s">
        <v>135</v>
      </c>
      <c r="AL4" s="139" t="s">
        <v>135</v>
      </c>
      <c r="AM4" s="139" t="s">
        <v>135</v>
      </c>
      <c r="AN4" s="139" t="s">
        <v>135</v>
      </c>
      <c r="AO4" s="139" t="s">
        <v>135</v>
      </c>
      <c r="AP4" s="139" t="s">
        <v>135</v>
      </c>
      <c r="AQ4" s="139" t="s">
        <v>135</v>
      </c>
      <c r="AR4" s="139" t="s">
        <v>135</v>
      </c>
      <c r="AS4" s="139" t="s">
        <v>135</v>
      </c>
      <c r="AT4" s="139" t="s">
        <v>135</v>
      </c>
      <c r="AU4" s="139" t="s">
        <v>135</v>
      </c>
      <c r="AV4" s="139" t="s">
        <v>135</v>
      </c>
      <c r="AW4" s="139" t="s">
        <v>135</v>
      </c>
      <c r="AX4" s="139" t="s">
        <v>135</v>
      </c>
      <c r="AY4" s="139" t="s">
        <v>135</v>
      </c>
      <c r="AZ4" s="139" t="s">
        <v>135</v>
      </c>
      <c r="BA4" s="139" t="s">
        <v>135</v>
      </c>
      <c r="BB4" s="139" t="s">
        <v>135</v>
      </c>
      <c r="BC4" s="141">
        <f>'[2]Ukraine Sunflower Exports'!Z$4</f>
        <v>30.812584000000001</v>
      </c>
      <c r="BD4" s="141">
        <f>'[2]Ukraine Sunflower Exports'!AA$4</f>
        <v>26.869123000000002</v>
      </c>
      <c r="BE4" s="141">
        <f>'[2]Ukraine Sunflower Exports'!AB$4</f>
        <v>27.195027</v>
      </c>
      <c r="BF4" s="141">
        <f>'[2]Ukraine Sunflower Exports'!AC$4</f>
        <v>134.49693200000002</v>
      </c>
      <c r="BG4" s="141">
        <f>'[2]Ukraine Sunflower Exports'!AD$4-4</f>
        <v>1185.0939999999998</v>
      </c>
      <c r="BH4" s="141">
        <f>'[2]Russia Sunflower Exports'!B$4</f>
        <v>0</v>
      </c>
      <c r="BI4" s="141">
        <f>'[2]Russia Sunflower Exports'!C$4</f>
        <v>0</v>
      </c>
      <c r="BJ4" s="141">
        <f>'[2]Russia Sunflower Exports'!D$4</f>
        <v>0</v>
      </c>
      <c r="BK4" s="141">
        <f>'[2]Russia Sunflower Exports'!E$4</f>
        <v>267.42386200000004</v>
      </c>
      <c r="BL4" s="141">
        <f>'[2]Russia Sunflower Exports'!F$4</f>
        <v>582.14834799999994</v>
      </c>
      <c r="BM4" s="141">
        <f>'[2]Russia Sunflower Exports'!G$4</f>
        <v>492.249349</v>
      </c>
      <c r="BN4" s="141">
        <f>'[2]Russia Sunflower Exports'!H$4</f>
        <v>515.13035400000001</v>
      </c>
      <c r="BO4" s="141">
        <f>'[2]Russia Sunflower Exports'!I$4</f>
        <v>387.58348400000006</v>
      </c>
      <c r="BP4" s="141">
        <f>'[2]Russia Sunflower Exports'!J$4</f>
        <v>8.5918799999999997</v>
      </c>
      <c r="BQ4" s="141">
        <f>'[2]Russia Sunflower Exports'!K$4</f>
        <v>71.004999999999995</v>
      </c>
      <c r="BR4" s="141">
        <f>'[2]Russia Sunflower Exports'!L$4</f>
        <v>153.65499999999997</v>
      </c>
      <c r="BS4" s="141">
        <f>'[2]Russia Sunflower Exports'!M$4</f>
        <v>8.1609999999999996</v>
      </c>
      <c r="BT4" s="141">
        <f>'[2]Russia Sunflower Exports'!N$4</f>
        <v>194.68200000000002</v>
      </c>
      <c r="BU4" s="141">
        <f>'[2]Russia Sunflower Exports'!O$4</f>
        <v>97.45</v>
      </c>
      <c r="BV4" s="141">
        <f>'[2]Russia Sunflower Exports'!P$4</f>
        <v>5.7280000000000006</v>
      </c>
      <c r="BW4" s="141">
        <f>'[2]Russia Sunflower Exports'!Q$4</f>
        <v>10.035</v>
      </c>
      <c r="BX4" s="141">
        <f>'[2]Russia Sunflower Exports'!R$4</f>
        <v>0.01</v>
      </c>
      <c r="BY4" s="141">
        <f>'[2]Russia Sunflower Exports'!S$4</f>
        <v>7.5999999999999998E-2</v>
      </c>
      <c r="BZ4" s="141">
        <f>'[2]Russia Sunflower Exports'!T$4</f>
        <v>36.979999999999997</v>
      </c>
      <c r="CA4" s="141">
        <f>'[2]Russia Sunflower Exports'!U$4</f>
        <v>5.4559999999999995</v>
      </c>
      <c r="CB4" s="141">
        <f>'[2]Russia Sunflower Exports'!V$4</f>
        <v>11.554</v>
      </c>
      <c r="CC4" s="141">
        <f>'[2]Russia Sunflower Exports'!W$4</f>
        <v>1.2869999999999999</v>
      </c>
      <c r="CD4" s="141">
        <f>'[2]Russia Sunflower Exports'!X$4</f>
        <v>7.7339999999999991</v>
      </c>
      <c r="CE4" s="141">
        <f>'[2]Russia Sunflower Exports'!Y$4</f>
        <v>43.844000000000001</v>
      </c>
      <c r="CF4" s="141">
        <f>'[2]Russia Sunflower Exports'!Z$4</f>
        <v>2.0906850000000001</v>
      </c>
      <c r="CG4" s="142">
        <f>'[2]Russia Sunflower Exports'!AA$4</f>
        <v>13.435509000000003</v>
      </c>
      <c r="CH4" s="141">
        <f>'[2]Russia Sunflower Exports'!AB$4</f>
        <v>469.46619499999997</v>
      </c>
      <c r="CI4" s="141">
        <f>'[2]Russia Sunflower Exports'!AC$4</f>
        <v>282.24272200000001</v>
      </c>
      <c r="CJ4" s="143">
        <f>'[2]Russia Sunflower Exports'!AD$4-0.7</f>
        <v>1.50322</v>
      </c>
      <c r="CK4" s="141">
        <f>'[3]Sunflower Exports'!B$4/2204.622*1000</f>
        <v>67.197800000000015</v>
      </c>
      <c r="CL4" s="141">
        <f>'[3]Sunflower Exports'!C$4/2204.622*1000</f>
        <v>246.99170000000001</v>
      </c>
      <c r="CM4" s="141">
        <f>'[3]Sunflower Exports'!D$4/2204.622*1000</f>
        <v>190.27810000000002</v>
      </c>
      <c r="CN4" s="141">
        <f>'[3]Sunflower Exports'!E$4/2204.622*1000</f>
        <v>109.6313</v>
      </c>
      <c r="CO4" s="141">
        <f>'[3]Sunflower Exports'!F$4/2204.622*1000</f>
        <v>111.0137</v>
      </c>
      <c r="CP4" s="141">
        <f>'[3]Sunflower Exports'!G$4/2204.622*1000</f>
        <v>200.22140000000002</v>
      </c>
      <c r="CQ4" s="141">
        <f>'[3]Sunflower Exports'!H$4/2204.622*1000</f>
        <v>148.69490000000002</v>
      </c>
      <c r="CR4" s="141">
        <f>'[3]Sunflower Exports'!I$4/2204.622*1000</f>
        <v>127.37469999999998</v>
      </c>
      <c r="CS4" s="141">
        <f>'[3]Sunflower Exports'!J$4/2204.622*1000</f>
        <v>168.27310000000008</v>
      </c>
      <c r="CT4" s="141">
        <f>'[3]Sunflower Exports'!K$4/2204.622*1000</f>
        <v>111.59700000000001</v>
      </c>
      <c r="CU4" s="141">
        <f>'[3]Sunflower Exports'!L$4/2204.622*1000</f>
        <v>115.90380000000005</v>
      </c>
      <c r="CV4" s="141">
        <f>'[3]Sunflower Exports'!M$4/2204.622*1000</f>
        <v>82.442600000000013</v>
      </c>
      <c r="CW4" s="141">
        <f>'[3]Sunflower Exports'!N$4/2204.622*1000</f>
        <v>95.857800000000012</v>
      </c>
      <c r="CX4" s="141">
        <f>'[3]Sunflower Exports'!O$4/2204.622*1000</f>
        <v>101.36200000000001</v>
      </c>
      <c r="CY4" s="141">
        <f>'[3]Sunflower Exports'!P$4/2204.622*1000</f>
        <v>116.92580000000004</v>
      </c>
      <c r="CZ4" s="141">
        <f>'[3]Sunflower Exports'!Q$4/2204.622*1000</f>
        <v>94.252300000000005</v>
      </c>
      <c r="DA4" s="141">
        <f>'[3]Sunflower Exports'!R$4/2204.622*1000</f>
        <v>84.644599999999997</v>
      </c>
      <c r="DB4" s="141">
        <f>'[3]Sunflower Exports'!S$4/2204.622*1000</f>
        <v>81.783599999999993</v>
      </c>
      <c r="DC4" s="141">
        <f>'[3]Sunflower Exports'!T$4/2204.622*1000</f>
        <v>32.238099999999996</v>
      </c>
      <c r="DD4" s="141">
        <f>'[3]Sunflower Exports'!U$4/2204.622*1000</f>
        <v>39.759200000000007</v>
      </c>
      <c r="DE4" s="141">
        <f>'[3]Sunflower Exports'!V$4/2204.622*1000</f>
        <v>38.992699999999999</v>
      </c>
      <c r="DF4" s="141">
        <f>'[3]Sunflower Exports'!W$4/2204.622*1000</f>
        <v>37.864399999999996</v>
      </c>
      <c r="DG4" s="141">
        <f>'[3]Sunflower Exports'!X$4/2204.622*1000</f>
        <v>27.554400000000005</v>
      </c>
      <c r="DH4" s="141">
        <f>'[3]Sunflower Exports'!Y$4/2204.622*1000</f>
        <v>24.538653131965486</v>
      </c>
      <c r="DI4" s="141">
        <f>'[3]Sunflower Exports'!Z$4/2204.622*1000</f>
        <v>37.055206384042258</v>
      </c>
      <c r="DJ4" s="141">
        <f>'[3]Sunflower Exports'!AA$4/2204.622*1000</f>
        <v>41.343434493822521</v>
      </c>
      <c r="DK4" s="141">
        <f>'[3]Sunflower Exports'!AB$4/2204.622*1000</f>
        <v>28.380399253704262</v>
      </c>
      <c r="DL4" s="141">
        <f>'[3]Sunflower Exports'!AC$4/2204.622*1000</f>
        <v>27.183125185006773</v>
      </c>
      <c r="DM4" s="144">
        <v>29</v>
      </c>
      <c r="DN4" s="141">
        <f t="shared" ref="DN4:EC40" si="0">SUM(B4,AE4,BH4,CK4)</f>
        <v>67.197800000000015</v>
      </c>
      <c r="DO4" s="141">
        <f t="shared" si="0"/>
        <v>246.99170000000001</v>
      </c>
      <c r="DP4" s="141">
        <f t="shared" si="0"/>
        <v>190.27810000000002</v>
      </c>
      <c r="DQ4" s="141">
        <f t="shared" si="0"/>
        <v>377.05516200000005</v>
      </c>
      <c r="DR4" s="141">
        <f t="shared" si="0"/>
        <v>693.16204799999991</v>
      </c>
      <c r="DS4" s="141">
        <f t="shared" si="0"/>
        <v>692.47074900000007</v>
      </c>
      <c r="DT4" s="141">
        <f t="shared" si="0"/>
        <v>663.82525400000009</v>
      </c>
      <c r="DU4" s="141">
        <f t="shared" si="0"/>
        <v>514.95818400000007</v>
      </c>
      <c r="DV4" s="141">
        <f t="shared" si="0"/>
        <v>176.86498000000009</v>
      </c>
      <c r="DW4" s="141">
        <f t="shared" si="0"/>
        <v>182.602</v>
      </c>
      <c r="DX4" s="141">
        <f t="shared" si="0"/>
        <v>269.55880000000002</v>
      </c>
      <c r="DY4" s="141">
        <f t="shared" si="0"/>
        <v>90.603600000000014</v>
      </c>
      <c r="DZ4" s="141">
        <f t="shared" si="0"/>
        <v>290.53980000000001</v>
      </c>
      <c r="EA4" s="141">
        <f t="shared" si="0"/>
        <v>198.81200000000001</v>
      </c>
      <c r="EB4" s="141">
        <f t="shared" si="0"/>
        <v>122.65380000000003</v>
      </c>
      <c r="EC4" s="141">
        <f t="shared" si="0"/>
        <v>104.2873</v>
      </c>
      <c r="ED4" s="141">
        <f t="shared" ref="ED4:EP40" si="1">SUM(R4,AU4,BX4,DA4)</f>
        <v>84.654600000000002</v>
      </c>
      <c r="EE4" s="141">
        <f t="shared" si="1"/>
        <v>81.859599999999986</v>
      </c>
      <c r="EF4" s="141">
        <f t="shared" si="1"/>
        <v>69.218099999999993</v>
      </c>
      <c r="EG4" s="141">
        <f t="shared" si="1"/>
        <v>45.21520000000001</v>
      </c>
      <c r="EH4" s="141">
        <f t="shared" si="1"/>
        <v>50.546700000000001</v>
      </c>
      <c r="EI4" s="141">
        <f t="shared" si="1"/>
        <v>39.151399999999995</v>
      </c>
      <c r="EJ4" s="141">
        <f t="shared" si="1"/>
        <v>35.288400000000003</v>
      </c>
      <c r="EK4" s="141">
        <f t="shared" si="1"/>
        <v>68.382653131965483</v>
      </c>
      <c r="EL4" s="141">
        <f t="shared" si="1"/>
        <v>69.958475384042259</v>
      </c>
      <c r="EM4" s="141">
        <f t="shared" si="1"/>
        <v>81.648066493822526</v>
      </c>
      <c r="EN4" s="141">
        <f t="shared" si="1"/>
        <v>525.04162125370419</v>
      </c>
      <c r="EO4" s="141">
        <f t="shared" si="1"/>
        <v>443.92277918500679</v>
      </c>
      <c r="EP4" s="145">
        <f>'EU Sun Complex'!AD10-425-100</f>
        <v>622.93807200000015</v>
      </c>
      <c r="EQ4" s="145">
        <v>25</v>
      </c>
      <c r="ES4" s="141">
        <f>SUM(BF4+CI4+DL4)-EO4</f>
        <v>0</v>
      </c>
      <c r="ET4" s="141">
        <f>SUM(BG4+CJ4+DM4)-EP4</f>
        <v>592.65914799999973</v>
      </c>
      <c r="EV4" s="141"/>
      <c r="EW4" s="141"/>
      <c r="FB4" s="107"/>
    </row>
    <row r="5" spans="1:158">
      <c r="A5" s="137" t="s">
        <v>136</v>
      </c>
      <c r="B5" s="146">
        <f>'[2]EU Sunflower Exports'!B$37</f>
        <v>0</v>
      </c>
      <c r="C5" s="146">
        <f>'[2]EU Sunflower Exports'!C$37</f>
        <v>0</v>
      </c>
      <c r="D5" s="146">
        <f>'[2]EU Sunflower Exports'!D$37</f>
        <v>0</v>
      </c>
      <c r="E5" s="146">
        <f>'[2]EU Sunflower Exports'!E$37</f>
        <v>4.5589999999999993</v>
      </c>
      <c r="F5" s="146">
        <f>'[2]EU Sunflower Exports'!F$37</f>
        <v>10.732999999999999</v>
      </c>
      <c r="G5" s="146">
        <f>'[2]EU Sunflower Exports'!G$37</f>
        <v>18.754999999999999</v>
      </c>
      <c r="H5" s="146">
        <f>'[2]EU Sunflower Exports'!H$37</f>
        <v>47.059999999999995</v>
      </c>
      <c r="I5" s="146">
        <f>'[2]EU Sunflower Exports'!I$37</f>
        <v>13.095999999999997</v>
      </c>
      <c r="J5" s="146">
        <f>'[2]EU Sunflower Exports'!J$37</f>
        <v>11.868</v>
      </c>
      <c r="K5" s="146">
        <f>'[2]EU Sunflower Exports'!K$37</f>
        <v>16.057000000000002</v>
      </c>
      <c r="L5" s="146">
        <f>'[2]EU Sunflower Exports'!L$37</f>
        <v>33.338000000000008</v>
      </c>
      <c r="M5" s="146">
        <f>'[2]EU Sunflower Exports'!M$37</f>
        <v>42.931999999999995</v>
      </c>
      <c r="N5" s="146">
        <f>'[2]EU Sunflower Exports'!N$37</f>
        <v>37.046999999999997</v>
      </c>
      <c r="O5" s="146">
        <f>'[2]EU Sunflower Exports'!O$37</f>
        <v>87.88000000000001</v>
      </c>
      <c r="P5" s="141">
        <f>'[2]EU Sunflower Exports'!P$37</f>
        <v>53.337999999999994</v>
      </c>
      <c r="Q5" s="141">
        <f>'[2]EU Sunflower Exports'!Q$37</f>
        <v>110.976</v>
      </c>
      <c r="R5" s="141">
        <f>'[2]EU Sunflower Exports'!R$37</f>
        <v>89.668000000000006</v>
      </c>
      <c r="S5" s="141">
        <f>'[2]EU Sunflower Exports'!S$37</f>
        <v>103.95399999999999</v>
      </c>
      <c r="T5" s="141">
        <f>'[2]EU Sunflower Exports'!T$37</f>
        <v>103.02200000000002</v>
      </c>
      <c r="U5" s="141">
        <f>'[2]EU Sunflower Exports'!U$37</f>
        <v>72.125999999999991</v>
      </c>
      <c r="V5" s="141">
        <f>'[2]EU Sunflower Exports'!V$37</f>
        <v>56.506</v>
      </c>
      <c r="W5" s="141">
        <f>'[2]EU Sunflower Exports'!W$37</f>
        <v>49.466000000000001</v>
      </c>
      <c r="X5" s="141">
        <f>'[2]EU Sunflower Exports'!X$37</f>
        <v>60.716000000000001</v>
      </c>
      <c r="Y5" s="141">
        <f>'[2]EU Sunflower Exports'!Y$37</f>
        <v>42.948999999999998</v>
      </c>
      <c r="Z5" s="141">
        <f>'[2]EU Sunflower Exports'!Z$37</f>
        <v>119.04999999999998</v>
      </c>
      <c r="AA5" s="141">
        <f>'[2]EU Sunflower Exports'!AA$37</f>
        <v>32.701000000000001</v>
      </c>
      <c r="AB5" s="141">
        <f>'[2]EU Sunflower Exports'!AB$37</f>
        <v>70.679999999999993</v>
      </c>
      <c r="AC5" s="141">
        <f>'[2]EU Sunflower Exports'!AC$37</f>
        <v>82.082999999999998</v>
      </c>
      <c r="AD5" s="143">
        <f>55-5</f>
        <v>50</v>
      </c>
      <c r="AE5" s="141">
        <v>55</v>
      </c>
      <c r="AF5" s="141">
        <v>55</v>
      </c>
      <c r="AG5" s="141">
        <v>55</v>
      </c>
      <c r="AH5" s="141">
        <v>55</v>
      </c>
      <c r="AI5" s="141">
        <v>55</v>
      </c>
      <c r="AJ5" s="141">
        <v>55</v>
      </c>
      <c r="AK5" s="141">
        <v>55</v>
      </c>
      <c r="AL5" s="141">
        <v>55</v>
      </c>
      <c r="AM5" s="141">
        <v>55</v>
      </c>
      <c r="AN5" s="141">
        <v>55</v>
      </c>
      <c r="AO5" s="141">
        <v>55</v>
      </c>
      <c r="AP5" s="141">
        <v>55</v>
      </c>
      <c r="AQ5" s="141">
        <v>55</v>
      </c>
      <c r="AR5" s="141">
        <v>55</v>
      </c>
      <c r="AS5" s="141">
        <v>55</v>
      </c>
      <c r="AT5" s="141">
        <v>55</v>
      </c>
      <c r="AU5" s="141">
        <v>55</v>
      </c>
      <c r="AV5" s="141">
        <v>55</v>
      </c>
      <c r="AW5" s="141">
        <v>55</v>
      </c>
      <c r="AX5" s="141">
        <v>55</v>
      </c>
      <c r="AY5" s="141">
        <v>55</v>
      </c>
      <c r="AZ5" s="141">
        <v>55</v>
      </c>
      <c r="BA5" s="141">
        <v>55</v>
      </c>
      <c r="BB5" s="141">
        <v>55</v>
      </c>
      <c r="BC5" s="141">
        <f>'[2]Ukraine Sunflower Exports'!Z$37</f>
        <v>5.3999999999999999E-2</v>
      </c>
      <c r="BD5" s="141">
        <f>'[2]Ukraine Sunflower Exports'!AA$37</f>
        <v>5.4913000000000003E-2</v>
      </c>
      <c r="BE5" s="141">
        <f>'[2]Ukraine Sunflower Exports'!AB$37</f>
        <v>1.278E-2</v>
      </c>
      <c r="BF5" s="141">
        <f>'[2]Ukraine Sunflower Exports'!AC$37</f>
        <v>1.0189999999999999E-2</v>
      </c>
      <c r="BG5" s="143">
        <f>'[2]Ukraine Sunflower Exports'!AD$37</f>
        <v>5.1630000000000003</v>
      </c>
      <c r="BH5" s="141">
        <f>'[2]Russia Sunflower Exports'!B$37</f>
        <v>0</v>
      </c>
      <c r="BI5" s="141">
        <f>'[2]Russia Sunflower Exports'!C$37</f>
        <v>0</v>
      </c>
      <c r="BJ5" s="141">
        <f>'[2]Russia Sunflower Exports'!D$37</f>
        <v>0</v>
      </c>
      <c r="BK5" s="141">
        <f>'[2]Russia Sunflower Exports'!E$37</f>
        <v>20.93205</v>
      </c>
      <c r="BL5" s="141">
        <f>'[2]Russia Sunflower Exports'!F$37</f>
        <v>8.7296700000000005</v>
      </c>
      <c r="BM5" s="141">
        <f>'[2]Russia Sunflower Exports'!G$37</f>
        <v>26.429939999999998</v>
      </c>
      <c r="BN5" s="141">
        <f>'[2]Russia Sunflower Exports'!H$37</f>
        <v>10.417956</v>
      </c>
      <c r="BO5" s="141">
        <f>'[2]Russia Sunflower Exports'!I$37</f>
        <v>5.2444499999999996</v>
      </c>
      <c r="BP5" s="141">
        <f>'[2]Russia Sunflower Exports'!J$37</f>
        <v>0</v>
      </c>
      <c r="BQ5" s="141">
        <f>'[2]Russia Sunflower Exports'!K$37</f>
        <v>0</v>
      </c>
      <c r="BR5" s="141">
        <f>'[2]Russia Sunflower Exports'!L$37</f>
        <v>0</v>
      </c>
      <c r="BS5" s="141">
        <f>'[2]Russia Sunflower Exports'!M$37</f>
        <v>0</v>
      </c>
      <c r="BT5" s="141">
        <f>'[2]Russia Sunflower Exports'!N$37</f>
        <v>2.5529999999999999</v>
      </c>
      <c r="BU5" s="141">
        <f>'[2]Russia Sunflower Exports'!O$37</f>
        <v>0</v>
      </c>
      <c r="BV5" s="141">
        <f>'[2]Russia Sunflower Exports'!P$37</f>
        <v>0.04</v>
      </c>
      <c r="BW5" s="141">
        <f>'[2]Russia Sunflower Exports'!Q$37</f>
        <v>0</v>
      </c>
      <c r="BX5" s="141">
        <f>'[2]Russia Sunflower Exports'!R$37</f>
        <v>0</v>
      </c>
      <c r="BY5" s="141">
        <f>'[2]Russia Sunflower Exports'!S$37</f>
        <v>0</v>
      </c>
      <c r="BZ5" s="141">
        <f>'[2]Russia Sunflower Exports'!T$37</f>
        <v>0.44700000000000001</v>
      </c>
      <c r="CA5" s="141">
        <f>'[2]Russia Sunflower Exports'!U$37</f>
        <v>0</v>
      </c>
      <c r="CB5" s="141">
        <f>'[2]Russia Sunflower Exports'!V$37</f>
        <v>0</v>
      </c>
      <c r="CC5" s="141">
        <f>'[2]Russia Sunflower Exports'!W$37</f>
        <v>0</v>
      </c>
      <c r="CD5" s="141">
        <f>'[2]Russia Sunflower Exports'!X$37</f>
        <v>0</v>
      </c>
      <c r="CE5" s="141">
        <f>'[2]Russia Sunflower Exports'!Y$37</f>
        <v>0.02</v>
      </c>
      <c r="CF5" s="141">
        <f>'[2]Russia Sunflower Exports'!Z$37</f>
        <v>3.5E-4</v>
      </c>
      <c r="CG5" s="147">
        <f>'[2]Russia Sunflower Exports'!AA$37</f>
        <v>0</v>
      </c>
      <c r="CH5" s="141">
        <f>'[2]Russia Sunflower Exports'!AB$37</f>
        <v>4.2000000000000003E-2</v>
      </c>
      <c r="CI5" s="141">
        <f>'[2]Russia Sunflower Exports'!AC$37</f>
        <v>0</v>
      </c>
      <c r="CJ5" s="143">
        <f>'[2]Russia Sunflower Exports'!AD$37</f>
        <v>0</v>
      </c>
      <c r="CK5" s="141">
        <f>'[3]Sunflower Exports'!B$37/2204.622*1000</f>
        <v>0.86280000000000012</v>
      </c>
      <c r="CL5" s="141">
        <f>'[3]Sunflower Exports'!C$37/2204.622*1000</f>
        <v>1.1918</v>
      </c>
      <c r="CM5" s="141">
        <f>'[3]Sunflower Exports'!D$37/2204.622*1000</f>
        <v>1.6365000000000001</v>
      </c>
      <c r="CN5" s="141">
        <f>'[3]Sunflower Exports'!E$37/2204.622*1000</f>
        <v>1.5111000000000001</v>
      </c>
      <c r="CO5" s="141">
        <f>'[3]Sunflower Exports'!F$37/2204.622*1000</f>
        <v>2.2146000000000008</v>
      </c>
      <c r="CP5" s="141">
        <f>'[3]Sunflower Exports'!G$37/2204.622*1000</f>
        <v>2.4767000000000001</v>
      </c>
      <c r="CQ5" s="141">
        <f>'[3]Sunflower Exports'!H$37/2204.622*1000</f>
        <v>1.9226000000000005</v>
      </c>
      <c r="CR5" s="141">
        <f>'[3]Sunflower Exports'!I$37/2204.622*1000</f>
        <v>1.9059000000000004</v>
      </c>
      <c r="CS5" s="141">
        <f>'[3]Sunflower Exports'!J$37/2204.622*1000</f>
        <v>2.5739999999999998</v>
      </c>
      <c r="CT5" s="141">
        <f>'[3]Sunflower Exports'!K$37/2204.622*1000</f>
        <v>1.7020999999999999</v>
      </c>
      <c r="CU5" s="141">
        <f>'[3]Sunflower Exports'!L$37/2204.622*1000</f>
        <v>4.4638</v>
      </c>
      <c r="CV5" s="141">
        <f>'[3]Sunflower Exports'!M$37/2204.622*1000</f>
        <v>2.2392000000000007</v>
      </c>
      <c r="CW5" s="141">
        <f>'[3]Sunflower Exports'!N$37/2204.622*1000</f>
        <v>3.0992000000000002</v>
      </c>
      <c r="CX5" s="141">
        <f>'[3]Sunflower Exports'!O$37/2204.622*1000</f>
        <v>3.1178000000000003</v>
      </c>
      <c r="CY5" s="141">
        <f>'[3]Sunflower Exports'!P$37/2204.622*1000</f>
        <v>6.062400000000002</v>
      </c>
      <c r="CZ5" s="141">
        <f>'[3]Sunflower Exports'!Q$37/2204.622*1000</f>
        <v>4.0474000000000006</v>
      </c>
      <c r="DA5" s="141">
        <f>'[3]Sunflower Exports'!R$37/2204.622*1000</f>
        <v>1.3644000000000005</v>
      </c>
      <c r="DB5" s="141">
        <f>'[3]Sunflower Exports'!S$37/2204.622*1000</f>
        <v>1.9697999999999998</v>
      </c>
      <c r="DC5" s="141">
        <f>'[3]Sunflower Exports'!T$37/2204.622*1000</f>
        <v>0.17290000000000003</v>
      </c>
      <c r="DD5" s="141">
        <f>'[3]Sunflower Exports'!U$37/2204.622*1000</f>
        <v>4.9000000000000007E-3</v>
      </c>
      <c r="DE5" s="141">
        <f>'[3]Sunflower Exports'!V$37/2204.622*1000</f>
        <v>0</v>
      </c>
      <c r="DF5" s="141">
        <f>'[3]Sunflower Exports'!W$37/2204.622*1000</f>
        <v>0</v>
      </c>
      <c r="DG5" s="141">
        <f>'[3]Sunflower Exports'!X$37/2204.622*1000</f>
        <v>0</v>
      </c>
      <c r="DH5" s="141">
        <f>'[3]Sunflower Exports'!Y$37/2204.622*1000</f>
        <v>0</v>
      </c>
      <c r="DI5" s="141">
        <f>'[3]Sunflower Exports'!Z$37/2204.622*1000</f>
        <v>0</v>
      </c>
      <c r="DJ5" s="141">
        <f>'[3]Sunflower Exports'!AA$37/2204.622*1000</f>
        <v>0</v>
      </c>
      <c r="DK5" s="141">
        <f>'[3]Sunflower Exports'!AB$37/2204.622*1000</f>
        <v>0</v>
      </c>
      <c r="DL5" s="141">
        <f>'[3]Sunflower Exports'!AC$37/2204.622*1000</f>
        <v>0.25701458118443893</v>
      </c>
      <c r="DM5" s="143">
        <f>'[3]Sunflower Exports'!AD$37/2204.622*1000</f>
        <v>0</v>
      </c>
      <c r="DN5" s="141">
        <f t="shared" si="0"/>
        <v>55.8628</v>
      </c>
      <c r="DO5" s="141">
        <f t="shared" si="0"/>
        <v>56.191800000000001</v>
      </c>
      <c r="DP5" s="141">
        <f t="shared" si="0"/>
        <v>56.636499999999998</v>
      </c>
      <c r="DQ5" s="141">
        <f t="shared" si="0"/>
        <v>82.00215</v>
      </c>
      <c r="DR5" s="141">
        <f t="shared" si="0"/>
        <v>76.677270000000007</v>
      </c>
      <c r="DS5" s="141">
        <f t="shared" si="0"/>
        <v>102.66163999999999</v>
      </c>
      <c r="DT5" s="141">
        <f t="shared" si="0"/>
        <v>114.40055600000001</v>
      </c>
      <c r="DU5" s="141">
        <f t="shared" si="0"/>
        <v>75.246350000000007</v>
      </c>
      <c r="DV5" s="141">
        <f t="shared" si="0"/>
        <v>69.441999999999993</v>
      </c>
      <c r="DW5" s="141">
        <f t="shared" si="0"/>
        <v>72.759100000000004</v>
      </c>
      <c r="DX5" s="141">
        <f t="shared" si="0"/>
        <v>92.801800000000014</v>
      </c>
      <c r="DY5" s="141">
        <f t="shared" si="0"/>
        <v>100.17119999999998</v>
      </c>
      <c r="DZ5" s="141">
        <f t="shared" si="0"/>
        <v>97.69919999999999</v>
      </c>
      <c r="EA5" s="141">
        <f t="shared" si="0"/>
        <v>145.99779999999998</v>
      </c>
      <c r="EB5" s="141">
        <f t="shared" si="0"/>
        <v>114.4404</v>
      </c>
      <c r="EC5" s="141">
        <f t="shared" si="0"/>
        <v>170.02340000000001</v>
      </c>
      <c r="ED5" s="141">
        <f t="shared" si="1"/>
        <v>146.0324</v>
      </c>
      <c r="EE5" s="141">
        <f t="shared" si="1"/>
        <v>160.9238</v>
      </c>
      <c r="EF5" s="141">
        <f t="shared" si="1"/>
        <v>158.64190000000002</v>
      </c>
      <c r="EG5" s="141">
        <f t="shared" si="1"/>
        <v>127.1309</v>
      </c>
      <c r="EH5" s="141">
        <f t="shared" si="1"/>
        <v>111.506</v>
      </c>
      <c r="EI5" s="141">
        <f t="shared" si="1"/>
        <v>104.46600000000001</v>
      </c>
      <c r="EJ5" s="141">
        <f t="shared" si="1"/>
        <v>115.71600000000001</v>
      </c>
      <c r="EK5" s="141">
        <f t="shared" si="1"/>
        <v>97.968999999999994</v>
      </c>
      <c r="EL5" s="141">
        <f t="shared" si="1"/>
        <v>119.10434999999998</v>
      </c>
      <c r="EM5" s="141">
        <f t="shared" si="1"/>
        <v>32.755913</v>
      </c>
      <c r="EN5" s="141">
        <f t="shared" si="1"/>
        <v>70.734780000000001</v>
      </c>
      <c r="EO5" s="141">
        <f t="shared" si="1"/>
        <v>82.350204581184428</v>
      </c>
      <c r="EP5" s="145">
        <f t="shared" si="1"/>
        <v>55.162999999999997</v>
      </c>
      <c r="EQ5" s="145">
        <v>50</v>
      </c>
      <c r="ES5" s="141">
        <f t="shared" ref="ES5:ET37" si="2">SUM(BF5+CI5+DL5+AC5)-EO5</f>
        <v>0</v>
      </c>
      <c r="ET5" s="141">
        <f t="shared" si="2"/>
        <v>0</v>
      </c>
      <c r="EV5" s="141"/>
      <c r="EW5" s="141"/>
      <c r="FB5" s="107"/>
    </row>
    <row r="6" spans="1:158">
      <c r="A6" s="137" t="s">
        <v>137</v>
      </c>
      <c r="B6" s="146">
        <f>'[2]EU Sunflower Exports'!B$59</f>
        <v>0</v>
      </c>
      <c r="C6" s="146">
        <f>'[2]EU Sunflower Exports'!C$59</f>
        <v>0</v>
      </c>
      <c r="D6" s="146">
        <f>'[2]EU Sunflower Exports'!D$59</f>
        <v>0</v>
      </c>
      <c r="E6" s="146">
        <f>'[2]EU Sunflower Exports'!E$59</f>
        <v>0.871</v>
      </c>
      <c r="F6" s="146">
        <f>'[2]EU Sunflower Exports'!F$59</f>
        <v>1.2430000000000003</v>
      </c>
      <c r="G6" s="146">
        <f>'[2]EU Sunflower Exports'!G$59</f>
        <v>12.129</v>
      </c>
      <c r="H6" s="146">
        <f>'[2]EU Sunflower Exports'!H$59</f>
        <v>3.3179999999999996</v>
      </c>
      <c r="I6" s="146">
        <f>'[2]EU Sunflower Exports'!I$59</f>
        <v>0.94400000000000006</v>
      </c>
      <c r="J6" s="146">
        <f>'[2]EU Sunflower Exports'!J$59</f>
        <v>5.8259999999999996</v>
      </c>
      <c r="K6" s="146">
        <f>'[2]EU Sunflower Exports'!K$59</f>
        <v>3.1870000000000003</v>
      </c>
      <c r="L6" s="146">
        <f>'[2]EU Sunflower Exports'!L$59</f>
        <v>3.2570000000000001</v>
      </c>
      <c r="M6" s="146">
        <f>'[2]EU Sunflower Exports'!M$59</f>
        <v>6.9509999999999996</v>
      </c>
      <c r="N6" s="146">
        <f>'[2]EU Sunflower Exports'!N$59</f>
        <v>4.7689999999999992</v>
      </c>
      <c r="O6" s="146">
        <f>'[2]EU Sunflower Exports'!O$59</f>
        <v>6.4139999999999997</v>
      </c>
      <c r="P6" s="141">
        <f>'[2]EU Sunflower Exports'!P$59</f>
        <v>9.7840000000000007</v>
      </c>
      <c r="Q6" s="141">
        <f>'[2]EU Sunflower Exports'!Q$59</f>
        <v>7.0459999999999994</v>
      </c>
      <c r="R6" s="141">
        <f>'[2]EU Sunflower Exports'!R$59</f>
        <v>9.2159999999999993</v>
      </c>
      <c r="S6" s="141">
        <f>'[2]EU Sunflower Exports'!S$59</f>
        <v>16.311999999999998</v>
      </c>
      <c r="T6" s="141">
        <f>'[2]EU Sunflower Exports'!T$59</f>
        <v>15.858000000000002</v>
      </c>
      <c r="U6" s="141">
        <f>'[2]EU Sunflower Exports'!U$59</f>
        <v>21.556999999999999</v>
      </c>
      <c r="V6" s="141">
        <f>'[2]EU Sunflower Exports'!V$59</f>
        <v>18.632999999999999</v>
      </c>
      <c r="W6" s="141">
        <f>'[2]EU Sunflower Exports'!W$59</f>
        <v>17.222999999999999</v>
      </c>
      <c r="X6" s="141">
        <f>'[2]EU Sunflower Exports'!X$59</f>
        <v>30.204000000000001</v>
      </c>
      <c r="Y6" s="141">
        <f>'[2]EU Sunflower Exports'!Y$59</f>
        <v>33.717999999999996</v>
      </c>
      <c r="Z6" s="141">
        <f>'[2]EU Sunflower Exports'!Z$59</f>
        <v>34.353999999999999</v>
      </c>
      <c r="AA6" s="141">
        <f>'[2]EU Sunflower Exports'!AA$59</f>
        <v>37.502999999999993</v>
      </c>
      <c r="AB6" s="141">
        <f>'[2]EU Sunflower Exports'!AB$59</f>
        <v>35.125</v>
      </c>
      <c r="AC6" s="141">
        <f>'[2]EU Sunflower Exports'!AC$59</f>
        <v>37.112000000000002</v>
      </c>
      <c r="AD6" s="143">
        <v>0</v>
      </c>
      <c r="AE6" s="141">
        <v>40</v>
      </c>
      <c r="AF6" s="141">
        <v>40</v>
      </c>
      <c r="AG6" s="141">
        <v>40</v>
      </c>
      <c r="AH6" s="141">
        <v>40</v>
      </c>
      <c r="AI6" s="141">
        <v>40</v>
      </c>
      <c r="AJ6" s="141">
        <v>40</v>
      </c>
      <c r="AK6" s="141">
        <v>40</v>
      </c>
      <c r="AL6" s="141">
        <v>40</v>
      </c>
      <c r="AM6" s="141">
        <v>40</v>
      </c>
      <c r="AN6" s="141">
        <v>40</v>
      </c>
      <c r="AO6" s="141">
        <v>40</v>
      </c>
      <c r="AP6" s="141">
        <v>40</v>
      </c>
      <c r="AQ6" s="141">
        <v>40</v>
      </c>
      <c r="AR6" s="141">
        <v>40</v>
      </c>
      <c r="AS6" s="141">
        <v>40</v>
      </c>
      <c r="AT6" s="141">
        <v>40</v>
      </c>
      <c r="AU6" s="141">
        <v>40</v>
      </c>
      <c r="AV6" s="141">
        <v>40</v>
      </c>
      <c r="AW6" s="141">
        <v>40</v>
      </c>
      <c r="AX6" s="141">
        <v>40</v>
      </c>
      <c r="AY6" s="141">
        <v>40</v>
      </c>
      <c r="AZ6" s="141">
        <v>40</v>
      </c>
      <c r="BA6" s="141">
        <v>40</v>
      </c>
      <c r="BB6" s="141">
        <v>40</v>
      </c>
      <c r="BC6" s="141">
        <f>'[2]Ukraine Sunflower Exports'!Z$59</f>
        <v>1.2441579999999999</v>
      </c>
      <c r="BD6" s="141">
        <f>'[2]Ukraine Sunflower Exports'!AA$59</f>
        <v>7.5531980000000001</v>
      </c>
      <c r="BE6" s="141">
        <f>'[2]Ukraine Sunflower Exports'!AB$59</f>
        <v>4.5431559999999989</v>
      </c>
      <c r="BF6" s="141">
        <f>'[2]Ukraine Sunflower Exports'!AC$59</f>
        <v>5.8419949999999989</v>
      </c>
      <c r="BG6" s="143">
        <v>0</v>
      </c>
      <c r="BH6" s="141">
        <f>'[2]Russia Sunflower Exports'!B$59</f>
        <v>0</v>
      </c>
      <c r="BI6" s="141">
        <f>'[2]Russia Sunflower Exports'!C$59</f>
        <v>0</v>
      </c>
      <c r="BJ6" s="141">
        <f>'[2]Russia Sunflower Exports'!D$59</f>
        <v>0</v>
      </c>
      <c r="BK6" s="141">
        <f>'[2]Russia Sunflower Exports'!E$59</f>
        <v>3.2445259999999996</v>
      </c>
      <c r="BL6" s="141">
        <f>'[2]Russia Sunflower Exports'!F$59</f>
        <v>8.228669</v>
      </c>
      <c r="BM6" s="141">
        <f>'[2]Russia Sunflower Exports'!G$59</f>
        <v>4.0217090000000004</v>
      </c>
      <c r="BN6" s="141">
        <f>'[2]Russia Sunflower Exports'!H$59</f>
        <v>21.849073999999998</v>
      </c>
      <c r="BO6" s="141">
        <f>'[2]Russia Sunflower Exports'!I$59</f>
        <v>35.665827</v>
      </c>
      <c r="BP6" s="141">
        <f>'[2]Russia Sunflower Exports'!J$59</f>
        <v>3.7706329999999992</v>
      </c>
      <c r="BQ6" s="141">
        <f>'[2]Russia Sunflower Exports'!K$59</f>
        <v>78.923000000000002</v>
      </c>
      <c r="BR6" s="141">
        <f>'[2]Russia Sunflower Exports'!L$59</f>
        <v>23.985000000000003</v>
      </c>
      <c r="BS6" s="141">
        <f>'[2]Russia Sunflower Exports'!M$59</f>
        <v>21.93</v>
      </c>
      <c r="BT6" s="141">
        <f>'[2]Russia Sunflower Exports'!N$59</f>
        <v>78.115000000000009</v>
      </c>
      <c r="BU6" s="141">
        <f>'[2]Russia Sunflower Exports'!O$59</f>
        <v>60.183999999999997</v>
      </c>
      <c r="BV6" s="141">
        <f>'[2]Russia Sunflower Exports'!P$59</f>
        <v>28.273999999999997</v>
      </c>
      <c r="BW6" s="141">
        <f>'[2]Russia Sunflower Exports'!Q$59</f>
        <v>91.090000000000032</v>
      </c>
      <c r="BX6" s="141">
        <f>'[2]Russia Sunflower Exports'!R$59</f>
        <v>20.288999999999998</v>
      </c>
      <c r="BY6" s="141">
        <f>'[2]Russia Sunflower Exports'!S$59</f>
        <v>9.4849999999999994</v>
      </c>
      <c r="BZ6" s="141">
        <f>'[2]Russia Sunflower Exports'!T$59</f>
        <v>15.472</v>
      </c>
      <c r="CA6" s="141">
        <f>'[2]Russia Sunflower Exports'!U$59</f>
        <v>20.143000000000001</v>
      </c>
      <c r="CB6" s="141">
        <f>'[2]Russia Sunflower Exports'!V$59</f>
        <v>43.288999999999994</v>
      </c>
      <c r="CC6" s="141">
        <f>'[2]Russia Sunflower Exports'!W$59</f>
        <v>37.636000000000003</v>
      </c>
      <c r="CD6" s="141">
        <f>'[2]Russia Sunflower Exports'!X$59</f>
        <v>54.424000000000007</v>
      </c>
      <c r="CE6" s="141">
        <f>'[2]Russia Sunflower Exports'!Y$59</f>
        <v>64.197846000000013</v>
      </c>
      <c r="CF6" s="141">
        <f>'[2]Russia Sunflower Exports'!Z$59</f>
        <v>57.949566000000004</v>
      </c>
      <c r="CG6" s="147">
        <f>'[2]Russia Sunflower Exports'!AA$59</f>
        <v>114.700188</v>
      </c>
      <c r="CH6" s="141">
        <f>'[2]Russia Sunflower Exports'!AB$59</f>
        <v>128.231246</v>
      </c>
      <c r="CI6" s="141">
        <f>'[2]Russia Sunflower Exports'!AC$59</f>
        <v>62.335926000000008</v>
      </c>
      <c r="CJ6" s="143">
        <f>150-81.1-10</f>
        <v>58.900000000000006</v>
      </c>
      <c r="CK6" s="141">
        <f>'[3]Sunflower Exports'!B$59/2204.622*1000</f>
        <v>0.15270000000000003</v>
      </c>
      <c r="CL6" s="141">
        <f>'[3]Sunflower Exports'!C$59/2204.622*1000</f>
        <v>1.0752000000000002</v>
      </c>
      <c r="CM6" s="141">
        <f>'[3]Sunflower Exports'!D$59/2204.622*1000</f>
        <v>0</v>
      </c>
      <c r="CN6" s="141">
        <f>'[3]Sunflower Exports'!E$59/2204.622*1000</f>
        <v>2.7552000000000008</v>
      </c>
      <c r="CO6" s="141">
        <f>'[3]Sunflower Exports'!F$59/2204.622*1000</f>
        <v>3.27E-2</v>
      </c>
      <c r="CP6" s="141">
        <f>'[3]Sunflower Exports'!G$59/2204.622*1000</f>
        <v>0</v>
      </c>
      <c r="CQ6" s="141">
        <f>'[3]Sunflower Exports'!H$59/2204.622*1000</f>
        <v>3.6200000000000003E-2</v>
      </c>
      <c r="CR6" s="141">
        <f>'[3]Sunflower Exports'!I$59/2204.622*1000</f>
        <v>0.25219999999999998</v>
      </c>
      <c r="CS6" s="141">
        <f>'[3]Sunflower Exports'!J$59/2204.622*1000</f>
        <v>0</v>
      </c>
      <c r="CT6" s="141">
        <f>'[3]Sunflower Exports'!K$59/2204.622*1000</f>
        <v>2.1700000000000001E-2</v>
      </c>
      <c r="CU6" s="141">
        <f>'[3]Sunflower Exports'!L$59/2204.622*1000</f>
        <v>5.2900000000000003E-2</v>
      </c>
      <c r="CV6" s="141">
        <f>'[3]Sunflower Exports'!M$59/2204.622*1000</f>
        <v>0.41390000000000005</v>
      </c>
      <c r="CW6" s="141">
        <f>'[3]Sunflower Exports'!N$59/2204.622*1000</f>
        <v>0.70050000000000001</v>
      </c>
      <c r="CX6" s="141">
        <f>'[3]Sunflower Exports'!O$59/2204.622*1000</f>
        <v>1.2820000000000003</v>
      </c>
      <c r="CY6" s="141">
        <f>'[3]Sunflower Exports'!P$59/2204.622*1000</f>
        <v>2.3853000000000004</v>
      </c>
      <c r="CZ6" s="141">
        <f>'[3]Sunflower Exports'!Q$59/2204.622*1000</f>
        <v>0</v>
      </c>
      <c r="DA6" s="141">
        <f>'[3]Sunflower Exports'!R$59/2204.622*1000</f>
        <v>0</v>
      </c>
      <c r="DB6" s="141">
        <f>'[3]Sunflower Exports'!S$59/2204.622*1000</f>
        <v>0</v>
      </c>
      <c r="DC6" s="141">
        <f>'[3]Sunflower Exports'!T$59/2204.622*1000</f>
        <v>0</v>
      </c>
      <c r="DD6" s="141">
        <f>'[3]Sunflower Exports'!U$59/2204.622*1000</f>
        <v>0.19930000000000003</v>
      </c>
      <c r="DE6" s="141">
        <f>'[3]Sunflower Exports'!V$59/2204.622*1000</f>
        <v>0.42149999999999999</v>
      </c>
      <c r="DF6" s="141">
        <f>'[3]Sunflower Exports'!W$59/2204.622*1000</f>
        <v>0</v>
      </c>
      <c r="DG6" s="141">
        <f>'[3]Sunflower Exports'!X$59/2204.622*1000</f>
        <v>0</v>
      </c>
      <c r="DH6" s="141">
        <f>'[3]Sunflower Exports'!Y$59/2204.622*1000</f>
        <v>0</v>
      </c>
      <c r="DI6" s="141">
        <f>'[3]Sunflower Exports'!Z$59/2204.622*1000</f>
        <v>4.7750806681145344</v>
      </c>
      <c r="DJ6" s="141">
        <f>'[3]Sunflower Exports'!AA$59/2204.622*1000</f>
        <v>7.4473642438567706</v>
      </c>
      <c r="DK6" s="141">
        <f>'[3]Sunflower Exports'!AB$59/2204.622*1000</f>
        <v>6.0863054785899804</v>
      </c>
      <c r="DL6" s="141">
        <f>'[3]Sunflower Exports'!AC$59/2204.622*1000</f>
        <v>6.2669237317417679</v>
      </c>
      <c r="DM6" s="143">
        <v>6</v>
      </c>
      <c r="DN6" s="141">
        <f t="shared" si="0"/>
        <v>40.152700000000003</v>
      </c>
      <c r="DO6" s="141">
        <f t="shared" si="0"/>
        <v>41.075200000000002</v>
      </c>
      <c r="DP6" s="141">
        <f t="shared" si="0"/>
        <v>40</v>
      </c>
      <c r="DQ6" s="141">
        <f t="shared" si="0"/>
        <v>46.870726000000005</v>
      </c>
      <c r="DR6" s="141">
        <f t="shared" si="0"/>
        <v>49.504369000000004</v>
      </c>
      <c r="DS6" s="141">
        <f t="shared" si="0"/>
        <v>56.150708999999999</v>
      </c>
      <c r="DT6" s="141">
        <f t="shared" si="0"/>
        <v>65.203273999999993</v>
      </c>
      <c r="DU6" s="141">
        <f t="shared" si="0"/>
        <v>76.862026999999998</v>
      </c>
      <c r="DV6" s="141">
        <f t="shared" si="0"/>
        <v>49.596632999999997</v>
      </c>
      <c r="DW6" s="141">
        <f t="shared" si="0"/>
        <v>122.1317</v>
      </c>
      <c r="DX6" s="141">
        <f t="shared" si="0"/>
        <v>67.294899999999998</v>
      </c>
      <c r="DY6" s="141">
        <f t="shared" si="0"/>
        <v>69.294899999999998</v>
      </c>
      <c r="DZ6" s="141">
        <f t="shared" si="0"/>
        <v>123.58450000000002</v>
      </c>
      <c r="EA6" s="141">
        <f t="shared" si="0"/>
        <v>107.88</v>
      </c>
      <c r="EB6" s="141">
        <f t="shared" si="0"/>
        <v>80.443299999999994</v>
      </c>
      <c r="EC6" s="141">
        <f t="shared" si="0"/>
        <v>138.13600000000002</v>
      </c>
      <c r="ED6" s="141">
        <f t="shared" si="1"/>
        <v>69.504999999999995</v>
      </c>
      <c r="EE6" s="141">
        <f t="shared" si="1"/>
        <v>65.796999999999997</v>
      </c>
      <c r="EF6" s="141">
        <f t="shared" si="1"/>
        <v>71.33</v>
      </c>
      <c r="EG6" s="141">
        <f t="shared" si="1"/>
        <v>81.899299999999997</v>
      </c>
      <c r="EH6" s="141">
        <f t="shared" si="1"/>
        <v>102.34349999999999</v>
      </c>
      <c r="EI6" s="141">
        <f t="shared" si="1"/>
        <v>94.859000000000009</v>
      </c>
      <c r="EJ6" s="141">
        <f t="shared" si="1"/>
        <v>124.62800000000001</v>
      </c>
      <c r="EK6" s="141">
        <f t="shared" si="1"/>
        <v>137.91584599999999</v>
      </c>
      <c r="EL6" s="141">
        <f t="shared" si="1"/>
        <v>98.322804668114543</v>
      </c>
      <c r="EM6" s="141">
        <f t="shared" si="1"/>
        <v>167.20375024385677</v>
      </c>
      <c r="EN6" s="141">
        <f t="shared" si="1"/>
        <v>173.98570747859</v>
      </c>
      <c r="EO6" s="141">
        <f t="shared" si="1"/>
        <v>111.55684473174178</v>
      </c>
      <c r="EP6" s="145">
        <f t="shared" si="1"/>
        <v>64.900000000000006</v>
      </c>
      <c r="EQ6" s="145">
        <v>100</v>
      </c>
      <c r="ES6" s="141">
        <f t="shared" si="2"/>
        <v>0</v>
      </c>
      <c r="ET6" s="141">
        <f t="shared" si="2"/>
        <v>0</v>
      </c>
      <c r="EV6" s="141"/>
      <c r="EW6" s="141"/>
      <c r="FB6" s="107"/>
    </row>
    <row r="7" spans="1:158">
      <c r="A7" s="148" t="s">
        <v>138</v>
      </c>
      <c r="B7" s="146">
        <f>'[2]EU Sunflower Exports'!B$88</f>
        <v>0</v>
      </c>
      <c r="C7" s="146">
        <f>'[2]EU Sunflower Exports'!C$88</f>
        <v>0</v>
      </c>
      <c r="D7" s="146">
        <f>'[2]EU Sunflower Exports'!D$88</f>
        <v>0</v>
      </c>
      <c r="E7" s="146">
        <f>'[2]EU Sunflower Exports'!E$88</f>
        <v>1E-3</v>
      </c>
      <c r="F7" s="146">
        <f>'[2]EU Sunflower Exports'!F$88</f>
        <v>5.9000000000000004E-2</v>
      </c>
      <c r="G7" s="146">
        <f>'[2]EU Sunflower Exports'!G$88</f>
        <v>4.9000000000000002E-2</v>
      </c>
      <c r="H7" s="146">
        <f>'[2]EU Sunflower Exports'!H$88</f>
        <v>2.1000000000000001E-2</v>
      </c>
      <c r="I7" s="146">
        <f>'[2]EU Sunflower Exports'!I$88</f>
        <v>3.0000000000000001E-3</v>
      </c>
      <c r="J7" s="146">
        <f>'[2]EU Sunflower Exports'!J$88</f>
        <v>1.4999999999999999E-2</v>
      </c>
      <c r="K7" s="146">
        <f>'[2]EU Sunflower Exports'!K$88</f>
        <v>0.10100000000000001</v>
      </c>
      <c r="L7" s="146">
        <f>'[2]EU Sunflower Exports'!L$88</f>
        <v>4.2000000000000003E-2</v>
      </c>
      <c r="M7" s="146">
        <f>'[2]EU Sunflower Exports'!M$88</f>
        <v>0.222</v>
      </c>
      <c r="N7" s="146">
        <f>'[2]EU Sunflower Exports'!N$88</f>
        <v>0.125</v>
      </c>
      <c r="O7" s="146">
        <f>'[2]EU Sunflower Exports'!O$88</f>
        <v>0.16400000000000001</v>
      </c>
      <c r="P7" s="141">
        <f>'[2]EU Sunflower Exports'!P$88</f>
        <v>0.126</v>
      </c>
      <c r="Q7" s="141">
        <f>'[2]EU Sunflower Exports'!Q$88</f>
        <v>0.10300000000000001</v>
      </c>
      <c r="R7" s="141">
        <f>'[2]EU Sunflower Exports'!R$88</f>
        <v>0.29300000000000004</v>
      </c>
      <c r="S7" s="141">
        <f>'[2]EU Sunflower Exports'!S$88</f>
        <v>6.2E-2</v>
      </c>
      <c r="T7" s="141">
        <f>'[2]EU Sunflower Exports'!T$88</f>
        <v>7.2000000000000008E-2</v>
      </c>
      <c r="U7" s="141">
        <f>'[2]EU Sunflower Exports'!U$88</f>
        <v>3.7999999999999999E-2</v>
      </c>
      <c r="V7" s="141">
        <f>'[2]EU Sunflower Exports'!V$88</f>
        <v>0.75</v>
      </c>
      <c r="W7" s="141">
        <f>'[2]EU Sunflower Exports'!W$88</f>
        <v>4.9000000000000002E-2</v>
      </c>
      <c r="X7" s="141">
        <f>'[2]EU Sunflower Exports'!X$88</f>
        <v>6.3E-2</v>
      </c>
      <c r="Y7" s="141">
        <f>'[2]EU Sunflower Exports'!Y$88</f>
        <v>3.9999999999999994E-2</v>
      </c>
      <c r="Z7" s="141">
        <f>'[2]EU Sunflower Exports'!Z$88</f>
        <v>0.307</v>
      </c>
      <c r="AA7" s="141">
        <f>'[2]EU Sunflower Exports'!AA$88</f>
        <v>14.404999999999999</v>
      </c>
      <c r="AB7" s="141">
        <f>'[2]EU Sunflower Exports'!AB$88</f>
        <v>45.895000000000003</v>
      </c>
      <c r="AC7" s="141">
        <f>'[2]EU Sunflower Exports'!AC$88</f>
        <v>53.202000000000005</v>
      </c>
      <c r="AD7" s="143">
        <f>30-15</f>
        <v>15</v>
      </c>
      <c r="AE7" s="141">
        <v>30</v>
      </c>
      <c r="AF7" s="141">
        <v>30</v>
      </c>
      <c r="AG7" s="141">
        <v>30</v>
      </c>
      <c r="AH7" s="141">
        <v>30</v>
      </c>
      <c r="AI7" s="141">
        <v>30</v>
      </c>
      <c r="AJ7" s="141">
        <v>30</v>
      </c>
      <c r="AK7" s="141">
        <v>30</v>
      </c>
      <c r="AL7" s="141">
        <v>30</v>
      </c>
      <c r="AM7" s="141">
        <v>30</v>
      </c>
      <c r="AN7" s="141">
        <v>30</v>
      </c>
      <c r="AO7" s="141">
        <v>30</v>
      </c>
      <c r="AP7" s="141">
        <v>30</v>
      </c>
      <c r="AQ7" s="141">
        <v>30</v>
      </c>
      <c r="AR7" s="141">
        <v>30</v>
      </c>
      <c r="AS7" s="141">
        <v>30</v>
      </c>
      <c r="AT7" s="141">
        <v>30</v>
      </c>
      <c r="AU7" s="141">
        <v>30</v>
      </c>
      <c r="AV7" s="141">
        <v>30</v>
      </c>
      <c r="AW7" s="141">
        <v>30</v>
      </c>
      <c r="AX7" s="141">
        <v>30</v>
      </c>
      <c r="AY7" s="141">
        <v>30</v>
      </c>
      <c r="AZ7" s="141">
        <v>30</v>
      </c>
      <c r="BA7" s="141">
        <v>30</v>
      </c>
      <c r="BB7" s="141">
        <v>30</v>
      </c>
      <c r="BC7" s="141">
        <f>'[2]Ukraine Sunflower Exports'!Z$88</f>
        <v>0</v>
      </c>
      <c r="BD7" s="141">
        <f>'[2]Ukraine Sunflower Exports'!AA$88</f>
        <v>0.57140199999999997</v>
      </c>
      <c r="BE7" s="141">
        <f>'[2]Ukraine Sunflower Exports'!AB$88</f>
        <v>1.6020749999999999</v>
      </c>
      <c r="BF7" s="141">
        <f>'[2]Ukraine Sunflower Exports'!AC$88</f>
        <v>0.66595000000000004</v>
      </c>
      <c r="BG7" s="143">
        <v>0</v>
      </c>
      <c r="BH7" s="141">
        <f>'[2]Russia Sunflower Exports'!B$88</f>
        <v>0</v>
      </c>
      <c r="BI7" s="141">
        <f>'[2]Russia Sunflower Exports'!C$88</f>
        <v>0</v>
      </c>
      <c r="BJ7" s="141">
        <f>'[2]Russia Sunflower Exports'!D$88</f>
        <v>0</v>
      </c>
      <c r="BK7" s="141">
        <f>'[2]Russia Sunflower Exports'!E$88</f>
        <v>0</v>
      </c>
      <c r="BL7" s="141">
        <f>'[2]Russia Sunflower Exports'!F$88</f>
        <v>0</v>
      </c>
      <c r="BM7" s="141">
        <f>'[2]Russia Sunflower Exports'!G$88</f>
        <v>0</v>
      </c>
      <c r="BN7" s="141">
        <f>'[2]Russia Sunflower Exports'!H$88</f>
        <v>0</v>
      </c>
      <c r="BO7" s="141">
        <f>'[2]Russia Sunflower Exports'!I$88</f>
        <v>0</v>
      </c>
      <c r="BP7" s="141">
        <f>'[2]Russia Sunflower Exports'!J$88</f>
        <v>0</v>
      </c>
      <c r="BQ7" s="141">
        <f>'[2]Russia Sunflower Exports'!K$88</f>
        <v>0</v>
      </c>
      <c r="BR7" s="141">
        <f>'[2]Russia Sunflower Exports'!L$88</f>
        <v>0</v>
      </c>
      <c r="BS7" s="141">
        <f>'[2]Russia Sunflower Exports'!M$88</f>
        <v>0</v>
      </c>
      <c r="BT7" s="141">
        <f>'[2]Russia Sunflower Exports'!N$88</f>
        <v>0</v>
      </c>
      <c r="BU7" s="141">
        <f>'[2]Russia Sunflower Exports'!O$88</f>
        <v>0</v>
      </c>
      <c r="BV7" s="141">
        <f>'[2]Russia Sunflower Exports'!P$88</f>
        <v>0</v>
      </c>
      <c r="BW7" s="141">
        <f>'[2]Russia Sunflower Exports'!Q$88</f>
        <v>0</v>
      </c>
      <c r="BX7" s="141">
        <f>'[2]Russia Sunflower Exports'!R$88</f>
        <v>4.8000000000000001E-2</v>
      </c>
      <c r="BY7" s="141">
        <f>'[2]Russia Sunflower Exports'!S$88</f>
        <v>0</v>
      </c>
      <c r="BZ7" s="141">
        <f>'[2]Russia Sunflower Exports'!T$88</f>
        <v>0</v>
      </c>
      <c r="CA7" s="141">
        <f>'[2]Russia Sunflower Exports'!U$88</f>
        <v>0</v>
      </c>
      <c r="CB7" s="141">
        <f>'[2]Russia Sunflower Exports'!V$88</f>
        <v>4.7E-2</v>
      </c>
      <c r="CC7" s="141">
        <f>'[2]Russia Sunflower Exports'!W$88</f>
        <v>0</v>
      </c>
      <c r="CD7" s="141">
        <f>'[2]Russia Sunflower Exports'!X$88</f>
        <v>5.0000000000000001E-3</v>
      </c>
      <c r="CE7" s="141">
        <f>'[2]Russia Sunflower Exports'!Y$88</f>
        <v>0.23200000000000001</v>
      </c>
      <c r="CF7" s="141">
        <f>'[2]Russia Sunflower Exports'!Z$88</f>
        <v>2.3205750000000003</v>
      </c>
      <c r="CG7" s="147">
        <f>'[2]Russia Sunflower Exports'!AA$88</f>
        <v>14.666532999999999</v>
      </c>
      <c r="CH7" s="141">
        <f>'[2]Russia Sunflower Exports'!AB$88</f>
        <v>57.435666000000005</v>
      </c>
      <c r="CI7" s="141">
        <f>'[2]Russia Sunflower Exports'!AC$88</f>
        <v>73.169354000000013</v>
      </c>
      <c r="CJ7" s="143">
        <f>75</f>
        <v>75</v>
      </c>
      <c r="CK7" s="141">
        <f>'[3]Sunflower Exports'!B$88/2204.622*1000</f>
        <v>0</v>
      </c>
      <c r="CL7" s="141">
        <f>'[3]Sunflower Exports'!C$88/2204.622*1000</f>
        <v>0</v>
      </c>
      <c r="CM7" s="141">
        <f>'[3]Sunflower Exports'!D$88/2204.622*1000</f>
        <v>7.8000000000000014E-2</v>
      </c>
      <c r="CN7" s="141">
        <f>'[3]Sunflower Exports'!E$88/2204.622*1000</f>
        <v>0.62550000000000006</v>
      </c>
      <c r="CO7" s="141">
        <f>'[3]Sunflower Exports'!F$88/2204.622*1000</f>
        <v>7.6672000000000011</v>
      </c>
      <c r="CP7" s="141">
        <f>'[3]Sunflower Exports'!G$88/2204.622*1000</f>
        <v>9.2775000000000034</v>
      </c>
      <c r="CQ7" s="141">
        <f>'[3]Sunflower Exports'!H$88/2204.622*1000</f>
        <v>7.9459999999999997</v>
      </c>
      <c r="CR7" s="141">
        <f>'[3]Sunflower Exports'!I$88/2204.622*1000</f>
        <v>5.0370000000000008</v>
      </c>
      <c r="CS7" s="141">
        <f>'[3]Sunflower Exports'!J$88/2204.622*1000</f>
        <v>3.3147000000000006</v>
      </c>
      <c r="CT7" s="141">
        <f>'[3]Sunflower Exports'!K$88/2204.622*1000</f>
        <v>2.6328</v>
      </c>
      <c r="CU7" s="141">
        <f>'[3]Sunflower Exports'!L$88/2204.622*1000</f>
        <v>2.9749000000000008</v>
      </c>
      <c r="CV7" s="141">
        <f>'[3]Sunflower Exports'!M$88/2204.622*1000</f>
        <v>4.4447999999999999</v>
      </c>
      <c r="CW7" s="141">
        <f>'[3]Sunflower Exports'!N$88/2204.622*1000</f>
        <v>6.6627999999999998</v>
      </c>
      <c r="CX7" s="141">
        <f>'[3]Sunflower Exports'!O$88/2204.622*1000</f>
        <v>5.2302000000000008</v>
      </c>
      <c r="CY7" s="141">
        <f>'[3]Sunflower Exports'!P$88/2204.622*1000</f>
        <v>4.4599000000000011</v>
      </c>
      <c r="CZ7" s="141">
        <f>'[3]Sunflower Exports'!Q$88/2204.622*1000</f>
        <v>5.3186000000000009</v>
      </c>
      <c r="DA7" s="141">
        <f>'[3]Sunflower Exports'!R$88/2204.622*1000</f>
        <v>10.258300000000002</v>
      </c>
      <c r="DB7" s="141">
        <f>'[3]Sunflower Exports'!S$88/2204.622*1000</f>
        <v>0.20710000000000001</v>
      </c>
      <c r="DC7" s="141">
        <f>'[3]Sunflower Exports'!T$88/2204.622*1000</f>
        <v>5.9499999999999997E-2</v>
      </c>
      <c r="DD7" s="141">
        <f>'[3]Sunflower Exports'!U$88/2204.622*1000</f>
        <v>1.6042999999999998</v>
      </c>
      <c r="DE7" s="141">
        <f>'[3]Sunflower Exports'!V$88/2204.622*1000</f>
        <v>1.8447</v>
      </c>
      <c r="DF7" s="141">
        <f>'[3]Sunflower Exports'!W$88/2204.622*1000</f>
        <v>1.0581000000000003</v>
      </c>
      <c r="DG7" s="141">
        <f>'[3]Sunflower Exports'!X$88/2204.622*1000</f>
        <v>0.1135</v>
      </c>
      <c r="DH7" s="141">
        <f>'[3]Sunflower Exports'!Y$88/2204.622*1000</f>
        <v>9.1404933770959387E-2</v>
      </c>
      <c r="DI7" s="141">
        <f>'[3]Sunflower Exports'!Z$88/2204.622*1000</f>
        <v>0.86328421684080081</v>
      </c>
      <c r="DJ7" s="141">
        <f>'[3]Sunflower Exports'!AA$88/2204.622*1000</f>
        <v>0</v>
      </c>
      <c r="DK7" s="141">
        <f>'[3]Sunflower Exports'!AB$88/2204.622*1000</f>
        <v>5.7999947383270245E-4</v>
      </c>
      <c r="DL7" s="141">
        <f>'[3]Sunflower Exports'!AC$88/2204.622*1000</f>
        <v>3.9310952625892341E-3</v>
      </c>
      <c r="DM7" s="143">
        <f>'[3]Sunflower Exports'!AD$88/2204.622*1000</f>
        <v>0</v>
      </c>
      <c r="DN7" s="141">
        <f t="shared" si="0"/>
        <v>30</v>
      </c>
      <c r="DO7" s="141">
        <f t="shared" si="0"/>
        <v>30</v>
      </c>
      <c r="DP7" s="141">
        <f t="shared" si="0"/>
        <v>30.077999999999999</v>
      </c>
      <c r="DQ7" s="141">
        <f t="shared" si="0"/>
        <v>30.6265</v>
      </c>
      <c r="DR7" s="141">
        <f t="shared" si="0"/>
        <v>37.726200000000006</v>
      </c>
      <c r="DS7" s="141">
        <f t="shared" si="0"/>
        <v>39.326500000000003</v>
      </c>
      <c r="DT7" s="141">
        <f t="shared" si="0"/>
        <v>37.966999999999999</v>
      </c>
      <c r="DU7" s="141">
        <f t="shared" si="0"/>
        <v>35.04</v>
      </c>
      <c r="DV7" s="141">
        <f t="shared" si="0"/>
        <v>33.329700000000003</v>
      </c>
      <c r="DW7" s="141">
        <f t="shared" si="0"/>
        <v>32.733800000000002</v>
      </c>
      <c r="DX7" s="141">
        <f t="shared" si="0"/>
        <v>33.0169</v>
      </c>
      <c r="DY7" s="141">
        <f t="shared" si="0"/>
        <v>34.666800000000002</v>
      </c>
      <c r="DZ7" s="141">
        <f t="shared" si="0"/>
        <v>36.787799999999997</v>
      </c>
      <c r="EA7" s="141">
        <f t="shared" si="0"/>
        <v>35.394200000000005</v>
      </c>
      <c r="EB7" s="141">
        <f t="shared" si="0"/>
        <v>34.585900000000002</v>
      </c>
      <c r="EC7" s="141">
        <f t="shared" si="0"/>
        <v>35.421600000000005</v>
      </c>
      <c r="ED7" s="141">
        <f t="shared" si="1"/>
        <v>40.599299999999999</v>
      </c>
      <c r="EE7" s="141">
        <f t="shared" si="1"/>
        <v>30.269100000000002</v>
      </c>
      <c r="EF7" s="141">
        <f t="shared" si="1"/>
        <v>30.131499999999999</v>
      </c>
      <c r="EG7" s="141">
        <f t="shared" si="1"/>
        <v>31.642299999999999</v>
      </c>
      <c r="EH7" s="141">
        <f t="shared" si="1"/>
        <v>32.6417</v>
      </c>
      <c r="EI7" s="141">
        <f t="shared" si="1"/>
        <v>31.107099999999999</v>
      </c>
      <c r="EJ7" s="141">
        <f t="shared" si="1"/>
        <v>30.181499999999996</v>
      </c>
      <c r="EK7" s="141">
        <f t="shared" si="1"/>
        <v>30.363404933770958</v>
      </c>
      <c r="EL7" s="141">
        <f t="shared" si="1"/>
        <v>3.4908592168408008</v>
      </c>
      <c r="EM7" s="141">
        <f t="shared" si="1"/>
        <v>29.642935000000001</v>
      </c>
      <c r="EN7" s="141">
        <f t="shared" si="1"/>
        <v>104.93332099947384</v>
      </c>
      <c r="EO7" s="141">
        <f t="shared" si="1"/>
        <v>127.04123509526261</v>
      </c>
      <c r="EP7" s="145">
        <f>'China Sun Complex'!AD10-100</f>
        <v>35</v>
      </c>
      <c r="EQ7" s="145">
        <f>'China Sun Complex'!AE10-100</f>
        <v>100</v>
      </c>
      <c r="ES7" s="141">
        <f>SUM(BF7+CI7+DL7+AC7)-EO7</f>
        <v>0</v>
      </c>
      <c r="ET7" s="141">
        <f t="shared" si="2"/>
        <v>55</v>
      </c>
      <c r="EV7" s="141"/>
      <c r="EW7" s="141"/>
      <c r="FB7" s="107"/>
    </row>
    <row r="8" spans="1:158">
      <c r="A8" s="149" t="s">
        <v>139</v>
      </c>
      <c r="B8" s="146">
        <f>'[2]EU Sunflower Exports'!B$103</f>
        <v>0</v>
      </c>
      <c r="C8" s="146">
        <f>'[2]EU Sunflower Exports'!C$103</f>
        <v>0</v>
      </c>
      <c r="D8" s="146">
        <f>'[2]EU Sunflower Exports'!D$103</f>
        <v>0</v>
      </c>
      <c r="E8" s="146">
        <f>'[2]EU Sunflower Exports'!E$103</f>
        <v>0</v>
      </c>
      <c r="F8" s="146">
        <f>'[2]EU Sunflower Exports'!F$103</f>
        <v>0</v>
      </c>
      <c r="G8" s="146">
        <f>'[2]EU Sunflower Exports'!G$103</f>
        <v>0</v>
      </c>
      <c r="H8" s="146">
        <f>'[2]EU Sunflower Exports'!H$103</f>
        <v>0</v>
      </c>
      <c r="I8" s="146">
        <f>'[2]EU Sunflower Exports'!I$103</f>
        <v>0</v>
      </c>
      <c r="J8" s="146">
        <f>'[2]EU Sunflower Exports'!J$103</f>
        <v>0</v>
      </c>
      <c r="K8" s="146">
        <f>'[2]EU Sunflower Exports'!K$103</f>
        <v>0</v>
      </c>
      <c r="L8" s="146">
        <f>'[2]EU Sunflower Exports'!L$103</f>
        <v>0</v>
      </c>
      <c r="M8" s="146">
        <f>'[2]EU Sunflower Exports'!M$103</f>
        <v>0</v>
      </c>
      <c r="N8" s="146">
        <f>'[2]EU Sunflower Exports'!N$103</f>
        <v>0.24099999999999999</v>
      </c>
      <c r="O8" s="146">
        <f>'[2]EU Sunflower Exports'!O$103</f>
        <v>1E-3</v>
      </c>
      <c r="P8" s="141">
        <f>'[2]EU Sunflower Exports'!P$103</f>
        <v>1E-3</v>
      </c>
      <c r="Q8" s="141">
        <f>'[2]EU Sunflower Exports'!Q$103</f>
        <v>3.0000000000000001E-3</v>
      </c>
      <c r="R8" s="141">
        <f>'[2]EU Sunflower Exports'!R$103</f>
        <v>2.5999999999999999E-2</v>
      </c>
      <c r="S8" s="141">
        <f>'[2]EU Sunflower Exports'!S$103</f>
        <v>0.27199999999999996</v>
      </c>
      <c r="T8" s="141">
        <f>'[2]EU Sunflower Exports'!T$103</f>
        <v>0.20899999999999999</v>
      </c>
      <c r="U8" s="141">
        <f>'[2]EU Sunflower Exports'!U$103</f>
        <v>0.23800000000000002</v>
      </c>
      <c r="V8" s="141">
        <f>'[2]EU Sunflower Exports'!V$103</f>
        <v>0.36399999999999999</v>
      </c>
      <c r="W8" s="141">
        <f>'[2]EU Sunflower Exports'!W$103</f>
        <v>0.41699999999999998</v>
      </c>
      <c r="X8" s="141">
        <f>'[2]EU Sunflower Exports'!X$103</f>
        <v>0.501</v>
      </c>
      <c r="Y8" s="141">
        <f>'[2]EU Sunflower Exports'!Y$103</f>
        <v>0.54900000000000004</v>
      </c>
      <c r="Z8" s="141">
        <f>'[2]EU Sunflower Exports'!Z$103</f>
        <v>0.91399999999999992</v>
      </c>
      <c r="AA8" s="141">
        <f>'[2]EU Sunflower Exports'!AA$103</f>
        <v>0.36</v>
      </c>
      <c r="AB8" s="141">
        <f>'[2]EU Sunflower Exports'!AB$103</f>
        <v>0.47300000000000003</v>
      </c>
      <c r="AC8" s="141">
        <f>'[2]EU Sunflower Exports'!AC$103</f>
        <v>0.13100000000000001</v>
      </c>
      <c r="AD8" s="143">
        <f>'[2]EU Sunflower Exports'!BB$103</f>
        <v>0</v>
      </c>
      <c r="AE8" s="141">
        <f>'[2]EU Sunflower Exports'!AD$103</f>
        <v>0.95699999999999996</v>
      </c>
      <c r="AF8" s="141">
        <f>'[2]EU Sunflower Exports'!AE$103</f>
        <v>0</v>
      </c>
      <c r="AG8" s="141">
        <f>'[2]EU Sunflower Exports'!AF$103</f>
        <v>0</v>
      </c>
      <c r="AH8" s="141">
        <f>'[2]EU Sunflower Exports'!AG$103</f>
        <v>0</v>
      </c>
      <c r="AI8" s="141">
        <f>'[2]EU Sunflower Exports'!AH$103</f>
        <v>0</v>
      </c>
      <c r="AJ8" s="141">
        <f>'[2]EU Sunflower Exports'!AI$103</f>
        <v>0</v>
      </c>
      <c r="AK8" s="141">
        <f>'[2]EU Sunflower Exports'!AJ$103</f>
        <v>0</v>
      </c>
      <c r="AL8" s="141">
        <f>'[2]EU Sunflower Exports'!AK$103</f>
        <v>0</v>
      </c>
      <c r="AM8" s="141">
        <f>'[2]EU Sunflower Exports'!AL$103</f>
        <v>0</v>
      </c>
      <c r="AN8" s="141">
        <f>'[2]EU Sunflower Exports'!AM$103</f>
        <v>0</v>
      </c>
      <c r="AO8" s="141">
        <f>'[2]EU Sunflower Exports'!AN$103</f>
        <v>0</v>
      </c>
      <c r="AP8" s="141">
        <f>'[2]EU Sunflower Exports'!AO$103</f>
        <v>0</v>
      </c>
      <c r="AQ8" s="141">
        <f>'[2]EU Sunflower Exports'!AP$103</f>
        <v>0</v>
      </c>
      <c r="AR8" s="141">
        <f>'[2]EU Sunflower Exports'!AQ$103</f>
        <v>0</v>
      </c>
      <c r="AS8" s="141">
        <f>'[2]EU Sunflower Exports'!AR$103</f>
        <v>0</v>
      </c>
      <c r="AT8" s="141">
        <f>'[2]EU Sunflower Exports'!AS$103</f>
        <v>0</v>
      </c>
      <c r="AU8" s="141">
        <f>'[2]EU Sunflower Exports'!AT$103</f>
        <v>0</v>
      </c>
      <c r="AV8" s="141">
        <f>'[2]EU Sunflower Exports'!AU$103</f>
        <v>0</v>
      </c>
      <c r="AW8" s="141">
        <f>'[2]EU Sunflower Exports'!AV$103</f>
        <v>0</v>
      </c>
      <c r="AX8" s="141">
        <f>'[2]EU Sunflower Exports'!AW$103</f>
        <v>0</v>
      </c>
      <c r="AY8" s="141">
        <f>'[2]EU Sunflower Exports'!AX$103</f>
        <v>0</v>
      </c>
      <c r="AZ8" s="141">
        <f>'[2]EU Sunflower Exports'!AY$103</f>
        <v>0</v>
      </c>
      <c r="BA8" s="141">
        <f>'[2]EU Sunflower Exports'!AZ$103</f>
        <v>0</v>
      </c>
      <c r="BB8" s="141">
        <f>'[2]EU Sunflower Exports'!BA$103</f>
        <v>0</v>
      </c>
      <c r="BC8" s="141">
        <f>'[2]Ukraine Sunflower Exports'!Z$103</f>
        <v>4.5428999999999997E-2</v>
      </c>
      <c r="BD8" s="141">
        <f>'[2]Ukraine Sunflower Exports'!AA$103</f>
        <v>0</v>
      </c>
      <c r="BE8" s="141">
        <f>'[2]Ukraine Sunflower Exports'!AB$103</f>
        <v>0</v>
      </c>
      <c r="BF8" s="141">
        <f>'[2]Ukraine Sunflower Exports'!AC$103</f>
        <v>4.2000000000000003E-2</v>
      </c>
      <c r="BG8" s="143">
        <f>'[2]Ukraine Sunflower Exports'!AD$103</f>
        <v>0</v>
      </c>
      <c r="BH8" s="141">
        <f>'[2]Russia Sunflower Exports'!B$103</f>
        <v>0</v>
      </c>
      <c r="BI8" s="141">
        <f>'[2]Russia Sunflower Exports'!C$103</f>
        <v>0</v>
      </c>
      <c r="BJ8" s="141">
        <f>'[2]Russia Sunflower Exports'!D$103</f>
        <v>0</v>
      </c>
      <c r="BK8" s="141">
        <f>'[2]Russia Sunflower Exports'!E$103</f>
        <v>0</v>
      </c>
      <c r="BL8" s="141">
        <f>'[2]Russia Sunflower Exports'!F$103</f>
        <v>0</v>
      </c>
      <c r="BM8" s="141">
        <f>'[2]Russia Sunflower Exports'!G$103</f>
        <v>0</v>
      </c>
      <c r="BN8" s="141">
        <f>'[2]Russia Sunflower Exports'!H$103</f>
        <v>0</v>
      </c>
      <c r="BO8" s="141">
        <f>'[2]Russia Sunflower Exports'!I$103</f>
        <v>0</v>
      </c>
      <c r="BP8" s="141">
        <f>'[2]Russia Sunflower Exports'!J$103</f>
        <v>0</v>
      </c>
      <c r="BQ8" s="141">
        <f>'[2]Russia Sunflower Exports'!K$103</f>
        <v>0</v>
      </c>
      <c r="BR8" s="141">
        <f>'[2]Russia Sunflower Exports'!L$103</f>
        <v>0</v>
      </c>
      <c r="BS8" s="141">
        <f>'[2]Russia Sunflower Exports'!M$103</f>
        <v>0</v>
      </c>
      <c r="BT8" s="141">
        <f>'[2]Russia Sunflower Exports'!N$103</f>
        <v>0</v>
      </c>
      <c r="BU8" s="141">
        <f>'[2]Russia Sunflower Exports'!O$103</f>
        <v>0</v>
      </c>
      <c r="BV8" s="141">
        <f>'[2]Russia Sunflower Exports'!P$103</f>
        <v>0</v>
      </c>
      <c r="BW8" s="141">
        <f>'[2]Russia Sunflower Exports'!Q$103</f>
        <v>0</v>
      </c>
      <c r="BX8" s="141">
        <f>'[2]Russia Sunflower Exports'!R$103</f>
        <v>0</v>
      </c>
      <c r="BY8" s="141">
        <f>'[2]Russia Sunflower Exports'!S$103</f>
        <v>0</v>
      </c>
      <c r="BZ8" s="141">
        <f>'[2]Russia Sunflower Exports'!T$103</f>
        <v>0</v>
      </c>
      <c r="CA8" s="141">
        <f>'[2]Russia Sunflower Exports'!U$103</f>
        <v>0</v>
      </c>
      <c r="CB8" s="141">
        <f>'[2]Russia Sunflower Exports'!V$103</f>
        <v>0</v>
      </c>
      <c r="CC8" s="141">
        <f>'[2]Russia Sunflower Exports'!W$103</f>
        <v>0</v>
      </c>
      <c r="CD8" s="141">
        <f>'[2]Russia Sunflower Exports'!X$103</f>
        <v>0</v>
      </c>
      <c r="CE8" s="141">
        <f>'[2]Russia Sunflower Exports'!Y$103</f>
        <v>0</v>
      </c>
      <c r="CF8" s="141">
        <f>'[2]Russia Sunflower Exports'!Z$103</f>
        <v>0</v>
      </c>
      <c r="CG8" s="147">
        <f>'[2]Russia Sunflower Exports'!AA$103</f>
        <v>0</v>
      </c>
      <c r="CH8" s="141">
        <f>'[2]Russia Sunflower Exports'!AB$103</f>
        <v>0</v>
      </c>
      <c r="CI8" s="141">
        <f>'[2]Russia Sunflower Exports'!AC$103</f>
        <v>0</v>
      </c>
      <c r="CJ8" s="143">
        <f>'[2]Russia Sunflower Exports'!AD$103</f>
        <v>0</v>
      </c>
      <c r="CK8" s="141">
        <f>'[3]Sunflower Exports'!B$103/2204.622*1000</f>
        <v>0</v>
      </c>
      <c r="CL8" s="141">
        <f>'[3]Sunflower Exports'!C$103/2204.622*1000</f>
        <v>0</v>
      </c>
      <c r="CM8" s="141">
        <f>'[3]Sunflower Exports'!D$103/2204.622*1000</f>
        <v>0</v>
      </c>
      <c r="CN8" s="141">
        <f>'[3]Sunflower Exports'!E$103/2204.622*1000</f>
        <v>9.5500000000000015E-2</v>
      </c>
      <c r="CO8" s="141">
        <f>'[3]Sunflower Exports'!F$103/2204.622*1000</f>
        <v>0</v>
      </c>
      <c r="CP8" s="141">
        <f>'[3]Sunflower Exports'!G$103/2204.622*1000</f>
        <v>0</v>
      </c>
      <c r="CQ8" s="141">
        <f>'[3]Sunflower Exports'!H$103/2204.622*1000</f>
        <v>0</v>
      </c>
      <c r="CR8" s="141">
        <f>'[3]Sunflower Exports'!I$103/2204.622*1000</f>
        <v>0</v>
      </c>
      <c r="CS8" s="141">
        <f>'[3]Sunflower Exports'!J$103/2204.622*1000</f>
        <v>0</v>
      </c>
      <c r="CT8" s="141">
        <f>'[3]Sunflower Exports'!K$103/2204.622*1000</f>
        <v>4.0500000000000001E-2</v>
      </c>
      <c r="CU8" s="141">
        <f>'[3]Sunflower Exports'!L$103/2204.622*1000</f>
        <v>0</v>
      </c>
      <c r="CV8" s="141">
        <f>'[3]Sunflower Exports'!M$103/2204.622*1000</f>
        <v>0</v>
      </c>
      <c r="CW8" s="141">
        <f>'[3]Sunflower Exports'!N$103/2204.622*1000</f>
        <v>1.2682000000000002</v>
      </c>
      <c r="CX8" s="141">
        <f>'[3]Sunflower Exports'!O$103/2204.622*1000</f>
        <v>1.2107999999999999</v>
      </c>
      <c r="CY8" s="141">
        <f>'[3]Sunflower Exports'!P$103/2204.622*1000</f>
        <v>0</v>
      </c>
      <c r="CZ8" s="141">
        <f>'[3]Sunflower Exports'!Q$103/2204.622*1000</f>
        <v>1.8000000000000002E-3</v>
      </c>
      <c r="DA8" s="141">
        <f>'[3]Sunflower Exports'!R$103/2204.622*1000</f>
        <v>2.5800000000000007E-2</v>
      </c>
      <c r="DB8" s="141">
        <f>'[3]Sunflower Exports'!S$103/2204.622*1000</f>
        <v>0.22150000000000003</v>
      </c>
      <c r="DC8" s="141">
        <f>'[3]Sunflower Exports'!T$103/2204.622*1000</f>
        <v>0</v>
      </c>
      <c r="DD8" s="141">
        <f>'[3]Sunflower Exports'!U$103/2204.622*1000</f>
        <v>2.4219999999999997</v>
      </c>
      <c r="DE8" s="141">
        <f>'[3]Sunflower Exports'!V$103/2204.622*1000</f>
        <v>1.1155000000000002</v>
      </c>
      <c r="DF8" s="141">
        <f>'[3]Sunflower Exports'!W$103/2204.622*1000</f>
        <v>2.5290999999999997</v>
      </c>
      <c r="DG8" s="141">
        <f>'[3]Sunflower Exports'!X$103/2204.622*1000</f>
        <v>1.0084</v>
      </c>
      <c r="DH8" s="141">
        <f>'[3]Sunflower Exports'!Y$103/2204.622*1000</f>
        <v>0</v>
      </c>
      <c r="DI8" s="141">
        <f>'[3]Sunflower Exports'!Z$103/2204.622*1000</f>
        <v>1.4161987152446088E-2</v>
      </c>
      <c r="DJ8" s="141">
        <f>'[3]Sunflower Exports'!AA$103/2204.622*1000</f>
        <v>0.33928569220483151</v>
      </c>
      <c r="DK8" s="141">
        <f>'[3]Sunflower Exports'!AB$103/2204.622*1000</f>
        <v>2.7983974613335075E-2</v>
      </c>
      <c r="DL8" s="141">
        <f>'[3]Sunflower Exports'!AC$103/2204.622*1000</f>
        <v>0</v>
      </c>
      <c r="DM8" s="143">
        <f>'[3]Sunflower Exports'!AD$103/2204.622*1000</f>
        <v>0</v>
      </c>
      <c r="DN8" s="141">
        <f t="shared" si="0"/>
        <v>0.95699999999999996</v>
      </c>
      <c r="DO8" s="141">
        <f t="shared" si="0"/>
        <v>0</v>
      </c>
      <c r="DP8" s="141">
        <f t="shared" si="0"/>
        <v>0</v>
      </c>
      <c r="DQ8" s="141">
        <f t="shared" si="0"/>
        <v>9.5500000000000015E-2</v>
      </c>
      <c r="DR8" s="141">
        <f t="shared" si="0"/>
        <v>0</v>
      </c>
      <c r="DS8" s="141">
        <f t="shared" si="0"/>
        <v>0</v>
      </c>
      <c r="DT8" s="141">
        <f t="shared" si="0"/>
        <v>0</v>
      </c>
      <c r="DU8" s="141">
        <f t="shared" si="0"/>
        <v>0</v>
      </c>
      <c r="DV8" s="141">
        <f t="shared" si="0"/>
        <v>0</v>
      </c>
      <c r="DW8" s="141">
        <f t="shared" si="0"/>
        <v>4.0500000000000001E-2</v>
      </c>
      <c r="DX8" s="141">
        <f t="shared" si="0"/>
        <v>0</v>
      </c>
      <c r="DY8" s="141">
        <f t="shared" si="0"/>
        <v>0</v>
      </c>
      <c r="DZ8" s="141">
        <f t="shared" si="0"/>
        <v>1.5092000000000003</v>
      </c>
      <c r="EA8" s="141">
        <f t="shared" si="0"/>
        <v>1.2117999999999998</v>
      </c>
      <c r="EB8" s="141">
        <f t="shared" si="0"/>
        <v>1E-3</v>
      </c>
      <c r="EC8" s="141">
        <f t="shared" si="0"/>
        <v>4.8000000000000004E-3</v>
      </c>
      <c r="ED8" s="141">
        <f t="shared" si="1"/>
        <v>5.1800000000000006E-2</v>
      </c>
      <c r="EE8" s="141">
        <f t="shared" si="1"/>
        <v>0.49349999999999999</v>
      </c>
      <c r="EF8" s="141">
        <f t="shared" si="1"/>
        <v>0.20899999999999999</v>
      </c>
      <c r="EG8" s="141">
        <f t="shared" si="1"/>
        <v>2.6599999999999997</v>
      </c>
      <c r="EH8" s="141">
        <f t="shared" si="1"/>
        <v>1.4795000000000003</v>
      </c>
      <c r="EI8" s="141">
        <f t="shared" si="1"/>
        <v>2.9460999999999995</v>
      </c>
      <c r="EJ8" s="141">
        <f t="shared" si="1"/>
        <v>1.5093999999999999</v>
      </c>
      <c r="EK8" s="141">
        <f t="shared" si="1"/>
        <v>0.54900000000000004</v>
      </c>
      <c r="EL8" s="141">
        <f t="shared" si="1"/>
        <v>0.97359098715244596</v>
      </c>
      <c r="EM8" s="141">
        <f t="shared" si="1"/>
        <v>0.6992856922048315</v>
      </c>
      <c r="EN8" s="141">
        <f t="shared" si="1"/>
        <v>0.5009839746133351</v>
      </c>
      <c r="EO8" s="141">
        <f t="shared" si="1"/>
        <v>0.17300000000000001</v>
      </c>
      <c r="EP8" s="145">
        <f t="shared" si="1"/>
        <v>0</v>
      </c>
      <c r="EQ8" s="145">
        <v>0</v>
      </c>
      <c r="ES8" s="141">
        <f t="shared" si="2"/>
        <v>0</v>
      </c>
      <c r="ET8" s="141">
        <f t="shared" si="2"/>
        <v>0</v>
      </c>
      <c r="EV8" s="141"/>
      <c r="EW8" s="141"/>
      <c r="FB8" s="107"/>
    </row>
    <row r="9" spans="1:158">
      <c r="A9" s="149" t="s">
        <v>140</v>
      </c>
      <c r="B9" s="146">
        <f>'[2]EU Sunflower Exports'!B$104</f>
        <v>0</v>
      </c>
      <c r="C9" s="146">
        <f>'[2]EU Sunflower Exports'!C$104</f>
        <v>0</v>
      </c>
      <c r="D9" s="146">
        <f>'[2]EU Sunflower Exports'!D$104</f>
        <v>0</v>
      </c>
      <c r="E9" s="146">
        <f>'[2]EU Sunflower Exports'!E$104</f>
        <v>0</v>
      </c>
      <c r="F9" s="146">
        <f>'[2]EU Sunflower Exports'!F$104</f>
        <v>0</v>
      </c>
      <c r="G9" s="146">
        <f>'[2]EU Sunflower Exports'!G$104</f>
        <v>0</v>
      </c>
      <c r="H9" s="146">
        <f>'[2]EU Sunflower Exports'!H$104</f>
        <v>0</v>
      </c>
      <c r="I9" s="146">
        <f>'[2]EU Sunflower Exports'!I$104</f>
        <v>2.7E-2</v>
      </c>
      <c r="J9" s="146">
        <f>'[2]EU Sunflower Exports'!J$104</f>
        <v>0</v>
      </c>
      <c r="K9" s="146">
        <f>'[2]EU Sunflower Exports'!K$104</f>
        <v>0</v>
      </c>
      <c r="L9" s="146">
        <f>'[2]EU Sunflower Exports'!L$104</f>
        <v>4.7E-2</v>
      </c>
      <c r="M9" s="146">
        <f>'[2]EU Sunflower Exports'!M$104</f>
        <v>0.05</v>
      </c>
      <c r="N9" s="146">
        <f>'[2]EU Sunflower Exports'!N$104</f>
        <v>0.14199999999999999</v>
      </c>
      <c r="O9" s="146">
        <f>'[2]EU Sunflower Exports'!O$104</f>
        <v>8.0000000000000002E-3</v>
      </c>
      <c r="P9" s="141">
        <f>'[2]EU Sunflower Exports'!P$104</f>
        <v>2.3E-2</v>
      </c>
      <c r="Q9" s="141">
        <f>'[2]EU Sunflower Exports'!Q$104</f>
        <v>0</v>
      </c>
      <c r="R9" s="141">
        <f>'[2]EU Sunflower Exports'!R$104</f>
        <v>6.0000000000000001E-3</v>
      </c>
      <c r="S9" s="141">
        <f>'[2]EU Sunflower Exports'!S$104</f>
        <v>0</v>
      </c>
      <c r="T9" s="141">
        <f>'[2]EU Sunflower Exports'!T$104</f>
        <v>4.4999999999999998E-2</v>
      </c>
      <c r="U9" s="141">
        <f>'[2]EU Sunflower Exports'!U$104</f>
        <v>0</v>
      </c>
      <c r="V9" s="141">
        <f>'[2]EU Sunflower Exports'!V$104</f>
        <v>9.2999999999999999E-2</v>
      </c>
      <c r="W9" s="141">
        <f>'[2]EU Sunflower Exports'!W$104</f>
        <v>0</v>
      </c>
      <c r="X9" s="141">
        <f>'[2]EU Sunflower Exports'!X$104</f>
        <v>1.6339999999999999</v>
      </c>
      <c r="Y9" s="141">
        <f>'[2]EU Sunflower Exports'!Y$104</f>
        <v>1.3370000000000002</v>
      </c>
      <c r="Z9" s="141">
        <f>'[2]EU Sunflower Exports'!Z$104</f>
        <v>2.7629999999999999</v>
      </c>
      <c r="AA9" s="141">
        <f>'[2]EU Sunflower Exports'!AA$104</f>
        <v>1.012</v>
      </c>
      <c r="AB9" s="141">
        <f>'[2]EU Sunflower Exports'!AB$104</f>
        <v>2.4480000000000004</v>
      </c>
      <c r="AC9" s="141">
        <f>'[2]EU Sunflower Exports'!AC$104</f>
        <v>4.4999999999999998E-2</v>
      </c>
      <c r="AD9" s="143">
        <f>'[2]EU Sunflower Exports'!BB$104</f>
        <v>0</v>
      </c>
      <c r="AE9" s="141">
        <f>'[2]EU Sunflower Exports'!AD$104</f>
        <v>0.27799999999999997</v>
      </c>
      <c r="AF9" s="141">
        <f>'[2]EU Sunflower Exports'!AE$104</f>
        <v>0</v>
      </c>
      <c r="AG9" s="141">
        <f>'[2]EU Sunflower Exports'!AF$104</f>
        <v>0</v>
      </c>
      <c r="AH9" s="141">
        <f>'[2]EU Sunflower Exports'!AG$104</f>
        <v>0</v>
      </c>
      <c r="AI9" s="141">
        <f>'[2]EU Sunflower Exports'!AH$104</f>
        <v>0</v>
      </c>
      <c r="AJ9" s="141">
        <f>'[2]EU Sunflower Exports'!AI$104</f>
        <v>0</v>
      </c>
      <c r="AK9" s="141">
        <f>'[2]EU Sunflower Exports'!AJ$104</f>
        <v>0</v>
      </c>
      <c r="AL9" s="141">
        <f>'[2]EU Sunflower Exports'!AK$104</f>
        <v>0</v>
      </c>
      <c r="AM9" s="141">
        <f>'[2]EU Sunflower Exports'!AL$104</f>
        <v>0</v>
      </c>
      <c r="AN9" s="141">
        <f>'[2]EU Sunflower Exports'!AM$104</f>
        <v>0</v>
      </c>
      <c r="AO9" s="141">
        <f>'[2]EU Sunflower Exports'!AN$104</f>
        <v>0</v>
      </c>
      <c r="AP9" s="141">
        <f>'[2]EU Sunflower Exports'!AO$104</f>
        <v>0</v>
      </c>
      <c r="AQ9" s="141">
        <f>'[2]EU Sunflower Exports'!AP$104</f>
        <v>0</v>
      </c>
      <c r="AR9" s="141">
        <f>'[2]EU Sunflower Exports'!AQ$104</f>
        <v>0</v>
      </c>
      <c r="AS9" s="141">
        <f>'[2]EU Sunflower Exports'!AR$104</f>
        <v>0</v>
      </c>
      <c r="AT9" s="141">
        <f>'[2]EU Sunflower Exports'!AS$104</f>
        <v>0</v>
      </c>
      <c r="AU9" s="141">
        <f>'[2]EU Sunflower Exports'!AT$104</f>
        <v>0</v>
      </c>
      <c r="AV9" s="141">
        <f>'[2]EU Sunflower Exports'!AU$104</f>
        <v>0</v>
      </c>
      <c r="AW9" s="141">
        <f>'[2]EU Sunflower Exports'!AV$104</f>
        <v>0</v>
      </c>
      <c r="AX9" s="141">
        <f>'[2]EU Sunflower Exports'!AW$104</f>
        <v>0</v>
      </c>
      <c r="AY9" s="141">
        <f>'[2]EU Sunflower Exports'!AX$104</f>
        <v>0</v>
      </c>
      <c r="AZ9" s="141">
        <f>'[2]EU Sunflower Exports'!AY$104</f>
        <v>0</v>
      </c>
      <c r="BA9" s="141">
        <f>'[2]EU Sunflower Exports'!AZ$104</f>
        <v>0</v>
      </c>
      <c r="BB9" s="141">
        <f>'[2]EU Sunflower Exports'!BA$104</f>
        <v>0</v>
      </c>
      <c r="BC9" s="141">
        <f>'[2]Ukraine Sunflower Exports'!Z$104</f>
        <v>0.311</v>
      </c>
      <c r="BD9" s="141">
        <f>'[2]Ukraine Sunflower Exports'!AA$104</f>
        <v>0.374</v>
      </c>
      <c r="BE9" s="141">
        <f>'[2]Ukraine Sunflower Exports'!AB$104</f>
        <v>0.31699999999999995</v>
      </c>
      <c r="BF9" s="141">
        <f>'[2]Ukraine Sunflower Exports'!AC$104</f>
        <v>0.14000000000000001</v>
      </c>
      <c r="BG9" s="141">
        <f>'[2]Ukraine Sunflower Exports'!AD$104</f>
        <v>0.19600000000000001</v>
      </c>
      <c r="BH9" s="141">
        <f>'[2]Ukraine Sunflower Exports'!AF$104</f>
        <v>0</v>
      </c>
      <c r="BI9" s="141">
        <f>'[2]Ukraine Sunflower Exports'!AG$104</f>
        <v>0</v>
      </c>
      <c r="BJ9" s="141">
        <f>'[2]Ukraine Sunflower Exports'!AH$104</f>
        <v>0</v>
      </c>
      <c r="BK9" s="141">
        <f>'[2]Ukraine Sunflower Exports'!AI$104</f>
        <v>0</v>
      </c>
      <c r="BL9" s="141">
        <f>'[2]Ukraine Sunflower Exports'!AJ$104</f>
        <v>0</v>
      </c>
      <c r="BM9" s="141">
        <f>'[2]Ukraine Sunflower Exports'!AK$104</f>
        <v>0</v>
      </c>
      <c r="BN9" s="141">
        <f>'[2]Ukraine Sunflower Exports'!AL$104</f>
        <v>0</v>
      </c>
      <c r="BO9" s="141">
        <f>'[2]Ukraine Sunflower Exports'!AM$104</f>
        <v>0</v>
      </c>
      <c r="BP9" s="141">
        <f>'[2]Ukraine Sunflower Exports'!AN$104</f>
        <v>0</v>
      </c>
      <c r="BQ9" s="141">
        <f>'[2]Ukraine Sunflower Exports'!AO$104</f>
        <v>0</v>
      </c>
      <c r="BR9" s="141">
        <f>'[2]Ukraine Sunflower Exports'!AP$104</f>
        <v>0</v>
      </c>
      <c r="BS9" s="141">
        <f>'[2]Ukraine Sunflower Exports'!AQ$104</f>
        <v>0</v>
      </c>
      <c r="BT9" s="141">
        <f>'[2]Ukraine Sunflower Exports'!AR$104</f>
        <v>0</v>
      </c>
      <c r="BU9" s="141">
        <f>'[2]Ukraine Sunflower Exports'!AS$104</f>
        <v>0</v>
      </c>
      <c r="BV9" s="141">
        <f>'[2]Ukraine Sunflower Exports'!AT$104</f>
        <v>0</v>
      </c>
      <c r="BW9" s="141">
        <f>'[2]Ukraine Sunflower Exports'!AU$104</f>
        <v>0</v>
      </c>
      <c r="BX9" s="141">
        <f>'[2]Ukraine Sunflower Exports'!AV$104</f>
        <v>0</v>
      </c>
      <c r="BY9" s="141">
        <f>'[2]Ukraine Sunflower Exports'!AW$104</f>
        <v>0</v>
      </c>
      <c r="BZ9" s="141">
        <f>'[2]Ukraine Sunflower Exports'!AX$104</f>
        <v>0</v>
      </c>
      <c r="CA9" s="141">
        <f>'[2]Ukraine Sunflower Exports'!AY$104</f>
        <v>0</v>
      </c>
      <c r="CB9" s="141">
        <f>'[2]Ukraine Sunflower Exports'!AZ$104</f>
        <v>0</v>
      </c>
      <c r="CC9" s="141">
        <f>'[2]Ukraine Sunflower Exports'!BA$104</f>
        <v>0</v>
      </c>
      <c r="CD9" s="141">
        <f>'[2]Ukraine Sunflower Exports'!BB$104</f>
        <v>0</v>
      </c>
      <c r="CE9" s="141">
        <f>'[2]Ukraine Sunflower Exports'!BC$104</f>
        <v>0</v>
      </c>
      <c r="CF9" s="141">
        <f>'[2]Ukraine Sunflower Exports'!BD$104</f>
        <v>0</v>
      </c>
      <c r="CG9" s="147">
        <f>'[2]Russia Sunflower Exports'!AA$104</f>
        <v>0.18565000000000001</v>
      </c>
      <c r="CH9" s="141">
        <f>'[2]Russia Sunflower Exports'!AB$104</f>
        <v>0</v>
      </c>
      <c r="CI9" s="141">
        <f>'[2]Russia Sunflower Exports'!AC$104</f>
        <v>0</v>
      </c>
      <c r="CJ9" s="143">
        <f>'[2]Russia Sunflower Exports'!AD$104</f>
        <v>0</v>
      </c>
      <c r="CK9" s="141">
        <f>'[3]Sunflower Exports'!B$104/2204.622*1000</f>
        <v>0</v>
      </c>
      <c r="CL9" s="141">
        <f>'[3]Sunflower Exports'!C$104/2204.622*1000</f>
        <v>0</v>
      </c>
      <c r="CM9" s="141">
        <f>'[3]Sunflower Exports'!D$104/2204.622*1000</f>
        <v>0</v>
      </c>
      <c r="CN9" s="141">
        <f>'[3]Sunflower Exports'!E$104/2204.622*1000</f>
        <v>0</v>
      </c>
      <c r="CO9" s="141">
        <f>'[3]Sunflower Exports'!F$104/2204.622*1000</f>
        <v>0</v>
      </c>
      <c r="CP9" s="141">
        <f>'[3]Sunflower Exports'!G$104/2204.622*1000</f>
        <v>0</v>
      </c>
      <c r="CQ9" s="141">
        <f>'[3]Sunflower Exports'!H$104/2204.622*1000</f>
        <v>0</v>
      </c>
      <c r="CR9" s="141">
        <f>'[3]Sunflower Exports'!I$104/2204.622*1000</f>
        <v>0</v>
      </c>
      <c r="CS9" s="141">
        <f>'[3]Sunflower Exports'!J$104/2204.622*1000</f>
        <v>0</v>
      </c>
      <c r="CT9" s="141">
        <f>'[3]Sunflower Exports'!K$104/2204.622*1000</f>
        <v>0</v>
      </c>
      <c r="CU9" s="141">
        <f>'[3]Sunflower Exports'!L$104/2204.622*1000</f>
        <v>0</v>
      </c>
      <c r="CV9" s="141">
        <f>'[3]Sunflower Exports'!M$104/2204.622*1000</f>
        <v>0</v>
      </c>
      <c r="CW9" s="141">
        <f>'[3]Sunflower Exports'!N$104/2204.622*1000</f>
        <v>0</v>
      </c>
      <c r="CX9" s="141">
        <f>'[3]Sunflower Exports'!O$104/2204.622*1000</f>
        <v>0</v>
      </c>
      <c r="CY9" s="141">
        <f>'[3]Sunflower Exports'!P$104/2204.622*1000</f>
        <v>0</v>
      </c>
      <c r="CZ9" s="141">
        <f>'[3]Sunflower Exports'!Q$104/2204.622*1000</f>
        <v>0</v>
      </c>
      <c r="DA9" s="141">
        <f>'[3]Sunflower Exports'!R$104/2204.622*1000</f>
        <v>0</v>
      </c>
      <c r="DB9" s="141">
        <f>'[3]Sunflower Exports'!S$104/2204.622*1000</f>
        <v>0</v>
      </c>
      <c r="DC9" s="141">
        <f>'[3]Sunflower Exports'!T$104/2204.622*1000</f>
        <v>0</v>
      </c>
      <c r="DD9" s="141">
        <f>'[3]Sunflower Exports'!U$104/2204.622*1000</f>
        <v>0</v>
      </c>
      <c r="DE9" s="141">
        <f>'[3]Sunflower Exports'!V$104/2204.622*1000</f>
        <v>0</v>
      </c>
      <c r="DF9" s="141">
        <f>'[3]Sunflower Exports'!W$104/2204.622*1000</f>
        <v>0</v>
      </c>
      <c r="DG9" s="141">
        <f>'[3]Sunflower Exports'!X$104/2204.622*1000</f>
        <v>0</v>
      </c>
      <c r="DH9" s="141">
        <f>'[3]Sunflower Exports'!Y$104/2204.622*1000</f>
        <v>0</v>
      </c>
      <c r="DI9" s="141">
        <f>'[3]Sunflower Exports'!Z$104/2204.622*1000</f>
        <v>0</v>
      </c>
      <c r="DJ9" s="141">
        <f>'[3]Sunflower Exports'!AA$104/2204.622*1000</f>
        <v>0</v>
      </c>
      <c r="DK9" s="141">
        <f>'[3]Sunflower Exports'!AB$104/2204.622*1000</f>
        <v>0</v>
      </c>
      <c r="DL9" s="141">
        <f>'[3]Sunflower Exports'!AC$104/2204.622*1000</f>
        <v>0</v>
      </c>
      <c r="DM9" s="143">
        <f>'[3]Sunflower Exports'!AD$104/2204.622*1000</f>
        <v>0</v>
      </c>
      <c r="DN9" s="141">
        <f t="shared" si="0"/>
        <v>0.27799999999999997</v>
      </c>
      <c r="DO9" s="141">
        <f t="shared" si="0"/>
        <v>0</v>
      </c>
      <c r="DP9" s="141">
        <f t="shared" si="0"/>
        <v>0</v>
      </c>
      <c r="DQ9" s="141">
        <f t="shared" si="0"/>
        <v>0</v>
      </c>
      <c r="DR9" s="141">
        <f t="shared" si="0"/>
        <v>0</v>
      </c>
      <c r="DS9" s="141">
        <f t="shared" si="0"/>
        <v>0</v>
      </c>
      <c r="DT9" s="141">
        <f t="shared" si="0"/>
        <v>0</v>
      </c>
      <c r="DU9" s="141">
        <f t="shared" si="0"/>
        <v>2.7E-2</v>
      </c>
      <c r="DV9" s="141">
        <f t="shared" si="0"/>
        <v>0</v>
      </c>
      <c r="DW9" s="141">
        <f t="shared" si="0"/>
        <v>0</v>
      </c>
      <c r="DX9" s="141">
        <f t="shared" si="0"/>
        <v>4.7E-2</v>
      </c>
      <c r="DY9" s="141">
        <f t="shared" si="0"/>
        <v>0.05</v>
      </c>
      <c r="DZ9" s="141">
        <f t="shared" si="0"/>
        <v>0.14199999999999999</v>
      </c>
      <c r="EA9" s="141">
        <f t="shared" si="0"/>
        <v>8.0000000000000002E-3</v>
      </c>
      <c r="EB9" s="141">
        <f t="shared" si="0"/>
        <v>2.3E-2</v>
      </c>
      <c r="EC9" s="141">
        <f t="shared" si="0"/>
        <v>0</v>
      </c>
      <c r="ED9" s="141">
        <f t="shared" si="1"/>
        <v>6.0000000000000001E-3</v>
      </c>
      <c r="EE9" s="141">
        <f t="shared" si="1"/>
        <v>0</v>
      </c>
      <c r="EF9" s="141">
        <f t="shared" si="1"/>
        <v>4.4999999999999998E-2</v>
      </c>
      <c r="EG9" s="141">
        <f t="shared" si="1"/>
        <v>0</v>
      </c>
      <c r="EH9" s="141">
        <f t="shared" si="1"/>
        <v>9.2999999999999999E-2</v>
      </c>
      <c r="EI9" s="141">
        <f t="shared" si="1"/>
        <v>0</v>
      </c>
      <c r="EJ9" s="141">
        <f t="shared" si="1"/>
        <v>1.6339999999999999</v>
      </c>
      <c r="EK9" s="141">
        <f t="shared" si="1"/>
        <v>1.3370000000000002</v>
      </c>
      <c r="EL9" s="141">
        <f t="shared" si="1"/>
        <v>3.0739999999999998</v>
      </c>
      <c r="EM9" s="141">
        <f t="shared" si="1"/>
        <v>1.5716500000000002</v>
      </c>
      <c r="EN9" s="141">
        <f t="shared" si="1"/>
        <v>2.7650000000000006</v>
      </c>
      <c r="EO9" s="141">
        <f t="shared" si="1"/>
        <v>0.185</v>
      </c>
      <c r="EP9" s="145">
        <f t="shared" si="1"/>
        <v>0.19600000000000001</v>
      </c>
      <c r="EQ9" s="145">
        <v>0</v>
      </c>
      <c r="ES9" s="141">
        <f t="shared" si="2"/>
        <v>0</v>
      </c>
      <c r="ET9" s="141">
        <f t="shared" si="2"/>
        <v>0</v>
      </c>
      <c r="EV9" s="141"/>
      <c r="EW9" s="141"/>
      <c r="FB9" s="107"/>
    </row>
    <row r="10" spans="1:158">
      <c r="A10" s="149" t="s">
        <v>141</v>
      </c>
      <c r="B10" s="146">
        <f>'[2]EU Sunflower Exports'!B$107</f>
        <v>0</v>
      </c>
      <c r="C10" s="146">
        <f>'[2]EU Sunflower Exports'!C$107</f>
        <v>0</v>
      </c>
      <c r="D10" s="146">
        <f>'[2]EU Sunflower Exports'!D$107</f>
        <v>0</v>
      </c>
      <c r="E10" s="146">
        <f>'[2]EU Sunflower Exports'!E$107</f>
        <v>9.9000000000000005E-2</v>
      </c>
      <c r="F10" s="146">
        <f>'[2]EU Sunflower Exports'!F$107</f>
        <v>4.5999999999999999E-2</v>
      </c>
      <c r="G10" s="146">
        <f>'[2]EU Sunflower Exports'!G$107</f>
        <v>5.5860000000000003</v>
      </c>
      <c r="H10" s="146">
        <f>'[2]EU Sunflower Exports'!H$107</f>
        <v>21.675999999999998</v>
      </c>
      <c r="I10" s="146">
        <f>'[2]EU Sunflower Exports'!I$107</f>
        <v>4.6000000000000006E-2</v>
      </c>
      <c r="J10" s="146">
        <f>'[2]EU Sunflower Exports'!J$107</f>
        <v>5.0189999999999992</v>
      </c>
      <c r="K10" s="146">
        <f>'[2]EU Sunflower Exports'!K$107</f>
        <v>1.2289999999999996</v>
      </c>
      <c r="L10" s="146">
        <f>'[2]EU Sunflower Exports'!L$107</f>
        <v>0.35099999999999998</v>
      </c>
      <c r="M10" s="146">
        <f>'[2]EU Sunflower Exports'!M$107</f>
        <v>0.3590000000000001</v>
      </c>
      <c r="N10" s="146">
        <f>'[2]EU Sunflower Exports'!N$107</f>
        <v>0.27900000000000003</v>
      </c>
      <c r="O10" s="146">
        <f>'[2]EU Sunflower Exports'!O$107</f>
        <v>0.153</v>
      </c>
      <c r="P10" s="141">
        <f>'[2]EU Sunflower Exports'!P$107</f>
        <v>0.19400000000000001</v>
      </c>
      <c r="Q10" s="141">
        <f>'[2]EU Sunflower Exports'!Q$107</f>
        <v>1.6659999999999997</v>
      </c>
      <c r="R10" s="141">
        <f>'[2]EU Sunflower Exports'!R$107</f>
        <v>0.18</v>
      </c>
      <c r="S10" s="141">
        <f>'[2]EU Sunflower Exports'!S$107</f>
        <v>0.09</v>
      </c>
      <c r="T10" s="141">
        <f>'[2]EU Sunflower Exports'!T$107</f>
        <v>0.54100000000000004</v>
      </c>
      <c r="U10" s="141">
        <f>'[2]EU Sunflower Exports'!U$107</f>
        <v>0.253</v>
      </c>
      <c r="V10" s="141">
        <f>'[2]EU Sunflower Exports'!V$107</f>
        <v>1.4689999999999999</v>
      </c>
      <c r="W10" s="141">
        <f>'[2]EU Sunflower Exports'!W$107</f>
        <v>1.3760000000000003</v>
      </c>
      <c r="X10" s="141">
        <f>'[2]EU Sunflower Exports'!X$107</f>
        <v>1.32</v>
      </c>
      <c r="Y10" s="141">
        <f>'[2]EU Sunflower Exports'!Y$107</f>
        <v>1.5250000000000001</v>
      </c>
      <c r="Z10" s="141">
        <f>'[2]EU Sunflower Exports'!Z$107</f>
        <v>1.8420000000000001</v>
      </c>
      <c r="AA10" s="141">
        <f>'[2]EU Sunflower Exports'!AA$107</f>
        <v>1.3780000000000001</v>
      </c>
      <c r="AB10" s="141">
        <f>'[2]EU Sunflower Exports'!AB$107</f>
        <v>3.4239999999999999</v>
      </c>
      <c r="AC10" s="141">
        <f>'[2]EU Sunflower Exports'!AC$107</f>
        <v>3.1379999999999995</v>
      </c>
      <c r="AD10" s="143">
        <f>'[2]EU Sunflower Exports'!BB$107</f>
        <v>0</v>
      </c>
      <c r="AE10" s="141">
        <f>'[2]EU Sunflower Exports'!AD$107</f>
        <v>3.5220000000000002</v>
      </c>
      <c r="AF10" s="141">
        <f>'[2]EU Sunflower Exports'!AE$107</f>
        <v>0</v>
      </c>
      <c r="AG10" s="141">
        <f>'[2]EU Sunflower Exports'!AF$107</f>
        <v>0</v>
      </c>
      <c r="AH10" s="141">
        <f>'[2]EU Sunflower Exports'!AG$107</f>
        <v>0</v>
      </c>
      <c r="AI10" s="141">
        <f>'[2]EU Sunflower Exports'!AH$107</f>
        <v>0</v>
      </c>
      <c r="AJ10" s="141">
        <f>'[2]EU Sunflower Exports'!AI$107</f>
        <v>0</v>
      </c>
      <c r="AK10" s="141">
        <f>'[2]EU Sunflower Exports'!AJ$107</f>
        <v>0</v>
      </c>
      <c r="AL10" s="141">
        <f>'[2]EU Sunflower Exports'!AK$107</f>
        <v>0</v>
      </c>
      <c r="AM10" s="141">
        <f>'[2]EU Sunflower Exports'!AL$107</f>
        <v>0</v>
      </c>
      <c r="AN10" s="141">
        <f>'[2]EU Sunflower Exports'!AM$107</f>
        <v>0</v>
      </c>
      <c r="AO10" s="141">
        <f>'[2]EU Sunflower Exports'!AN$107</f>
        <v>0</v>
      </c>
      <c r="AP10" s="141">
        <f>'[2]EU Sunflower Exports'!AO$107</f>
        <v>0</v>
      </c>
      <c r="AQ10" s="141">
        <f>'[2]EU Sunflower Exports'!AP$107</f>
        <v>0</v>
      </c>
      <c r="AR10" s="141">
        <f>'[2]EU Sunflower Exports'!AQ$107</f>
        <v>0</v>
      </c>
      <c r="AS10" s="141">
        <f>'[2]EU Sunflower Exports'!AR$107</f>
        <v>0</v>
      </c>
      <c r="AT10" s="141">
        <f>'[2]EU Sunflower Exports'!AS$107</f>
        <v>0</v>
      </c>
      <c r="AU10" s="141">
        <f>'[2]EU Sunflower Exports'!AT$107</f>
        <v>0</v>
      </c>
      <c r="AV10" s="141">
        <f>'[2]EU Sunflower Exports'!AU$107</f>
        <v>0</v>
      </c>
      <c r="AW10" s="141">
        <f>'[2]EU Sunflower Exports'!AV$107</f>
        <v>0</v>
      </c>
      <c r="AX10" s="141">
        <f>'[2]EU Sunflower Exports'!AW$107</f>
        <v>0</v>
      </c>
      <c r="AY10" s="141">
        <f>'[2]EU Sunflower Exports'!AX$107</f>
        <v>0</v>
      </c>
      <c r="AZ10" s="141">
        <f>'[2]EU Sunflower Exports'!AY$107</f>
        <v>0</v>
      </c>
      <c r="BA10" s="141">
        <f>'[2]EU Sunflower Exports'!AZ$107</f>
        <v>0</v>
      </c>
      <c r="BB10" s="141">
        <f>'[2]EU Sunflower Exports'!BA$107</f>
        <v>0</v>
      </c>
      <c r="BC10" s="141">
        <f>'[2]Ukraine Sunflower Exports'!Z$107</f>
        <v>0</v>
      </c>
      <c r="BD10" s="141">
        <f>'[2]Ukraine Sunflower Exports'!AA$107</f>
        <v>1.7849999999999999E-3</v>
      </c>
      <c r="BE10" s="141">
        <f>'[2]Ukraine Sunflower Exports'!AB$107</f>
        <v>2.5538000000000002E-2</v>
      </c>
      <c r="BF10" s="141">
        <f>'[2]Ukraine Sunflower Exports'!AC$107</f>
        <v>0</v>
      </c>
      <c r="BG10" s="141">
        <f>'[2]Ukraine Sunflower Exports'!AD$107</f>
        <v>0.108</v>
      </c>
      <c r="BH10" s="141">
        <f>'[2]Russia Sunflower Exports'!B$107</f>
        <v>0</v>
      </c>
      <c r="BI10" s="141">
        <f>'[2]Russia Sunflower Exports'!C$107</f>
        <v>0</v>
      </c>
      <c r="BJ10" s="141">
        <f>'[2]Russia Sunflower Exports'!D$107</f>
        <v>0</v>
      </c>
      <c r="BK10" s="141">
        <f>'[2]Russia Sunflower Exports'!E$107</f>
        <v>4.7831000000000001</v>
      </c>
      <c r="BL10" s="141">
        <f>'[2]Russia Sunflower Exports'!F$107</f>
        <v>23.510870000000001</v>
      </c>
      <c r="BM10" s="141">
        <f>'[2]Russia Sunflower Exports'!G$107</f>
        <v>1.9156500000000001</v>
      </c>
      <c r="BN10" s="141">
        <f>'[2]Russia Sunflower Exports'!H$107</f>
        <v>8.4494310000000006</v>
      </c>
      <c r="BO10" s="141">
        <f>'[2]Russia Sunflower Exports'!I$107</f>
        <v>8.7130299999999998</v>
      </c>
      <c r="BP10" s="141">
        <f>'[2]Russia Sunflower Exports'!J$107</f>
        <v>1.92916</v>
      </c>
      <c r="BQ10" s="141">
        <f>'[2]Russia Sunflower Exports'!K$107</f>
        <v>1.863</v>
      </c>
      <c r="BR10" s="141">
        <f>'[2]Russia Sunflower Exports'!L$107</f>
        <v>2.2459999999999996</v>
      </c>
      <c r="BS10" s="141">
        <f>'[2]Russia Sunflower Exports'!M$107</f>
        <v>3.649</v>
      </c>
      <c r="BT10" s="141">
        <f>'[2]Russia Sunflower Exports'!N$107</f>
        <v>7.870000000000001</v>
      </c>
      <c r="BU10" s="141">
        <f>'[2]Russia Sunflower Exports'!O$107</f>
        <v>6.3E-2</v>
      </c>
      <c r="BV10" s="141">
        <f>'[2]Russia Sunflower Exports'!P$107</f>
        <v>4.9999999999999989E-2</v>
      </c>
      <c r="BW10" s="141">
        <f>'[2]Russia Sunflower Exports'!Q$107</f>
        <v>2.2199999999999998</v>
      </c>
      <c r="BX10" s="141">
        <f>'[2]Russia Sunflower Exports'!R$107</f>
        <v>0</v>
      </c>
      <c r="BY10" s="141">
        <f>'[2]Russia Sunflower Exports'!S$107</f>
        <v>0</v>
      </c>
      <c r="BZ10" s="141">
        <f>'[2]Russia Sunflower Exports'!T$107</f>
        <v>0</v>
      </c>
      <c r="CA10" s="141">
        <f>'[2]Russia Sunflower Exports'!U$107</f>
        <v>0</v>
      </c>
      <c r="CB10" s="141">
        <f>'[2]Russia Sunflower Exports'!V$107</f>
        <v>0</v>
      </c>
      <c r="CC10" s="141">
        <f>'[2]Russia Sunflower Exports'!W$107</f>
        <v>1E-3</v>
      </c>
      <c r="CD10" s="141">
        <f>'[2]Russia Sunflower Exports'!X$107</f>
        <v>3.0000000000000001E-3</v>
      </c>
      <c r="CE10" s="141">
        <f>'[2]Russia Sunflower Exports'!Y$107</f>
        <v>3.0000000000000001E-3</v>
      </c>
      <c r="CF10" s="141">
        <f>'[2]Russia Sunflower Exports'!Z$107</f>
        <v>6.1399999999999996E-4</v>
      </c>
      <c r="CG10" s="147">
        <f>'[2]Russia Sunflower Exports'!AA$107</f>
        <v>9.2394000000000004E-2</v>
      </c>
      <c r="CH10" s="141">
        <f>'[2]Russia Sunflower Exports'!AB$107</f>
        <v>7.2902999999999996E-2</v>
      </c>
      <c r="CI10" s="141">
        <f>'[2]Russia Sunflower Exports'!AC$107</f>
        <v>0</v>
      </c>
      <c r="CJ10" s="143">
        <f>'[2]Russia Sunflower Exports'!AD$107</f>
        <v>0</v>
      </c>
      <c r="CK10" s="141">
        <f>'[3]Sunflower Exports'!B$107/2204.622*1000</f>
        <v>0</v>
      </c>
      <c r="CL10" s="141">
        <f>'[3]Sunflower Exports'!C$107/2204.622*1000</f>
        <v>1.7719</v>
      </c>
      <c r="CM10" s="141">
        <f>'[3]Sunflower Exports'!D$107/2204.622*1000</f>
        <v>0.72450000000000003</v>
      </c>
      <c r="CN10" s="141">
        <f>'[3]Sunflower Exports'!E$107/2204.622*1000</f>
        <v>0.82910000000000006</v>
      </c>
      <c r="CO10" s="141">
        <f>'[3]Sunflower Exports'!F$107/2204.622*1000</f>
        <v>0.95410000000000006</v>
      </c>
      <c r="CP10" s="141">
        <f>'[3]Sunflower Exports'!G$107/2204.622*1000</f>
        <v>2.2504</v>
      </c>
      <c r="CQ10" s="141">
        <f>'[3]Sunflower Exports'!H$107/2204.622*1000</f>
        <v>1.6136000000000001</v>
      </c>
      <c r="CR10" s="141">
        <f>'[3]Sunflower Exports'!I$107/2204.622*1000</f>
        <v>1.9633000000000003</v>
      </c>
      <c r="CS10" s="141">
        <f>'[3]Sunflower Exports'!J$107/2204.622*1000</f>
        <v>2.4053000000000009</v>
      </c>
      <c r="CT10" s="141">
        <f>'[3]Sunflower Exports'!K$107/2204.622*1000</f>
        <v>3.5564000000000004</v>
      </c>
      <c r="CU10" s="141">
        <f>'[3]Sunflower Exports'!L$107/2204.622*1000</f>
        <v>2.1015999999999999</v>
      </c>
      <c r="CV10" s="141">
        <f>'[3]Sunflower Exports'!M$107/2204.622*1000</f>
        <v>1.8923000000000003</v>
      </c>
      <c r="CW10" s="141">
        <f>'[3]Sunflower Exports'!N$107/2204.622*1000</f>
        <v>1.6364000000000001</v>
      </c>
      <c r="CX10" s="141">
        <f>'[3]Sunflower Exports'!O$107/2204.622*1000</f>
        <v>3.1743000000000001</v>
      </c>
      <c r="CY10" s="141">
        <f>'[3]Sunflower Exports'!P$107/2204.622*1000</f>
        <v>4.9756</v>
      </c>
      <c r="CZ10" s="141">
        <f>'[3]Sunflower Exports'!Q$107/2204.622*1000</f>
        <v>3.481100000000001</v>
      </c>
      <c r="DA10" s="141">
        <f>'[3]Sunflower Exports'!R$107/2204.622*1000</f>
        <v>5.253099999999999</v>
      </c>
      <c r="DB10" s="141">
        <f>'[3]Sunflower Exports'!S$107/2204.622*1000</f>
        <v>4.1392000000000007</v>
      </c>
      <c r="DC10" s="141">
        <f>'[3]Sunflower Exports'!T$107/2204.622*1000</f>
        <v>2.7314000000000007</v>
      </c>
      <c r="DD10" s="141">
        <f>'[3]Sunflower Exports'!U$107/2204.622*1000</f>
        <v>4.3123000000000005</v>
      </c>
      <c r="DE10" s="141">
        <f>'[3]Sunflower Exports'!V$107/2204.622*1000</f>
        <v>4.9896000000000003</v>
      </c>
      <c r="DF10" s="141">
        <f>'[3]Sunflower Exports'!W$107/2204.622*1000</f>
        <v>2.8908</v>
      </c>
      <c r="DG10" s="141">
        <f>'[3]Sunflower Exports'!X$107/2204.622*1000</f>
        <v>1.4088000000000003</v>
      </c>
      <c r="DH10" s="141">
        <f>'[3]Sunflower Exports'!Y$107/2204.622*1000</f>
        <v>3.2180179292232416</v>
      </c>
      <c r="DI10" s="141">
        <f>'[3]Sunflower Exports'!Z$107/2204.622*1000</f>
        <v>3.0537522296792829</v>
      </c>
      <c r="DJ10" s="141">
        <f>'[3]Sunflower Exports'!AA$107/2204.622*1000</f>
        <v>2.6601575867427618</v>
      </c>
      <c r="DK10" s="141">
        <f>'[3]Sunflower Exports'!AB$107/2204.622*1000</f>
        <v>2.9529883210908725</v>
      </c>
      <c r="DL10" s="141">
        <f>'[3]Sunflower Exports'!AC$107/2204.622*1000</f>
        <v>1.9599393362671695</v>
      </c>
      <c r="DM10" s="143">
        <v>2</v>
      </c>
      <c r="DN10" s="141">
        <f t="shared" si="0"/>
        <v>3.5220000000000002</v>
      </c>
      <c r="DO10" s="141">
        <f t="shared" si="0"/>
        <v>1.7719</v>
      </c>
      <c r="DP10" s="141">
        <f t="shared" si="0"/>
        <v>0.72450000000000003</v>
      </c>
      <c r="DQ10" s="141">
        <f t="shared" si="0"/>
        <v>5.7112000000000007</v>
      </c>
      <c r="DR10" s="141">
        <f t="shared" si="0"/>
        <v>24.51097</v>
      </c>
      <c r="DS10" s="141">
        <f t="shared" si="0"/>
        <v>9.7520500000000006</v>
      </c>
      <c r="DT10" s="141">
        <f t="shared" si="0"/>
        <v>31.739031000000001</v>
      </c>
      <c r="DU10" s="141">
        <f t="shared" si="0"/>
        <v>10.722329999999999</v>
      </c>
      <c r="DV10" s="141">
        <f t="shared" si="0"/>
        <v>9.3534600000000001</v>
      </c>
      <c r="DW10" s="141">
        <f t="shared" si="0"/>
        <v>6.6484000000000005</v>
      </c>
      <c r="DX10" s="141">
        <f t="shared" si="0"/>
        <v>4.698599999999999</v>
      </c>
      <c r="DY10" s="141">
        <f t="shared" si="0"/>
        <v>5.9003000000000005</v>
      </c>
      <c r="DZ10" s="141">
        <f t="shared" si="0"/>
        <v>9.785400000000001</v>
      </c>
      <c r="EA10" s="141">
        <f t="shared" si="0"/>
        <v>3.3903000000000003</v>
      </c>
      <c r="EB10" s="141">
        <f t="shared" si="0"/>
        <v>5.2195999999999998</v>
      </c>
      <c r="EC10" s="141">
        <f t="shared" si="0"/>
        <v>7.3671000000000006</v>
      </c>
      <c r="ED10" s="141">
        <f t="shared" si="1"/>
        <v>5.4330999999999987</v>
      </c>
      <c r="EE10" s="141">
        <f t="shared" si="1"/>
        <v>4.2292000000000005</v>
      </c>
      <c r="EF10" s="141">
        <f t="shared" si="1"/>
        <v>3.2724000000000006</v>
      </c>
      <c r="EG10" s="141">
        <f t="shared" si="1"/>
        <v>4.5653000000000006</v>
      </c>
      <c r="EH10" s="141">
        <f t="shared" si="1"/>
        <v>6.4586000000000006</v>
      </c>
      <c r="EI10" s="141">
        <f t="shared" si="1"/>
        <v>4.2678000000000003</v>
      </c>
      <c r="EJ10" s="141">
        <f t="shared" si="1"/>
        <v>2.7318000000000002</v>
      </c>
      <c r="EK10" s="141">
        <f t="shared" si="1"/>
        <v>4.7460179292232416</v>
      </c>
      <c r="EL10" s="141">
        <f t="shared" si="1"/>
        <v>4.8963662296792831</v>
      </c>
      <c r="EM10" s="141">
        <f t="shared" si="1"/>
        <v>4.1323365867427615</v>
      </c>
      <c r="EN10" s="141">
        <f t="shared" si="1"/>
        <v>6.4754293210908731</v>
      </c>
      <c r="EO10" s="141">
        <f t="shared" si="1"/>
        <v>5.097939336267169</v>
      </c>
      <c r="EP10" s="145">
        <f t="shared" si="1"/>
        <v>2.1080000000000001</v>
      </c>
      <c r="EQ10" s="145">
        <v>2</v>
      </c>
      <c r="ES10" s="141">
        <f t="shared" si="2"/>
        <v>0</v>
      </c>
      <c r="ET10" s="141">
        <f t="shared" si="2"/>
        <v>0</v>
      </c>
      <c r="EV10" s="141"/>
      <c r="EW10" s="141"/>
      <c r="FB10" s="107"/>
    </row>
    <row r="11" spans="1:158">
      <c r="A11" s="149" t="s">
        <v>142</v>
      </c>
      <c r="B11" s="146">
        <f>'[2]EU Sunflower Exports'!B$108</f>
        <v>0</v>
      </c>
      <c r="C11" s="146">
        <f>'[2]EU Sunflower Exports'!C$108</f>
        <v>0</v>
      </c>
      <c r="D11" s="146">
        <f>'[2]EU Sunflower Exports'!D$108</f>
        <v>0</v>
      </c>
      <c r="E11" s="146">
        <f>'[2]EU Sunflower Exports'!E$108</f>
        <v>6.0000000000000001E-3</v>
      </c>
      <c r="F11" s="146">
        <f>'[2]EU Sunflower Exports'!F$108</f>
        <v>9.5000000000000001E-2</v>
      </c>
      <c r="G11" s="146">
        <f>'[2]EU Sunflower Exports'!G$108</f>
        <v>0.317</v>
      </c>
      <c r="H11" s="146">
        <f>'[2]EU Sunflower Exports'!H$108</f>
        <v>0.20399999999999999</v>
      </c>
      <c r="I11" s="146">
        <f>'[2]EU Sunflower Exports'!I$108</f>
        <v>0.48199999999999993</v>
      </c>
      <c r="J11" s="146">
        <f>'[2]EU Sunflower Exports'!J$108</f>
        <v>0.57000000000000006</v>
      </c>
      <c r="K11" s="146">
        <f>'[2]EU Sunflower Exports'!K$108</f>
        <v>0.59900000000000009</v>
      </c>
      <c r="L11" s="146">
        <f>'[2]EU Sunflower Exports'!L$108</f>
        <v>0.115</v>
      </c>
      <c r="M11" s="146">
        <f>'[2]EU Sunflower Exports'!M$108</f>
        <v>0.34400000000000008</v>
      </c>
      <c r="N11" s="146">
        <f>'[2]EU Sunflower Exports'!N$108</f>
        <v>0.23599999999999996</v>
      </c>
      <c r="O11" s="146">
        <f>'[2]EU Sunflower Exports'!O$108</f>
        <v>0.40600000000000003</v>
      </c>
      <c r="P11" s="141">
        <f>'[2]EU Sunflower Exports'!P$108</f>
        <v>0.28600000000000003</v>
      </c>
      <c r="Q11" s="141">
        <f>'[2]EU Sunflower Exports'!Q$108</f>
        <v>0.24899999999999997</v>
      </c>
      <c r="R11" s="141">
        <f>'[2]EU Sunflower Exports'!R$108</f>
        <v>0.33700000000000002</v>
      </c>
      <c r="S11" s="141">
        <f>'[2]EU Sunflower Exports'!S$108</f>
        <v>0.20399999999999999</v>
      </c>
      <c r="T11" s="141">
        <f>'[2]EU Sunflower Exports'!T$108</f>
        <v>0.14899999999999999</v>
      </c>
      <c r="U11" s="141">
        <f>'[2]EU Sunflower Exports'!U$108</f>
        <v>0.2</v>
      </c>
      <c r="V11" s="141">
        <f>'[2]EU Sunflower Exports'!V$108</f>
        <v>0.34900000000000003</v>
      </c>
      <c r="W11" s="141">
        <f>'[2]EU Sunflower Exports'!W$108</f>
        <v>0.32600000000000001</v>
      </c>
      <c r="X11" s="141">
        <f>'[2]EU Sunflower Exports'!X$108</f>
        <v>0.30299999999999999</v>
      </c>
      <c r="Y11" s="141">
        <f>'[2]EU Sunflower Exports'!Y$108</f>
        <v>0.27600000000000002</v>
      </c>
      <c r="Z11" s="141">
        <f>'[2]EU Sunflower Exports'!Z$108</f>
        <v>0.26300000000000001</v>
      </c>
      <c r="AA11" s="141">
        <f>'[2]EU Sunflower Exports'!AA$108</f>
        <v>0.253</v>
      </c>
      <c r="AB11" s="141">
        <f>'[2]EU Sunflower Exports'!AB$108</f>
        <v>1.0289999999999999</v>
      </c>
      <c r="AC11" s="141">
        <f>'[2]EU Sunflower Exports'!AC$108</f>
        <v>0.44900000000000001</v>
      </c>
      <c r="AD11" s="143">
        <f>'[2]EU Sunflower Exports'!BB$108</f>
        <v>0</v>
      </c>
      <c r="AE11" s="141">
        <f>'[2]EU Sunflower Exports'!AD$108</f>
        <v>0.49199999999999999</v>
      </c>
      <c r="AF11" s="141">
        <f>'[2]EU Sunflower Exports'!AE$108</f>
        <v>0</v>
      </c>
      <c r="AG11" s="141">
        <f>'[2]EU Sunflower Exports'!AF$108</f>
        <v>0</v>
      </c>
      <c r="AH11" s="141">
        <f>'[2]EU Sunflower Exports'!AG$108</f>
        <v>0</v>
      </c>
      <c r="AI11" s="141">
        <f>'[2]EU Sunflower Exports'!AH$108</f>
        <v>0</v>
      </c>
      <c r="AJ11" s="141">
        <f>'[2]EU Sunflower Exports'!AI$108</f>
        <v>0</v>
      </c>
      <c r="AK11" s="141">
        <f>'[2]EU Sunflower Exports'!AJ$108</f>
        <v>0</v>
      </c>
      <c r="AL11" s="141">
        <f>'[2]EU Sunflower Exports'!AK$108</f>
        <v>0</v>
      </c>
      <c r="AM11" s="141">
        <f>'[2]EU Sunflower Exports'!AL$108</f>
        <v>0</v>
      </c>
      <c r="AN11" s="141">
        <f>'[2]EU Sunflower Exports'!AM$108</f>
        <v>0</v>
      </c>
      <c r="AO11" s="141">
        <f>'[2]EU Sunflower Exports'!AN$108</f>
        <v>0</v>
      </c>
      <c r="AP11" s="141">
        <f>'[2]EU Sunflower Exports'!AO$108</f>
        <v>0</v>
      </c>
      <c r="AQ11" s="141">
        <f>'[2]EU Sunflower Exports'!AP$108</f>
        <v>0</v>
      </c>
      <c r="AR11" s="141">
        <f>'[2]EU Sunflower Exports'!AQ$108</f>
        <v>0</v>
      </c>
      <c r="AS11" s="141">
        <f>'[2]EU Sunflower Exports'!AR$108</f>
        <v>0</v>
      </c>
      <c r="AT11" s="141">
        <f>'[2]EU Sunflower Exports'!AS$108</f>
        <v>0</v>
      </c>
      <c r="AU11" s="141">
        <f>'[2]EU Sunflower Exports'!AT$108</f>
        <v>0</v>
      </c>
      <c r="AV11" s="141">
        <f>'[2]EU Sunflower Exports'!AU$108</f>
        <v>0</v>
      </c>
      <c r="AW11" s="141">
        <f>'[2]EU Sunflower Exports'!AV$108</f>
        <v>0</v>
      </c>
      <c r="AX11" s="141">
        <f>'[2]EU Sunflower Exports'!AW$108</f>
        <v>0</v>
      </c>
      <c r="AY11" s="141">
        <f>'[2]EU Sunflower Exports'!AX$108</f>
        <v>0</v>
      </c>
      <c r="AZ11" s="141">
        <f>'[2]EU Sunflower Exports'!AY$108</f>
        <v>0</v>
      </c>
      <c r="BA11" s="141">
        <f>'[2]EU Sunflower Exports'!AZ$108</f>
        <v>0</v>
      </c>
      <c r="BB11" s="141">
        <f>'[2]EU Sunflower Exports'!BA$108</f>
        <v>0</v>
      </c>
      <c r="BC11" s="141">
        <f>'[2]Ukraine Sunflower Exports'!Z$108</f>
        <v>0</v>
      </c>
      <c r="BD11" s="141">
        <f>'[2]Ukraine Sunflower Exports'!AA$108</f>
        <v>0</v>
      </c>
      <c r="BE11" s="141">
        <f>'[2]Ukraine Sunflower Exports'!AB$108</f>
        <v>0</v>
      </c>
      <c r="BF11" s="141">
        <f>'[2]Ukraine Sunflower Exports'!AC$108</f>
        <v>0</v>
      </c>
      <c r="BG11" s="143">
        <f>'[2]Ukraine Sunflower Exports'!AD$108</f>
        <v>0</v>
      </c>
      <c r="BH11" s="141">
        <f>'[2]Russia Sunflower Exports'!B$108</f>
        <v>0</v>
      </c>
      <c r="BI11" s="141">
        <f>'[2]Russia Sunflower Exports'!C$108</f>
        <v>0</v>
      </c>
      <c r="BJ11" s="141">
        <f>'[2]Russia Sunflower Exports'!D$108</f>
        <v>0</v>
      </c>
      <c r="BK11" s="141">
        <f>'[2]Russia Sunflower Exports'!E$108</f>
        <v>0</v>
      </c>
      <c r="BL11" s="141">
        <f>'[2]Russia Sunflower Exports'!F$108</f>
        <v>0</v>
      </c>
      <c r="BM11" s="141">
        <f>'[2]Russia Sunflower Exports'!G$108</f>
        <v>0</v>
      </c>
      <c r="BN11" s="141">
        <f>'[2]Russia Sunflower Exports'!H$108</f>
        <v>0</v>
      </c>
      <c r="BO11" s="141">
        <f>'[2]Russia Sunflower Exports'!I$108</f>
        <v>0</v>
      </c>
      <c r="BP11" s="141">
        <f>'[2]Russia Sunflower Exports'!J$108</f>
        <v>0</v>
      </c>
      <c r="BQ11" s="141">
        <f>'[2]Russia Sunflower Exports'!K$108</f>
        <v>0</v>
      </c>
      <c r="BR11" s="141">
        <f>'[2]Russia Sunflower Exports'!L$108</f>
        <v>0</v>
      </c>
      <c r="BS11" s="141">
        <f>'[2]Russia Sunflower Exports'!M$108</f>
        <v>0</v>
      </c>
      <c r="BT11" s="141">
        <f>'[2]Russia Sunflower Exports'!N$108</f>
        <v>0</v>
      </c>
      <c r="BU11" s="141">
        <f>'[2]Russia Sunflower Exports'!O$108</f>
        <v>0</v>
      </c>
      <c r="BV11" s="141">
        <f>'[2]Russia Sunflower Exports'!P$108</f>
        <v>0</v>
      </c>
      <c r="BW11" s="141">
        <f>'[2]Russia Sunflower Exports'!Q$108</f>
        <v>0</v>
      </c>
      <c r="BX11" s="141">
        <f>'[2]Russia Sunflower Exports'!R$108</f>
        <v>0</v>
      </c>
      <c r="BY11" s="141">
        <f>'[2]Russia Sunflower Exports'!S$108</f>
        <v>0</v>
      </c>
      <c r="BZ11" s="141">
        <f>'[2]Russia Sunflower Exports'!T$108</f>
        <v>0</v>
      </c>
      <c r="CA11" s="141">
        <f>'[2]Russia Sunflower Exports'!U$108</f>
        <v>0</v>
      </c>
      <c r="CB11" s="141">
        <f>'[2]Russia Sunflower Exports'!V$108</f>
        <v>0</v>
      </c>
      <c r="CC11" s="141">
        <f>'[2]Russia Sunflower Exports'!W$108</f>
        <v>0</v>
      </c>
      <c r="CD11" s="141">
        <f>'[2]Russia Sunflower Exports'!X$108</f>
        <v>0</v>
      </c>
      <c r="CE11" s="141">
        <f>'[2]Russia Sunflower Exports'!Y$108</f>
        <v>1.2E-2</v>
      </c>
      <c r="CF11" s="141">
        <f>'[2]Russia Sunflower Exports'!Z$108</f>
        <v>0.05</v>
      </c>
      <c r="CG11" s="147">
        <f>'[2]Russia Sunflower Exports'!AA$108</f>
        <v>0.05</v>
      </c>
      <c r="CH11" s="141">
        <f>'[2]Russia Sunflower Exports'!AB$108</f>
        <v>0</v>
      </c>
      <c r="CI11" s="141">
        <f>'[2]Russia Sunflower Exports'!AC$108</f>
        <v>4.0000000000000002E-4</v>
      </c>
      <c r="CJ11" s="143">
        <f>'[2]Russia Sunflower Exports'!AD$108</f>
        <v>0</v>
      </c>
      <c r="CK11" s="141">
        <f>'[3]Sunflower Exports'!B$108/2204.622*1000</f>
        <v>0.65800000000000014</v>
      </c>
      <c r="CL11" s="141">
        <f>'[3]Sunflower Exports'!C$108/2204.622*1000</f>
        <v>0.28480000000000005</v>
      </c>
      <c r="CM11" s="141">
        <f>'[3]Sunflower Exports'!D$108/2204.622*1000</f>
        <v>0.65379999999999994</v>
      </c>
      <c r="CN11" s="141">
        <f>'[3]Sunflower Exports'!E$108/2204.622*1000</f>
        <v>1.2070000000000003</v>
      </c>
      <c r="CO11" s="141">
        <f>'[3]Sunflower Exports'!F$108/2204.622*1000</f>
        <v>1.6395</v>
      </c>
      <c r="CP11" s="141">
        <f>'[3]Sunflower Exports'!G$108/2204.622*1000</f>
        <v>1.1506999999999998</v>
      </c>
      <c r="CQ11" s="141">
        <f>'[3]Sunflower Exports'!H$108/2204.622*1000</f>
        <v>3.4108999999999998</v>
      </c>
      <c r="CR11" s="141">
        <f>'[3]Sunflower Exports'!I$108/2204.622*1000</f>
        <v>2.9554000000000005</v>
      </c>
      <c r="CS11" s="141">
        <f>'[3]Sunflower Exports'!J$108/2204.622*1000</f>
        <v>2.5430999999999999</v>
      </c>
      <c r="CT11" s="141">
        <f>'[3]Sunflower Exports'!K$108/2204.622*1000</f>
        <v>2.0824000000000003</v>
      </c>
      <c r="CU11" s="141">
        <f>'[3]Sunflower Exports'!L$108/2204.622*1000</f>
        <v>2.0344000000000002</v>
      </c>
      <c r="CV11" s="141">
        <f>'[3]Sunflower Exports'!M$108/2204.622*1000</f>
        <v>0.4961000000000001</v>
      </c>
      <c r="CW11" s="141">
        <f>'[3]Sunflower Exports'!N$108/2204.622*1000</f>
        <v>1.4137000000000002</v>
      </c>
      <c r="CX11" s="141">
        <f>'[3]Sunflower Exports'!O$108/2204.622*1000</f>
        <v>1.3875000000000004</v>
      </c>
      <c r="CY11" s="141">
        <f>'[3]Sunflower Exports'!P$108/2204.622*1000</f>
        <v>1.5839000000000003</v>
      </c>
      <c r="CZ11" s="141">
        <f>'[3]Sunflower Exports'!Q$108/2204.622*1000</f>
        <v>0.85330000000000006</v>
      </c>
      <c r="DA11" s="141">
        <f>'[3]Sunflower Exports'!R$108/2204.622*1000</f>
        <v>0.73729999999999996</v>
      </c>
      <c r="DB11" s="141">
        <f>'[3]Sunflower Exports'!S$108/2204.622*1000</f>
        <v>0.88800000000000001</v>
      </c>
      <c r="DC11" s="141">
        <f>'[3]Sunflower Exports'!T$108/2204.622*1000</f>
        <v>1.0796999999999999</v>
      </c>
      <c r="DD11" s="141">
        <f>'[3]Sunflower Exports'!U$108/2204.622*1000</f>
        <v>0.79600000000000004</v>
      </c>
      <c r="DE11" s="141">
        <f>'[3]Sunflower Exports'!V$108/2204.622*1000</f>
        <v>1.1987000000000003</v>
      </c>
      <c r="DF11" s="141">
        <f>'[3]Sunflower Exports'!W$108/2204.622*1000</f>
        <v>1.4734000000000003</v>
      </c>
      <c r="DG11" s="141">
        <f>'[3]Sunflower Exports'!X$108/2204.622*1000</f>
        <v>1.1733000000000002</v>
      </c>
      <c r="DH11" s="141">
        <f>'[3]Sunflower Exports'!Y$108/2204.622*1000</f>
        <v>1.4208279452713437</v>
      </c>
      <c r="DI11" s="141">
        <f>'[3]Sunflower Exports'!Z$108/2204.622*1000</f>
        <v>0.64472241511696793</v>
      </c>
      <c r="DJ11" s="141">
        <f>'[3]Sunflower Exports'!AA$108/2204.622*1000</f>
        <v>0.61535844175554821</v>
      </c>
      <c r="DK11" s="141">
        <f>'[3]Sunflower Exports'!AB$108/2204.622*1000</f>
        <v>0.45886958372002096</v>
      </c>
      <c r="DL11" s="141">
        <f>'[3]Sunflower Exports'!AC$108/2204.622*1000</f>
        <v>0.95140925787731401</v>
      </c>
      <c r="DM11" s="143">
        <v>0.5</v>
      </c>
      <c r="DN11" s="141">
        <f t="shared" si="0"/>
        <v>1.1500000000000001</v>
      </c>
      <c r="DO11" s="141">
        <f t="shared" si="0"/>
        <v>0.28480000000000005</v>
      </c>
      <c r="DP11" s="141">
        <f t="shared" si="0"/>
        <v>0.65379999999999994</v>
      </c>
      <c r="DQ11" s="141">
        <f t="shared" si="0"/>
        <v>1.2130000000000003</v>
      </c>
      <c r="DR11" s="141">
        <f t="shared" si="0"/>
        <v>1.7344999999999999</v>
      </c>
      <c r="DS11" s="141">
        <f t="shared" si="0"/>
        <v>1.4676999999999998</v>
      </c>
      <c r="DT11" s="141">
        <f t="shared" si="0"/>
        <v>3.6149</v>
      </c>
      <c r="DU11" s="141">
        <f t="shared" si="0"/>
        <v>3.4374000000000002</v>
      </c>
      <c r="DV11" s="141">
        <f t="shared" si="0"/>
        <v>3.1131000000000002</v>
      </c>
      <c r="DW11" s="141">
        <f t="shared" si="0"/>
        <v>2.6814000000000004</v>
      </c>
      <c r="DX11" s="141">
        <f t="shared" si="0"/>
        <v>2.1494000000000004</v>
      </c>
      <c r="DY11" s="141">
        <f t="shared" si="0"/>
        <v>0.84010000000000018</v>
      </c>
      <c r="DZ11" s="141">
        <f t="shared" si="0"/>
        <v>1.6497000000000002</v>
      </c>
      <c r="EA11" s="141">
        <f t="shared" si="0"/>
        <v>1.7935000000000003</v>
      </c>
      <c r="EB11" s="141">
        <f t="shared" si="0"/>
        <v>1.8699000000000003</v>
      </c>
      <c r="EC11" s="141">
        <f t="shared" si="0"/>
        <v>1.1023000000000001</v>
      </c>
      <c r="ED11" s="141">
        <f t="shared" si="1"/>
        <v>1.0743</v>
      </c>
      <c r="EE11" s="141">
        <f t="shared" si="1"/>
        <v>1.0920000000000001</v>
      </c>
      <c r="EF11" s="141">
        <f t="shared" si="1"/>
        <v>1.2286999999999999</v>
      </c>
      <c r="EG11" s="141">
        <f t="shared" si="1"/>
        <v>0.996</v>
      </c>
      <c r="EH11" s="141">
        <f t="shared" si="1"/>
        <v>1.5477000000000003</v>
      </c>
      <c r="EI11" s="141">
        <f t="shared" si="1"/>
        <v>1.7994000000000003</v>
      </c>
      <c r="EJ11" s="141">
        <f t="shared" si="1"/>
        <v>1.4763000000000002</v>
      </c>
      <c r="EK11" s="141">
        <f t="shared" si="1"/>
        <v>1.7088279452713437</v>
      </c>
      <c r="EL11" s="141">
        <f t="shared" si="1"/>
        <v>0.95772241511696787</v>
      </c>
      <c r="EM11" s="141">
        <f t="shared" si="1"/>
        <v>0.91835844175554815</v>
      </c>
      <c r="EN11" s="141">
        <f t="shared" si="1"/>
        <v>1.4878695837200209</v>
      </c>
      <c r="EO11" s="141">
        <f t="shared" si="1"/>
        <v>1.4008092578773139</v>
      </c>
      <c r="EP11" s="145">
        <f t="shared" si="1"/>
        <v>0.5</v>
      </c>
      <c r="EQ11" s="145">
        <v>1</v>
      </c>
      <c r="ES11" s="141">
        <f t="shared" si="2"/>
        <v>0</v>
      </c>
      <c r="ET11" s="141">
        <f t="shared" si="2"/>
        <v>0</v>
      </c>
      <c r="EV11" s="141"/>
      <c r="EW11" s="141"/>
      <c r="FB11" s="107"/>
    </row>
    <row r="12" spans="1:158">
      <c r="A12" s="148" t="s">
        <v>143</v>
      </c>
      <c r="B12" s="146">
        <f>'[2]EU Sunflower Exports'!B$109</f>
        <v>0</v>
      </c>
      <c r="C12" s="146">
        <f>'[2]EU Sunflower Exports'!C$109</f>
        <v>0</v>
      </c>
      <c r="D12" s="146">
        <f>'[2]EU Sunflower Exports'!D$109</f>
        <v>0</v>
      </c>
      <c r="E12" s="146">
        <f>'[2]EU Sunflower Exports'!E$109</f>
        <v>0</v>
      </c>
      <c r="F12" s="146">
        <f>'[2]EU Sunflower Exports'!F$109</f>
        <v>5.9380000000000006</v>
      </c>
      <c r="G12" s="146">
        <f>'[2]EU Sunflower Exports'!G$109</f>
        <v>0</v>
      </c>
      <c r="H12" s="146">
        <f>'[2]EU Sunflower Exports'!H$109</f>
        <v>0.28899999999999998</v>
      </c>
      <c r="I12" s="146">
        <f>'[2]EU Sunflower Exports'!I$109</f>
        <v>0.159</v>
      </c>
      <c r="J12" s="146">
        <f>'[2]EU Sunflower Exports'!J$109</f>
        <v>8.0000000000000002E-3</v>
      </c>
      <c r="K12" s="146">
        <f>'[2]EU Sunflower Exports'!K$109</f>
        <v>0</v>
      </c>
      <c r="L12" s="146">
        <f>'[2]EU Sunflower Exports'!L$109</f>
        <v>0</v>
      </c>
      <c r="M12" s="146">
        <f>'[2]EU Sunflower Exports'!M$109</f>
        <v>1.0999999999999999E-2</v>
      </c>
      <c r="N12" s="146">
        <f>'[2]EU Sunflower Exports'!N$109</f>
        <v>1.4999999999999999E-2</v>
      </c>
      <c r="O12" s="146">
        <f>'[2]EU Sunflower Exports'!O$109</f>
        <v>1.6E-2</v>
      </c>
      <c r="P12" s="141">
        <f>'[2]EU Sunflower Exports'!P$109</f>
        <v>1.4999999999999999E-2</v>
      </c>
      <c r="Q12" s="141">
        <f>'[2]EU Sunflower Exports'!Q$109</f>
        <v>1.1000000000000001E-2</v>
      </c>
      <c r="R12" s="141">
        <f>'[2]EU Sunflower Exports'!R$109</f>
        <v>8.0000000000000002E-3</v>
      </c>
      <c r="S12" s="141">
        <f>'[2]EU Sunflower Exports'!S$109</f>
        <v>1.2999999999999999E-2</v>
      </c>
      <c r="T12" s="141">
        <f>'[2]EU Sunflower Exports'!T$109</f>
        <v>5.0000000000000001E-3</v>
      </c>
      <c r="U12" s="141">
        <f>'[2]EU Sunflower Exports'!U$109</f>
        <v>0.12000000000000001</v>
      </c>
      <c r="V12" s="141">
        <f>'[2]EU Sunflower Exports'!V$109</f>
        <v>0.42299999999999999</v>
      </c>
      <c r="W12" s="141">
        <f>'[2]EU Sunflower Exports'!W$109</f>
        <v>4.016</v>
      </c>
      <c r="X12" s="141">
        <f>'[2]EU Sunflower Exports'!X$109</f>
        <v>7.395999999999999</v>
      </c>
      <c r="Y12" s="141">
        <f>'[2]EU Sunflower Exports'!Y$109</f>
        <v>4.468</v>
      </c>
      <c r="Z12" s="141">
        <f>'[2]EU Sunflower Exports'!Z$109</f>
        <v>2.5019999999999998</v>
      </c>
      <c r="AA12" s="141">
        <f>'[2]EU Sunflower Exports'!AA$109</f>
        <v>1.9280000000000002</v>
      </c>
      <c r="AB12" s="141">
        <f>'[2]EU Sunflower Exports'!AB$109</f>
        <v>0.60199999999999998</v>
      </c>
      <c r="AC12" s="141">
        <f>'[2]EU Sunflower Exports'!AC$109</f>
        <v>0.28699999999999998</v>
      </c>
      <c r="AD12" s="143">
        <f>'[2]EU Sunflower Exports'!BB$109</f>
        <v>0</v>
      </c>
      <c r="AE12" s="141">
        <f>'[2]EU Sunflower Exports'!AD$109</f>
        <v>1.365</v>
      </c>
      <c r="AF12" s="141">
        <f>'[2]EU Sunflower Exports'!AE$109</f>
        <v>0</v>
      </c>
      <c r="AG12" s="141">
        <f>'[2]EU Sunflower Exports'!AF$109</f>
        <v>0</v>
      </c>
      <c r="AH12" s="141">
        <f>'[2]EU Sunflower Exports'!AG$109</f>
        <v>0</v>
      </c>
      <c r="AI12" s="141">
        <f>'[2]EU Sunflower Exports'!AH$109</f>
        <v>0</v>
      </c>
      <c r="AJ12" s="141">
        <f>'[2]EU Sunflower Exports'!AI$109</f>
        <v>0</v>
      </c>
      <c r="AK12" s="141">
        <f>'[2]EU Sunflower Exports'!AJ$109</f>
        <v>0</v>
      </c>
      <c r="AL12" s="141">
        <f>'[2]EU Sunflower Exports'!AK$109</f>
        <v>0</v>
      </c>
      <c r="AM12" s="141">
        <f>'[2]EU Sunflower Exports'!AL$109</f>
        <v>0</v>
      </c>
      <c r="AN12" s="141">
        <f>'[2]EU Sunflower Exports'!AM$109</f>
        <v>0</v>
      </c>
      <c r="AO12" s="141">
        <f>'[2]EU Sunflower Exports'!AN$109</f>
        <v>0</v>
      </c>
      <c r="AP12" s="141">
        <f>'[2]EU Sunflower Exports'!AO$109</f>
        <v>0</v>
      </c>
      <c r="AQ12" s="141">
        <f>'[2]EU Sunflower Exports'!AP$109</f>
        <v>0</v>
      </c>
      <c r="AR12" s="141">
        <f>'[2]EU Sunflower Exports'!AQ$109</f>
        <v>0</v>
      </c>
      <c r="AS12" s="141">
        <f>'[2]EU Sunflower Exports'!AR$109</f>
        <v>0</v>
      </c>
      <c r="AT12" s="141">
        <f>'[2]EU Sunflower Exports'!AS$109</f>
        <v>0</v>
      </c>
      <c r="AU12" s="141">
        <f>'[2]EU Sunflower Exports'!AT$109</f>
        <v>0</v>
      </c>
      <c r="AV12" s="141">
        <f>'[2]EU Sunflower Exports'!AU$109</f>
        <v>0</v>
      </c>
      <c r="AW12" s="141">
        <f>'[2]EU Sunflower Exports'!AV$109</f>
        <v>0</v>
      </c>
      <c r="AX12" s="141">
        <f>'[2]EU Sunflower Exports'!AW$109</f>
        <v>0</v>
      </c>
      <c r="AY12" s="141">
        <f>'[2]EU Sunflower Exports'!AX$109</f>
        <v>0</v>
      </c>
      <c r="AZ12" s="141">
        <f>'[2]EU Sunflower Exports'!AY$109</f>
        <v>0</v>
      </c>
      <c r="BA12" s="141">
        <f>'[2]EU Sunflower Exports'!AZ$109</f>
        <v>0</v>
      </c>
      <c r="BB12" s="141">
        <f>'[2]EU Sunflower Exports'!BA$109</f>
        <v>0</v>
      </c>
      <c r="BC12" s="141">
        <f>'[2]Ukraine Sunflower Exports'!Z$109</f>
        <v>0</v>
      </c>
      <c r="BD12" s="141">
        <f>'[2]Ukraine Sunflower Exports'!AA$109</f>
        <v>0</v>
      </c>
      <c r="BE12" s="141">
        <f>'[2]Ukraine Sunflower Exports'!AB$109</f>
        <v>0</v>
      </c>
      <c r="BF12" s="141">
        <f>'[2]Ukraine Sunflower Exports'!AC$109</f>
        <v>0</v>
      </c>
      <c r="BG12" s="143">
        <f>'[2]Ukraine Sunflower Exports'!AD$109</f>
        <v>6.9000000000000006E-2</v>
      </c>
      <c r="BH12" s="141">
        <f>'[2]Russia Sunflower Exports'!B$109</f>
        <v>0</v>
      </c>
      <c r="BI12" s="141">
        <f>'[2]Russia Sunflower Exports'!C$109</f>
        <v>0</v>
      </c>
      <c r="BJ12" s="141">
        <f>'[2]Russia Sunflower Exports'!D$109</f>
        <v>0</v>
      </c>
      <c r="BK12" s="141">
        <f>'[2]Russia Sunflower Exports'!E$109</f>
        <v>0</v>
      </c>
      <c r="BL12" s="141">
        <f>'[2]Russia Sunflower Exports'!F$109</f>
        <v>0</v>
      </c>
      <c r="BM12" s="141">
        <f>'[2]Russia Sunflower Exports'!G$109</f>
        <v>0</v>
      </c>
      <c r="BN12" s="141">
        <f>'[2]Russia Sunflower Exports'!H$109</f>
        <v>0</v>
      </c>
      <c r="BO12" s="141">
        <f>'[2]Russia Sunflower Exports'!I$109</f>
        <v>0</v>
      </c>
      <c r="BP12" s="141">
        <f>'[2]Russia Sunflower Exports'!J$109</f>
        <v>0</v>
      </c>
      <c r="BQ12" s="141">
        <f>'[2]Russia Sunflower Exports'!K$109</f>
        <v>0</v>
      </c>
      <c r="BR12" s="141">
        <f>'[2]Russia Sunflower Exports'!L$109</f>
        <v>0</v>
      </c>
      <c r="BS12" s="141">
        <f>'[2]Russia Sunflower Exports'!M$109</f>
        <v>0</v>
      </c>
      <c r="BT12" s="141">
        <f>'[2]Russia Sunflower Exports'!N$109</f>
        <v>0</v>
      </c>
      <c r="BU12" s="141">
        <f>'[2]Russia Sunflower Exports'!O$109</f>
        <v>0</v>
      </c>
      <c r="BV12" s="141">
        <f>'[2]Russia Sunflower Exports'!P$109</f>
        <v>0</v>
      </c>
      <c r="BW12" s="141">
        <f>'[2]Russia Sunflower Exports'!Q$109</f>
        <v>0</v>
      </c>
      <c r="BX12" s="141">
        <f>'[2]Russia Sunflower Exports'!R$109</f>
        <v>0</v>
      </c>
      <c r="BY12" s="141">
        <f>'[2]Russia Sunflower Exports'!S$109</f>
        <v>0</v>
      </c>
      <c r="BZ12" s="141">
        <f>'[2]Russia Sunflower Exports'!T$109</f>
        <v>0</v>
      </c>
      <c r="CA12" s="141">
        <f>'[2]Russia Sunflower Exports'!U$109</f>
        <v>0</v>
      </c>
      <c r="CB12" s="141">
        <f>'[2]Russia Sunflower Exports'!V$109</f>
        <v>0</v>
      </c>
      <c r="CC12" s="141">
        <f>'[2]Russia Sunflower Exports'!W$109</f>
        <v>0</v>
      </c>
      <c r="CD12" s="141">
        <f>'[2]Russia Sunflower Exports'!X$109</f>
        <v>0</v>
      </c>
      <c r="CE12" s="141">
        <f>'[2]Russia Sunflower Exports'!Y$109</f>
        <v>0</v>
      </c>
      <c r="CF12" s="141">
        <f>'[2]Russia Sunflower Exports'!Z$109</f>
        <v>0</v>
      </c>
      <c r="CG12" s="147">
        <f>'[2]Russia Sunflower Exports'!AA$109</f>
        <v>0</v>
      </c>
      <c r="CH12" s="141">
        <f>'[2]Russia Sunflower Exports'!AB$109</f>
        <v>0</v>
      </c>
      <c r="CI12" s="141">
        <f>'[2]Russia Sunflower Exports'!AC$109</f>
        <v>0</v>
      </c>
      <c r="CJ12" s="143">
        <f>'[2]Russia Sunflower Exports'!AD$109</f>
        <v>0</v>
      </c>
      <c r="CK12" s="141">
        <f>'[3]Sunflower Exports'!B$109/2204.622*1000</f>
        <v>0</v>
      </c>
      <c r="CL12" s="141">
        <f>'[3]Sunflower Exports'!C$109/2204.622*1000</f>
        <v>0</v>
      </c>
      <c r="CM12" s="141">
        <f>'[3]Sunflower Exports'!D$109/2204.622*1000</f>
        <v>0</v>
      </c>
      <c r="CN12" s="141">
        <f>'[3]Sunflower Exports'!E$109/2204.622*1000</f>
        <v>4.4600000000000008E-2</v>
      </c>
      <c r="CO12" s="141">
        <f>'[3]Sunflower Exports'!F$109/2204.622*1000</f>
        <v>0</v>
      </c>
      <c r="CP12" s="141">
        <f>'[3]Sunflower Exports'!G$109/2204.622*1000</f>
        <v>0</v>
      </c>
      <c r="CQ12" s="141">
        <f>'[3]Sunflower Exports'!H$109/2204.622*1000</f>
        <v>0.67110000000000025</v>
      </c>
      <c r="CR12" s="141">
        <f>'[3]Sunflower Exports'!I$109/2204.622*1000</f>
        <v>5.7204999999999995</v>
      </c>
      <c r="CS12" s="141">
        <f>'[3]Sunflower Exports'!J$109/2204.622*1000</f>
        <v>4.5483000000000011</v>
      </c>
      <c r="CT12" s="141">
        <f>'[3]Sunflower Exports'!K$109/2204.622*1000</f>
        <v>2.5459000000000001</v>
      </c>
      <c r="CU12" s="141">
        <f>'[3]Sunflower Exports'!L$109/2204.622*1000</f>
        <v>1.5037</v>
      </c>
      <c r="CV12" s="141">
        <f>'[3]Sunflower Exports'!M$109/2204.622*1000</f>
        <v>0.28850000000000003</v>
      </c>
      <c r="CW12" s="141">
        <f>'[3]Sunflower Exports'!N$109/2204.622*1000</f>
        <v>3.7146000000000003</v>
      </c>
      <c r="CX12" s="141">
        <f>'[3]Sunflower Exports'!O$109/2204.622*1000</f>
        <v>4.4001000000000001</v>
      </c>
      <c r="CY12" s="141">
        <f>'[3]Sunflower Exports'!P$109/2204.622*1000</f>
        <v>1.8548999999999998</v>
      </c>
      <c r="CZ12" s="141">
        <f>'[3]Sunflower Exports'!Q$109/2204.622*1000</f>
        <v>3.3778999999999999</v>
      </c>
      <c r="DA12" s="141">
        <f>'[3]Sunflower Exports'!R$109/2204.622*1000</f>
        <v>2.5847000000000007</v>
      </c>
      <c r="DB12" s="141">
        <f>'[3]Sunflower Exports'!S$109/2204.622*1000</f>
        <v>3.9402000000000004</v>
      </c>
      <c r="DC12" s="141">
        <f>'[3]Sunflower Exports'!T$109/2204.622*1000</f>
        <v>4.3379000000000003</v>
      </c>
      <c r="DD12" s="141">
        <f>'[3]Sunflower Exports'!U$109/2204.622*1000</f>
        <v>6.3342999999999998</v>
      </c>
      <c r="DE12" s="141">
        <f>'[3]Sunflower Exports'!V$109/2204.622*1000</f>
        <v>3.8907000000000003</v>
      </c>
      <c r="DF12" s="141">
        <f>'[3]Sunflower Exports'!W$109/2204.622*1000</f>
        <v>4.1853000000000007</v>
      </c>
      <c r="DG12" s="141">
        <f>'[3]Sunflower Exports'!X$109/2204.622*1000</f>
        <v>3.0219999999999994</v>
      </c>
      <c r="DH12" s="141">
        <f>'[3]Sunflower Exports'!Y$109/2204.622*1000</f>
        <v>2.0473208740636717</v>
      </c>
      <c r="DI12" s="141">
        <f>'[3]Sunflower Exports'!Z$109/2204.622*1000</f>
        <v>0.79095728245476993</v>
      </c>
      <c r="DJ12" s="141">
        <f>'[3]Sunflower Exports'!AA$109/2204.622*1000</f>
        <v>0.2015048171976874</v>
      </c>
      <c r="DK12" s="141">
        <f>'[3]Sunflower Exports'!AB$109/2204.622*1000</f>
        <v>0</v>
      </c>
      <c r="DL12" s="141">
        <f>'[3]Sunflower Exports'!AC$109/2204.622*1000</f>
        <v>1.9958069909490155E-2</v>
      </c>
      <c r="DM12" s="143">
        <f>'[3]Sunflower Exports'!AD$109/2204.622*1000</f>
        <v>0</v>
      </c>
      <c r="DN12" s="141">
        <f t="shared" si="0"/>
        <v>1.365</v>
      </c>
      <c r="DO12" s="141">
        <f t="shared" si="0"/>
        <v>0</v>
      </c>
      <c r="DP12" s="141">
        <f t="shared" si="0"/>
        <v>0</v>
      </c>
      <c r="DQ12" s="141">
        <f t="shared" si="0"/>
        <v>4.4600000000000008E-2</v>
      </c>
      <c r="DR12" s="141">
        <f t="shared" si="0"/>
        <v>5.9380000000000006</v>
      </c>
      <c r="DS12" s="141">
        <f t="shared" si="0"/>
        <v>0</v>
      </c>
      <c r="DT12" s="141">
        <f t="shared" si="0"/>
        <v>0.96010000000000018</v>
      </c>
      <c r="DU12" s="141">
        <f t="shared" si="0"/>
        <v>5.8794999999999993</v>
      </c>
      <c r="DV12" s="141">
        <f t="shared" si="0"/>
        <v>4.5563000000000011</v>
      </c>
      <c r="DW12" s="141">
        <f t="shared" si="0"/>
        <v>2.5459000000000001</v>
      </c>
      <c r="DX12" s="141">
        <f t="shared" si="0"/>
        <v>1.5037</v>
      </c>
      <c r="DY12" s="141">
        <f t="shared" si="0"/>
        <v>0.29950000000000004</v>
      </c>
      <c r="DZ12" s="141">
        <f t="shared" si="0"/>
        <v>3.7296000000000005</v>
      </c>
      <c r="EA12" s="141">
        <f t="shared" si="0"/>
        <v>4.4161000000000001</v>
      </c>
      <c r="EB12" s="141">
        <f t="shared" si="0"/>
        <v>1.8698999999999997</v>
      </c>
      <c r="EC12" s="141">
        <f t="shared" si="0"/>
        <v>3.3889</v>
      </c>
      <c r="ED12" s="141">
        <f t="shared" si="1"/>
        <v>2.5927000000000007</v>
      </c>
      <c r="EE12" s="141">
        <f t="shared" si="1"/>
        <v>3.9532000000000003</v>
      </c>
      <c r="EF12" s="141">
        <f t="shared" si="1"/>
        <v>4.3429000000000002</v>
      </c>
      <c r="EG12" s="141">
        <f t="shared" si="1"/>
        <v>6.4542999999999999</v>
      </c>
      <c r="EH12" s="141">
        <f t="shared" si="1"/>
        <v>4.3136999999999999</v>
      </c>
      <c r="EI12" s="141">
        <f t="shared" si="1"/>
        <v>8.2012999999999998</v>
      </c>
      <c r="EJ12" s="141">
        <f t="shared" si="1"/>
        <v>10.417999999999999</v>
      </c>
      <c r="EK12" s="141">
        <f t="shared" si="1"/>
        <v>6.5153208740636721</v>
      </c>
      <c r="EL12" s="141">
        <f t="shared" si="1"/>
        <v>3.2929572824547697</v>
      </c>
      <c r="EM12" s="141">
        <f t="shared" si="1"/>
        <v>2.1295048171976876</v>
      </c>
      <c r="EN12" s="141">
        <f t="shared" si="1"/>
        <v>0.60199999999999998</v>
      </c>
      <c r="EO12" s="141">
        <f t="shared" si="1"/>
        <v>0.30695806990949015</v>
      </c>
      <c r="EP12" s="145">
        <f t="shared" si="1"/>
        <v>6.9000000000000006E-2</v>
      </c>
      <c r="EQ12" s="145">
        <v>0</v>
      </c>
      <c r="ES12" s="141">
        <f t="shared" si="2"/>
        <v>0</v>
      </c>
      <c r="ET12" s="141">
        <f t="shared" si="2"/>
        <v>0</v>
      </c>
      <c r="EV12" s="141"/>
      <c r="EW12" s="141"/>
      <c r="FB12" s="107"/>
    </row>
    <row r="13" spans="1:158">
      <c r="A13" s="148" t="s">
        <v>144</v>
      </c>
      <c r="B13" s="146">
        <f>'[2]EU Sunflower Exports'!B$117</f>
        <v>0</v>
      </c>
      <c r="C13" s="146">
        <f>'[2]EU Sunflower Exports'!C$117</f>
        <v>0</v>
      </c>
      <c r="D13" s="146">
        <f>'[2]EU Sunflower Exports'!D$117</f>
        <v>0</v>
      </c>
      <c r="E13" s="146">
        <f>'[2]EU Sunflower Exports'!E$117</f>
        <v>0</v>
      </c>
      <c r="F13" s="146">
        <f>'[2]EU Sunflower Exports'!F$117</f>
        <v>0</v>
      </c>
      <c r="G13" s="146">
        <f>'[2]EU Sunflower Exports'!G$117</f>
        <v>1.6E-2</v>
      </c>
      <c r="H13" s="146">
        <f>'[2]EU Sunflower Exports'!H$117</f>
        <v>0</v>
      </c>
      <c r="I13" s="146">
        <f>'[2]EU Sunflower Exports'!I$117</f>
        <v>0</v>
      </c>
      <c r="J13" s="146">
        <f>'[2]EU Sunflower Exports'!J$117</f>
        <v>0</v>
      </c>
      <c r="K13" s="146">
        <f>'[2]EU Sunflower Exports'!K$117</f>
        <v>3.0000000000000001E-3</v>
      </c>
      <c r="L13" s="146">
        <f>'[2]EU Sunflower Exports'!L$117</f>
        <v>2E-3</v>
      </c>
      <c r="M13" s="146">
        <f>'[2]EU Sunflower Exports'!M$117</f>
        <v>5.0000000000000001E-3</v>
      </c>
      <c r="N13" s="146">
        <f>'[2]EU Sunflower Exports'!N$117</f>
        <v>2.8000000000000001E-2</v>
      </c>
      <c r="O13" s="146">
        <f>'[2]EU Sunflower Exports'!O$117</f>
        <v>4.0000000000000001E-3</v>
      </c>
      <c r="P13" s="141">
        <f>'[2]EU Sunflower Exports'!P$117</f>
        <v>0</v>
      </c>
      <c r="Q13" s="141">
        <f>'[2]EU Sunflower Exports'!Q$117</f>
        <v>2E-3</v>
      </c>
      <c r="R13" s="141">
        <f>'[2]EU Sunflower Exports'!R$117</f>
        <v>4.0000000000000001E-3</v>
      </c>
      <c r="S13" s="141">
        <f>'[2]EU Sunflower Exports'!S$117</f>
        <v>2E-3</v>
      </c>
      <c r="T13" s="141">
        <f>'[2]EU Sunflower Exports'!T$117</f>
        <v>2.7E-2</v>
      </c>
      <c r="U13" s="141">
        <f>'[2]EU Sunflower Exports'!U$117</f>
        <v>4.0000000000000001E-3</v>
      </c>
      <c r="V13" s="141">
        <f>'[2]EU Sunflower Exports'!V$117</f>
        <v>4.7E-2</v>
      </c>
      <c r="W13" s="141">
        <f>'[2]EU Sunflower Exports'!W$117</f>
        <v>4.5999999999999999E-2</v>
      </c>
      <c r="X13" s="141">
        <f>'[2]EU Sunflower Exports'!X$117</f>
        <v>5.5E-2</v>
      </c>
      <c r="Y13" s="141">
        <f>'[2]EU Sunflower Exports'!Y$117</f>
        <v>0.1</v>
      </c>
      <c r="Z13" s="141">
        <f>'[2]EU Sunflower Exports'!Z$117</f>
        <v>4.4999999999999998E-2</v>
      </c>
      <c r="AA13" s="141">
        <f>'[2]EU Sunflower Exports'!AA$117</f>
        <v>0.08</v>
      </c>
      <c r="AB13" s="141">
        <f>'[2]EU Sunflower Exports'!AB$117</f>
        <v>0.14600000000000002</v>
      </c>
      <c r="AC13" s="141">
        <f>'[2]EU Sunflower Exports'!AC$117</f>
        <v>0.16800000000000001</v>
      </c>
      <c r="AD13" s="143">
        <f>'[2]EU Sunflower Exports'!BB$117</f>
        <v>0</v>
      </c>
      <c r="AE13" s="141">
        <f>'[2]EU Sunflower Exports'!AD$117</f>
        <v>0.124</v>
      </c>
      <c r="AF13" s="141">
        <f>'[2]EU Sunflower Exports'!AE$117</f>
        <v>0</v>
      </c>
      <c r="AG13" s="141">
        <f>'[2]EU Sunflower Exports'!AF$117</f>
        <v>0</v>
      </c>
      <c r="AH13" s="141">
        <f>'[2]EU Sunflower Exports'!AG$117</f>
        <v>0</v>
      </c>
      <c r="AI13" s="141">
        <f>'[2]EU Sunflower Exports'!AH$117</f>
        <v>0</v>
      </c>
      <c r="AJ13" s="141">
        <f>'[2]EU Sunflower Exports'!AI$117</f>
        <v>0</v>
      </c>
      <c r="AK13" s="141">
        <f>'[2]EU Sunflower Exports'!AJ$117</f>
        <v>0</v>
      </c>
      <c r="AL13" s="141">
        <f>'[2]EU Sunflower Exports'!AK$117</f>
        <v>0</v>
      </c>
      <c r="AM13" s="141">
        <f>'[2]EU Sunflower Exports'!AL$117</f>
        <v>0</v>
      </c>
      <c r="AN13" s="141">
        <f>'[2]EU Sunflower Exports'!AM$117</f>
        <v>0</v>
      </c>
      <c r="AO13" s="141">
        <f>'[2]EU Sunflower Exports'!AN$117</f>
        <v>0</v>
      </c>
      <c r="AP13" s="141">
        <f>'[2]EU Sunflower Exports'!AO$117</f>
        <v>0</v>
      </c>
      <c r="AQ13" s="141">
        <f>'[2]EU Sunflower Exports'!AP$117</f>
        <v>0</v>
      </c>
      <c r="AR13" s="141">
        <f>'[2]EU Sunflower Exports'!AQ$117</f>
        <v>0</v>
      </c>
      <c r="AS13" s="141">
        <f>'[2]EU Sunflower Exports'!AR$117</f>
        <v>0</v>
      </c>
      <c r="AT13" s="141">
        <f>'[2]EU Sunflower Exports'!AS$117</f>
        <v>0</v>
      </c>
      <c r="AU13" s="141">
        <f>'[2]EU Sunflower Exports'!AT$117</f>
        <v>0</v>
      </c>
      <c r="AV13" s="141">
        <f>'[2]EU Sunflower Exports'!AU$117</f>
        <v>0</v>
      </c>
      <c r="AW13" s="141">
        <f>'[2]EU Sunflower Exports'!AV$117</f>
        <v>0</v>
      </c>
      <c r="AX13" s="141">
        <f>'[2]EU Sunflower Exports'!AW$117</f>
        <v>0</v>
      </c>
      <c r="AY13" s="141">
        <f>'[2]EU Sunflower Exports'!AX$117</f>
        <v>0</v>
      </c>
      <c r="AZ13" s="141">
        <f>'[2]EU Sunflower Exports'!AY$117</f>
        <v>0</v>
      </c>
      <c r="BA13" s="141">
        <f>'[2]EU Sunflower Exports'!AZ$117</f>
        <v>0</v>
      </c>
      <c r="BB13" s="141">
        <f>'[2]EU Sunflower Exports'!BA$117</f>
        <v>0</v>
      </c>
      <c r="BC13" s="141">
        <f>'[2]Ukraine Sunflower Exports'!Z$117</f>
        <v>0</v>
      </c>
      <c r="BD13" s="141">
        <f>'[2]Ukraine Sunflower Exports'!AA$117</f>
        <v>0</v>
      </c>
      <c r="BE13" s="141">
        <f>'[2]Ukraine Sunflower Exports'!AB$117</f>
        <v>0</v>
      </c>
      <c r="BF13" s="141">
        <f>'[2]Ukraine Sunflower Exports'!AC$117</f>
        <v>0</v>
      </c>
      <c r="BG13" s="143">
        <f>'[2]Ukraine Sunflower Exports'!AD$117</f>
        <v>0</v>
      </c>
      <c r="BH13" s="141">
        <f>'[2]Russia Sunflower Exports'!B$117</f>
        <v>0</v>
      </c>
      <c r="BI13" s="141">
        <f>'[2]Russia Sunflower Exports'!C$117</f>
        <v>0</v>
      </c>
      <c r="BJ13" s="141">
        <f>'[2]Russia Sunflower Exports'!D$117</f>
        <v>0</v>
      </c>
      <c r="BK13" s="141">
        <f>'[2]Russia Sunflower Exports'!E$117</f>
        <v>0</v>
      </c>
      <c r="BL13" s="141">
        <f>'[2]Russia Sunflower Exports'!F$117</f>
        <v>0</v>
      </c>
      <c r="BM13" s="141">
        <f>'[2]Russia Sunflower Exports'!G$117</f>
        <v>0</v>
      </c>
      <c r="BN13" s="141">
        <f>'[2]Russia Sunflower Exports'!H$117</f>
        <v>0</v>
      </c>
      <c r="BO13" s="141">
        <f>'[2]Russia Sunflower Exports'!I$117</f>
        <v>0</v>
      </c>
      <c r="BP13" s="141">
        <f>'[2]Russia Sunflower Exports'!J$117</f>
        <v>0</v>
      </c>
      <c r="BQ13" s="141">
        <f>'[2]Russia Sunflower Exports'!K$117</f>
        <v>0</v>
      </c>
      <c r="BR13" s="141">
        <f>'[2]Russia Sunflower Exports'!L$117</f>
        <v>0</v>
      </c>
      <c r="BS13" s="141">
        <f>'[2]Russia Sunflower Exports'!M$117</f>
        <v>0</v>
      </c>
      <c r="BT13" s="141">
        <f>'[2]Russia Sunflower Exports'!N$117</f>
        <v>0</v>
      </c>
      <c r="BU13" s="141">
        <f>'[2]Russia Sunflower Exports'!O$117</f>
        <v>0</v>
      </c>
      <c r="BV13" s="141">
        <f>'[2]Russia Sunflower Exports'!P$117</f>
        <v>0</v>
      </c>
      <c r="BW13" s="141">
        <f>'[2]Russia Sunflower Exports'!Q$117</f>
        <v>0</v>
      </c>
      <c r="BX13" s="141">
        <f>'[2]Russia Sunflower Exports'!R$117</f>
        <v>0</v>
      </c>
      <c r="BY13" s="141">
        <f>'[2]Russia Sunflower Exports'!S$117</f>
        <v>0</v>
      </c>
      <c r="BZ13" s="141">
        <f>'[2]Russia Sunflower Exports'!T$117</f>
        <v>0</v>
      </c>
      <c r="CA13" s="141">
        <f>'[2]Russia Sunflower Exports'!U$117</f>
        <v>0</v>
      </c>
      <c r="CB13" s="141">
        <f>'[2]Russia Sunflower Exports'!V$117</f>
        <v>0</v>
      </c>
      <c r="CC13" s="141">
        <f>'[2]Russia Sunflower Exports'!W$117</f>
        <v>0</v>
      </c>
      <c r="CD13" s="141">
        <f>'[2]Russia Sunflower Exports'!X$117</f>
        <v>0</v>
      </c>
      <c r="CE13" s="141">
        <f>'[2]Russia Sunflower Exports'!Y$117</f>
        <v>0</v>
      </c>
      <c r="CF13" s="141">
        <f>'[2]Russia Sunflower Exports'!Z$117</f>
        <v>0</v>
      </c>
      <c r="CG13" s="147">
        <f>'[2]Russia Sunflower Exports'!AA$117</f>
        <v>0</v>
      </c>
      <c r="CH13" s="141">
        <f>'[2]Russia Sunflower Exports'!AB$117</f>
        <v>0</v>
      </c>
      <c r="CI13" s="141">
        <f>'[2]Russia Sunflower Exports'!AC$117</f>
        <v>0</v>
      </c>
      <c r="CJ13" s="143">
        <f>'[2]Russia Sunflower Exports'!AD$117</f>
        <v>0</v>
      </c>
      <c r="CK13" s="141">
        <f>'[3]Sunflower Exports'!B$117/2204.622*1000</f>
        <v>0</v>
      </c>
      <c r="CL13" s="141">
        <f>'[3]Sunflower Exports'!C$117/2204.622*1000</f>
        <v>1.2000000000000001E-3</v>
      </c>
      <c r="CM13" s="141">
        <f>'[3]Sunflower Exports'!D$117/2204.622*1000</f>
        <v>2.0000000000000005E-3</v>
      </c>
      <c r="CN13" s="141">
        <f>'[3]Sunflower Exports'!E$117/2204.622*1000</f>
        <v>6.3699999999999993E-2</v>
      </c>
      <c r="CO13" s="141">
        <f>'[3]Sunflower Exports'!F$117/2204.622*1000</f>
        <v>9.2500000000000013E-2</v>
      </c>
      <c r="CP13" s="141">
        <f>'[3]Sunflower Exports'!G$117/2204.622*1000</f>
        <v>0.14100000000000004</v>
      </c>
      <c r="CQ13" s="141">
        <f>'[3]Sunflower Exports'!H$117/2204.622*1000</f>
        <v>0.17730000000000001</v>
      </c>
      <c r="CR13" s="141">
        <f>'[3]Sunflower Exports'!I$117/2204.622*1000</f>
        <v>0.21440000000000001</v>
      </c>
      <c r="CS13" s="141">
        <f>'[3]Sunflower Exports'!J$117/2204.622*1000</f>
        <v>0.10390000000000002</v>
      </c>
      <c r="CT13" s="141">
        <f>'[3]Sunflower Exports'!K$117/2204.622*1000</f>
        <v>9.0900000000000022E-2</v>
      </c>
      <c r="CU13" s="141">
        <f>'[3]Sunflower Exports'!L$117/2204.622*1000</f>
        <v>9.6200000000000022E-2</v>
      </c>
      <c r="CV13" s="141">
        <f>'[3]Sunflower Exports'!M$117/2204.622*1000</f>
        <v>2.92E-2</v>
      </c>
      <c r="CW13" s="141">
        <f>'[3]Sunflower Exports'!N$117/2204.622*1000</f>
        <v>0</v>
      </c>
      <c r="CX13" s="141">
        <f>'[3]Sunflower Exports'!O$117/2204.622*1000</f>
        <v>0</v>
      </c>
      <c r="CY13" s="141">
        <f>'[3]Sunflower Exports'!P$117/2204.622*1000</f>
        <v>2.1100000000000004E-2</v>
      </c>
      <c r="CZ13" s="141">
        <f>'[3]Sunflower Exports'!Q$117/2204.622*1000</f>
        <v>0</v>
      </c>
      <c r="DA13" s="141">
        <f>'[3]Sunflower Exports'!R$117/2204.622*1000</f>
        <v>1.0000000000000002E-3</v>
      </c>
      <c r="DB13" s="141">
        <f>'[3]Sunflower Exports'!S$117/2204.622*1000</f>
        <v>3.7999999999999999E-2</v>
      </c>
      <c r="DC13" s="141">
        <f>'[3]Sunflower Exports'!T$117/2204.622*1000</f>
        <v>0.19780000000000003</v>
      </c>
      <c r="DD13" s="141">
        <f>'[3]Sunflower Exports'!U$117/2204.622*1000</f>
        <v>0.29880000000000007</v>
      </c>
      <c r="DE13" s="141">
        <f>'[3]Sunflower Exports'!V$117/2204.622*1000</f>
        <v>0.19850000000000001</v>
      </c>
      <c r="DF13" s="141">
        <f>'[3]Sunflower Exports'!W$117/2204.622*1000</f>
        <v>0</v>
      </c>
      <c r="DG13" s="141">
        <f>'[3]Sunflower Exports'!X$117/2204.622*1000</f>
        <v>2.7800000000000002E-2</v>
      </c>
      <c r="DH13" s="141">
        <f>'[3]Sunflower Exports'!Y$117/2204.622*1000</f>
        <v>0.22052697793091058</v>
      </c>
      <c r="DI13" s="141">
        <f>'[3]Sunflower Exports'!Z$117/2204.622*1000</f>
        <v>6.5999940125790275E-4</v>
      </c>
      <c r="DJ13" s="141">
        <f>'[3]Sunflower Exports'!AA$117/2204.622*1000</f>
        <v>0.13747287528655705</v>
      </c>
      <c r="DK13" s="141">
        <f>'[3]Sunflower Exports'!AB$117/2204.622*1000</f>
        <v>0</v>
      </c>
      <c r="DL13" s="141">
        <f>'[3]Sunflower Exports'!AC$117/2204.622*1000</f>
        <v>0</v>
      </c>
      <c r="DM13" s="143">
        <f>'[3]Sunflower Exports'!AD$117/2204.622*1000</f>
        <v>0</v>
      </c>
      <c r="DN13" s="141">
        <f t="shared" si="0"/>
        <v>0.124</v>
      </c>
      <c r="DO13" s="141">
        <f t="shared" si="0"/>
        <v>1.2000000000000001E-3</v>
      </c>
      <c r="DP13" s="141">
        <f t="shared" si="0"/>
        <v>2.0000000000000005E-3</v>
      </c>
      <c r="DQ13" s="141">
        <f t="shared" si="0"/>
        <v>6.3699999999999993E-2</v>
      </c>
      <c r="DR13" s="141">
        <f t="shared" si="0"/>
        <v>9.2500000000000013E-2</v>
      </c>
      <c r="DS13" s="141">
        <f t="shared" si="0"/>
        <v>0.15700000000000003</v>
      </c>
      <c r="DT13" s="141">
        <f t="shared" si="0"/>
        <v>0.17730000000000001</v>
      </c>
      <c r="DU13" s="141">
        <f t="shared" si="0"/>
        <v>0.21440000000000001</v>
      </c>
      <c r="DV13" s="141">
        <f t="shared" si="0"/>
        <v>0.10390000000000002</v>
      </c>
      <c r="DW13" s="141">
        <f t="shared" si="0"/>
        <v>9.3900000000000025E-2</v>
      </c>
      <c r="DX13" s="141">
        <f t="shared" si="0"/>
        <v>9.8200000000000023E-2</v>
      </c>
      <c r="DY13" s="141">
        <f t="shared" si="0"/>
        <v>3.4200000000000001E-2</v>
      </c>
      <c r="DZ13" s="141">
        <f t="shared" si="0"/>
        <v>2.8000000000000001E-2</v>
      </c>
      <c r="EA13" s="141">
        <f t="shared" si="0"/>
        <v>4.0000000000000001E-3</v>
      </c>
      <c r="EB13" s="141">
        <f t="shared" si="0"/>
        <v>2.1100000000000004E-2</v>
      </c>
      <c r="EC13" s="141">
        <f t="shared" si="0"/>
        <v>2E-3</v>
      </c>
      <c r="ED13" s="141">
        <f t="shared" si="1"/>
        <v>5.0000000000000001E-3</v>
      </c>
      <c r="EE13" s="141">
        <f t="shared" si="1"/>
        <v>0.04</v>
      </c>
      <c r="EF13" s="141">
        <f t="shared" si="1"/>
        <v>0.22480000000000003</v>
      </c>
      <c r="EG13" s="141">
        <f t="shared" si="1"/>
        <v>0.30280000000000007</v>
      </c>
      <c r="EH13" s="141">
        <f t="shared" si="1"/>
        <v>0.2455</v>
      </c>
      <c r="EI13" s="141">
        <f t="shared" si="1"/>
        <v>4.5999999999999999E-2</v>
      </c>
      <c r="EJ13" s="141">
        <f t="shared" si="1"/>
        <v>8.2799999999999999E-2</v>
      </c>
      <c r="EK13" s="141">
        <f t="shared" si="1"/>
        <v>0.32052697793091056</v>
      </c>
      <c r="EL13" s="141">
        <f t="shared" si="1"/>
        <v>4.5659999401257902E-2</v>
      </c>
      <c r="EM13" s="141">
        <f t="shared" si="1"/>
        <v>0.21747287528655707</v>
      </c>
      <c r="EN13" s="141">
        <f t="shared" si="1"/>
        <v>0.14600000000000002</v>
      </c>
      <c r="EO13" s="141">
        <f t="shared" si="1"/>
        <v>0.16800000000000001</v>
      </c>
      <c r="EP13" s="145">
        <f t="shared" si="1"/>
        <v>0</v>
      </c>
      <c r="EQ13" s="145">
        <v>0</v>
      </c>
      <c r="ES13" s="141">
        <f t="shared" si="2"/>
        <v>0</v>
      </c>
      <c r="ET13" s="141">
        <f t="shared" si="2"/>
        <v>0</v>
      </c>
      <c r="EV13" s="141"/>
      <c r="EW13" s="141"/>
      <c r="FB13" s="107"/>
    </row>
    <row r="14" spans="1:158">
      <c r="A14" s="149" t="s">
        <v>145</v>
      </c>
      <c r="B14" s="146">
        <f>'[2]EU Sunflower Exports'!B$136</f>
        <v>0</v>
      </c>
      <c r="C14" s="146">
        <f>'[2]EU Sunflower Exports'!C$136</f>
        <v>0</v>
      </c>
      <c r="D14" s="146">
        <f>'[2]EU Sunflower Exports'!D$136</f>
        <v>0</v>
      </c>
      <c r="E14" s="146">
        <f>'[2]EU Sunflower Exports'!E$136</f>
        <v>0</v>
      </c>
      <c r="F14" s="146">
        <f>'[2]EU Sunflower Exports'!F$136</f>
        <v>0</v>
      </c>
      <c r="G14" s="146">
        <f>'[2]EU Sunflower Exports'!G$136</f>
        <v>0</v>
      </c>
      <c r="H14" s="146">
        <f>'[2]EU Sunflower Exports'!H$136</f>
        <v>0</v>
      </c>
      <c r="I14" s="146">
        <f>'[2]EU Sunflower Exports'!I$136</f>
        <v>1E-3</v>
      </c>
      <c r="J14" s="146">
        <f>'[2]EU Sunflower Exports'!J$136</f>
        <v>2E-3</v>
      </c>
      <c r="K14" s="146">
        <f>'[2]EU Sunflower Exports'!K$136</f>
        <v>0</v>
      </c>
      <c r="L14" s="146">
        <f>'[2]EU Sunflower Exports'!L$136</f>
        <v>0</v>
      </c>
      <c r="M14" s="146">
        <f>'[2]EU Sunflower Exports'!M$136</f>
        <v>3.0000000000000001E-3</v>
      </c>
      <c r="N14" s="146">
        <f>'[2]EU Sunflower Exports'!N$136</f>
        <v>8.0000000000000002E-3</v>
      </c>
      <c r="O14" s="146">
        <f>'[2]EU Sunflower Exports'!O$136</f>
        <v>0</v>
      </c>
      <c r="P14" s="141">
        <f>'[2]EU Sunflower Exports'!P$136</f>
        <v>6.0000000000000001E-3</v>
      </c>
      <c r="Q14" s="141">
        <f>'[2]EU Sunflower Exports'!Q$136</f>
        <v>4.0000000000000001E-3</v>
      </c>
      <c r="R14" s="141">
        <f>'[2]EU Sunflower Exports'!R$136</f>
        <v>0</v>
      </c>
      <c r="S14" s="141">
        <f>'[2]EU Sunflower Exports'!S$136</f>
        <v>1E-3</v>
      </c>
      <c r="T14" s="141">
        <f>'[2]EU Sunflower Exports'!T$136</f>
        <v>2E-3</v>
      </c>
      <c r="U14" s="141">
        <f>'[2]EU Sunflower Exports'!U$136</f>
        <v>0</v>
      </c>
      <c r="V14" s="141">
        <f>'[2]EU Sunflower Exports'!V$136</f>
        <v>2E-3</v>
      </c>
      <c r="W14" s="141">
        <f>'[2]EU Sunflower Exports'!W$136</f>
        <v>1E-3</v>
      </c>
      <c r="X14" s="141">
        <f>'[2]EU Sunflower Exports'!X$136</f>
        <v>1E-3</v>
      </c>
      <c r="Y14" s="141">
        <f>'[2]EU Sunflower Exports'!Y$136</f>
        <v>2E-3</v>
      </c>
      <c r="Z14" s="141">
        <f>'[2]EU Sunflower Exports'!Z$136</f>
        <v>0</v>
      </c>
      <c r="AA14" s="141">
        <f>'[2]EU Sunflower Exports'!AA$136</f>
        <v>0</v>
      </c>
      <c r="AB14" s="141">
        <f>'[2]EU Sunflower Exports'!AB$136</f>
        <v>6.6000000000000003E-2</v>
      </c>
      <c r="AC14" s="141">
        <f>'[2]EU Sunflower Exports'!AC$136</f>
        <v>7.4999999999999997E-2</v>
      </c>
      <c r="AD14" s="143">
        <f>'[2]EU Sunflower Exports'!BB$136</f>
        <v>0</v>
      </c>
      <c r="AE14" s="141">
        <f>'[2]EU Sunflower Exports'!AD$136</f>
        <v>5.1999999999999998E-2</v>
      </c>
      <c r="AF14" s="141">
        <f>'[2]EU Sunflower Exports'!AE$136</f>
        <v>0</v>
      </c>
      <c r="AG14" s="141">
        <f>'[2]EU Sunflower Exports'!AF$136</f>
        <v>0</v>
      </c>
      <c r="AH14" s="141">
        <f>'[2]EU Sunflower Exports'!AG$136</f>
        <v>0</v>
      </c>
      <c r="AI14" s="141">
        <f>'[2]EU Sunflower Exports'!AH$136</f>
        <v>0</v>
      </c>
      <c r="AJ14" s="141">
        <f>'[2]EU Sunflower Exports'!AI$136</f>
        <v>0</v>
      </c>
      <c r="AK14" s="141">
        <f>'[2]EU Sunflower Exports'!AJ$136</f>
        <v>0</v>
      </c>
      <c r="AL14" s="141">
        <f>'[2]EU Sunflower Exports'!AK$136</f>
        <v>0</v>
      </c>
      <c r="AM14" s="141">
        <f>'[2]EU Sunflower Exports'!AL$136</f>
        <v>0</v>
      </c>
      <c r="AN14" s="141">
        <f>'[2]EU Sunflower Exports'!AM$136</f>
        <v>0</v>
      </c>
      <c r="AO14" s="141">
        <f>'[2]EU Sunflower Exports'!AN$136</f>
        <v>0</v>
      </c>
      <c r="AP14" s="141">
        <f>'[2]EU Sunflower Exports'!AO$136</f>
        <v>0</v>
      </c>
      <c r="AQ14" s="141">
        <f>'[2]EU Sunflower Exports'!AP$136</f>
        <v>0</v>
      </c>
      <c r="AR14" s="141">
        <f>'[2]EU Sunflower Exports'!AQ$136</f>
        <v>0</v>
      </c>
      <c r="AS14" s="141">
        <f>'[2]EU Sunflower Exports'!AR$136</f>
        <v>0</v>
      </c>
      <c r="AT14" s="141">
        <f>'[2]EU Sunflower Exports'!AS$136</f>
        <v>0</v>
      </c>
      <c r="AU14" s="141">
        <f>'[2]EU Sunflower Exports'!AT$136</f>
        <v>0</v>
      </c>
      <c r="AV14" s="141">
        <f>'[2]EU Sunflower Exports'!AU$136</f>
        <v>0</v>
      </c>
      <c r="AW14" s="141">
        <f>'[2]EU Sunflower Exports'!AV$136</f>
        <v>0</v>
      </c>
      <c r="AX14" s="141">
        <f>'[2]EU Sunflower Exports'!AW$136</f>
        <v>0</v>
      </c>
      <c r="AY14" s="141">
        <f>'[2]EU Sunflower Exports'!AX$136</f>
        <v>0</v>
      </c>
      <c r="AZ14" s="141">
        <f>'[2]EU Sunflower Exports'!AY$136</f>
        <v>0</v>
      </c>
      <c r="BA14" s="141">
        <f>'[2]EU Sunflower Exports'!AZ$136</f>
        <v>0</v>
      </c>
      <c r="BB14" s="141">
        <f>'[2]EU Sunflower Exports'!BA$136</f>
        <v>0</v>
      </c>
      <c r="BC14" s="141">
        <f>'[2]Ukraine Sunflower Exports'!Z$136</f>
        <v>0.38762499999999994</v>
      </c>
      <c r="BD14" s="141">
        <f>'[2]Ukraine Sunflower Exports'!AA$136</f>
        <v>0.104</v>
      </c>
      <c r="BE14" s="141">
        <f>'[2]Ukraine Sunflower Exports'!AB$136</f>
        <v>0</v>
      </c>
      <c r="BF14" s="141">
        <f>'[2]Ukraine Sunflower Exports'!AC$136</f>
        <v>0</v>
      </c>
      <c r="BG14" s="143">
        <f>'[2]Ukraine Sunflower Exports'!AD$136</f>
        <v>0</v>
      </c>
      <c r="BH14" s="141">
        <f>'[2]Russia Sunflower Exports'!B$136</f>
        <v>0</v>
      </c>
      <c r="BI14" s="141">
        <f>'[2]Russia Sunflower Exports'!C$136</f>
        <v>0</v>
      </c>
      <c r="BJ14" s="141">
        <f>'[2]Russia Sunflower Exports'!D$136</f>
        <v>0</v>
      </c>
      <c r="BK14" s="141">
        <f>'[2]Russia Sunflower Exports'!E$136</f>
        <v>0</v>
      </c>
      <c r="BL14" s="141">
        <f>'[2]Russia Sunflower Exports'!F$136</f>
        <v>0</v>
      </c>
      <c r="BM14" s="141">
        <f>'[2]Russia Sunflower Exports'!G$136</f>
        <v>0</v>
      </c>
      <c r="BN14" s="141">
        <f>'[2]Russia Sunflower Exports'!H$136</f>
        <v>0</v>
      </c>
      <c r="BO14" s="141">
        <f>'[2]Russia Sunflower Exports'!I$136</f>
        <v>0</v>
      </c>
      <c r="BP14" s="141">
        <f>'[2]Russia Sunflower Exports'!J$136</f>
        <v>0</v>
      </c>
      <c r="BQ14" s="141">
        <f>'[2]Russia Sunflower Exports'!K$136</f>
        <v>0</v>
      </c>
      <c r="BR14" s="141">
        <f>'[2]Russia Sunflower Exports'!L$136</f>
        <v>0</v>
      </c>
      <c r="BS14" s="141">
        <f>'[2]Russia Sunflower Exports'!M$136</f>
        <v>0</v>
      </c>
      <c r="BT14" s="141">
        <f>'[2]Russia Sunflower Exports'!N$136</f>
        <v>0</v>
      </c>
      <c r="BU14" s="141">
        <f>'[2]Russia Sunflower Exports'!O$136</f>
        <v>0</v>
      </c>
      <c r="BV14" s="141">
        <f>'[2]Russia Sunflower Exports'!P$136</f>
        <v>0</v>
      </c>
      <c r="BW14" s="141">
        <f>'[2]Russia Sunflower Exports'!Q$136</f>
        <v>0</v>
      </c>
      <c r="BX14" s="141">
        <f>'[2]Russia Sunflower Exports'!R$136</f>
        <v>0</v>
      </c>
      <c r="BY14" s="141">
        <f>'[2]Russia Sunflower Exports'!S$136</f>
        <v>0</v>
      </c>
      <c r="BZ14" s="141">
        <f>'[2]Russia Sunflower Exports'!T$136</f>
        <v>0</v>
      </c>
      <c r="CA14" s="141">
        <f>'[2]Russia Sunflower Exports'!U$136</f>
        <v>0</v>
      </c>
      <c r="CB14" s="141">
        <f>'[2]Russia Sunflower Exports'!V$136</f>
        <v>0</v>
      </c>
      <c r="CC14" s="141">
        <f>'[2]Russia Sunflower Exports'!W$136</f>
        <v>0</v>
      </c>
      <c r="CD14" s="141">
        <f>'[2]Russia Sunflower Exports'!X$136</f>
        <v>0</v>
      </c>
      <c r="CE14" s="141">
        <f>'[2]Russia Sunflower Exports'!Y$136</f>
        <v>0</v>
      </c>
      <c r="CF14" s="141">
        <f>'[2]Russia Sunflower Exports'!Z$136</f>
        <v>0</v>
      </c>
      <c r="CG14" s="147">
        <f>'[2]Russia Sunflower Exports'!AA$136</f>
        <v>0</v>
      </c>
      <c r="CH14" s="141">
        <f>'[2]Russia Sunflower Exports'!AB$136</f>
        <v>0</v>
      </c>
      <c r="CI14" s="141">
        <f>'[2]Russia Sunflower Exports'!AC$136</f>
        <v>0</v>
      </c>
      <c r="CJ14" s="143">
        <f>'[2]Russia Sunflower Exports'!AD$136</f>
        <v>0</v>
      </c>
      <c r="CK14" s="141">
        <f>'[3]Sunflower Exports'!B$136/2204.622*1000</f>
        <v>0</v>
      </c>
      <c r="CL14" s="141">
        <f>'[3]Sunflower Exports'!C$136/2204.622*1000</f>
        <v>0</v>
      </c>
      <c r="CM14" s="141">
        <f>'[3]Sunflower Exports'!D$136/2204.622*1000</f>
        <v>0</v>
      </c>
      <c r="CN14" s="141">
        <f>'[3]Sunflower Exports'!E$136/2204.622*1000</f>
        <v>7.1600000000000011E-2</v>
      </c>
      <c r="CO14" s="141">
        <f>'[3]Sunflower Exports'!F$136/2204.622*1000</f>
        <v>0.11250000000000002</v>
      </c>
      <c r="CP14" s="141">
        <f>'[3]Sunflower Exports'!G$136/2204.622*1000</f>
        <v>0.111</v>
      </c>
      <c r="CQ14" s="141">
        <f>'[3]Sunflower Exports'!H$136/2204.622*1000</f>
        <v>7.7100000000000016E-2</v>
      </c>
      <c r="CR14" s="141">
        <f>'[3]Sunflower Exports'!I$136/2204.622*1000</f>
        <v>5.5900000000000012E-2</v>
      </c>
      <c r="CS14" s="141">
        <f>'[3]Sunflower Exports'!J$136/2204.622*1000</f>
        <v>7.2700000000000001E-2</v>
      </c>
      <c r="CT14" s="141">
        <f>'[3]Sunflower Exports'!K$136/2204.622*1000</f>
        <v>3.8700000000000005E-2</v>
      </c>
      <c r="CU14" s="141">
        <f>'[3]Sunflower Exports'!L$136/2204.622*1000</f>
        <v>0.19810000000000003</v>
      </c>
      <c r="CV14" s="141">
        <f>'[3]Sunflower Exports'!M$136/2204.622*1000</f>
        <v>7.1900000000000019E-2</v>
      </c>
      <c r="CW14" s="141">
        <f>'[3]Sunflower Exports'!N$136/2204.622*1000</f>
        <v>7.8700000000000006E-2</v>
      </c>
      <c r="CX14" s="141">
        <f>'[3]Sunflower Exports'!O$136/2204.622*1000</f>
        <v>6.0000000000000012E-2</v>
      </c>
      <c r="CY14" s="141">
        <f>'[3]Sunflower Exports'!P$136/2204.622*1000</f>
        <v>4.9500000000000009E-2</v>
      </c>
      <c r="CZ14" s="141">
        <f>'[3]Sunflower Exports'!Q$136/2204.622*1000</f>
        <v>0.15470000000000003</v>
      </c>
      <c r="DA14" s="141">
        <f>'[3]Sunflower Exports'!R$136/2204.622*1000</f>
        <v>7.2599999999999998E-2</v>
      </c>
      <c r="DB14" s="141">
        <f>'[3]Sunflower Exports'!S$136/2204.622*1000</f>
        <v>0.14570000000000005</v>
      </c>
      <c r="DC14" s="141">
        <f>'[3]Sunflower Exports'!T$136/2204.622*1000</f>
        <v>0.23880000000000007</v>
      </c>
      <c r="DD14" s="141">
        <f>'[3]Sunflower Exports'!U$136/2204.622*1000</f>
        <v>8.5400000000000018E-2</v>
      </c>
      <c r="DE14" s="141">
        <f>'[3]Sunflower Exports'!V$136/2204.622*1000</f>
        <v>3.0700000000000002E-2</v>
      </c>
      <c r="DF14" s="141">
        <f>'[3]Sunflower Exports'!W$136/2204.622*1000</f>
        <v>4.5600000000000002E-2</v>
      </c>
      <c r="DG14" s="141">
        <f>'[3]Sunflower Exports'!X$136/2204.622*1000</f>
        <v>3.910000000000001E-2</v>
      </c>
      <c r="DH14" s="141">
        <f>'[3]Sunflower Exports'!Y$136/2204.622*1000</f>
        <v>2.8200000000000003E-2</v>
      </c>
      <c r="DI14" s="141">
        <f>'[3]Sunflower Exports'!Z$136/2204.622*1000</f>
        <v>3.6509966878675804E-2</v>
      </c>
      <c r="DJ14" s="141">
        <f>'[3]Sunflower Exports'!AA$136/2204.622*1000</f>
        <v>2.8975973713407564E-2</v>
      </c>
      <c r="DK14" s="141">
        <f>'[3]Sunflower Exports'!AB$136/2204.622*1000</f>
        <v>3.9273964371216469E-2</v>
      </c>
      <c r="DL14" s="141">
        <f>'[3]Sunflower Exports'!AC$136/2204.622*1000</f>
        <v>3.4327386100655805E-2</v>
      </c>
      <c r="DM14" s="143">
        <f>'[3]Sunflower Exports'!AD$136/2204.622*1000</f>
        <v>0</v>
      </c>
      <c r="DN14" s="141">
        <f t="shared" si="0"/>
        <v>5.1999999999999998E-2</v>
      </c>
      <c r="DO14" s="141">
        <f t="shared" si="0"/>
        <v>0</v>
      </c>
      <c r="DP14" s="141">
        <f t="shared" si="0"/>
        <v>0</v>
      </c>
      <c r="DQ14" s="141">
        <f t="shared" si="0"/>
        <v>7.1600000000000011E-2</v>
      </c>
      <c r="DR14" s="141">
        <f t="shared" si="0"/>
        <v>0.11250000000000002</v>
      </c>
      <c r="DS14" s="141">
        <f t="shared" si="0"/>
        <v>0.111</v>
      </c>
      <c r="DT14" s="141">
        <f t="shared" si="0"/>
        <v>7.7100000000000016E-2</v>
      </c>
      <c r="DU14" s="141">
        <f t="shared" si="0"/>
        <v>5.6900000000000013E-2</v>
      </c>
      <c r="DV14" s="141">
        <f t="shared" si="0"/>
        <v>7.4700000000000003E-2</v>
      </c>
      <c r="DW14" s="141">
        <f t="shared" si="0"/>
        <v>3.8700000000000005E-2</v>
      </c>
      <c r="DX14" s="141">
        <f t="shared" si="0"/>
        <v>0.19810000000000003</v>
      </c>
      <c r="DY14" s="141">
        <f t="shared" si="0"/>
        <v>7.4900000000000022E-2</v>
      </c>
      <c r="DZ14" s="141">
        <f t="shared" si="0"/>
        <v>8.6699999999999999E-2</v>
      </c>
      <c r="EA14" s="141">
        <f t="shared" si="0"/>
        <v>6.0000000000000012E-2</v>
      </c>
      <c r="EB14" s="141">
        <f t="shared" si="0"/>
        <v>5.5500000000000008E-2</v>
      </c>
      <c r="EC14" s="141">
        <f t="shared" si="0"/>
        <v>0.15870000000000004</v>
      </c>
      <c r="ED14" s="141">
        <f t="shared" si="1"/>
        <v>7.2599999999999998E-2</v>
      </c>
      <c r="EE14" s="141">
        <f t="shared" si="1"/>
        <v>0.14670000000000005</v>
      </c>
      <c r="EF14" s="141">
        <f t="shared" si="1"/>
        <v>0.24080000000000007</v>
      </c>
      <c r="EG14" s="141">
        <f t="shared" si="1"/>
        <v>8.5400000000000018E-2</v>
      </c>
      <c r="EH14" s="141">
        <f t="shared" si="1"/>
        <v>3.27E-2</v>
      </c>
      <c r="EI14" s="141">
        <f t="shared" si="1"/>
        <v>4.6600000000000003E-2</v>
      </c>
      <c r="EJ14" s="141">
        <f t="shared" si="1"/>
        <v>4.0100000000000011E-2</v>
      </c>
      <c r="EK14" s="141">
        <f t="shared" si="1"/>
        <v>3.0200000000000005E-2</v>
      </c>
      <c r="EL14" s="141">
        <f t="shared" si="1"/>
        <v>0.42413496687867575</v>
      </c>
      <c r="EM14" s="141">
        <f t="shared" si="1"/>
        <v>0.13297597371340755</v>
      </c>
      <c r="EN14" s="141">
        <f t="shared" si="1"/>
        <v>0.10527396437121647</v>
      </c>
      <c r="EO14" s="141">
        <f t="shared" si="1"/>
        <v>0.1093273861006558</v>
      </c>
      <c r="EP14" s="145">
        <f t="shared" si="1"/>
        <v>0</v>
      </c>
      <c r="EQ14" s="145">
        <v>0</v>
      </c>
      <c r="ES14" s="141">
        <f t="shared" si="2"/>
        <v>0</v>
      </c>
      <c r="ET14" s="141">
        <f t="shared" si="2"/>
        <v>0</v>
      </c>
      <c r="EV14" s="141"/>
      <c r="EW14" s="141"/>
      <c r="FB14" s="107"/>
    </row>
    <row r="15" spans="1:158">
      <c r="A15" s="148" t="s">
        <v>146</v>
      </c>
      <c r="B15" s="146">
        <f>'[2]EU Sunflower Exports'!B$140</f>
        <v>0</v>
      </c>
      <c r="C15" s="146">
        <f>'[2]EU Sunflower Exports'!C$140</f>
        <v>0</v>
      </c>
      <c r="D15" s="146">
        <f>'[2]EU Sunflower Exports'!D$140</f>
        <v>0</v>
      </c>
      <c r="E15" s="146">
        <f>'[2]EU Sunflower Exports'!E$140</f>
        <v>0</v>
      </c>
      <c r="F15" s="146">
        <f>'[2]EU Sunflower Exports'!F$140</f>
        <v>1.3999999999999999E-2</v>
      </c>
      <c r="G15" s="146">
        <f>'[2]EU Sunflower Exports'!G$140</f>
        <v>2E-3</v>
      </c>
      <c r="H15" s="146">
        <f>'[2]EU Sunflower Exports'!H$140</f>
        <v>2.1999999999999999E-2</v>
      </c>
      <c r="I15" s="146">
        <f>'[2]EU Sunflower Exports'!I$140</f>
        <v>5.0000000000000001E-3</v>
      </c>
      <c r="J15" s="146">
        <f>'[2]EU Sunflower Exports'!J$140</f>
        <v>0</v>
      </c>
      <c r="K15" s="146">
        <f>'[2]EU Sunflower Exports'!K$140</f>
        <v>0</v>
      </c>
      <c r="L15" s="146">
        <f>'[2]EU Sunflower Exports'!L$140</f>
        <v>0</v>
      </c>
      <c r="M15" s="146">
        <f>'[2]EU Sunflower Exports'!M$140</f>
        <v>0</v>
      </c>
      <c r="N15" s="146">
        <f>'[2]EU Sunflower Exports'!N$140</f>
        <v>0</v>
      </c>
      <c r="O15" s="146">
        <f>'[2]EU Sunflower Exports'!O$140</f>
        <v>1E-3</v>
      </c>
      <c r="P15" s="141">
        <f>'[2]EU Sunflower Exports'!P$140</f>
        <v>0</v>
      </c>
      <c r="Q15" s="141">
        <f>'[2]EU Sunflower Exports'!Q$140</f>
        <v>0</v>
      </c>
      <c r="R15" s="141">
        <f>'[2]EU Sunflower Exports'!R$140</f>
        <v>2.2000000000000002E-2</v>
      </c>
      <c r="S15" s="141">
        <f>'[2]EU Sunflower Exports'!S$140</f>
        <v>5.3999999999999992E-2</v>
      </c>
      <c r="T15" s="141">
        <f>'[2]EU Sunflower Exports'!T$140</f>
        <v>4.5999999999999999E-2</v>
      </c>
      <c r="U15" s="141">
        <f>'[2]EU Sunflower Exports'!U$140</f>
        <v>8.900000000000001E-2</v>
      </c>
      <c r="V15" s="141">
        <f>'[2]EU Sunflower Exports'!V$140</f>
        <v>0.128</v>
      </c>
      <c r="W15" s="141">
        <f>'[2]EU Sunflower Exports'!W$140</f>
        <v>0.59899999999999998</v>
      </c>
      <c r="X15" s="141">
        <f>'[2]EU Sunflower Exports'!X$140</f>
        <v>0.69000000000000006</v>
      </c>
      <c r="Y15" s="141">
        <f>'[2]EU Sunflower Exports'!Y$140</f>
        <v>0.22699999999999998</v>
      </c>
      <c r="Z15" s="141">
        <f>'[2]EU Sunflower Exports'!Z$140</f>
        <v>0.89600000000000013</v>
      </c>
      <c r="AA15" s="141">
        <f>'[2]EU Sunflower Exports'!AA$140</f>
        <v>1.66</v>
      </c>
      <c r="AB15" s="141">
        <f>'[2]EU Sunflower Exports'!AB$140</f>
        <v>1.5209999999999999</v>
      </c>
      <c r="AC15" s="141">
        <f>'[2]EU Sunflower Exports'!AC$140</f>
        <v>0.15900000000000003</v>
      </c>
      <c r="AD15" s="143">
        <f>'[2]EU Sunflower Exports'!BB$140</f>
        <v>0</v>
      </c>
      <c r="AE15" s="141">
        <f>'[2]EU Sunflower Exports'!AD$140</f>
        <v>2.3019999999999996</v>
      </c>
      <c r="AF15" s="141">
        <f>'[2]EU Sunflower Exports'!AE$140</f>
        <v>0</v>
      </c>
      <c r="AG15" s="141">
        <f>'[2]EU Sunflower Exports'!AF$140</f>
        <v>0</v>
      </c>
      <c r="AH15" s="141">
        <f>'[2]EU Sunflower Exports'!AG$140</f>
        <v>0</v>
      </c>
      <c r="AI15" s="141">
        <f>'[2]EU Sunflower Exports'!AH$140</f>
        <v>0</v>
      </c>
      <c r="AJ15" s="141">
        <f>'[2]EU Sunflower Exports'!AI$140</f>
        <v>0</v>
      </c>
      <c r="AK15" s="141">
        <f>'[2]EU Sunflower Exports'!AJ$140</f>
        <v>0</v>
      </c>
      <c r="AL15" s="141">
        <f>'[2]EU Sunflower Exports'!AK$140</f>
        <v>0</v>
      </c>
      <c r="AM15" s="141">
        <f>'[2]EU Sunflower Exports'!AL$140</f>
        <v>0</v>
      </c>
      <c r="AN15" s="141">
        <f>'[2]EU Sunflower Exports'!AM$140</f>
        <v>0</v>
      </c>
      <c r="AO15" s="141">
        <f>'[2]EU Sunflower Exports'!AN$140</f>
        <v>0</v>
      </c>
      <c r="AP15" s="141">
        <f>'[2]EU Sunflower Exports'!AO$140</f>
        <v>0</v>
      </c>
      <c r="AQ15" s="141">
        <f>'[2]EU Sunflower Exports'!AP$140</f>
        <v>0</v>
      </c>
      <c r="AR15" s="141">
        <f>'[2]EU Sunflower Exports'!AQ$140</f>
        <v>0</v>
      </c>
      <c r="AS15" s="141">
        <f>'[2]EU Sunflower Exports'!AR$140</f>
        <v>0</v>
      </c>
      <c r="AT15" s="141">
        <f>'[2]EU Sunflower Exports'!AS$140</f>
        <v>0</v>
      </c>
      <c r="AU15" s="141">
        <f>'[2]EU Sunflower Exports'!AT$140</f>
        <v>0</v>
      </c>
      <c r="AV15" s="141">
        <f>'[2]EU Sunflower Exports'!AU$140</f>
        <v>0</v>
      </c>
      <c r="AW15" s="141">
        <f>'[2]EU Sunflower Exports'!AV$140</f>
        <v>0</v>
      </c>
      <c r="AX15" s="141">
        <f>'[2]EU Sunflower Exports'!AW$140</f>
        <v>0</v>
      </c>
      <c r="AY15" s="141">
        <f>'[2]EU Sunflower Exports'!AX$140</f>
        <v>0</v>
      </c>
      <c r="AZ15" s="141">
        <f>'[2]EU Sunflower Exports'!AY$140</f>
        <v>0</v>
      </c>
      <c r="BA15" s="141">
        <f>'[2]EU Sunflower Exports'!AZ$140</f>
        <v>0</v>
      </c>
      <c r="BB15" s="141">
        <f>'[2]EU Sunflower Exports'!BA$140</f>
        <v>0</v>
      </c>
      <c r="BC15" s="141">
        <f>'[2]Ukraine Sunflower Exports'!Z$140</f>
        <v>0.14054499999999998</v>
      </c>
      <c r="BD15" s="141">
        <f>'[2]Ukraine Sunflower Exports'!AA$140</f>
        <v>7.9500000000000001E-2</v>
      </c>
      <c r="BE15" s="141">
        <f>'[2]Ukraine Sunflower Exports'!AB$140</f>
        <v>6.8010000000000001E-2</v>
      </c>
      <c r="BF15" s="141">
        <f>'[2]Ukraine Sunflower Exports'!AC$140</f>
        <v>0</v>
      </c>
      <c r="BG15" s="143">
        <f>'[2]Ukraine Sunflower Exports'!AD$140</f>
        <v>0</v>
      </c>
      <c r="BH15" s="141">
        <f>'[2]Russia Sunflower Exports'!B$140</f>
        <v>0</v>
      </c>
      <c r="BI15" s="141">
        <f>'[2]Russia Sunflower Exports'!C$140</f>
        <v>0</v>
      </c>
      <c r="BJ15" s="141">
        <f>'[2]Russia Sunflower Exports'!D$140</f>
        <v>0</v>
      </c>
      <c r="BK15" s="141">
        <f>'[2]Russia Sunflower Exports'!E$140</f>
        <v>0</v>
      </c>
      <c r="BL15" s="141">
        <f>'[2]Russia Sunflower Exports'!F$140</f>
        <v>0.82540000000000002</v>
      </c>
      <c r="BM15" s="141">
        <f>'[2]Russia Sunflower Exports'!G$140</f>
        <v>0</v>
      </c>
      <c r="BN15" s="141">
        <f>'[2]Russia Sunflower Exports'!H$140</f>
        <v>0</v>
      </c>
      <c r="BO15" s="141">
        <f>'[2]Russia Sunflower Exports'!I$140</f>
        <v>0</v>
      </c>
      <c r="BP15" s="141">
        <f>'[2]Russia Sunflower Exports'!J$140</f>
        <v>0</v>
      </c>
      <c r="BQ15" s="141">
        <f>'[2]Russia Sunflower Exports'!K$140</f>
        <v>0</v>
      </c>
      <c r="BR15" s="141">
        <f>'[2]Russia Sunflower Exports'!L$140</f>
        <v>0</v>
      </c>
      <c r="BS15" s="141">
        <f>'[2]Russia Sunflower Exports'!M$140</f>
        <v>0</v>
      </c>
      <c r="BT15" s="141">
        <f>'[2]Russia Sunflower Exports'!N$140</f>
        <v>0</v>
      </c>
      <c r="BU15" s="141">
        <f>'[2]Russia Sunflower Exports'!O$140</f>
        <v>0</v>
      </c>
      <c r="BV15" s="141">
        <f>'[2]Russia Sunflower Exports'!P$140</f>
        <v>0</v>
      </c>
      <c r="BW15" s="141">
        <f>'[2]Russia Sunflower Exports'!Q$140</f>
        <v>0</v>
      </c>
      <c r="BX15" s="141">
        <f>'[2]Russia Sunflower Exports'!R$140</f>
        <v>0</v>
      </c>
      <c r="BY15" s="141">
        <f>'[2]Russia Sunflower Exports'!S$140</f>
        <v>0</v>
      </c>
      <c r="BZ15" s="141">
        <f>'[2]Russia Sunflower Exports'!T$140</f>
        <v>0</v>
      </c>
      <c r="CA15" s="141">
        <f>'[2]Russia Sunflower Exports'!U$140</f>
        <v>0</v>
      </c>
      <c r="CB15" s="141">
        <f>'[2]Russia Sunflower Exports'!V$140</f>
        <v>0</v>
      </c>
      <c r="CC15" s="141">
        <f>'[2]Russia Sunflower Exports'!W$140</f>
        <v>0</v>
      </c>
      <c r="CD15" s="141">
        <f>'[2]Russia Sunflower Exports'!X$140</f>
        <v>0</v>
      </c>
      <c r="CE15" s="141">
        <f>'[2]Russia Sunflower Exports'!Y$140</f>
        <v>0</v>
      </c>
      <c r="CF15" s="141">
        <f>'[2]Russia Sunflower Exports'!Z$140</f>
        <v>0</v>
      </c>
      <c r="CG15" s="147">
        <f>'[2]Russia Sunflower Exports'!AA$140</f>
        <v>0</v>
      </c>
      <c r="CH15" s="141">
        <f>'[2]Russia Sunflower Exports'!AB$140</f>
        <v>0</v>
      </c>
      <c r="CI15" s="141">
        <f>'[2]Russia Sunflower Exports'!AC$140</f>
        <v>0</v>
      </c>
      <c r="CJ15" s="143">
        <f>'[2]Russia Sunflower Exports'!AD$140</f>
        <v>0</v>
      </c>
      <c r="CK15" s="141">
        <f>'[3]Sunflower Exports'!B$140/2204.622/1000</f>
        <v>6.9159999999999997E-7</v>
      </c>
      <c r="CL15" s="141">
        <f>'[3]Sunflower Exports'!C$140/2204.622/1000</f>
        <v>6.6979999999999992E-7</v>
      </c>
      <c r="CM15" s="141">
        <f>'[3]Sunflower Exports'!D$140/2204.622/1000</f>
        <v>6.7069999999999999E-7</v>
      </c>
      <c r="CN15" s="141">
        <f>'[3]Sunflower Exports'!E$140/2204.622/1000</f>
        <v>1.2709000000000004E-6</v>
      </c>
      <c r="CO15" s="141">
        <f>'[3]Sunflower Exports'!F$140/2204.622/1000</f>
        <v>7.2240000000000006E-7</v>
      </c>
      <c r="CP15" s="141">
        <f>'[3]Sunflower Exports'!G$140/2204.622/1000</f>
        <v>9.9250000000000003E-7</v>
      </c>
      <c r="CQ15" s="141">
        <f>'[3]Sunflower Exports'!H$140/2204.622/1000</f>
        <v>1.5770000000000005E-6</v>
      </c>
      <c r="CR15" s="141">
        <f>'[3]Sunflower Exports'!I$140/2204.622/1000</f>
        <v>8.4650000000000018E-7</v>
      </c>
      <c r="CS15" s="141">
        <f>'[3]Sunflower Exports'!J$140/2204.622/1000</f>
        <v>5.4020000000000003E-7</v>
      </c>
      <c r="CT15" s="141">
        <f>'[3]Sunflower Exports'!K$140/2204.622/1000</f>
        <v>4.5970000000000002E-7</v>
      </c>
      <c r="CU15" s="141">
        <f>'[3]Sunflower Exports'!L$140/2204.622/1000</f>
        <v>2.2070000000000004E-7</v>
      </c>
      <c r="CV15" s="141">
        <f>'[3]Sunflower Exports'!M$140/2204.622/1000</f>
        <v>3.6299999999999994E-8</v>
      </c>
      <c r="CW15" s="141">
        <f>'[3]Sunflower Exports'!N$140/2204.622/1000</f>
        <v>5.8100000000000011E-8</v>
      </c>
      <c r="CX15" s="141">
        <f>'[3]Sunflower Exports'!O$140/2204.622/1000</f>
        <v>2.4719999999999999E-7</v>
      </c>
      <c r="CY15" s="141">
        <f>'[3]Sunflower Exports'!P$140/2204.622/1000</f>
        <v>1.539E-7</v>
      </c>
      <c r="CZ15" s="141">
        <f>'[3]Sunflower Exports'!Q$140/2204.622/1000</f>
        <v>6.0800000000000002E-8</v>
      </c>
      <c r="DA15" s="141">
        <f>'[3]Sunflower Exports'!R$140/2204.622/1000</f>
        <v>1.9500000000000003E-8</v>
      </c>
      <c r="DB15" s="141">
        <f>'[3]Sunflower Exports'!S$140/2204.622/1000</f>
        <v>1.0590000000000002E-7</v>
      </c>
      <c r="DC15" s="141">
        <f>'[3]Sunflower Exports'!T$140/2204.622/1000</f>
        <v>0</v>
      </c>
      <c r="DD15" s="141">
        <f>'[3]Sunflower Exports'!U$140/2204.622/1000</f>
        <v>4.9220000000000003E-7</v>
      </c>
      <c r="DE15" s="141">
        <f>'[3]Sunflower Exports'!V$140/2204.622/1000</f>
        <v>0</v>
      </c>
      <c r="DF15" s="141">
        <f>'[3]Sunflower Exports'!W$140/2204.622/1000</f>
        <v>3.9400000000000002E-8</v>
      </c>
      <c r="DG15" s="141">
        <f>'[3]Sunflower Exports'!X$140/2204.622/1000</f>
        <v>3.99E-8</v>
      </c>
      <c r="DH15" s="141">
        <f>'[3]Sunflower Exports'!Y$140/2204.622/1000</f>
        <v>6.1200000000000005E-8</v>
      </c>
      <c r="DI15" s="141">
        <f>'[3]Sunflower Exports'!Z$140/2204.622/1000</f>
        <v>0</v>
      </c>
      <c r="DJ15" s="141">
        <f>'[3]Sunflower Exports'!AA$140/2204.622/1000</f>
        <v>0</v>
      </c>
      <c r="DK15" s="141">
        <f>'[3]Sunflower Exports'!AB$140/2204.622/1000</f>
        <v>0</v>
      </c>
      <c r="DL15" s="141">
        <f>'[3]Sunflower Exports'!AC$140/2204.622/1000</f>
        <v>0</v>
      </c>
      <c r="DM15" s="143">
        <f>'[3]Sunflower Exports'!AD$140/2204.622/1000</f>
        <v>0</v>
      </c>
      <c r="DN15" s="141">
        <f t="shared" si="0"/>
        <v>2.3020006915999995</v>
      </c>
      <c r="DO15" s="141">
        <f t="shared" si="0"/>
        <v>6.6979999999999992E-7</v>
      </c>
      <c r="DP15" s="141">
        <f t="shared" si="0"/>
        <v>6.7069999999999999E-7</v>
      </c>
      <c r="DQ15" s="141">
        <f t="shared" si="0"/>
        <v>1.2709000000000004E-6</v>
      </c>
      <c r="DR15" s="141">
        <f t="shared" si="0"/>
        <v>0.83940072240000008</v>
      </c>
      <c r="DS15" s="141">
        <f t="shared" si="0"/>
        <v>2.0009925000000002E-3</v>
      </c>
      <c r="DT15" s="141">
        <f t="shared" si="0"/>
        <v>2.2001576999999998E-2</v>
      </c>
      <c r="DU15" s="141">
        <f t="shared" si="0"/>
        <v>5.0008465000000004E-3</v>
      </c>
      <c r="DV15" s="141">
        <f t="shared" si="0"/>
        <v>5.4020000000000003E-7</v>
      </c>
      <c r="DW15" s="141">
        <f t="shared" si="0"/>
        <v>4.5970000000000002E-7</v>
      </c>
      <c r="DX15" s="141">
        <f t="shared" si="0"/>
        <v>2.2070000000000004E-7</v>
      </c>
      <c r="DY15" s="141">
        <f t="shared" si="0"/>
        <v>3.6299999999999994E-8</v>
      </c>
      <c r="DZ15" s="141">
        <f t="shared" si="0"/>
        <v>5.8100000000000011E-8</v>
      </c>
      <c r="EA15" s="141">
        <f t="shared" si="0"/>
        <v>1.0002472E-3</v>
      </c>
      <c r="EB15" s="141">
        <f t="shared" si="0"/>
        <v>1.539E-7</v>
      </c>
      <c r="EC15" s="141">
        <f t="shared" si="0"/>
        <v>6.0800000000000002E-8</v>
      </c>
      <c r="ED15" s="141">
        <f t="shared" si="1"/>
        <v>2.2000019500000002E-2</v>
      </c>
      <c r="EE15" s="141">
        <f t="shared" si="1"/>
        <v>5.4000105899999991E-2</v>
      </c>
      <c r="EF15" s="141">
        <f t="shared" si="1"/>
        <v>4.5999999999999999E-2</v>
      </c>
      <c r="EG15" s="141">
        <f t="shared" si="1"/>
        <v>8.9000492200000003E-2</v>
      </c>
      <c r="EH15" s="141">
        <f t="shared" si="1"/>
        <v>0.128</v>
      </c>
      <c r="EI15" s="141">
        <f t="shared" si="1"/>
        <v>0.59900003940000002</v>
      </c>
      <c r="EJ15" s="141">
        <f t="shared" si="1"/>
        <v>0.69000003990000003</v>
      </c>
      <c r="EK15" s="141">
        <f t="shared" si="1"/>
        <v>0.22700006119999999</v>
      </c>
      <c r="EL15" s="141">
        <f t="shared" si="1"/>
        <v>1.036545</v>
      </c>
      <c r="EM15" s="141">
        <f t="shared" si="1"/>
        <v>1.7394999999999998</v>
      </c>
      <c r="EN15" s="141">
        <f t="shared" si="1"/>
        <v>1.5890099999999998</v>
      </c>
      <c r="EO15" s="141">
        <f t="shared" si="1"/>
        <v>0.15900000000000003</v>
      </c>
      <c r="EP15" s="145">
        <f t="shared" si="1"/>
        <v>0</v>
      </c>
      <c r="EQ15" s="145">
        <v>0</v>
      </c>
      <c r="ES15" s="141">
        <f t="shared" si="2"/>
        <v>0</v>
      </c>
      <c r="ET15" s="141">
        <f t="shared" si="2"/>
        <v>0</v>
      </c>
      <c r="EV15" s="141"/>
      <c r="EW15" s="141"/>
      <c r="FB15" s="107"/>
    </row>
    <row r="16" spans="1:158">
      <c r="A16" s="148" t="s">
        <v>147</v>
      </c>
      <c r="B16" s="146">
        <f>'[2]EU Sunflower Exports'!B$112</f>
        <v>0</v>
      </c>
      <c r="C16" s="146">
        <f>'[2]EU Sunflower Exports'!C$112</f>
        <v>0</v>
      </c>
      <c r="D16" s="146">
        <f>'[2]EU Sunflower Exports'!D$112</f>
        <v>0</v>
      </c>
      <c r="E16" s="146">
        <f>'[2]EU Sunflower Exports'!E$112</f>
        <v>0</v>
      </c>
      <c r="F16" s="146">
        <f>'[2]EU Sunflower Exports'!F$112</f>
        <v>1E-3</v>
      </c>
      <c r="G16" s="146">
        <f>'[2]EU Sunflower Exports'!G$112</f>
        <v>1.6E-2</v>
      </c>
      <c r="H16" s="146">
        <f>'[2]EU Sunflower Exports'!H$112</f>
        <v>0</v>
      </c>
      <c r="I16" s="146">
        <f>'[2]EU Sunflower Exports'!I$112</f>
        <v>0</v>
      </c>
      <c r="J16" s="146">
        <f>'[2]EU Sunflower Exports'!J$112</f>
        <v>0</v>
      </c>
      <c r="K16" s="146">
        <f>'[2]EU Sunflower Exports'!K$112</f>
        <v>2.5999999999999999E-2</v>
      </c>
      <c r="L16" s="146">
        <f>'[2]EU Sunflower Exports'!L$112</f>
        <v>4.7E-2</v>
      </c>
      <c r="M16" s="146">
        <f>'[2]EU Sunflower Exports'!M$112</f>
        <v>0.01</v>
      </c>
      <c r="N16" s="146">
        <f>'[2]EU Sunflower Exports'!N$112</f>
        <v>2.4E-2</v>
      </c>
      <c r="O16" s="146">
        <f>'[2]EU Sunflower Exports'!O$112</f>
        <v>0.15100000000000002</v>
      </c>
      <c r="P16" s="141">
        <f>'[2]EU Sunflower Exports'!P$112</f>
        <v>0.15100000000000002</v>
      </c>
      <c r="Q16" s="141">
        <f>'[2]EU Sunflower Exports'!Q$112</f>
        <v>0.18000000000000002</v>
      </c>
      <c r="R16" s="141">
        <f>'[2]EU Sunflower Exports'!R$112</f>
        <v>0.185</v>
      </c>
      <c r="S16" s="141">
        <f>'[2]EU Sunflower Exports'!S$112</f>
        <v>0.17700000000000005</v>
      </c>
      <c r="T16" s="141">
        <f>'[2]EU Sunflower Exports'!T$112</f>
        <v>0.35900000000000004</v>
      </c>
      <c r="U16" s="141">
        <f>'[2]EU Sunflower Exports'!U$112</f>
        <v>0.38900000000000001</v>
      </c>
      <c r="V16" s="141">
        <f>'[2]EU Sunflower Exports'!V$112</f>
        <v>0.56000000000000005</v>
      </c>
      <c r="W16" s="141">
        <f>'[2]EU Sunflower Exports'!W$112</f>
        <v>0.59500000000000008</v>
      </c>
      <c r="X16" s="141">
        <f>'[2]EU Sunflower Exports'!X$112</f>
        <v>0.96299999999999997</v>
      </c>
      <c r="Y16" s="141">
        <f>'[2]EU Sunflower Exports'!Y$112</f>
        <v>1.3040000000000003</v>
      </c>
      <c r="Z16" s="141">
        <f>'[2]EU Sunflower Exports'!Z$112</f>
        <v>1.5920000000000001</v>
      </c>
      <c r="AA16" s="141">
        <f>'[2]EU Sunflower Exports'!AA$112</f>
        <v>1.4239999999999999</v>
      </c>
      <c r="AB16" s="141">
        <f>'[2]EU Sunflower Exports'!AB$112</f>
        <v>3.15</v>
      </c>
      <c r="AC16" s="141">
        <f>'[2]EU Sunflower Exports'!AC$112</f>
        <v>3.0220000000000002</v>
      </c>
      <c r="AD16" s="143">
        <f>'[2]EU Sunflower Exports'!BB$112</f>
        <v>0</v>
      </c>
      <c r="AE16" s="141">
        <f>'[2]EU Sunflower Exports'!AD$112</f>
        <v>3.1959599999999999</v>
      </c>
      <c r="AF16" s="141">
        <f>'[2]EU Sunflower Exports'!AE$112</f>
        <v>0</v>
      </c>
      <c r="AG16" s="141">
        <f>'[2]EU Sunflower Exports'!AF$112</f>
        <v>0</v>
      </c>
      <c r="AH16" s="141">
        <f>'[2]EU Sunflower Exports'!AG$112</f>
        <v>0</v>
      </c>
      <c r="AI16" s="141">
        <f>'[2]EU Sunflower Exports'!AH$112</f>
        <v>0</v>
      </c>
      <c r="AJ16" s="141">
        <f>'[2]EU Sunflower Exports'!AI$112</f>
        <v>0</v>
      </c>
      <c r="AK16" s="141">
        <f>'[2]EU Sunflower Exports'!AJ$112</f>
        <v>0</v>
      </c>
      <c r="AL16" s="141">
        <f>'[2]EU Sunflower Exports'!AK$112</f>
        <v>0</v>
      </c>
      <c r="AM16" s="141">
        <f>'[2]EU Sunflower Exports'!AL$112</f>
        <v>0</v>
      </c>
      <c r="AN16" s="141">
        <f>'[2]EU Sunflower Exports'!AM$112</f>
        <v>0</v>
      </c>
      <c r="AO16" s="141">
        <f>'[2]EU Sunflower Exports'!AN$112</f>
        <v>0</v>
      </c>
      <c r="AP16" s="141">
        <f>'[2]EU Sunflower Exports'!AO$112</f>
        <v>0</v>
      </c>
      <c r="AQ16" s="141">
        <f>'[2]EU Sunflower Exports'!AP$112</f>
        <v>0</v>
      </c>
      <c r="AR16" s="141">
        <f>'[2]EU Sunflower Exports'!AQ$112</f>
        <v>0</v>
      </c>
      <c r="AS16" s="141">
        <f>'[2]EU Sunflower Exports'!AR$112</f>
        <v>0</v>
      </c>
      <c r="AT16" s="141">
        <f>'[2]EU Sunflower Exports'!AS$112</f>
        <v>0</v>
      </c>
      <c r="AU16" s="141">
        <f>'[2]EU Sunflower Exports'!AT$112</f>
        <v>0</v>
      </c>
      <c r="AV16" s="141">
        <f>'[2]EU Sunflower Exports'!AU$112</f>
        <v>0</v>
      </c>
      <c r="AW16" s="141">
        <f>'[2]EU Sunflower Exports'!AV$112</f>
        <v>0</v>
      </c>
      <c r="AX16" s="141">
        <f>'[2]EU Sunflower Exports'!AW$112</f>
        <v>0</v>
      </c>
      <c r="AY16" s="141">
        <f>'[2]EU Sunflower Exports'!AX$112</f>
        <v>0</v>
      </c>
      <c r="AZ16" s="141">
        <f>'[2]EU Sunflower Exports'!AY$112</f>
        <v>0</v>
      </c>
      <c r="BA16" s="141">
        <f>'[2]EU Sunflower Exports'!AZ$112</f>
        <v>0</v>
      </c>
      <c r="BB16" s="141">
        <f>'[2]EU Sunflower Exports'!BA$112</f>
        <v>0</v>
      </c>
      <c r="BC16" s="141">
        <f>'[2]Ukraine Sunflower Exports'!Z$112</f>
        <v>0</v>
      </c>
      <c r="BD16" s="141">
        <f>'[2]Ukraine Sunflower Exports'!AA$112</f>
        <v>0</v>
      </c>
      <c r="BE16" s="141">
        <f>'[2]Ukraine Sunflower Exports'!AB$112</f>
        <v>0</v>
      </c>
      <c r="BF16" s="141">
        <f>'[2]Ukraine Sunflower Exports'!AC$112</f>
        <v>0</v>
      </c>
      <c r="BG16" s="143">
        <f>'[2]Ukraine Sunflower Exports'!AD$112</f>
        <v>0</v>
      </c>
      <c r="BH16" s="141">
        <f>'[2]Russia Sunflower Exports'!B$112</f>
        <v>0</v>
      </c>
      <c r="BI16" s="141">
        <f>'[2]Russia Sunflower Exports'!C$112</f>
        <v>0</v>
      </c>
      <c r="BJ16" s="141">
        <f>'[2]Russia Sunflower Exports'!D$112</f>
        <v>0</v>
      </c>
      <c r="BK16" s="141">
        <f>'[2]Russia Sunflower Exports'!E$112</f>
        <v>0</v>
      </c>
      <c r="BL16" s="141">
        <f>'[2]Russia Sunflower Exports'!F$112</f>
        <v>0</v>
      </c>
      <c r="BM16" s="141">
        <f>'[2]Russia Sunflower Exports'!G$112</f>
        <v>0</v>
      </c>
      <c r="BN16" s="141">
        <f>'[2]Russia Sunflower Exports'!H$112</f>
        <v>0</v>
      </c>
      <c r="BO16" s="141">
        <f>'[2]Russia Sunflower Exports'!I$112</f>
        <v>0</v>
      </c>
      <c r="BP16" s="141">
        <f>'[2]Russia Sunflower Exports'!J$112</f>
        <v>0</v>
      </c>
      <c r="BQ16" s="141">
        <f>'[2]Russia Sunflower Exports'!K$112</f>
        <v>0</v>
      </c>
      <c r="BR16" s="141">
        <f>'[2]Russia Sunflower Exports'!L$112</f>
        <v>0</v>
      </c>
      <c r="BS16" s="141">
        <f>'[2]Russia Sunflower Exports'!M$112</f>
        <v>0</v>
      </c>
      <c r="BT16" s="141">
        <f>'[2]Russia Sunflower Exports'!N$112</f>
        <v>0</v>
      </c>
      <c r="BU16" s="141">
        <f>'[2]Russia Sunflower Exports'!O$112</f>
        <v>1E-3</v>
      </c>
      <c r="BV16" s="141">
        <f>'[2]Russia Sunflower Exports'!P$112</f>
        <v>0</v>
      </c>
      <c r="BW16" s="141">
        <f>'[2]Russia Sunflower Exports'!Q$112</f>
        <v>0</v>
      </c>
      <c r="BX16" s="141">
        <f>'[2]Russia Sunflower Exports'!R$112</f>
        <v>0</v>
      </c>
      <c r="BY16" s="141">
        <f>'[2]Russia Sunflower Exports'!S$112</f>
        <v>0</v>
      </c>
      <c r="BZ16" s="141">
        <f>'[2]Russia Sunflower Exports'!T$112</f>
        <v>0</v>
      </c>
      <c r="CA16" s="141">
        <f>'[2]Russia Sunflower Exports'!U$112</f>
        <v>0</v>
      </c>
      <c r="CB16" s="141">
        <f>'[2]Russia Sunflower Exports'!V$112</f>
        <v>0</v>
      </c>
      <c r="CC16" s="141">
        <f>'[2]Russia Sunflower Exports'!W$112</f>
        <v>0</v>
      </c>
      <c r="CD16" s="141">
        <f>'[2]Russia Sunflower Exports'!X$112</f>
        <v>0</v>
      </c>
      <c r="CE16" s="141">
        <f>'[2]Russia Sunflower Exports'!Y$112</f>
        <v>0</v>
      </c>
      <c r="CF16" s="141">
        <f>'[2]Russia Sunflower Exports'!Z$112</f>
        <v>0</v>
      </c>
      <c r="CG16" s="147">
        <f>'[2]Russia Sunflower Exports'!AA$112</f>
        <v>0</v>
      </c>
      <c r="CH16" s="141">
        <f>'[2]Russia Sunflower Exports'!AB$112</f>
        <v>0</v>
      </c>
      <c r="CI16" s="141">
        <f>'[2]Russia Sunflower Exports'!AC$112</f>
        <v>0</v>
      </c>
      <c r="CJ16" s="143">
        <f>'[2]Russia Sunflower Exports'!AD$112</f>
        <v>0</v>
      </c>
      <c r="CK16" s="141">
        <f>'[3]Sunflower Exports'!B$112/2204.622*1000</f>
        <v>0.87899999999999989</v>
      </c>
      <c r="CL16" s="141">
        <f>'[3]Sunflower Exports'!C$112/2204.622*1000</f>
        <v>0.8881</v>
      </c>
      <c r="CM16" s="141">
        <f>'[3]Sunflower Exports'!D$112/2204.622*1000</f>
        <v>1.7572000000000003</v>
      </c>
      <c r="CN16" s="141">
        <f>'[3]Sunflower Exports'!E$112/2204.622*1000</f>
        <v>1.4291000000000003</v>
      </c>
      <c r="CO16" s="141">
        <f>'[3]Sunflower Exports'!F$112/2204.622*1000</f>
        <v>0.70669999999999999</v>
      </c>
      <c r="CP16" s="141">
        <f>'[3]Sunflower Exports'!G$112/2204.622*1000</f>
        <v>0.63480000000000003</v>
      </c>
      <c r="CQ16" s="141">
        <f>'[3]Sunflower Exports'!H$112/2204.622*1000</f>
        <v>0.78590000000000015</v>
      </c>
      <c r="CR16" s="141">
        <f>'[3]Sunflower Exports'!I$112/2204.622*1000</f>
        <v>1.0328000000000002</v>
      </c>
      <c r="CS16" s="141">
        <f>'[3]Sunflower Exports'!J$112/2204.622*1000</f>
        <v>1.3932000000000002</v>
      </c>
      <c r="CT16" s="141">
        <f>'[3]Sunflower Exports'!K$112/2204.622*1000</f>
        <v>1.1304000000000001</v>
      </c>
      <c r="CU16" s="141">
        <f>'[3]Sunflower Exports'!L$112/2204.622*1000</f>
        <v>0.94700000000000017</v>
      </c>
      <c r="CV16" s="141">
        <f>'[3]Sunflower Exports'!M$112/2204.622*1000</f>
        <v>0.74570000000000003</v>
      </c>
      <c r="CW16" s="141">
        <f>'[3]Sunflower Exports'!N$112/2204.622*1000</f>
        <v>1.1094000000000004</v>
      </c>
      <c r="CX16" s="141">
        <f>'[3]Sunflower Exports'!O$112/2204.622*1000</f>
        <v>1.5256000000000001</v>
      </c>
      <c r="CY16" s="141">
        <f>'[3]Sunflower Exports'!P$112/2204.622*1000</f>
        <v>2.5493999999999999</v>
      </c>
      <c r="CZ16" s="141">
        <f>'[3]Sunflower Exports'!Q$112/2204.622*1000</f>
        <v>2.0033999999999996</v>
      </c>
      <c r="DA16" s="141">
        <f>'[3]Sunflower Exports'!R$112/2204.622*1000</f>
        <v>1.8869000000000002</v>
      </c>
      <c r="DB16" s="141">
        <f>'[3]Sunflower Exports'!S$112/2204.622*1000</f>
        <v>2.2480000000000002</v>
      </c>
      <c r="DC16" s="141">
        <f>'[3]Sunflower Exports'!T$112/2204.622*1000</f>
        <v>1.4304999999999999</v>
      </c>
      <c r="DD16" s="141">
        <f>'[3]Sunflower Exports'!U$112/2204.622*1000</f>
        <v>2.7503000000000006</v>
      </c>
      <c r="DE16" s="141">
        <f>'[3]Sunflower Exports'!V$112/2204.622*1000</f>
        <v>2.7985000000000002</v>
      </c>
      <c r="DF16" s="141">
        <f>'[3]Sunflower Exports'!W$112/2204.622*1000</f>
        <v>5.593700000000001</v>
      </c>
      <c r="DG16" s="141">
        <f>'[3]Sunflower Exports'!X$112/2204.622*1000</f>
        <v>3.7302000000000008</v>
      </c>
      <c r="DH16" s="141">
        <f>'[3]Sunflower Exports'!Y$112/2204.622*1000</f>
        <v>3.1086098816032859</v>
      </c>
      <c r="DI16" s="141">
        <f>'[3]Sunflower Exports'!Z$112/2204.622*1000</f>
        <v>1.6611524930260151</v>
      </c>
      <c r="DJ16" s="141">
        <f>'[3]Sunflower Exports'!AA$112/2204.622*1000</f>
        <v>1.2704578474586574</v>
      </c>
      <c r="DK16" s="141">
        <f>'[3]Sunflower Exports'!AB$112/2204.622*1000</f>
        <v>1.0493080480826191</v>
      </c>
      <c r="DL16" s="141">
        <f>'[3]Sunflower Exports'!AC$112/2204.622*1000</f>
        <v>1.7000676919762212</v>
      </c>
      <c r="DM16" s="143">
        <f>'[3]Sunflower Exports'!AD$112/2204.622*1000</f>
        <v>0</v>
      </c>
      <c r="DN16" s="141">
        <f t="shared" si="0"/>
        <v>4.0749599999999999</v>
      </c>
      <c r="DO16" s="141">
        <f t="shared" si="0"/>
        <v>0.8881</v>
      </c>
      <c r="DP16" s="141">
        <f t="shared" si="0"/>
        <v>1.7572000000000003</v>
      </c>
      <c r="DQ16" s="141">
        <f t="shared" si="0"/>
        <v>1.4291000000000003</v>
      </c>
      <c r="DR16" s="141">
        <f t="shared" si="0"/>
        <v>0.7077</v>
      </c>
      <c r="DS16" s="141">
        <f t="shared" si="0"/>
        <v>0.65080000000000005</v>
      </c>
      <c r="DT16" s="141">
        <f t="shared" si="0"/>
        <v>0.78590000000000015</v>
      </c>
      <c r="DU16" s="141">
        <f t="shared" si="0"/>
        <v>1.0328000000000002</v>
      </c>
      <c r="DV16" s="141">
        <f t="shared" si="0"/>
        <v>1.3932000000000002</v>
      </c>
      <c r="DW16" s="141">
        <f t="shared" si="0"/>
        <v>1.1564000000000001</v>
      </c>
      <c r="DX16" s="141">
        <f t="shared" si="0"/>
        <v>0.99400000000000022</v>
      </c>
      <c r="DY16" s="141">
        <f t="shared" si="0"/>
        <v>0.75570000000000004</v>
      </c>
      <c r="DZ16" s="141">
        <f t="shared" si="0"/>
        <v>1.1334000000000004</v>
      </c>
      <c r="EA16" s="141">
        <f t="shared" si="0"/>
        <v>1.6776</v>
      </c>
      <c r="EB16" s="141">
        <f t="shared" si="0"/>
        <v>2.7004000000000001</v>
      </c>
      <c r="EC16" s="141">
        <f t="shared" si="0"/>
        <v>2.1833999999999998</v>
      </c>
      <c r="ED16" s="141">
        <f t="shared" si="1"/>
        <v>2.0719000000000003</v>
      </c>
      <c r="EE16" s="141">
        <f t="shared" si="1"/>
        <v>2.4250000000000003</v>
      </c>
      <c r="EF16" s="141">
        <f t="shared" si="1"/>
        <v>1.7894999999999999</v>
      </c>
      <c r="EG16" s="141">
        <f t="shared" si="1"/>
        <v>3.1393000000000004</v>
      </c>
      <c r="EH16" s="141">
        <f t="shared" si="1"/>
        <v>3.3585000000000003</v>
      </c>
      <c r="EI16" s="141">
        <f t="shared" si="1"/>
        <v>6.1887000000000008</v>
      </c>
      <c r="EJ16" s="141">
        <f t="shared" si="1"/>
        <v>4.6932000000000009</v>
      </c>
      <c r="EK16" s="141">
        <f t="shared" si="1"/>
        <v>4.4126098816032862</v>
      </c>
      <c r="EL16" s="141">
        <f t="shared" si="1"/>
        <v>3.2531524930260152</v>
      </c>
      <c r="EM16" s="141">
        <f t="shared" si="1"/>
        <v>2.6944578474586574</v>
      </c>
      <c r="EN16" s="141">
        <f t="shared" si="1"/>
        <v>4.199308048082619</v>
      </c>
      <c r="EO16" s="141">
        <f t="shared" si="1"/>
        <v>4.7220676919762212</v>
      </c>
      <c r="EP16" s="145">
        <f t="shared" si="1"/>
        <v>0</v>
      </c>
      <c r="EQ16" s="145">
        <v>0</v>
      </c>
      <c r="ES16" s="141">
        <f t="shared" si="2"/>
        <v>0</v>
      </c>
      <c r="ET16" s="141">
        <f t="shared" si="2"/>
        <v>0</v>
      </c>
      <c r="EV16" s="141"/>
      <c r="EW16" s="141"/>
      <c r="FB16" s="107"/>
    </row>
    <row r="17" spans="1:158">
      <c r="A17" s="148" t="s">
        <v>148</v>
      </c>
      <c r="B17" s="146">
        <f>'[2]EU Sunflower Exports'!B$146</f>
        <v>0</v>
      </c>
      <c r="C17" s="146">
        <f>'[2]EU Sunflower Exports'!C$146</f>
        <v>0</v>
      </c>
      <c r="D17" s="146">
        <f>'[2]EU Sunflower Exports'!D$146</f>
        <v>0</v>
      </c>
      <c r="E17" s="146">
        <f>'[2]EU Sunflower Exports'!E$146</f>
        <v>0</v>
      </c>
      <c r="F17" s="146">
        <f>'[2]EU Sunflower Exports'!F$146</f>
        <v>0</v>
      </c>
      <c r="G17" s="146">
        <f>'[2]EU Sunflower Exports'!G$146</f>
        <v>0</v>
      </c>
      <c r="H17" s="146">
        <f>'[2]EU Sunflower Exports'!H$146</f>
        <v>0</v>
      </c>
      <c r="I17" s="146">
        <f>'[2]EU Sunflower Exports'!I$146</f>
        <v>6.1840000000000002</v>
      </c>
      <c r="J17" s="146">
        <f>'[2]EU Sunflower Exports'!J$146</f>
        <v>8.9740000000000002</v>
      </c>
      <c r="K17" s="146">
        <f>'[2]EU Sunflower Exports'!K$146</f>
        <v>1.079</v>
      </c>
      <c r="L17" s="146">
        <f>'[2]EU Sunflower Exports'!L$146</f>
        <v>0</v>
      </c>
      <c r="M17" s="146">
        <f>'[2]EU Sunflower Exports'!M$146</f>
        <v>0</v>
      </c>
      <c r="N17" s="146">
        <f>'[2]EU Sunflower Exports'!N$146</f>
        <v>0</v>
      </c>
      <c r="O17" s="146">
        <f>'[2]EU Sunflower Exports'!O$146</f>
        <v>1.51</v>
      </c>
      <c r="P17" s="141">
        <f>'[2]EU Sunflower Exports'!P$146</f>
        <v>1E-3</v>
      </c>
      <c r="Q17" s="141">
        <f>'[2]EU Sunflower Exports'!Q$146</f>
        <v>9.7240000000000002</v>
      </c>
      <c r="R17" s="141">
        <f>'[2]EU Sunflower Exports'!R$146</f>
        <v>1E-3</v>
      </c>
      <c r="S17" s="141">
        <f>'[2]EU Sunflower Exports'!S$146</f>
        <v>5.3290000000000006</v>
      </c>
      <c r="T17" s="141">
        <f>'[2]EU Sunflower Exports'!T$146</f>
        <v>0.21100000000000002</v>
      </c>
      <c r="U17" s="141">
        <f>'[2]EU Sunflower Exports'!U$146</f>
        <v>0.29900000000000004</v>
      </c>
      <c r="V17" s="141">
        <f>'[2]EU Sunflower Exports'!V$146</f>
        <v>0.47599999999999998</v>
      </c>
      <c r="W17" s="141">
        <f>'[2]EU Sunflower Exports'!W$146</f>
        <v>1.163</v>
      </c>
      <c r="X17" s="141">
        <f>'[2]EU Sunflower Exports'!X$146</f>
        <v>0.66400000000000015</v>
      </c>
      <c r="Y17" s="141">
        <f>'[2]EU Sunflower Exports'!Y$146</f>
        <v>0</v>
      </c>
      <c r="Z17" s="141">
        <f>'[2]EU Sunflower Exports'!Z$146</f>
        <v>4.3999999999999997E-2</v>
      </c>
      <c r="AA17" s="141">
        <f>'[2]EU Sunflower Exports'!AA$146</f>
        <v>0</v>
      </c>
      <c r="AB17" s="141">
        <f>'[2]EU Sunflower Exports'!AB$146</f>
        <v>0</v>
      </c>
      <c r="AC17" s="141">
        <f>'[2]EU Sunflower Exports'!AC$146</f>
        <v>0</v>
      </c>
      <c r="AD17" s="143">
        <f>'[2]EU Sunflower Exports'!BB$146</f>
        <v>0</v>
      </c>
      <c r="AE17" s="141">
        <f>'[2]EU Sunflower Exports'!AD$146</f>
        <v>0</v>
      </c>
      <c r="AF17" s="141">
        <f>'[2]EU Sunflower Exports'!AE$146</f>
        <v>0</v>
      </c>
      <c r="AG17" s="141">
        <f>'[2]EU Sunflower Exports'!AF$146</f>
        <v>0</v>
      </c>
      <c r="AH17" s="141">
        <f>'[2]EU Sunflower Exports'!AG$146</f>
        <v>0</v>
      </c>
      <c r="AI17" s="141">
        <f>'[2]EU Sunflower Exports'!AH$146</f>
        <v>0</v>
      </c>
      <c r="AJ17" s="141">
        <f>'[2]EU Sunflower Exports'!AI$146</f>
        <v>0</v>
      </c>
      <c r="AK17" s="141">
        <f>'[2]EU Sunflower Exports'!AJ$146</f>
        <v>0</v>
      </c>
      <c r="AL17" s="141">
        <f>'[2]EU Sunflower Exports'!AK$146</f>
        <v>0</v>
      </c>
      <c r="AM17" s="141">
        <f>'[2]EU Sunflower Exports'!AL$146</f>
        <v>0</v>
      </c>
      <c r="AN17" s="141">
        <f>'[2]EU Sunflower Exports'!AM$146</f>
        <v>0</v>
      </c>
      <c r="AO17" s="141">
        <f>'[2]EU Sunflower Exports'!AN$146</f>
        <v>0</v>
      </c>
      <c r="AP17" s="141">
        <f>'[2]EU Sunflower Exports'!AO$146</f>
        <v>0</v>
      </c>
      <c r="AQ17" s="141">
        <f>'[2]EU Sunflower Exports'!AP$146</f>
        <v>0</v>
      </c>
      <c r="AR17" s="141">
        <f>'[2]EU Sunflower Exports'!AQ$146</f>
        <v>0</v>
      </c>
      <c r="AS17" s="141">
        <f>'[2]EU Sunflower Exports'!AR$146</f>
        <v>0</v>
      </c>
      <c r="AT17" s="141">
        <f>'[2]EU Sunflower Exports'!AS$146</f>
        <v>0</v>
      </c>
      <c r="AU17" s="141">
        <f>'[2]EU Sunflower Exports'!AT$146</f>
        <v>0</v>
      </c>
      <c r="AV17" s="141">
        <f>'[2]EU Sunflower Exports'!AU$146</f>
        <v>0</v>
      </c>
      <c r="AW17" s="141">
        <f>'[2]EU Sunflower Exports'!AV$146</f>
        <v>0</v>
      </c>
      <c r="AX17" s="141">
        <f>'[2]EU Sunflower Exports'!AW$146</f>
        <v>0</v>
      </c>
      <c r="AY17" s="141">
        <f>'[2]EU Sunflower Exports'!AX$146</f>
        <v>0</v>
      </c>
      <c r="AZ17" s="141">
        <f>'[2]EU Sunflower Exports'!AY$146</f>
        <v>0</v>
      </c>
      <c r="BA17" s="141">
        <f>'[2]EU Sunflower Exports'!AZ$146</f>
        <v>0</v>
      </c>
      <c r="BB17" s="141">
        <f>'[2]EU Sunflower Exports'!BA$146</f>
        <v>0</v>
      </c>
      <c r="BC17" s="141">
        <f>'[2]Ukraine Sunflower Exports'!Z$146</f>
        <v>0</v>
      </c>
      <c r="BD17" s="141">
        <f>'[2]Ukraine Sunflower Exports'!AA$146</f>
        <v>0</v>
      </c>
      <c r="BE17" s="141">
        <f>'[2]Ukraine Sunflower Exports'!AB$146</f>
        <v>0</v>
      </c>
      <c r="BF17" s="141">
        <f>'[2]Ukraine Sunflower Exports'!AC$146</f>
        <v>0</v>
      </c>
      <c r="BG17" s="143">
        <f>'[2]Ukraine Sunflower Exports'!AD$146</f>
        <v>0</v>
      </c>
      <c r="BH17" s="141">
        <f>'[2]Russia Sunflower Exports'!B$146</f>
        <v>0</v>
      </c>
      <c r="BI17" s="141">
        <f>'[2]Russia Sunflower Exports'!C$146</f>
        <v>0</v>
      </c>
      <c r="BJ17" s="141">
        <f>'[2]Russia Sunflower Exports'!D$146</f>
        <v>0</v>
      </c>
      <c r="BK17" s="141">
        <f>'[2]Russia Sunflower Exports'!E$146</f>
        <v>0</v>
      </c>
      <c r="BL17" s="141">
        <f>'[2]Russia Sunflower Exports'!F$146</f>
        <v>0</v>
      </c>
      <c r="BM17" s="141">
        <f>'[2]Russia Sunflower Exports'!G$146</f>
        <v>0</v>
      </c>
      <c r="BN17" s="141">
        <f>'[2]Russia Sunflower Exports'!H$146</f>
        <v>1.7891440000000001</v>
      </c>
      <c r="BO17" s="141">
        <f>'[2]Russia Sunflower Exports'!I$146</f>
        <v>12.986272</v>
      </c>
      <c r="BP17" s="141">
        <f>'[2]Russia Sunflower Exports'!J$146</f>
        <v>0</v>
      </c>
      <c r="BQ17" s="141">
        <f>'[2]Russia Sunflower Exports'!K$146</f>
        <v>6.0350000000000001</v>
      </c>
      <c r="BR17" s="141">
        <f>'[2]Russia Sunflower Exports'!L$146</f>
        <v>0</v>
      </c>
      <c r="BS17" s="141">
        <f>'[2]Russia Sunflower Exports'!M$146</f>
        <v>0</v>
      </c>
      <c r="BT17" s="141">
        <f>'[2]Russia Sunflower Exports'!N$146</f>
        <v>6.3769999999999998</v>
      </c>
      <c r="BU17" s="141">
        <f>'[2]Russia Sunflower Exports'!O$146</f>
        <v>0</v>
      </c>
      <c r="BV17" s="141">
        <f>'[2]Russia Sunflower Exports'!P$146</f>
        <v>2.6619999999999999</v>
      </c>
      <c r="BW17" s="141">
        <f>'[2]Russia Sunflower Exports'!Q$146</f>
        <v>0</v>
      </c>
      <c r="BX17" s="141">
        <f>'[2]Russia Sunflower Exports'!R$146</f>
        <v>0</v>
      </c>
      <c r="BY17" s="141">
        <f>'[2]Russia Sunflower Exports'!S$146</f>
        <v>0</v>
      </c>
      <c r="BZ17" s="141">
        <f>'[2]Russia Sunflower Exports'!T$146</f>
        <v>0</v>
      </c>
      <c r="CA17" s="141">
        <f>'[2]Russia Sunflower Exports'!U$146</f>
        <v>0</v>
      </c>
      <c r="CB17" s="141">
        <f>'[2]Russia Sunflower Exports'!V$146</f>
        <v>0</v>
      </c>
      <c r="CC17" s="141">
        <f>'[2]Russia Sunflower Exports'!W$146</f>
        <v>0</v>
      </c>
      <c r="CD17" s="141">
        <f>'[2]Russia Sunflower Exports'!X$146</f>
        <v>0</v>
      </c>
      <c r="CE17" s="141">
        <f>'[2]Russia Sunflower Exports'!Y$146</f>
        <v>0</v>
      </c>
      <c r="CF17" s="141">
        <f>'[2]Russia Sunflower Exports'!Z$146</f>
        <v>0</v>
      </c>
      <c r="CG17" s="147">
        <f>'[2]Russia Sunflower Exports'!AA$146</f>
        <v>0</v>
      </c>
      <c r="CH17" s="141">
        <f>'[2]Russia Sunflower Exports'!AB$146</f>
        <v>0</v>
      </c>
      <c r="CI17" s="141">
        <f>'[2]Russia Sunflower Exports'!AC$146</f>
        <v>0</v>
      </c>
      <c r="CJ17" s="143">
        <f>'[2]Russia Sunflower Exports'!AD$146</f>
        <v>0</v>
      </c>
      <c r="CK17" s="141">
        <f>'[3]Sunflower Exports'!B$146/2204.622*1000</f>
        <v>0</v>
      </c>
      <c r="CL17" s="141">
        <f>'[3]Sunflower Exports'!C$146/2204.622*1000</f>
        <v>0</v>
      </c>
      <c r="CM17" s="141">
        <f>'[3]Sunflower Exports'!D$146/2204.622*1000</f>
        <v>0</v>
      </c>
      <c r="CN17" s="141">
        <f>'[3]Sunflower Exports'!E$146/2204.622*1000</f>
        <v>0</v>
      </c>
      <c r="CO17" s="141">
        <f>'[3]Sunflower Exports'!F$146/2204.622*1000</f>
        <v>0</v>
      </c>
      <c r="CP17" s="141">
        <f>'[3]Sunflower Exports'!G$146/2204.622*1000</f>
        <v>0.55930000000000002</v>
      </c>
      <c r="CQ17" s="141">
        <f>'[3]Sunflower Exports'!H$146/2204.622*1000</f>
        <v>0</v>
      </c>
      <c r="CR17" s="141">
        <f>'[3]Sunflower Exports'!I$146/2204.622*1000</f>
        <v>0</v>
      </c>
      <c r="CS17" s="141">
        <f>'[3]Sunflower Exports'!J$146/2204.622*1000</f>
        <v>0</v>
      </c>
      <c r="CT17" s="141">
        <f>'[3]Sunflower Exports'!K$146/2204.622*1000</f>
        <v>3.6200000000000003E-2</v>
      </c>
      <c r="CU17" s="141">
        <f>'[3]Sunflower Exports'!L$146/2204.622*1000</f>
        <v>0.126</v>
      </c>
      <c r="CV17" s="141">
        <f>'[3]Sunflower Exports'!M$146/2204.622*1000</f>
        <v>0</v>
      </c>
      <c r="CW17" s="141">
        <f>'[3]Sunflower Exports'!N$146/2204.622*1000</f>
        <v>1.1189000000000002</v>
      </c>
      <c r="CX17" s="141">
        <f>'[3]Sunflower Exports'!O$146/2204.622*1000</f>
        <v>3.6518000000000006</v>
      </c>
      <c r="CY17" s="141">
        <f>'[3]Sunflower Exports'!P$146/2204.622*1000</f>
        <v>3.8700000000000005E-2</v>
      </c>
      <c r="CZ17" s="141">
        <f>'[3]Sunflower Exports'!Q$146/2204.622*1000</f>
        <v>0.56990000000000007</v>
      </c>
      <c r="DA17" s="141">
        <f>'[3]Sunflower Exports'!R$146/2204.622*1000</f>
        <v>0.37120000000000009</v>
      </c>
      <c r="DB17" s="141">
        <f>'[3]Sunflower Exports'!S$146/2204.622*1000</f>
        <v>0.2036</v>
      </c>
      <c r="DC17" s="141">
        <f>'[3]Sunflower Exports'!T$146/2204.622*1000</f>
        <v>0.24430000000000002</v>
      </c>
      <c r="DD17" s="141">
        <f>'[3]Sunflower Exports'!U$146/2204.622*1000</f>
        <v>0.2036</v>
      </c>
      <c r="DE17" s="141">
        <f>'[3]Sunflower Exports'!V$146/2204.622*1000</f>
        <v>0</v>
      </c>
      <c r="DF17" s="141">
        <f>'[3]Sunflower Exports'!W$146/2204.622*1000</f>
        <v>0</v>
      </c>
      <c r="DG17" s="141">
        <f>'[3]Sunflower Exports'!X$146/2204.622*1000</f>
        <v>0</v>
      </c>
      <c r="DH17" s="141">
        <f>'[3]Sunflower Exports'!Y$146/2204.622*1000</f>
        <v>0</v>
      </c>
      <c r="DI17" s="141">
        <f>'[3]Sunflower Exports'!Z$146/2204.622*1000</f>
        <v>0</v>
      </c>
      <c r="DJ17" s="141">
        <f>'[3]Sunflower Exports'!AA$146/2204.622*1000</f>
        <v>0</v>
      </c>
      <c r="DK17" s="141">
        <f>'[3]Sunflower Exports'!AB$146/2204.622*1000</f>
        <v>0</v>
      </c>
      <c r="DL17" s="141">
        <f>'[3]Sunflower Exports'!AC$146/2204.622*1000</f>
        <v>0</v>
      </c>
      <c r="DM17" s="143">
        <f>'[3]Sunflower Exports'!AD$146/2204.622*1000</f>
        <v>0</v>
      </c>
      <c r="DN17" s="141">
        <f t="shared" si="0"/>
        <v>0</v>
      </c>
      <c r="DO17" s="141">
        <f t="shared" si="0"/>
        <v>0</v>
      </c>
      <c r="DP17" s="141">
        <f t="shared" si="0"/>
        <v>0</v>
      </c>
      <c r="DQ17" s="141">
        <f t="shared" si="0"/>
        <v>0</v>
      </c>
      <c r="DR17" s="141">
        <f t="shared" si="0"/>
        <v>0</v>
      </c>
      <c r="DS17" s="141">
        <f t="shared" si="0"/>
        <v>0.55930000000000002</v>
      </c>
      <c r="DT17" s="141">
        <f t="shared" si="0"/>
        <v>1.7891440000000001</v>
      </c>
      <c r="DU17" s="141">
        <f t="shared" si="0"/>
        <v>19.170272000000001</v>
      </c>
      <c r="DV17" s="141">
        <f t="shared" si="0"/>
        <v>8.9740000000000002</v>
      </c>
      <c r="DW17" s="141">
        <f t="shared" si="0"/>
        <v>7.1501999999999999</v>
      </c>
      <c r="DX17" s="141">
        <f t="shared" si="0"/>
        <v>0.126</v>
      </c>
      <c r="DY17" s="141">
        <f t="shared" si="0"/>
        <v>0</v>
      </c>
      <c r="DZ17" s="141">
        <f t="shared" si="0"/>
        <v>7.4958999999999998</v>
      </c>
      <c r="EA17" s="141">
        <f t="shared" si="0"/>
        <v>5.1618000000000004</v>
      </c>
      <c r="EB17" s="141">
        <f t="shared" si="0"/>
        <v>2.7016999999999998</v>
      </c>
      <c r="EC17" s="141">
        <f t="shared" si="0"/>
        <v>10.293900000000001</v>
      </c>
      <c r="ED17" s="141">
        <f t="shared" si="1"/>
        <v>0.37220000000000009</v>
      </c>
      <c r="EE17" s="141">
        <f t="shared" si="1"/>
        <v>5.5326000000000004</v>
      </c>
      <c r="EF17" s="141">
        <f t="shared" si="1"/>
        <v>0.45530000000000004</v>
      </c>
      <c r="EG17" s="141">
        <f t="shared" si="1"/>
        <v>0.50260000000000005</v>
      </c>
      <c r="EH17" s="141">
        <f t="shared" si="1"/>
        <v>0.47599999999999998</v>
      </c>
      <c r="EI17" s="141">
        <f t="shared" si="1"/>
        <v>1.163</v>
      </c>
      <c r="EJ17" s="141">
        <f t="shared" si="1"/>
        <v>0.66400000000000015</v>
      </c>
      <c r="EK17" s="141">
        <f t="shared" si="1"/>
        <v>0</v>
      </c>
      <c r="EL17" s="141">
        <f t="shared" si="1"/>
        <v>4.3999999999999997E-2</v>
      </c>
      <c r="EM17" s="141">
        <f t="shared" si="1"/>
        <v>0</v>
      </c>
      <c r="EN17" s="141">
        <f t="shared" si="1"/>
        <v>0</v>
      </c>
      <c r="EO17" s="141">
        <f t="shared" si="1"/>
        <v>0</v>
      </c>
      <c r="EP17" s="145">
        <f t="shared" si="1"/>
        <v>0</v>
      </c>
      <c r="EQ17" s="145">
        <v>0</v>
      </c>
      <c r="ES17" s="141">
        <f t="shared" si="2"/>
        <v>0</v>
      </c>
      <c r="ET17" s="141">
        <f t="shared" si="2"/>
        <v>0</v>
      </c>
      <c r="EV17" s="141"/>
      <c r="EW17" s="141"/>
      <c r="FB17" s="107"/>
    </row>
    <row r="18" spans="1:158">
      <c r="A18" s="148" t="s">
        <v>149</v>
      </c>
      <c r="B18" s="146">
        <f>'[2]EU Sunflower Exports'!B$147</f>
        <v>0</v>
      </c>
      <c r="C18" s="146">
        <f>'[2]EU Sunflower Exports'!C$147</f>
        <v>0</v>
      </c>
      <c r="D18" s="146">
        <f>'[2]EU Sunflower Exports'!D$147</f>
        <v>0</v>
      </c>
      <c r="E18" s="146">
        <f>'[2]EU Sunflower Exports'!E$147</f>
        <v>2E-3</v>
      </c>
      <c r="F18" s="146">
        <f>'[2]EU Sunflower Exports'!F$147</f>
        <v>2E-3</v>
      </c>
      <c r="G18" s="146">
        <f>'[2]EU Sunflower Exports'!G$147</f>
        <v>0</v>
      </c>
      <c r="H18" s="146">
        <f>'[2]EU Sunflower Exports'!H$147</f>
        <v>5.0000000000000001E-3</v>
      </c>
      <c r="I18" s="146">
        <f>'[2]EU Sunflower Exports'!I$147</f>
        <v>8.0000000000000002E-3</v>
      </c>
      <c r="J18" s="146">
        <f>'[2]EU Sunflower Exports'!J$147</f>
        <v>1.4999999999999999E-2</v>
      </c>
      <c r="K18" s="146">
        <f>'[2]EU Sunflower Exports'!K$147</f>
        <v>1.8000000000000002E-2</v>
      </c>
      <c r="L18" s="146">
        <f>'[2]EU Sunflower Exports'!L$147</f>
        <v>0.104</v>
      </c>
      <c r="M18" s="146">
        <f>'[2]EU Sunflower Exports'!M$147</f>
        <v>0.16099999999999998</v>
      </c>
      <c r="N18" s="146">
        <f>'[2]EU Sunflower Exports'!N$147</f>
        <v>5.6000000000000001E-2</v>
      </c>
      <c r="O18" s="146">
        <f>'[2]EU Sunflower Exports'!O$147</f>
        <v>0.216</v>
      </c>
      <c r="P18" s="141">
        <f>'[2]EU Sunflower Exports'!P$147</f>
        <v>0.314</v>
      </c>
      <c r="Q18" s="141">
        <f>'[2]EU Sunflower Exports'!Q$147</f>
        <v>0.189</v>
      </c>
      <c r="R18" s="141">
        <f>'[2]EU Sunflower Exports'!R$147</f>
        <v>0.23499999999999996</v>
      </c>
      <c r="S18" s="141">
        <f>'[2]EU Sunflower Exports'!S$147</f>
        <v>0.16699999999999998</v>
      </c>
      <c r="T18" s="141">
        <f>'[2]EU Sunflower Exports'!T$147</f>
        <v>0.34600000000000003</v>
      </c>
      <c r="U18" s="141">
        <f>'[2]EU Sunflower Exports'!U$147</f>
        <v>0.33800000000000002</v>
      </c>
      <c r="V18" s="141">
        <f>'[2]EU Sunflower Exports'!V$147</f>
        <v>0.44700000000000001</v>
      </c>
      <c r="W18" s="141">
        <f>'[2]EU Sunflower Exports'!W$147</f>
        <v>0.36699999999999999</v>
      </c>
      <c r="X18" s="141">
        <f>'[2]EU Sunflower Exports'!X$147</f>
        <v>0.59599999999999997</v>
      </c>
      <c r="Y18" s="141">
        <f>'[2]EU Sunflower Exports'!Y$147</f>
        <v>0.75700000000000001</v>
      </c>
      <c r="Z18" s="141">
        <f>'[2]EU Sunflower Exports'!Z$147</f>
        <v>0.58899999999999986</v>
      </c>
      <c r="AA18" s="141">
        <f>'[2]EU Sunflower Exports'!AA$147</f>
        <v>0.63700000000000001</v>
      </c>
      <c r="AB18" s="141">
        <f>'[2]EU Sunflower Exports'!AB$147</f>
        <v>0.92200000000000004</v>
      </c>
      <c r="AC18" s="141">
        <f>'[2]EU Sunflower Exports'!AC$147</f>
        <v>1.1610000000000003</v>
      </c>
      <c r="AD18" s="143">
        <f>'[2]EU Sunflower Exports'!BB$147</f>
        <v>0</v>
      </c>
      <c r="AE18" s="141">
        <f>'[2]EU Sunflower Exports'!AD$147</f>
        <v>1.2989999999999999</v>
      </c>
      <c r="AF18" s="141">
        <f>'[2]EU Sunflower Exports'!AE$147</f>
        <v>0</v>
      </c>
      <c r="AG18" s="141">
        <f>'[2]EU Sunflower Exports'!AF$147</f>
        <v>0</v>
      </c>
      <c r="AH18" s="141">
        <f>'[2]EU Sunflower Exports'!AG$147</f>
        <v>0</v>
      </c>
      <c r="AI18" s="141">
        <f>'[2]EU Sunflower Exports'!AH$147</f>
        <v>0</v>
      </c>
      <c r="AJ18" s="141">
        <f>'[2]EU Sunflower Exports'!AI$147</f>
        <v>0</v>
      </c>
      <c r="AK18" s="141">
        <f>'[2]EU Sunflower Exports'!AJ$147</f>
        <v>0</v>
      </c>
      <c r="AL18" s="141">
        <f>'[2]EU Sunflower Exports'!AK$147</f>
        <v>0</v>
      </c>
      <c r="AM18" s="141">
        <f>'[2]EU Sunflower Exports'!AL$147</f>
        <v>0</v>
      </c>
      <c r="AN18" s="141">
        <f>'[2]EU Sunflower Exports'!AM$147</f>
        <v>0</v>
      </c>
      <c r="AO18" s="141">
        <f>'[2]EU Sunflower Exports'!AN$147</f>
        <v>0</v>
      </c>
      <c r="AP18" s="141">
        <f>'[2]EU Sunflower Exports'!AO$147</f>
        <v>0</v>
      </c>
      <c r="AQ18" s="141">
        <f>'[2]EU Sunflower Exports'!AP$147</f>
        <v>0</v>
      </c>
      <c r="AR18" s="141">
        <f>'[2]EU Sunflower Exports'!AQ$147</f>
        <v>0</v>
      </c>
      <c r="AS18" s="141">
        <f>'[2]EU Sunflower Exports'!AR$147</f>
        <v>0</v>
      </c>
      <c r="AT18" s="141">
        <f>'[2]EU Sunflower Exports'!AS$147</f>
        <v>0</v>
      </c>
      <c r="AU18" s="141">
        <f>'[2]EU Sunflower Exports'!AT$147</f>
        <v>0</v>
      </c>
      <c r="AV18" s="141">
        <f>'[2]EU Sunflower Exports'!AU$147</f>
        <v>0</v>
      </c>
      <c r="AW18" s="141">
        <f>'[2]EU Sunflower Exports'!AV$147</f>
        <v>0</v>
      </c>
      <c r="AX18" s="141">
        <f>'[2]EU Sunflower Exports'!AW$147</f>
        <v>0</v>
      </c>
      <c r="AY18" s="141">
        <f>'[2]EU Sunflower Exports'!AX$147</f>
        <v>0</v>
      </c>
      <c r="AZ18" s="141">
        <f>'[2]EU Sunflower Exports'!AY$147</f>
        <v>0</v>
      </c>
      <c r="BA18" s="141">
        <f>'[2]EU Sunflower Exports'!AZ$147</f>
        <v>0</v>
      </c>
      <c r="BB18" s="141">
        <f>'[2]EU Sunflower Exports'!BA$147</f>
        <v>0</v>
      </c>
      <c r="BC18" s="141">
        <f>'[2]Ukraine Sunflower Exports'!Z$147</f>
        <v>0</v>
      </c>
      <c r="BD18" s="141">
        <f>'[2]Ukraine Sunflower Exports'!AA$147</f>
        <v>0</v>
      </c>
      <c r="BE18" s="141">
        <f>'[2]Ukraine Sunflower Exports'!AB$147</f>
        <v>0</v>
      </c>
      <c r="BF18" s="141">
        <f>'[2]Ukraine Sunflower Exports'!AC$147</f>
        <v>0</v>
      </c>
      <c r="BG18" s="143">
        <f>'[2]Ukraine Sunflower Exports'!AD$147</f>
        <v>0</v>
      </c>
      <c r="BH18" s="141">
        <f>'[2]Russia Sunflower Exports'!B$147</f>
        <v>0</v>
      </c>
      <c r="BI18" s="141">
        <f>'[2]Russia Sunflower Exports'!C$147</f>
        <v>0</v>
      </c>
      <c r="BJ18" s="141">
        <f>'[2]Russia Sunflower Exports'!D$147</f>
        <v>0</v>
      </c>
      <c r="BK18" s="141">
        <f>'[2]Russia Sunflower Exports'!E$147</f>
        <v>0</v>
      </c>
      <c r="BL18" s="141">
        <f>'[2]Russia Sunflower Exports'!F$147</f>
        <v>0</v>
      </c>
      <c r="BM18" s="141">
        <f>'[2]Russia Sunflower Exports'!G$147</f>
        <v>0</v>
      </c>
      <c r="BN18" s="141">
        <f>'[2]Russia Sunflower Exports'!H$147</f>
        <v>0</v>
      </c>
      <c r="BO18" s="141">
        <f>'[2]Russia Sunflower Exports'!I$147</f>
        <v>0</v>
      </c>
      <c r="BP18" s="141">
        <f>'[2]Russia Sunflower Exports'!J$147</f>
        <v>0</v>
      </c>
      <c r="BQ18" s="141">
        <f>'[2]Russia Sunflower Exports'!K$147</f>
        <v>0</v>
      </c>
      <c r="BR18" s="141">
        <f>'[2]Russia Sunflower Exports'!L$147</f>
        <v>0</v>
      </c>
      <c r="BS18" s="141">
        <f>'[2]Russia Sunflower Exports'!M$147</f>
        <v>0</v>
      </c>
      <c r="BT18" s="141">
        <f>'[2]Russia Sunflower Exports'!N$147</f>
        <v>0</v>
      </c>
      <c r="BU18" s="141">
        <f>'[2]Russia Sunflower Exports'!O$147</f>
        <v>0</v>
      </c>
      <c r="BV18" s="141">
        <f>'[2]Russia Sunflower Exports'!P$147</f>
        <v>0</v>
      </c>
      <c r="BW18" s="141">
        <f>'[2]Russia Sunflower Exports'!Q$147</f>
        <v>0</v>
      </c>
      <c r="BX18" s="141">
        <f>'[2]Russia Sunflower Exports'!R$147</f>
        <v>0</v>
      </c>
      <c r="BY18" s="141">
        <f>'[2]Russia Sunflower Exports'!S$147</f>
        <v>0</v>
      </c>
      <c r="BZ18" s="141">
        <f>'[2]Russia Sunflower Exports'!T$147</f>
        <v>0</v>
      </c>
      <c r="CA18" s="141">
        <f>'[2]Russia Sunflower Exports'!U$147</f>
        <v>0</v>
      </c>
      <c r="CB18" s="141">
        <f>'[2]Russia Sunflower Exports'!V$147</f>
        <v>0</v>
      </c>
      <c r="CC18" s="141">
        <f>'[2]Russia Sunflower Exports'!W$147</f>
        <v>0</v>
      </c>
      <c r="CD18" s="141">
        <f>'[2]Russia Sunflower Exports'!X$147</f>
        <v>0</v>
      </c>
      <c r="CE18" s="141">
        <f>'[2]Russia Sunflower Exports'!Y$147</f>
        <v>0</v>
      </c>
      <c r="CF18" s="141">
        <f>'[2]Russia Sunflower Exports'!Z$147</f>
        <v>0</v>
      </c>
      <c r="CG18" s="147">
        <f>'[2]Russia Sunflower Exports'!AA$147</f>
        <v>6.8999999999999999E-3</v>
      </c>
      <c r="CH18" s="141">
        <f>'[2]Russia Sunflower Exports'!AB$147</f>
        <v>0</v>
      </c>
      <c r="CI18" s="141">
        <f>'[2]Russia Sunflower Exports'!AC$147</f>
        <v>0</v>
      </c>
      <c r="CJ18" s="143">
        <f>'[2]Russia Sunflower Exports'!AD$147</f>
        <v>0</v>
      </c>
      <c r="CK18" s="141">
        <f>'[3]Sunflower Exports'!B$147/2204.622/1000</f>
        <v>9.8130000000000024E-7</v>
      </c>
      <c r="CL18" s="141">
        <f>'[3]Sunflower Exports'!C$147/2204.622/1000</f>
        <v>5.0980000000000018E-7</v>
      </c>
      <c r="CM18" s="141">
        <f>'[3]Sunflower Exports'!D$147/2204.622/1000</f>
        <v>5.3119999999999999E-7</v>
      </c>
      <c r="CN18" s="141">
        <f>'[3]Sunflower Exports'!E$147/2204.622/1000</f>
        <v>6.4740000000000015E-7</v>
      </c>
      <c r="CO18" s="141">
        <f>'[3]Sunflower Exports'!F$147/2204.622/1000</f>
        <v>1.0623E-6</v>
      </c>
      <c r="CP18" s="141">
        <f>'[3]Sunflower Exports'!G$147/2204.622/1000</f>
        <v>6.6879999999999995E-7</v>
      </c>
      <c r="CQ18" s="141">
        <f>'[3]Sunflower Exports'!H$147/2204.622/1000</f>
        <v>7.2270000000000019E-7</v>
      </c>
      <c r="CR18" s="141">
        <f>'[3]Sunflower Exports'!I$147/2204.622/1000</f>
        <v>1.2645000000000001E-6</v>
      </c>
      <c r="CS18" s="141">
        <f>'[3]Sunflower Exports'!J$147/2204.622/1000</f>
        <v>1.0387000000000003E-6</v>
      </c>
      <c r="CT18" s="141">
        <f>'[3]Sunflower Exports'!K$147/2204.622/1000</f>
        <v>8.2929999999999994E-7</v>
      </c>
      <c r="CU18" s="141">
        <f>'[3]Sunflower Exports'!L$147/2204.622/1000</f>
        <v>4.4099999999999999E-7</v>
      </c>
      <c r="CV18" s="141">
        <f>'[3]Sunflower Exports'!M$147/2204.622/1000</f>
        <v>2.8670000000000005E-7</v>
      </c>
      <c r="CW18" s="141">
        <f>'[3]Sunflower Exports'!N$147/2204.622/1000</f>
        <v>5.0890000000000012E-7</v>
      </c>
      <c r="CX18" s="141">
        <f>'[3]Sunflower Exports'!O$147/2204.622/1000</f>
        <v>5.0360000000000004E-7</v>
      </c>
      <c r="CY18" s="141">
        <f>'[3]Sunflower Exports'!P$147/2204.622/1000</f>
        <v>4.1690000000000003E-7</v>
      </c>
      <c r="CZ18" s="141">
        <f>'[3]Sunflower Exports'!Q$147/2204.622/1000</f>
        <v>7.0709999999999997E-7</v>
      </c>
      <c r="DA18" s="141">
        <f>'[3]Sunflower Exports'!R$147/2204.622/1000</f>
        <v>5.129000000000001E-7</v>
      </c>
      <c r="DB18" s="141">
        <f>'[3]Sunflower Exports'!S$147/2204.622/1000</f>
        <v>5.3429999999999991E-7</v>
      </c>
      <c r="DC18" s="141">
        <f>'[3]Sunflower Exports'!T$147/2204.622/1000</f>
        <v>5.7960000000000013E-7</v>
      </c>
      <c r="DD18" s="141">
        <f>'[3]Sunflower Exports'!U$147/2204.622/1000</f>
        <v>6.4380000000000009E-7</v>
      </c>
      <c r="DE18" s="141">
        <f>'[3]Sunflower Exports'!V$147/2204.622/1000</f>
        <v>3.762000000000001E-7</v>
      </c>
      <c r="DF18" s="141">
        <f>'[3]Sunflower Exports'!W$147/2204.622/1000</f>
        <v>1.5100000000000002E-7</v>
      </c>
      <c r="DG18" s="141">
        <f>'[3]Sunflower Exports'!X$147/2204.622/1000</f>
        <v>7.1700000000000013E-8</v>
      </c>
      <c r="DH18" s="141">
        <f>'[3]Sunflower Exports'!Y$147/2204.622/1000</f>
        <v>6.1200000000000005E-8</v>
      </c>
      <c r="DI18" s="141">
        <f>'[3]Sunflower Exports'!Z$147/2204.622/1000</f>
        <v>2.0711981210384364E-8</v>
      </c>
      <c r="DJ18" s="141">
        <f>'[3]Sunflower Exports'!AA$147/2204.622/1000</f>
        <v>0</v>
      </c>
      <c r="DK18" s="141">
        <f>'[3]Sunflower Exports'!AB$147/2204.622/1000</f>
        <v>1.9989981865371935E-9</v>
      </c>
      <c r="DL18" s="141">
        <f>'[3]Sunflower Exports'!AC$147/2204.622/1000</f>
        <v>4.2825028508288501E-8</v>
      </c>
      <c r="DM18" s="143">
        <f>'[3]Sunflower Exports'!AD$147/2204.622/1000</f>
        <v>0</v>
      </c>
      <c r="DN18" s="141">
        <f t="shared" si="0"/>
        <v>1.2990009812999999</v>
      </c>
      <c r="DO18" s="141">
        <f t="shared" si="0"/>
        <v>5.0980000000000018E-7</v>
      </c>
      <c r="DP18" s="141">
        <f t="shared" si="0"/>
        <v>5.3119999999999999E-7</v>
      </c>
      <c r="DQ18" s="141">
        <f t="shared" si="0"/>
        <v>2.0006474000000001E-3</v>
      </c>
      <c r="DR18" s="141">
        <f t="shared" si="0"/>
        <v>2.0010623000000002E-3</v>
      </c>
      <c r="DS18" s="141">
        <f t="shared" si="0"/>
        <v>6.6879999999999995E-7</v>
      </c>
      <c r="DT18" s="141">
        <f t="shared" si="0"/>
        <v>5.0007226999999998E-3</v>
      </c>
      <c r="DU18" s="141">
        <f t="shared" si="0"/>
        <v>8.0012645000000007E-3</v>
      </c>
      <c r="DV18" s="141">
        <f t="shared" si="0"/>
        <v>1.50010387E-2</v>
      </c>
      <c r="DW18" s="141">
        <f t="shared" si="0"/>
        <v>1.8000829300000003E-2</v>
      </c>
      <c r="DX18" s="141">
        <f t="shared" si="0"/>
        <v>0.104000441</v>
      </c>
      <c r="DY18" s="141">
        <f t="shared" si="0"/>
        <v>0.16100028669999997</v>
      </c>
      <c r="DZ18" s="141">
        <f t="shared" si="0"/>
        <v>5.6000508900000003E-2</v>
      </c>
      <c r="EA18" s="141">
        <f t="shared" si="0"/>
        <v>0.2160005036</v>
      </c>
      <c r="EB18" s="141">
        <f t="shared" si="0"/>
        <v>0.31400041690000002</v>
      </c>
      <c r="EC18" s="141">
        <f t="shared" si="0"/>
        <v>0.1890007071</v>
      </c>
      <c r="ED18" s="141">
        <f t="shared" si="1"/>
        <v>0.23500051289999996</v>
      </c>
      <c r="EE18" s="141">
        <f t="shared" si="1"/>
        <v>0.16700053429999998</v>
      </c>
      <c r="EF18" s="141">
        <f t="shared" si="1"/>
        <v>0.34600057960000002</v>
      </c>
      <c r="EG18" s="141">
        <f t="shared" si="1"/>
        <v>0.3380006438</v>
      </c>
      <c r="EH18" s="141">
        <f t="shared" si="1"/>
        <v>0.44700037619999999</v>
      </c>
      <c r="EI18" s="141">
        <f t="shared" si="1"/>
        <v>0.367000151</v>
      </c>
      <c r="EJ18" s="141">
        <f t="shared" si="1"/>
        <v>0.59600007170000002</v>
      </c>
      <c r="EK18" s="141">
        <f t="shared" si="1"/>
        <v>0.75700006119999996</v>
      </c>
      <c r="EL18" s="141">
        <f t="shared" si="1"/>
        <v>0.5890000207119811</v>
      </c>
      <c r="EM18" s="141">
        <f t="shared" si="1"/>
        <v>0.64390000000000003</v>
      </c>
      <c r="EN18" s="141">
        <f t="shared" si="1"/>
        <v>0.92200000199899823</v>
      </c>
      <c r="EO18" s="141">
        <f t="shared" si="1"/>
        <v>1.1610000428250287</v>
      </c>
      <c r="EP18" s="145">
        <f t="shared" si="1"/>
        <v>0</v>
      </c>
      <c r="EQ18" s="145">
        <v>0</v>
      </c>
      <c r="ES18" s="141">
        <f t="shared" si="2"/>
        <v>0</v>
      </c>
      <c r="ET18" s="141">
        <f t="shared" si="2"/>
        <v>0</v>
      </c>
      <c r="EV18" s="141"/>
      <c r="EW18" s="141"/>
      <c r="FB18" s="107"/>
    </row>
    <row r="19" spans="1:158">
      <c r="A19" s="149" t="s">
        <v>150</v>
      </c>
      <c r="B19" s="146">
        <f>'[2]EU Sunflower Exports'!B$148</f>
        <v>0</v>
      </c>
      <c r="C19" s="146">
        <f>'[2]EU Sunflower Exports'!C$148</f>
        <v>0</v>
      </c>
      <c r="D19" s="146">
        <f>'[2]EU Sunflower Exports'!D$148</f>
        <v>0</v>
      </c>
      <c r="E19" s="146">
        <f>'[2]EU Sunflower Exports'!E$148</f>
        <v>0</v>
      </c>
      <c r="F19" s="146">
        <f>'[2]EU Sunflower Exports'!F$148</f>
        <v>0</v>
      </c>
      <c r="G19" s="146">
        <f>'[2]EU Sunflower Exports'!G$148</f>
        <v>0</v>
      </c>
      <c r="H19" s="146">
        <f>'[2]EU Sunflower Exports'!H$148</f>
        <v>1E-3</v>
      </c>
      <c r="I19" s="146">
        <f>'[2]EU Sunflower Exports'!I$148</f>
        <v>0</v>
      </c>
      <c r="J19" s="146">
        <f>'[2]EU Sunflower Exports'!J$148</f>
        <v>3.0000000000000001E-3</v>
      </c>
      <c r="K19" s="146">
        <f>'[2]EU Sunflower Exports'!K$148</f>
        <v>1.2E-2</v>
      </c>
      <c r="L19" s="146">
        <f>'[2]EU Sunflower Exports'!L$148</f>
        <v>5.7000000000000002E-2</v>
      </c>
      <c r="M19" s="146">
        <f>'[2]EU Sunflower Exports'!M$148</f>
        <v>0.05</v>
      </c>
      <c r="N19" s="146">
        <f>'[2]EU Sunflower Exports'!N$148</f>
        <v>4.0000000000000001E-3</v>
      </c>
      <c r="O19" s="146">
        <f>'[2]EU Sunflower Exports'!O$148</f>
        <v>3.6000000000000004E-2</v>
      </c>
      <c r="P19" s="141">
        <f>'[2]EU Sunflower Exports'!P$148</f>
        <v>3.0000000000000001E-3</v>
      </c>
      <c r="Q19" s="141">
        <f>'[2]EU Sunflower Exports'!Q$148</f>
        <v>3.0000000000000001E-3</v>
      </c>
      <c r="R19" s="141">
        <f>'[2]EU Sunflower Exports'!R$148</f>
        <v>2E-3</v>
      </c>
      <c r="S19" s="141">
        <f>'[2]EU Sunflower Exports'!S$148</f>
        <v>3.0000000000000001E-3</v>
      </c>
      <c r="T19" s="141">
        <f>'[2]EU Sunflower Exports'!T$148</f>
        <v>3.0000000000000001E-3</v>
      </c>
      <c r="U19" s="141">
        <f>'[2]EU Sunflower Exports'!U$148</f>
        <v>5.0000000000000001E-3</v>
      </c>
      <c r="V19" s="141">
        <f>'[2]EU Sunflower Exports'!V$148</f>
        <v>2E-3</v>
      </c>
      <c r="W19" s="141">
        <f>'[2]EU Sunflower Exports'!W$148</f>
        <v>2E-3</v>
      </c>
      <c r="X19" s="141">
        <f>'[2]EU Sunflower Exports'!X$148</f>
        <v>3.0000000000000001E-3</v>
      </c>
      <c r="Y19" s="141">
        <f>'[2]EU Sunflower Exports'!Y$148</f>
        <v>0</v>
      </c>
      <c r="Z19" s="141">
        <f>'[2]EU Sunflower Exports'!Z$148</f>
        <v>6.0000000000000001E-3</v>
      </c>
      <c r="AA19" s="141">
        <f>'[2]EU Sunflower Exports'!AA$148</f>
        <v>0.24799999999999997</v>
      </c>
      <c r="AB19" s="141">
        <f>'[2]EU Sunflower Exports'!AB$148</f>
        <v>0.56299999999999994</v>
      </c>
      <c r="AC19" s="141">
        <f>'[2]EU Sunflower Exports'!AC$148</f>
        <v>0.16699999999999998</v>
      </c>
      <c r="AD19" s="143">
        <f>'[2]EU Sunflower Exports'!BB$148</f>
        <v>0</v>
      </c>
      <c r="AE19" s="141">
        <f>'[2]EU Sunflower Exports'!AD$148</f>
        <v>0.372</v>
      </c>
      <c r="AF19" s="141">
        <f>'[2]EU Sunflower Exports'!AE$148</f>
        <v>0</v>
      </c>
      <c r="AG19" s="141">
        <f>'[2]EU Sunflower Exports'!AF$148</f>
        <v>0</v>
      </c>
      <c r="AH19" s="141">
        <f>'[2]EU Sunflower Exports'!AG$148</f>
        <v>0</v>
      </c>
      <c r="AI19" s="141">
        <f>'[2]EU Sunflower Exports'!AH$148</f>
        <v>0</v>
      </c>
      <c r="AJ19" s="141">
        <f>'[2]EU Sunflower Exports'!AI$148</f>
        <v>0</v>
      </c>
      <c r="AK19" s="141">
        <f>'[2]EU Sunflower Exports'!AJ$148</f>
        <v>0</v>
      </c>
      <c r="AL19" s="141">
        <f>'[2]EU Sunflower Exports'!AK$148</f>
        <v>0</v>
      </c>
      <c r="AM19" s="141">
        <f>'[2]EU Sunflower Exports'!AL$148</f>
        <v>0</v>
      </c>
      <c r="AN19" s="141">
        <f>'[2]EU Sunflower Exports'!AM$148</f>
        <v>0</v>
      </c>
      <c r="AO19" s="141">
        <f>'[2]EU Sunflower Exports'!AN$148</f>
        <v>0</v>
      </c>
      <c r="AP19" s="141">
        <f>'[2]EU Sunflower Exports'!AO$148</f>
        <v>0</v>
      </c>
      <c r="AQ19" s="141">
        <f>'[2]EU Sunflower Exports'!AP$148</f>
        <v>0</v>
      </c>
      <c r="AR19" s="141">
        <f>'[2]EU Sunflower Exports'!AQ$148</f>
        <v>0</v>
      </c>
      <c r="AS19" s="141">
        <f>'[2]EU Sunflower Exports'!AR$148</f>
        <v>0</v>
      </c>
      <c r="AT19" s="141">
        <f>'[2]EU Sunflower Exports'!AS$148</f>
        <v>0</v>
      </c>
      <c r="AU19" s="141">
        <f>'[2]EU Sunflower Exports'!AT$148</f>
        <v>0</v>
      </c>
      <c r="AV19" s="141">
        <f>'[2]EU Sunflower Exports'!AU$148</f>
        <v>0</v>
      </c>
      <c r="AW19" s="141">
        <f>'[2]EU Sunflower Exports'!AV$148</f>
        <v>0</v>
      </c>
      <c r="AX19" s="141">
        <f>'[2]EU Sunflower Exports'!AW$148</f>
        <v>0</v>
      </c>
      <c r="AY19" s="141">
        <f>'[2]EU Sunflower Exports'!AX$148</f>
        <v>0</v>
      </c>
      <c r="AZ19" s="141">
        <f>'[2]EU Sunflower Exports'!AY$148</f>
        <v>0</v>
      </c>
      <c r="BA19" s="141">
        <f>'[2]EU Sunflower Exports'!AZ$148</f>
        <v>0</v>
      </c>
      <c r="BB19" s="141">
        <f>'[2]EU Sunflower Exports'!BA$148</f>
        <v>0</v>
      </c>
      <c r="BC19" s="141">
        <f>'[2]Ukraine Sunflower Exports'!Z$148</f>
        <v>1.9699999999999999E-2</v>
      </c>
      <c r="BD19" s="141">
        <f>'[2]Ukraine Sunflower Exports'!AA$148</f>
        <v>0</v>
      </c>
      <c r="BE19" s="141">
        <f>'[2]Ukraine Sunflower Exports'!AB$148</f>
        <v>0</v>
      </c>
      <c r="BF19" s="141">
        <f>'[2]Ukraine Sunflower Exports'!AC$148</f>
        <v>0</v>
      </c>
      <c r="BG19" s="141">
        <f>'[2]Ukraine Sunflower Exports'!AD$148</f>
        <v>0</v>
      </c>
      <c r="BH19" s="141">
        <f>'[2]Russia Sunflower Exports'!B$148</f>
        <v>0</v>
      </c>
      <c r="BI19" s="141">
        <f>'[2]Russia Sunflower Exports'!C$148</f>
        <v>0</v>
      </c>
      <c r="BJ19" s="141">
        <f>'[2]Russia Sunflower Exports'!D$148</f>
        <v>0</v>
      </c>
      <c r="BK19" s="141">
        <f>'[2]Russia Sunflower Exports'!E$148</f>
        <v>0</v>
      </c>
      <c r="BL19" s="141">
        <f>'[2]Russia Sunflower Exports'!F$148</f>
        <v>0</v>
      </c>
      <c r="BM19" s="141">
        <f>'[2]Russia Sunflower Exports'!G$148</f>
        <v>0</v>
      </c>
      <c r="BN19" s="141">
        <f>'[2]Russia Sunflower Exports'!H$148</f>
        <v>0</v>
      </c>
      <c r="BO19" s="141">
        <f>'[2]Russia Sunflower Exports'!I$148</f>
        <v>0</v>
      </c>
      <c r="BP19" s="141">
        <f>'[2]Russia Sunflower Exports'!J$148</f>
        <v>0</v>
      </c>
      <c r="BQ19" s="141">
        <f>'[2]Russia Sunflower Exports'!K$148</f>
        <v>0</v>
      </c>
      <c r="BR19" s="141">
        <f>'[2]Russia Sunflower Exports'!L$148</f>
        <v>0</v>
      </c>
      <c r="BS19" s="141">
        <f>'[2]Russia Sunflower Exports'!M$148</f>
        <v>0</v>
      </c>
      <c r="BT19" s="141">
        <f>'[2]Russia Sunflower Exports'!N$148</f>
        <v>0</v>
      </c>
      <c r="BU19" s="141">
        <f>'[2]Russia Sunflower Exports'!O$148</f>
        <v>0</v>
      </c>
      <c r="BV19" s="141">
        <f>'[2]Russia Sunflower Exports'!P$148</f>
        <v>0</v>
      </c>
      <c r="BW19" s="141">
        <f>'[2]Russia Sunflower Exports'!Q$148</f>
        <v>0</v>
      </c>
      <c r="BX19" s="141">
        <f>'[2]Russia Sunflower Exports'!R$148</f>
        <v>0</v>
      </c>
      <c r="BY19" s="141">
        <f>'[2]Russia Sunflower Exports'!S$148</f>
        <v>0</v>
      </c>
      <c r="BZ19" s="141">
        <f>'[2]Russia Sunflower Exports'!T$148</f>
        <v>0</v>
      </c>
      <c r="CA19" s="141">
        <f>'[2]Russia Sunflower Exports'!U$148</f>
        <v>0</v>
      </c>
      <c r="CB19" s="141">
        <f>'[2]Russia Sunflower Exports'!V$148</f>
        <v>0</v>
      </c>
      <c r="CC19" s="141">
        <f>'[2]Russia Sunflower Exports'!W$148</f>
        <v>0</v>
      </c>
      <c r="CD19" s="141">
        <f>'[2]Russia Sunflower Exports'!X$148</f>
        <v>0</v>
      </c>
      <c r="CE19" s="141">
        <f>'[2]Russia Sunflower Exports'!Y$148</f>
        <v>0</v>
      </c>
      <c r="CF19" s="141">
        <f>'[2]Russia Sunflower Exports'!Z$148</f>
        <v>0</v>
      </c>
      <c r="CG19" s="147">
        <f>'[2]Russia Sunflower Exports'!AA$148</f>
        <v>0</v>
      </c>
      <c r="CH19" s="141">
        <f>'[2]Russia Sunflower Exports'!AB$148</f>
        <v>5.0150000000000004E-3</v>
      </c>
      <c r="CI19" s="141">
        <f>'[2]Russia Sunflower Exports'!AC$148</f>
        <v>0</v>
      </c>
      <c r="CJ19" s="143">
        <f>'[2]Russia Sunflower Exports'!AD$148</f>
        <v>0</v>
      </c>
      <c r="CK19" s="141">
        <f>'[3]Sunflower Exports'!B$148/2204.622*1000</f>
        <v>0.11580000000000001</v>
      </c>
      <c r="CL19" s="141">
        <f>'[3]Sunflower Exports'!C$148/2204.622*1000</f>
        <v>4.0900000000000006E-2</v>
      </c>
      <c r="CM19" s="141">
        <f>'[3]Sunflower Exports'!D$148/2204.622*1000</f>
        <v>2.7300000000000001E-2</v>
      </c>
      <c r="CN19" s="141">
        <f>'[3]Sunflower Exports'!E$148/2204.622*1000</f>
        <v>9.0000000000000011E-3</v>
      </c>
      <c r="CO19" s="141">
        <f>'[3]Sunflower Exports'!F$148/2204.622*1000</f>
        <v>0</v>
      </c>
      <c r="CP19" s="141">
        <f>'[3]Sunflower Exports'!G$148/2204.622*1000</f>
        <v>3.0000000000000006E-2</v>
      </c>
      <c r="CQ19" s="141">
        <f>'[3]Sunflower Exports'!H$148/2204.622*1000</f>
        <v>5.9199999999999989E-2</v>
      </c>
      <c r="CR19" s="141">
        <f>'[3]Sunflower Exports'!I$148/2204.622*1000</f>
        <v>0.34399999999999997</v>
      </c>
      <c r="CS19" s="141">
        <f>'[3]Sunflower Exports'!J$148/2204.622*1000</f>
        <v>0.39460000000000001</v>
      </c>
      <c r="CT19" s="141">
        <f>'[3]Sunflower Exports'!K$148/2204.622*1000</f>
        <v>6.0900000000000003E-2</v>
      </c>
      <c r="CU19" s="141">
        <f>'[3]Sunflower Exports'!L$148/2204.622*1000</f>
        <v>0.22490000000000004</v>
      </c>
      <c r="CV19" s="141">
        <f>'[3]Sunflower Exports'!M$148/2204.622*1000</f>
        <v>0.12480000000000002</v>
      </c>
      <c r="CW19" s="141">
        <f>'[3]Sunflower Exports'!N$148/2204.622*1000</f>
        <v>0.13830000000000003</v>
      </c>
      <c r="CX19" s="141">
        <f>'[3]Sunflower Exports'!O$148/2204.622*1000</f>
        <v>0.15560000000000004</v>
      </c>
      <c r="CY19" s="141">
        <f>'[3]Sunflower Exports'!P$148/2204.622*1000</f>
        <v>0.1138</v>
      </c>
      <c r="CZ19" s="141">
        <f>'[3]Sunflower Exports'!Q$148/2204.622*1000</f>
        <v>0</v>
      </c>
      <c r="DA19" s="141">
        <f>'[3]Sunflower Exports'!R$148/2204.622*1000</f>
        <v>0</v>
      </c>
      <c r="DB19" s="141">
        <f>'[3]Sunflower Exports'!S$148/2204.622*1000</f>
        <v>0</v>
      </c>
      <c r="DC19" s="141">
        <f>'[3]Sunflower Exports'!T$148/2204.622*1000</f>
        <v>0</v>
      </c>
      <c r="DD19" s="141">
        <f>'[3]Sunflower Exports'!U$148/2204.622*1000</f>
        <v>3.0000000000000001E-3</v>
      </c>
      <c r="DE19" s="141">
        <f>'[3]Sunflower Exports'!V$148/2204.622*1000</f>
        <v>0</v>
      </c>
      <c r="DF19" s="141">
        <f>'[3]Sunflower Exports'!W$148/2204.622*1000</f>
        <v>1.5E-3</v>
      </c>
      <c r="DG19" s="141">
        <f>'[3]Sunflower Exports'!X$148/2204.622*1000</f>
        <v>4.0800000000000003E-2</v>
      </c>
      <c r="DH19" s="141">
        <f>'[3]Sunflower Exports'!Y$148/2204.622*1000</f>
        <v>0</v>
      </c>
      <c r="DI19" s="141">
        <f>'[3]Sunflower Exports'!Z$148/2204.622*1000</f>
        <v>0</v>
      </c>
      <c r="DJ19" s="141">
        <f>'[3]Sunflower Exports'!AA$148/2204.622*1000</f>
        <v>0</v>
      </c>
      <c r="DK19" s="141">
        <f>'[3]Sunflower Exports'!AB$148/2204.622*1000</f>
        <v>0</v>
      </c>
      <c r="DL19" s="141">
        <f>'[3]Sunflower Exports'!AC$148/2204.622*1000</f>
        <v>0</v>
      </c>
      <c r="DM19" s="143">
        <f>'[3]Sunflower Exports'!AD$148/2204.622*1000</f>
        <v>0</v>
      </c>
      <c r="DN19" s="141">
        <f t="shared" si="0"/>
        <v>0.48780000000000001</v>
      </c>
      <c r="DO19" s="141">
        <f t="shared" si="0"/>
        <v>4.0900000000000006E-2</v>
      </c>
      <c r="DP19" s="141">
        <f t="shared" si="0"/>
        <v>2.7300000000000001E-2</v>
      </c>
      <c r="DQ19" s="141">
        <f t="shared" si="0"/>
        <v>9.0000000000000011E-3</v>
      </c>
      <c r="DR19" s="141">
        <f t="shared" si="0"/>
        <v>0</v>
      </c>
      <c r="DS19" s="141">
        <f t="shared" si="0"/>
        <v>3.0000000000000006E-2</v>
      </c>
      <c r="DT19" s="141">
        <f t="shared" si="0"/>
        <v>6.019999999999999E-2</v>
      </c>
      <c r="DU19" s="141">
        <f t="shared" si="0"/>
        <v>0.34399999999999997</v>
      </c>
      <c r="DV19" s="141">
        <f t="shared" si="0"/>
        <v>0.39760000000000001</v>
      </c>
      <c r="DW19" s="141">
        <f t="shared" si="0"/>
        <v>7.2900000000000006E-2</v>
      </c>
      <c r="DX19" s="141">
        <f t="shared" si="0"/>
        <v>0.28190000000000004</v>
      </c>
      <c r="DY19" s="141">
        <f t="shared" si="0"/>
        <v>0.17480000000000001</v>
      </c>
      <c r="DZ19" s="141">
        <f t="shared" si="0"/>
        <v>0.14230000000000004</v>
      </c>
      <c r="EA19" s="141">
        <f t="shared" si="0"/>
        <v>0.19160000000000005</v>
      </c>
      <c r="EB19" s="141">
        <f t="shared" si="0"/>
        <v>0.1168</v>
      </c>
      <c r="EC19" s="141">
        <f t="shared" ref="EC19:EM55" si="3">SUM(Q19,AT19,BW19,CZ19)</f>
        <v>3.0000000000000001E-3</v>
      </c>
      <c r="ED19" s="141">
        <f t="shared" si="1"/>
        <v>2E-3</v>
      </c>
      <c r="EE19" s="141">
        <f t="shared" si="1"/>
        <v>3.0000000000000001E-3</v>
      </c>
      <c r="EF19" s="141">
        <f t="shared" si="1"/>
        <v>3.0000000000000001E-3</v>
      </c>
      <c r="EG19" s="141">
        <f t="shared" si="1"/>
        <v>8.0000000000000002E-3</v>
      </c>
      <c r="EH19" s="141">
        <f t="shared" si="1"/>
        <v>2E-3</v>
      </c>
      <c r="EI19" s="141">
        <f t="shared" si="1"/>
        <v>3.5000000000000001E-3</v>
      </c>
      <c r="EJ19" s="141">
        <f t="shared" si="1"/>
        <v>4.3800000000000006E-2</v>
      </c>
      <c r="EK19" s="141">
        <f t="shared" si="1"/>
        <v>0</v>
      </c>
      <c r="EL19" s="141">
        <f t="shared" si="1"/>
        <v>2.5700000000000001E-2</v>
      </c>
      <c r="EM19" s="141">
        <f t="shared" si="1"/>
        <v>0.24799999999999997</v>
      </c>
      <c r="EN19" s="141">
        <f t="shared" si="1"/>
        <v>0.56801499999999994</v>
      </c>
      <c r="EO19" s="141">
        <f t="shared" si="1"/>
        <v>0.16699999999999998</v>
      </c>
      <c r="EP19" s="145">
        <f t="shared" si="1"/>
        <v>0</v>
      </c>
      <c r="EQ19" s="145">
        <v>0</v>
      </c>
      <c r="ES19" s="141">
        <f t="shared" si="2"/>
        <v>0</v>
      </c>
      <c r="ET19" s="141">
        <f t="shared" si="2"/>
        <v>0</v>
      </c>
      <c r="EV19" s="141"/>
      <c r="EW19" s="141"/>
      <c r="FB19" s="107"/>
    </row>
    <row r="20" spans="1:158">
      <c r="A20" s="149" t="s">
        <v>151</v>
      </c>
      <c r="B20" s="146">
        <f>'[2]EU Sunflower Exports'!B$151</f>
        <v>0</v>
      </c>
      <c r="C20" s="146">
        <f>'[2]EU Sunflower Exports'!C$151</f>
        <v>0</v>
      </c>
      <c r="D20" s="146">
        <f>'[2]EU Sunflower Exports'!D$151</f>
        <v>0</v>
      </c>
      <c r="E20" s="146">
        <f>'[2]EU Sunflower Exports'!E$151</f>
        <v>38.200000000000003</v>
      </c>
      <c r="F20" s="146">
        <f>'[2]EU Sunflower Exports'!F$151</f>
        <v>26.935000000000002</v>
      </c>
      <c r="G20" s="146">
        <f>'[2]EU Sunflower Exports'!G$151</f>
        <v>41.775000000000006</v>
      </c>
      <c r="H20" s="146">
        <f>'[2]EU Sunflower Exports'!H$151</f>
        <v>51.003000000000007</v>
      </c>
      <c r="I20" s="146">
        <f>'[2]EU Sunflower Exports'!I$151</f>
        <v>34.440999999999995</v>
      </c>
      <c r="J20" s="146">
        <f>'[2]EU Sunflower Exports'!J$151</f>
        <v>103.55400000000002</v>
      </c>
      <c r="K20" s="146">
        <f>'[2]EU Sunflower Exports'!K$151</f>
        <v>87.316000000000003</v>
      </c>
      <c r="L20" s="146">
        <f>'[2]EU Sunflower Exports'!L$151</f>
        <v>237.23699999999999</v>
      </c>
      <c r="M20" s="146">
        <f>'[2]EU Sunflower Exports'!M$151</f>
        <v>503.39699999999993</v>
      </c>
      <c r="N20" s="146">
        <f>'[2]EU Sunflower Exports'!N$151</f>
        <v>249.51300000000001</v>
      </c>
      <c r="O20" s="146">
        <f>'[2]EU Sunflower Exports'!O$151</f>
        <v>398.07600000000008</v>
      </c>
      <c r="P20" s="141">
        <f>'[2]EU Sunflower Exports'!P$151</f>
        <v>431.78699999999998</v>
      </c>
      <c r="Q20" s="141">
        <f>'[2]EU Sunflower Exports'!Q$151</f>
        <v>246.61499999999998</v>
      </c>
      <c r="R20" s="141">
        <f>'[2]EU Sunflower Exports'!R$151</f>
        <v>403.33800000000008</v>
      </c>
      <c r="S20" s="141">
        <f>'[2]EU Sunflower Exports'!S$151</f>
        <v>338.94100000000003</v>
      </c>
      <c r="T20" s="141">
        <f>'[2]EU Sunflower Exports'!T$151</f>
        <v>252.511</v>
      </c>
      <c r="U20" s="141">
        <f>'[2]EU Sunflower Exports'!U$151</f>
        <v>340.14800000000002</v>
      </c>
      <c r="V20" s="141">
        <f>'[2]EU Sunflower Exports'!V$151</f>
        <v>261.48600000000005</v>
      </c>
      <c r="W20" s="141">
        <f>'[2]EU Sunflower Exports'!W$151</f>
        <v>222.30500000000001</v>
      </c>
      <c r="X20" s="141">
        <f>'[2]EU Sunflower Exports'!X$151</f>
        <v>173.33500000000001</v>
      </c>
      <c r="Y20" s="141">
        <f>'[2]EU Sunflower Exports'!Y$151</f>
        <v>125.429</v>
      </c>
      <c r="Z20" s="141">
        <f>'[2]EU Sunflower Exports'!Z$151</f>
        <v>337.13599999999997</v>
      </c>
      <c r="AA20" s="141">
        <f>'[2]EU Sunflower Exports'!AA$151</f>
        <v>340.23600000000005</v>
      </c>
      <c r="AB20" s="141">
        <f>'[2]EU Sunflower Exports'!AB$151</f>
        <v>370.49800000000005</v>
      </c>
      <c r="AC20" s="141">
        <f>'[2]EU Sunflower Exports'!AC$151</f>
        <v>662.27499999999998</v>
      </c>
      <c r="AD20" s="143">
        <f>330-55</f>
        <v>275</v>
      </c>
      <c r="AE20" s="141">
        <v>306</v>
      </c>
      <c r="AF20" s="141">
        <v>307</v>
      </c>
      <c r="AG20" s="141">
        <v>308</v>
      </c>
      <c r="AH20" s="141">
        <v>309</v>
      </c>
      <c r="AI20" s="141">
        <v>310</v>
      </c>
      <c r="AJ20" s="141">
        <v>311</v>
      </c>
      <c r="AK20" s="141">
        <v>312</v>
      </c>
      <c r="AL20" s="141">
        <v>313</v>
      </c>
      <c r="AM20" s="141">
        <v>314</v>
      </c>
      <c r="AN20" s="141">
        <v>315</v>
      </c>
      <c r="AO20" s="141">
        <v>316</v>
      </c>
      <c r="AP20" s="141">
        <v>317</v>
      </c>
      <c r="AQ20" s="141">
        <v>318</v>
      </c>
      <c r="AR20" s="141">
        <v>319</v>
      </c>
      <c r="AS20" s="141">
        <v>320</v>
      </c>
      <c r="AT20" s="141">
        <v>321</v>
      </c>
      <c r="AU20" s="141">
        <v>322</v>
      </c>
      <c r="AV20" s="141">
        <v>323</v>
      </c>
      <c r="AW20" s="141">
        <v>324</v>
      </c>
      <c r="AX20" s="141">
        <v>325</v>
      </c>
      <c r="AY20" s="141">
        <v>326</v>
      </c>
      <c r="AZ20" s="141">
        <v>327</v>
      </c>
      <c r="BA20" s="141">
        <v>328</v>
      </c>
      <c r="BB20" s="141">
        <v>329</v>
      </c>
      <c r="BC20" s="141">
        <f>'[2]Ukraine Sunflower Exports'!Z$151</f>
        <v>1.9533200000000002</v>
      </c>
      <c r="BD20" s="141">
        <f>'[2]Ukraine Sunflower Exports'!AA$151</f>
        <v>62.974142000000001</v>
      </c>
      <c r="BE20" s="141">
        <f>'[2]Ukraine Sunflower Exports'!AB$151</f>
        <v>12.203803999999998</v>
      </c>
      <c r="BF20" s="141">
        <f>'[2]Ukraine Sunflower Exports'!AC$151</f>
        <v>87.335018000000005</v>
      </c>
      <c r="BG20" s="143">
        <f>'[2]Ukraine Sunflower Exports'!AD$151-24.5</f>
        <v>286.11599999999999</v>
      </c>
      <c r="BH20" s="141">
        <f>'[2]Russia Sunflower Exports'!B$151</f>
        <v>0</v>
      </c>
      <c r="BI20" s="141">
        <f>'[2]Russia Sunflower Exports'!C$151</f>
        <v>0</v>
      </c>
      <c r="BJ20" s="141">
        <f>'[2]Russia Sunflower Exports'!D$151</f>
        <v>0</v>
      </c>
      <c r="BK20" s="141">
        <f>'[2]Russia Sunflower Exports'!E$151</f>
        <v>121.54241400000001</v>
      </c>
      <c r="BL20" s="141">
        <f>'[2]Russia Sunflower Exports'!F$151</f>
        <v>270.38422200000002</v>
      </c>
      <c r="BM20" s="141">
        <f>'[2]Russia Sunflower Exports'!G$151</f>
        <v>343.11110900000006</v>
      </c>
      <c r="BN20" s="141">
        <f>'[2]Russia Sunflower Exports'!H$151</f>
        <v>287.73335600000007</v>
      </c>
      <c r="BO20" s="141">
        <f>'[2]Russia Sunflower Exports'!I$151</f>
        <v>250.88075499999999</v>
      </c>
      <c r="BP20" s="141">
        <f>'[2]Russia Sunflower Exports'!J$151</f>
        <v>1.8099000000000001</v>
      </c>
      <c r="BQ20" s="141">
        <f>'[2]Russia Sunflower Exports'!K$151</f>
        <v>25.997</v>
      </c>
      <c r="BR20" s="141">
        <f>'[2]Russia Sunflower Exports'!L$151</f>
        <v>124.773</v>
      </c>
      <c r="BS20" s="141">
        <f>'[2]Russia Sunflower Exports'!M$151</f>
        <v>11.19</v>
      </c>
      <c r="BT20" s="141">
        <f>'[2]Russia Sunflower Exports'!N$151</f>
        <v>87.524999999999991</v>
      </c>
      <c r="BU20" s="141">
        <f>'[2]Russia Sunflower Exports'!O$151</f>
        <v>5.2999999999999999E-2</v>
      </c>
      <c r="BV20" s="141">
        <f>'[2]Russia Sunflower Exports'!P$151</f>
        <v>0</v>
      </c>
      <c r="BW20" s="141">
        <f>'[2]Russia Sunflower Exports'!Q$151</f>
        <v>9.8049999999999997</v>
      </c>
      <c r="BX20" s="141">
        <f>'[2]Russia Sunflower Exports'!R$151</f>
        <v>0</v>
      </c>
      <c r="BY20" s="141">
        <f>'[2]Russia Sunflower Exports'!S$151</f>
        <v>0</v>
      </c>
      <c r="BZ20" s="141">
        <f>'[2]Russia Sunflower Exports'!T$151</f>
        <v>276.97300000000001</v>
      </c>
      <c r="CA20" s="141">
        <f>'[2]Russia Sunflower Exports'!U$151</f>
        <v>12.540000000000001</v>
      </c>
      <c r="CB20" s="141">
        <f>'[2]Russia Sunflower Exports'!V$151</f>
        <v>74.483000000000004</v>
      </c>
      <c r="CC20" s="141">
        <f>'[2]Russia Sunflower Exports'!W$151</f>
        <v>22.027000000000005</v>
      </c>
      <c r="CD20" s="141">
        <f>'[2]Russia Sunflower Exports'!X$151</f>
        <v>34.262999999999998</v>
      </c>
      <c r="CE20" s="141">
        <f>'[2]Russia Sunflower Exports'!Y$151</f>
        <v>229.17834400000001</v>
      </c>
      <c r="CF20" s="141">
        <f>'[2]Russia Sunflower Exports'!Z$151</f>
        <v>20.824230000000004</v>
      </c>
      <c r="CG20" s="147">
        <f>'[2]Russia Sunflower Exports'!AA$151</f>
        <v>207.481041</v>
      </c>
      <c r="CH20" s="141">
        <f>'[2]Russia Sunflower Exports'!AB$151</f>
        <v>573.10862299999997</v>
      </c>
      <c r="CI20" s="141">
        <f>'[2]Russia Sunflower Exports'!AC$151</f>
        <v>156.38361999999998</v>
      </c>
      <c r="CJ20" s="143">
        <f>'[2]Russia Sunflower Exports'!AD$151</f>
        <v>2.2666000000000002E-2</v>
      </c>
      <c r="CK20" s="141">
        <f>'[3]Sunflower Exports'!B$151/2204.622*1000</f>
        <v>0.86530000000000007</v>
      </c>
      <c r="CL20" s="141">
        <f>'[3]Sunflower Exports'!C$151/2204.622*1000</f>
        <v>6.9896000000000003</v>
      </c>
      <c r="CM20" s="141">
        <f>'[3]Sunflower Exports'!D$151/2204.622*1000</f>
        <v>3.9074000000000009</v>
      </c>
      <c r="CN20" s="141">
        <f>'[3]Sunflower Exports'!E$151/2204.622*1000</f>
        <v>2.4573000000000005</v>
      </c>
      <c r="CO20" s="141">
        <f>'[3]Sunflower Exports'!F$151/2204.622*1000</f>
        <v>16.383500000000002</v>
      </c>
      <c r="CP20" s="141">
        <f>'[3]Sunflower Exports'!G$151/2204.622*1000</f>
        <v>8.9436999999999998</v>
      </c>
      <c r="CQ20" s="141">
        <f>'[3]Sunflower Exports'!H$151/2204.622*1000</f>
        <v>7.6245000000000021</v>
      </c>
      <c r="CR20" s="141">
        <f>'[3]Sunflower Exports'!I$151/2204.622*1000</f>
        <v>4.7943000000000007</v>
      </c>
      <c r="CS20" s="141">
        <f>'[3]Sunflower Exports'!J$151/2204.622*1000</f>
        <v>7.5566999999999993</v>
      </c>
      <c r="CT20" s="141">
        <f>'[3]Sunflower Exports'!K$151/2204.622*1000</f>
        <v>7.2720000000000011</v>
      </c>
      <c r="CU20" s="141">
        <f>'[3]Sunflower Exports'!L$151/2204.622*1000</f>
        <v>8.5676999999999985</v>
      </c>
      <c r="CV20" s="141">
        <f>'[3]Sunflower Exports'!M$151/2204.622*1000</f>
        <v>3.6865999999999999</v>
      </c>
      <c r="CW20" s="141">
        <f>'[3]Sunflower Exports'!N$151/2204.622*1000</f>
        <v>13.202900000000003</v>
      </c>
      <c r="CX20" s="141">
        <f>'[3]Sunflower Exports'!O$151/2204.622*1000</f>
        <v>20.598300000000002</v>
      </c>
      <c r="CY20" s="141">
        <f>'[3]Sunflower Exports'!P$151/2204.622*1000</f>
        <v>19.451499999999999</v>
      </c>
      <c r="CZ20" s="141">
        <f>'[3]Sunflower Exports'!Q$151/2204.622*1000</f>
        <v>20.6374</v>
      </c>
      <c r="DA20" s="141">
        <f>'[3]Sunflower Exports'!R$151/2204.622*1000</f>
        <v>21.613200000000006</v>
      </c>
      <c r="DB20" s="141">
        <f>'[3]Sunflower Exports'!S$151/2204.622*1000</f>
        <v>10.345800000000001</v>
      </c>
      <c r="DC20" s="141">
        <f>'[3]Sunflower Exports'!T$151/2204.622*1000</f>
        <v>7.1185</v>
      </c>
      <c r="DD20" s="141">
        <f>'[3]Sunflower Exports'!U$151/2204.622*1000</f>
        <v>15.9907</v>
      </c>
      <c r="DE20" s="141">
        <f>'[3]Sunflower Exports'!V$151/2204.622*1000</f>
        <v>11.1722</v>
      </c>
      <c r="DF20" s="141">
        <f>'[3]Sunflower Exports'!W$151/2204.622*1000</f>
        <v>4.936700000000001</v>
      </c>
      <c r="DG20" s="141">
        <f>'[3]Sunflower Exports'!X$151/2204.622*1000</f>
        <v>5.6511000000000013</v>
      </c>
      <c r="DH20" s="141">
        <f>'[3]Sunflower Exports'!Y$151/2204.622*1000</f>
        <v>3.8759437206378236</v>
      </c>
      <c r="DI20" s="141">
        <f>'[3]Sunflower Exports'!Z$151/2204.622*1000</f>
        <v>1.2896768300234691</v>
      </c>
      <c r="DJ20" s="141">
        <f>'[3]Sunflower Exports'!AA$151/2204.622*1000</f>
        <v>1.4139917172467662</v>
      </c>
      <c r="DK20" s="141">
        <f>'[3]Sunflower Exports'!AB$151/2204.622*1000</f>
        <v>3.6897966526688031E-2</v>
      </c>
      <c r="DL20" s="141">
        <f>'[3]Sunflower Exports'!AC$151/2204.622*1000</f>
        <v>2.9630022743127846E-2</v>
      </c>
      <c r="DM20" s="143">
        <f>'[3]Sunflower Exports'!AD$151/2204.622*1000</f>
        <v>0</v>
      </c>
      <c r="DN20" s="141">
        <f t="shared" ref="DN20:EB56" si="4">SUM(B20,AE20,BH20,CK20)</f>
        <v>306.86529999999999</v>
      </c>
      <c r="DO20" s="141">
        <f t="shared" si="4"/>
        <v>313.9896</v>
      </c>
      <c r="DP20" s="141">
        <f t="shared" si="4"/>
        <v>311.9074</v>
      </c>
      <c r="DQ20" s="141">
        <f t="shared" si="4"/>
        <v>471.19971399999997</v>
      </c>
      <c r="DR20" s="141">
        <f t="shared" si="4"/>
        <v>623.70272200000011</v>
      </c>
      <c r="DS20" s="141">
        <f t="shared" si="4"/>
        <v>704.82980900000007</v>
      </c>
      <c r="DT20" s="141">
        <f t="shared" si="4"/>
        <v>658.36085600000013</v>
      </c>
      <c r="DU20" s="141">
        <f t="shared" si="4"/>
        <v>603.11605499999996</v>
      </c>
      <c r="DV20" s="141">
        <f t="shared" si="4"/>
        <v>426.92060000000004</v>
      </c>
      <c r="DW20" s="141">
        <f t="shared" si="4"/>
        <v>435.58500000000004</v>
      </c>
      <c r="DX20" s="141">
        <f t="shared" si="4"/>
        <v>686.57769999999994</v>
      </c>
      <c r="DY20" s="141">
        <f t="shared" si="4"/>
        <v>835.27359999999999</v>
      </c>
      <c r="DZ20" s="141">
        <f t="shared" si="4"/>
        <v>668.24090000000001</v>
      </c>
      <c r="EA20" s="141">
        <f t="shared" si="4"/>
        <v>737.72730000000001</v>
      </c>
      <c r="EB20" s="141">
        <f t="shared" si="4"/>
        <v>771.23850000000004</v>
      </c>
      <c r="EC20" s="141">
        <f t="shared" si="3"/>
        <v>598.05739999999992</v>
      </c>
      <c r="ED20" s="141">
        <f t="shared" si="1"/>
        <v>746.95120000000009</v>
      </c>
      <c r="EE20" s="141">
        <f t="shared" si="1"/>
        <v>672.28680000000008</v>
      </c>
      <c r="EF20" s="141">
        <f t="shared" si="1"/>
        <v>860.60249999999996</v>
      </c>
      <c r="EG20" s="141">
        <f t="shared" si="1"/>
        <v>693.67869999999994</v>
      </c>
      <c r="EH20" s="141">
        <f t="shared" si="1"/>
        <v>673.14120000000003</v>
      </c>
      <c r="EI20" s="141">
        <f t="shared" si="1"/>
        <v>576.26870000000008</v>
      </c>
      <c r="EJ20" s="141">
        <f t="shared" si="1"/>
        <v>541.24910000000011</v>
      </c>
      <c r="EK20" s="141">
        <f t="shared" si="1"/>
        <v>687.4832877206378</v>
      </c>
      <c r="EL20" s="141">
        <f t="shared" si="1"/>
        <v>361.20322683002348</v>
      </c>
      <c r="EM20" s="141">
        <f t="shared" si="1"/>
        <v>612.10517471724677</v>
      </c>
      <c r="EN20" s="141">
        <f t="shared" si="1"/>
        <v>955.84732496652668</v>
      </c>
      <c r="EO20" s="141">
        <f t="shared" si="1"/>
        <v>906.02326802274308</v>
      </c>
      <c r="EP20" s="145">
        <f>'Turkey Sun Complex'!AD10-425-300</f>
        <v>325</v>
      </c>
      <c r="EQ20" s="145">
        <f>'Turkey Sun Complex'!AE10-425</f>
        <v>675</v>
      </c>
      <c r="ES20" s="141">
        <f>SUM(BF20+CI20+DL20+AC20)-EO20</f>
        <v>0</v>
      </c>
      <c r="ET20" s="141">
        <f t="shared" si="2"/>
        <v>236.13866600000006</v>
      </c>
      <c r="EV20" s="141"/>
      <c r="EW20" s="141"/>
      <c r="FB20" s="107"/>
    </row>
    <row r="21" spans="1:158">
      <c r="A21" s="148" t="s">
        <v>152</v>
      </c>
      <c r="B21" s="146">
        <f>'[2]EU Sunflower Exports'!B$156</f>
        <v>0</v>
      </c>
      <c r="C21" s="146">
        <f>'[2]EU Sunflower Exports'!C$156</f>
        <v>0</v>
      </c>
      <c r="D21" s="146">
        <f>'[2]EU Sunflower Exports'!D$156</f>
        <v>0</v>
      </c>
      <c r="E21" s="146">
        <f>'[2]EU Sunflower Exports'!E$156</f>
        <v>0</v>
      </c>
      <c r="F21" s="146">
        <f>'[2]EU Sunflower Exports'!F$156</f>
        <v>0</v>
      </c>
      <c r="G21" s="146">
        <f>'[2]EU Sunflower Exports'!G$156</f>
        <v>0</v>
      </c>
      <c r="H21" s="146">
        <f>'[2]EU Sunflower Exports'!H$156</f>
        <v>0</v>
      </c>
      <c r="I21" s="146">
        <f>'[2]EU Sunflower Exports'!I$156</f>
        <v>0</v>
      </c>
      <c r="J21" s="146">
        <f>'[2]EU Sunflower Exports'!J$156</f>
        <v>0</v>
      </c>
      <c r="K21" s="146">
        <f>'[2]EU Sunflower Exports'!K$156</f>
        <v>0</v>
      </c>
      <c r="L21" s="146">
        <f>'[2]EU Sunflower Exports'!L$156</f>
        <v>0</v>
      </c>
      <c r="M21" s="146">
        <f>'[2]EU Sunflower Exports'!M$156</f>
        <v>0</v>
      </c>
      <c r="N21" s="146">
        <f>'[2]EU Sunflower Exports'!N$156</f>
        <v>0</v>
      </c>
      <c r="O21" s="146">
        <f>'[2]EU Sunflower Exports'!O$156</f>
        <v>0</v>
      </c>
      <c r="P21" s="141">
        <f>'[2]EU Sunflower Exports'!P$156</f>
        <v>0</v>
      </c>
      <c r="Q21" s="141">
        <f>'[2]EU Sunflower Exports'!Q$156</f>
        <v>0</v>
      </c>
      <c r="R21" s="141">
        <f>'[2]EU Sunflower Exports'!R$156</f>
        <v>0</v>
      </c>
      <c r="S21" s="141">
        <f>'[2]EU Sunflower Exports'!S$156</f>
        <v>0</v>
      </c>
      <c r="T21" s="141">
        <f>'[2]EU Sunflower Exports'!T$156</f>
        <v>0</v>
      </c>
      <c r="U21" s="141">
        <f>'[2]EU Sunflower Exports'!U$156</f>
        <v>9.1999999999999998E-2</v>
      </c>
      <c r="V21" s="141">
        <f>'[2]EU Sunflower Exports'!V$156</f>
        <v>4.5669999999999993</v>
      </c>
      <c r="W21" s="141">
        <f>'[2]EU Sunflower Exports'!W$156</f>
        <v>2.9410000000000003</v>
      </c>
      <c r="X21" s="141">
        <f>'[2]EU Sunflower Exports'!X$156</f>
        <v>1.7</v>
      </c>
      <c r="Y21" s="141">
        <f>'[2]EU Sunflower Exports'!Y$156</f>
        <v>0.40699999999999997</v>
      </c>
      <c r="Z21" s="141">
        <f>'[2]EU Sunflower Exports'!Z$156</f>
        <v>0.14899999999999999</v>
      </c>
      <c r="AA21" s="141">
        <f>'[2]EU Sunflower Exports'!AA$156</f>
        <v>0.68299999999999994</v>
      </c>
      <c r="AB21" s="141">
        <f>'[2]EU Sunflower Exports'!AB$156</f>
        <v>5.1999999999999998E-2</v>
      </c>
      <c r="AC21" s="141">
        <f>'[2]EU Sunflower Exports'!AC$156</f>
        <v>9.4E-2</v>
      </c>
      <c r="AD21" s="143">
        <f>'[2]EU Sunflower Exports'!BB$156</f>
        <v>0</v>
      </c>
      <c r="AE21" s="141">
        <f>'[2]EU Sunflower Exports'!AD$156</f>
        <v>5.9000000000000004E-2</v>
      </c>
      <c r="AF21" s="141">
        <f>'[2]EU Sunflower Exports'!AE$156</f>
        <v>0</v>
      </c>
      <c r="AG21" s="141">
        <f>'[2]EU Sunflower Exports'!AF$156</f>
        <v>0</v>
      </c>
      <c r="AH21" s="141">
        <f>'[2]EU Sunflower Exports'!AG$156</f>
        <v>0</v>
      </c>
      <c r="AI21" s="141">
        <f>'[2]EU Sunflower Exports'!AH$156</f>
        <v>0</v>
      </c>
      <c r="AJ21" s="141">
        <f>'[2]EU Sunflower Exports'!AI$156</f>
        <v>0</v>
      </c>
      <c r="AK21" s="141">
        <f>'[2]EU Sunflower Exports'!AJ$156</f>
        <v>0</v>
      </c>
      <c r="AL21" s="141">
        <f>'[2]EU Sunflower Exports'!AK$156</f>
        <v>0</v>
      </c>
      <c r="AM21" s="141">
        <f>'[2]EU Sunflower Exports'!AL$156</f>
        <v>0</v>
      </c>
      <c r="AN21" s="141">
        <f>'[2]EU Sunflower Exports'!AM$156</f>
        <v>0</v>
      </c>
      <c r="AO21" s="141">
        <f>'[2]EU Sunflower Exports'!AN$156</f>
        <v>0</v>
      </c>
      <c r="AP21" s="141">
        <f>'[2]EU Sunflower Exports'!AO$156</f>
        <v>0</v>
      </c>
      <c r="AQ21" s="141">
        <f>'[2]EU Sunflower Exports'!AP$156</f>
        <v>0</v>
      </c>
      <c r="AR21" s="141">
        <f>'[2]EU Sunflower Exports'!AQ$156</f>
        <v>0</v>
      </c>
      <c r="AS21" s="141">
        <f>'[2]EU Sunflower Exports'!AR$156</f>
        <v>0</v>
      </c>
      <c r="AT21" s="141">
        <f>'[2]EU Sunflower Exports'!AS$156</f>
        <v>0</v>
      </c>
      <c r="AU21" s="141">
        <f>'[2]EU Sunflower Exports'!AT$156</f>
        <v>0</v>
      </c>
      <c r="AV21" s="141">
        <f>'[2]EU Sunflower Exports'!AU$156</f>
        <v>0</v>
      </c>
      <c r="AW21" s="141">
        <f>'[2]EU Sunflower Exports'!AV$156</f>
        <v>0</v>
      </c>
      <c r="AX21" s="141">
        <f>'[2]EU Sunflower Exports'!AW$156</f>
        <v>0</v>
      </c>
      <c r="AY21" s="141">
        <f>'[2]EU Sunflower Exports'!AX$156</f>
        <v>0</v>
      </c>
      <c r="AZ21" s="141">
        <f>'[2]EU Sunflower Exports'!AY$156</f>
        <v>0</v>
      </c>
      <c r="BA21" s="141">
        <f>'[2]EU Sunflower Exports'!AZ$156</f>
        <v>0</v>
      </c>
      <c r="BB21" s="141">
        <f>'[2]EU Sunflower Exports'!BA$156</f>
        <v>0</v>
      </c>
      <c r="BC21" s="141">
        <f>'[2]Ukraine Sunflower Exports'!Z$156</f>
        <v>0</v>
      </c>
      <c r="BD21" s="141">
        <f>'[2]Ukraine Sunflower Exports'!AA$156</f>
        <v>0</v>
      </c>
      <c r="BE21" s="141">
        <f>'[2]Ukraine Sunflower Exports'!AB$156</f>
        <v>0</v>
      </c>
      <c r="BF21" s="141">
        <f>'[2]Ukraine Sunflower Exports'!AC$156</f>
        <v>0</v>
      </c>
      <c r="BG21" s="143">
        <f>'[2]Ukraine Sunflower Exports'!AD$156</f>
        <v>0</v>
      </c>
      <c r="BH21" s="141">
        <f>'[2]Russia Sunflower Exports'!B$156</f>
        <v>0</v>
      </c>
      <c r="BI21" s="141">
        <f>'[2]Russia Sunflower Exports'!C$156</f>
        <v>0</v>
      </c>
      <c r="BJ21" s="141">
        <f>'[2]Russia Sunflower Exports'!D$156</f>
        <v>0</v>
      </c>
      <c r="BK21" s="141">
        <f>'[2]Russia Sunflower Exports'!E$156</f>
        <v>0</v>
      </c>
      <c r="BL21" s="141">
        <f>'[2]Russia Sunflower Exports'!F$156</f>
        <v>0</v>
      </c>
      <c r="BM21" s="141">
        <f>'[2]Russia Sunflower Exports'!G$156</f>
        <v>0</v>
      </c>
      <c r="BN21" s="141">
        <f>'[2]Russia Sunflower Exports'!H$156</f>
        <v>0</v>
      </c>
      <c r="BO21" s="141">
        <f>'[2]Russia Sunflower Exports'!I$156</f>
        <v>0</v>
      </c>
      <c r="BP21" s="141">
        <f>'[2]Russia Sunflower Exports'!J$156</f>
        <v>0</v>
      </c>
      <c r="BQ21" s="141">
        <f>'[2]Russia Sunflower Exports'!K$156</f>
        <v>0</v>
      </c>
      <c r="BR21" s="141">
        <f>'[2]Russia Sunflower Exports'!L$156</f>
        <v>0</v>
      </c>
      <c r="BS21" s="141">
        <f>'[2]Russia Sunflower Exports'!M$156</f>
        <v>0</v>
      </c>
      <c r="BT21" s="141">
        <f>'[2]Russia Sunflower Exports'!N$156</f>
        <v>0</v>
      </c>
      <c r="BU21" s="141">
        <f>'[2]Russia Sunflower Exports'!O$156</f>
        <v>0</v>
      </c>
      <c r="BV21" s="141">
        <f>'[2]Russia Sunflower Exports'!P$156</f>
        <v>0</v>
      </c>
      <c r="BW21" s="141">
        <f>'[2]Russia Sunflower Exports'!Q$156</f>
        <v>0</v>
      </c>
      <c r="BX21" s="141">
        <f>'[2]Russia Sunflower Exports'!R$156</f>
        <v>0</v>
      </c>
      <c r="BY21" s="141">
        <f>'[2]Russia Sunflower Exports'!S$156</f>
        <v>0</v>
      </c>
      <c r="BZ21" s="141">
        <f>'[2]Russia Sunflower Exports'!T$156</f>
        <v>0</v>
      </c>
      <c r="CA21" s="141">
        <f>'[2]Russia Sunflower Exports'!U$156</f>
        <v>0</v>
      </c>
      <c r="CB21" s="141">
        <f>'[2]Russia Sunflower Exports'!V$156</f>
        <v>0.96099999999999997</v>
      </c>
      <c r="CC21" s="141">
        <f>'[2]Russia Sunflower Exports'!W$156</f>
        <v>1.7999999999999999E-2</v>
      </c>
      <c r="CD21" s="141">
        <f>'[2]Russia Sunflower Exports'!X$156</f>
        <v>7.0999999999999994E-2</v>
      </c>
      <c r="CE21" s="141">
        <f>'[2]Russia Sunflower Exports'!Y$156</f>
        <v>1.8000000000000002E-2</v>
      </c>
      <c r="CF21" s="141">
        <f>'[2]Russia Sunflower Exports'!Z$156</f>
        <v>0</v>
      </c>
      <c r="CG21" s="147">
        <f>'[2]Russia Sunflower Exports'!AA$156</f>
        <v>0</v>
      </c>
      <c r="CH21" s="141">
        <f>'[2]Russia Sunflower Exports'!AB$156</f>
        <v>0</v>
      </c>
      <c r="CI21" s="141">
        <f>'[2]Russia Sunflower Exports'!AC$156</f>
        <v>0</v>
      </c>
      <c r="CJ21" s="143">
        <f>'[2]Russia Sunflower Exports'!AD$156</f>
        <v>0</v>
      </c>
      <c r="CK21" s="141">
        <f>'[3]Sunflower Exports'!B$156/2204.622*1000</f>
        <v>0</v>
      </c>
      <c r="CL21" s="141">
        <f>'[3]Sunflower Exports'!C$156/2204.622*1000</f>
        <v>0</v>
      </c>
      <c r="CM21" s="141">
        <f>'[3]Sunflower Exports'!D$156/2204.622*1000</f>
        <v>0</v>
      </c>
      <c r="CN21" s="141">
        <f>'[3]Sunflower Exports'!E$156/2204.622*1000</f>
        <v>0</v>
      </c>
      <c r="CO21" s="141">
        <f>'[3]Sunflower Exports'!F$156/2204.622*1000</f>
        <v>0</v>
      </c>
      <c r="CP21" s="141">
        <f>'[3]Sunflower Exports'!G$156/2204.622*1000</f>
        <v>0</v>
      </c>
      <c r="CQ21" s="141">
        <f>'[3]Sunflower Exports'!H$156/2204.622*1000</f>
        <v>0</v>
      </c>
      <c r="CR21" s="141">
        <f>'[3]Sunflower Exports'!I$156/2204.622*1000</f>
        <v>0</v>
      </c>
      <c r="CS21" s="141">
        <f>'[3]Sunflower Exports'!J$156/2204.622*1000</f>
        <v>0</v>
      </c>
      <c r="CT21" s="141">
        <f>'[3]Sunflower Exports'!K$156/2204.622*1000</f>
        <v>0</v>
      </c>
      <c r="CU21" s="141">
        <f>'[3]Sunflower Exports'!L$156/2204.622*1000</f>
        <v>0</v>
      </c>
      <c r="CV21" s="141">
        <f>'[3]Sunflower Exports'!M$156/2204.622*1000</f>
        <v>0</v>
      </c>
      <c r="CW21" s="141">
        <f>'[3]Sunflower Exports'!N$156/2204.622*1000</f>
        <v>0</v>
      </c>
      <c r="CX21" s="141">
        <f>'[3]Sunflower Exports'!O$156/2204.622*1000</f>
        <v>0</v>
      </c>
      <c r="CY21" s="141">
        <f>'[3]Sunflower Exports'!P$156/2204.622*1000</f>
        <v>0</v>
      </c>
      <c r="CZ21" s="141">
        <f>'[3]Sunflower Exports'!Q$156/2204.622*1000</f>
        <v>0</v>
      </c>
      <c r="DA21" s="141">
        <f>'[3]Sunflower Exports'!R$156/2204.622*1000</f>
        <v>0</v>
      </c>
      <c r="DB21" s="141">
        <f>'[3]Sunflower Exports'!S$156/2204.622*1000</f>
        <v>0</v>
      </c>
      <c r="DC21" s="141">
        <f>'[3]Sunflower Exports'!T$156/2204.622*1000</f>
        <v>0</v>
      </c>
      <c r="DD21" s="141">
        <f>'[3]Sunflower Exports'!U$156/2204.622*1000</f>
        <v>0.12570000000000001</v>
      </c>
      <c r="DE21" s="141">
        <f>'[3]Sunflower Exports'!V$156/2204.622*1000</f>
        <v>0.1041</v>
      </c>
      <c r="DF21" s="141">
        <f>'[3]Sunflower Exports'!W$156/2204.622*1000</f>
        <v>0.10580000000000001</v>
      </c>
      <c r="DG21" s="141">
        <f>'[3]Sunflower Exports'!X$156/2204.622*1000</f>
        <v>0</v>
      </c>
      <c r="DH21" s="141">
        <f>'[3]Sunflower Exports'!Y$156/2204.622*1000</f>
        <v>0</v>
      </c>
      <c r="DI21" s="141">
        <f>'[3]Sunflower Exports'!Z$156/2204.622*1000</f>
        <v>0</v>
      </c>
      <c r="DJ21" s="141">
        <f>'[3]Sunflower Exports'!AA$156/2204.622*1000</f>
        <v>0</v>
      </c>
      <c r="DK21" s="141">
        <f>'[3]Sunflower Exports'!AB$156/2204.622*1000</f>
        <v>0</v>
      </c>
      <c r="DL21" s="141">
        <f>'[3]Sunflower Exports'!AC$156/2204.622*1000</f>
        <v>0</v>
      </c>
      <c r="DM21" s="143">
        <f>'[3]Sunflower Exports'!AD$156/2204.622*1000</f>
        <v>0</v>
      </c>
      <c r="DN21" s="141">
        <f t="shared" si="4"/>
        <v>5.9000000000000004E-2</v>
      </c>
      <c r="DO21" s="141">
        <f t="shared" si="4"/>
        <v>0</v>
      </c>
      <c r="DP21" s="141">
        <f t="shared" si="4"/>
        <v>0</v>
      </c>
      <c r="DQ21" s="141">
        <f t="shared" si="4"/>
        <v>0</v>
      </c>
      <c r="DR21" s="141">
        <f t="shared" si="4"/>
        <v>0</v>
      </c>
      <c r="DS21" s="141">
        <f t="shared" si="4"/>
        <v>0</v>
      </c>
      <c r="DT21" s="141">
        <f t="shared" si="4"/>
        <v>0</v>
      </c>
      <c r="DU21" s="141">
        <f t="shared" si="4"/>
        <v>0</v>
      </c>
      <c r="DV21" s="141">
        <f t="shared" si="4"/>
        <v>0</v>
      </c>
      <c r="DW21" s="141">
        <f t="shared" si="4"/>
        <v>0</v>
      </c>
      <c r="DX21" s="141">
        <f t="shared" si="4"/>
        <v>0</v>
      </c>
      <c r="DY21" s="141">
        <f t="shared" si="4"/>
        <v>0</v>
      </c>
      <c r="DZ21" s="141">
        <f t="shared" si="4"/>
        <v>0</v>
      </c>
      <c r="EA21" s="141">
        <f t="shared" si="4"/>
        <v>0</v>
      </c>
      <c r="EB21" s="141">
        <f t="shared" si="4"/>
        <v>0</v>
      </c>
      <c r="EC21" s="141">
        <f t="shared" si="3"/>
        <v>0</v>
      </c>
      <c r="ED21" s="141">
        <f t="shared" si="1"/>
        <v>0</v>
      </c>
      <c r="EE21" s="141">
        <f t="shared" si="1"/>
        <v>0</v>
      </c>
      <c r="EF21" s="141">
        <f t="shared" si="1"/>
        <v>0</v>
      </c>
      <c r="EG21" s="141">
        <f t="shared" si="1"/>
        <v>0.2177</v>
      </c>
      <c r="EH21" s="141">
        <f t="shared" si="1"/>
        <v>5.6320999999999994</v>
      </c>
      <c r="EI21" s="141">
        <f t="shared" si="1"/>
        <v>3.0648</v>
      </c>
      <c r="EJ21" s="141">
        <f t="shared" si="1"/>
        <v>1.7709999999999999</v>
      </c>
      <c r="EK21" s="141">
        <f t="shared" si="1"/>
        <v>0.42499999999999999</v>
      </c>
      <c r="EL21" s="141">
        <f t="shared" si="1"/>
        <v>0.14899999999999999</v>
      </c>
      <c r="EM21" s="141">
        <f t="shared" si="1"/>
        <v>0.68299999999999994</v>
      </c>
      <c r="EN21" s="141">
        <f t="shared" si="1"/>
        <v>5.1999999999999998E-2</v>
      </c>
      <c r="EO21" s="141">
        <f t="shared" si="1"/>
        <v>9.4E-2</v>
      </c>
      <c r="EP21" s="145">
        <f t="shared" si="1"/>
        <v>0</v>
      </c>
      <c r="EQ21" s="145">
        <v>0</v>
      </c>
      <c r="ES21" s="141">
        <f t="shared" si="2"/>
        <v>0</v>
      </c>
      <c r="ET21" s="141">
        <f t="shared" si="2"/>
        <v>0</v>
      </c>
      <c r="EV21" s="141"/>
      <c r="EW21" s="141"/>
      <c r="FB21" s="107"/>
    </row>
    <row r="22" spans="1:158">
      <c r="A22" s="149" t="s">
        <v>153</v>
      </c>
      <c r="B22" s="146">
        <f>'[2]EU Sunflower Exports'!B$74-SUM(B7:B21)</f>
        <v>0</v>
      </c>
      <c r="C22" s="146">
        <f>'[2]EU Sunflower Exports'!C$74-SUM(C7:C21)</f>
        <v>0</v>
      </c>
      <c r="D22" s="146">
        <f>'[2]EU Sunflower Exports'!D$74-SUM(D7:D21)</f>
        <v>0</v>
      </c>
      <c r="E22" s="146">
        <f>'[2]EU Sunflower Exports'!E$74-SUM(E7:E21)</f>
        <v>0.30700000000000216</v>
      </c>
      <c r="F22" s="146">
        <f>'[2]EU Sunflower Exports'!F$74-SUM(F7:F21)</f>
        <v>0.42199999999999704</v>
      </c>
      <c r="G22" s="146">
        <f>'[2]EU Sunflower Exports'!G$74-SUM(G7:G21)</f>
        <v>0.67799999999999727</v>
      </c>
      <c r="H22" s="146">
        <f>'[2]EU Sunflower Exports'!H$74-SUM(H7:H21)</f>
        <v>12.64200000000001</v>
      </c>
      <c r="I22" s="146">
        <f>'[2]EU Sunflower Exports'!I$74-SUM(I7:I21)</f>
        <v>0.56199999999999761</v>
      </c>
      <c r="J22" s="146">
        <f>'[2]EU Sunflower Exports'!J$74-SUM(J7:J21)</f>
        <v>0.14500000000001023</v>
      </c>
      <c r="K22" s="146">
        <f>'[2]EU Sunflower Exports'!K$74-SUM(K7:K21)</f>
        <v>19.61</v>
      </c>
      <c r="L22" s="146">
        <f>'[2]EU Sunflower Exports'!L$74-SUM(L7:L21)</f>
        <v>62.275000000000006</v>
      </c>
      <c r="M22" s="146">
        <f>'[2]EU Sunflower Exports'!M$74-SUM(M7:M21)</f>
        <v>8.4870000000000232</v>
      </c>
      <c r="N22" s="146">
        <f>'[2]EU Sunflower Exports'!N$74-SUM(N7:N21)</f>
        <v>0.14799999999999613</v>
      </c>
      <c r="O22" s="146">
        <f>'[2]EU Sunflower Exports'!O$74-SUM(O7:O21)</f>
        <v>271.01699999999994</v>
      </c>
      <c r="P22" s="141">
        <f>'[2]EU Sunflower Exports'!P$74-SUM(P7:P21)</f>
        <v>0.34100000000000819</v>
      </c>
      <c r="Q22" s="141">
        <f>'[2]EU Sunflower Exports'!Q$74-SUM(Q7:Q21)</f>
        <v>1.1529999999999632</v>
      </c>
      <c r="R22" s="141">
        <f>'[2]EU Sunflower Exports'!R$74-SUM(R7:R21)</f>
        <v>137.82800000000009</v>
      </c>
      <c r="S22" s="141">
        <f>'[2]EU Sunflower Exports'!S$74-SUM(S7:S21)</f>
        <v>0.64799999999996771</v>
      </c>
      <c r="T22" s="141">
        <f>'[2]EU Sunflower Exports'!T$74-SUM(T7:T21)</f>
        <v>266.16600000000005</v>
      </c>
      <c r="U22" s="141">
        <f>'[2]EU Sunflower Exports'!U$74-SUM(U7:U21)</f>
        <v>1.3479999999999563</v>
      </c>
      <c r="V22" s="141">
        <f>'[2]EU Sunflower Exports'!V$74-SUM(V7:V21)</f>
        <v>226.33800000000002</v>
      </c>
      <c r="W22" s="141">
        <f>'[2]EU Sunflower Exports'!W$74-SUM(W7:W21)</f>
        <v>190.52200000000002</v>
      </c>
      <c r="X22" s="141">
        <f>'[2]EU Sunflower Exports'!X$74-SUM(X7:X21)</f>
        <v>25.448000000000008</v>
      </c>
      <c r="Y22" s="141">
        <f>'[2]EU Sunflower Exports'!Y$74-SUM(Y7:Y21)</f>
        <v>110.904</v>
      </c>
      <c r="Z22" s="141">
        <f>'[2]EU Sunflower Exports'!Z$74-SUM(Z7:Z21)</f>
        <v>76.606999999999971</v>
      </c>
      <c r="AA22" s="141">
        <f>'[2]EU Sunflower Exports'!AA$74-SUM(AA7:AA21)</f>
        <v>21.920000000000016</v>
      </c>
      <c r="AB22" s="141">
        <f>'[2]EU Sunflower Exports'!AB$74-SUM(AB7:AB21)</f>
        <v>39.23399999999998</v>
      </c>
      <c r="AC22" s="141">
        <f>'[2]EU Sunflower Exports'!AC$74-SUM(AC7:AC21)</f>
        <v>87.849000000000046</v>
      </c>
      <c r="AD22" s="143">
        <f>53-7</f>
        <v>46</v>
      </c>
      <c r="AE22" s="141">
        <v>29</v>
      </c>
      <c r="AF22" s="141">
        <v>30</v>
      </c>
      <c r="AG22" s="141">
        <v>31</v>
      </c>
      <c r="AH22" s="141">
        <v>32</v>
      </c>
      <c r="AI22" s="141">
        <v>33</v>
      </c>
      <c r="AJ22" s="141">
        <v>34</v>
      </c>
      <c r="AK22" s="141">
        <v>35</v>
      </c>
      <c r="AL22" s="141">
        <v>36</v>
      </c>
      <c r="AM22" s="141">
        <v>37</v>
      </c>
      <c r="AN22" s="141">
        <v>38</v>
      </c>
      <c r="AO22" s="141">
        <v>39</v>
      </c>
      <c r="AP22" s="141">
        <v>40</v>
      </c>
      <c r="AQ22" s="141">
        <v>41</v>
      </c>
      <c r="AR22" s="141">
        <v>42</v>
      </c>
      <c r="AS22" s="141">
        <v>43</v>
      </c>
      <c r="AT22" s="141">
        <v>44</v>
      </c>
      <c r="AU22" s="141">
        <v>45</v>
      </c>
      <c r="AV22" s="141">
        <v>46</v>
      </c>
      <c r="AW22" s="141">
        <v>47</v>
      </c>
      <c r="AX22" s="141">
        <v>48</v>
      </c>
      <c r="AY22" s="141">
        <v>49</v>
      </c>
      <c r="AZ22" s="141">
        <v>50</v>
      </c>
      <c r="BA22" s="141">
        <v>51</v>
      </c>
      <c r="BB22" s="141">
        <v>52</v>
      </c>
      <c r="BC22" s="141">
        <f>'[2]Ukraine Sunflower Exports'!Z$74-SUM(BC7:BC21)</f>
        <v>2.7259379999999998</v>
      </c>
      <c r="BD22" s="141">
        <f>'[2]Ukraine Sunflower Exports'!AA$74-SUM(BD7:BD21)</f>
        <v>3.0697370000000035</v>
      </c>
      <c r="BE22" s="141">
        <f>'[2]Ukraine Sunflower Exports'!AB$74-SUM(BE7:BE21)</f>
        <v>4.7907750000000018</v>
      </c>
      <c r="BF22" s="141">
        <f>'[2]Ukraine Sunflower Exports'!AC$74-SUM(BF7:BF21)</f>
        <v>2.3643780000000021</v>
      </c>
      <c r="BG22" s="143">
        <v>1</v>
      </c>
      <c r="BH22" s="141">
        <f>'[2]Russia Sunflower Exports'!B$74-SUM(BH7:BH21)</f>
        <v>0</v>
      </c>
      <c r="BI22" s="141">
        <f>'[2]Russia Sunflower Exports'!C$74-SUM(BI7:BI21)</f>
        <v>0</v>
      </c>
      <c r="BJ22" s="141">
        <f>'[2]Russia Sunflower Exports'!D$74-SUM(BJ7:BJ21)</f>
        <v>0</v>
      </c>
      <c r="BK22" s="141">
        <f>'[2]Russia Sunflower Exports'!E$74-SUM(BK7:BK21)</f>
        <v>2.1873319999999836</v>
      </c>
      <c r="BL22" s="141">
        <f>'[2]Russia Sunflower Exports'!F$74-SUM(BL7:BL21)</f>
        <v>0</v>
      </c>
      <c r="BM22" s="141">
        <f>'[2]Russia Sunflower Exports'!G$74-SUM(BM7:BM21)</f>
        <v>8.7747349999999642</v>
      </c>
      <c r="BN22" s="141">
        <f>'[2]Russia Sunflower Exports'!H$74-SUM(BN7:BN21)</f>
        <v>0</v>
      </c>
      <c r="BO22" s="141">
        <f>'[2]Russia Sunflower Exports'!I$74-SUM(BO7:BO21)</f>
        <v>0</v>
      </c>
      <c r="BP22" s="141">
        <f>'[2]Russia Sunflower Exports'!J$74-SUM(BP7:BP21)</f>
        <v>1.8010000000000002</v>
      </c>
      <c r="BQ22" s="141">
        <f>'[2]Russia Sunflower Exports'!K$74-SUM(BQ7:BQ21)</f>
        <v>0</v>
      </c>
      <c r="BR22" s="141">
        <f>'[2]Russia Sunflower Exports'!L$74-SUM(BR7:BR21)</f>
        <v>5.9590000000000174</v>
      </c>
      <c r="BS22" s="141">
        <f>'[2]Russia Sunflower Exports'!M$74-SUM(BS7:BS21)</f>
        <v>3.2000000000000028E-2</v>
      </c>
      <c r="BT22" s="141">
        <f>'[2]Russia Sunflower Exports'!N$74-SUM(BT7:BT21)</f>
        <v>2.1000000000000796E-2</v>
      </c>
      <c r="BU22" s="141">
        <f>'[2]Russia Sunflower Exports'!O$74-SUM(BU7:BU21)</f>
        <v>0</v>
      </c>
      <c r="BV22" s="141">
        <f>'[2]Russia Sunflower Exports'!P$74-SUM(BV7:BV21)</f>
        <v>0</v>
      </c>
      <c r="BW22" s="141">
        <f>'[2]Russia Sunflower Exports'!Q$74-SUM(BW7:BW21)</f>
        <v>1.511000000000001</v>
      </c>
      <c r="BX22" s="141">
        <f>'[2]Russia Sunflower Exports'!R$74-SUM(BX7:BX21)</f>
        <v>5.9999999999999984E-3</v>
      </c>
      <c r="BY22" s="141">
        <f>'[2]Russia Sunflower Exports'!S$74-SUM(BY7:BY21)</f>
        <v>0</v>
      </c>
      <c r="BZ22" s="141">
        <f>'[2]Russia Sunflower Exports'!T$74-SUM(BZ7:BZ21)</f>
        <v>1.6580000000000155</v>
      </c>
      <c r="CA22" s="141">
        <f>'[2]Russia Sunflower Exports'!U$74-SUM(CA7:CA21)</f>
        <v>1.0689999999999991</v>
      </c>
      <c r="CB22" s="141">
        <f>'[2]Russia Sunflower Exports'!V$74-SUM(CB7:CB21)</f>
        <v>4.8810000000000144</v>
      </c>
      <c r="CC22" s="141">
        <f>'[2]Russia Sunflower Exports'!W$74-SUM(CC7:CC21)</f>
        <v>0.13899999999999935</v>
      </c>
      <c r="CD22" s="141">
        <f>'[2]Russia Sunflower Exports'!X$74-SUM(CD7:CD21)</f>
        <v>7.3799999999999955</v>
      </c>
      <c r="CE22" s="141">
        <f>'[2]Russia Sunflower Exports'!Y$74-SUM(CE7:CE21)</f>
        <v>28.634450999999956</v>
      </c>
      <c r="CF22" s="141">
        <f>'[2]Russia Sunflower Exports'!Z$74-SUM(CF7:CF21)</f>
        <v>13.582550999999999</v>
      </c>
      <c r="CG22" s="147">
        <f>'[2]Russia Sunflower Exports'!AA$74-SUM(CG7:CG21)</f>
        <v>0.2851710000000196</v>
      </c>
      <c r="CH22" s="141">
        <f>'[2]Russia Sunflower Exports'!AB$74-SUM(CH7:CH21)</f>
        <v>0.65353900000002341</v>
      </c>
      <c r="CI22" s="141">
        <f>'[2]Russia Sunflower Exports'!AC$74-SUM(CI7:CI21)</f>
        <v>0.45414799999997513</v>
      </c>
      <c r="CJ22" s="143">
        <v>1.7</v>
      </c>
      <c r="CK22" s="141">
        <f>('[3]Sunflower Exports'!B$74/2204.622*1000)-SUM(CK7:CK21)</f>
        <v>2.9121983271000009</v>
      </c>
      <c r="CL22" s="141">
        <f>('[3]Sunflower Exports'!C$74/2204.622*1000)-SUM(CL7:CL21)</f>
        <v>4.3573988204000003</v>
      </c>
      <c r="CM22" s="141">
        <f>('[3]Sunflower Exports'!D$74/2204.622*1000)-SUM(CM7:CM21)</f>
        <v>3.7509987980999986</v>
      </c>
      <c r="CN22" s="141">
        <f>('[3]Sunflower Exports'!E$74/2204.622*1000)-SUM(CN7:CN21)</f>
        <v>6.5753980817000013</v>
      </c>
      <c r="CO22" s="141">
        <f>('[3]Sunflower Exports'!F$74/2204.622*1000)-SUM(CO7:CO21)</f>
        <v>8.416998215300012</v>
      </c>
      <c r="CP22" s="141">
        <f>('[3]Sunflower Exports'!G$74/2204.622*1000)-SUM(CP7:CP21)</f>
        <v>8.4065983387000038</v>
      </c>
      <c r="CQ22" s="141">
        <f>('[3]Sunflower Exports'!H$74/2204.622*1000)-SUM(CQ7:CQ21)</f>
        <v>8.1870977002999972</v>
      </c>
      <c r="CR22" s="141">
        <f>('[3]Sunflower Exports'!I$74/2204.622*1000)-SUM(CR7:CR21)</f>
        <v>6.2535978889999981</v>
      </c>
      <c r="CS22" s="141">
        <f>('[3]Sunflower Exports'!J$74/2204.622*1000)-SUM(CS7:CS21)</f>
        <v>4.0567984211000017</v>
      </c>
      <c r="CT22" s="141">
        <f>('[3]Sunflower Exports'!K$74/2204.622*1000)-SUM(CT7:CT21)</f>
        <v>3.4138987109999981</v>
      </c>
      <c r="CU22" s="141">
        <f>('[3]Sunflower Exports'!L$74/2204.622*1000)-SUM(CU7:CU21)</f>
        <v>2.9400993383000014</v>
      </c>
      <c r="CV22" s="141">
        <f>('[3]Sunflower Exports'!M$74/2204.622*1000)-SUM(CV7:CV21)</f>
        <v>0.93589967700000365</v>
      </c>
      <c r="CW22" s="141">
        <f>('[3]Sunflower Exports'!N$74/2204.622*1000)-SUM(CW7:CW21)</f>
        <v>4.9847994329999992</v>
      </c>
      <c r="CX22" s="141">
        <f>('[3]Sunflower Exports'!O$74/2204.622*1000)-SUM(CX7:CX21)</f>
        <v>7.6096992492000055</v>
      </c>
      <c r="CY22" s="141">
        <f>('[3]Sunflower Exports'!P$74/2204.622*1000)-SUM(CY7:CY21)</f>
        <v>4.1186994291999923</v>
      </c>
      <c r="CZ22" s="141">
        <f>('[3]Sunflower Exports'!Q$74/2204.622*1000)-SUM(CZ7:CZ21)</f>
        <v>4.8524992321000013</v>
      </c>
      <c r="DA22" s="141">
        <f>('[3]Sunflower Exports'!R$74/2204.622*1000)-SUM(DA7:DA21)</f>
        <v>3.6365994675999858</v>
      </c>
      <c r="DB22" s="141">
        <f>('[3]Sunflower Exports'!S$74/2204.622*1000)-SUM(DB7:DB21)</f>
        <v>3.5533993597999967</v>
      </c>
      <c r="DC22" s="141">
        <f>('[3]Sunflower Exports'!T$74/2204.622*1000)-SUM(DC7:DC21)</f>
        <v>3.5031994204000014</v>
      </c>
      <c r="DD22" s="141">
        <f>('[3]Sunflower Exports'!U$74/2204.622*1000)-SUM(DD7:DD21)</f>
        <v>11.353698864000002</v>
      </c>
      <c r="DE22" s="141">
        <f>('[3]Sunflower Exports'!V$74/2204.622*1000)-SUM(DE7:DE21)</f>
        <v>5.9737996238000086</v>
      </c>
      <c r="DF22" s="141">
        <f>('[3]Sunflower Exports'!W$74/2204.622*1000)-SUM(DF7:DF21)</f>
        <v>7.1078998095999957</v>
      </c>
      <c r="DG22" s="141">
        <f>('[3]Sunflower Exports'!X$74/2204.622*1000)-SUM(DG7:DG21)</f>
        <v>9.8842998883999975</v>
      </c>
      <c r="DH22" s="141">
        <f>('[3]Sunflower Exports'!Y$74/2204.622*1000)-SUM(DH7:DH21)</f>
        <v>0.97224184426820592</v>
      </c>
      <c r="DI22" s="141">
        <f>('[3]Sunflower Exports'!Z$74/2204.622*1000)-SUM(DI7:DI21)</f>
        <v>0.51579251136834614</v>
      </c>
      <c r="DJ22" s="141">
        <f>('[3]Sunflower Exports'!AA$74/2204.622*1000)-SUM(DJ7:DJ21)</f>
        <v>0.25008777312391928</v>
      </c>
      <c r="DK22" s="141">
        <f>('[3]Sunflower Exports'!AB$74/2204.622*1000)-SUM(DK7:DK21)</f>
        <v>0.16577984760787245</v>
      </c>
      <c r="DL22" s="141">
        <f>('[3]Sunflower Exports'!AC$74/2204.622*1000)-SUM(DL7:DL21)</f>
        <v>0.2650664791365589</v>
      </c>
      <c r="DM22" s="143">
        <v>0</v>
      </c>
      <c r="DN22" s="141">
        <f t="shared" si="4"/>
        <v>31.9121983271</v>
      </c>
      <c r="DO22" s="141">
        <f t="shared" si="4"/>
        <v>34.3573988204</v>
      </c>
      <c r="DP22" s="141">
        <f t="shared" si="4"/>
        <v>34.750998798099999</v>
      </c>
      <c r="DQ22" s="141">
        <f t="shared" si="4"/>
        <v>41.069730081699987</v>
      </c>
      <c r="DR22" s="141">
        <f t="shared" si="4"/>
        <v>41.838998215300009</v>
      </c>
      <c r="DS22" s="141">
        <f t="shared" si="4"/>
        <v>51.859333338699969</v>
      </c>
      <c r="DT22" s="141">
        <f t="shared" si="4"/>
        <v>55.829097700300011</v>
      </c>
      <c r="DU22" s="141">
        <f t="shared" si="4"/>
        <v>42.815597888999996</v>
      </c>
      <c r="DV22" s="141">
        <f t="shared" si="4"/>
        <v>43.00279842110001</v>
      </c>
      <c r="DW22" s="141">
        <f t="shared" si="4"/>
        <v>61.023898711000001</v>
      </c>
      <c r="DX22" s="141">
        <f t="shared" si="4"/>
        <v>110.17409933830002</v>
      </c>
      <c r="DY22" s="141">
        <f t="shared" si="4"/>
        <v>49.454899677000022</v>
      </c>
      <c r="DZ22" s="141">
        <f t="shared" si="4"/>
        <v>46.153799432999996</v>
      </c>
      <c r="EA22" s="141">
        <f t="shared" si="4"/>
        <v>320.62669924919993</v>
      </c>
      <c r="EB22" s="141">
        <f t="shared" si="4"/>
        <v>47.459699429200001</v>
      </c>
      <c r="EC22" s="141">
        <f t="shared" si="3"/>
        <v>51.516499232099967</v>
      </c>
      <c r="ED22" s="141">
        <f t="shared" si="1"/>
        <v>186.47059946760007</v>
      </c>
      <c r="EE22" s="141">
        <f t="shared" si="1"/>
        <v>50.201399359799964</v>
      </c>
      <c r="EF22" s="141">
        <f t="shared" si="1"/>
        <v>318.32719942040006</v>
      </c>
      <c r="EG22" s="141">
        <f t="shared" si="1"/>
        <v>61.770698863999961</v>
      </c>
      <c r="EH22" s="141">
        <f t="shared" si="1"/>
        <v>286.19279962380006</v>
      </c>
      <c r="EI22" s="141">
        <f t="shared" si="1"/>
        <v>247.76889980960001</v>
      </c>
      <c r="EJ22" s="141">
        <f t="shared" si="1"/>
        <v>93.712299888399997</v>
      </c>
      <c r="EK22" s="141">
        <f t="shared" si="1"/>
        <v>192.51069284426816</v>
      </c>
      <c r="EL22" s="141">
        <f t="shared" si="1"/>
        <v>93.431281511368311</v>
      </c>
      <c r="EM22" s="141">
        <f t="shared" si="1"/>
        <v>25.524995773123958</v>
      </c>
      <c r="EN22" s="141">
        <f t="shared" si="1"/>
        <v>44.84409384760788</v>
      </c>
      <c r="EO22" s="141">
        <f t="shared" si="1"/>
        <v>90.932592479136588</v>
      </c>
      <c r="EP22" s="145">
        <f t="shared" si="1"/>
        <v>48.7</v>
      </c>
      <c r="EQ22" s="145">
        <v>50</v>
      </c>
      <c r="ES22" s="141">
        <f t="shared" si="2"/>
        <v>0</v>
      </c>
      <c r="ET22" s="141">
        <f t="shared" si="2"/>
        <v>0</v>
      </c>
      <c r="EV22" s="141"/>
      <c r="EW22" s="141"/>
      <c r="FB22" s="107"/>
    </row>
    <row r="23" spans="1:158">
      <c r="A23" s="148" t="s">
        <v>154</v>
      </c>
      <c r="B23" s="146">
        <f>'[2]EU Sunflower Exports'!B$165</f>
        <v>0</v>
      </c>
      <c r="C23" s="146">
        <f>'[2]EU Sunflower Exports'!C$165</f>
        <v>0</v>
      </c>
      <c r="D23" s="146">
        <f>'[2]EU Sunflower Exports'!D$165</f>
        <v>0</v>
      </c>
      <c r="E23" s="146">
        <f>'[2]EU Sunflower Exports'!E$165</f>
        <v>3.0000000000000002E-2</v>
      </c>
      <c r="F23" s="146">
        <f>'[2]EU Sunflower Exports'!F$165</f>
        <v>2.7E-2</v>
      </c>
      <c r="G23" s="146">
        <f>'[2]EU Sunflower Exports'!G$165</f>
        <v>3.0000000000000001E-3</v>
      </c>
      <c r="H23" s="146">
        <f>'[2]EU Sunflower Exports'!H$165</f>
        <v>0.14099999999999999</v>
      </c>
      <c r="I23" s="146">
        <f>'[2]EU Sunflower Exports'!I$165</f>
        <v>0.57400000000000007</v>
      </c>
      <c r="J23" s="146">
        <f>'[2]EU Sunflower Exports'!J$165</f>
        <v>0.16900000000000001</v>
      </c>
      <c r="K23" s="146">
        <f>'[2]EU Sunflower Exports'!K$165</f>
        <v>0.05</v>
      </c>
      <c r="L23" s="146">
        <f>'[2]EU Sunflower Exports'!L$165</f>
        <v>0</v>
      </c>
      <c r="M23" s="146">
        <f>'[2]EU Sunflower Exports'!M$165</f>
        <v>5.6000000000000001E-2</v>
      </c>
      <c r="N23" s="146">
        <f>'[2]EU Sunflower Exports'!N$165</f>
        <v>4.0000000000000001E-3</v>
      </c>
      <c r="O23" s="146">
        <f>'[2]EU Sunflower Exports'!O$165</f>
        <v>0.29200000000000004</v>
      </c>
      <c r="P23" s="141">
        <f>'[2]EU Sunflower Exports'!P$165</f>
        <v>1.0999999999999999E-2</v>
      </c>
      <c r="Q23" s="141">
        <f>'[2]EU Sunflower Exports'!Q$165</f>
        <v>0.188</v>
      </c>
      <c r="R23" s="141">
        <f>'[2]EU Sunflower Exports'!R$165</f>
        <v>0.439</v>
      </c>
      <c r="S23" s="141">
        <f>'[2]EU Sunflower Exports'!S$165</f>
        <v>0.38600000000000001</v>
      </c>
      <c r="T23" s="141">
        <f>'[2]EU Sunflower Exports'!T$165</f>
        <v>0.17700000000000002</v>
      </c>
      <c r="U23" s="141">
        <f>'[2]EU Sunflower Exports'!U$165</f>
        <v>0.11499999999999999</v>
      </c>
      <c r="V23" s="141">
        <f>'[2]EU Sunflower Exports'!V$165</f>
        <v>0.11099999999999999</v>
      </c>
      <c r="W23" s="141">
        <f>'[2]EU Sunflower Exports'!W$165</f>
        <v>0.51800000000000002</v>
      </c>
      <c r="X23" s="141">
        <f>'[2]EU Sunflower Exports'!X$165</f>
        <v>0.217</v>
      </c>
      <c r="Y23" s="141">
        <f>'[2]EU Sunflower Exports'!Y$165</f>
        <v>4.4999999999999998E-2</v>
      </c>
      <c r="Z23" s="141">
        <f>'[2]EU Sunflower Exports'!Z$165</f>
        <v>1.9000000000000003E-2</v>
      </c>
      <c r="AA23" s="141">
        <f>'[2]EU Sunflower Exports'!AA$165</f>
        <v>0.28100000000000003</v>
      </c>
      <c r="AB23" s="141">
        <f>'[2]EU Sunflower Exports'!AB$165</f>
        <v>0.29400000000000004</v>
      </c>
      <c r="AC23" s="141">
        <f>'[2]EU Sunflower Exports'!AC$165</f>
        <v>0.19800000000000001</v>
      </c>
      <c r="AD23" s="143">
        <f>'[2]EU Sunflower Exports'!BB$165</f>
        <v>0</v>
      </c>
      <c r="AE23" s="141">
        <f>'[2]EU Sunflower Exports'!AD$165</f>
        <v>7.0000000000000007E-2</v>
      </c>
      <c r="AF23" s="141">
        <f>'[2]EU Sunflower Exports'!AE$165</f>
        <v>0</v>
      </c>
      <c r="AG23" s="141">
        <f>'[2]EU Sunflower Exports'!AF$165</f>
        <v>0</v>
      </c>
      <c r="AH23" s="141">
        <f>'[2]EU Sunflower Exports'!AG$165</f>
        <v>0</v>
      </c>
      <c r="AI23" s="141">
        <f>'[2]EU Sunflower Exports'!AH$165</f>
        <v>0</v>
      </c>
      <c r="AJ23" s="141">
        <f>'[2]EU Sunflower Exports'!AI$165</f>
        <v>0</v>
      </c>
      <c r="AK23" s="141">
        <f>'[2]EU Sunflower Exports'!AJ$165</f>
        <v>0</v>
      </c>
      <c r="AL23" s="141">
        <f>'[2]EU Sunflower Exports'!AK$165</f>
        <v>0</v>
      </c>
      <c r="AM23" s="141">
        <f>'[2]EU Sunflower Exports'!AL$165</f>
        <v>0</v>
      </c>
      <c r="AN23" s="141">
        <f>'[2]EU Sunflower Exports'!AM$165</f>
        <v>0</v>
      </c>
      <c r="AO23" s="141">
        <f>'[2]EU Sunflower Exports'!AN$165</f>
        <v>0</v>
      </c>
      <c r="AP23" s="141">
        <f>'[2]EU Sunflower Exports'!AO$165</f>
        <v>0</v>
      </c>
      <c r="AQ23" s="141">
        <f>'[2]EU Sunflower Exports'!AP$165</f>
        <v>0</v>
      </c>
      <c r="AR23" s="141">
        <f>'[2]EU Sunflower Exports'!AQ$165</f>
        <v>0</v>
      </c>
      <c r="AS23" s="141">
        <f>'[2]EU Sunflower Exports'!AR$165</f>
        <v>0</v>
      </c>
      <c r="AT23" s="141">
        <f>'[2]EU Sunflower Exports'!AS$165</f>
        <v>0</v>
      </c>
      <c r="AU23" s="141">
        <f>'[2]EU Sunflower Exports'!AT$165</f>
        <v>0</v>
      </c>
      <c r="AV23" s="141">
        <f>'[2]EU Sunflower Exports'!AU$165</f>
        <v>0</v>
      </c>
      <c r="AW23" s="141">
        <f>'[2]EU Sunflower Exports'!AV$165</f>
        <v>0</v>
      </c>
      <c r="AX23" s="141">
        <f>'[2]EU Sunflower Exports'!AW$165</f>
        <v>0</v>
      </c>
      <c r="AY23" s="141">
        <f>'[2]EU Sunflower Exports'!AX$165</f>
        <v>0</v>
      </c>
      <c r="AZ23" s="141">
        <f>'[2]EU Sunflower Exports'!AY$165</f>
        <v>0</v>
      </c>
      <c r="BA23" s="141">
        <f>'[2]EU Sunflower Exports'!AZ$165</f>
        <v>0</v>
      </c>
      <c r="BB23" s="141">
        <f>'[2]EU Sunflower Exports'!BA$165</f>
        <v>0</v>
      </c>
      <c r="BC23" s="141">
        <f>'[2]Ukraine Sunflower Exports'!Z$165</f>
        <v>9.6000000000000002E-2</v>
      </c>
      <c r="BD23" s="141">
        <f>'[2]Ukraine Sunflower Exports'!AA$165</f>
        <v>0</v>
      </c>
      <c r="BE23" s="141">
        <f>'[2]Ukraine Sunflower Exports'!AB$165</f>
        <v>0</v>
      </c>
      <c r="BF23" s="141">
        <f>'[2]Ukraine Sunflower Exports'!AC$165</f>
        <v>0</v>
      </c>
      <c r="BG23" s="143">
        <f>'[2]Ukraine Sunflower Exports'!AD$165</f>
        <v>0</v>
      </c>
      <c r="BH23" s="141">
        <f>'[2]Russia Sunflower Exports'!B$165</f>
        <v>0</v>
      </c>
      <c r="BI23" s="141">
        <f>'[2]Russia Sunflower Exports'!C$165</f>
        <v>0</v>
      </c>
      <c r="BJ23" s="141">
        <f>'[2]Russia Sunflower Exports'!D$165</f>
        <v>0</v>
      </c>
      <c r="BK23" s="141">
        <f>'[2]Russia Sunflower Exports'!E$165</f>
        <v>0</v>
      </c>
      <c r="BL23" s="141">
        <f>'[2]Russia Sunflower Exports'!F$165</f>
        <v>0</v>
      </c>
      <c r="BM23" s="141">
        <f>'[2]Russia Sunflower Exports'!G$165</f>
        <v>0</v>
      </c>
      <c r="BN23" s="141">
        <f>'[2]Russia Sunflower Exports'!H$165</f>
        <v>0</v>
      </c>
      <c r="BO23" s="141">
        <f>'[2]Russia Sunflower Exports'!I$165</f>
        <v>0</v>
      </c>
      <c r="BP23" s="141">
        <f>'[2]Russia Sunflower Exports'!J$165</f>
        <v>0</v>
      </c>
      <c r="BQ23" s="141">
        <f>'[2]Russia Sunflower Exports'!K$165</f>
        <v>0</v>
      </c>
      <c r="BR23" s="141">
        <f>'[2]Russia Sunflower Exports'!L$165</f>
        <v>0</v>
      </c>
      <c r="BS23" s="141">
        <f>'[2]Russia Sunflower Exports'!M$165</f>
        <v>0</v>
      </c>
      <c r="BT23" s="141">
        <f>'[2]Russia Sunflower Exports'!N$165</f>
        <v>0</v>
      </c>
      <c r="BU23" s="141">
        <f>'[2]Russia Sunflower Exports'!O$165</f>
        <v>0</v>
      </c>
      <c r="BV23" s="141">
        <f>'[2]Russia Sunflower Exports'!P$165</f>
        <v>0</v>
      </c>
      <c r="BW23" s="141">
        <f>'[2]Russia Sunflower Exports'!Q$165</f>
        <v>0</v>
      </c>
      <c r="BX23" s="141">
        <f>'[2]Russia Sunflower Exports'!R$165</f>
        <v>0</v>
      </c>
      <c r="BY23" s="141">
        <f>'[2]Russia Sunflower Exports'!S$165</f>
        <v>0</v>
      </c>
      <c r="BZ23" s="141">
        <f>'[2]Russia Sunflower Exports'!T$165</f>
        <v>0</v>
      </c>
      <c r="CA23" s="141">
        <f>'[2]Russia Sunflower Exports'!U$165</f>
        <v>0</v>
      </c>
      <c r="CB23" s="141">
        <f>'[2]Russia Sunflower Exports'!V$165</f>
        <v>0</v>
      </c>
      <c r="CC23" s="141">
        <f>'[2]Russia Sunflower Exports'!W$165</f>
        <v>0</v>
      </c>
      <c r="CD23" s="141">
        <f>'[2]Russia Sunflower Exports'!X$165</f>
        <v>0</v>
      </c>
      <c r="CE23" s="141">
        <f>'[2]Russia Sunflower Exports'!Y$165</f>
        <v>0</v>
      </c>
      <c r="CF23" s="141">
        <f>'[2]Russia Sunflower Exports'!Z$165</f>
        <v>0</v>
      </c>
      <c r="CG23" s="147">
        <f>'[2]Russia Sunflower Exports'!AA$165</f>
        <v>0</v>
      </c>
      <c r="CH23" s="141">
        <f>'[2]Russia Sunflower Exports'!AB$165</f>
        <v>0</v>
      </c>
      <c r="CI23" s="141">
        <f>'[2]Russia Sunflower Exports'!AC$165</f>
        <v>0</v>
      </c>
      <c r="CJ23" s="143">
        <f>'[2]Russia Sunflower Exports'!AD$165</f>
        <v>0</v>
      </c>
      <c r="CK23" s="141">
        <f>'[3]Sunflower Exports'!B$165/2204.622*1000</f>
        <v>0</v>
      </c>
      <c r="CL23" s="141">
        <f>'[3]Sunflower Exports'!C$165/2204.622*1000</f>
        <v>0</v>
      </c>
      <c r="CM23" s="141">
        <f>'[3]Sunflower Exports'!D$165/2204.622*1000</f>
        <v>0</v>
      </c>
      <c r="CN23" s="141">
        <f>'[3]Sunflower Exports'!E$165/2204.622*1000</f>
        <v>0</v>
      </c>
      <c r="CO23" s="141">
        <f>'[3]Sunflower Exports'!F$165/2204.622*1000</f>
        <v>0</v>
      </c>
      <c r="CP23" s="141">
        <f>'[3]Sunflower Exports'!G$165/2204.622*1000</f>
        <v>0</v>
      </c>
      <c r="CQ23" s="141">
        <f>'[3]Sunflower Exports'!H$165/2204.622*1000</f>
        <v>1.7000000000000001E-2</v>
      </c>
      <c r="CR23" s="141">
        <f>'[3]Sunflower Exports'!I$165/2204.622*1000</f>
        <v>12.562000000000001</v>
      </c>
      <c r="CS23" s="141">
        <f>'[3]Sunflower Exports'!J$165/2204.622*1000</f>
        <v>0.15959999999999999</v>
      </c>
      <c r="CT23" s="141">
        <f>'[3]Sunflower Exports'!K$165/2204.622*1000</f>
        <v>0</v>
      </c>
      <c r="CU23" s="141">
        <f>'[3]Sunflower Exports'!L$165/2204.622*1000</f>
        <v>0</v>
      </c>
      <c r="CV23" s="141">
        <f>'[3]Sunflower Exports'!M$165/2204.622*1000</f>
        <v>0</v>
      </c>
      <c r="CW23" s="141">
        <f>'[3]Sunflower Exports'!N$165/2204.622*1000</f>
        <v>0</v>
      </c>
      <c r="CX23" s="141">
        <f>'[3]Sunflower Exports'!O$165/2204.622*1000</f>
        <v>2.0800000000000003E-2</v>
      </c>
      <c r="CY23" s="141">
        <f>'[3]Sunflower Exports'!P$165/2204.622*1000</f>
        <v>0</v>
      </c>
      <c r="CZ23" s="141">
        <f>'[3]Sunflower Exports'!Q$165/2204.622*1000</f>
        <v>0</v>
      </c>
      <c r="DA23" s="141">
        <f>'[3]Sunflower Exports'!R$165/2204.622*1000</f>
        <v>0</v>
      </c>
      <c r="DB23" s="141">
        <f>'[3]Sunflower Exports'!S$165/2204.622*1000</f>
        <v>0</v>
      </c>
      <c r="DC23" s="141">
        <f>'[3]Sunflower Exports'!T$165/2204.622*1000</f>
        <v>0</v>
      </c>
      <c r="DD23" s="141">
        <f>'[3]Sunflower Exports'!U$165/2204.622*1000</f>
        <v>0</v>
      </c>
      <c r="DE23" s="141">
        <f>'[3]Sunflower Exports'!V$165/2204.622*1000</f>
        <v>0.02</v>
      </c>
      <c r="DF23" s="141">
        <f>'[3]Sunflower Exports'!W$165/2204.622*1000</f>
        <v>0</v>
      </c>
      <c r="DG23" s="141">
        <f>'[3]Sunflower Exports'!X$165/2204.622*1000</f>
        <v>0.20320000000000002</v>
      </c>
      <c r="DH23" s="141">
        <f>'[3]Sunflower Exports'!Y$165/2204.622*1000</f>
        <v>0</v>
      </c>
      <c r="DI23" s="141">
        <f>'[3]Sunflower Exports'!Z$165/2204.622*1000</f>
        <v>0</v>
      </c>
      <c r="DJ23" s="141">
        <f>'[3]Sunflower Exports'!AA$165/2204.622*1000</f>
        <v>0</v>
      </c>
      <c r="DK23" s="141">
        <f>'[3]Sunflower Exports'!AB$165/2204.622*1000</f>
        <v>0</v>
      </c>
      <c r="DL23" s="141">
        <f>'[3]Sunflower Exports'!AC$165/2204.622*1000</f>
        <v>0</v>
      </c>
      <c r="DM23" s="143">
        <f>'[3]Sunflower Exports'!AD$165/2204.622*1000</f>
        <v>0</v>
      </c>
      <c r="DN23" s="141">
        <f t="shared" si="4"/>
        <v>7.0000000000000007E-2</v>
      </c>
      <c r="DO23" s="141">
        <f t="shared" si="4"/>
        <v>0</v>
      </c>
      <c r="DP23" s="141">
        <f t="shared" si="4"/>
        <v>0</v>
      </c>
      <c r="DQ23" s="141">
        <f t="shared" si="4"/>
        <v>3.0000000000000002E-2</v>
      </c>
      <c r="DR23" s="141">
        <f t="shared" si="4"/>
        <v>2.7E-2</v>
      </c>
      <c r="DS23" s="141">
        <f t="shared" si="4"/>
        <v>3.0000000000000001E-3</v>
      </c>
      <c r="DT23" s="141">
        <f t="shared" si="4"/>
        <v>0.15799999999999997</v>
      </c>
      <c r="DU23" s="141">
        <f t="shared" si="4"/>
        <v>13.136000000000001</v>
      </c>
      <c r="DV23" s="141">
        <f t="shared" si="4"/>
        <v>0.3286</v>
      </c>
      <c r="DW23" s="141">
        <f t="shared" si="4"/>
        <v>0.05</v>
      </c>
      <c r="DX23" s="141">
        <f t="shared" si="4"/>
        <v>0</v>
      </c>
      <c r="DY23" s="141">
        <f t="shared" si="4"/>
        <v>5.6000000000000001E-2</v>
      </c>
      <c r="DZ23" s="141">
        <f t="shared" si="4"/>
        <v>4.0000000000000001E-3</v>
      </c>
      <c r="EA23" s="141">
        <f t="shared" si="4"/>
        <v>0.31280000000000002</v>
      </c>
      <c r="EB23" s="141">
        <f t="shared" si="4"/>
        <v>1.0999999999999999E-2</v>
      </c>
      <c r="EC23" s="141">
        <f t="shared" si="3"/>
        <v>0.188</v>
      </c>
      <c r="ED23" s="141">
        <f t="shared" si="1"/>
        <v>0.439</v>
      </c>
      <c r="EE23" s="141">
        <f t="shared" si="1"/>
        <v>0.38600000000000001</v>
      </c>
      <c r="EF23" s="141">
        <f t="shared" si="1"/>
        <v>0.17700000000000002</v>
      </c>
      <c r="EG23" s="141">
        <f t="shared" si="1"/>
        <v>0.11499999999999999</v>
      </c>
      <c r="EH23" s="141">
        <f t="shared" si="1"/>
        <v>0.13099999999999998</v>
      </c>
      <c r="EI23" s="141">
        <f t="shared" si="1"/>
        <v>0.51800000000000002</v>
      </c>
      <c r="EJ23" s="141">
        <f t="shared" si="1"/>
        <v>0.42020000000000002</v>
      </c>
      <c r="EK23" s="141">
        <f t="shared" si="1"/>
        <v>4.4999999999999998E-2</v>
      </c>
      <c r="EL23" s="141">
        <f t="shared" si="1"/>
        <v>0.115</v>
      </c>
      <c r="EM23" s="141">
        <f t="shared" si="1"/>
        <v>0.28100000000000003</v>
      </c>
      <c r="EN23" s="141">
        <f t="shared" si="1"/>
        <v>0.29400000000000004</v>
      </c>
      <c r="EO23" s="141">
        <f t="shared" ref="EN23:EP59" si="5">SUM(AC23,BF23,CI23,DL23)</f>
        <v>0.19800000000000001</v>
      </c>
      <c r="EP23" s="145">
        <f t="shared" si="5"/>
        <v>0</v>
      </c>
      <c r="EQ23" s="145">
        <v>0</v>
      </c>
      <c r="ES23" s="141">
        <f t="shared" si="2"/>
        <v>0</v>
      </c>
      <c r="ET23" s="141">
        <f t="shared" si="2"/>
        <v>0</v>
      </c>
      <c r="EV23" s="141"/>
      <c r="EW23" s="141"/>
      <c r="FB23" s="107"/>
    </row>
    <row r="24" spans="1:158">
      <c r="A24" s="149" t="s">
        <v>155</v>
      </c>
      <c r="B24" s="146">
        <f>'[2]EU Sunflower Exports'!B$184</f>
        <v>0</v>
      </c>
      <c r="C24" s="146">
        <f>'[2]EU Sunflower Exports'!C$184</f>
        <v>0</v>
      </c>
      <c r="D24" s="146">
        <f>'[2]EU Sunflower Exports'!D$184</f>
        <v>0</v>
      </c>
      <c r="E24" s="146">
        <f>'[2]EU Sunflower Exports'!E$184</f>
        <v>1E-3</v>
      </c>
      <c r="F24" s="146">
        <f>'[2]EU Sunflower Exports'!F$184</f>
        <v>0</v>
      </c>
      <c r="G24" s="146">
        <f>'[2]EU Sunflower Exports'!G$184</f>
        <v>0</v>
      </c>
      <c r="H24" s="146">
        <f>'[2]EU Sunflower Exports'!H$184</f>
        <v>1.4999999999999999E-2</v>
      </c>
      <c r="I24" s="146">
        <f>'[2]EU Sunflower Exports'!I$184</f>
        <v>0</v>
      </c>
      <c r="J24" s="146">
        <f>'[2]EU Sunflower Exports'!J$184</f>
        <v>0</v>
      </c>
      <c r="K24" s="146">
        <f>'[2]EU Sunflower Exports'!K$184</f>
        <v>0</v>
      </c>
      <c r="L24" s="146">
        <f>'[2]EU Sunflower Exports'!L$184</f>
        <v>0</v>
      </c>
      <c r="M24" s="146">
        <f>'[2]EU Sunflower Exports'!M$184</f>
        <v>8.6999999999999994E-2</v>
      </c>
      <c r="N24" s="146">
        <f>'[2]EU Sunflower Exports'!N$184</f>
        <v>2E-3</v>
      </c>
      <c r="O24" s="146">
        <f>'[2]EU Sunflower Exports'!O$184</f>
        <v>0.124</v>
      </c>
      <c r="P24" s="141">
        <f>'[2]EU Sunflower Exports'!P$184</f>
        <v>6.9000000000000006E-2</v>
      </c>
      <c r="Q24" s="141">
        <f>'[2]EU Sunflower Exports'!Q$184</f>
        <v>0</v>
      </c>
      <c r="R24" s="141">
        <f>'[2]EU Sunflower Exports'!R$184</f>
        <v>4.4000000000000004E-2</v>
      </c>
      <c r="S24" s="141">
        <f>'[2]EU Sunflower Exports'!S$184</f>
        <v>4.1999999999999996E-2</v>
      </c>
      <c r="T24" s="141">
        <f>'[2]EU Sunflower Exports'!T$184</f>
        <v>0.127</v>
      </c>
      <c r="U24" s="141">
        <f>'[2]EU Sunflower Exports'!U$184</f>
        <v>2.5999999999999999E-2</v>
      </c>
      <c r="V24" s="141">
        <f>'[2]EU Sunflower Exports'!V$184</f>
        <v>0.27599999999999997</v>
      </c>
      <c r="W24" s="141">
        <f>'[2]EU Sunflower Exports'!W$184</f>
        <v>0.13100000000000001</v>
      </c>
      <c r="X24" s="141">
        <f>'[2]EU Sunflower Exports'!X$184</f>
        <v>0.97899999999999987</v>
      </c>
      <c r="Y24" s="141">
        <f>'[2]EU Sunflower Exports'!Y$184</f>
        <v>2.2039999999999997</v>
      </c>
      <c r="Z24" s="141">
        <f>'[2]EU Sunflower Exports'!Z$184</f>
        <v>19.634999999999998</v>
      </c>
      <c r="AA24" s="141">
        <f>'[2]EU Sunflower Exports'!AA$184</f>
        <v>1.1020000000000001</v>
      </c>
      <c r="AB24" s="141">
        <f>'[2]EU Sunflower Exports'!AB$184</f>
        <v>1.151</v>
      </c>
      <c r="AC24" s="141">
        <f>'[2]EU Sunflower Exports'!AC$184</f>
        <v>0.65700000000000003</v>
      </c>
      <c r="AD24" s="143">
        <f>'[2]EU Sunflower Exports'!BB$184</f>
        <v>0</v>
      </c>
      <c r="AE24" s="141">
        <f>'[2]EU Sunflower Exports'!AD$184</f>
        <v>7.6589999999999998</v>
      </c>
      <c r="AF24" s="141">
        <f>'[2]EU Sunflower Exports'!AE$184</f>
        <v>0</v>
      </c>
      <c r="AG24" s="141">
        <f>'[2]EU Sunflower Exports'!AF$184</f>
        <v>0</v>
      </c>
      <c r="AH24" s="141">
        <f>'[2]EU Sunflower Exports'!AG$184</f>
        <v>0</v>
      </c>
      <c r="AI24" s="141">
        <f>'[2]EU Sunflower Exports'!AH$184</f>
        <v>0</v>
      </c>
      <c r="AJ24" s="141">
        <f>'[2]EU Sunflower Exports'!AI$184</f>
        <v>0</v>
      </c>
      <c r="AK24" s="141">
        <f>'[2]EU Sunflower Exports'!AJ$184</f>
        <v>0</v>
      </c>
      <c r="AL24" s="141">
        <f>'[2]EU Sunflower Exports'!AK$184</f>
        <v>0</v>
      </c>
      <c r="AM24" s="141">
        <f>'[2]EU Sunflower Exports'!AL$184</f>
        <v>0</v>
      </c>
      <c r="AN24" s="141">
        <f>'[2]EU Sunflower Exports'!AM$184</f>
        <v>0</v>
      </c>
      <c r="AO24" s="141">
        <f>'[2]EU Sunflower Exports'!AN$184</f>
        <v>0</v>
      </c>
      <c r="AP24" s="141">
        <f>'[2]EU Sunflower Exports'!AO$184</f>
        <v>0</v>
      </c>
      <c r="AQ24" s="141">
        <f>'[2]EU Sunflower Exports'!AP$184</f>
        <v>0</v>
      </c>
      <c r="AR24" s="141">
        <f>'[2]EU Sunflower Exports'!AQ$184</f>
        <v>0</v>
      </c>
      <c r="AS24" s="141">
        <f>'[2]EU Sunflower Exports'!AR$184</f>
        <v>0</v>
      </c>
      <c r="AT24" s="141">
        <f>'[2]EU Sunflower Exports'!AS$184</f>
        <v>0</v>
      </c>
      <c r="AU24" s="141">
        <f>'[2]EU Sunflower Exports'!AT$184</f>
        <v>0</v>
      </c>
      <c r="AV24" s="141">
        <f>'[2]EU Sunflower Exports'!AU$184</f>
        <v>0</v>
      </c>
      <c r="AW24" s="141">
        <f>'[2]EU Sunflower Exports'!AV$184</f>
        <v>0</v>
      </c>
      <c r="AX24" s="141">
        <f>'[2]EU Sunflower Exports'!AW$184</f>
        <v>0</v>
      </c>
      <c r="AY24" s="141">
        <f>'[2]EU Sunflower Exports'!AX$184</f>
        <v>0</v>
      </c>
      <c r="AZ24" s="141">
        <f>'[2]EU Sunflower Exports'!AY$184</f>
        <v>0</v>
      </c>
      <c r="BA24" s="141">
        <f>'[2]EU Sunflower Exports'!AZ$184</f>
        <v>0</v>
      </c>
      <c r="BB24" s="141">
        <f>'[2]EU Sunflower Exports'!BA$184</f>
        <v>0</v>
      </c>
      <c r="BC24" s="141">
        <f>'[2]Ukraine Sunflower Exports'!Z$184</f>
        <v>0.5986800000000001</v>
      </c>
      <c r="BD24" s="141">
        <f>'[2]Ukraine Sunflower Exports'!AA$184</f>
        <v>0.56418299999999999</v>
      </c>
      <c r="BE24" s="141">
        <f>'[2]Ukraine Sunflower Exports'!AB$184</f>
        <v>0.24387500000000001</v>
      </c>
      <c r="BF24" s="141">
        <f>'[2]Ukraine Sunflower Exports'!AC$184</f>
        <v>0</v>
      </c>
      <c r="BG24" s="143">
        <f>'[2]Ukraine Sunflower Exports'!AD$184</f>
        <v>0.20899999999999999</v>
      </c>
      <c r="BH24" s="141">
        <f>'[2]Russia Sunflower Exports'!B$184</f>
        <v>0</v>
      </c>
      <c r="BI24" s="141">
        <f>'[2]Russia Sunflower Exports'!C$184</f>
        <v>0</v>
      </c>
      <c r="BJ24" s="141">
        <f>'[2]Russia Sunflower Exports'!D$184</f>
        <v>0</v>
      </c>
      <c r="BK24" s="141">
        <f>'[2]Russia Sunflower Exports'!E$184</f>
        <v>0</v>
      </c>
      <c r="BL24" s="141">
        <f>'[2]Russia Sunflower Exports'!F$184</f>
        <v>1.9319999999999999</v>
      </c>
      <c r="BM24" s="141">
        <f>'[2]Russia Sunflower Exports'!G$184</f>
        <v>0</v>
      </c>
      <c r="BN24" s="141">
        <f>'[2]Russia Sunflower Exports'!H$184</f>
        <v>0</v>
      </c>
      <c r="BO24" s="141">
        <f>'[2]Russia Sunflower Exports'!I$184</f>
        <v>5.4165139999999994</v>
      </c>
      <c r="BP24" s="141">
        <f>'[2]Russia Sunflower Exports'!J$184</f>
        <v>0</v>
      </c>
      <c r="BQ24" s="141">
        <f>'[2]Russia Sunflower Exports'!K$184</f>
        <v>0</v>
      </c>
      <c r="BR24" s="141">
        <f>'[2]Russia Sunflower Exports'!L$184</f>
        <v>0</v>
      </c>
      <c r="BS24" s="141">
        <f>'[2]Russia Sunflower Exports'!M$184</f>
        <v>0</v>
      </c>
      <c r="BT24" s="141">
        <f>'[2]Russia Sunflower Exports'!N$184</f>
        <v>0</v>
      </c>
      <c r="BU24" s="141">
        <f>'[2]Russia Sunflower Exports'!O$184</f>
        <v>0</v>
      </c>
      <c r="BV24" s="141">
        <f>'[2]Russia Sunflower Exports'!P$184</f>
        <v>0</v>
      </c>
      <c r="BW24" s="141">
        <f>'[2]Russia Sunflower Exports'!Q$184</f>
        <v>0</v>
      </c>
      <c r="BX24" s="141">
        <f>'[2]Russia Sunflower Exports'!R$184</f>
        <v>0</v>
      </c>
      <c r="BY24" s="141">
        <f>'[2]Russia Sunflower Exports'!S$184</f>
        <v>0</v>
      </c>
      <c r="BZ24" s="141">
        <f>'[2]Russia Sunflower Exports'!T$184</f>
        <v>0</v>
      </c>
      <c r="CA24" s="141">
        <f>'[2]Russia Sunflower Exports'!U$184</f>
        <v>0</v>
      </c>
      <c r="CB24" s="141">
        <f>'[2]Russia Sunflower Exports'!V$184</f>
        <v>0</v>
      </c>
      <c r="CC24" s="141">
        <f>'[2]Russia Sunflower Exports'!W$184</f>
        <v>7.0000000000000001E-3</v>
      </c>
      <c r="CD24" s="141">
        <f>'[2]Russia Sunflower Exports'!X$184</f>
        <v>0</v>
      </c>
      <c r="CE24" s="141">
        <f>'[2]Russia Sunflower Exports'!Y$184</f>
        <v>0</v>
      </c>
      <c r="CF24" s="141">
        <f>'[2]Russia Sunflower Exports'!Z$184</f>
        <v>0</v>
      </c>
      <c r="CG24" s="147">
        <f>'[2]Russia Sunflower Exports'!AA$184</f>
        <v>0.41447999999999996</v>
      </c>
      <c r="CH24" s="141">
        <f>'[2]Russia Sunflower Exports'!AB$184</f>
        <v>0</v>
      </c>
      <c r="CI24" s="141">
        <f>'[2]Russia Sunflower Exports'!AC$184</f>
        <v>0</v>
      </c>
      <c r="CJ24" s="143">
        <f>'[2]Russia Sunflower Exports'!AD$184</f>
        <v>0</v>
      </c>
      <c r="CK24" s="141">
        <f>'[3]Sunflower Exports'!B$184/2204.622*1000</f>
        <v>0</v>
      </c>
      <c r="CL24" s="141">
        <f>'[3]Sunflower Exports'!C$184/2204.622*1000</f>
        <v>0</v>
      </c>
      <c r="CM24" s="141">
        <f>'[3]Sunflower Exports'!D$184/2204.622*1000</f>
        <v>0</v>
      </c>
      <c r="CN24" s="141">
        <f>'[3]Sunflower Exports'!E$184/2204.622*1000</f>
        <v>0</v>
      </c>
      <c r="CO24" s="141">
        <f>'[3]Sunflower Exports'!F$184/2204.622*1000</f>
        <v>0</v>
      </c>
      <c r="CP24" s="141">
        <f>'[3]Sunflower Exports'!G$184/2204.622*1000</f>
        <v>0</v>
      </c>
      <c r="CQ24" s="141">
        <f>'[3]Sunflower Exports'!H$184/2204.622*1000</f>
        <v>0.14959999999999998</v>
      </c>
      <c r="CR24" s="141">
        <f>'[3]Sunflower Exports'!I$184/2204.622*1000</f>
        <v>0.10020000000000001</v>
      </c>
      <c r="CS24" s="141">
        <f>'[3]Sunflower Exports'!J$184/2204.622*1000</f>
        <v>8.1000000000000003E-2</v>
      </c>
      <c r="CT24" s="141">
        <f>'[3]Sunflower Exports'!K$184/2204.622*1000</f>
        <v>3.9899999999999998E-2</v>
      </c>
      <c r="CU24" s="141">
        <f>'[3]Sunflower Exports'!L$184/2204.622*1000</f>
        <v>0</v>
      </c>
      <c r="CV24" s="141">
        <f>'[3]Sunflower Exports'!M$184/2204.622*1000</f>
        <v>0</v>
      </c>
      <c r="CW24" s="141">
        <f>'[3]Sunflower Exports'!N$184/2204.622*1000</f>
        <v>0</v>
      </c>
      <c r="CX24" s="141">
        <f>'[3]Sunflower Exports'!O$184/2204.622*1000</f>
        <v>0</v>
      </c>
      <c r="CY24" s="141">
        <f>'[3]Sunflower Exports'!P$184/2204.622*1000</f>
        <v>8.2400000000000015E-2</v>
      </c>
      <c r="CZ24" s="141">
        <f>'[3]Sunflower Exports'!Q$184/2204.622*1000</f>
        <v>2.0500000000000004E-2</v>
      </c>
      <c r="DA24" s="141">
        <f>'[3]Sunflower Exports'!R$184/2204.622*1000</f>
        <v>5.1677</v>
      </c>
      <c r="DB24" s="141">
        <f>'[3]Sunflower Exports'!S$184/2204.622*1000</f>
        <v>2.6825000000000006</v>
      </c>
      <c r="DC24" s="141">
        <f>'[3]Sunflower Exports'!T$184/2204.622*1000</f>
        <v>3.7089000000000003</v>
      </c>
      <c r="DD24" s="141">
        <f>'[3]Sunflower Exports'!U$184/2204.622*1000</f>
        <v>5.4277000000000006</v>
      </c>
      <c r="DE24" s="141">
        <f>'[3]Sunflower Exports'!V$184/2204.622*1000</f>
        <v>2.9557000000000002</v>
      </c>
      <c r="DF24" s="141">
        <f>'[3]Sunflower Exports'!W$184/2204.622*1000</f>
        <v>1.5305000000000002</v>
      </c>
      <c r="DG24" s="141">
        <f>'[3]Sunflower Exports'!X$184/2204.622*1000</f>
        <v>2.5684999999999998</v>
      </c>
      <c r="DH24" s="141">
        <f>'[3]Sunflower Exports'!Y$184/2204.622*1000</f>
        <v>2.5557000000000003</v>
      </c>
      <c r="DI24" s="141">
        <f>'[3]Sunflower Exports'!Z$184/2204.622*1000</f>
        <v>0.51879252935877451</v>
      </c>
      <c r="DJ24" s="141">
        <f>'[3]Sunflower Exports'!AA$184/2204.622*1000</f>
        <v>0.67105039123260135</v>
      </c>
      <c r="DK24" s="141">
        <f>'[3]Sunflower Exports'!AB$184/2204.622*1000</f>
        <v>5.9873945683205559E-2</v>
      </c>
      <c r="DL24" s="141">
        <f>'[3]Sunflower Exports'!AC$184/2204.622*1000</f>
        <v>0</v>
      </c>
      <c r="DM24" s="143">
        <f>'[3]Sunflower Exports'!AD$184/2204.622*1000</f>
        <v>0</v>
      </c>
      <c r="DN24" s="141">
        <f t="shared" si="4"/>
        <v>7.6589999999999998</v>
      </c>
      <c r="DO24" s="141">
        <f t="shared" si="4"/>
        <v>0</v>
      </c>
      <c r="DP24" s="141">
        <f t="shared" si="4"/>
        <v>0</v>
      </c>
      <c r="DQ24" s="141">
        <f t="shared" si="4"/>
        <v>1E-3</v>
      </c>
      <c r="DR24" s="141">
        <f t="shared" si="4"/>
        <v>1.9319999999999999</v>
      </c>
      <c r="DS24" s="141">
        <f t="shared" si="4"/>
        <v>0</v>
      </c>
      <c r="DT24" s="141">
        <f t="shared" si="4"/>
        <v>0.16459999999999997</v>
      </c>
      <c r="DU24" s="141">
        <f t="shared" si="4"/>
        <v>5.5167139999999995</v>
      </c>
      <c r="DV24" s="141">
        <f t="shared" si="4"/>
        <v>8.1000000000000003E-2</v>
      </c>
      <c r="DW24" s="141">
        <f t="shared" si="4"/>
        <v>3.9899999999999998E-2</v>
      </c>
      <c r="DX24" s="141">
        <f t="shared" si="4"/>
        <v>0</v>
      </c>
      <c r="DY24" s="141">
        <f t="shared" si="4"/>
        <v>8.6999999999999994E-2</v>
      </c>
      <c r="DZ24" s="141">
        <f t="shared" si="4"/>
        <v>2E-3</v>
      </c>
      <c r="EA24" s="141">
        <f t="shared" si="4"/>
        <v>0.124</v>
      </c>
      <c r="EB24" s="141">
        <f t="shared" si="4"/>
        <v>0.15140000000000003</v>
      </c>
      <c r="EC24" s="141">
        <f t="shared" si="3"/>
        <v>2.0500000000000004E-2</v>
      </c>
      <c r="ED24" s="141">
        <f t="shared" si="3"/>
        <v>5.2116999999999996</v>
      </c>
      <c r="EE24" s="141">
        <f t="shared" si="3"/>
        <v>2.7245000000000004</v>
      </c>
      <c r="EF24" s="141">
        <f t="shared" si="3"/>
        <v>3.8359000000000005</v>
      </c>
      <c r="EG24" s="141">
        <f t="shared" si="3"/>
        <v>5.4537000000000004</v>
      </c>
      <c r="EH24" s="141">
        <f t="shared" si="3"/>
        <v>3.2317</v>
      </c>
      <c r="EI24" s="141">
        <f t="shared" si="3"/>
        <v>1.6685000000000003</v>
      </c>
      <c r="EJ24" s="141">
        <f t="shared" si="3"/>
        <v>3.5474999999999994</v>
      </c>
      <c r="EK24" s="141">
        <f t="shared" si="3"/>
        <v>4.7597000000000005</v>
      </c>
      <c r="EL24" s="141">
        <f t="shared" si="3"/>
        <v>20.752472529358773</v>
      </c>
      <c r="EM24" s="141">
        <f t="shared" si="3"/>
        <v>2.7517133912326015</v>
      </c>
      <c r="EN24" s="141">
        <f t="shared" si="5"/>
        <v>1.4547489456832057</v>
      </c>
      <c r="EO24" s="141">
        <f t="shared" si="5"/>
        <v>0.65700000000000003</v>
      </c>
      <c r="EP24" s="145">
        <f t="shared" si="5"/>
        <v>0.20899999999999999</v>
      </c>
      <c r="EQ24" s="145">
        <v>0</v>
      </c>
      <c r="ES24" s="141">
        <f t="shared" si="2"/>
        <v>0</v>
      </c>
      <c r="ET24" s="141">
        <f t="shared" si="2"/>
        <v>0</v>
      </c>
      <c r="EV24" s="141"/>
      <c r="EW24" s="141"/>
      <c r="FB24" s="107"/>
    </row>
    <row r="25" spans="1:158">
      <c r="A25" s="137" t="s">
        <v>156</v>
      </c>
      <c r="B25" s="146">
        <f>'[2]EU Sunflower Exports'!B$207</f>
        <v>0</v>
      </c>
      <c r="C25" s="146">
        <f>'[2]EU Sunflower Exports'!C$207</f>
        <v>0</v>
      </c>
      <c r="D25" s="146">
        <f>'[2]EU Sunflower Exports'!D$207</f>
        <v>0</v>
      </c>
      <c r="E25" s="146">
        <f>'[2]EU Sunflower Exports'!E$207</f>
        <v>18.091000000000001</v>
      </c>
      <c r="F25" s="146">
        <f>'[2]EU Sunflower Exports'!F$207</f>
        <v>27.207999999999998</v>
      </c>
      <c r="G25" s="146">
        <f>'[2]EU Sunflower Exports'!G$207</f>
        <v>19.262</v>
      </c>
      <c r="H25" s="146">
        <f>'[2]EU Sunflower Exports'!H$207</f>
        <v>29.923000000000002</v>
      </c>
      <c r="I25" s="146">
        <f>'[2]EU Sunflower Exports'!I$207</f>
        <v>4.9780000000000006</v>
      </c>
      <c r="J25" s="146">
        <f>'[2]EU Sunflower Exports'!J$207</f>
        <v>9.2999999999999989</v>
      </c>
      <c r="K25" s="146">
        <f>'[2]EU Sunflower Exports'!K$207</f>
        <v>0.28700000000000003</v>
      </c>
      <c r="L25" s="146">
        <f>'[2]EU Sunflower Exports'!L$207</f>
        <v>57.039000000000001</v>
      </c>
      <c r="M25" s="146">
        <f>'[2]EU Sunflower Exports'!M$207</f>
        <v>18.245000000000001</v>
      </c>
      <c r="N25" s="146">
        <f>'[2]EU Sunflower Exports'!N$207</f>
        <v>22.442999999999998</v>
      </c>
      <c r="O25" s="146">
        <f>'[2]EU Sunflower Exports'!O$207</f>
        <v>26.685000000000002</v>
      </c>
      <c r="P25" s="141">
        <f>'[2]EU Sunflower Exports'!P$207</f>
        <v>6.0999999999999999E-2</v>
      </c>
      <c r="Q25" s="141">
        <f>'[2]EU Sunflower Exports'!Q$207</f>
        <v>13.321999999999999</v>
      </c>
      <c r="R25" s="141">
        <f>'[2]EU Sunflower Exports'!R$207</f>
        <v>0.20300000000000001</v>
      </c>
      <c r="S25" s="141">
        <f>'[2]EU Sunflower Exports'!S$207</f>
        <v>1.8000000000000002E-2</v>
      </c>
      <c r="T25" s="141">
        <f>'[2]EU Sunflower Exports'!T$207</f>
        <v>16.124000000000002</v>
      </c>
      <c r="U25" s="141">
        <f>'[2]EU Sunflower Exports'!U$207</f>
        <v>7.0000000000000007E-2</v>
      </c>
      <c r="V25" s="141">
        <f>'[2]EU Sunflower Exports'!V$207</f>
        <v>26.452000000000005</v>
      </c>
      <c r="W25" s="141">
        <f>'[2]EU Sunflower Exports'!W$207</f>
        <v>23.063999999999997</v>
      </c>
      <c r="X25" s="141">
        <f>'[2]EU Sunflower Exports'!X$207</f>
        <v>14.603999999999997</v>
      </c>
      <c r="Y25" s="141">
        <f>'[2]EU Sunflower Exports'!Y$207</f>
        <v>0.29199999999999998</v>
      </c>
      <c r="Z25" s="141">
        <f>'[2]EU Sunflower Exports'!Z$207</f>
        <v>16.939999999999998</v>
      </c>
      <c r="AA25" s="141">
        <f>'[2]EU Sunflower Exports'!AA$207</f>
        <v>0.49199999999999999</v>
      </c>
      <c r="AB25" s="141">
        <f>'[2]EU Sunflower Exports'!AB$207</f>
        <v>9.0310000000000006</v>
      </c>
      <c r="AC25" s="141">
        <f>'[2]EU Sunflower Exports'!AC$207</f>
        <v>63.590999999999994</v>
      </c>
      <c r="AD25" s="143">
        <f>60-26</f>
        <v>34</v>
      </c>
      <c r="AE25" s="141">
        <v>36</v>
      </c>
      <c r="AF25" s="141">
        <v>37</v>
      </c>
      <c r="AG25" s="141">
        <v>38</v>
      </c>
      <c r="AH25" s="141">
        <v>39</v>
      </c>
      <c r="AI25" s="141">
        <v>40</v>
      </c>
      <c r="AJ25" s="141">
        <v>41</v>
      </c>
      <c r="AK25" s="141">
        <v>42</v>
      </c>
      <c r="AL25" s="141">
        <v>43</v>
      </c>
      <c r="AM25" s="141">
        <v>44</v>
      </c>
      <c r="AN25" s="141">
        <v>45</v>
      </c>
      <c r="AO25" s="141">
        <v>46</v>
      </c>
      <c r="AP25" s="141">
        <v>47</v>
      </c>
      <c r="AQ25" s="141">
        <v>48</v>
      </c>
      <c r="AR25" s="141">
        <v>49</v>
      </c>
      <c r="AS25" s="141">
        <v>50</v>
      </c>
      <c r="AT25" s="141">
        <v>51</v>
      </c>
      <c r="AU25" s="141">
        <v>52</v>
      </c>
      <c r="AV25" s="141">
        <v>53</v>
      </c>
      <c r="AW25" s="141">
        <v>54</v>
      </c>
      <c r="AX25" s="141">
        <v>55</v>
      </c>
      <c r="AY25" s="141">
        <v>56</v>
      </c>
      <c r="AZ25" s="141">
        <v>57</v>
      </c>
      <c r="BA25" s="141">
        <v>58</v>
      </c>
      <c r="BB25" s="141">
        <v>59</v>
      </c>
      <c r="BC25" s="141">
        <f>'[2]Ukraine Sunflower Exports'!Z$207</f>
        <v>0</v>
      </c>
      <c r="BD25" s="141">
        <f>'[2]Ukraine Sunflower Exports'!AA$207</f>
        <v>0</v>
      </c>
      <c r="BE25" s="141">
        <f>'[2]Ukraine Sunflower Exports'!AB$207</f>
        <v>0</v>
      </c>
      <c r="BF25" s="141">
        <f>'[2]Ukraine Sunflower Exports'!AC$207</f>
        <v>0</v>
      </c>
      <c r="BG25" s="143">
        <f>'[2]Ukraine Sunflower Exports'!AD$207</f>
        <v>0</v>
      </c>
      <c r="BH25" s="141">
        <f>'[2]Russia Sunflower Exports'!B$207</f>
        <v>0</v>
      </c>
      <c r="BI25" s="141">
        <f>'[2]Russia Sunflower Exports'!C$207</f>
        <v>0</v>
      </c>
      <c r="BJ25" s="141">
        <f>'[2]Russia Sunflower Exports'!D$207</f>
        <v>0</v>
      </c>
      <c r="BK25" s="141">
        <f>'[2]Russia Sunflower Exports'!E$207</f>
        <v>9.3802500000000002</v>
      </c>
      <c r="BL25" s="141">
        <f>'[2]Russia Sunflower Exports'!F$207</f>
        <v>0</v>
      </c>
      <c r="BM25" s="141">
        <f>'[2]Russia Sunflower Exports'!G$207</f>
        <v>0</v>
      </c>
      <c r="BN25" s="141">
        <f>'[2]Russia Sunflower Exports'!H$207</f>
        <v>0</v>
      </c>
      <c r="BO25" s="141">
        <f>'[2]Russia Sunflower Exports'!I$207</f>
        <v>0</v>
      </c>
      <c r="BP25" s="141">
        <f>'[2]Russia Sunflower Exports'!J$207</f>
        <v>0</v>
      </c>
      <c r="BQ25" s="141">
        <f>'[2]Russia Sunflower Exports'!K$207</f>
        <v>0</v>
      </c>
      <c r="BR25" s="141">
        <f>'[2]Russia Sunflower Exports'!L$207</f>
        <v>0</v>
      </c>
      <c r="BS25" s="141">
        <f>'[2]Russia Sunflower Exports'!M$207</f>
        <v>0</v>
      </c>
      <c r="BT25" s="141">
        <f>'[2]Russia Sunflower Exports'!N$207</f>
        <v>18.352</v>
      </c>
      <c r="BU25" s="141">
        <f>'[2]Russia Sunflower Exports'!O$207</f>
        <v>4.1100000000000003</v>
      </c>
      <c r="BV25" s="141">
        <f>'[2]Russia Sunflower Exports'!P$207</f>
        <v>0</v>
      </c>
      <c r="BW25" s="141">
        <f>'[2]Russia Sunflower Exports'!Q$207</f>
        <v>0</v>
      </c>
      <c r="BX25" s="141">
        <f>'[2]Russia Sunflower Exports'!R$207</f>
        <v>0</v>
      </c>
      <c r="BY25" s="141">
        <f>'[2]Russia Sunflower Exports'!S$207</f>
        <v>0</v>
      </c>
      <c r="BZ25" s="141">
        <f>'[2]Russia Sunflower Exports'!T$207</f>
        <v>0</v>
      </c>
      <c r="CA25" s="141">
        <f>'[2]Russia Sunflower Exports'!U$207</f>
        <v>0</v>
      </c>
      <c r="CB25" s="141">
        <f>'[2]Russia Sunflower Exports'!V$207</f>
        <v>0</v>
      </c>
      <c r="CC25" s="141">
        <f>'[2]Russia Sunflower Exports'!W$207</f>
        <v>0</v>
      </c>
      <c r="CD25" s="141">
        <f>'[2]Russia Sunflower Exports'!X$207</f>
        <v>0</v>
      </c>
      <c r="CE25" s="141">
        <f>'[2]Russia Sunflower Exports'!Y$207</f>
        <v>0</v>
      </c>
      <c r="CF25" s="141">
        <f>'[2]Russia Sunflower Exports'!Z$207</f>
        <v>0</v>
      </c>
      <c r="CG25" s="147">
        <f>'[2]Russia Sunflower Exports'!AA$207</f>
        <v>0</v>
      </c>
      <c r="CH25" s="141">
        <f>'[2]Russia Sunflower Exports'!AB$207</f>
        <v>0</v>
      </c>
      <c r="CI25" s="141">
        <f>'[2]Russia Sunflower Exports'!AC$207</f>
        <v>0</v>
      </c>
      <c r="CJ25" s="143">
        <f>'[2]Russia Sunflower Exports'!AD$207</f>
        <v>0</v>
      </c>
      <c r="CK25" s="141">
        <f>'[3]Sunflower Exports'!B$207/2204.622*1000</f>
        <v>0</v>
      </c>
      <c r="CL25" s="141">
        <f>'[3]Sunflower Exports'!C$207/2204.622*1000</f>
        <v>0</v>
      </c>
      <c r="CM25" s="141">
        <f>'[3]Sunflower Exports'!D$207/2204.622*1000</f>
        <v>0.12240000000000002</v>
      </c>
      <c r="CN25" s="141">
        <f>'[3]Sunflower Exports'!E$207/2204.622*1000</f>
        <v>0.17100000000000001</v>
      </c>
      <c r="CO25" s="141">
        <f>'[3]Sunflower Exports'!F$207/2204.622*1000</f>
        <v>0</v>
      </c>
      <c r="CP25" s="141">
        <f>'[3]Sunflower Exports'!G$207/2204.622*1000</f>
        <v>0</v>
      </c>
      <c r="CQ25" s="141">
        <f>'[3]Sunflower Exports'!H$207/2204.622*1000</f>
        <v>0</v>
      </c>
      <c r="CR25" s="141">
        <f>'[3]Sunflower Exports'!I$207/2204.622*1000</f>
        <v>0</v>
      </c>
      <c r="CS25" s="141">
        <f>'[3]Sunflower Exports'!J$207/2204.622*1000</f>
        <v>0</v>
      </c>
      <c r="CT25" s="141">
        <f>'[3]Sunflower Exports'!K$207/2204.622*1000</f>
        <v>2.1000000000000005E-2</v>
      </c>
      <c r="CU25" s="141">
        <f>'[3]Sunflower Exports'!L$207/2204.622*1000</f>
        <v>0</v>
      </c>
      <c r="CV25" s="141">
        <f>'[3]Sunflower Exports'!M$207/2204.622*1000</f>
        <v>0</v>
      </c>
      <c r="CW25" s="141">
        <f>'[3]Sunflower Exports'!N$207/2204.622*1000</f>
        <v>0.24320000000000008</v>
      </c>
      <c r="CX25" s="141">
        <f>'[3]Sunflower Exports'!O$207/2204.622*1000</f>
        <v>0.40360000000000013</v>
      </c>
      <c r="CY25" s="141">
        <f>'[3]Sunflower Exports'!P$207/2204.622*1000</f>
        <v>0.41830000000000001</v>
      </c>
      <c r="CZ25" s="141">
        <f>'[3]Sunflower Exports'!Q$207/2204.622*1000</f>
        <v>0.21909999999999999</v>
      </c>
      <c r="DA25" s="141">
        <f>'[3]Sunflower Exports'!R$207/2204.622*1000</f>
        <v>0.50120000000000009</v>
      </c>
      <c r="DB25" s="141">
        <f>'[3]Sunflower Exports'!S$207/2204.622*1000</f>
        <v>0.97740000000000005</v>
      </c>
      <c r="DC25" s="141">
        <f>'[3]Sunflower Exports'!T$207/2204.622*1000</f>
        <v>0.83330000000000015</v>
      </c>
      <c r="DD25" s="141">
        <f>'[3]Sunflower Exports'!U$207/2204.622*1000</f>
        <v>1.4081000000000001</v>
      </c>
      <c r="DE25" s="141">
        <f>'[3]Sunflower Exports'!V$207/2204.622*1000</f>
        <v>1.0982000000000003</v>
      </c>
      <c r="DF25" s="141">
        <f>'[3]Sunflower Exports'!W$207/2204.622*1000</f>
        <v>0.6180000000000001</v>
      </c>
      <c r="DG25" s="141">
        <f>'[3]Sunflower Exports'!X$207/2204.622*1000</f>
        <v>0.40840000000000004</v>
      </c>
      <c r="DH25" s="141">
        <f>'[3]Sunflower Exports'!Y$207/2204.622*1000</f>
        <v>0.78139999999999998</v>
      </c>
      <c r="DI25" s="141">
        <f>'[3]Sunflower Exports'!Z$207/2204.622*1000</f>
        <v>0</v>
      </c>
      <c r="DJ25" s="141">
        <f>'[3]Sunflower Exports'!AA$207/2204.622*1000</f>
        <v>0</v>
      </c>
      <c r="DK25" s="141">
        <f>'[3]Sunflower Exports'!AB$207/2204.622*1000</f>
        <v>0</v>
      </c>
      <c r="DL25" s="141">
        <f>'[3]Sunflower Exports'!AC$207/2204.622*1000</f>
        <v>0.31138580672786548</v>
      </c>
      <c r="DM25" s="143">
        <f>'[3]Sunflower Exports'!AD$207/2204.622*1000</f>
        <v>0</v>
      </c>
      <c r="DN25" s="141">
        <f t="shared" si="4"/>
        <v>36</v>
      </c>
      <c r="DO25" s="141">
        <f t="shared" si="4"/>
        <v>37</v>
      </c>
      <c r="DP25" s="141">
        <f t="shared" si="4"/>
        <v>38.122399999999999</v>
      </c>
      <c r="DQ25" s="141">
        <f t="shared" si="4"/>
        <v>66.642250000000004</v>
      </c>
      <c r="DR25" s="141">
        <f t="shared" si="4"/>
        <v>67.207999999999998</v>
      </c>
      <c r="DS25" s="141">
        <f t="shared" si="4"/>
        <v>60.262</v>
      </c>
      <c r="DT25" s="141">
        <f t="shared" si="4"/>
        <v>71.923000000000002</v>
      </c>
      <c r="DU25" s="141">
        <f t="shared" si="4"/>
        <v>47.978000000000002</v>
      </c>
      <c r="DV25" s="141">
        <f t="shared" si="4"/>
        <v>53.3</v>
      </c>
      <c r="DW25" s="141">
        <f t="shared" si="4"/>
        <v>45.308</v>
      </c>
      <c r="DX25" s="141">
        <f t="shared" si="4"/>
        <v>103.039</v>
      </c>
      <c r="DY25" s="141">
        <f t="shared" si="4"/>
        <v>65.245000000000005</v>
      </c>
      <c r="DZ25" s="141">
        <f t="shared" si="4"/>
        <v>89.038200000000003</v>
      </c>
      <c r="EA25" s="141">
        <f t="shared" si="4"/>
        <v>80.198599999999999</v>
      </c>
      <c r="EB25" s="141">
        <f t="shared" si="4"/>
        <v>50.479300000000002</v>
      </c>
      <c r="EC25" s="141">
        <f t="shared" si="3"/>
        <v>64.5411</v>
      </c>
      <c r="ED25" s="141">
        <f t="shared" si="3"/>
        <v>52.7042</v>
      </c>
      <c r="EE25" s="141">
        <f t="shared" si="3"/>
        <v>53.995400000000004</v>
      </c>
      <c r="EF25" s="141">
        <f t="shared" si="3"/>
        <v>70.957299999999989</v>
      </c>
      <c r="EG25" s="141">
        <f t="shared" si="3"/>
        <v>56.478099999999998</v>
      </c>
      <c r="EH25" s="141">
        <f t="shared" si="3"/>
        <v>83.550200000000004</v>
      </c>
      <c r="EI25" s="141">
        <f t="shared" si="3"/>
        <v>80.681999999999988</v>
      </c>
      <c r="EJ25" s="141">
        <f t="shared" si="3"/>
        <v>73.0124</v>
      </c>
      <c r="EK25" s="141">
        <f t="shared" si="3"/>
        <v>60.073399999999999</v>
      </c>
      <c r="EL25" s="141">
        <f t="shared" si="3"/>
        <v>16.939999999999998</v>
      </c>
      <c r="EM25" s="141">
        <f t="shared" si="3"/>
        <v>0.49199999999999999</v>
      </c>
      <c r="EN25" s="141">
        <f t="shared" si="5"/>
        <v>9.0310000000000006</v>
      </c>
      <c r="EO25" s="141">
        <f t="shared" si="5"/>
        <v>63.902385806727857</v>
      </c>
      <c r="EP25" s="145">
        <f t="shared" si="5"/>
        <v>34</v>
      </c>
      <c r="EQ25" s="145">
        <v>25</v>
      </c>
      <c r="ES25" s="141">
        <f t="shared" si="2"/>
        <v>0</v>
      </c>
      <c r="ET25" s="141">
        <f t="shared" si="2"/>
        <v>0</v>
      </c>
      <c r="EV25" s="141"/>
      <c r="EW25" s="141"/>
      <c r="FB25" s="107"/>
    </row>
    <row r="26" spans="1:158">
      <c r="A26" s="148" t="s">
        <v>157</v>
      </c>
      <c r="B26" s="146">
        <f>'[2]EU Sunflower Exports'!B$219</f>
        <v>0</v>
      </c>
      <c r="C26" s="146">
        <f>'[2]EU Sunflower Exports'!C$219</f>
        <v>0</v>
      </c>
      <c r="D26" s="146">
        <f>'[2]EU Sunflower Exports'!D$219</f>
        <v>0</v>
      </c>
      <c r="E26" s="146">
        <f>'[2]EU Sunflower Exports'!E$219</f>
        <v>2.9999999999999995E-2</v>
      </c>
      <c r="F26" s="146">
        <f>'[2]EU Sunflower Exports'!F$219</f>
        <v>1E-3</v>
      </c>
      <c r="G26" s="146">
        <f>'[2]EU Sunflower Exports'!G$219</f>
        <v>2.4E-2</v>
      </c>
      <c r="H26" s="146">
        <f>'[2]EU Sunflower Exports'!H$219</f>
        <v>2.5000000000000001E-2</v>
      </c>
      <c r="I26" s="146">
        <f>'[2]EU Sunflower Exports'!I$219</f>
        <v>1E-3</v>
      </c>
      <c r="J26" s="146">
        <f>'[2]EU Sunflower Exports'!J$219</f>
        <v>0</v>
      </c>
      <c r="K26" s="146">
        <f>'[2]EU Sunflower Exports'!K$219</f>
        <v>0</v>
      </c>
      <c r="L26" s="146">
        <f>'[2]EU Sunflower Exports'!L$219</f>
        <v>4.0000000000000001E-3</v>
      </c>
      <c r="M26" s="146">
        <f>'[2]EU Sunflower Exports'!M$219</f>
        <v>1E-3</v>
      </c>
      <c r="N26" s="146">
        <f>'[2]EU Sunflower Exports'!N$219</f>
        <v>1.7999999999999999E-2</v>
      </c>
      <c r="O26" s="146">
        <f>'[2]EU Sunflower Exports'!O$219</f>
        <v>2.7E-2</v>
      </c>
      <c r="P26" s="141">
        <f>'[2]EU Sunflower Exports'!P$219</f>
        <v>1E-3</v>
      </c>
      <c r="Q26" s="141">
        <f>'[2]EU Sunflower Exports'!Q$219</f>
        <v>1E-3</v>
      </c>
      <c r="R26" s="141">
        <f>'[2]EU Sunflower Exports'!R$219</f>
        <v>22.616</v>
      </c>
      <c r="S26" s="141">
        <f>'[2]EU Sunflower Exports'!S$219</f>
        <v>50.624999999999993</v>
      </c>
      <c r="T26" s="141">
        <f>'[2]EU Sunflower Exports'!T$219</f>
        <v>0.57400000000000007</v>
      </c>
      <c r="U26" s="141">
        <f>'[2]EU Sunflower Exports'!U$219</f>
        <v>0.71600000000000008</v>
      </c>
      <c r="V26" s="141">
        <f>'[2]EU Sunflower Exports'!V$219</f>
        <v>122.78999999999999</v>
      </c>
      <c r="W26" s="141">
        <f>'[2]EU Sunflower Exports'!W$219</f>
        <v>30.571999999999996</v>
      </c>
      <c r="X26" s="141">
        <f>'[2]EU Sunflower Exports'!X$219</f>
        <v>48.003</v>
      </c>
      <c r="Y26" s="141">
        <f>'[2]EU Sunflower Exports'!Y$219</f>
        <v>53.131999999999991</v>
      </c>
      <c r="Z26" s="141">
        <f>'[2]EU Sunflower Exports'!Z$219</f>
        <v>0.42300000000000004</v>
      </c>
      <c r="AA26" s="141">
        <f>'[2]EU Sunflower Exports'!AA$219</f>
        <v>0.36899999999999999</v>
      </c>
      <c r="AB26" s="141">
        <f>'[2]EU Sunflower Exports'!AB$219</f>
        <v>0.64000000000000012</v>
      </c>
      <c r="AC26" s="141">
        <f>'[2]EU Sunflower Exports'!AC$219</f>
        <v>0.97799999999999998</v>
      </c>
      <c r="AD26" s="143">
        <f>'[2]EU Sunflower Exports'!BB$219</f>
        <v>0</v>
      </c>
      <c r="AE26" s="141">
        <f>'[2]EU Sunflower Exports'!AD$219</f>
        <v>0.57203300000000001</v>
      </c>
      <c r="AF26" s="141">
        <f>'[2]EU Sunflower Exports'!AE$219</f>
        <v>0</v>
      </c>
      <c r="AG26" s="141">
        <f>'[2]EU Sunflower Exports'!AF$219</f>
        <v>0</v>
      </c>
      <c r="AH26" s="141">
        <f>'[2]EU Sunflower Exports'!AG$219</f>
        <v>0</v>
      </c>
      <c r="AI26" s="141">
        <f>'[2]EU Sunflower Exports'!AH$219</f>
        <v>0</v>
      </c>
      <c r="AJ26" s="141">
        <f>'[2]EU Sunflower Exports'!AI$219</f>
        <v>0</v>
      </c>
      <c r="AK26" s="141">
        <f>'[2]EU Sunflower Exports'!AJ$219</f>
        <v>0</v>
      </c>
      <c r="AL26" s="141">
        <f>'[2]EU Sunflower Exports'!AK$219</f>
        <v>0</v>
      </c>
      <c r="AM26" s="141">
        <f>'[2]EU Sunflower Exports'!AL$219</f>
        <v>0</v>
      </c>
      <c r="AN26" s="141">
        <f>'[2]EU Sunflower Exports'!AM$219</f>
        <v>0</v>
      </c>
      <c r="AO26" s="141">
        <f>'[2]EU Sunflower Exports'!AN$219</f>
        <v>0</v>
      </c>
      <c r="AP26" s="141">
        <f>'[2]EU Sunflower Exports'!AO$219</f>
        <v>0</v>
      </c>
      <c r="AQ26" s="141">
        <f>'[2]EU Sunflower Exports'!AP$219</f>
        <v>0</v>
      </c>
      <c r="AR26" s="141">
        <f>'[2]EU Sunflower Exports'!AQ$219</f>
        <v>0</v>
      </c>
      <c r="AS26" s="141">
        <f>'[2]EU Sunflower Exports'!AR$219</f>
        <v>0</v>
      </c>
      <c r="AT26" s="141">
        <f>'[2]EU Sunflower Exports'!AS$219</f>
        <v>0</v>
      </c>
      <c r="AU26" s="141">
        <f>'[2]EU Sunflower Exports'!AT$219</f>
        <v>0</v>
      </c>
      <c r="AV26" s="141">
        <f>'[2]EU Sunflower Exports'!AU$219</f>
        <v>0</v>
      </c>
      <c r="AW26" s="141">
        <f>'[2]EU Sunflower Exports'!AV$219</f>
        <v>0</v>
      </c>
      <c r="AX26" s="141">
        <f>'[2]EU Sunflower Exports'!AW$219</f>
        <v>0</v>
      </c>
      <c r="AY26" s="141">
        <f>'[2]EU Sunflower Exports'!AX$219</f>
        <v>0</v>
      </c>
      <c r="AZ26" s="141">
        <f>'[2]EU Sunflower Exports'!AY$219</f>
        <v>0</v>
      </c>
      <c r="BA26" s="141">
        <f>'[2]EU Sunflower Exports'!AZ$219</f>
        <v>0</v>
      </c>
      <c r="BB26" s="141">
        <f>'[2]EU Sunflower Exports'!BA$219</f>
        <v>0</v>
      </c>
      <c r="BC26" s="141">
        <f>'[2]Ukraine Sunflower Exports'!Z$219</f>
        <v>0</v>
      </c>
      <c r="BD26" s="141">
        <f>'[2]Ukraine Sunflower Exports'!AA$219</f>
        <v>0</v>
      </c>
      <c r="BE26" s="141">
        <f>'[2]Ukraine Sunflower Exports'!AB$219</f>
        <v>0</v>
      </c>
      <c r="BF26" s="141">
        <f>'[2]Ukraine Sunflower Exports'!AC$219</f>
        <v>0</v>
      </c>
      <c r="BG26" s="143">
        <f>'[2]Ukraine Sunflower Exports'!AD$219</f>
        <v>0</v>
      </c>
      <c r="BH26" s="141">
        <f>'[2]Russia Sunflower Exports'!B$219</f>
        <v>0</v>
      </c>
      <c r="BI26" s="141">
        <f>'[2]Russia Sunflower Exports'!C$219</f>
        <v>0</v>
      </c>
      <c r="BJ26" s="141">
        <f>'[2]Russia Sunflower Exports'!D$219</f>
        <v>0</v>
      </c>
      <c r="BK26" s="141">
        <f>'[2]Russia Sunflower Exports'!E$219</f>
        <v>0</v>
      </c>
      <c r="BL26" s="141">
        <f>'[2]Russia Sunflower Exports'!F$219</f>
        <v>0</v>
      </c>
      <c r="BM26" s="141">
        <f>'[2]Russia Sunflower Exports'!G$219</f>
        <v>0</v>
      </c>
      <c r="BN26" s="141">
        <f>'[2]Russia Sunflower Exports'!H$219</f>
        <v>0</v>
      </c>
      <c r="BO26" s="141">
        <f>'[2]Russia Sunflower Exports'!I$219</f>
        <v>0</v>
      </c>
      <c r="BP26" s="141">
        <f>'[2]Russia Sunflower Exports'!J$219</f>
        <v>0</v>
      </c>
      <c r="BQ26" s="141">
        <f>'[2]Russia Sunflower Exports'!K$219</f>
        <v>0</v>
      </c>
      <c r="BR26" s="141">
        <f>'[2]Russia Sunflower Exports'!L$219</f>
        <v>0</v>
      </c>
      <c r="BS26" s="141">
        <f>'[2]Russia Sunflower Exports'!M$219</f>
        <v>0</v>
      </c>
      <c r="BT26" s="141">
        <f>'[2]Russia Sunflower Exports'!N$219</f>
        <v>0</v>
      </c>
      <c r="BU26" s="141">
        <f>'[2]Russia Sunflower Exports'!O$219</f>
        <v>0</v>
      </c>
      <c r="BV26" s="141">
        <f>'[2]Russia Sunflower Exports'!P$219</f>
        <v>0</v>
      </c>
      <c r="BW26" s="141">
        <f>'[2]Russia Sunflower Exports'!Q$219</f>
        <v>45.012999999999998</v>
      </c>
      <c r="BX26" s="141">
        <f>'[2]Russia Sunflower Exports'!R$219</f>
        <v>0</v>
      </c>
      <c r="BY26" s="141">
        <f>'[2]Russia Sunflower Exports'!S$219</f>
        <v>0</v>
      </c>
      <c r="BZ26" s="141">
        <f>'[2]Russia Sunflower Exports'!T$219</f>
        <v>0</v>
      </c>
      <c r="CA26" s="141">
        <f>'[2]Russia Sunflower Exports'!U$219</f>
        <v>0</v>
      </c>
      <c r="CB26" s="141">
        <f>'[2]Russia Sunflower Exports'!V$219</f>
        <v>0</v>
      </c>
      <c r="CC26" s="141">
        <f>'[2]Russia Sunflower Exports'!W$219</f>
        <v>0</v>
      </c>
      <c r="CD26" s="141">
        <f>'[2]Russia Sunflower Exports'!X$219</f>
        <v>0</v>
      </c>
      <c r="CE26" s="141">
        <f>'[2]Russia Sunflower Exports'!Y$219</f>
        <v>0</v>
      </c>
      <c r="CF26" s="141">
        <f>'[2]Russia Sunflower Exports'!Z$219</f>
        <v>0</v>
      </c>
      <c r="CG26" s="147">
        <f>'[2]Russia Sunflower Exports'!AA$219</f>
        <v>0</v>
      </c>
      <c r="CH26" s="141">
        <f>'[2]Russia Sunflower Exports'!AB$219</f>
        <v>0</v>
      </c>
      <c r="CI26" s="141">
        <f>'[2]Russia Sunflower Exports'!AC$219</f>
        <v>0</v>
      </c>
      <c r="CJ26" s="143">
        <f>'[2]Russia Sunflower Exports'!AD$219</f>
        <v>0</v>
      </c>
      <c r="CK26" s="141">
        <f>'[3]Sunflower Exports'!B$219/2204.622*1000</f>
        <v>0</v>
      </c>
      <c r="CL26" s="141">
        <f>'[3]Sunflower Exports'!C$219/2204.622*1000</f>
        <v>1.8100000000000002E-2</v>
      </c>
      <c r="CM26" s="141">
        <f>'[3]Sunflower Exports'!D$219/2204.622*1000</f>
        <v>5.9000000000000011E-2</v>
      </c>
      <c r="CN26" s="141">
        <f>'[3]Sunflower Exports'!E$219/2204.622*1000</f>
        <v>5.2900000000000003E-2</v>
      </c>
      <c r="CO26" s="141">
        <f>'[3]Sunflower Exports'!F$219/2204.622*1000</f>
        <v>0</v>
      </c>
      <c r="CP26" s="141">
        <f>'[3]Sunflower Exports'!G$219/2204.622*1000</f>
        <v>1.8300000000000004E-2</v>
      </c>
      <c r="CQ26" s="141">
        <f>'[3]Sunflower Exports'!H$219/2204.622*1000</f>
        <v>0.24070000000000003</v>
      </c>
      <c r="CR26" s="141">
        <f>'[3]Sunflower Exports'!I$219/2204.622*1000</f>
        <v>0.36880000000000002</v>
      </c>
      <c r="CS26" s="141">
        <f>'[3]Sunflower Exports'!J$219/2204.622*1000</f>
        <v>0</v>
      </c>
      <c r="CT26" s="141">
        <f>'[3]Sunflower Exports'!K$219/2204.622*1000</f>
        <v>0.1062</v>
      </c>
      <c r="CU26" s="141">
        <f>'[3]Sunflower Exports'!L$219/2204.622*1000</f>
        <v>0</v>
      </c>
      <c r="CV26" s="141">
        <f>'[3]Sunflower Exports'!M$219/2204.622*1000</f>
        <v>1.4000000000000002E-2</v>
      </c>
      <c r="CW26" s="141">
        <f>'[3]Sunflower Exports'!N$219/2204.622*1000</f>
        <v>0</v>
      </c>
      <c r="CX26" s="141">
        <f>'[3]Sunflower Exports'!O$219/2204.622*1000</f>
        <v>0</v>
      </c>
      <c r="CY26" s="141">
        <f>'[3]Sunflower Exports'!P$219/2204.622*1000</f>
        <v>0</v>
      </c>
      <c r="CZ26" s="141">
        <f>'[3]Sunflower Exports'!Q$219/2204.622*1000</f>
        <v>0</v>
      </c>
      <c r="DA26" s="141">
        <f>'[3]Sunflower Exports'!R$219/2204.622*1000</f>
        <v>0</v>
      </c>
      <c r="DB26" s="141">
        <f>'[3]Sunflower Exports'!S$219/2204.622*1000</f>
        <v>0</v>
      </c>
      <c r="DC26" s="141">
        <f>'[3]Sunflower Exports'!T$219/2204.622*1000</f>
        <v>0</v>
      </c>
      <c r="DD26" s="141">
        <f>'[3]Sunflower Exports'!U$219/2204.622*1000</f>
        <v>0</v>
      </c>
      <c r="DE26" s="141">
        <f>'[3]Sunflower Exports'!V$219/2204.622*1000</f>
        <v>0</v>
      </c>
      <c r="DF26" s="141">
        <f>'[3]Sunflower Exports'!W$219/2204.622*1000</f>
        <v>0</v>
      </c>
      <c r="DG26" s="141">
        <f>'[3]Sunflower Exports'!X$219/2204.622*1000</f>
        <v>0</v>
      </c>
      <c r="DH26" s="141">
        <f>'[3]Sunflower Exports'!Y$219/2204.622*1000</f>
        <v>0</v>
      </c>
      <c r="DI26" s="141">
        <f>'[3]Sunflower Exports'!Z$219/2204.622*1000</f>
        <v>0</v>
      </c>
      <c r="DJ26" s="141">
        <f>'[3]Sunflower Exports'!AA$219/2204.622*1000</f>
        <v>0</v>
      </c>
      <c r="DK26" s="141">
        <f>'[3]Sunflower Exports'!AB$219/2204.622*1000</f>
        <v>0</v>
      </c>
      <c r="DL26" s="141">
        <f>'[3]Sunflower Exports'!AC$219/2204.622*1000</f>
        <v>0</v>
      </c>
      <c r="DM26" s="143">
        <f>'[3]Sunflower Exports'!AD$219/2204.622*1000</f>
        <v>0</v>
      </c>
      <c r="DN26" s="141">
        <f t="shared" si="4"/>
        <v>0.57203300000000001</v>
      </c>
      <c r="DO26" s="141">
        <f t="shared" si="4"/>
        <v>1.8100000000000002E-2</v>
      </c>
      <c r="DP26" s="141">
        <f t="shared" si="4"/>
        <v>5.9000000000000011E-2</v>
      </c>
      <c r="DQ26" s="141">
        <f t="shared" si="4"/>
        <v>8.2900000000000001E-2</v>
      </c>
      <c r="DR26" s="141">
        <f t="shared" si="4"/>
        <v>1E-3</v>
      </c>
      <c r="DS26" s="141">
        <f t="shared" si="4"/>
        <v>4.2300000000000004E-2</v>
      </c>
      <c r="DT26" s="141">
        <f t="shared" si="4"/>
        <v>0.26570000000000005</v>
      </c>
      <c r="DU26" s="141">
        <f t="shared" si="4"/>
        <v>0.36980000000000002</v>
      </c>
      <c r="DV26" s="141">
        <f t="shared" si="4"/>
        <v>0</v>
      </c>
      <c r="DW26" s="141">
        <f t="shared" si="4"/>
        <v>0.1062</v>
      </c>
      <c r="DX26" s="141">
        <f t="shared" si="4"/>
        <v>4.0000000000000001E-3</v>
      </c>
      <c r="DY26" s="141">
        <f t="shared" si="4"/>
        <v>1.5000000000000003E-2</v>
      </c>
      <c r="DZ26" s="141">
        <f t="shared" si="4"/>
        <v>1.7999999999999999E-2</v>
      </c>
      <c r="EA26" s="141">
        <f t="shared" si="4"/>
        <v>2.7E-2</v>
      </c>
      <c r="EB26" s="141">
        <f t="shared" si="4"/>
        <v>1E-3</v>
      </c>
      <c r="EC26" s="141">
        <f t="shared" si="3"/>
        <v>45.013999999999996</v>
      </c>
      <c r="ED26" s="141">
        <f t="shared" si="3"/>
        <v>22.616</v>
      </c>
      <c r="EE26" s="141">
        <f t="shared" si="3"/>
        <v>50.624999999999993</v>
      </c>
      <c r="EF26" s="141">
        <f t="shared" si="3"/>
        <v>0.57400000000000007</v>
      </c>
      <c r="EG26" s="141">
        <f t="shared" si="3"/>
        <v>0.71600000000000008</v>
      </c>
      <c r="EH26" s="141">
        <f t="shared" si="3"/>
        <v>122.78999999999999</v>
      </c>
      <c r="EI26" s="141">
        <f t="shared" si="3"/>
        <v>30.571999999999996</v>
      </c>
      <c r="EJ26" s="141">
        <f t="shared" si="3"/>
        <v>48.003</v>
      </c>
      <c r="EK26" s="141">
        <f t="shared" si="3"/>
        <v>53.131999999999991</v>
      </c>
      <c r="EL26" s="141">
        <f t="shared" si="3"/>
        <v>0.42300000000000004</v>
      </c>
      <c r="EM26" s="141">
        <f t="shared" si="3"/>
        <v>0.36899999999999999</v>
      </c>
      <c r="EN26" s="141">
        <f t="shared" si="5"/>
        <v>0.64000000000000012</v>
      </c>
      <c r="EO26" s="141">
        <f t="shared" si="5"/>
        <v>0.97799999999999998</v>
      </c>
      <c r="EP26" s="145">
        <f t="shared" si="5"/>
        <v>0</v>
      </c>
      <c r="EQ26" s="145">
        <v>0</v>
      </c>
      <c r="ES26" s="141">
        <f t="shared" si="2"/>
        <v>0</v>
      </c>
      <c r="ET26" s="141">
        <f t="shared" si="2"/>
        <v>0</v>
      </c>
      <c r="EV26" s="141"/>
      <c r="EW26" s="141"/>
      <c r="FB26" s="107"/>
    </row>
    <row r="27" spans="1:158">
      <c r="A27" s="148" t="s">
        <v>158</v>
      </c>
      <c r="B27" s="146">
        <f>'[2]EU Sunflower Exports'!B$225</f>
        <v>0</v>
      </c>
      <c r="C27" s="146">
        <f>'[2]EU Sunflower Exports'!C$225</f>
        <v>0</v>
      </c>
      <c r="D27" s="146">
        <f>'[2]EU Sunflower Exports'!D$225</f>
        <v>0</v>
      </c>
      <c r="E27" s="146">
        <f>'[2]EU Sunflower Exports'!E$225</f>
        <v>0</v>
      </c>
      <c r="F27" s="146">
        <f>'[2]EU Sunflower Exports'!F$225</f>
        <v>0</v>
      </c>
      <c r="G27" s="146">
        <f>'[2]EU Sunflower Exports'!G$225</f>
        <v>0</v>
      </c>
      <c r="H27" s="146">
        <f>'[2]EU Sunflower Exports'!H$225</f>
        <v>7.4999999999999997E-2</v>
      </c>
      <c r="I27" s="146">
        <f>'[2]EU Sunflower Exports'!I$225</f>
        <v>3.0000000000000001E-3</v>
      </c>
      <c r="J27" s="146">
        <f>'[2]EU Sunflower Exports'!J$225</f>
        <v>2E-3</v>
      </c>
      <c r="K27" s="146">
        <f>'[2]EU Sunflower Exports'!K$225</f>
        <v>1E-3</v>
      </c>
      <c r="L27" s="146">
        <f>'[2]EU Sunflower Exports'!L$225</f>
        <v>7.0000000000000001E-3</v>
      </c>
      <c r="M27" s="146">
        <f>'[2]EU Sunflower Exports'!M$225</f>
        <v>0</v>
      </c>
      <c r="N27" s="146">
        <f>'[2]EU Sunflower Exports'!N$225</f>
        <v>0</v>
      </c>
      <c r="O27" s="146">
        <f>'[2]EU Sunflower Exports'!O$225</f>
        <v>0</v>
      </c>
      <c r="P27" s="141">
        <f>'[2]EU Sunflower Exports'!P$225</f>
        <v>1.7999999999999999E-2</v>
      </c>
      <c r="Q27" s="141">
        <f>'[2]EU Sunflower Exports'!Q$225</f>
        <v>2E-3</v>
      </c>
      <c r="R27" s="141">
        <f>'[2]EU Sunflower Exports'!R$225</f>
        <v>1.2E-2</v>
      </c>
      <c r="S27" s="141">
        <f>'[2]EU Sunflower Exports'!S$225</f>
        <v>4.0000000000000001E-3</v>
      </c>
      <c r="T27" s="141">
        <f>'[2]EU Sunflower Exports'!T$225</f>
        <v>2.1999999999999999E-2</v>
      </c>
      <c r="U27" s="141">
        <f>'[2]EU Sunflower Exports'!U$225</f>
        <v>2.8000000000000001E-2</v>
      </c>
      <c r="V27" s="141">
        <f>'[2]EU Sunflower Exports'!V$225</f>
        <v>0.20900000000000002</v>
      </c>
      <c r="W27" s="141">
        <f>'[2]EU Sunflower Exports'!W$225</f>
        <v>0.68800000000000006</v>
      </c>
      <c r="X27" s="141">
        <f>'[2]EU Sunflower Exports'!X$225</f>
        <v>0.20200000000000001</v>
      </c>
      <c r="Y27" s="141">
        <f>'[2]EU Sunflower Exports'!Y$225</f>
        <v>0.10200000000000001</v>
      </c>
      <c r="Z27" s="141">
        <f>'[2]EU Sunflower Exports'!Z$225</f>
        <v>3.9000000000000007E-2</v>
      </c>
      <c r="AA27" s="141">
        <f>'[2]EU Sunflower Exports'!AA$225</f>
        <v>2.6000000000000002E-2</v>
      </c>
      <c r="AB27" s="141">
        <f>'[2]EU Sunflower Exports'!AB$225</f>
        <v>0.13600000000000001</v>
      </c>
      <c r="AC27" s="141">
        <f>'[2]EU Sunflower Exports'!AC$225</f>
        <v>0.39300000000000002</v>
      </c>
      <c r="AD27" s="143">
        <f>'[2]EU Sunflower Exports'!BB$225</f>
        <v>0</v>
      </c>
      <c r="AE27" s="141">
        <f>'[2]EU Sunflower Exports'!AD$225</f>
        <v>0.22015999999999999</v>
      </c>
      <c r="AF27" s="141">
        <f>'[2]EU Sunflower Exports'!AE$225</f>
        <v>0</v>
      </c>
      <c r="AG27" s="141">
        <f>'[2]EU Sunflower Exports'!AF$225</f>
        <v>0</v>
      </c>
      <c r="AH27" s="141">
        <f>'[2]EU Sunflower Exports'!AG$225</f>
        <v>0</v>
      </c>
      <c r="AI27" s="141">
        <f>'[2]EU Sunflower Exports'!AH$225</f>
        <v>0</v>
      </c>
      <c r="AJ27" s="141">
        <f>'[2]EU Sunflower Exports'!AI$225</f>
        <v>0</v>
      </c>
      <c r="AK27" s="141">
        <f>'[2]EU Sunflower Exports'!AJ$225</f>
        <v>0</v>
      </c>
      <c r="AL27" s="141">
        <f>'[2]EU Sunflower Exports'!AK$225</f>
        <v>0</v>
      </c>
      <c r="AM27" s="141">
        <f>'[2]EU Sunflower Exports'!AL$225</f>
        <v>0</v>
      </c>
      <c r="AN27" s="141">
        <f>'[2]EU Sunflower Exports'!AM$225</f>
        <v>0</v>
      </c>
      <c r="AO27" s="141">
        <f>'[2]EU Sunflower Exports'!AN$225</f>
        <v>0</v>
      </c>
      <c r="AP27" s="141">
        <f>'[2]EU Sunflower Exports'!AO$225</f>
        <v>0</v>
      </c>
      <c r="AQ27" s="141">
        <f>'[2]EU Sunflower Exports'!AP$225</f>
        <v>0</v>
      </c>
      <c r="AR27" s="141">
        <f>'[2]EU Sunflower Exports'!AQ$225</f>
        <v>0</v>
      </c>
      <c r="AS27" s="141">
        <f>'[2]EU Sunflower Exports'!AR$225</f>
        <v>0</v>
      </c>
      <c r="AT27" s="141">
        <f>'[2]EU Sunflower Exports'!AS$225</f>
        <v>0</v>
      </c>
      <c r="AU27" s="141">
        <f>'[2]EU Sunflower Exports'!AT$225</f>
        <v>0</v>
      </c>
      <c r="AV27" s="141">
        <f>'[2]EU Sunflower Exports'!AU$225</f>
        <v>0</v>
      </c>
      <c r="AW27" s="141">
        <f>'[2]EU Sunflower Exports'!AV$225</f>
        <v>0</v>
      </c>
      <c r="AX27" s="141">
        <f>'[2]EU Sunflower Exports'!AW$225</f>
        <v>0</v>
      </c>
      <c r="AY27" s="141">
        <f>'[2]EU Sunflower Exports'!AX$225</f>
        <v>0</v>
      </c>
      <c r="AZ27" s="141">
        <f>'[2]EU Sunflower Exports'!AY$225</f>
        <v>0</v>
      </c>
      <c r="BA27" s="141">
        <f>'[2]EU Sunflower Exports'!AZ$225</f>
        <v>0</v>
      </c>
      <c r="BB27" s="141">
        <f>'[2]EU Sunflower Exports'!BA$225</f>
        <v>0</v>
      </c>
      <c r="BC27" s="141">
        <f>'[2]Ukraine Sunflower Exports'!Z$225</f>
        <v>0</v>
      </c>
      <c r="BD27" s="141">
        <f>'[2]Ukraine Sunflower Exports'!AA$225</f>
        <v>0</v>
      </c>
      <c r="BE27" s="141">
        <f>'[2]Ukraine Sunflower Exports'!AB$225</f>
        <v>0</v>
      </c>
      <c r="BF27" s="141">
        <f>'[2]Ukraine Sunflower Exports'!AC$225</f>
        <v>0</v>
      </c>
      <c r="BG27" s="143">
        <f>'[2]Ukraine Sunflower Exports'!AD$225</f>
        <v>0</v>
      </c>
      <c r="BH27" s="141">
        <f>'[2]Russia Sunflower Exports'!B$225</f>
        <v>0</v>
      </c>
      <c r="BI27" s="141">
        <f>'[2]Russia Sunflower Exports'!C$225</f>
        <v>0</v>
      </c>
      <c r="BJ27" s="141">
        <f>'[2]Russia Sunflower Exports'!D$225</f>
        <v>0</v>
      </c>
      <c r="BK27" s="141">
        <f>'[2]Russia Sunflower Exports'!E$225</f>
        <v>0</v>
      </c>
      <c r="BL27" s="141">
        <f>'[2]Russia Sunflower Exports'!F$225</f>
        <v>0</v>
      </c>
      <c r="BM27" s="141">
        <f>'[2]Russia Sunflower Exports'!G$225</f>
        <v>0</v>
      </c>
      <c r="BN27" s="141">
        <f>'[2]Russia Sunflower Exports'!H$225</f>
        <v>0</v>
      </c>
      <c r="BO27" s="141">
        <f>'[2]Russia Sunflower Exports'!I$225</f>
        <v>0</v>
      </c>
      <c r="BP27" s="141">
        <f>'[2]Russia Sunflower Exports'!J$225</f>
        <v>0</v>
      </c>
      <c r="BQ27" s="141">
        <f>'[2]Russia Sunflower Exports'!K$225</f>
        <v>1.6960000000000002</v>
      </c>
      <c r="BR27" s="141">
        <f>'[2]Russia Sunflower Exports'!L$225</f>
        <v>0</v>
      </c>
      <c r="BS27" s="141">
        <f>'[2]Russia Sunflower Exports'!M$225</f>
        <v>0</v>
      </c>
      <c r="BT27" s="141">
        <f>'[2]Russia Sunflower Exports'!N$225</f>
        <v>0</v>
      </c>
      <c r="BU27" s="141">
        <f>'[2]Russia Sunflower Exports'!O$225</f>
        <v>0</v>
      </c>
      <c r="BV27" s="141">
        <f>'[2]Russia Sunflower Exports'!P$225</f>
        <v>0</v>
      </c>
      <c r="BW27" s="141">
        <f>'[2]Russia Sunflower Exports'!Q$225</f>
        <v>0</v>
      </c>
      <c r="BX27" s="141">
        <f>'[2]Russia Sunflower Exports'!R$225</f>
        <v>0</v>
      </c>
      <c r="BY27" s="141">
        <f>'[2]Russia Sunflower Exports'!S$225</f>
        <v>0</v>
      </c>
      <c r="BZ27" s="141">
        <f>'[2]Russia Sunflower Exports'!T$225</f>
        <v>0</v>
      </c>
      <c r="CA27" s="141">
        <f>'[2]Russia Sunflower Exports'!U$225</f>
        <v>0</v>
      </c>
      <c r="CB27" s="141">
        <f>'[2]Russia Sunflower Exports'!V$225</f>
        <v>0</v>
      </c>
      <c r="CC27" s="141">
        <f>'[2]Russia Sunflower Exports'!W$225</f>
        <v>0</v>
      </c>
      <c r="CD27" s="141">
        <f>'[2]Russia Sunflower Exports'!X$225</f>
        <v>0</v>
      </c>
      <c r="CE27" s="141">
        <f>'[2]Russia Sunflower Exports'!Y$225</f>
        <v>0</v>
      </c>
      <c r="CF27" s="141">
        <f>'[2]Russia Sunflower Exports'!Z$225</f>
        <v>0</v>
      </c>
      <c r="CG27" s="147">
        <f>'[2]Russia Sunflower Exports'!AA$225</f>
        <v>0</v>
      </c>
      <c r="CH27" s="141">
        <f>'[2]Russia Sunflower Exports'!AB$225</f>
        <v>0</v>
      </c>
      <c r="CI27" s="141">
        <f>'[2]Russia Sunflower Exports'!AC$225</f>
        <v>0</v>
      </c>
      <c r="CJ27" s="143">
        <f>'[2]Russia Sunflower Exports'!AD$225</f>
        <v>0</v>
      </c>
      <c r="CK27" s="141">
        <f>'[3]Sunflower Exports'!B$225/2204.622*1000</f>
        <v>0</v>
      </c>
      <c r="CL27" s="141">
        <f>'[3]Sunflower Exports'!C$225/2204.622*1000</f>
        <v>0</v>
      </c>
      <c r="CM27" s="141">
        <f>'[3]Sunflower Exports'!D$225/2204.622*1000</f>
        <v>0</v>
      </c>
      <c r="CN27" s="141">
        <f>'[3]Sunflower Exports'!E$225/2204.622*1000</f>
        <v>0</v>
      </c>
      <c r="CO27" s="141">
        <f>'[3]Sunflower Exports'!F$225/2204.622*1000</f>
        <v>0</v>
      </c>
      <c r="CP27" s="141">
        <f>'[3]Sunflower Exports'!G$225/2204.622*1000</f>
        <v>0</v>
      </c>
      <c r="CQ27" s="141">
        <f>'[3]Sunflower Exports'!H$225/2204.622*1000</f>
        <v>0</v>
      </c>
      <c r="CR27" s="141">
        <f>'[3]Sunflower Exports'!I$225/2204.622*1000</f>
        <v>0</v>
      </c>
      <c r="CS27" s="141">
        <f>'[3]Sunflower Exports'!J$225/2204.622*1000</f>
        <v>0</v>
      </c>
      <c r="CT27" s="141">
        <f>'[3]Sunflower Exports'!K$225/2204.622*1000</f>
        <v>0</v>
      </c>
      <c r="CU27" s="141">
        <f>'[3]Sunflower Exports'!L$225/2204.622*1000</f>
        <v>0.11390000000000002</v>
      </c>
      <c r="CV27" s="141">
        <f>'[3]Sunflower Exports'!M$225/2204.622*1000</f>
        <v>0.36150000000000004</v>
      </c>
      <c r="CW27" s="141">
        <f>'[3]Sunflower Exports'!N$225/2204.622*1000</f>
        <v>0</v>
      </c>
      <c r="CX27" s="141">
        <f>'[3]Sunflower Exports'!O$225/2204.622*1000</f>
        <v>0</v>
      </c>
      <c r="CY27" s="141">
        <f>'[3]Sunflower Exports'!P$225/2204.622*1000</f>
        <v>0</v>
      </c>
      <c r="CZ27" s="141">
        <f>'[3]Sunflower Exports'!Q$225/2204.622*1000</f>
        <v>0</v>
      </c>
      <c r="DA27" s="141">
        <f>'[3]Sunflower Exports'!R$225/2204.622*1000</f>
        <v>0</v>
      </c>
      <c r="DB27" s="141">
        <f>'[3]Sunflower Exports'!S$225/2204.622*1000</f>
        <v>7.8399999999999997E-2</v>
      </c>
      <c r="DC27" s="141">
        <f>'[3]Sunflower Exports'!T$225/2204.622*1000</f>
        <v>0.25990000000000002</v>
      </c>
      <c r="DD27" s="141">
        <f>'[3]Sunflower Exports'!U$225/2204.622*1000</f>
        <v>0.22610000000000005</v>
      </c>
      <c r="DE27" s="141">
        <f>'[3]Sunflower Exports'!V$225/2204.622*1000</f>
        <v>0.20330000000000004</v>
      </c>
      <c r="DF27" s="141">
        <f>'[3]Sunflower Exports'!W$225/2204.622*1000</f>
        <v>0.1017</v>
      </c>
      <c r="DG27" s="141">
        <f>'[3]Sunflower Exports'!X$225/2204.622*1000</f>
        <v>3.9899999999999998E-2</v>
      </c>
      <c r="DH27" s="141">
        <f>'[3]Sunflower Exports'!Y$225/2204.622*1000</f>
        <v>0</v>
      </c>
      <c r="DI27" s="141">
        <f>'[3]Sunflower Exports'!Z$225/2204.622*1000</f>
        <v>0</v>
      </c>
      <c r="DJ27" s="141">
        <f>'[3]Sunflower Exports'!AA$225/2204.622*1000</f>
        <v>0</v>
      </c>
      <c r="DK27" s="141">
        <f>'[3]Sunflower Exports'!AB$225/2204.622*1000</f>
        <v>0</v>
      </c>
      <c r="DL27" s="141">
        <f>'[3]Sunflower Exports'!AC$225/2204.622*1000</f>
        <v>0</v>
      </c>
      <c r="DM27" s="143">
        <f>'[3]Sunflower Exports'!AD$225/2204.622*1000</f>
        <v>0</v>
      </c>
      <c r="DN27" s="141">
        <f t="shared" si="4"/>
        <v>0.22015999999999999</v>
      </c>
      <c r="DO27" s="141">
        <f t="shared" si="4"/>
        <v>0</v>
      </c>
      <c r="DP27" s="141">
        <f t="shared" si="4"/>
        <v>0</v>
      </c>
      <c r="DQ27" s="141">
        <f t="shared" si="4"/>
        <v>0</v>
      </c>
      <c r="DR27" s="141">
        <f t="shared" si="4"/>
        <v>0</v>
      </c>
      <c r="DS27" s="141">
        <f t="shared" si="4"/>
        <v>0</v>
      </c>
      <c r="DT27" s="141">
        <f t="shared" si="4"/>
        <v>7.4999999999999997E-2</v>
      </c>
      <c r="DU27" s="141">
        <f t="shared" si="4"/>
        <v>3.0000000000000001E-3</v>
      </c>
      <c r="DV27" s="141">
        <f t="shared" si="4"/>
        <v>2E-3</v>
      </c>
      <c r="DW27" s="141">
        <f t="shared" si="4"/>
        <v>1.6970000000000001</v>
      </c>
      <c r="DX27" s="141">
        <f t="shared" si="4"/>
        <v>0.12090000000000002</v>
      </c>
      <c r="DY27" s="141">
        <f t="shared" si="4"/>
        <v>0.36150000000000004</v>
      </c>
      <c r="DZ27" s="141">
        <f t="shared" si="4"/>
        <v>0</v>
      </c>
      <c r="EA27" s="141">
        <f t="shared" si="4"/>
        <v>0</v>
      </c>
      <c r="EB27" s="141">
        <f t="shared" si="4"/>
        <v>1.7999999999999999E-2</v>
      </c>
      <c r="EC27" s="141">
        <f t="shared" si="3"/>
        <v>2E-3</v>
      </c>
      <c r="ED27" s="141">
        <f t="shared" si="3"/>
        <v>1.2E-2</v>
      </c>
      <c r="EE27" s="141">
        <f t="shared" si="3"/>
        <v>8.2400000000000001E-2</v>
      </c>
      <c r="EF27" s="141">
        <f t="shared" si="3"/>
        <v>0.28190000000000004</v>
      </c>
      <c r="EG27" s="141">
        <f t="shared" si="3"/>
        <v>0.25410000000000005</v>
      </c>
      <c r="EH27" s="141">
        <f t="shared" si="3"/>
        <v>0.41230000000000006</v>
      </c>
      <c r="EI27" s="141">
        <f t="shared" si="3"/>
        <v>0.78970000000000007</v>
      </c>
      <c r="EJ27" s="141">
        <f t="shared" si="3"/>
        <v>0.2419</v>
      </c>
      <c r="EK27" s="141">
        <f t="shared" si="3"/>
        <v>0.10200000000000001</v>
      </c>
      <c r="EL27" s="141">
        <f t="shared" si="3"/>
        <v>3.9000000000000007E-2</v>
      </c>
      <c r="EM27" s="141">
        <f t="shared" si="3"/>
        <v>2.6000000000000002E-2</v>
      </c>
      <c r="EN27" s="141">
        <f t="shared" si="5"/>
        <v>0.13600000000000001</v>
      </c>
      <c r="EO27" s="141">
        <f t="shared" si="5"/>
        <v>0.39300000000000002</v>
      </c>
      <c r="EP27" s="145">
        <f t="shared" si="5"/>
        <v>0</v>
      </c>
      <c r="EQ27" s="145">
        <v>0</v>
      </c>
      <c r="ES27" s="141">
        <f t="shared" si="2"/>
        <v>0</v>
      </c>
      <c r="ET27" s="141">
        <f t="shared" si="2"/>
        <v>0</v>
      </c>
      <c r="EV27" s="141"/>
      <c r="EW27" s="141"/>
      <c r="FB27" s="107"/>
    </row>
    <row r="28" spans="1:158">
      <c r="A28" s="148" t="s">
        <v>159</v>
      </c>
      <c r="B28" s="146">
        <f>'[2]EU Sunflower Exports'!B$164-SUM(B23:B27)</f>
        <v>0</v>
      </c>
      <c r="C28" s="146">
        <f>'[2]EU Sunflower Exports'!C$164-SUM(C23:C27)</f>
        <v>0</v>
      </c>
      <c r="D28" s="146">
        <f>'[2]EU Sunflower Exports'!D$164-SUM(D23:D27)</f>
        <v>0</v>
      </c>
      <c r="E28" s="146">
        <f>'[2]EU Sunflower Exports'!E$164-SUM(E23:E27)</f>
        <v>1.0000000000012221E-3</v>
      </c>
      <c r="F28" s="146">
        <f>'[2]EU Sunflower Exports'!F$164-SUM(F23:F27)</f>
        <v>6.4000000000000057E-2</v>
      </c>
      <c r="G28" s="146">
        <f>'[2]EU Sunflower Exports'!G$164-SUM(G23:G27)</f>
        <v>3.5000000000000142E-2</v>
      </c>
      <c r="H28" s="146">
        <f>'[2]EU Sunflower Exports'!H$164-SUM(H23:H27)</f>
        <v>5.9000000000001052E-2</v>
      </c>
      <c r="I28" s="146">
        <f>'[2]EU Sunflower Exports'!I$164-SUM(I23:I27)</f>
        <v>4.2000000000000703E-2</v>
      </c>
      <c r="J28" s="146">
        <f>'[2]EU Sunflower Exports'!J$164-SUM(J23:J27)</f>
        <v>1.3999999999999346E-2</v>
      </c>
      <c r="K28" s="146">
        <f>'[2]EU Sunflower Exports'!K$164-SUM(K23:K27)</f>
        <v>3.1000000000000028E-2</v>
      </c>
      <c r="L28" s="146">
        <f>'[2]EU Sunflower Exports'!L$164-SUM(L23:L27)</f>
        <v>4.2000000000001592E-2</v>
      </c>
      <c r="M28" s="146">
        <f>'[2]EU Sunflower Exports'!M$164-SUM(M23:M27)</f>
        <v>4.7000000000000597E-2</v>
      </c>
      <c r="N28" s="146">
        <f>'[2]EU Sunflower Exports'!N$164-SUM(N23:N27)</f>
        <v>4.2000000000001592E-2</v>
      </c>
      <c r="O28" s="146">
        <f>'[2]EU Sunflower Exports'!O$164-SUM(O23:O27)</f>
        <v>3.9999999999999147E-2</v>
      </c>
      <c r="P28" s="141">
        <f>'[2]EU Sunflower Exports'!P$164-SUM(P23:P27)</f>
        <v>4.8999999999999988E-2</v>
      </c>
      <c r="Q28" s="141">
        <f>'[2]EU Sunflower Exports'!Q$164-SUM(Q23:Q27)</f>
        <v>2.6999999999999247E-2</v>
      </c>
      <c r="R28" s="141">
        <f>'[2]EU Sunflower Exports'!R$164-SUM(R23:R27)</f>
        <v>5.099999999999838E-2</v>
      </c>
      <c r="S28" s="141">
        <f>'[2]EU Sunflower Exports'!S$164-SUM(S23:S27)</f>
        <v>0.15999999999999659</v>
      </c>
      <c r="T28" s="141">
        <f>'[2]EU Sunflower Exports'!T$164-SUM(T23:T27)</f>
        <v>8.5000000000004405E-2</v>
      </c>
      <c r="U28" s="141">
        <f>'[2]EU Sunflower Exports'!U$164-SUM(U23:U27)</f>
        <v>0.12899999999999978</v>
      </c>
      <c r="V28" s="141">
        <f>'[2]EU Sunflower Exports'!V$164-SUM(V23:V27)</f>
        <v>0.12800000000001432</v>
      </c>
      <c r="W28" s="141">
        <f>'[2]EU Sunflower Exports'!W$164-SUM(W23:W27)</f>
        <v>0.10699999999999932</v>
      </c>
      <c r="X28" s="141">
        <f>'[2]EU Sunflower Exports'!X$164-SUM(X23:X27)</f>
        <v>0.31799999999999784</v>
      </c>
      <c r="Y28" s="141">
        <f>'[2]EU Sunflower Exports'!Y$164-SUM(Y23:Y27)</f>
        <v>0.27400000000000801</v>
      </c>
      <c r="Z28" s="141">
        <f>'[2]EU Sunflower Exports'!Z$164-SUM(Z23:Z27)</f>
        <v>1.4280000000000115</v>
      </c>
      <c r="AA28" s="141">
        <f>'[2]EU Sunflower Exports'!AA$164-SUM(AA23:AA27)</f>
        <v>1.145</v>
      </c>
      <c r="AB28" s="141">
        <f>'[2]EU Sunflower Exports'!AB$164-SUM(AB23:AB27)</f>
        <v>1.8579999999999988</v>
      </c>
      <c r="AC28" s="141">
        <f>'[2]EU Sunflower Exports'!AC$164-SUM(AC23:AC27)</f>
        <v>0.81900000000001683</v>
      </c>
      <c r="AD28" s="143">
        <v>0</v>
      </c>
      <c r="AE28" s="141">
        <v>2</v>
      </c>
      <c r="AF28" s="141">
        <v>3</v>
      </c>
      <c r="AG28" s="141">
        <v>4</v>
      </c>
      <c r="AH28" s="141">
        <v>5</v>
      </c>
      <c r="AI28" s="141">
        <v>6</v>
      </c>
      <c r="AJ28" s="141">
        <v>7</v>
      </c>
      <c r="AK28" s="141">
        <v>8</v>
      </c>
      <c r="AL28" s="141">
        <v>9</v>
      </c>
      <c r="AM28" s="141">
        <v>10</v>
      </c>
      <c r="AN28" s="141">
        <v>11</v>
      </c>
      <c r="AO28" s="141">
        <v>12</v>
      </c>
      <c r="AP28" s="141">
        <v>13</v>
      </c>
      <c r="AQ28" s="141">
        <v>14</v>
      </c>
      <c r="AR28" s="141">
        <v>15</v>
      </c>
      <c r="AS28" s="141">
        <v>16</v>
      </c>
      <c r="AT28" s="141">
        <v>17</v>
      </c>
      <c r="AU28" s="141">
        <v>18</v>
      </c>
      <c r="AV28" s="141">
        <v>19</v>
      </c>
      <c r="AW28" s="141">
        <v>20</v>
      </c>
      <c r="AX28" s="141">
        <v>21</v>
      </c>
      <c r="AY28" s="141">
        <v>22</v>
      </c>
      <c r="AZ28" s="141">
        <v>23</v>
      </c>
      <c r="BA28" s="141">
        <v>24</v>
      </c>
      <c r="BB28" s="141">
        <v>25</v>
      </c>
      <c r="BC28" s="141">
        <f>'[2]Ukraine Sunflower Exports'!Z$164-SUM(BC23:BC27)</f>
        <v>4.0719999999999978E-2</v>
      </c>
      <c r="BD28" s="141">
        <f>'[2]Ukraine Sunflower Exports'!AA$164-SUM(BD23:BD27)</f>
        <v>5.2000000000000046E-2</v>
      </c>
      <c r="BE28" s="141">
        <f>'[2]Ukraine Sunflower Exports'!AB$164-SUM(BE23:BE27)</f>
        <v>4.271999999999998E-2</v>
      </c>
      <c r="BF28" s="141">
        <f>'[2]Ukraine Sunflower Exports'!AC$164-SUM(BF23:BF27)</f>
        <v>2.7199999999999998E-2</v>
      </c>
      <c r="BG28" s="143">
        <f>'[2]Ukraine Sunflower Exports'!AD$164-SUM(BG23:BG27)</f>
        <v>0</v>
      </c>
      <c r="BH28" s="141">
        <f>'[2]Russia Sunflower Exports'!B$164-SUM(BH23:BH27)</f>
        <v>0</v>
      </c>
      <c r="BI28" s="141">
        <f>'[2]Russia Sunflower Exports'!C$164-SUM(BI23:BI27)</f>
        <v>0</v>
      </c>
      <c r="BJ28" s="141">
        <f>'[2]Russia Sunflower Exports'!D$164-SUM(BJ23:BJ27)</f>
        <v>0</v>
      </c>
      <c r="BK28" s="141">
        <f>'[2]Russia Sunflower Exports'!E$164-SUM(BK23:BK27)</f>
        <v>0</v>
      </c>
      <c r="BL28" s="141">
        <f>'[2]Russia Sunflower Exports'!F$164-SUM(BL23:BL27)</f>
        <v>0</v>
      </c>
      <c r="BM28" s="141">
        <f>'[2]Russia Sunflower Exports'!G$164-SUM(BM23:BM27)</f>
        <v>0</v>
      </c>
      <c r="BN28" s="141">
        <f>'[2]Russia Sunflower Exports'!H$164-SUM(BN23:BN27)</f>
        <v>0</v>
      </c>
      <c r="BO28" s="141">
        <f>'[2]Russia Sunflower Exports'!I$164-SUM(BO23:BO27)</f>
        <v>0</v>
      </c>
      <c r="BP28" s="141">
        <f>'[2]Russia Sunflower Exports'!J$164-SUM(BP23:BP27)</f>
        <v>0</v>
      </c>
      <c r="BQ28" s="141">
        <f>'[2]Russia Sunflower Exports'!K$164-SUM(BQ23:BQ27)</f>
        <v>0</v>
      </c>
      <c r="BR28" s="141">
        <f>'[2]Russia Sunflower Exports'!L$164-SUM(BR23:BR27)</f>
        <v>0</v>
      </c>
      <c r="BS28" s="141">
        <f>'[2]Russia Sunflower Exports'!M$164-SUM(BS23:BS27)</f>
        <v>0</v>
      </c>
      <c r="BT28" s="141">
        <f>'[2]Russia Sunflower Exports'!N$164-SUM(BT23:BT27)</f>
        <v>0</v>
      </c>
      <c r="BU28" s="141">
        <f>'[2]Russia Sunflower Exports'!O$164-SUM(BU23:BU27)</f>
        <v>0</v>
      </c>
      <c r="BV28" s="141">
        <f>'[2]Russia Sunflower Exports'!P$164-SUM(BV23:BV27)</f>
        <v>0</v>
      </c>
      <c r="BW28" s="141">
        <f>'[2]Russia Sunflower Exports'!Q$164-SUM(BW23:BW27)</f>
        <v>0</v>
      </c>
      <c r="BX28" s="141">
        <f>'[2]Russia Sunflower Exports'!R$164-SUM(BX23:BX27)</f>
        <v>0</v>
      </c>
      <c r="BY28" s="141">
        <f>'[2]Russia Sunflower Exports'!S$164-SUM(BY23:BY27)</f>
        <v>0</v>
      </c>
      <c r="BZ28" s="141">
        <f>'[2]Russia Sunflower Exports'!T$164-SUM(BZ23:BZ27)</f>
        <v>0</v>
      </c>
      <c r="CA28" s="141">
        <f>'[2]Russia Sunflower Exports'!U$164-SUM(CA23:CA27)</f>
        <v>0</v>
      </c>
      <c r="CB28" s="141">
        <f>'[2]Russia Sunflower Exports'!V$164-SUM(CB23:CB27)</f>
        <v>0</v>
      </c>
      <c r="CC28" s="141">
        <f>'[2]Russia Sunflower Exports'!W$164-SUM(CC23:CC27)</f>
        <v>0</v>
      </c>
      <c r="CD28" s="141">
        <f>'[2]Russia Sunflower Exports'!X$164-SUM(CD23:CD27)</f>
        <v>0</v>
      </c>
      <c r="CE28" s="141">
        <f>'[2]Russia Sunflower Exports'!Y$164-SUM(CE23:CE27)</f>
        <v>0</v>
      </c>
      <c r="CF28" s="141">
        <f>'[2]Russia Sunflower Exports'!Z$164-SUM(CF23:CF27)</f>
        <v>0</v>
      </c>
      <c r="CG28" s="147">
        <f>'[2]Russia Sunflower Exports'!AA$164-SUM(CG23:CG27)</f>
        <v>4.7999999999998044E-4</v>
      </c>
      <c r="CH28" s="141">
        <f>'[2]Russia Sunflower Exports'!AB$164-SUM(CH23:CH27)</f>
        <v>4.9634389999999993</v>
      </c>
      <c r="CI28" s="141">
        <f>'[2]Russia Sunflower Exports'!AC$164-SUM(CI23:CI27)</f>
        <v>6.6263800000000002</v>
      </c>
      <c r="CJ28" s="143">
        <f>'[2]Russia Sunflower Exports'!AD$164-SUM(CJ23:CJ27)</f>
        <v>0.75226000000000004</v>
      </c>
      <c r="CK28" s="141">
        <f>('[3]Sunflower Exports'!B$164/2204.622*1000)-SUM(CK23:CK27)</f>
        <v>0</v>
      </c>
      <c r="CL28" s="141">
        <f>('[3]Sunflower Exports'!C$164/2204.622*1000)-SUM(CL23:CL27)</f>
        <v>0</v>
      </c>
      <c r="CM28" s="141">
        <f>('[3]Sunflower Exports'!D$164/2204.622*1000)-SUM(CM23:CM27)</f>
        <v>0.06</v>
      </c>
      <c r="CN28" s="141">
        <f>('[3]Sunflower Exports'!E$164/2204.622*1000)-SUM(CN23:CN27)</f>
        <v>0</v>
      </c>
      <c r="CO28" s="141">
        <f>('[3]Sunflower Exports'!F$164/2204.622*1000)-SUM(CO23:CO27)</f>
        <v>0</v>
      </c>
      <c r="CP28" s="141">
        <f>('[3]Sunflower Exports'!G$164/2204.622*1000)-SUM(CP23:CP27)</f>
        <v>2.0000000000000004E-2</v>
      </c>
      <c r="CQ28" s="141">
        <f>('[3]Sunflower Exports'!H$164/2204.622*1000)-SUM(CQ23:CQ27)</f>
        <v>0</v>
      </c>
      <c r="CR28" s="141">
        <f>('[3]Sunflower Exports'!I$164/2204.622*1000)-SUM(CR23:CR27)</f>
        <v>0.92019999999999946</v>
      </c>
      <c r="CS28" s="141">
        <f>('[3]Sunflower Exports'!J$164/2204.622*1000)-SUM(CS23:CS27)</f>
        <v>1.8242</v>
      </c>
      <c r="CT28" s="141">
        <f>('[3]Sunflower Exports'!K$164/2204.622*1000)-SUM(CT23:CT27)</f>
        <v>1.0703999999999998</v>
      </c>
      <c r="CU28" s="141">
        <f>('[3]Sunflower Exports'!L$164/2204.622*1000)-SUM(CU23:CU27)</f>
        <v>4.0800000000000017E-2</v>
      </c>
      <c r="CV28" s="141">
        <f>('[3]Sunflower Exports'!M$164/2204.622*1000)-SUM(CV23:CV27)</f>
        <v>0</v>
      </c>
      <c r="CW28" s="141">
        <f>('[3]Sunflower Exports'!N$164/2204.622*1000)-SUM(CW23:CW27)</f>
        <v>0</v>
      </c>
      <c r="CX28" s="141">
        <f>('[3]Sunflower Exports'!O$164/2204.622*1000)-SUM(CX23:CX27)</f>
        <v>0</v>
      </c>
      <c r="CY28" s="141">
        <f>('[3]Sunflower Exports'!P$164/2204.622*1000)-SUM(CY23:CY27)</f>
        <v>8.1999999999998741E-3</v>
      </c>
      <c r="CZ28" s="141">
        <f>('[3]Sunflower Exports'!Q$164/2204.622*1000)-SUM(CZ23:CZ27)</f>
        <v>0.1008</v>
      </c>
      <c r="DA28" s="141">
        <f>('[3]Sunflower Exports'!R$164/2204.622*1000)-SUM(DA23:DA27)</f>
        <v>0.1626000000000003</v>
      </c>
      <c r="DB28" s="141">
        <f>('[3]Sunflower Exports'!S$164/2204.622*1000)-SUM(DB23:DB27)</f>
        <v>4.0000000000000036E-2</v>
      </c>
      <c r="DC28" s="141">
        <f>('[3]Sunflower Exports'!T$164/2204.622*1000)-SUM(DC23:DC27)</f>
        <v>0</v>
      </c>
      <c r="DD28" s="141">
        <f>('[3]Sunflower Exports'!U$164/2204.622*1000)-SUM(DD23:DD27)</f>
        <v>0</v>
      </c>
      <c r="DE28" s="141">
        <f>('[3]Sunflower Exports'!V$164/2204.622*1000)-SUM(DE23:DE27)</f>
        <v>4.5999999999999375E-3</v>
      </c>
      <c r="DF28" s="141">
        <f>('[3]Sunflower Exports'!W$164/2204.622*1000)-SUM(DF23:DF27)</f>
        <v>0</v>
      </c>
      <c r="DG28" s="141">
        <f>('[3]Sunflower Exports'!X$164/2204.622*1000)-SUM(DG23:DG27)</f>
        <v>0</v>
      </c>
      <c r="DH28" s="141">
        <f>('[3]Sunflower Exports'!Y$164/2204.622*1000)-SUM(DH23:DH27)</f>
        <v>0.16592585401034698</v>
      </c>
      <c r="DI28" s="141">
        <f>('[3]Sunflower Exports'!Z$164/2204.622*1000)-SUM(DI23:DI27)</f>
        <v>1.1143109891128729</v>
      </c>
      <c r="DJ28" s="141">
        <f>('[3]Sunflower Exports'!AA$164/2204.622*1000)-SUM(DJ23:DJ27)</f>
        <v>0.33077269992769742</v>
      </c>
      <c r="DK28" s="141">
        <f>('[3]Sunflower Exports'!AB$164/2204.622*1000)-SUM(DK23:DK27)</f>
        <v>0.20733581190789166</v>
      </c>
      <c r="DL28" s="141">
        <f>('[3]Sunflower Exports'!AC$164/2204.622*1000)-SUM(DL23:DL27)</f>
        <v>1.5064714041681471E-2</v>
      </c>
      <c r="DM28" s="143">
        <f>('[3]Sunflower Exports'!AD$164/2204.622*1000)-SUM(DM23:DM27)</f>
        <v>0</v>
      </c>
      <c r="DN28" s="141">
        <f t="shared" si="4"/>
        <v>2</v>
      </c>
      <c r="DO28" s="141">
        <f t="shared" si="4"/>
        <v>3</v>
      </c>
      <c r="DP28" s="141">
        <f t="shared" si="4"/>
        <v>4.0599999999999996</v>
      </c>
      <c r="DQ28" s="141">
        <f t="shared" si="4"/>
        <v>5.0010000000000012</v>
      </c>
      <c r="DR28" s="141">
        <f t="shared" si="4"/>
        <v>6.0640000000000001</v>
      </c>
      <c r="DS28" s="141">
        <f t="shared" si="4"/>
        <v>7.0549999999999997</v>
      </c>
      <c r="DT28" s="141">
        <f t="shared" si="4"/>
        <v>8.0590000000000011</v>
      </c>
      <c r="DU28" s="141">
        <f t="shared" si="4"/>
        <v>9.9622000000000011</v>
      </c>
      <c r="DV28" s="141">
        <f t="shared" si="4"/>
        <v>11.838199999999999</v>
      </c>
      <c r="DW28" s="141">
        <f t="shared" si="4"/>
        <v>12.1014</v>
      </c>
      <c r="DX28" s="141">
        <f t="shared" si="4"/>
        <v>12.082800000000002</v>
      </c>
      <c r="DY28" s="141">
        <f t="shared" si="4"/>
        <v>13.047000000000001</v>
      </c>
      <c r="DZ28" s="141">
        <f t="shared" si="4"/>
        <v>14.042000000000002</v>
      </c>
      <c r="EA28" s="141">
        <f t="shared" si="4"/>
        <v>15.04</v>
      </c>
      <c r="EB28" s="141">
        <f t="shared" si="4"/>
        <v>16.057199999999998</v>
      </c>
      <c r="EC28" s="141">
        <f t="shared" si="3"/>
        <v>17.127800000000001</v>
      </c>
      <c r="ED28" s="141">
        <f t="shared" si="3"/>
        <v>18.2136</v>
      </c>
      <c r="EE28" s="141">
        <f t="shared" si="3"/>
        <v>19.199999999999996</v>
      </c>
      <c r="EF28" s="141">
        <f t="shared" si="3"/>
        <v>20.085000000000004</v>
      </c>
      <c r="EG28" s="141">
        <f t="shared" si="3"/>
        <v>21.129000000000001</v>
      </c>
      <c r="EH28" s="141">
        <f t="shared" si="3"/>
        <v>22.132600000000014</v>
      </c>
      <c r="EI28" s="141">
        <f t="shared" si="3"/>
        <v>23.106999999999999</v>
      </c>
      <c r="EJ28" s="141">
        <f t="shared" si="3"/>
        <v>24.317999999999998</v>
      </c>
      <c r="EK28" s="141">
        <f t="shared" si="3"/>
        <v>25.439925854010355</v>
      </c>
      <c r="EL28" s="141">
        <f t="shared" si="3"/>
        <v>2.583030989112884</v>
      </c>
      <c r="EM28" s="141">
        <f t="shared" si="3"/>
        <v>1.5282526999276975</v>
      </c>
      <c r="EN28" s="141">
        <f t="shared" si="5"/>
        <v>7.0714948119078898</v>
      </c>
      <c r="EO28" s="141">
        <f t="shared" si="5"/>
        <v>7.4876447140416982</v>
      </c>
      <c r="EP28" s="145">
        <f t="shared" si="5"/>
        <v>0.75226000000000004</v>
      </c>
      <c r="EQ28" s="145">
        <v>0</v>
      </c>
      <c r="ES28" s="141">
        <f t="shared" si="2"/>
        <v>0</v>
      </c>
      <c r="ET28" s="141">
        <f t="shared" si="2"/>
        <v>0</v>
      </c>
      <c r="EV28" s="141"/>
      <c r="EW28" s="141"/>
      <c r="FB28" s="107"/>
    </row>
    <row r="29" spans="1:158">
      <c r="A29" s="148" t="s">
        <v>160</v>
      </c>
      <c r="B29" s="146">
        <f>'[2]EU Sunflower Exports'!B$234</f>
        <v>0</v>
      </c>
      <c r="C29" s="146">
        <f>'[2]EU Sunflower Exports'!C$234</f>
        <v>0</v>
      </c>
      <c r="D29" s="146">
        <f>'[2]EU Sunflower Exports'!D$234</f>
        <v>0</v>
      </c>
      <c r="E29" s="146">
        <f>'[2]EU Sunflower Exports'!E$234</f>
        <v>5.3000000000000005E-2</v>
      </c>
      <c r="F29" s="146">
        <f>'[2]EU Sunflower Exports'!F$234</f>
        <v>0.02</v>
      </c>
      <c r="G29" s="146">
        <f>'[2]EU Sunflower Exports'!G$234</f>
        <v>3.7999999999999999E-2</v>
      </c>
      <c r="H29" s="146">
        <f>'[2]EU Sunflower Exports'!H$234</f>
        <v>4.2000000000000003E-2</v>
      </c>
      <c r="I29" s="146">
        <f>'[2]EU Sunflower Exports'!I$234</f>
        <v>2.9000000000000001E-2</v>
      </c>
      <c r="J29" s="146">
        <f>'[2]EU Sunflower Exports'!J$234</f>
        <v>7.0000000000000001E-3</v>
      </c>
      <c r="K29" s="146">
        <f>'[2]EU Sunflower Exports'!K$234</f>
        <v>4.0000000000000001E-3</v>
      </c>
      <c r="L29" s="146">
        <f>'[2]EU Sunflower Exports'!L$234</f>
        <v>2E-3</v>
      </c>
      <c r="M29" s="146">
        <f>'[2]EU Sunflower Exports'!M$234</f>
        <v>4.0000000000000001E-3</v>
      </c>
      <c r="N29" s="146">
        <f>'[2]EU Sunflower Exports'!N$234</f>
        <v>6.4000000000000001E-2</v>
      </c>
      <c r="O29" s="146">
        <f>'[2]EU Sunflower Exports'!O$234</f>
        <v>3.6000000000000004E-2</v>
      </c>
      <c r="P29" s="141">
        <f>'[2]EU Sunflower Exports'!P$234</f>
        <v>7.1999999999999995E-2</v>
      </c>
      <c r="Q29" s="141">
        <f>'[2]EU Sunflower Exports'!Q$234</f>
        <v>1.2999999999999999E-2</v>
      </c>
      <c r="R29" s="141">
        <f>'[2]EU Sunflower Exports'!R$234</f>
        <v>4.0000000000000001E-3</v>
      </c>
      <c r="S29" s="141">
        <f>'[2]EU Sunflower Exports'!S$234</f>
        <v>2.2000000000000002E-2</v>
      </c>
      <c r="T29" s="141">
        <f>'[2]EU Sunflower Exports'!T$234</f>
        <v>0.02</v>
      </c>
      <c r="U29" s="141">
        <f>'[2]EU Sunflower Exports'!U$234</f>
        <v>3.8000000000000006E-2</v>
      </c>
      <c r="V29" s="141">
        <f>'[2]EU Sunflower Exports'!V$234</f>
        <v>2.4E-2</v>
      </c>
      <c r="W29" s="141">
        <f>'[2]EU Sunflower Exports'!W$234</f>
        <v>2.5000000000000001E-2</v>
      </c>
      <c r="X29" s="141">
        <f>'[2]EU Sunflower Exports'!X$234</f>
        <v>0.16399999999999998</v>
      </c>
      <c r="Y29" s="141">
        <f>'[2]EU Sunflower Exports'!Y$234</f>
        <v>7.3999999999999996E-2</v>
      </c>
      <c r="Z29" s="141">
        <f>'[2]EU Sunflower Exports'!Z$234</f>
        <v>3.5000000000000003E-2</v>
      </c>
      <c r="AA29" s="141">
        <f>'[2]EU Sunflower Exports'!AA$234</f>
        <v>0.25800000000000001</v>
      </c>
      <c r="AB29" s="141">
        <f>'[2]EU Sunflower Exports'!AB$234</f>
        <v>0.155</v>
      </c>
      <c r="AC29" s="141">
        <f>'[2]EU Sunflower Exports'!AC$234</f>
        <v>2E-3</v>
      </c>
      <c r="AD29" s="143">
        <f>'[2]EU Sunflower Exports'!BB$234</f>
        <v>0</v>
      </c>
      <c r="AE29" s="141">
        <f>'[2]EU Sunflower Exports'!AD$234</f>
        <v>7.6999999999999985E-2</v>
      </c>
      <c r="AF29" s="141">
        <f>'[2]EU Sunflower Exports'!AE$234</f>
        <v>0</v>
      </c>
      <c r="AG29" s="141">
        <f>'[2]EU Sunflower Exports'!AF$234</f>
        <v>0</v>
      </c>
      <c r="AH29" s="141">
        <f>'[2]EU Sunflower Exports'!AG$234</f>
        <v>0</v>
      </c>
      <c r="AI29" s="141">
        <f>'[2]EU Sunflower Exports'!AH$234</f>
        <v>0</v>
      </c>
      <c r="AJ29" s="141">
        <f>'[2]EU Sunflower Exports'!AI$234</f>
        <v>0</v>
      </c>
      <c r="AK29" s="141">
        <f>'[2]EU Sunflower Exports'!AJ$234</f>
        <v>0</v>
      </c>
      <c r="AL29" s="141">
        <f>'[2]EU Sunflower Exports'!AK$234</f>
        <v>0</v>
      </c>
      <c r="AM29" s="141">
        <f>'[2]EU Sunflower Exports'!AL$234</f>
        <v>0</v>
      </c>
      <c r="AN29" s="141">
        <f>'[2]EU Sunflower Exports'!AM$234</f>
        <v>0</v>
      </c>
      <c r="AO29" s="141">
        <f>'[2]EU Sunflower Exports'!AN$234</f>
        <v>0</v>
      </c>
      <c r="AP29" s="141">
        <f>'[2]EU Sunflower Exports'!AO$234</f>
        <v>0</v>
      </c>
      <c r="AQ29" s="141">
        <f>'[2]EU Sunflower Exports'!AP$234</f>
        <v>0</v>
      </c>
      <c r="AR29" s="141">
        <f>'[2]EU Sunflower Exports'!AQ$234</f>
        <v>0</v>
      </c>
      <c r="AS29" s="141">
        <f>'[2]EU Sunflower Exports'!AR$234</f>
        <v>0</v>
      </c>
      <c r="AT29" s="141">
        <f>'[2]EU Sunflower Exports'!AS$234</f>
        <v>0</v>
      </c>
      <c r="AU29" s="141">
        <f>'[2]EU Sunflower Exports'!AT$234</f>
        <v>0</v>
      </c>
      <c r="AV29" s="141">
        <f>'[2]EU Sunflower Exports'!AU$234</f>
        <v>0</v>
      </c>
      <c r="AW29" s="141">
        <f>'[2]EU Sunflower Exports'!AV$234</f>
        <v>0</v>
      </c>
      <c r="AX29" s="141">
        <f>'[2]EU Sunflower Exports'!AW$234</f>
        <v>0</v>
      </c>
      <c r="AY29" s="141">
        <f>'[2]EU Sunflower Exports'!AX$234</f>
        <v>0</v>
      </c>
      <c r="AZ29" s="141">
        <f>'[2]EU Sunflower Exports'!AY$234</f>
        <v>0</v>
      </c>
      <c r="BA29" s="141">
        <f>'[2]EU Sunflower Exports'!AZ$234</f>
        <v>0</v>
      </c>
      <c r="BB29" s="141">
        <f>'[2]EU Sunflower Exports'!BA$234</f>
        <v>0</v>
      </c>
      <c r="BC29" s="141">
        <f>'[2]Ukraine Sunflower Exports'!Z$234</f>
        <v>0</v>
      </c>
      <c r="BD29" s="141">
        <f>'[2]Ukraine Sunflower Exports'!AA$234</f>
        <v>0</v>
      </c>
      <c r="BE29" s="141">
        <f>'[2]Ukraine Sunflower Exports'!AB$234</f>
        <v>0</v>
      </c>
      <c r="BF29" s="141">
        <f>'[2]Ukraine Sunflower Exports'!AC$234</f>
        <v>0</v>
      </c>
      <c r="BG29" s="143">
        <f>'[2]Ukraine Sunflower Exports'!AD$234</f>
        <v>0</v>
      </c>
      <c r="BH29" s="141">
        <f>'[2]Russia Sunflower Exports'!B$234</f>
        <v>0</v>
      </c>
      <c r="BI29" s="141">
        <f>'[2]Russia Sunflower Exports'!C$234</f>
        <v>0</v>
      </c>
      <c r="BJ29" s="141">
        <f>'[2]Russia Sunflower Exports'!D$234</f>
        <v>0</v>
      </c>
      <c r="BK29" s="141">
        <f>'[2]Russia Sunflower Exports'!E$234</f>
        <v>0</v>
      </c>
      <c r="BL29" s="141">
        <f>'[2]Russia Sunflower Exports'!F$234</f>
        <v>8.2581620000000004</v>
      </c>
      <c r="BM29" s="141">
        <f>'[2]Russia Sunflower Exports'!G$234</f>
        <v>0</v>
      </c>
      <c r="BN29" s="141">
        <f>'[2]Russia Sunflower Exports'!H$234</f>
        <v>0</v>
      </c>
      <c r="BO29" s="141">
        <f>'[2]Russia Sunflower Exports'!I$234</f>
        <v>0</v>
      </c>
      <c r="BP29" s="141">
        <f>'[2]Russia Sunflower Exports'!J$234</f>
        <v>0</v>
      </c>
      <c r="BQ29" s="141">
        <f>'[2]Russia Sunflower Exports'!K$234</f>
        <v>0</v>
      </c>
      <c r="BR29" s="141">
        <f>'[2]Russia Sunflower Exports'!L$234</f>
        <v>0</v>
      </c>
      <c r="BS29" s="141">
        <f>'[2]Russia Sunflower Exports'!M$234</f>
        <v>0</v>
      </c>
      <c r="BT29" s="141">
        <f>'[2]Russia Sunflower Exports'!N$234</f>
        <v>0</v>
      </c>
      <c r="BU29" s="141">
        <f>'[2]Russia Sunflower Exports'!O$234</f>
        <v>0</v>
      </c>
      <c r="BV29" s="141">
        <f>'[2]Russia Sunflower Exports'!P$234</f>
        <v>0</v>
      </c>
      <c r="BW29" s="141">
        <f>'[2]Russia Sunflower Exports'!Q$234</f>
        <v>0</v>
      </c>
      <c r="BX29" s="141">
        <f>'[2]Russia Sunflower Exports'!R$234</f>
        <v>0</v>
      </c>
      <c r="BY29" s="141">
        <f>'[2]Russia Sunflower Exports'!S$234</f>
        <v>0</v>
      </c>
      <c r="BZ29" s="141">
        <f>'[2]Russia Sunflower Exports'!T$234</f>
        <v>0</v>
      </c>
      <c r="CA29" s="141">
        <f>'[2]Russia Sunflower Exports'!U$234</f>
        <v>0</v>
      </c>
      <c r="CB29" s="141">
        <f>'[2]Russia Sunflower Exports'!V$234</f>
        <v>0</v>
      </c>
      <c r="CC29" s="141">
        <f>'[2]Russia Sunflower Exports'!W$234</f>
        <v>0</v>
      </c>
      <c r="CD29" s="141">
        <f>'[2]Russia Sunflower Exports'!X$234</f>
        <v>0</v>
      </c>
      <c r="CE29" s="141">
        <f>'[2]Russia Sunflower Exports'!Y$234</f>
        <v>0</v>
      </c>
      <c r="CF29" s="141">
        <f>'[2]Russia Sunflower Exports'!Z$234</f>
        <v>0</v>
      </c>
      <c r="CG29" s="147">
        <f>'[2]Russia Sunflower Exports'!AA$234</f>
        <v>0</v>
      </c>
      <c r="CH29" s="141">
        <f>'[2]Russia Sunflower Exports'!AB$234</f>
        <v>0</v>
      </c>
      <c r="CI29" s="141">
        <f>'[2]Russia Sunflower Exports'!AC$234</f>
        <v>0</v>
      </c>
      <c r="CJ29" s="143">
        <f>'[2]Russia Sunflower Exports'!AD$234</f>
        <v>0</v>
      </c>
      <c r="CK29" s="141">
        <f>'[3]Sunflower Exports'!B$234/2204.622*1000</f>
        <v>2.8399999999999998E-2</v>
      </c>
      <c r="CL29" s="141">
        <f>'[3]Sunflower Exports'!C$234/2204.622*1000</f>
        <v>0.18550000000000003</v>
      </c>
      <c r="CM29" s="141">
        <f>'[3]Sunflower Exports'!D$234/2204.622*1000</f>
        <v>0.16400000000000003</v>
      </c>
      <c r="CN29" s="141">
        <f>'[3]Sunflower Exports'!E$234/2204.622*1000</f>
        <v>0.72520000000000007</v>
      </c>
      <c r="CO29" s="141">
        <f>'[3]Sunflower Exports'!F$234/2204.622*1000</f>
        <v>1.5639000000000001</v>
      </c>
      <c r="CP29" s="141">
        <f>'[3]Sunflower Exports'!G$234/2204.622*1000</f>
        <v>0.72620000000000007</v>
      </c>
      <c r="CQ29" s="141">
        <f>'[3]Sunflower Exports'!H$234/2204.622*1000</f>
        <v>0.14369999999999999</v>
      </c>
      <c r="CR29" s="141">
        <f>'[3]Sunflower Exports'!I$234/2204.622*1000</f>
        <v>0</v>
      </c>
      <c r="CS29" s="141">
        <f>'[3]Sunflower Exports'!J$234/2204.622*1000</f>
        <v>2.3E-3</v>
      </c>
      <c r="CT29" s="141">
        <f>'[3]Sunflower Exports'!K$234/2204.622*1000</f>
        <v>2.3500000000000004E-2</v>
      </c>
      <c r="CU29" s="141">
        <f>'[3]Sunflower Exports'!L$234/2204.622*1000</f>
        <v>0.68990000000000018</v>
      </c>
      <c r="CV29" s="141">
        <f>'[3]Sunflower Exports'!M$234/2204.622*1000</f>
        <v>6.0300000000000006E-2</v>
      </c>
      <c r="CW29" s="141">
        <f>'[3]Sunflower Exports'!N$234/2204.622*1000</f>
        <v>9.1900000000000009E-2</v>
      </c>
      <c r="CX29" s="141">
        <f>'[3]Sunflower Exports'!O$234/2204.622*1000</f>
        <v>0.15579999999999999</v>
      </c>
      <c r="CY29" s="141">
        <f>'[3]Sunflower Exports'!P$234/2204.622*1000</f>
        <v>0.54690000000000005</v>
      </c>
      <c r="CZ29" s="141">
        <f>'[3]Sunflower Exports'!Q$234/2204.622*1000</f>
        <v>6.6600000000000006E-2</v>
      </c>
      <c r="DA29" s="141">
        <f>'[3]Sunflower Exports'!R$234/2204.622*1000</f>
        <v>0.29910000000000003</v>
      </c>
      <c r="DB29" s="141">
        <f>'[3]Sunflower Exports'!S$234/2204.622*1000</f>
        <v>0</v>
      </c>
      <c r="DC29" s="141">
        <f>'[3]Sunflower Exports'!T$234/2204.622*1000</f>
        <v>8.0000000000000019E-3</v>
      </c>
      <c r="DD29" s="141">
        <f>'[3]Sunflower Exports'!U$234/2204.622*1000</f>
        <v>4.8000000000000001E-2</v>
      </c>
      <c r="DE29" s="141">
        <f>'[3]Sunflower Exports'!V$234/2204.622*1000</f>
        <v>1.2E-2</v>
      </c>
      <c r="DF29" s="141">
        <f>'[3]Sunflower Exports'!W$234/2204.622*1000</f>
        <v>0</v>
      </c>
      <c r="DG29" s="141">
        <f>'[3]Sunflower Exports'!X$234/2204.622*1000</f>
        <v>0</v>
      </c>
      <c r="DH29" s="141">
        <f>'[3]Sunflower Exports'!Y$234/2204.622*1000</f>
        <v>0.38561473536052893</v>
      </c>
      <c r="DI29" s="141">
        <f>'[3]Sunflower Exports'!Z$234/2204.622*1000</f>
        <v>1.1058989967441132E-2</v>
      </c>
      <c r="DJ29" s="141">
        <f>'[3]Sunflower Exports'!AA$234/2204.622*1000</f>
        <v>0.13774387504070992</v>
      </c>
      <c r="DK29" s="141">
        <f>'[3]Sunflower Exports'!AB$234/2204.622*1000</f>
        <v>0.121072890164391</v>
      </c>
      <c r="DL29" s="141">
        <f>'[3]Sunflower Exports'!AC$234/2204.622*1000</f>
        <v>5.5438149714554248E-2</v>
      </c>
      <c r="DM29" s="143">
        <f>'[3]Sunflower Exports'!AD$234/2204.622*1000</f>
        <v>0</v>
      </c>
      <c r="DN29" s="141">
        <f t="shared" si="4"/>
        <v>0.10539999999999998</v>
      </c>
      <c r="DO29" s="141">
        <f t="shared" si="4"/>
        <v>0.18550000000000003</v>
      </c>
      <c r="DP29" s="141">
        <f t="shared" si="4"/>
        <v>0.16400000000000003</v>
      </c>
      <c r="DQ29" s="141">
        <f t="shared" si="4"/>
        <v>0.77820000000000011</v>
      </c>
      <c r="DR29" s="141">
        <f t="shared" si="4"/>
        <v>9.8420620000000003</v>
      </c>
      <c r="DS29" s="141">
        <f t="shared" si="4"/>
        <v>0.7642000000000001</v>
      </c>
      <c r="DT29" s="141">
        <f t="shared" si="4"/>
        <v>0.1857</v>
      </c>
      <c r="DU29" s="141">
        <f t="shared" si="4"/>
        <v>2.9000000000000001E-2</v>
      </c>
      <c r="DV29" s="141">
        <f t="shared" si="4"/>
        <v>9.2999999999999992E-3</v>
      </c>
      <c r="DW29" s="141">
        <f t="shared" si="4"/>
        <v>2.7500000000000004E-2</v>
      </c>
      <c r="DX29" s="141">
        <f t="shared" si="4"/>
        <v>0.69190000000000018</v>
      </c>
      <c r="DY29" s="141">
        <f t="shared" si="4"/>
        <v>6.430000000000001E-2</v>
      </c>
      <c r="DZ29" s="141">
        <f t="shared" si="4"/>
        <v>0.15590000000000001</v>
      </c>
      <c r="EA29" s="141">
        <f t="shared" si="4"/>
        <v>0.1918</v>
      </c>
      <c r="EB29" s="141">
        <f t="shared" si="4"/>
        <v>0.61890000000000001</v>
      </c>
      <c r="EC29" s="141">
        <f t="shared" si="3"/>
        <v>7.9600000000000004E-2</v>
      </c>
      <c r="ED29" s="141">
        <f t="shared" si="3"/>
        <v>0.30310000000000004</v>
      </c>
      <c r="EE29" s="141">
        <f t="shared" si="3"/>
        <v>2.2000000000000002E-2</v>
      </c>
      <c r="EF29" s="141">
        <f t="shared" si="3"/>
        <v>2.8000000000000004E-2</v>
      </c>
      <c r="EG29" s="141">
        <f t="shared" si="3"/>
        <v>8.6000000000000007E-2</v>
      </c>
      <c r="EH29" s="141">
        <f t="shared" si="3"/>
        <v>3.6000000000000004E-2</v>
      </c>
      <c r="EI29" s="141">
        <f t="shared" si="3"/>
        <v>2.5000000000000001E-2</v>
      </c>
      <c r="EJ29" s="141">
        <f t="shared" si="3"/>
        <v>0.16399999999999998</v>
      </c>
      <c r="EK29" s="141">
        <f t="shared" si="3"/>
        <v>0.45961473536052894</v>
      </c>
      <c r="EL29" s="141">
        <f t="shared" si="3"/>
        <v>4.6058989967441136E-2</v>
      </c>
      <c r="EM29" s="141">
        <f t="shared" si="3"/>
        <v>0.39574387504070996</v>
      </c>
      <c r="EN29" s="141">
        <f t="shared" si="5"/>
        <v>0.27607289016439102</v>
      </c>
      <c r="EO29" s="141">
        <f t="shared" si="5"/>
        <v>5.743814971455425E-2</v>
      </c>
      <c r="EP29" s="145">
        <f t="shared" si="5"/>
        <v>0</v>
      </c>
      <c r="EQ29" s="145">
        <v>0</v>
      </c>
      <c r="ES29" s="141">
        <f t="shared" si="2"/>
        <v>0</v>
      </c>
      <c r="ET29" s="141">
        <f t="shared" si="2"/>
        <v>0</v>
      </c>
      <c r="EV29" s="141"/>
      <c r="EW29" s="141"/>
      <c r="FB29" s="107"/>
    </row>
    <row r="30" spans="1:158">
      <c r="A30" s="148" t="s">
        <v>161</v>
      </c>
      <c r="B30" s="146">
        <f>'[2]EU Sunflower Exports'!B$241</f>
        <v>0</v>
      </c>
      <c r="C30" s="146">
        <f>'[2]EU Sunflower Exports'!C$241</f>
        <v>0</v>
      </c>
      <c r="D30" s="146">
        <f>'[2]EU Sunflower Exports'!D$241</f>
        <v>0</v>
      </c>
      <c r="E30" s="146">
        <f>'[2]EU Sunflower Exports'!E$241</f>
        <v>3.0000000000000001E-3</v>
      </c>
      <c r="F30" s="146">
        <f>'[2]EU Sunflower Exports'!F$241</f>
        <v>1.5000000000000003E-2</v>
      </c>
      <c r="G30" s="146">
        <f>'[2]EU Sunflower Exports'!G$241</f>
        <v>2.6000000000000009E-2</v>
      </c>
      <c r="H30" s="146">
        <f>'[2]EU Sunflower Exports'!H$241</f>
        <v>1.5000000000000001E-2</v>
      </c>
      <c r="I30" s="146">
        <f>'[2]EU Sunflower Exports'!I$241</f>
        <v>1.3000000000000001E-2</v>
      </c>
      <c r="J30" s="146">
        <f>'[2]EU Sunflower Exports'!J$241</f>
        <v>1.2E-2</v>
      </c>
      <c r="K30" s="146">
        <f>'[2]EU Sunflower Exports'!K$241</f>
        <v>7.0000000000000001E-3</v>
      </c>
      <c r="L30" s="146">
        <f>'[2]EU Sunflower Exports'!L$241</f>
        <v>2.7E-2</v>
      </c>
      <c r="M30" s="146">
        <f>'[2]EU Sunflower Exports'!M$241</f>
        <v>0</v>
      </c>
      <c r="N30" s="146">
        <f>'[2]EU Sunflower Exports'!N$241</f>
        <v>0</v>
      </c>
      <c r="O30" s="146">
        <f>'[2]EU Sunflower Exports'!O$241</f>
        <v>0</v>
      </c>
      <c r="P30" s="141">
        <f>'[2]EU Sunflower Exports'!P$241</f>
        <v>4.0000000000000001E-3</v>
      </c>
      <c r="Q30" s="141">
        <f>'[2]EU Sunflower Exports'!Q$241</f>
        <v>7.0000000000000001E-3</v>
      </c>
      <c r="R30" s="141">
        <f>'[2]EU Sunflower Exports'!R$241</f>
        <v>1.2000000000000002E-2</v>
      </c>
      <c r="S30" s="141">
        <f>'[2]EU Sunflower Exports'!S$241</f>
        <v>2.4000000000000004E-2</v>
      </c>
      <c r="T30" s="141">
        <f>'[2]EU Sunflower Exports'!T$241</f>
        <v>2.1000000000000001E-2</v>
      </c>
      <c r="U30" s="141">
        <f>'[2]EU Sunflower Exports'!U$241</f>
        <v>0.01</v>
      </c>
      <c r="V30" s="141">
        <f>'[2]EU Sunflower Exports'!V$241</f>
        <v>0.22500000000000001</v>
      </c>
      <c r="W30" s="141">
        <f>'[2]EU Sunflower Exports'!W$241</f>
        <v>0.79199999999999993</v>
      </c>
      <c r="X30" s="141">
        <f>'[2]EU Sunflower Exports'!X$241</f>
        <v>0.60599999999999998</v>
      </c>
      <c r="Y30" s="141">
        <f>'[2]EU Sunflower Exports'!Y$241</f>
        <v>0.80699999999999994</v>
      </c>
      <c r="Z30" s="141">
        <f>'[2]EU Sunflower Exports'!Z$241</f>
        <v>0.90600000000000003</v>
      </c>
      <c r="AA30" s="141">
        <f>'[2]EU Sunflower Exports'!AA$241</f>
        <v>1.8670000000000002</v>
      </c>
      <c r="AB30" s="141">
        <f>'[2]EU Sunflower Exports'!AB$241</f>
        <v>4.1820000000000004</v>
      </c>
      <c r="AC30" s="141">
        <f>'[2]EU Sunflower Exports'!AC$241</f>
        <v>4.2270000000000003</v>
      </c>
      <c r="AD30" s="143">
        <v>2</v>
      </c>
      <c r="AE30" s="141">
        <v>2</v>
      </c>
      <c r="AF30" s="141">
        <v>2</v>
      </c>
      <c r="AG30" s="141">
        <v>2</v>
      </c>
      <c r="AH30" s="141">
        <v>2</v>
      </c>
      <c r="AI30" s="141">
        <v>2</v>
      </c>
      <c r="AJ30" s="141">
        <v>2</v>
      </c>
      <c r="AK30" s="141">
        <v>2</v>
      </c>
      <c r="AL30" s="141">
        <v>2</v>
      </c>
      <c r="AM30" s="141">
        <v>2</v>
      </c>
      <c r="AN30" s="141">
        <v>2</v>
      </c>
      <c r="AO30" s="141">
        <v>2</v>
      </c>
      <c r="AP30" s="141">
        <v>2</v>
      </c>
      <c r="AQ30" s="141">
        <v>2</v>
      </c>
      <c r="AR30" s="141">
        <v>2</v>
      </c>
      <c r="AS30" s="141">
        <v>2</v>
      </c>
      <c r="AT30" s="141">
        <v>2</v>
      </c>
      <c r="AU30" s="141">
        <v>2</v>
      </c>
      <c r="AV30" s="141">
        <v>2</v>
      </c>
      <c r="AW30" s="141">
        <v>2</v>
      </c>
      <c r="AX30" s="141">
        <v>2</v>
      </c>
      <c r="AY30" s="141">
        <v>2</v>
      </c>
      <c r="AZ30" s="141">
        <v>2</v>
      </c>
      <c r="BA30" s="141">
        <v>2</v>
      </c>
      <c r="BB30" s="141">
        <v>2</v>
      </c>
      <c r="BC30" s="141">
        <f>'[2]Ukraine Sunflower Exports'!Z$241</f>
        <v>0</v>
      </c>
      <c r="BD30" s="141">
        <f>'[2]Ukraine Sunflower Exports'!AA$241</f>
        <v>0</v>
      </c>
      <c r="BE30" s="141">
        <f>'[2]Ukraine Sunflower Exports'!AB$241</f>
        <v>0</v>
      </c>
      <c r="BF30" s="141">
        <f>'[2]Ukraine Sunflower Exports'!AC$241</f>
        <v>0</v>
      </c>
      <c r="BG30" s="143">
        <f>'[2]Ukraine Sunflower Exports'!AD$241</f>
        <v>0</v>
      </c>
      <c r="BH30" s="141">
        <f>'[2]Russia Sunflower Exports'!B$241</f>
        <v>0</v>
      </c>
      <c r="BI30" s="141">
        <f>'[2]Russia Sunflower Exports'!C$241</f>
        <v>0</v>
      </c>
      <c r="BJ30" s="141">
        <f>'[2]Russia Sunflower Exports'!D$241</f>
        <v>0</v>
      </c>
      <c r="BK30" s="141">
        <f>'[2]Russia Sunflower Exports'!E$241</f>
        <v>0</v>
      </c>
      <c r="BL30" s="141">
        <f>'[2]Russia Sunflower Exports'!F$241</f>
        <v>0</v>
      </c>
      <c r="BM30" s="141">
        <f>'[2]Russia Sunflower Exports'!G$241</f>
        <v>0</v>
      </c>
      <c r="BN30" s="141">
        <f>'[2]Russia Sunflower Exports'!H$241</f>
        <v>0</v>
      </c>
      <c r="BO30" s="141">
        <f>'[2]Russia Sunflower Exports'!I$241</f>
        <v>0</v>
      </c>
      <c r="BP30" s="141">
        <f>'[2]Russia Sunflower Exports'!J$241</f>
        <v>0</v>
      </c>
      <c r="BQ30" s="141">
        <f>'[2]Russia Sunflower Exports'!K$241</f>
        <v>0</v>
      </c>
      <c r="BR30" s="141">
        <f>'[2]Russia Sunflower Exports'!L$241</f>
        <v>0</v>
      </c>
      <c r="BS30" s="141">
        <f>'[2]Russia Sunflower Exports'!M$241</f>
        <v>0</v>
      </c>
      <c r="BT30" s="141">
        <f>'[2]Russia Sunflower Exports'!N$241</f>
        <v>0</v>
      </c>
      <c r="BU30" s="141">
        <f>'[2]Russia Sunflower Exports'!O$241</f>
        <v>0</v>
      </c>
      <c r="BV30" s="141">
        <f>'[2]Russia Sunflower Exports'!P$241</f>
        <v>0</v>
      </c>
      <c r="BW30" s="141">
        <f>'[2]Russia Sunflower Exports'!Q$241</f>
        <v>0</v>
      </c>
      <c r="BX30" s="141">
        <f>'[2]Russia Sunflower Exports'!R$241</f>
        <v>0</v>
      </c>
      <c r="BY30" s="141">
        <f>'[2]Russia Sunflower Exports'!S$241</f>
        <v>0</v>
      </c>
      <c r="BZ30" s="141">
        <f>'[2]Russia Sunflower Exports'!T$241</f>
        <v>0</v>
      </c>
      <c r="CA30" s="141">
        <f>'[2]Russia Sunflower Exports'!U$241</f>
        <v>0</v>
      </c>
      <c r="CB30" s="141">
        <f>'[2]Russia Sunflower Exports'!V$241</f>
        <v>0</v>
      </c>
      <c r="CC30" s="141">
        <f>'[2]Russia Sunflower Exports'!W$241</f>
        <v>0</v>
      </c>
      <c r="CD30" s="141">
        <f>'[2]Russia Sunflower Exports'!X$241</f>
        <v>0</v>
      </c>
      <c r="CE30" s="141">
        <f>'[2]Russia Sunflower Exports'!Y$241</f>
        <v>0</v>
      </c>
      <c r="CF30" s="141">
        <f>'[2]Russia Sunflower Exports'!Z$241</f>
        <v>0</v>
      </c>
      <c r="CG30" s="147">
        <f>'[2]Russia Sunflower Exports'!AA$241</f>
        <v>0</v>
      </c>
      <c r="CH30" s="141">
        <f>'[2]Russia Sunflower Exports'!AB$241</f>
        <v>0</v>
      </c>
      <c r="CI30" s="141">
        <f>'[2]Russia Sunflower Exports'!AC$241</f>
        <v>0</v>
      </c>
      <c r="CJ30" s="143">
        <f>'[2]Russia Sunflower Exports'!AD$241</f>
        <v>0</v>
      </c>
      <c r="CK30" s="141">
        <f>'[3]Sunflower Exports'!B$241/2204.622*1000</f>
        <v>3.5900000000000008E-2</v>
      </c>
      <c r="CL30" s="141">
        <f>'[3]Sunflower Exports'!C$241/2204.622*1000</f>
        <v>0</v>
      </c>
      <c r="CM30" s="141">
        <f>'[3]Sunflower Exports'!D$241/2204.622*1000</f>
        <v>0</v>
      </c>
      <c r="CN30" s="141">
        <f>'[3]Sunflower Exports'!E$241/2204.622*1000</f>
        <v>0</v>
      </c>
      <c r="CO30" s="141">
        <f>'[3]Sunflower Exports'!F$241/2204.622*1000</f>
        <v>0</v>
      </c>
      <c r="CP30" s="141">
        <f>'[3]Sunflower Exports'!G$241/2204.622*1000</f>
        <v>0</v>
      </c>
      <c r="CQ30" s="141">
        <f>'[3]Sunflower Exports'!H$241/2204.622*1000</f>
        <v>0</v>
      </c>
      <c r="CR30" s="141">
        <f>'[3]Sunflower Exports'!I$241/2204.622*1000</f>
        <v>0</v>
      </c>
      <c r="CS30" s="141">
        <f>'[3]Sunflower Exports'!J$241/2204.622*1000</f>
        <v>0</v>
      </c>
      <c r="CT30" s="141">
        <f>'[3]Sunflower Exports'!K$241/2204.622*1000</f>
        <v>0</v>
      </c>
      <c r="CU30" s="141">
        <f>'[3]Sunflower Exports'!L$241/2204.622*1000</f>
        <v>0</v>
      </c>
      <c r="CV30" s="141">
        <f>'[3]Sunflower Exports'!M$241/2204.622*1000</f>
        <v>0</v>
      </c>
      <c r="CW30" s="141">
        <f>'[3]Sunflower Exports'!N$241/2204.622*1000</f>
        <v>0</v>
      </c>
      <c r="CX30" s="141">
        <f>'[3]Sunflower Exports'!O$241/2204.622*1000</f>
        <v>0</v>
      </c>
      <c r="CY30" s="141">
        <f>'[3]Sunflower Exports'!P$241/2204.622*1000</f>
        <v>0</v>
      </c>
      <c r="CZ30" s="141">
        <f>'[3]Sunflower Exports'!Q$241/2204.622*1000</f>
        <v>0</v>
      </c>
      <c r="DA30" s="141">
        <f>'[3]Sunflower Exports'!R$241/2204.622*1000</f>
        <v>4.8399999999999999E-2</v>
      </c>
      <c r="DB30" s="141">
        <f>'[3]Sunflower Exports'!S$241/2204.622*1000</f>
        <v>3.3600000000000005E-2</v>
      </c>
      <c r="DC30" s="141">
        <f>'[3]Sunflower Exports'!T$241/2204.622*1000</f>
        <v>6.6500000000000004E-2</v>
      </c>
      <c r="DD30" s="141">
        <f>'[3]Sunflower Exports'!U$241/2204.622*1000</f>
        <v>0</v>
      </c>
      <c r="DE30" s="141">
        <f>'[3]Sunflower Exports'!V$241/2204.622*1000</f>
        <v>9.2000000000000016E-3</v>
      </c>
      <c r="DF30" s="141">
        <f>'[3]Sunflower Exports'!W$241/2204.622*1000</f>
        <v>0</v>
      </c>
      <c r="DG30" s="141">
        <f>'[3]Sunflower Exports'!X$241/2204.622*1000</f>
        <v>0</v>
      </c>
      <c r="DH30" s="141">
        <f>'[3]Sunflower Exports'!Y$241/2204.622*1000</f>
        <v>0</v>
      </c>
      <c r="DI30" s="141">
        <f>'[3]Sunflower Exports'!Z$241/2204.622*1000</f>
        <v>5.6999948290455235E-4</v>
      </c>
      <c r="DJ30" s="141">
        <f>'[3]Sunflower Exports'!AA$241/2204.622*1000</f>
        <v>0</v>
      </c>
      <c r="DK30" s="141">
        <f>'[3]Sunflower Exports'!AB$241/2204.622*1000</f>
        <v>0</v>
      </c>
      <c r="DL30" s="141">
        <f>'[3]Sunflower Exports'!AC$241/2204.622*1000</f>
        <v>0</v>
      </c>
      <c r="DM30" s="143">
        <f>'[3]Sunflower Exports'!AD$241/2204.622*1000</f>
        <v>0</v>
      </c>
      <c r="DN30" s="141">
        <f t="shared" si="4"/>
        <v>2.0358999999999998</v>
      </c>
      <c r="DO30" s="141">
        <f t="shared" si="4"/>
        <v>2</v>
      </c>
      <c r="DP30" s="141">
        <f t="shared" si="4"/>
        <v>2</v>
      </c>
      <c r="DQ30" s="141">
        <f t="shared" si="4"/>
        <v>2.0030000000000001</v>
      </c>
      <c r="DR30" s="141">
        <f t="shared" si="4"/>
        <v>2.0150000000000001</v>
      </c>
      <c r="DS30" s="141">
        <f t="shared" si="4"/>
        <v>2.0259999999999998</v>
      </c>
      <c r="DT30" s="141">
        <f t="shared" si="4"/>
        <v>2.0150000000000001</v>
      </c>
      <c r="DU30" s="141">
        <f t="shared" si="4"/>
        <v>2.0129999999999999</v>
      </c>
      <c r="DV30" s="141">
        <f t="shared" si="4"/>
        <v>2.012</v>
      </c>
      <c r="DW30" s="141">
        <f t="shared" si="4"/>
        <v>2.0070000000000001</v>
      </c>
      <c r="DX30" s="141">
        <f t="shared" si="4"/>
        <v>2.0270000000000001</v>
      </c>
      <c r="DY30" s="141">
        <f t="shared" si="4"/>
        <v>2</v>
      </c>
      <c r="DZ30" s="141">
        <f t="shared" si="4"/>
        <v>2</v>
      </c>
      <c r="EA30" s="141">
        <f t="shared" si="4"/>
        <v>2</v>
      </c>
      <c r="EB30" s="141">
        <f t="shared" si="4"/>
        <v>2.004</v>
      </c>
      <c r="EC30" s="141">
        <f t="shared" si="3"/>
        <v>2.0070000000000001</v>
      </c>
      <c r="ED30" s="141">
        <f t="shared" si="3"/>
        <v>2.0604</v>
      </c>
      <c r="EE30" s="141">
        <f t="shared" si="3"/>
        <v>2.0575999999999999</v>
      </c>
      <c r="EF30" s="141">
        <f t="shared" si="3"/>
        <v>2.0874999999999999</v>
      </c>
      <c r="EG30" s="141">
        <f t="shared" si="3"/>
        <v>2.0099999999999998</v>
      </c>
      <c r="EH30" s="141">
        <f t="shared" si="3"/>
        <v>2.2342</v>
      </c>
      <c r="EI30" s="141">
        <f t="shared" si="3"/>
        <v>2.7919999999999998</v>
      </c>
      <c r="EJ30" s="141">
        <f t="shared" si="3"/>
        <v>2.6059999999999999</v>
      </c>
      <c r="EK30" s="141">
        <f t="shared" si="3"/>
        <v>2.8069999999999999</v>
      </c>
      <c r="EL30" s="141">
        <f t="shared" si="3"/>
        <v>0.90656999948290462</v>
      </c>
      <c r="EM30" s="141">
        <f t="shared" si="3"/>
        <v>1.8670000000000002</v>
      </c>
      <c r="EN30" s="141">
        <f t="shared" si="5"/>
        <v>4.1820000000000004</v>
      </c>
      <c r="EO30" s="141">
        <f t="shared" si="5"/>
        <v>4.2270000000000003</v>
      </c>
      <c r="EP30" s="145">
        <f t="shared" si="5"/>
        <v>2</v>
      </c>
      <c r="EQ30" s="145">
        <v>2</v>
      </c>
      <c r="ES30" s="141">
        <f t="shared" si="2"/>
        <v>0</v>
      </c>
      <c r="ET30" s="141">
        <f t="shared" si="2"/>
        <v>0</v>
      </c>
      <c r="EV30" s="141"/>
      <c r="EW30" s="141"/>
      <c r="FB30" s="107"/>
    </row>
    <row r="31" spans="1:158">
      <c r="A31" s="148" t="s">
        <v>162</v>
      </c>
      <c r="B31" s="146">
        <f>'[2]EU Sunflower Exports'!B$243</f>
        <v>0</v>
      </c>
      <c r="C31" s="146">
        <f>'[2]EU Sunflower Exports'!C$243</f>
        <v>0</v>
      </c>
      <c r="D31" s="146">
        <f>'[2]EU Sunflower Exports'!D$243</f>
        <v>0</v>
      </c>
      <c r="E31" s="146">
        <f>'[2]EU Sunflower Exports'!E$243</f>
        <v>0</v>
      </c>
      <c r="F31" s="146">
        <f>'[2]EU Sunflower Exports'!F$243</f>
        <v>0</v>
      </c>
      <c r="G31" s="146">
        <f>'[2]EU Sunflower Exports'!G$243</f>
        <v>0</v>
      </c>
      <c r="H31" s="146">
        <f>'[2]EU Sunflower Exports'!H$243</f>
        <v>9.0570000000000004</v>
      </c>
      <c r="I31" s="146">
        <f>'[2]EU Sunflower Exports'!I$243</f>
        <v>2E-3</v>
      </c>
      <c r="J31" s="146">
        <f>'[2]EU Sunflower Exports'!J$243</f>
        <v>1E-3</v>
      </c>
      <c r="K31" s="146">
        <f>'[2]EU Sunflower Exports'!K$243</f>
        <v>2.3E-2</v>
      </c>
      <c r="L31" s="146">
        <f>'[2]EU Sunflower Exports'!L$243</f>
        <v>1.3000000000000001E-2</v>
      </c>
      <c r="M31" s="146">
        <f>'[2]EU Sunflower Exports'!M$243</f>
        <v>8.1000000000000003E-2</v>
      </c>
      <c r="N31" s="146">
        <f>'[2]EU Sunflower Exports'!N$243</f>
        <v>1E-3</v>
      </c>
      <c r="O31" s="146">
        <f>'[2]EU Sunflower Exports'!O$243</f>
        <v>0</v>
      </c>
      <c r="P31" s="141">
        <f>'[2]EU Sunflower Exports'!P$243</f>
        <v>5.0000000000000001E-3</v>
      </c>
      <c r="Q31" s="141">
        <f>'[2]EU Sunflower Exports'!Q$243</f>
        <v>0.188</v>
      </c>
      <c r="R31" s="141">
        <f>'[2]EU Sunflower Exports'!R$243</f>
        <v>4.0000000000000001E-3</v>
      </c>
      <c r="S31" s="141">
        <f>'[2]EU Sunflower Exports'!S$243</f>
        <v>2E-3</v>
      </c>
      <c r="T31" s="141">
        <f>'[2]EU Sunflower Exports'!T$243</f>
        <v>0.46900000000000003</v>
      </c>
      <c r="U31" s="141">
        <f>'[2]EU Sunflower Exports'!U$243</f>
        <v>0</v>
      </c>
      <c r="V31" s="141">
        <f>'[2]EU Sunflower Exports'!V$243</f>
        <v>3.1829999999999998</v>
      </c>
      <c r="W31" s="141">
        <f>'[2]EU Sunflower Exports'!W$243</f>
        <v>4.2170000000000005</v>
      </c>
      <c r="X31" s="141">
        <f>'[2]EU Sunflower Exports'!X$243</f>
        <v>3.5979999999999999</v>
      </c>
      <c r="Y31" s="141">
        <f>'[2]EU Sunflower Exports'!Y$243</f>
        <v>4.9370000000000012</v>
      </c>
      <c r="Z31" s="141">
        <f>'[2]EU Sunflower Exports'!Z$243</f>
        <v>5.3800000000000008</v>
      </c>
      <c r="AA31" s="141">
        <f>'[2]EU Sunflower Exports'!AA$243</f>
        <v>5.512999999999999</v>
      </c>
      <c r="AB31" s="141">
        <f>'[2]EU Sunflower Exports'!AB$243</f>
        <v>11.921000000000001</v>
      </c>
      <c r="AC31" s="141">
        <f>'[2]EU Sunflower Exports'!AC$243</f>
        <v>18.72</v>
      </c>
      <c r="AD31" s="143">
        <v>7</v>
      </c>
      <c r="AE31" s="141">
        <v>7</v>
      </c>
      <c r="AF31" s="141">
        <v>7</v>
      </c>
      <c r="AG31" s="141">
        <v>7</v>
      </c>
      <c r="AH31" s="141">
        <v>7</v>
      </c>
      <c r="AI31" s="141">
        <v>7</v>
      </c>
      <c r="AJ31" s="141">
        <v>7</v>
      </c>
      <c r="AK31" s="141">
        <v>7</v>
      </c>
      <c r="AL31" s="141">
        <v>7</v>
      </c>
      <c r="AM31" s="141">
        <v>7</v>
      </c>
      <c r="AN31" s="141">
        <v>7</v>
      </c>
      <c r="AO31" s="141">
        <v>7</v>
      </c>
      <c r="AP31" s="141">
        <v>7</v>
      </c>
      <c r="AQ31" s="141">
        <v>7</v>
      </c>
      <c r="AR31" s="141">
        <v>7</v>
      </c>
      <c r="AS31" s="141">
        <v>7</v>
      </c>
      <c r="AT31" s="141">
        <v>7</v>
      </c>
      <c r="AU31" s="141">
        <v>7</v>
      </c>
      <c r="AV31" s="141">
        <v>7</v>
      </c>
      <c r="AW31" s="141">
        <v>7</v>
      </c>
      <c r="AX31" s="141">
        <v>7</v>
      </c>
      <c r="AY31" s="141">
        <v>7</v>
      </c>
      <c r="AZ31" s="141">
        <v>7</v>
      </c>
      <c r="BA31" s="141">
        <v>7</v>
      </c>
      <c r="BB31" s="141">
        <v>7</v>
      </c>
      <c r="BC31" s="141">
        <f>'[2]Ukraine Sunflower Exports'!Z$243</f>
        <v>1.3755E-2</v>
      </c>
      <c r="BD31" s="141">
        <f>'[2]Ukraine Sunflower Exports'!AA$243</f>
        <v>1.6750000000000001E-2</v>
      </c>
      <c r="BE31" s="141">
        <f>'[2]Ukraine Sunflower Exports'!AB$243</f>
        <v>3.7499999999999999E-3</v>
      </c>
      <c r="BF31" s="141">
        <f>'[2]Ukraine Sunflower Exports'!AC$243</f>
        <v>1.4999999999999999E-2</v>
      </c>
      <c r="BG31" s="143">
        <f>'[2]Ukraine Sunflower Exports'!AD$243</f>
        <v>0</v>
      </c>
      <c r="BH31" s="141">
        <f>'[2]Russia Sunflower Exports'!B$243</f>
        <v>0</v>
      </c>
      <c r="BI31" s="141">
        <f>'[2]Russia Sunflower Exports'!C$243</f>
        <v>0</v>
      </c>
      <c r="BJ31" s="141">
        <f>'[2]Russia Sunflower Exports'!D$243</f>
        <v>0</v>
      </c>
      <c r="BK31" s="141">
        <f>'[2]Russia Sunflower Exports'!E$243</f>
        <v>0</v>
      </c>
      <c r="BL31" s="141">
        <f>'[2]Russia Sunflower Exports'!F$243</f>
        <v>0</v>
      </c>
      <c r="BM31" s="141">
        <f>'[2]Russia Sunflower Exports'!G$243</f>
        <v>0</v>
      </c>
      <c r="BN31" s="141">
        <f>'[2]Russia Sunflower Exports'!H$243</f>
        <v>0</v>
      </c>
      <c r="BO31" s="141">
        <f>'[2]Russia Sunflower Exports'!I$243</f>
        <v>0</v>
      </c>
      <c r="BP31" s="141">
        <f>'[2]Russia Sunflower Exports'!J$243</f>
        <v>1E-3</v>
      </c>
      <c r="BQ31" s="141">
        <f>'[2]Russia Sunflower Exports'!K$243</f>
        <v>0</v>
      </c>
      <c r="BR31" s="141">
        <f>'[2]Russia Sunflower Exports'!L$243</f>
        <v>0</v>
      </c>
      <c r="BS31" s="141">
        <f>'[2]Russia Sunflower Exports'!M$243</f>
        <v>0</v>
      </c>
      <c r="BT31" s="141">
        <f>'[2]Russia Sunflower Exports'!N$243</f>
        <v>0</v>
      </c>
      <c r="BU31" s="141">
        <f>'[2]Russia Sunflower Exports'!O$243</f>
        <v>0</v>
      </c>
      <c r="BV31" s="141">
        <f>'[2]Russia Sunflower Exports'!P$243</f>
        <v>0</v>
      </c>
      <c r="BW31" s="141">
        <f>'[2]Russia Sunflower Exports'!Q$243</f>
        <v>0</v>
      </c>
      <c r="BX31" s="141">
        <f>'[2]Russia Sunflower Exports'!R$243</f>
        <v>0</v>
      </c>
      <c r="BY31" s="141">
        <f>'[2]Russia Sunflower Exports'!S$243</f>
        <v>0</v>
      </c>
      <c r="BZ31" s="141">
        <f>'[2]Russia Sunflower Exports'!T$243</f>
        <v>0</v>
      </c>
      <c r="CA31" s="141">
        <f>'[2]Russia Sunflower Exports'!U$243</f>
        <v>0</v>
      </c>
      <c r="CB31" s="141">
        <f>'[2]Russia Sunflower Exports'!V$243</f>
        <v>0</v>
      </c>
      <c r="CC31" s="141">
        <f>'[2]Russia Sunflower Exports'!W$243</f>
        <v>0</v>
      </c>
      <c r="CD31" s="141">
        <f>'[2]Russia Sunflower Exports'!X$243</f>
        <v>0</v>
      </c>
      <c r="CE31" s="141">
        <f>'[2]Russia Sunflower Exports'!Y$243</f>
        <v>0</v>
      </c>
      <c r="CF31" s="141">
        <f>'[2]Russia Sunflower Exports'!Z$243</f>
        <v>3.0699999999999998E-4</v>
      </c>
      <c r="CG31" s="147">
        <f>'[2]Russia Sunflower Exports'!AA$243</f>
        <v>0</v>
      </c>
      <c r="CH31" s="141">
        <f>'[2]Russia Sunflower Exports'!AB$243</f>
        <v>0</v>
      </c>
      <c r="CI31" s="141">
        <f>'[2]Russia Sunflower Exports'!AC$243</f>
        <v>0</v>
      </c>
      <c r="CJ31" s="143">
        <f>'[2]Russia Sunflower Exports'!AD$243</f>
        <v>0</v>
      </c>
      <c r="CK31" s="141">
        <f>'[3]Sunflower Exports'!B$243/2204.622*1000</f>
        <v>18.501100000000005</v>
      </c>
      <c r="CL31" s="141">
        <f>'[3]Sunflower Exports'!C$243/2204.622*1000</f>
        <v>17.028200000000002</v>
      </c>
      <c r="CM31" s="141">
        <f>'[3]Sunflower Exports'!D$243/2204.622*1000</f>
        <v>15.024600000000001</v>
      </c>
      <c r="CN31" s="141">
        <f>'[3]Sunflower Exports'!E$243/2204.622*1000</f>
        <v>14.202</v>
      </c>
      <c r="CO31" s="141">
        <f>'[3]Sunflower Exports'!F$243/2204.622*1000</f>
        <v>12.387000000000002</v>
      </c>
      <c r="CP31" s="141">
        <f>'[3]Sunflower Exports'!G$243/2204.622*1000</f>
        <v>16.426300000000001</v>
      </c>
      <c r="CQ31" s="141">
        <f>'[3]Sunflower Exports'!H$243/2204.622*1000</f>
        <v>17.2803</v>
      </c>
      <c r="CR31" s="141">
        <f>'[3]Sunflower Exports'!I$243/2204.622*1000</f>
        <v>16.1571</v>
      </c>
      <c r="CS31" s="141">
        <f>'[3]Sunflower Exports'!J$243/2204.622*1000</f>
        <v>28.746900000000007</v>
      </c>
      <c r="CT31" s="141">
        <f>'[3]Sunflower Exports'!K$243/2204.622*1000</f>
        <v>21.827600000000007</v>
      </c>
      <c r="CU31" s="141">
        <f>'[3]Sunflower Exports'!L$243/2204.622*1000</f>
        <v>16.172499999999999</v>
      </c>
      <c r="CV31" s="141">
        <f>'[3]Sunflower Exports'!M$243/2204.622*1000</f>
        <v>34.23640000000001</v>
      </c>
      <c r="CW31" s="141">
        <f>'[3]Sunflower Exports'!N$243/2204.622*1000</f>
        <v>23.370000000000005</v>
      </c>
      <c r="CX31" s="141">
        <f>'[3]Sunflower Exports'!O$243/2204.622*1000</f>
        <v>10.898300000000001</v>
      </c>
      <c r="CY31" s="141">
        <f>'[3]Sunflower Exports'!P$243/2204.622*1000</f>
        <v>22.362500000000008</v>
      </c>
      <c r="CZ31" s="141">
        <f>'[3]Sunflower Exports'!Q$243/2204.622*1000</f>
        <v>29.216400000000004</v>
      </c>
      <c r="DA31" s="141">
        <f>'[3]Sunflower Exports'!R$243/2204.622*1000</f>
        <v>25.143100000000004</v>
      </c>
      <c r="DB31" s="141">
        <f>'[3]Sunflower Exports'!S$243/2204.622*1000</f>
        <v>35.579000000000001</v>
      </c>
      <c r="DC31" s="141">
        <f>'[3]Sunflower Exports'!T$243/2204.622*1000</f>
        <v>33.920400000000001</v>
      </c>
      <c r="DD31" s="141">
        <f>'[3]Sunflower Exports'!U$243/2204.622*1000</f>
        <v>30.947399999999998</v>
      </c>
      <c r="DE31" s="141">
        <f>'[3]Sunflower Exports'!V$243/2204.622*1000</f>
        <v>26.418099999999999</v>
      </c>
      <c r="DF31" s="141">
        <f>'[3]Sunflower Exports'!W$243/2204.622*1000</f>
        <v>27.5779</v>
      </c>
      <c r="DG31" s="141">
        <f>'[3]Sunflower Exports'!X$243/2204.622*1000</f>
        <v>19.851499999999998</v>
      </c>
      <c r="DH31" s="141">
        <f>'[3]Sunflower Exports'!Y$243/2204.622*1000</f>
        <v>23.054886723510879</v>
      </c>
      <c r="DI31" s="141">
        <f>'[3]Sunflower Exports'!Z$243/2204.622*1000</f>
        <v>15.913530563470744</v>
      </c>
      <c r="DJ31" s="141">
        <f>'[3]Sunflower Exports'!AA$243/2204.622*1000</f>
        <v>16.317923196611485</v>
      </c>
      <c r="DK31" s="141">
        <f>'[3]Sunflower Exports'!AB$243/2204.622*1000</f>
        <v>17.69750594507358</v>
      </c>
      <c r="DL31" s="141">
        <f>'[3]Sunflower Exports'!AC$243/2204.622*1000</f>
        <v>27.415518921166527</v>
      </c>
      <c r="DM31" s="143">
        <f>24-0.5</f>
        <v>23.5</v>
      </c>
      <c r="DN31" s="141">
        <f t="shared" si="4"/>
        <v>25.501100000000005</v>
      </c>
      <c r="DO31" s="141">
        <f t="shared" si="4"/>
        <v>24.028200000000002</v>
      </c>
      <c r="DP31" s="141">
        <f t="shared" si="4"/>
        <v>22.0246</v>
      </c>
      <c r="DQ31" s="141">
        <f t="shared" si="4"/>
        <v>21.201999999999998</v>
      </c>
      <c r="DR31" s="141">
        <f t="shared" si="4"/>
        <v>19.387</v>
      </c>
      <c r="DS31" s="141">
        <f t="shared" si="4"/>
        <v>23.426300000000001</v>
      </c>
      <c r="DT31" s="141">
        <f t="shared" si="4"/>
        <v>33.337299999999999</v>
      </c>
      <c r="DU31" s="141">
        <f t="shared" si="4"/>
        <v>23.159099999999999</v>
      </c>
      <c r="DV31" s="141">
        <f t="shared" si="4"/>
        <v>35.748900000000006</v>
      </c>
      <c r="DW31" s="141">
        <f t="shared" si="4"/>
        <v>28.850600000000007</v>
      </c>
      <c r="DX31" s="141">
        <f t="shared" si="4"/>
        <v>23.185499999999998</v>
      </c>
      <c r="DY31" s="141">
        <f t="shared" si="4"/>
        <v>41.317400000000013</v>
      </c>
      <c r="DZ31" s="141">
        <f t="shared" si="4"/>
        <v>30.371000000000006</v>
      </c>
      <c r="EA31" s="141">
        <f t="shared" si="4"/>
        <v>17.898299999999999</v>
      </c>
      <c r="EB31" s="141">
        <f t="shared" si="4"/>
        <v>29.367500000000007</v>
      </c>
      <c r="EC31" s="141">
        <f t="shared" si="3"/>
        <v>36.404400000000003</v>
      </c>
      <c r="ED31" s="141">
        <f t="shared" si="3"/>
        <v>32.147100000000002</v>
      </c>
      <c r="EE31" s="141">
        <f t="shared" si="3"/>
        <v>42.581000000000003</v>
      </c>
      <c r="EF31" s="141">
        <f t="shared" si="3"/>
        <v>41.389400000000002</v>
      </c>
      <c r="EG31" s="141">
        <f t="shared" si="3"/>
        <v>37.947400000000002</v>
      </c>
      <c r="EH31" s="141">
        <f t="shared" si="3"/>
        <v>36.601100000000002</v>
      </c>
      <c r="EI31" s="141">
        <f t="shared" si="3"/>
        <v>38.794899999999998</v>
      </c>
      <c r="EJ31" s="141">
        <f t="shared" si="3"/>
        <v>30.449499999999997</v>
      </c>
      <c r="EK31" s="141">
        <f t="shared" si="3"/>
        <v>34.991886723510881</v>
      </c>
      <c r="EL31" s="141">
        <f t="shared" si="3"/>
        <v>21.307592563470745</v>
      </c>
      <c r="EM31" s="141">
        <f t="shared" si="3"/>
        <v>21.847673196611485</v>
      </c>
      <c r="EN31" s="141">
        <f t="shared" si="5"/>
        <v>29.622255945073583</v>
      </c>
      <c r="EO31" s="141">
        <f t="shared" si="5"/>
        <v>46.150518921166523</v>
      </c>
      <c r="EP31" s="145">
        <f>'Canada Sun Complex'!AC10-10</f>
        <v>30</v>
      </c>
      <c r="EQ31" s="145">
        <f>'Canada Sun Complex'!AE10-20</f>
        <v>20</v>
      </c>
      <c r="ES31" s="141">
        <f t="shared" si="2"/>
        <v>0</v>
      </c>
      <c r="ET31" s="141">
        <f t="shared" si="2"/>
        <v>0.5</v>
      </c>
      <c r="EV31" s="141"/>
      <c r="EW31" s="141"/>
      <c r="FB31" s="107"/>
    </row>
    <row r="32" spans="1:158">
      <c r="A32" s="137" t="s">
        <v>163</v>
      </c>
      <c r="B32" s="146">
        <f>'[2]EU Sunflower Exports'!B$245</f>
        <v>0</v>
      </c>
      <c r="C32" s="146">
        <f>'[2]EU Sunflower Exports'!C$245</f>
        <v>0</v>
      </c>
      <c r="D32" s="146">
        <f>'[2]EU Sunflower Exports'!D$245</f>
        <v>0</v>
      </c>
      <c r="E32" s="146">
        <f>'[2]EU Sunflower Exports'!E$245</f>
        <v>1E-3</v>
      </c>
      <c r="F32" s="146">
        <f>'[2]EU Sunflower Exports'!F$245</f>
        <v>1E-3</v>
      </c>
      <c r="G32" s="146">
        <f>'[2]EU Sunflower Exports'!G$245</f>
        <v>2E-3</v>
      </c>
      <c r="H32" s="146">
        <f>'[2]EU Sunflower Exports'!H$245</f>
        <v>2E-3</v>
      </c>
      <c r="I32" s="146">
        <f>'[2]EU Sunflower Exports'!I$245</f>
        <v>1.4999999999999999E-2</v>
      </c>
      <c r="J32" s="146">
        <f>'[2]EU Sunflower Exports'!J$245</f>
        <v>0</v>
      </c>
      <c r="K32" s="146">
        <f>'[2]EU Sunflower Exports'!K$245</f>
        <v>1E-3</v>
      </c>
      <c r="L32" s="146">
        <f>'[2]EU Sunflower Exports'!L$245</f>
        <v>1E-3</v>
      </c>
      <c r="M32" s="146">
        <f>'[2]EU Sunflower Exports'!M$245</f>
        <v>0</v>
      </c>
      <c r="N32" s="146">
        <f>'[2]EU Sunflower Exports'!N$245</f>
        <v>1.3000000000000001E-2</v>
      </c>
      <c r="O32" s="146">
        <f>'[2]EU Sunflower Exports'!O$245</f>
        <v>1.6E-2</v>
      </c>
      <c r="P32" s="141">
        <f>'[2]EU Sunflower Exports'!P$245</f>
        <v>3.0000000000000001E-3</v>
      </c>
      <c r="Q32" s="141">
        <f>'[2]EU Sunflower Exports'!Q$245</f>
        <v>4.0000000000000001E-3</v>
      </c>
      <c r="R32" s="141">
        <f>'[2]EU Sunflower Exports'!R$245</f>
        <v>3.0000000000000001E-3</v>
      </c>
      <c r="S32" s="141">
        <f>'[2]EU Sunflower Exports'!S$245</f>
        <v>8.0000000000000002E-3</v>
      </c>
      <c r="T32" s="141">
        <f>'[2]EU Sunflower Exports'!T$245</f>
        <v>1.9000000000000003E-2</v>
      </c>
      <c r="U32" s="141">
        <f>'[2]EU Sunflower Exports'!U$245</f>
        <v>3.2000000000000001E-2</v>
      </c>
      <c r="V32" s="141">
        <f>'[2]EU Sunflower Exports'!V$245</f>
        <v>7.0000000000000001E-3</v>
      </c>
      <c r="W32" s="141">
        <f>'[2]EU Sunflower Exports'!W$245</f>
        <v>0.03</v>
      </c>
      <c r="X32" s="141">
        <f>'[2]EU Sunflower Exports'!X$245</f>
        <v>0.11699999999999999</v>
      </c>
      <c r="Y32" s="141">
        <f>'[2]EU Sunflower Exports'!Y$245</f>
        <v>0.19599999999999998</v>
      </c>
      <c r="Z32" s="141">
        <f>'[2]EU Sunflower Exports'!Z$245</f>
        <v>0.34100000000000003</v>
      </c>
      <c r="AA32" s="141">
        <f>'[2]EU Sunflower Exports'!AA$245</f>
        <v>0.47499999999999998</v>
      </c>
      <c r="AB32" s="141">
        <f>'[2]EU Sunflower Exports'!AB$245</f>
        <v>1.3080000000000001</v>
      </c>
      <c r="AC32" s="141">
        <f>'[2]EU Sunflower Exports'!AC$245</f>
        <v>0.92000000000000015</v>
      </c>
      <c r="AD32" s="143">
        <f>'[2]EU Sunflower Exports'!BB$245</f>
        <v>0</v>
      </c>
      <c r="AE32" s="141">
        <f>'[2]EU Sunflower Exports'!AD$245</f>
        <v>0.54700000000000004</v>
      </c>
      <c r="AF32" s="141">
        <f>'[2]EU Sunflower Exports'!AE$245</f>
        <v>0</v>
      </c>
      <c r="AG32" s="141">
        <f>'[2]EU Sunflower Exports'!AF$245</f>
        <v>0</v>
      </c>
      <c r="AH32" s="141">
        <f>'[2]EU Sunflower Exports'!AG$245</f>
        <v>0</v>
      </c>
      <c r="AI32" s="141">
        <f>'[2]EU Sunflower Exports'!AH$245</f>
        <v>0</v>
      </c>
      <c r="AJ32" s="141">
        <f>'[2]EU Sunflower Exports'!AI$245</f>
        <v>0</v>
      </c>
      <c r="AK32" s="141">
        <f>'[2]EU Sunflower Exports'!AJ$245</f>
        <v>0</v>
      </c>
      <c r="AL32" s="141">
        <f>'[2]EU Sunflower Exports'!AK$245</f>
        <v>0</v>
      </c>
      <c r="AM32" s="141">
        <f>'[2]EU Sunflower Exports'!AL$245</f>
        <v>0</v>
      </c>
      <c r="AN32" s="141">
        <f>'[2]EU Sunflower Exports'!AM$245</f>
        <v>0</v>
      </c>
      <c r="AO32" s="141">
        <f>'[2]EU Sunflower Exports'!AN$245</f>
        <v>0</v>
      </c>
      <c r="AP32" s="141">
        <f>'[2]EU Sunflower Exports'!AO$245</f>
        <v>0</v>
      </c>
      <c r="AQ32" s="141">
        <f>'[2]EU Sunflower Exports'!AP$245</f>
        <v>0</v>
      </c>
      <c r="AR32" s="141">
        <f>'[2]EU Sunflower Exports'!AQ$245</f>
        <v>0</v>
      </c>
      <c r="AS32" s="141">
        <f>'[2]EU Sunflower Exports'!AR$245</f>
        <v>0</v>
      </c>
      <c r="AT32" s="141">
        <f>'[2]EU Sunflower Exports'!AS$245</f>
        <v>0</v>
      </c>
      <c r="AU32" s="141">
        <f>'[2]EU Sunflower Exports'!AT$245</f>
        <v>0</v>
      </c>
      <c r="AV32" s="141">
        <f>'[2]EU Sunflower Exports'!AU$245</f>
        <v>0</v>
      </c>
      <c r="AW32" s="141">
        <f>'[2]EU Sunflower Exports'!AV$245</f>
        <v>0</v>
      </c>
      <c r="AX32" s="141">
        <f>'[2]EU Sunflower Exports'!AW$245</f>
        <v>0</v>
      </c>
      <c r="AY32" s="141">
        <f>'[2]EU Sunflower Exports'!AX$245</f>
        <v>0</v>
      </c>
      <c r="AZ32" s="141">
        <f>'[2]EU Sunflower Exports'!AY$245</f>
        <v>0</v>
      </c>
      <c r="BA32" s="141">
        <f>'[2]EU Sunflower Exports'!AZ$245</f>
        <v>0</v>
      </c>
      <c r="BB32" s="141">
        <f>'[2]EU Sunflower Exports'!BA$245</f>
        <v>0</v>
      </c>
      <c r="BC32" s="141">
        <f>'[2]Ukraine Sunflower Exports'!Z$245</f>
        <v>0</v>
      </c>
      <c r="BD32" s="141">
        <f>'[2]Ukraine Sunflower Exports'!AA$245</f>
        <v>0</v>
      </c>
      <c r="BE32" s="141">
        <f>'[2]Ukraine Sunflower Exports'!AB$245</f>
        <v>0</v>
      </c>
      <c r="BF32" s="141">
        <f>'[2]Ukraine Sunflower Exports'!AC$245</f>
        <v>0</v>
      </c>
      <c r="BG32" s="143">
        <f>'[2]Ukraine Sunflower Exports'!AD$245</f>
        <v>0</v>
      </c>
      <c r="BH32" s="141">
        <f>'[2]Russia Sunflower Exports'!B$245</f>
        <v>0</v>
      </c>
      <c r="BI32" s="141">
        <f>'[2]Russia Sunflower Exports'!C$245</f>
        <v>0</v>
      </c>
      <c r="BJ32" s="141">
        <f>'[2]Russia Sunflower Exports'!D$245</f>
        <v>0</v>
      </c>
      <c r="BK32" s="141">
        <f>'[2]Russia Sunflower Exports'!E$245</f>
        <v>0</v>
      </c>
      <c r="BL32" s="141">
        <f>'[2]Russia Sunflower Exports'!F$245</f>
        <v>0</v>
      </c>
      <c r="BM32" s="141">
        <f>'[2]Russia Sunflower Exports'!G$245</f>
        <v>0</v>
      </c>
      <c r="BN32" s="141">
        <f>'[2]Russia Sunflower Exports'!H$245</f>
        <v>0</v>
      </c>
      <c r="BO32" s="141">
        <f>'[2]Russia Sunflower Exports'!I$245</f>
        <v>0</v>
      </c>
      <c r="BP32" s="141">
        <f>'[2]Russia Sunflower Exports'!J$245</f>
        <v>0</v>
      </c>
      <c r="BQ32" s="141">
        <f>'[2]Russia Sunflower Exports'!K$245</f>
        <v>0</v>
      </c>
      <c r="BR32" s="141">
        <f>'[2]Russia Sunflower Exports'!L$245</f>
        <v>0</v>
      </c>
      <c r="BS32" s="141">
        <f>'[2]Russia Sunflower Exports'!M$245</f>
        <v>0</v>
      </c>
      <c r="BT32" s="141">
        <f>'[2]Russia Sunflower Exports'!N$245</f>
        <v>0</v>
      </c>
      <c r="BU32" s="141">
        <f>'[2]Russia Sunflower Exports'!O$245</f>
        <v>0</v>
      </c>
      <c r="BV32" s="141">
        <f>'[2]Russia Sunflower Exports'!P$245</f>
        <v>0</v>
      </c>
      <c r="BW32" s="141">
        <f>'[2]Russia Sunflower Exports'!Q$245</f>
        <v>0</v>
      </c>
      <c r="BX32" s="141">
        <f>'[2]Russia Sunflower Exports'!R$245</f>
        <v>0</v>
      </c>
      <c r="BY32" s="141">
        <f>'[2]Russia Sunflower Exports'!S$245</f>
        <v>0</v>
      </c>
      <c r="BZ32" s="141">
        <f>'[2]Russia Sunflower Exports'!T$245</f>
        <v>0</v>
      </c>
      <c r="CA32" s="141">
        <f>'[2]Russia Sunflower Exports'!U$245</f>
        <v>0</v>
      </c>
      <c r="CB32" s="141">
        <f>'[2]Russia Sunflower Exports'!V$245</f>
        <v>0</v>
      </c>
      <c r="CC32" s="141">
        <f>'[2]Russia Sunflower Exports'!W$245</f>
        <v>0</v>
      </c>
      <c r="CD32" s="141">
        <f>'[2]Russia Sunflower Exports'!X$245</f>
        <v>0</v>
      </c>
      <c r="CE32" s="141">
        <f>'[2]Russia Sunflower Exports'!Y$245</f>
        <v>0</v>
      </c>
      <c r="CF32" s="141">
        <f>'[2]Russia Sunflower Exports'!Z$245</f>
        <v>0</v>
      </c>
      <c r="CG32" s="147">
        <f>'[2]Russia Sunflower Exports'!AA$245</f>
        <v>0</v>
      </c>
      <c r="CH32" s="141">
        <f>'[2]Russia Sunflower Exports'!AB$245</f>
        <v>0</v>
      </c>
      <c r="CI32" s="141">
        <f>'[2]Russia Sunflower Exports'!AC$245</f>
        <v>0</v>
      </c>
      <c r="CJ32" s="143">
        <f>'[2]Russia Sunflower Exports'!AD$245</f>
        <v>0</v>
      </c>
      <c r="CK32" s="141">
        <f>'[3]Sunflower Exports'!B$245/2204.622*1000</f>
        <v>3.259999999999999E-2</v>
      </c>
      <c r="CL32" s="141">
        <f>'[3]Sunflower Exports'!C$245/2204.622*1000</f>
        <v>5.5200000000000006E-2</v>
      </c>
      <c r="CM32" s="141">
        <f>'[3]Sunflower Exports'!D$245/2204.622*1000</f>
        <v>1.4000000000000002E-2</v>
      </c>
      <c r="CN32" s="141">
        <f>'[3]Sunflower Exports'!E$245/2204.622*1000</f>
        <v>4.1200000000000007E-2</v>
      </c>
      <c r="CO32" s="141">
        <f>'[3]Sunflower Exports'!F$245/2204.622*1000</f>
        <v>0</v>
      </c>
      <c r="CP32" s="141">
        <f>'[3]Sunflower Exports'!G$245/2204.622*1000</f>
        <v>0</v>
      </c>
      <c r="CQ32" s="141">
        <f>'[3]Sunflower Exports'!H$245/2204.622*1000</f>
        <v>0</v>
      </c>
      <c r="CR32" s="141">
        <f>'[3]Sunflower Exports'!I$245/2204.622*1000</f>
        <v>0</v>
      </c>
      <c r="CS32" s="141">
        <f>'[3]Sunflower Exports'!J$245/2204.622*1000</f>
        <v>0</v>
      </c>
      <c r="CT32" s="141">
        <f>'[3]Sunflower Exports'!K$245/2204.622*1000</f>
        <v>0</v>
      </c>
      <c r="CU32" s="141">
        <f>'[3]Sunflower Exports'!L$245/2204.622*1000</f>
        <v>0</v>
      </c>
      <c r="CV32" s="141">
        <f>'[3]Sunflower Exports'!M$245/2204.622*1000</f>
        <v>1.0100000000000001E-2</v>
      </c>
      <c r="CW32" s="141">
        <f>'[3]Sunflower Exports'!N$245/2204.622*1000</f>
        <v>0</v>
      </c>
      <c r="CX32" s="141">
        <f>'[3]Sunflower Exports'!O$245/2204.622*1000</f>
        <v>0</v>
      </c>
      <c r="CY32" s="141">
        <f>'[3]Sunflower Exports'!P$245/2204.622*1000</f>
        <v>1.2363000000000002</v>
      </c>
      <c r="CZ32" s="141">
        <f>'[3]Sunflower Exports'!Q$245/2204.622*1000</f>
        <v>0</v>
      </c>
      <c r="DA32" s="141">
        <f>'[3]Sunflower Exports'!R$245/2204.622*1000</f>
        <v>0.13800000000000001</v>
      </c>
      <c r="DB32" s="141">
        <f>'[3]Sunflower Exports'!S$245/2204.622*1000</f>
        <v>0.23610000000000009</v>
      </c>
      <c r="DC32" s="141">
        <f>'[3]Sunflower Exports'!T$245/2204.622*1000</f>
        <v>9.8400000000000001E-2</v>
      </c>
      <c r="DD32" s="141">
        <f>'[3]Sunflower Exports'!U$245/2204.622*1000</f>
        <v>5.3100000000000008E-2</v>
      </c>
      <c r="DE32" s="141">
        <f>'[3]Sunflower Exports'!V$245/2204.622*1000</f>
        <v>0.15820000000000001</v>
      </c>
      <c r="DF32" s="141">
        <f>'[3]Sunflower Exports'!W$245/2204.622*1000</f>
        <v>0.19610000000000002</v>
      </c>
      <c r="DG32" s="141">
        <f>'[3]Sunflower Exports'!X$245/2204.622*1000</f>
        <v>0.16470000000000004</v>
      </c>
      <c r="DH32" s="141">
        <f>'[3]Sunflower Exports'!Y$245/2204.622*1000</f>
        <v>0.16393198463954364</v>
      </c>
      <c r="DI32" s="141">
        <f>'[3]Sunflower Exports'!Z$245/2204.622*1000</f>
        <v>0.1197078914026985</v>
      </c>
      <c r="DJ32" s="141">
        <f>'[3]Sunflower Exports'!AA$245/2204.622*1000</f>
        <v>0.10228990720404678</v>
      </c>
      <c r="DK32" s="141">
        <f>'[3]Sunflower Exports'!AB$245/2204.622*1000</f>
        <v>0.11247989795983168</v>
      </c>
      <c r="DL32" s="141">
        <f>'[3]Sunflower Exports'!AC$245/2204.622*1000</f>
        <v>3.6669079415881732E-2</v>
      </c>
      <c r="DM32" s="143">
        <f>'[3]Sunflower Exports'!AD$245/2204.622*1000</f>
        <v>0</v>
      </c>
      <c r="DN32" s="141">
        <f t="shared" si="4"/>
        <v>0.5796</v>
      </c>
      <c r="DO32" s="141">
        <f t="shared" si="4"/>
        <v>5.5200000000000006E-2</v>
      </c>
      <c r="DP32" s="141">
        <f t="shared" si="4"/>
        <v>1.4000000000000002E-2</v>
      </c>
      <c r="DQ32" s="141">
        <f t="shared" si="4"/>
        <v>4.2200000000000008E-2</v>
      </c>
      <c r="DR32" s="141">
        <f t="shared" si="4"/>
        <v>1E-3</v>
      </c>
      <c r="DS32" s="141">
        <f t="shared" si="4"/>
        <v>2E-3</v>
      </c>
      <c r="DT32" s="141">
        <f t="shared" si="4"/>
        <v>2E-3</v>
      </c>
      <c r="DU32" s="141">
        <f t="shared" si="4"/>
        <v>1.4999999999999999E-2</v>
      </c>
      <c r="DV32" s="141">
        <f t="shared" si="4"/>
        <v>0</v>
      </c>
      <c r="DW32" s="141">
        <f t="shared" si="4"/>
        <v>1E-3</v>
      </c>
      <c r="DX32" s="141">
        <f t="shared" si="4"/>
        <v>1E-3</v>
      </c>
      <c r="DY32" s="141">
        <f t="shared" si="4"/>
        <v>1.0100000000000001E-2</v>
      </c>
      <c r="DZ32" s="141">
        <f t="shared" si="4"/>
        <v>1.3000000000000001E-2</v>
      </c>
      <c r="EA32" s="141">
        <f t="shared" si="4"/>
        <v>1.6E-2</v>
      </c>
      <c r="EB32" s="141">
        <f t="shared" si="4"/>
        <v>1.2393000000000001</v>
      </c>
      <c r="EC32" s="141">
        <f t="shared" si="3"/>
        <v>4.0000000000000001E-3</v>
      </c>
      <c r="ED32" s="141">
        <f t="shared" si="3"/>
        <v>0.14100000000000001</v>
      </c>
      <c r="EE32" s="141">
        <f t="shared" si="3"/>
        <v>0.24410000000000009</v>
      </c>
      <c r="EF32" s="141">
        <f t="shared" si="3"/>
        <v>0.1174</v>
      </c>
      <c r="EG32" s="141">
        <f t="shared" si="3"/>
        <v>8.5100000000000009E-2</v>
      </c>
      <c r="EH32" s="141">
        <f t="shared" si="3"/>
        <v>0.16520000000000001</v>
      </c>
      <c r="EI32" s="141">
        <f t="shared" si="3"/>
        <v>0.22610000000000002</v>
      </c>
      <c r="EJ32" s="141">
        <f t="shared" si="3"/>
        <v>0.28170000000000006</v>
      </c>
      <c r="EK32" s="141">
        <f t="shared" si="3"/>
        <v>0.35993198463954362</v>
      </c>
      <c r="EL32" s="141">
        <f t="shared" si="3"/>
        <v>0.46070789140269852</v>
      </c>
      <c r="EM32" s="141">
        <f t="shared" si="3"/>
        <v>0.57728990720404671</v>
      </c>
      <c r="EN32" s="141">
        <f t="shared" si="5"/>
        <v>1.4204798979598316</v>
      </c>
      <c r="EO32" s="141">
        <f t="shared" si="5"/>
        <v>0.95666907941588186</v>
      </c>
      <c r="EP32" s="145">
        <f t="shared" si="5"/>
        <v>0</v>
      </c>
      <c r="EQ32" s="145">
        <v>0</v>
      </c>
      <c r="ES32" s="141">
        <f t="shared" si="2"/>
        <v>0</v>
      </c>
      <c r="ET32" s="141">
        <f t="shared" si="2"/>
        <v>0</v>
      </c>
      <c r="EV32" s="141"/>
      <c r="EW32" s="141"/>
      <c r="FB32" s="107"/>
    </row>
    <row r="33" spans="1:158">
      <c r="A33" s="148" t="s">
        <v>164</v>
      </c>
      <c r="B33" s="146">
        <f>'[2]EU Sunflower Exports'!B$246</f>
        <v>0</v>
      </c>
      <c r="C33" s="146">
        <f>'[2]EU Sunflower Exports'!C$246</f>
        <v>0</v>
      </c>
      <c r="D33" s="146">
        <f>'[2]EU Sunflower Exports'!D$246</f>
        <v>0</v>
      </c>
      <c r="E33" s="146">
        <f>'[2]EU Sunflower Exports'!E$246</f>
        <v>0</v>
      </c>
      <c r="F33" s="146">
        <f>'[2]EU Sunflower Exports'!F$246</f>
        <v>0</v>
      </c>
      <c r="G33" s="146">
        <f>'[2]EU Sunflower Exports'!G$246</f>
        <v>0</v>
      </c>
      <c r="H33" s="146">
        <f>'[2]EU Sunflower Exports'!H$246</f>
        <v>0</v>
      </c>
      <c r="I33" s="146">
        <f>'[2]EU Sunflower Exports'!I$246</f>
        <v>1E-3</v>
      </c>
      <c r="J33" s="146">
        <f>'[2]EU Sunflower Exports'!J$246</f>
        <v>1E-3</v>
      </c>
      <c r="K33" s="146">
        <f>'[2]EU Sunflower Exports'!K$246</f>
        <v>0</v>
      </c>
      <c r="L33" s="146">
        <f>'[2]EU Sunflower Exports'!L$246</f>
        <v>0</v>
      </c>
      <c r="M33" s="146">
        <f>'[2]EU Sunflower Exports'!M$246</f>
        <v>4.8000000000000001E-2</v>
      </c>
      <c r="N33" s="146">
        <f>'[2]EU Sunflower Exports'!N$246</f>
        <v>0</v>
      </c>
      <c r="O33" s="146">
        <f>'[2]EU Sunflower Exports'!O$246</f>
        <v>0</v>
      </c>
      <c r="P33" s="141">
        <f>'[2]EU Sunflower Exports'!P$246</f>
        <v>0</v>
      </c>
      <c r="Q33" s="141">
        <f>'[2]EU Sunflower Exports'!Q$246</f>
        <v>0</v>
      </c>
      <c r="R33" s="141">
        <f>'[2]EU Sunflower Exports'!R$246</f>
        <v>0</v>
      </c>
      <c r="S33" s="141">
        <f>'[2]EU Sunflower Exports'!S$246</f>
        <v>1E-3</v>
      </c>
      <c r="T33" s="141">
        <f>'[2]EU Sunflower Exports'!T$246</f>
        <v>0</v>
      </c>
      <c r="U33" s="141">
        <f>'[2]EU Sunflower Exports'!U$246</f>
        <v>0</v>
      </c>
      <c r="V33" s="141">
        <f>'[2]EU Sunflower Exports'!V$246</f>
        <v>0</v>
      </c>
      <c r="W33" s="141">
        <f>'[2]EU Sunflower Exports'!W$246</f>
        <v>0</v>
      </c>
      <c r="X33" s="141">
        <f>'[2]EU Sunflower Exports'!X$246</f>
        <v>0</v>
      </c>
      <c r="Y33" s="141">
        <f>'[2]EU Sunflower Exports'!Y$246</f>
        <v>0</v>
      </c>
      <c r="Z33" s="141">
        <f>'[2]EU Sunflower Exports'!Z$246</f>
        <v>0</v>
      </c>
      <c r="AA33" s="141">
        <f>'[2]EU Sunflower Exports'!AA$246</f>
        <v>1.9E-2</v>
      </c>
      <c r="AB33" s="141">
        <f>'[2]EU Sunflower Exports'!AB$246</f>
        <v>0.189</v>
      </c>
      <c r="AC33" s="141">
        <f>'[2]EU Sunflower Exports'!AC$246</f>
        <v>0.41900000000000004</v>
      </c>
      <c r="AD33" s="143">
        <f>'[2]EU Sunflower Exports'!BB$246</f>
        <v>0</v>
      </c>
      <c r="AE33" s="141">
        <f>'[2]EU Sunflower Exports'!AD$246</f>
        <v>0.61499999999999999</v>
      </c>
      <c r="AF33" s="141">
        <f>'[2]EU Sunflower Exports'!AE$246</f>
        <v>0</v>
      </c>
      <c r="AG33" s="141">
        <f>'[2]EU Sunflower Exports'!AF$246</f>
        <v>0</v>
      </c>
      <c r="AH33" s="141">
        <f>'[2]EU Sunflower Exports'!AG$246</f>
        <v>0</v>
      </c>
      <c r="AI33" s="141">
        <f>'[2]EU Sunflower Exports'!AH$246</f>
        <v>0</v>
      </c>
      <c r="AJ33" s="141">
        <f>'[2]EU Sunflower Exports'!AI$246</f>
        <v>0</v>
      </c>
      <c r="AK33" s="141">
        <f>'[2]EU Sunflower Exports'!AJ$246</f>
        <v>0</v>
      </c>
      <c r="AL33" s="141">
        <f>'[2]EU Sunflower Exports'!AK$246</f>
        <v>0</v>
      </c>
      <c r="AM33" s="141">
        <f>'[2]EU Sunflower Exports'!AL$246</f>
        <v>0</v>
      </c>
      <c r="AN33" s="141">
        <f>'[2]EU Sunflower Exports'!AM$246</f>
        <v>0</v>
      </c>
      <c r="AO33" s="141">
        <f>'[2]EU Sunflower Exports'!AN$246</f>
        <v>0</v>
      </c>
      <c r="AP33" s="141">
        <f>'[2]EU Sunflower Exports'!AO$246</f>
        <v>0</v>
      </c>
      <c r="AQ33" s="141">
        <f>'[2]EU Sunflower Exports'!AP$246</f>
        <v>0</v>
      </c>
      <c r="AR33" s="141">
        <f>'[2]EU Sunflower Exports'!AQ$246</f>
        <v>0</v>
      </c>
      <c r="AS33" s="141">
        <f>'[2]EU Sunflower Exports'!AR$246</f>
        <v>0</v>
      </c>
      <c r="AT33" s="141">
        <f>'[2]EU Sunflower Exports'!AS$246</f>
        <v>0</v>
      </c>
      <c r="AU33" s="141">
        <f>'[2]EU Sunflower Exports'!AT$246</f>
        <v>0</v>
      </c>
      <c r="AV33" s="141">
        <f>'[2]EU Sunflower Exports'!AU$246</f>
        <v>0</v>
      </c>
      <c r="AW33" s="141">
        <f>'[2]EU Sunflower Exports'!AV$246</f>
        <v>0</v>
      </c>
      <c r="AX33" s="141">
        <f>'[2]EU Sunflower Exports'!AW$246</f>
        <v>0</v>
      </c>
      <c r="AY33" s="141">
        <f>'[2]EU Sunflower Exports'!AX$246</f>
        <v>0</v>
      </c>
      <c r="AZ33" s="141">
        <f>'[2]EU Sunflower Exports'!AY$246</f>
        <v>0</v>
      </c>
      <c r="BA33" s="141">
        <f>'[2]EU Sunflower Exports'!AZ$246</f>
        <v>0</v>
      </c>
      <c r="BB33" s="141">
        <f>'[2]EU Sunflower Exports'!BA$246</f>
        <v>0</v>
      </c>
      <c r="BC33" s="141">
        <f>'[2]Ukraine Sunflower Exports'!Z$246</f>
        <v>0</v>
      </c>
      <c r="BD33" s="141">
        <f>'[2]Ukraine Sunflower Exports'!AA$246</f>
        <v>0</v>
      </c>
      <c r="BE33" s="141">
        <f>'[2]Ukraine Sunflower Exports'!AB$246</f>
        <v>0</v>
      </c>
      <c r="BF33" s="141">
        <f>'[2]Ukraine Sunflower Exports'!AC$246</f>
        <v>0</v>
      </c>
      <c r="BG33" s="143">
        <f>'[2]Ukraine Sunflower Exports'!AD$246</f>
        <v>0</v>
      </c>
      <c r="BH33" s="141">
        <f>'[2]Russia Sunflower Exports'!B$246</f>
        <v>0</v>
      </c>
      <c r="BI33" s="141">
        <f>'[2]Russia Sunflower Exports'!C$246</f>
        <v>0</v>
      </c>
      <c r="BJ33" s="141">
        <f>'[2]Russia Sunflower Exports'!D$246</f>
        <v>0</v>
      </c>
      <c r="BK33" s="141">
        <f>'[2]Russia Sunflower Exports'!E$246</f>
        <v>0</v>
      </c>
      <c r="BL33" s="141">
        <f>'[2]Russia Sunflower Exports'!F$246</f>
        <v>0</v>
      </c>
      <c r="BM33" s="141">
        <f>'[2]Russia Sunflower Exports'!G$246</f>
        <v>0</v>
      </c>
      <c r="BN33" s="141">
        <f>'[2]Russia Sunflower Exports'!H$246</f>
        <v>0</v>
      </c>
      <c r="BO33" s="141">
        <f>'[2]Russia Sunflower Exports'!I$246</f>
        <v>0</v>
      </c>
      <c r="BP33" s="141">
        <f>'[2]Russia Sunflower Exports'!J$246</f>
        <v>0</v>
      </c>
      <c r="BQ33" s="141">
        <f>'[2]Russia Sunflower Exports'!K$246</f>
        <v>0</v>
      </c>
      <c r="BR33" s="141">
        <f>'[2]Russia Sunflower Exports'!L$246</f>
        <v>0</v>
      </c>
      <c r="BS33" s="141">
        <f>'[2]Russia Sunflower Exports'!M$246</f>
        <v>0</v>
      </c>
      <c r="BT33" s="141">
        <f>'[2]Russia Sunflower Exports'!N$246</f>
        <v>0</v>
      </c>
      <c r="BU33" s="141">
        <f>'[2]Russia Sunflower Exports'!O$246</f>
        <v>0</v>
      </c>
      <c r="BV33" s="141">
        <f>'[2]Russia Sunflower Exports'!P$246</f>
        <v>0</v>
      </c>
      <c r="BW33" s="141">
        <f>'[2]Russia Sunflower Exports'!Q$246</f>
        <v>0</v>
      </c>
      <c r="BX33" s="141">
        <f>'[2]Russia Sunflower Exports'!R$246</f>
        <v>0</v>
      </c>
      <c r="BY33" s="141">
        <f>'[2]Russia Sunflower Exports'!S$246</f>
        <v>0</v>
      </c>
      <c r="BZ33" s="141">
        <f>'[2]Russia Sunflower Exports'!T$246</f>
        <v>0</v>
      </c>
      <c r="CA33" s="141">
        <f>'[2]Russia Sunflower Exports'!U$246</f>
        <v>0</v>
      </c>
      <c r="CB33" s="141">
        <f>'[2]Russia Sunflower Exports'!V$246</f>
        <v>0</v>
      </c>
      <c r="CC33" s="141">
        <f>'[2]Russia Sunflower Exports'!W$246</f>
        <v>0</v>
      </c>
      <c r="CD33" s="141">
        <f>'[2]Russia Sunflower Exports'!X$246</f>
        <v>0</v>
      </c>
      <c r="CE33" s="141">
        <f>'[2]Russia Sunflower Exports'!Y$246</f>
        <v>0</v>
      </c>
      <c r="CF33" s="141">
        <f>'[2]Russia Sunflower Exports'!Z$246</f>
        <v>0</v>
      </c>
      <c r="CG33" s="147">
        <f>'[2]Russia Sunflower Exports'!AA$246</f>
        <v>0</v>
      </c>
      <c r="CH33" s="141">
        <f>'[2]Russia Sunflower Exports'!AB$246</f>
        <v>0</v>
      </c>
      <c r="CI33" s="141">
        <f>'[2]Russia Sunflower Exports'!AC$246</f>
        <v>0</v>
      </c>
      <c r="CJ33" s="143">
        <f>'[2]Russia Sunflower Exports'!AD$246</f>
        <v>0</v>
      </c>
      <c r="CK33" s="141">
        <f>'[3]Sunflower Exports'!B$246/2204.622*1000</f>
        <v>0</v>
      </c>
      <c r="CL33" s="141">
        <f>'[3]Sunflower Exports'!C$246/2204.622*1000</f>
        <v>0</v>
      </c>
      <c r="CM33" s="141">
        <f>'[3]Sunflower Exports'!D$246/2204.622*1000</f>
        <v>6.0000000000000001E-3</v>
      </c>
      <c r="CN33" s="141">
        <f>'[3]Sunflower Exports'!E$246/2204.622*1000</f>
        <v>4.4600000000000008E-2</v>
      </c>
      <c r="CO33" s="141">
        <f>'[3]Sunflower Exports'!F$246/2204.622*1000</f>
        <v>1.4400000000000001E-2</v>
      </c>
      <c r="CP33" s="141">
        <f>'[3]Sunflower Exports'!G$246/2204.622*1000</f>
        <v>3.7600000000000001E-2</v>
      </c>
      <c r="CQ33" s="141">
        <f>'[3]Sunflower Exports'!H$246/2204.622*1000</f>
        <v>0.18820000000000001</v>
      </c>
      <c r="CR33" s="141">
        <f>'[3]Sunflower Exports'!I$246/2204.622*1000</f>
        <v>8.0000000000000002E-3</v>
      </c>
      <c r="CS33" s="141">
        <f>'[3]Sunflower Exports'!J$246/2204.622*1000</f>
        <v>4.1200000000000007E-2</v>
      </c>
      <c r="CT33" s="141">
        <f>'[3]Sunflower Exports'!K$246/2204.622*1000</f>
        <v>0.21490000000000001</v>
      </c>
      <c r="CU33" s="141">
        <f>'[3]Sunflower Exports'!L$246/2204.622*1000</f>
        <v>6.6400000000000001E-2</v>
      </c>
      <c r="CV33" s="141">
        <f>'[3]Sunflower Exports'!M$246/2204.622*1000</f>
        <v>3.7999999999999999E-2</v>
      </c>
      <c r="CW33" s="141">
        <f>'[3]Sunflower Exports'!N$246/2204.622*1000</f>
        <v>0.4648000000000001</v>
      </c>
      <c r="CX33" s="141">
        <f>'[3]Sunflower Exports'!O$246/2204.622*1000</f>
        <v>0.2708000000000001</v>
      </c>
      <c r="CY33" s="141">
        <f>'[3]Sunflower Exports'!P$246/2204.622*1000</f>
        <v>0.1406</v>
      </c>
      <c r="CZ33" s="141">
        <f>'[3]Sunflower Exports'!Q$246/2204.622*1000</f>
        <v>8.0199999999999994E-2</v>
      </c>
      <c r="DA33" s="141">
        <f>'[3]Sunflower Exports'!R$246/2204.622*1000</f>
        <v>8.1600000000000006E-2</v>
      </c>
      <c r="DB33" s="141">
        <f>'[3]Sunflower Exports'!S$246/2204.622*1000</f>
        <v>4.7799999999999995E-2</v>
      </c>
      <c r="DC33" s="141">
        <f>'[3]Sunflower Exports'!T$246/2204.622*1000</f>
        <v>4.8000000000000001E-2</v>
      </c>
      <c r="DD33" s="141">
        <f>'[3]Sunflower Exports'!U$246/2204.622*1000</f>
        <v>3.5200000000000002E-2</v>
      </c>
      <c r="DE33" s="141">
        <f>'[3]Sunflower Exports'!V$246/2204.622*1000</f>
        <v>3.3500000000000009E-2</v>
      </c>
      <c r="DF33" s="141">
        <f>'[3]Sunflower Exports'!W$246/2204.622*1000</f>
        <v>7.3200000000000015E-2</v>
      </c>
      <c r="DG33" s="141">
        <f>'[3]Sunflower Exports'!X$246/2204.622*1000</f>
        <v>0.41060000000000002</v>
      </c>
      <c r="DH33" s="141">
        <f>'[3]Sunflower Exports'!Y$246/2204.622*1000</f>
        <v>0.20777199158858073</v>
      </c>
      <c r="DI33" s="141">
        <f>'[3]Sunflower Exports'!Z$246/2204.622*1000</f>
        <v>0.60045845527260466</v>
      </c>
      <c r="DJ33" s="141">
        <f>'[3]Sunflower Exports'!AA$246/2204.622*1000</f>
        <v>0.45057059124874926</v>
      </c>
      <c r="DK33" s="141">
        <f>'[3]Sunflower Exports'!AB$246/2204.622*1000</f>
        <v>5.5012950093031823E-2</v>
      </c>
      <c r="DL33" s="141">
        <f>'[3]Sunflower Exports'!AC$246/2204.622*1000</f>
        <v>1.1932979558400491E-2</v>
      </c>
      <c r="DM33" s="143">
        <f>'[3]Sunflower Exports'!AD$246/2204.622*1000</f>
        <v>0</v>
      </c>
      <c r="DN33" s="141">
        <f t="shared" si="4"/>
        <v>0.61499999999999999</v>
      </c>
      <c r="DO33" s="141">
        <f t="shared" si="4"/>
        <v>0</v>
      </c>
      <c r="DP33" s="141">
        <f t="shared" si="4"/>
        <v>6.0000000000000001E-3</v>
      </c>
      <c r="DQ33" s="141">
        <f t="shared" si="4"/>
        <v>4.4600000000000008E-2</v>
      </c>
      <c r="DR33" s="141">
        <f t="shared" si="4"/>
        <v>1.4400000000000001E-2</v>
      </c>
      <c r="DS33" s="141">
        <f t="shared" si="4"/>
        <v>3.7600000000000001E-2</v>
      </c>
      <c r="DT33" s="141">
        <f t="shared" si="4"/>
        <v>0.18820000000000001</v>
      </c>
      <c r="DU33" s="141">
        <f t="shared" si="4"/>
        <v>9.0000000000000011E-3</v>
      </c>
      <c r="DV33" s="141">
        <f t="shared" si="4"/>
        <v>4.2200000000000008E-2</v>
      </c>
      <c r="DW33" s="141">
        <f t="shared" si="4"/>
        <v>0.21490000000000001</v>
      </c>
      <c r="DX33" s="141">
        <f t="shared" si="4"/>
        <v>6.6400000000000001E-2</v>
      </c>
      <c r="DY33" s="141">
        <f t="shared" si="4"/>
        <v>8.5999999999999993E-2</v>
      </c>
      <c r="DZ33" s="141">
        <f t="shared" si="4"/>
        <v>0.4648000000000001</v>
      </c>
      <c r="EA33" s="141">
        <f t="shared" si="4"/>
        <v>0.2708000000000001</v>
      </c>
      <c r="EB33" s="141">
        <f t="shared" si="4"/>
        <v>0.1406</v>
      </c>
      <c r="EC33" s="141">
        <f t="shared" si="3"/>
        <v>8.0199999999999994E-2</v>
      </c>
      <c r="ED33" s="141">
        <f t="shared" si="3"/>
        <v>8.1600000000000006E-2</v>
      </c>
      <c r="EE33" s="141">
        <f t="shared" si="3"/>
        <v>4.8799999999999996E-2</v>
      </c>
      <c r="EF33" s="141">
        <f t="shared" si="3"/>
        <v>4.8000000000000001E-2</v>
      </c>
      <c r="EG33" s="141">
        <f t="shared" si="3"/>
        <v>3.5200000000000002E-2</v>
      </c>
      <c r="EH33" s="141">
        <f t="shared" si="3"/>
        <v>3.3500000000000009E-2</v>
      </c>
      <c r="EI33" s="141">
        <f t="shared" si="3"/>
        <v>7.3200000000000015E-2</v>
      </c>
      <c r="EJ33" s="141">
        <f t="shared" si="3"/>
        <v>0.41060000000000002</v>
      </c>
      <c r="EK33" s="141">
        <f t="shared" si="3"/>
        <v>0.20777199158858073</v>
      </c>
      <c r="EL33" s="141">
        <f t="shared" si="3"/>
        <v>0.60045845527260466</v>
      </c>
      <c r="EM33" s="141">
        <f t="shared" si="3"/>
        <v>0.46957059124874928</v>
      </c>
      <c r="EN33" s="141">
        <f t="shared" si="5"/>
        <v>0.24401295009303181</v>
      </c>
      <c r="EO33" s="141">
        <f t="shared" si="5"/>
        <v>0.43093297955840054</v>
      </c>
      <c r="EP33" s="145">
        <f t="shared" si="5"/>
        <v>0</v>
      </c>
      <c r="EQ33" s="145">
        <v>0</v>
      </c>
      <c r="ES33" s="141">
        <f t="shared" si="2"/>
        <v>0</v>
      </c>
      <c r="ET33" s="141">
        <f t="shared" si="2"/>
        <v>0</v>
      </c>
      <c r="EV33" s="141"/>
      <c r="EW33" s="141"/>
      <c r="FB33" s="107"/>
    </row>
    <row r="34" spans="1:158">
      <c r="A34" s="148" t="s">
        <v>165</v>
      </c>
      <c r="B34" s="146">
        <f>'[2]EU Sunflower Exports'!B$248</f>
        <v>0</v>
      </c>
      <c r="C34" s="146">
        <f>'[2]EU Sunflower Exports'!C$248</f>
        <v>0</v>
      </c>
      <c r="D34" s="146">
        <f>'[2]EU Sunflower Exports'!D$248</f>
        <v>0</v>
      </c>
      <c r="E34" s="146">
        <f>'[2]EU Sunflower Exports'!E$248</f>
        <v>0</v>
      </c>
      <c r="F34" s="146">
        <f>'[2]EU Sunflower Exports'!F$248</f>
        <v>2E-3</v>
      </c>
      <c r="G34" s="146">
        <f>'[2]EU Sunflower Exports'!G$248</f>
        <v>1.2000000000000004E-2</v>
      </c>
      <c r="H34" s="146">
        <f>'[2]EU Sunflower Exports'!H$248</f>
        <v>1.3999999999999999E-2</v>
      </c>
      <c r="I34" s="146">
        <f>'[2]EU Sunflower Exports'!I$248</f>
        <v>3.0000000000000002E-2</v>
      </c>
      <c r="J34" s="146">
        <f>'[2]EU Sunflower Exports'!J$248</f>
        <v>1.3000000000000001E-2</v>
      </c>
      <c r="K34" s="146">
        <f>'[2]EU Sunflower Exports'!K$248</f>
        <v>0.01</v>
      </c>
      <c r="L34" s="146">
        <f>'[2]EU Sunflower Exports'!L$248</f>
        <v>0</v>
      </c>
      <c r="M34" s="146">
        <f>'[2]EU Sunflower Exports'!M$248</f>
        <v>0</v>
      </c>
      <c r="N34" s="146">
        <f>'[2]EU Sunflower Exports'!N$248</f>
        <v>0</v>
      </c>
      <c r="O34" s="146">
        <f>'[2]EU Sunflower Exports'!O$248</f>
        <v>0</v>
      </c>
      <c r="P34" s="141">
        <f>'[2]EU Sunflower Exports'!P$248</f>
        <v>0</v>
      </c>
      <c r="Q34" s="141">
        <f>'[2]EU Sunflower Exports'!Q$248</f>
        <v>0</v>
      </c>
      <c r="R34" s="141">
        <f>'[2]EU Sunflower Exports'!R$248</f>
        <v>0</v>
      </c>
      <c r="S34" s="141">
        <f>'[2]EU Sunflower Exports'!S$248</f>
        <v>0</v>
      </c>
      <c r="T34" s="141">
        <f>'[2]EU Sunflower Exports'!T$248</f>
        <v>0</v>
      </c>
      <c r="U34" s="141">
        <f>'[2]EU Sunflower Exports'!U$248</f>
        <v>0</v>
      </c>
      <c r="V34" s="141">
        <f>'[2]EU Sunflower Exports'!V$248</f>
        <v>0</v>
      </c>
      <c r="W34" s="141">
        <f>'[2]EU Sunflower Exports'!W$248</f>
        <v>0.14499999999999999</v>
      </c>
      <c r="X34" s="141">
        <f>'[2]EU Sunflower Exports'!X$248</f>
        <v>0</v>
      </c>
      <c r="Y34" s="141">
        <f>'[2]EU Sunflower Exports'!Y$248</f>
        <v>0</v>
      </c>
      <c r="Z34" s="141">
        <f>'[2]EU Sunflower Exports'!Z$248</f>
        <v>0</v>
      </c>
      <c r="AA34" s="141">
        <f>'[2]EU Sunflower Exports'!AA$248</f>
        <v>0</v>
      </c>
      <c r="AB34" s="141">
        <f>'[2]EU Sunflower Exports'!AB$248</f>
        <v>0</v>
      </c>
      <c r="AC34" s="141">
        <f>'[2]EU Sunflower Exports'!AC$248</f>
        <v>0</v>
      </c>
      <c r="AD34" s="143">
        <f>'[2]EU Sunflower Exports'!BB$248</f>
        <v>0</v>
      </c>
      <c r="AE34" s="141">
        <f>'[2]EU Sunflower Exports'!AD$248</f>
        <v>0</v>
      </c>
      <c r="AF34" s="141">
        <f>'[2]EU Sunflower Exports'!AE$248</f>
        <v>0</v>
      </c>
      <c r="AG34" s="141">
        <f>'[2]EU Sunflower Exports'!AF$248</f>
        <v>0</v>
      </c>
      <c r="AH34" s="141">
        <f>'[2]EU Sunflower Exports'!AG$248</f>
        <v>0</v>
      </c>
      <c r="AI34" s="141">
        <f>'[2]EU Sunflower Exports'!AH$248</f>
        <v>0</v>
      </c>
      <c r="AJ34" s="141">
        <f>'[2]EU Sunflower Exports'!AI$248</f>
        <v>0</v>
      </c>
      <c r="AK34" s="141">
        <f>'[2]EU Sunflower Exports'!AJ$248</f>
        <v>0</v>
      </c>
      <c r="AL34" s="141">
        <f>'[2]EU Sunflower Exports'!AK$248</f>
        <v>0</v>
      </c>
      <c r="AM34" s="141">
        <f>'[2]EU Sunflower Exports'!AL$248</f>
        <v>0</v>
      </c>
      <c r="AN34" s="141">
        <f>'[2]EU Sunflower Exports'!AM$248</f>
        <v>0</v>
      </c>
      <c r="AO34" s="141">
        <f>'[2]EU Sunflower Exports'!AN$248</f>
        <v>0</v>
      </c>
      <c r="AP34" s="141">
        <f>'[2]EU Sunflower Exports'!AO$248</f>
        <v>0</v>
      </c>
      <c r="AQ34" s="141">
        <f>'[2]EU Sunflower Exports'!AP$248</f>
        <v>0</v>
      </c>
      <c r="AR34" s="141">
        <f>'[2]EU Sunflower Exports'!AQ$248</f>
        <v>0</v>
      </c>
      <c r="AS34" s="141">
        <f>'[2]EU Sunflower Exports'!AR$248</f>
        <v>0</v>
      </c>
      <c r="AT34" s="141">
        <f>'[2]EU Sunflower Exports'!AS$248</f>
        <v>0</v>
      </c>
      <c r="AU34" s="141">
        <f>'[2]EU Sunflower Exports'!AT$248</f>
        <v>0</v>
      </c>
      <c r="AV34" s="141">
        <f>'[2]EU Sunflower Exports'!AU$248</f>
        <v>0</v>
      </c>
      <c r="AW34" s="141">
        <f>'[2]EU Sunflower Exports'!AV$248</f>
        <v>0</v>
      </c>
      <c r="AX34" s="141">
        <f>'[2]EU Sunflower Exports'!AW$248</f>
        <v>0</v>
      </c>
      <c r="AY34" s="141">
        <f>'[2]EU Sunflower Exports'!AX$248</f>
        <v>0</v>
      </c>
      <c r="AZ34" s="141">
        <f>'[2]EU Sunflower Exports'!AY$248</f>
        <v>0</v>
      </c>
      <c r="BA34" s="141">
        <f>'[2]EU Sunflower Exports'!AZ$248</f>
        <v>0</v>
      </c>
      <c r="BB34" s="141">
        <f>'[2]EU Sunflower Exports'!BA$248</f>
        <v>0</v>
      </c>
      <c r="BC34" s="141">
        <f>'[2]Ukraine Sunflower Exports'!Z$248</f>
        <v>0</v>
      </c>
      <c r="BD34" s="141">
        <f>'[2]Ukraine Sunflower Exports'!AA$248</f>
        <v>0</v>
      </c>
      <c r="BE34" s="141">
        <f>'[2]Ukraine Sunflower Exports'!AB$248</f>
        <v>0</v>
      </c>
      <c r="BF34" s="141">
        <f>'[2]Ukraine Sunflower Exports'!AC$248</f>
        <v>0</v>
      </c>
      <c r="BG34" s="143">
        <f>'[2]Ukraine Sunflower Exports'!AD$248</f>
        <v>0</v>
      </c>
      <c r="BH34" s="141">
        <f>'[2]Russia Sunflower Exports'!B$248</f>
        <v>0</v>
      </c>
      <c r="BI34" s="141">
        <f>'[2]Russia Sunflower Exports'!C$248</f>
        <v>0</v>
      </c>
      <c r="BJ34" s="141">
        <f>'[2]Russia Sunflower Exports'!D$248</f>
        <v>0</v>
      </c>
      <c r="BK34" s="141">
        <f>'[2]Russia Sunflower Exports'!E$248</f>
        <v>0</v>
      </c>
      <c r="BL34" s="141">
        <f>'[2]Russia Sunflower Exports'!F$248</f>
        <v>0</v>
      </c>
      <c r="BM34" s="141">
        <f>'[2]Russia Sunflower Exports'!G$248</f>
        <v>0</v>
      </c>
      <c r="BN34" s="141">
        <f>'[2]Russia Sunflower Exports'!H$248</f>
        <v>0</v>
      </c>
      <c r="BO34" s="141">
        <f>'[2]Russia Sunflower Exports'!I$248</f>
        <v>0</v>
      </c>
      <c r="BP34" s="141">
        <f>'[2]Russia Sunflower Exports'!J$248</f>
        <v>0</v>
      </c>
      <c r="BQ34" s="141">
        <f>'[2]Russia Sunflower Exports'!K$248</f>
        <v>0</v>
      </c>
      <c r="BR34" s="141">
        <f>'[2]Russia Sunflower Exports'!L$248</f>
        <v>0</v>
      </c>
      <c r="BS34" s="141">
        <f>'[2]Russia Sunflower Exports'!M$248</f>
        <v>0</v>
      </c>
      <c r="BT34" s="141">
        <f>'[2]Russia Sunflower Exports'!N$248</f>
        <v>0</v>
      </c>
      <c r="BU34" s="141">
        <f>'[2]Russia Sunflower Exports'!O$248</f>
        <v>0</v>
      </c>
      <c r="BV34" s="141">
        <f>'[2]Russia Sunflower Exports'!P$248</f>
        <v>0</v>
      </c>
      <c r="BW34" s="141">
        <f>'[2]Russia Sunflower Exports'!Q$248</f>
        <v>0</v>
      </c>
      <c r="BX34" s="141">
        <f>'[2]Russia Sunflower Exports'!R$248</f>
        <v>0</v>
      </c>
      <c r="BY34" s="141">
        <f>'[2]Russia Sunflower Exports'!S$248</f>
        <v>0</v>
      </c>
      <c r="BZ34" s="141">
        <f>'[2]Russia Sunflower Exports'!T$248</f>
        <v>0</v>
      </c>
      <c r="CA34" s="141">
        <f>'[2]Russia Sunflower Exports'!U$248</f>
        <v>0</v>
      </c>
      <c r="CB34" s="141">
        <f>'[2]Russia Sunflower Exports'!V$248</f>
        <v>0</v>
      </c>
      <c r="CC34" s="141">
        <f>'[2]Russia Sunflower Exports'!W$248</f>
        <v>0</v>
      </c>
      <c r="CD34" s="141">
        <f>'[2]Russia Sunflower Exports'!X$248</f>
        <v>0</v>
      </c>
      <c r="CE34" s="141">
        <f>'[2]Russia Sunflower Exports'!Y$248</f>
        <v>0</v>
      </c>
      <c r="CF34" s="141">
        <f>'[2]Russia Sunflower Exports'!Z$248</f>
        <v>0</v>
      </c>
      <c r="CG34" s="147">
        <f>'[2]Russia Sunflower Exports'!AA$248</f>
        <v>0</v>
      </c>
      <c r="CH34" s="141">
        <f>'[2]Russia Sunflower Exports'!AB$248</f>
        <v>0</v>
      </c>
      <c r="CI34" s="141">
        <f>'[2]Russia Sunflower Exports'!AC$248</f>
        <v>0</v>
      </c>
      <c r="CJ34" s="143">
        <f>'[2]Russia Sunflower Exports'!AD$248</f>
        <v>0</v>
      </c>
      <c r="CK34" s="141">
        <f>'[3]Sunflower Exports'!B$248/2204.622*1000</f>
        <v>0</v>
      </c>
      <c r="CL34" s="141">
        <f>'[3]Sunflower Exports'!C$248/2204.622*1000</f>
        <v>0</v>
      </c>
      <c r="CM34" s="141">
        <f>'[3]Sunflower Exports'!D$248/2204.622*1000</f>
        <v>0</v>
      </c>
      <c r="CN34" s="141">
        <f>'[3]Sunflower Exports'!E$248/2204.622*1000</f>
        <v>0</v>
      </c>
      <c r="CO34" s="141">
        <f>'[3]Sunflower Exports'!F$248/2204.622*1000</f>
        <v>0</v>
      </c>
      <c r="CP34" s="141">
        <f>'[3]Sunflower Exports'!G$248/2204.622*1000</f>
        <v>0</v>
      </c>
      <c r="CQ34" s="141">
        <f>'[3]Sunflower Exports'!H$248/2204.622*1000</f>
        <v>0</v>
      </c>
      <c r="CR34" s="141">
        <f>'[3]Sunflower Exports'!I$248/2204.622*1000</f>
        <v>0</v>
      </c>
      <c r="CS34" s="141">
        <f>'[3]Sunflower Exports'!J$248/2204.622*1000</f>
        <v>0</v>
      </c>
      <c r="CT34" s="141">
        <f>'[3]Sunflower Exports'!K$248/2204.622*1000</f>
        <v>0</v>
      </c>
      <c r="CU34" s="141">
        <f>'[3]Sunflower Exports'!L$248/2204.622*1000</f>
        <v>0</v>
      </c>
      <c r="CV34" s="141">
        <f>'[3]Sunflower Exports'!M$248/2204.622*1000</f>
        <v>0</v>
      </c>
      <c r="CW34" s="141">
        <f>'[3]Sunflower Exports'!N$248/2204.622*1000</f>
        <v>0</v>
      </c>
      <c r="CX34" s="141">
        <f>'[3]Sunflower Exports'!O$248/2204.622*1000</f>
        <v>0</v>
      </c>
      <c r="CY34" s="141">
        <f>'[3]Sunflower Exports'!P$248/2204.622*1000</f>
        <v>0</v>
      </c>
      <c r="CZ34" s="141">
        <f>'[3]Sunflower Exports'!Q$248/2204.622*1000</f>
        <v>0</v>
      </c>
      <c r="DA34" s="141">
        <f>'[3]Sunflower Exports'!R$248/2204.622*1000</f>
        <v>0</v>
      </c>
      <c r="DB34" s="141">
        <f>'[3]Sunflower Exports'!S$248/2204.622*1000</f>
        <v>0</v>
      </c>
      <c r="DC34" s="141">
        <f>'[3]Sunflower Exports'!T$248/2204.622*1000</f>
        <v>0</v>
      </c>
      <c r="DD34" s="141">
        <f>'[3]Sunflower Exports'!U$248/2204.622*1000</f>
        <v>0</v>
      </c>
      <c r="DE34" s="141">
        <f>'[3]Sunflower Exports'!V$248/2204.622*1000</f>
        <v>0</v>
      </c>
      <c r="DF34" s="141">
        <f>'[3]Sunflower Exports'!W$248/2204.622*1000</f>
        <v>0</v>
      </c>
      <c r="DG34" s="141">
        <f>'[3]Sunflower Exports'!X$248/2204.622*1000</f>
        <v>0</v>
      </c>
      <c r="DH34" s="141">
        <f>'[3]Sunflower Exports'!Y$248/2204.622*1000</f>
        <v>0</v>
      </c>
      <c r="DI34" s="141">
        <f>'[3]Sunflower Exports'!Z$248/2204.622*1000</f>
        <v>0</v>
      </c>
      <c r="DJ34" s="141">
        <f>'[3]Sunflower Exports'!AA$248/2204.622*1000</f>
        <v>0</v>
      </c>
      <c r="DK34" s="141">
        <f>'[3]Sunflower Exports'!AB$248/2204.622*1000</f>
        <v>0</v>
      </c>
      <c r="DL34" s="141">
        <f>'[3]Sunflower Exports'!AC$248/2204.622*1000</f>
        <v>0</v>
      </c>
      <c r="DM34" s="143">
        <f>'[3]Sunflower Exports'!AD$248/2204.622*1000</f>
        <v>0</v>
      </c>
      <c r="DN34" s="141">
        <f t="shared" si="4"/>
        <v>0</v>
      </c>
      <c r="DO34" s="141">
        <f t="shared" si="4"/>
        <v>0</v>
      </c>
      <c r="DP34" s="141">
        <f t="shared" si="4"/>
        <v>0</v>
      </c>
      <c r="DQ34" s="141">
        <f t="shared" si="4"/>
        <v>0</v>
      </c>
      <c r="DR34" s="141">
        <f t="shared" si="4"/>
        <v>2E-3</v>
      </c>
      <c r="DS34" s="141">
        <f t="shared" si="4"/>
        <v>1.2000000000000004E-2</v>
      </c>
      <c r="DT34" s="141">
        <f t="shared" si="4"/>
        <v>1.3999999999999999E-2</v>
      </c>
      <c r="DU34" s="141">
        <f t="shared" si="4"/>
        <v>3.0000000000000002E-2</v>
      </c>
      <c r="DV34" s="141">
        <f t="shared" si="4"/>
        <v>1.3000000000000001E-2</v>
      </c>
      <c r="DW34" s="141">
        <f t="shared" si="4"/>
        <v>0.01</v>
      </c>
      <c r="DX34" s="141">
        <f t="shared" si="4"/>
        <v>0</v>
      </c>
      <c r="DY34" s="141">
        <f t="shared" si="4"/>
        <v>0</v>
      </c>
      <c r="DZ34" s="141">
        <f t="shared" si="4"/>
        <v>0</v>
      </c>
      <c r="EA34" s="141">
        <f t="shared" si="4"/>
        <v>0</v>
      </c>
      <c r="EB34" s="141">
        <f t="shared" si="4"/>
        <v>0</v>
      </c>
      <c r="EC34" s="141">
        <f t="shared" si="3"/>
        <v>0</v>
      </c>
      <c r="ED34" s="141">
        <f t="shared" si="3"/>
        <v>0</v>
      </c>
      <c r="EE34" s="141">
        <f t="shared" si="3"/>
        <v>0</v>
      </c>
      <c r="EF34" s="141">
        <f t="shared" si="3"/>
        <v>0</v>
      </c>
      <c r="EG34" s="141">
        <f t="shared" si="3"/>
        <v>0</v>
      </c>
      <c r="EH34" s="141">
        <f t="shared" si="3"/>
        <v>0</v>
      </c>
      <c r="EI34" s="141">
        <f t="shared" si="3"/>
        <v>0.14499999999999999</v>
      </c>
      <c r="EJ34" s="141">
        <f t="shared" si="3"/>
        <v>0</v>
      </c>
      <c r="EK34" s="141">
        <f t="shared" si="3"/>
        <v>0</v>
      </c>
      <c r="EL34" s="141">
        <f t="shared" si="3"/>
        <v>0</v>
      </c>
      <c r="EM34" s="141">
        <f t="shared" si="3"/>
        <v>0</v>
      </c>
      <c r="EN34" s="141">
        <f t="shared" si="5"/>
        <v>0</v>
      </c>
      <c r="EO34" s="141">
        <f t="shared" si="5"/>
        <v>0</v>
      </c>
      <c r="EP34" s="145">
        <f t="shared" si="5"/>
        <v>0</v>
      </c>
      <c r="EQ34" s="145">
        <v>0</v>
      </c>
      <c r="ES34" s="141">
        <f t="shared" si="2"/>
        <v>0</v>
      </c>
      <c r="ET34" s="141">
        <f t="shared" si="2"/>
        <v>0</v>
      </c>
      <c r="EV34" s="141"/>
      <c r="EW34" s="141"/>
      <c r="FB34" s="107"/>
    </row>
    <row r="35" spans="1:158">
      <c r="A35" s="137" t="s">
        <v>166</v>
      </c>
      <c r="B35" s="146">
        <f>'[2]EU Sunflower Exports'!B$250</f>
        <v>0</v>
      </c>
      <c r="C35" s="146">
        <f>'[2]EU Sunflower Exports'!C$250</f>
        <v>0</v>
      </c>
      <c r="D35" s="146">
        <f>'[2]EU Sunflower Exports'!D$250</f>
        <v>0</v>
      </c>
      <c r="E35" s="146">
        <f>'[2]EU Sunflower Exports'!E$250</f>
        <v>0</v>
      </c>
      <c r="F35" s="146">
        <f>'[2]EU Sunflower Exports'!F$250</f>
        <v>2E-3</v>
      </c>
      <c r="G35" s="146">
        <f>'[2]EU Sunflower Exports'!G$250</f>
        <v>0</v>
      </c>
      <c r="H35" s="146">
        <f>'[2]EU Sunflower Exports'!H$250</f>
        <v>0</v>
      </c>
      <c r="I35" s="146">
        <f>'[2]EU Sunflower Exports'!I$250</f>
        <v>0</v>
      </c>
      <c r="J35" s="146">
        <f>'[2]EU Sunflower Exports'!J$250</f>
        <v>0</v>
      </c>
      <c r="K35" s="146">
        <f>'[2]EU Sunflower Exports'!K$250</f>
        <v>0</v>
      </c>
      <c r="L35" s="146">
        <f>'[2]EU Sunflower Exports'!L$250</f>
        <v>0</v>
      </c>
      <c r="M35" s="146">
        <f>'[2]EU Sunflower Exports'!M$250</f>
        <v>0.30000000000000004</v>
      </c>
      <c r="N35" s="146">
        <f>'[2]EU Sunflower Exports'!N$250</f>
        <v>0</v>
      </c>
      <c r="O35" s="146">
        <f>'[2]EU Sunflower Exports'!O$250</f>
        <v>0</v>
      </c>
      <c r="P35" s="141">
        <f>'[2]EU Sunflower Exports'!P$250</f>
        <v>0</v>
      </c>
      <c r="Q35" s="141">
        <f>'[2]EU Sunflower Exports'!Q$250</f>
        <v>0</v>
      </c>
      <c r="R35" s="141">
        <f>'[2]EU Sunflower Exports'!R$250</f>
        <v>0</v>
      </c>
      <c r="S35" s="141">
        <f>'[2]EU Sunflower Exports'!S$250</f>
        <v>0</v>
      </c>
      <c r="T35" s="141">
        <f>'[2]EU Sunflower Exports'!T$250</f>
        <v>0</v>
      </c>
      <c r="U35" s="141">
        <f>'[2]EU Sunflower Exports'!U$250</f>
        <v>0</v>
      </c>
      <c r="V35" s="141">
        <f>'[2]EU Sunflower Exports'!V$250</f>
        <v>1E-3</v>
      </c>
      <c r="W35" s="141">
        <f>'[2]EU Sunflower Exports'!W$250</f>
        <v>0</v>
      </c>
      <c r="X35" s="141">
        <f>'[2]EU Sunflower Exports'!X$250</f>
        <v>1.2E-2</v>
      </c>
      <c r="Y35" s="141">
        <f>'[2]EU Sunflower Exports'!Y$250</f>
        <v>3.0000000000000001E-3</v>
      </c>
      <c r="Z35" s="141">
        <f>'[2]EU Sunflower Exports'!Z$250</f>
        <v>4.0000000000000001E-3</v>
      </c>
      <c r="AA35" s="141">
        <f>'[2]EU Sunflower Exports'!AA$250</f>
        <v>1.0999999999999999E-2</v>
      </c>
      <c r="AB35" s="141">
        <f>'[2]EU Sunflower Exports'!AB$250</f>
        <v>7.5999999999999998E-2</v>
      </c>
      <c r="AC35" s="141">
        <f>'[2]EU Sunflower Exports'!AC$250</f>
        <v>2.4E-2</v>
      </c>
      <c r="AD35" s="143">
        <f>'[2]EU Sunflower Exports'!BB$250</f>
        <v>0</v>
      </c>
      <c r="AE35" s="141">
        <f>'[2]EU Sunflower Exports'!AD$250</f>
        <v>4.8000000000000001E-2</v>
      </c>
      <c r="AF35" s="141">
        <f>'[2]EU Sunflower Exports'!AE$250</f>
        <v>0</v>
      </c>
      <c r="AG35" s="141">
        <f>'[2]EU Sunflower Exports'!AF$250</f>
        <v>0</v>
      </c>
      <c r="AH35" s="141">
        <f>'[2]EU Sunflower Exports'!AG$250</f>
        <v>0</v>
      </c>
      <c r="AI35" s="141">
        <f>'[2]EU Sunflower Exports'!AH$250</f>
        <v>0</v>
      </c>
      <c r="AJ35" s="141">
        <f>'[2]EU Sunflower Exports'!AI$250</f>
        <v>0</v>
      </c>
      <c r="AK35" s="141">
        <f>'[2]EU Sunflower Exports'!AJ$250</f>
        <v>0</v>
      </c>
      <c r="AL35" s="141">
        <f>'[2]EU Sunflower Exports'!AK$250</f>
        <v>0</v>
      </c>
      <c r="AM35" s="141">
        <f>'[2]EU Sunflower Exports'!AL$250</f>
        <v>0</v>
      </c>
      <c r="AN35" s="141">
        <f>'[2]EU Sunflower Exports'!AM$250</f>
        <v>0</v>
      </c>
      <c r="AO35" s="141">
        <f>'[2]EU Sunflower Exports'!AN$250</f>
        <v>0</v>
      </c>
      <c r="AP35" s="141">
        <f>'[2]EU Sunflower Exports'!AO$250</f>
        <v>0</v>
      </c>
      <c r="AQ35" s="141">
        <f>'[2]EU Sunflower Exports'!AP$250</f>
        <v>0</v>
      </c>
      <c r="AR35" s="141">
        <f>'[2]EU Sunflower Exports'!AQ$250</f>
        <v>0</v>
      </c>
      <c r="AS35" s="141">
        <f>'[2]EU Sunflower Exports'!AR$250</f>
        <v>0</v>
      </c>
      <c r="AT35" s="141">
        <f>'[2]EU Sunflower Exports'!AS$250</f>
        <v>0</v>
      </c>
      <c r="AU35" s="141">
        <f>'[2]EU Sunflower Exports'!AT$250</f>
        <v>0</v>
      </c>
      <c r="AV35" s="141">
        <f>'[2]EU Sunflower Exports'!AU$250</f>
        <v>0</v>
      </c>
      <c r="AW35" s="141">
        <f>'[2]EU Sunflower Exports'!AV$250</f>
        <v>0</v>
      </c>
      <c r="AX35" s="141">
        <f>'[2]EU Sunflower Exports'!AW$250</f>
        <v>0</v>
      </c>
      <c r="AY35" s="141">
        <f>'[2]EU Sunflower Exports'!AX$250</f>
        <v>0</v>
      </c>
      <c r="AZ35" s="141">
        <f>'[2]EU Sunflower Exports'!AY$250</f>
        <v>0</v>
      </c>
      <c r="BA35" s="141">
        <f>'[2]EU Sunflower Exports'!AZ$250</f>
        <v>0</v>
      </c>
      <c r="BB35" s="141">
        <f>'[2]EU Sunflower Exports'!BA$250</f>
        <v>0</v>
      </c>
      <c r="BC35" s="141">
        <f>'[2]Ukraine Sunflower Exports'!Z$250</f>
        <v>0</v>
      </c>
      <c r="BD35" s="141">
        <f>'[2]Ukraine Sunflower Exports'!AA$250</f>
        <v>0</v>
      </c>
      <c r="BE35" s="141">
        <f>'[2]Ukraine Sunflower Exports'!AB$250</f>
        <v>0</v>
      </c>
      <c r="BF35" s="141">
        <f>'[2]Ukraine Sunflower Exports'!AC$250</f>
        <v>0</v>
      </c>
      <c r="BG35" s="143">
        <f>'[2]Ukraine Sunflower Exports'!AD$250</f>
        <v>0</v>
      </c>
      <c r="BH35" s="141">
        <f>'[2]Russia Sunflower Exports'!B$250</f>
        <v>0</v>
      </c>
      <c r="BI35" s="141">
        <f>'[2]Russia Sunflower Exports'!C$250</f>
        <v>0</v>
      </c>
      <c r="BJ35" s="141">
        <f>'[2]Russia Sunflower Exports'!D$250</f>
        <v>0</v>
      </c>
      <c r="BK35" s="141">
        <f>'[2]Russia Sunflower Exports'!E$250</f>
        <v>0</v>
      </c>
      <c r="BL35" s="141">
        <f>'[2]Russia Sunflower Exports'!F$250</f>
        <v>0</v>
      </c>
      <c r="BM35" s="141">
        <f>'[2]Russia Sunflower Exports'!G$250</f>
        <v>0</v>
      </c>
      <c r="BN35" s="141">
        <f>'[2]Russia Sunflower Exports'!H$250</f>
        <v>0</v>
      </c>
      <c r="BO35" s="141">
        <f>'[2]Russia Sunflower Exports'!I$250</f>
        <v>0</v>
      </c>
      <c r="BP35" s="141">
        <f>'[2]Russia Sunflower Exports'!J$250</f>
        <v>0</v>
      </c>
      <c r="BQ35" s="141">
        <f>'[2]Russia Sunflower Exports'!K$250</f>
        <v>0</v>
      </c>
      <c r="BR35" s="141">
        <f>'[2]Russia Sunflower Exports'!L$250</f>
        <v>0</v>
      </c>
      <c r="BS35" s="141">
        <f>'[2]Russia Sunflower Exports'!M$250</f>
        <v>0</v>
      </c>
      <c r="BT35" s="141">
        <f>'[2]Russia Sunflower Exports'!N$250</f>
        <v>0</v>
      </c>
      <c r="BU35" s="141">
        <f>'[2]Russia Sunflower Exports'!O$250</f>
        <v>0</v>
      </c>
      <c r="BV35" s="141">
        <f>'[2]Russia Sunflower Exports'!P$250</f>
        <v>0</v>
      </c>
      <c r="BW35" s="141">
        <f>'[2]Russia Sunflower Exports'!Q$250</f>
        <v>0</v>
      </c>
      <c r="BX35" s="141">
        <f>'[2]Russia Sunflower Exports'!R$250</f>
        <v>0</v>
      </c>
      <c r="BY35" s="141">
        <f>'[2]Russia Sunflower Exports'!S$250</f>
        <v>0</v>
      </c>
      <c r="BZ35" s="141">
        <f>'[2]Russia Sunflower Exports'!T$250</f>
        <v>0</v>
      </c>
      <c r="CA35" s="141">
        <f>'[2]Russia Sunflower Exports'!U$250</f>
        <v>0</v>
      </c>
      <c r="CB35" s="141">
        <f>'[2]Russia Sunflower Exports'!V$250</f>
        <v>0</v>
      </c>
      <c r="CC35" s="141">
        <f>'[2]Russia Sunflower Exports'!W$250</f>
        <v>0</v>
      </c>
      <c r="CD35" s="141">
        <f>'[2]Russia Sunflower Exports'!X$250</f>
        <v>0</v>
      </c>
      <c r="CE35" s="141">
        <f>'[2]Russia Sunflower Exports'!Y$250</f>
        <v>0</v>
      </c>
      <c r="CF35" s="141">
        <f>'[2]Russia Sunflower Exports'!Z$250</f>
        <v>0</v>
      </c>
      <c r="CG35" s="147">
        <f>'[2]Russia Sunflower Exports'!AA$250</f>
        <v>0</v>
      </c>
      <c r="CH35" s="141">
        <f>'[2]Russia Sunflower Exports'!AB$250</f>
        <v>0</v>
      </c>
      <c r="CI35" s="141">
        <f>'[2]Russia Sunflower Exports'!AC$250</f>
        <v>0</v>
      </c>
      <c r="CJ35" s="143">
        <f>'[2]Russia Sunflower Exports'!AD$250</f>
        <v>0</v>
      </c>
      <c r="CK35" s="141">
        <f>'[3]Sunflower Exports'!B$250/2204.622*1000</f>
        <v>0</v>
      </c>
      <c r="CL35" s="141">
        <f>'[3]Sunflower Exports'!C$250/2204.622*1000</f>
        <v>9.3000000000000027E-3</v>
      </c>
      <c r="CM35" s="141">
        <f>'[3]Sunflower Exports'!D$250/2204.622*1000</f>
        <v>0</v>
      </c>
      <c r="CN35" s="141">
        <f>'[3]Sunflower Exports'!E$250/2204.622*1000</f>
        <v>0</v>
      </c>
      <c r="CO35" s="141">
        <f>'[3]Sunflower Exports'!F$250/2204.622*1000</f>
        <v>0</v>
      </c>
      <c r="CP35" s="141">
        <f>'[3]Sunflower Exports'!G$250/2204.622*1000</f>
        <v>0.5828000000000001</v>
      </c>
      <c r="CQ35" s="141">
        <f>'[3]Sunflower Exports'!H$250/2204.622*1000</f>
        <v>0</v>
      </c>
      <c r="CR35" s="141">
        <f>'[3]Sunflower Exports'!I$250/2204.622*1000</f>
        <v>0</v>
      </c>
      <c r="CS35" s="141">
        <f>'[3]Sunflower Exports'!J$250/2204.622*1000</f>
        <v>0</v>
      </c>
      <c r="CT35" s="141">
        <f>'[3]Sunflower Exports'!K$250/2204.622*1000</f>
        <v>0</v>
      </c>
      <c r="CU35" s="141">
        <f>'[3]Sunflower Exports'!L$250/2204.622*1000</f>
        <v>0</v>
      </c>
      <c r="CV35" s="141">
        <f>'[3]Sunflower Exports'!M$250/2204.622*1000</f>
        <v>2.0300000000000002E-2</v>
      </c>
      <c r="CW35" s="141">
        <f>'[3]Sunflower Exports'!N$250/2204.622*1000</f>
        <v>0</v>
      </c>
      <c r="CX35" s="141">
        <f>'[3]Sunflower Exports'!O$250/2204.622*1000</f>
        <v>0</v>
      </c>
      <c r="CY35" s="141">
        <f>'[3]Sunflower Exports'!P$250/2204.622*1000</f>
        <v>0</v>
      </c>
      <c r="CZ35" s="141">
        <f>'[3]Sunflower Exports'!Q$250/2204.622*1000</f>
        <v>1.7000000000000001E-3</v>
      </c>
      <c r="DA35" s="141">
        <f>'[3]Sunflower Exports'!R$250/2204.622*1000</f>
        <v>0</v>
      </c>
      <c r="DB35" s="141">
        <f>'[3]Sunflower Exports'!S$250/2204.622*1000</f>
        <v>0</v>
      </c>
      <c r="DC35" s="141">
        <f>'[3]Sunflower Exports'!T$250/2204.622*1000</f>
        <v>0</v>
      </c>
      <c r="DD35" s="141">
        <f>'[3]Sunflower Exports'!U$250/2204.622*1000</f>
        <v>0</v>
      </c>
      <c r="DE35" s="141">
        <f>'[3]Sunflower Exports'!V$250/2204.622*1000</f>
        <v>0</v>
      </c>
      <c r="DF35" s="141">
        <f>'[3]Sunflower Exports'!W$250/2204.622*1000</f>
        <v>3.2000000000000002E-3</v>
      </c>
      <c r="DG35" s="141">
        <f>'[3]Sunflower Exports'!X$250/2204.622*1000</f>
        <v>3.2000000000000002E-3</v>
      </c>
      <c r="DH35" s="141">
        <f>'[3]Sunflower Exports'!Y$250/2204.622*1000</f>
        <v>0</v>
      </c>
      <c r="DI35" s="141">
        <f>'[3]Sunflower Exports'!Z$250/2204.622*1000</f>
        <v>4.5359958850088589E-3</v>
      </c>
      <c r="DJ35" s="141">
        <f>'[3]Sunflower Exports'!AA$250/2204.622*1000</f>
        <v>2.328997887166145E-3</v>
      </c>
      <c r="DK35" s="141">
        <f>'[3]Sunflower Exports'!AB$250/2204.622*1000</f>
        <v>0</v>
      </c>
      <c r="DL35" s="141">
        <f>'[3]Sunflower Exports'!AC$250/2204.622*1000</f>
        <v>4.8239562156233593E-3</v>
      </c>
      <c r="DM35" s="143">
        <f>'[3]Sunflower Exports'!AD$250/2204.622*1000</f>
        <v>0</v>
      </c>
      <c r="DN35" s="141">
        <f t="shared" si="4"/>
        <v>4.8000000000000001E-2</v>
      </c>
      <c r="DO35" s="141">
        <f t="shared" si="4"/>
        <v>9.3000000000000027E-3</v>
      </c>
      <c r="DP35" s="141">
        <f t="shared" si="4"/>
        <v>0</v>
      </c>
      <c r="DQ35" s="141">
        <f t="shared" si="4"/>
        <v>0</v>
      </c>
      <c r="DR35" s="141">
        <f t="shared" si="4"/>
        <v>2E-3</v>
      </c>
      <c r="DS35" s="141">
        <f t="shared" si="4"/>
        <v>0.5828000000000001</v>
      </c>
      <c r="DT35" s="141">
        <f t="shared" si="4"/>
        <v>0</v>
      </c>
      <c r="DU35" s="141">
        <f t="shared" si="4"/>
        <v>0</v>
      </c>
      <c r="DV35" s="141">
        <f t="shared" si="4"/>
        <v>0</v>
      </c>
      <c r="DW35" s="141">
        <f t="shared" si="4"/>
        <v>0</v>
      </c>
      <c r="DX35" s="141">
        <f t="shared" si="4"/>
        <v>0</v>
      </c>
      <c r="DY35" s="141">
        <f t="shared" si="4"/>
        <v>0.32030000000000003</v>
      </c>
      <c r="DZ35" s="141">
        <f t="shared" si="4"/>
        <v>0</v>
      </c>
      <c r="EA35" s="141">
        <f t="shared" si="4"/>
        <v>0</v>
      </c>
      <c r="EB35" s="141">
        <f t="shared" si="4"/>
        <v>0</v>
      </c>
      <c r="EC35" s="141">
        <f t="shared" si="3"/>
        <v>1.7000000000000001E-3</v>
      </c>
      <c r="ED35" s="141">
        <f t="shared" si="3"/>
        <v>0</v>
      </c>
      <c r="EE35" s="141">
        <f t="shared" si="3"/>
        <v>0</v>
      </c>
      <c r="EF35" s="141">
        <f t="shared" si="3"/>
        <v>0</v>
      </c>
      <c r="EG35" s="141">
        <f t="shared" si="3"/>
        <v>0</v>
      </c>
      <c r="EH35" s="141">
        <f t="shared" si="3"/>
        <v>1E-3</v>
      </c>
      <c r="EI35" s="141">
        <f t="shared" si="3"/>
        <v>3.2000000000000002E-3</v>
      </c>
      <c r="EJ35" s="141">
        <f t="shared" si="3"/>
        <v>1.52E-2</v>
      </c>
      <c r="EK35" s="141">
        <f t="shared" si="3"/>
        <v>3.0000000000000001E-3</v>
      </c>
      <c r="EL35" s="141">
        <f t="shared" si="3"/>
        <v>8.5359958850088589E-3</v>
      </c>
      <c r="EM35" s="141">
        <f t="shared" si="3"/>
        <v>1.3328997887166145E-2</v>
      </c>
      <c r="EN35" s="141">
        <f t="shared" si="5"/>
        <v>7.5999999999999998E-2</v>
      </c>
      <c r="EO35" s="141">
        <f t="shared" si="5"/>
        <v>2.8823956215623361E-2</v>
      </c>
      <c r="EP35" s="145">
        <f t="shared" si="5"/>
        <v>0</v>
      </c>
      <c r="EQ35" s="145">
        <v>0</v>
      </c>
      <c r="ES35" s="141">
        <f t="shared" si="2"/>
        <v>0</v>
      </c>
      <c r="ET35" s="141">
        <f t="shared" si="2"/>
        <v>0</v>
      </c>
      <c r="EV35" s="141"/>
      <c r="EW35" s="141"/>
      <c r="FB35" s="107"/>
    </row>
    <row r="36" spans="1:158">
      <c r="A36" s="149" t="s">
        <v>167</v>
      </c>
      <c r="B36" s="146">
        <f>'[2]EU Sunflower Exports'!B$266</f>
        <v>0</v>
      </c>
      <c r="C36" s="146">
        <f>'[2]EU Sunflower Exports'!C$266</f>
        <v>0</v>
      </c>
      <c r="D36" s="146">
        <f>'[2]EU Sunflower Exports'!D$266</f>
        <v>0</v>
      </c>
      <c r="E36" s="146">
        <f>'[2]EU Sunflower Exports'!E$266</f>
        <v>37.299999999999997</v>
      </c>
      <c r="F36" s="146">
        <f>'[2]EU Sunflower Exports'!F$266</f>
        <v>22.5</v>
      </c>
      <c r="G36" s="146">
        <f>'[2]EU Sunflower Exports'!G$266</f>
        <v>0</v>
      </c>
      <c r="H36" s="146">
        <f>'[2]EU Sunflower Exports'!H$266</f>
        <v>0</v>
      </c>
      <c r="I36" s="146">
        <f>'[2]EU Sunflower Exports'!I$266</f>
        <v>0</v>
      </c>
      <c r="J36" s="146">
        <f>'[2]EU Sunflower Exports'!J$266</f>
        <v>0</v>
      </c>
      <c r="K36" s="146">
        <f>'[2]EU Sunflower Exports'!K$266</f>
        <v>0</v>
      </c>
      <c r="L36" s="146">
        <f>'[2]EU Sunflower Exports'!L$266</f>
        <v>0</v>
      </c>
      <c r="M36" s="146">
        <f>'[2]EU Sunflower Exports'!M$266</f>
        <v>2.5000000000000001E-2</v>
      </c>
      <c r="N36" s="146">
        <f>'[2]EU Sunflower Exports'!N$266</f>
        <v>5.0000000000000001E-3</v>
      </c>
      <c r="O36" s="146">
        <f>'[2]EU Sunflower Exports'!O$266</f>
        <v>0</v>
      </c>
      <c r="P36" s="141">
        <f>'[2]EU Sunflower Exports'!P$266</f>
        <v>1E-3</v>
      </c>
      <c r="Q36" s="141">
        <f>'[2]EU Sunflower Exports'!Q$266</f>
        <v>0</v>
      </c>
      <c r="R36" s="141">
        <f>'[2]EU Sunflower Exports'!R$266</f>
        <v>1E-3</v>
      </c>
      <c r="S36" s="141">
        <f>'[2]EU Sunflower Exports'!S$266</f>
        <v>0</v>
      </c>
      <c r="T36" s="141">
        <f>'[2]EU Sunflower Exports'!T$266</f>
        <v>2E-3</v>
      </c>
      <c r="U36" s="141">
        <f>'[2]EU Sunflower Exports'!U$266</f>
        <v>0</v>
      </c>
      <c r="V36" s="141">
        <f>'[2]EU Sunflower Exports'!V$266</f>
        <v>1E-3</v>
      </c>
      <c r="W36" s="141">
        <f>'[2]EU Sunflower Exports'!W$266</f>
        <v>2.6000000000000002E-2</v>
      </c>
      <c r="X36" s="141">
        <f>'[2]EU Sunflower Exports'!X$266</f>
        <v>0.05</v>
      </c>
      <c r="Y36" s="141">
        <f>'[2]EU Sunflower Exports'!Y$266</f>
        <v>1.56</v>
      </c>
      <c r="Z36" s="141">
        <f>'[2]EU Sunflower Exports'!Z$266</f>
        <v>2.5369999999999999</v>
      </c>
      <c r="AA36" s="141">
        <f>'[2]EU Sunflower Exports'!AA$266</f>
        <v>4.2390000000000008</v>
      </c>
      <c r="AB36" s="141">
        <f>'[2]EU Sunflower Exports'!AB$266</f>
        <v>2.6480000000000001</v>
      </c>
      <c r="AC36" s="141">
        <f>'[2]EU Sunflower Exports'!AC$266</f>
        <v>5.2720000000000002</v>
      </c>
      <c r="AD36" s="143">
        <f>'[2]EU Sunflower Exports'!BB$266</f>
        <v>0</v>
      </c>
      <c r="AE36" s="141">
        <f>'[2]EU Sunflower Exports'!AD$266</f>
        <v>4.6999999999999993</v>
      </c>
      <c r="AF36" s="141">
        <f>'[2]EU Sunflower Exports'!AE$266</f>
        <v>0</v>
      </c>
      <c r="AG36" s="141">
        <f>'[2]EU Sunflower Exports'!AF$266</f>
        <v>0</v>
      </c>
      <c r="AH36" s="141">
        <f>'[2]EU Sunflower Exports'!AG$266</f>
        <v>0</v>
      </c>
      <c r="AI36" s="141">
        <f>'[2]EU Sunflower Exports'!AH$266</f>
        <v>0</v>
      </c>
      <c r="AJ36" s="141">
        <f>'[2]EU Sunflower Exports'!AI$266</f>
        <v>0</v>
      </c>
      <c r="AK36" s="141">
        <f>'[2]EU Sunflower Exports'!AJ$266</f>
        <v>0</v>
      </c>
      <c r="AL36" s="141">
        <f>'[2]EU Sunflower Exports'!AK$266</f>
        <v>0</v>
      </c>
      <c r="AM36" s="141">
        <f>'[2]EU Sunflower Exports'!AL$266</f>
        <v>0</v>
      </c>
      <c r="AN36" s="141">
        <f>'[2]EU Sunflower Exports'!AM$266</f>
        <v>0</v>
      </c>
      <c r="AO36" s="141">
        <f>'[2]EU Sunflower Exports'!AN$266</f>
        <v>0</v>
      </c>
      <c r="AP36" s="141">
        <f>'[2]EU Sunflower Exports'!AO$266</f>
        <v>0</v>
      </c>
      <c r="AQ36" s="141">
        <f>'[2]EU Sunflower Exports'!AP$266</f>
        <v>0</v>
      </c>
      <c r="AR36" s="141">
        <f>'[2]EU Sunflower Exports'!AQ$266</f>
        <v>0</v>
      </c>
      <c r="AS36" s="141">
        <f>'[2]EU Sunflower Exports'!AR$266</f>
        <v>0</v>
      </c>
      <c r="AT36" s="141">
        <f>'[2]EU Sunflower Exports'!AS$266</f>
        <v>0</v>
      </c>
      <c r="AU36" s="141">
        <f>'[2]EU Sunflower Exports'!AT$266</f>
        <v>0</v>
      </c>
      <c r="AV36" s="141">
        <f>'[2]EU Sunflower Exports'!AU$266</f>
        <v>0</v>
      </c>
      <c r="AW36" s="141">
        <f>'[2]EU Sunflower Exports'!AV$266</f>
        <v>0</v>
      </c>
      <c r="AX36" s="141">
        <f>'[2]EU Sunflower Exports'!AW$266</f>
        <v>0</v>
      </c>
      <c r="AY36" s="141">
        <f>'[2]EU Sunflower Exports'!AX$266</f>
        <v>0</v>
      </c>
      <c r="AZ36" s="141">
        <f>'[2]EU Sunflower Exports'!AY$266</f>
        <v>0</v>
      </c>
      <c r="BA36" s="141">
        <f>'[2]EU Sunflower Exports'!AZ$266</f>
        <v>0</v>
      </c>
      <c r="BB36" s="141">
        <f>'[2]EU Sunflower Exports'!BA$266</f>
        <v>0</v>
      </c>
      <c r="BC36" s="141">
        <f>'[2]Ukraine Sunflower Exports'!Z$266</f>
        <v>5.04E-2</v>
      </c>
      <c r="BD36" s="141">
        <f>'[2]Ukraine Sunflower Exports'!AA$266</f>
        <v>0.2016</v>
      </c>
      <c r="BE36" s="141">
        <f>'[2]Ukraine Sunflower Exports'!AB$266</f>
        <v>1.78162</v>
      </c>
      <c r="BF36" s="141">
        <f>'[2]Ukraine Sunflower Exports'!AC$266</f>
        <v>0.39439999999999997</v>
      </c>
      <c r="BG36" s="141">
        <f>'[2]Ukraine Sunflower Exports'!AD$266</f>
        <v>0</v>
      </c>
      <c r="BH36" s="141">
        <f>'[2]Russia Sunflower Exports'!B$266</f>
        <v>0</v>
      </c>
      <c r="BI36" s="141">
        <f>'[2]Russia Sunflower Exports'!C$266</f>
        <v>0</v>
      </c>
      <c r="BJ36" s="141">
        <f>'[2]Russia Sunflower Exports'!D$266</f>
        <v>0</v>
      </c>
      <c r="BK36" s="141">
        <f>'[2]Russia Sunflower Exports'!E$266</f>
        <v>0</v>
      </c>
      <c r="BL36" s="141">
        <f>'[2]Russia Sunflower Exports'!F$266</f>
        <v>0</v>
      </c>
      <c r="BM36" s="141">
        <f>'[2]Russia Sunflower Exports'!G$266</f>
        <v>0</v>
      </c>
      <c r="BN36" s="141">
        <f>'[2]Russia Sunflower Exports'!H$266</f>
        <v>0</v>
      </c>
      <c r="BO36" s="141">
        <f>'[2]Russia Sunflower Exports'!I$266</f>
        <v>0</v>
      </c>
      <c r="BP36" s="141">
        <f>'[2]Russia Sunflower Exports'!J$266</f>
        <v>0</v>
      </c>
      <c r="BQ36" s="141">
        <f>'[2]Russia Sunflower Exports'!K$266</f>
        <v>0</v>
      </c>
      <c r="BR36" s="141">
        <f>'[2]Russia Sunflower Exports'!L$266</f>
        <v>0</v>
      </c>
      <c r="BS36" s="141">
        <f>'[2]Russia Sunflower Exports'!M$266</f>
        <v>0</v>
      </c>
      <c r="BT36" s="141">
        <f>'[2]Russia Sunflower Exports'!N$266</f>
        <v>0</v>
      </c>
      <c r="BU36" s="141">
        <f>'[2]Russia Sunflower Exports'!O$266</f>
        <v>0</v>
      </c>
      <c r="BV36" s="141">
        <f>'[2]Russia Sunflower Exports'!P$266</f>
        <v>0</v>
      </c>
      <c r="BW36" s="141">
        <f>'[2]Russia Sunflower Exports'!Q$266</f>
        <v>0</v>
      </c>
      <c r="BX36" s="141">
        <f>'[2]Russia Sunflower Exports'!R$266</f>
        <v>0</v>
      </c>
      <c r="BY36" s="141">
        <f>'[2]Russia Sunflower Exports'!S$266</f>
        <v>0</v>
      </c>
      <c r="BZ36" s="141">
        <f>'[2]Russia Sunflower Exports'!T$266</f>
        <v>0</v>
      </c>
      <c r="CA36" s="141">
        <f>'[2]Russia Sunflower Exports'!U$266</f>
        <v>0</v>
      </c>
      <c r="CB36" s="141">
        <f>'[2]Russia Sunflower Exports'!V$266</f>
        <v>0</v>
      </c>
      <c r="CC36" s="141">
        <f>'[2]Russia Sunflower Exports'!W$266</f>
        <v>0</v>
      </c>
      <c r="CD36" s="141">
        <f>'[2]Russia Sunflower Exports'!X$266</f>
        <v>0</v>
      </c>
      <c r="CE36" s="141">
        <f>'[2]Russia Sunflower Exports'!Y$266</f>
        <v>0</v>
      </c>
      <c r="CF36" s="141">
        <f>'[2]Russia Sunflower Exports'!Z$266</f>
        <v>0.05</v>
      </c>
      <c r="CG36" s="147">
        <f>'[2]Russia Sunflower Exports'!AA$266</f>
        <v>0</v>
      </c>
      <c r="CH36" s="141">
        <f>'[2]Russia Sunflower Exports'!AB$266</f>
        <v>0.20799999999999999</v>
      </c>
      <c r="CI36" s="141">
        <f>'[2]Russia Sunflower Exports'!AC$266</f>
        <v>0</v>
      </c>
      <c r="CJ36" s="143">
        <f>'[2]Russia Sunflower Exports'!AD$266</f>
        <v>0</v>
      </c>
      <c r="CK36" s="141">
        <f>'[3]Sunflower Exports'!B$266/2204.622*1000</f>
        <v>6.524</v>
      </c>
      <c r="CL36" s="141">
        <f>'[3]Sunflower Exports'!C$266/2204.622*1000</f>
        <v>5.2028000000000008</v>
      </c>
      <c r="CM36" s="141">
        <f>'[3]Sunflower Exports'!D$266/2204.622*1000</f>
        <v>5.8612000000000011</v>
      </c>
      <c r="CN36" s="141">
        <f>'[3]Sunflower Exports'!E$266/2204.622*1000</f>
        <v>6.6482000000000001</v>
      </c>
      <c r="CO36" s="141">
        <f>'[3]Sunflower Exports'!F$266/2204.622*1000</f>
        <v>26.219100000000001</v>
      </c>
      <c r="CP36" s="141">
        <f>'[3]Sunflower Exports'!G$266/2204.622*1000</f>
        <v>7.7008000000000036</v>
      </c>
      <c r="CQ36" s="141">
        <f>'[3]Sunflower Exports'!H$266/2204.622*1000</f>
        <v>5.3429000000000002</v>
      </c>
      <c r="CR36" s="141">
        <f>'[3]Sunflower Exports'!I$266/2204.622*1000</f>
        <v>12.190200000000003</v>
      </c>
      <c r="CS36" s="141">
        <f>'[3]Sunflower Exports'!J$266/2204.622*1000</f>
        <v>6.1382999999999992</v>
      </c>
      <c r="CT36" s="141">
        <f>'[3]Sunflower Exports'!K$266/2204.622*1000</f>
        <v>6.3994000000000009</v>
      </c>
      <c r="CU36" s="141">
        <f>'[3]Sunflower Exports'!L$266/2204.622*1000</f>
        <v>10.308400000000001</v>
      </c>
      <c r="CV36" s="141">
        <f>'[3]Sunflower Exports'!M$266/2204.622*1000</f>
        <v>8.6079000000000008</v>
      </c>
      <c r="CW36" s="141">
        <f>'[3]Sunflower Exports'!N$266/2204.622*1000</f>
        <v>18.484700000000004</v>
      </c>
      <c r="CX36" s="141">
        <f>'[3]Sunflower Exports'!O$266/2204.622*1000</f>
        <v>14.927999999999997</v>
      </c>
      <c r="CY36" s="141">
        <f>'[3]Sunflower Exports'!P$266/2204.622*1000</f>
        <v>10.472000000000001</v>
      </c>
      <c r="CZ36" s="141">
        <f>'[3]Sunflower Exports'!Q$266/2204.622*1000</f>
        <v>14.476999999999999</v>
      </c>
      <c r="DA36" s="141">
        <f>'[3]Sunflower Exports'!R$266/2204.622*1000</f>
        <v>14.620200000000004</v>
      </c>
      <c r="DB36" s="141">
        <f>'[3]Sunflower Exports'!S$266/2204.622*1000</f>
        <v>10.713800000000003</v>
      </c>
      <c r="DC36" s="141">
        <f>'[3]Sunflower Exports'!T$266/2204.622*1000</f>
        <v>13.022300000000005</v>
      </c>
      <c r="DD36" s="141">
        <f>'[3]Sunflower Exports'!U$266/2204.622*1000</f>
        <v>10.916800000000002</v>
      </c>
      <c r="DE36" s="141">
        <f>'[3]Sunflower Exports'!V$266/2204.622*1000</f>
        <v>15.189600000000002</v>
      </c>
      <c r="DF36" s="141">
        <f>'[3]Sunflower Exports'!W$266/2204.622*1000</f>
        <v>16.711200000000002</v>
      </c>
      <c r="DG36" s="141">
        <f>'[3]Sunflower Exports'!X$266/2204.622*1000</f>
        <v>20.947800000000004</v>
      </c>
      <c r="DH36" s="141">
        <f>'[3]Sunflower Exports'!Y$266/2204.622*1000</f>
        <v>22.163501453246862</v>
      </c>
      <c r="DI36" s="141">
        <f>'[3]Sunflower Exports'!Z$266/2204.622*1000</f>
        <v>18.945028813338528</v>
      </c>
      <c r="DJ36" s="141">
        <f>'[3]Sunflower Exports'!AA$266/2204.622*1000</f>
        <v>13.12221709571074</v>
      </c>
      <c r="DK36" s="141">
        <f>'[3]Sunflower Exports'!AB$266/2204.622*1000</f>
        <v>5.8823686635985686</v>
      </c>
      <c r="DL36" s="141">
        <f>'[3]Sunflower Exports'!AC$266/2204.622*1000</f>
        <v>8.81749149595713</v>
      </c>
      <c r="DM36" s="143">
        <v>7</v>
      </c>
      <c r="DN36" s="141">
        <f t="shared" si="4"/>
        <v>11.224</v>
      </c>
      <c r="DO36" s="141">
        <f t="shared" si="4"/>
        <v>5.2028000000000008</v>
      </c>
      <c r="DP36" s="141">
        <f t="shared" si="4"/>
        <v>5.8612000000000011</v>
      </c>
      <c r="DQ36" s="141">
        <f t="shared" si="4"/>
        <v>43.9482</v>
      </c>
      <c r="DR36" s="141">
        <f t="shared" si="4"/>
        <v>48.719099999999997</v>
      </c>
      <c r="DS36" s="141">
        <f t="shared" si="4"/>
        <v>7.7008000000000036</v>
      </c>
      <c r="DT36" s="141">
        <f t="shared" si="4"/>
        <v>5.3429000000000002</v>
      </c>
      <c r="DU36" s="141">
        <f t="shared" si="4"/>
        <v>12.190200000000003</v>
      </c>
      <c r="DV36" s="141">
        <f t="shared" si="4"/>
        <v>6.1382999999999992</v>
      </c>
      <c r="DW36" s="141">
        <f t="shared" si="4"/>
        <v>6.3994000000000009</v>
      </c>
      <c r="DX36" s="141">
        <f t="shared" si="4"/>
        <v>10.308400000000001</v>
      </c>
      <c r="DY36" s="141">
        <f t="shared" si="4"/>
        <v>8.6329000000000011</v>
      </c>
      <c r="DZ36" s="141">
        <f t="shared" si="4"/>
        <v>18.489700000000003</v>
      </c>
      <c r="EA36" s="141">
        <f t="shared" si="4"/>
        <v>14.927999999999997</v>
      </c>
      <c r="EB36" s="141">
        <f t="shared" si="4"/>
        <v>10.473000000000001</v>
      </c>
      <c r="EC36" s="141">
        <f t="shared" si="3"/>
        <v>14.476999999999999</v>
      </c>
      <c r="ED36" s="141">
        <f t="shared" si="3"/>
        <v>14.621200000000004</v>
      </c>
      <c r="EE36" s="141">
        <f t="shared" si="3"/>
        <v>10.713800000000003</v>
      </c>
      <c r="EF36" s="141">
        <f t="shared" si="3"/>
        <v>13.024300000000006</v>
      </c>
      <c r="EG36" s="141">
        <f t="shared" si="3"/>
        <v>10.916800000000002</v>
      </c>
      <c r="EH36" s="141">
        <f t="shared" si="3"/>
        <v>15.190600000000002</v>
      </c>
      <c r="EI36" s="141">
        <f t="shared" si="3"/>
        <v>16.737200000000001</v>
      </c>
      <c r="EJ36" s="141">
        <f t="shared" si="3"/>
        <v>20.997800000000005</v>
      </c>
      <c r="EK36" s="141">
        <f t="shared" si="3"/>
        <v>23.723501453246861</v>
      </c>
      <c r="EL36" s="141">
        <f t="shared" si="3"/>
        <v>21.582428813338527</v>
      </c>
      <c r="EM36" s="141">
        <f t="shared" si="3"/>
        <v>17.562817095710741</v>
      </c>
      <c r="EN36" s="141">
        <f t="shared" si="5"/>
        <v>10.519988663598568</v>
      </c>
      <c r="EO36" s="141">
        <f t="shared" si="5"/>
        <v>14.483891495957131</v>
      </c>
      <c r="EP36" s="145">
        <f>'Mexico Sun Complex'!AD10-10-5</f>
        <v>5</v>
      </c>
      <c r="EQ36" s="145">
        <f>'Mexico Sun Complex'!AE10-10</f>
        <v>10</v>
      </c>
      <c r="ES36" s="141">
        <f t="shared" si="2"/>
        <v>0</v>
      </c>
      <c r="ET36" s="141">
        <f t="shared" si="2"/>
        <v>2</v>
      </c>
      <c r="EV36" s="141"/>
      <c r="EW36" s="141"/>
      <c r="FB36" s="107"/>
    </row>
    <row r="37" spans="1:158">
      <c r="A37" s="148" t="s">
        <v>168</v>
      </c>
      <c r="B37" s="146">
        <f>'[2]EU Sunflower Exports'!B$274</f>
        <v>0</v>
      </c>
      <c r="C37" s="146">
        <f>'[2]EU Sunflower Exports'!C$274</f>
        <v>0</v>
      </c>
      <c r="D37" s="146">
        <f>'[2]EU Sunflower Exports'!D$274</f>
        <v>0</v>
      </c>
      <c r="E37" s="146">
        <f>'[2]EU Sunflower Exports'!E$274</f>
        <v>0</v>
      </c>
      <c r="F37" s="146">
        <f>'[2]EU Sunflower Exports'!F$274</f>
        <v>4.0000000000000001E-3</v>
      </c>
      <c r="G37" s="146">
        <f>'[2]EU Sunflower Exports'!G$274</f>
        <v>4.0000000000000001E-3</v>
      </c>
      <c r="H37" s="146">
        <f>'[2]EU Sunflower Exports'!H$274</f>
        <v>3.0000000000000001E-3</v>
      </c>
      <c r="I37" s="146">
        <f>'[2]EU Sunflower Exports'!I$274</f>
        <v>2E-3</v>
      </c>
      <c r="J37" s="146">
        <f>'[2]EU Sunflower Exports'!J$274</f>
        <v>4.0000000000000001E-3</v>
      </c>
      <c r="K37" s="146">
        <f>'[2]EU Sunflower Exports'!K$274</f>
        <v>0</v>
      </c>
      <c r="L37" s="146">
        <f>'[2]EU Sunflower Exports'!L$274</f>
        <v>1E-3</v>
      </c>
      <c r="M37" s="146">
        <f>'[2]EU Sunflower Exports'!M$274</f>
        <v>0</v>
      </c>
      <c r="N37" s="146">
        <f>'[2]EU Sunflower Exports'!N$274</f>
        <v>0</v>
      </c>
      <c r="O37" s="146">
        <f>'[2]EU Sunflower Exports'!O$274</f>
        <v>5.0000000000000001E-3</v>
      </c>
      <c r="P37" s="141">
        <f>'[2]EU Sunflower Exports'!P$274</f>
        <v>5.0000000000000001E-3</v>
      </c>
      <c r="Q37" s="141">
        <f>'[2]EU Sunflower Exports'!Q$274</f>
        <v>4.0000000000000001E-3</v>
      </c>
      <c r="R37" s="141">
        <f>'[2]EU Sunflower Exports'!R$274</f>
        <v>9.0000000000000011E-3</v>
      </c>
      <c r="S37" s="141">
        <f>'[2]EU Sunflower Exports'!S$274</f>
        <v>8.0000000000000002E-3</v>
      </c>
      <c r="T37" s="141">
        <f>'[2]EU Sunflower Exports'!T$274</f>
        <v>1.1000000000000001E-2</v>
      </c>
      <c r="U37" s="141">
        <f>'[2]EU Sunflower Exports'!U$274</f>
        <v>1.5000000000000003E-2</v>
      </c>
      <c r="V37" s="141">
        <f>'[2]EU Sunflower Exports'!V$274</f>
        <v>2.1999999999999999E-2</v>
      </c>
      <c r="W37" s="141">
        <f>'[2]EU Sunflower Exports'!W$274</f>
        <v>1.5000000000000001E-2</v>
      </c>
      <c r="X37" s="141">
        <f>'[2]EU Sunflower Exports'!X$274</f>
        <v>8.4000000000000005E-2</v>
      </c>
      <c r="Y37" s="141">
        <f>'[2]EU Sunflower Exports'!Y$274</f>
        <v>3.0000000000000006E-2</v>
      </c>
      <c r="Z37" s="141">
        <f>'[2]EU Sunflower Exports'!Z$274</f>
        <v>6.8000000000000005E-2</v>
      </c>
      <c r="AA37" s="141">
        <f>'[2]EU Sunflower Exports'!AA$274</f>
        <v>2.8999999999999998E-2</v>
      </c>
      <c r="AB37" s="141">
        <f>'[2]EU Sunflower Exports'!AB$274</f>
        <v>0.15500000000000003</v>
      </c>
      <c r="AC37" s="141">
        <f>'[2]EU Sunflower Exports'!AC$274</f>
        <v>0.59099999999999997</v>
      </c>
      <c r="AD37" s="143">
        <f>'[2]EU Sunflower Exports'!BB$274</f>
        <v>0</v>
      </c>
      <c r="AE37" s="141">
        <f>'[2]EU Sunflower Exports'!AD$274</f>
        <v>0.60799999999999998</v>
      </c>
      <c r="AF37" s="141">
        <f>'[2]EU Sunflower Exports'!AE$274</f>
        <v>0</v>
      </c>
      <c r="AG37" s="141">
        <f>'[2]EU Sunflower Exports'!AF$274</f>
        <v>0</v>
      </c>
      <c r="AH37" s="141">
        <f>'[2]EU Sunflower Exports'!AG$274</f>
        <v>0</v>
      </c>
      <c r="AI37" s="141">
        <f>'[2]EU Sunflower Exports'!AH$274</f>
        <v>0</v>
      </c>
      <c r="AJ37" s="141">
        <f>'[2]EU Sunflower Exports'!AI$274</f>
        <v>0</v>
      </c>
      <c r="AK37" s="141">
        <f>'[2]EU Sunflower Exports'!AJ$274</f>
        <v>0</v>
      </c>
      <c r="AL37" s="141">
        <f>'[2]EU Sunflower Exports'!AK$274</f>
        <v>0</v>
      </c>
      <c r="AM37" s="141">
        <f>'[2]EU Sunflower Exports'!AL$274</f>
        <v>0</v>
      </c>
      <c r="AN37" s="141">
        <f>'[2]EU Sunflower Exports'!AM$274</f>
        <v>0</v>
      </c>
      <c r="AO37" s="141">
        <f>'[2]EU Sunflower Exports'!AN$274</f>
        <v>0</v>
      </c>
      <c r="AP37" s="141">
        <f>'[2]EU Sunflower Exports'!AO$274</f>
        <v>0</v>
      </c>
      <c r="AQ37" s="141">
        <f>'[2]EU Sunflower Exports'!AP$274</f>
        <v>0</v>
      </c>
      <c r="AR37" s="141">
        <f>'[2]EU Sunflower Exports'!AQ$274</f>
        <v>0</v>
      </c>
      <c r="AS37" s="141">
        <f>'[2]EU Sunflower Exports'!AR$274</f>
        <v>0</v>
      </c>
      <c r="AT37" s="141">
        <f>'[2]EU Sunflower Exports'!AS$274</f>
        <v>0</v>
      </c>
      <c r="AU37" s="141">
        <f>'[2]EU Sunflower Exports'!AT$274</f>
        <v>0</v>
      </c>
      <c r="AV37" s="141">
        <f>'[2]EU Sunflower Exports'!AU$274</f>
        <v>0</v>
      </c>
      <c r="AW37" s="141">
        <f>'[2]EU Sunflower Exports'!AV$274</f>
        <v>0</v>
      </c>
      <c r="AX37" s="141">
        <f>'[2]EU Sunflower Exports'!AW$274</f>
        <v>0</v>
      </c>
      <c r="AY37" s="141">
        <f>'[2]EU Sunflower Exports'!AX$274</f>
        <v>0</v>
      </c>
      <c r="AZ37" s="141">
        <f>'[2]EU Sunflower Exports'!AY$274</f>
        <v>0</v>
      </c>
      <c r="BA37" s="141">
        <f>'[2]EU Sunflower Exports'!AZ$274</f>
        <v>0</v>
      </c>
      <c r="BB37" s="141">
        <f>'[2]EU Sunflower Exports'!BA$274</f>
        <v>0</v>
      </c>
      <c r="BC37" s="141">
        <f>'[2]Ukraine Sunflower Exports'!Z$274</f>
        <v>0</v>
      </c>
      <c r="BD37" s="141">
        <f>'[2]Ukraine Sunflower Exports'!AA$274</f>
        <v>0</v>
      </c>
      <c r="BE37" s="141">
        <f>'[2]Ukraine Sunflower Exports'!AB$274</f>
        <v>0</v>
      </c>
      <c r="BF37" s="141">
        <f>'[2]Ukraine Sunflower Exports'!AC$274</f>
        <v>0</v>
      </c>
      <c r="BG37" s="143">
        <f>'[2]Ukraine Sunflower Exports'!AD$274</f>
        <v>0</v>
      </c>
      <c r="BH37" s="141">
        <f>'[2]Russia Sunflower Exports'!B$274</f>
        <v>0</v>
      </c>
      <c r="BI37" s="141">
        <f>'[2]Russia Sunflower Exports'!C$274</f>
        <v>0</v>
      </c>
      <c r="BJ37" s="141">
        <f>'[2]Russia Sunflower Exports'!D$274</f>
        <v>0</v>
      </c>
      <c r="BK37" s="141">
        <f>'[2]Russia Sunflower Exports'!E$274</f>
        <v>0</v>
      </c>
      <c r="BL37" s="141">
        <f>'[2]Russia Sunflower Exports'!F$274</f>
        <v>0</v>
      </c>
      <c r="BM37" s="141">
        <f>'[2]Russia Sunflower Exports'!G$274</f>
        <v>0</v>
      </c>
      <c r="BN37" s="141">
        <f>'[2]Russia Sunflower Exports'!H$274</f>
        <v>0</v>
      </c>
      <c r="BO37" s="141">
        <f>'[2]Russia Sunflower Exports'!I$274</f>
        <v>0</v>
      </c>
      <c r="BP37" s="141">
        <f>'[2]Russia Sunflower Exports'!J$274</f>
        <v>0</v>
      </c>
      <c r="BQ37" s="141">
        <f>'[2]Russia Sunflower Exports'!K$274</f>
        <v>0</v>
      </c>
      <c r="BR37" s="141">
        <f>'[2]Russia Sunflower Exports'!L$274</f>
        <v>0</v>
      </c>
      <c r="BS37" s="141">
        <f>'[2]Russia Sunflower Exports'!M$274</f>
        <v>0</v>
      </c>
      <c r="BT37" s="141">
        <f>'[2]Russia Sunflower Exports'!N$274</f>
        <v>0</v>
      </c>
      <c r="BU37" s="141">
        <f>'[2]Russia Sunflower Exports'!O$274</f>
        <v>0</v>
      </c>
      <c r="BV37" s="141">
        <f>'[2]Russia Sunflower Exports'!P$274</f>
        <v>0</v>
      </c>
      <c r="BW37" s="141">
        <f>'[2]Russia Sunflower Exports'!Q$274</f>
        <v>0</v>
      </c>
      <c r="BX37" s="141">
        <f>'[2]Russia Sunflower Exports'!R$274</f>
        <v>0</v>
      </c>
      <c r="BY37" s="141">
        <f>'[2]Russia Sunflower Exports'!S$274</f>
        <v>0</v>
      </c>
      <c r="BZ37" s="141">
        <f>'[2]Russia Sunflower Exports'!T$274</f>
        <v>0</v>
      </c>
      <c r="CA37" s="141">
        <f>'[2]Russia Sunflower Exports'!U$274</f>
        <v>0</v>
      </c>
      <c r="CB37" s="141">
        <f>'[2]Russia Sunflower Exports'!V$274</f>
        <v>0</v>
      </c>
      <c r="CC37" s="141">
        <f>'[2]Russia Sunflower Exports'!W$274</f>
        <v>0</v>
      </c>
      <c r="CD37" s="141">
        <f>'[2]Russia Sunflower Exports'!X$274</f>
        <v>0</v>
      </c>
      <c r="CE37" s="141">
        <f>'[2]Russia Sunflower Exports'!Y$274</f>
        <v>0</v>
      </c>
      <c r="CF37" s="141">
        <f>'[2]Russia Sunflower Exports'!Z$274</f>
        <v>0</v>
      </c>
      <c r="CG37" s="147">
        <f>'[2]Russia Sunflower Exports'!AA$274</f>
        <v>0</v>
      </c>
      <c r="CH37" s="141">
        <f>'[2]Russia Sunflower Exports'!AB$274</f>
        <v>0</v>
      </c>
      <c r="CI37" s="141">
        <f>'[2]Russia Sunflower Exports'!AC$274</f>
        <v>0</v>
      </c>
      <c r="CJ37" s="143">
        <f>'[2]Russia Sunflower Exports'!AD$274</f>
        <v>0</v>
      </c>
      <c r="CK37" s="141">
        <f>'[3]Sunflower Exports'!B$274/2204.622*1000</f>
        <v>0</v>
      </c>
      <c r="CL37" s="141">
        <f>'[3]Sunflower Exports'!C$274/2204.622*1000</f>
        <v>0</v>
      </c>
      <c r="CM37" s="141">
        <f>'[3]Sunflower Exports'!D$274/2204.622*1000</f>
        <v>0</v>
      </c>
      <c r="CN37" s="141">
        <f>'[3]Sunflower Exports'!E$274/2204.622*1000</f>
        <v>0</v>
      </c>
      <c r="CO37" s="141">
        <f>'[3]Sunflower Exports'!F$274/2204.622*1000</f>
        <v>0</v>
      </c>
      <c r="CP37" s="141">
        <f>'[3]Sunflower Exports'!G$274/2204.622*1000</f>
        <v>0</v>
      </c>
      <c r="CQ37" s="141">
        <f>'[3]Sunflower Exports'!H$274/2204.622*1000</f>
        <v>0</v>
      </c>
      <c r="CR37" s="141">
        <f>'[3]Sunflower Exports'!I$274/2204.622*1000</f>
        <v>8.5000000000000006E-3</v>
      </c>
      <c r="CS37" s="141">
        <f>'[3]Sunflower Exports'!J$274/2204.622*1000</f>
        <v>1.8100000000000002E-2</v>
      </c>
      <c r="CT37" s="141">
        <f>'[3]Sunflower Exports'!K$274/2204.622*1000</f>
        <v>0</v>
      </c>
      <c r="CU37" s="141">
        <f>'[3]Sunflower Exports'!L$274/2204.622*1000</f>
        <v>0</v>
      </c>
      <c r="CV37" s="141">
        <f>'[3]Sunflower Exports'!M$274/2204.622*1000</f>
        <v>0</v>
      </c>
      <c r="CW37" s="141">
        <f>'[3]Sunflower Exports'!N$274/2204.622*1000</f>
        <v>0</v>
      </c>
      <c r="CX37" s="141">
        <f>'[3]Sunflower Exports'!O$274/2204.622*1000</f>
        <v>0</v>
      </c>
      <c r="CY37" s="141">
        <f>'[3]Sunflower Exports'!P$274/2204.622*1000</f>
        <v>0</v>
      </c>
      <c r="CZ37" s="141">
        <f>'[3]Sunflower Exports'!Q$274/2204.622*1000</f>
        <v>0</v>
      </c>
      <c r="DA37" s="141">
        <f>'[3]Sunflower Exports'!R$274/2204.622*1000</f>
        <v>0</v>
      </c>
      <c r="DB37" s="141">
        <f>'[3]Sunflower Exports'!S$274/2204.622*1000</f>
        <v>0</v>
      </c>
      <c r="DC37" s="141">
        <f>'[3]Sunflower Exports'!T$274/2204.622*1000</f>
        <v>0</v>
      </c>
      <c r="DD37" s="141">
        <f>'[3]Sunflower Exports'!U$274/2204.622*1000</f>
        <v>0</v>
      </c>
      <c r="DE37" s="141">
        <f>'[3]Sunflower Exports'!V$274/2204.622*1000</f>
        <v>0</v>
      </c>
      <c r="DF37" s="141">
        <f>'[3]Sunflower Exports'!W$274/2204.622*1000</f>
        <v>3.4800000000000005E-2</v>
      </c>
      <c r="DG37" s="141">
        <f>'[3]Sunflower Exports'!X$274/2204.622*1000</f>
        <v>1.77E-2</v>
      </c>
      <c r="DH37" s="141">
        <f>'[3]Sunflower Exports'!Y$274/2204.622*1000</f>
        <v>0</v>
      </c>
      <c r="DI37" s="141">
        <f>'[3]Sunflower Exports'!Z$274/2204.622*1000</f>
        <v>2.1299980676959588E-4</v>
      </c>
      <c r="DJ37" s="141">
        <f>'[3]Sunflower Exports'!AA$274/2204.622*1000</f>
        <v>1.1999989113780049E-5</v>
      </c>
      <c r="DK37" s="141">
        <f>'[3]Sunflower Exports'!AB$274/2204.622*1000</f>
        <v>0</v>
      </c>
      <c r="DL37" s="141">
        <f>'[3]Sunflower Exports'!AC$274/2204.622*1000</f>
        <v>3.7999965526970164E-5</v>
      </c>
      <c r="DM37" s="143">
        <f>'[3]Sunflower Exports'!AD$274/2204.622*1000</f>
        <v>0</v>
      </c>
      <c r="DN37" s="141">
        <f t="shared" ref="DN37:EB73" si="6">SUM(B37,AE37,BH37,CK37)</f>
        <v>0.60799999999999998</v>
      </c>
      <c r="DO37" s="141">
        <f t="shared" si="6"/>
        <v>0</v>
      </c>
      <c r="DP37" s="141">
        <f t="shared" si="6"/>
        <v>0</v>
      </c>
      <c r="DQ37" s="141">
        <f t="shared" si="6"/>
        <v>0</v>
      </c>
      <c r="DR37" s="141">
        <f t="shared" si="6"/>
        <v>4.0000000000000001E-3</v>
      </c>
      <c r="DS37" s="141">
        <f t="shared" si="6"/>
        <v>4.0000000000000001E-3</v>
      </c>
      <c r="DT37" s="141">
        <f t="shared" si="6"/>
        <v>3.0000000000000001E-3</v>
      </c>
      <c r="DU37" s="141">
        <f t="shared" si="6"/>
        <v>1.0500000000000001E-2</v>
      </c>
      <c r="DV37" s="141">
        <f t="shared" si="6"/>
        <v>2.2100000000000002E-2</v>
      </c>
      <c r="DW37" s="141">
        <f t="shared" si="6"/>
        <v>0</v>
      </c>
      <c r="DX37" s="141">
        <f t="shared" si="6"/>
        <v>1E-3</v>
      </c>
      <c r="DY37" s="141">
        <f t="shared" si="6"/>
        <v>0</v>
      </c>
      <c r="DZ37" s="141">
        <f t="shared" si="6"/>
        <v>0</v>
      </c>
      <c r="EA37" s="141">
        <f t="shared" si="6"/>
        <v>5.0000000000000001E-3</v>
      </c>
      <c r="EB37" s="141">
        <f t="shared" si="6"/>
        <v>5.0000000000000001E-3</v>
      </c>
      <c r="EC37" s="141">
        <f t="shared" si="3"/>
        <v>4.0000000000000001E-3</v>
      </c>
      <c r="ED37" s="141">
        <f t="shared" si="3"/>
        <v>9.0000000000000011E-3</v>
      </c>
      <c r="EE37" s="141">
        <f t="shared" si="3"/>
        <v>8.0000000000000002E-3</v>
      </c>
      <c r="EF37" s="141">
        <f t="shared" si="3"/>
        <v>1.1000000000000001E-2</v>
      </c>
      <c r="EG37" s="141">
        <f t="shared" si="3"/>
        <v>1.5000000000000003E-2</v>
      </c>
      <c r="EH37" s="141">
        <f t="shared" si="3"/>
        <v>2.1999999999999999E-2</v>
      </c>
      <c r="EI37" s="141">
        <f t="shared" si="3"/>
        <v>4.9800000000000004E-2</v>
      </c>
      <c r="EJ37" s="141">
        <f t="shared" si="3"/>
        <v>0.10170000000000001</v>
      </c>
      <c r="EK37" s="141">
        <f t="shared" si="3"/>
        <v>3.0000000000000006E-2</v>
      </c>
      <c r="EL37" s="141">
        <f t="shared" si="3"/>
        <v>6.8212999806769606E-2</v>
      </c>
      <c r="EM37" s="141">
        <f t="shared" si="3"/>
        <v>2.9011999989113777E-2</v>
      </c>
      <c r="EN37" s="141">
        <f t="shared" si="5"/>
        <v>0.15500000000000003</v>
      </c>
      <c r="EO37" s="141">
        <f t="shared" si="5"/>
        <v>0.59103799996552697</v>
      </c>
      <c r="EP37" s="145">
        <f t="shared" si="5"/>
        <v>0</v>
      </c>
      <c r="EQ37" s="145">
        <v>0</v>
      </c>
      <c r="ES37" s="141">
        <f t="shared" si="2"/>
        <v>0</v>
      </c>
      <c r="ET37" s="141">
        <f t="shared" si="2"/>
        <v>0</v>
      </c>
      <c r="EV37" s="141"/>
      <c r="EW37" s="141"/>
      <c r="FB37" s="107"/>
    </row>
    <row r="38" spans="1:158">
      <c r="A38" s="148" t="s">
        <v>169</v>
      </c>
      <c r="B38" s="146">
        <f>'[2]EU Sunflower Exports'!B$284</f>
        <v>0</v>
      </c>
      <c r="C38" s="146">
        <f>'[2]EU Sunflower Exports'!C$284</f>
        <v>0</v>
      </c>
      <c r="D38" s="146">
        <f>'[2]EU Sunflower Exports'!D$284</f>
        <v>0</v>
      </c>
      <c r="E38" s="146">
        <f>'[2]EU Sunflower Exports'!E$284</f>
        <v>0.14199999999999999</v>
      </c>
      <c r="F38" s="146">
        <f>'[2]EU Sunflower Exports'!F$284</f>
        <v>5.1999999999999998E-2</v>
      </c>
      <c r="G38" s="146">
        <f>'[2]EU Sunflower Exports'!G$284</f>
        <v>0.38400000000000001</v>
      </c>
      <c r="H38" s="146">
        <f>'[2]EU Sunflower Exports'!H$284</f>
        <v>0.15100000000000002</v>
      </c>
      <c r="I38" s="146">
        <f>'[2]EU Sunflower Exports'!I$284</f>
        <v>0.26400000000000001</v>
      </c>
      <c r="J38" s="146">
        <f>'[2]EU Sunflower Exports'!J$284</f>
        <v>7.3000000000000009E-2</v>
      </c>
      <c r="K38" s="146">
        <f>'[2]EU Sunflower Exports'!K$284</f>
        <v>7.5999999999999998E-2</v>
      </c>
      <c r="L38" s="146">
        <f>'[2]EU Sunflower Exports'!L$284</f>
        <v>0.85299999999999998</v>
      </c>
      <c r="M38" s="146">
        <f>'[2]EU Sunflower Exports'!M$284</f>
        <v>3.0369999999999995</v>
      </c>
      <c r="N38" s="146">
        <f>'[2]EU Sunflower Exports'!N$284</f>
        <v>0.56200000000000006</v>
      </c>
      <c r="O38" s="146">
        <f>'[2]EU Sunflower Exports'!O$284</f>
        <v>0.503</v>
      </c>
      <c r="P38" s="141">
        <f>'[2]EU Sunflower Exports'!P$284</f>
        <v>0.43</v>
      </c>
      <c r="Q38" s="141">
        <f>'[2]EU Sunflower Exports'!Q$284</f>
        <v>0.45899999999999996</v>
      </c>
      <c r="R38" s="141">
        <f>'[2]EU Sunflower Exports'!R$284</f>
        <v>0.19</v>
      </c>
      <c r="S38" s="141">
        <f>'[2]EU Sunflower Exports'!S$284</f>
        <v>0.53800000000000003</v>
      </c>
      <c r="T38" s="141">
        <f>'[2]EU Sunflower Exports'!T$284</f>
        <v>3.3209999999999993</v>
      </c>
      <c r="U38" s="141">
        <f>'[2]EU Sunflower Exports'!U$284</f>
        <v>3.2049999999999996</v>
      </c>
      <c r="V38" s="141">
        <f>'[2]EU Sunflower Exports'!V$284</f>
        <v>10.611000000000002</v>
      </c>
      <c r="W38" s="141">
        <f>'[2]EU Sunflower Exports'!W$284</f>
        <v>17.051000000000002</v>
      </c>
      <c r="X38" s="141">
        <f>'[2]EU Sunflower Exports'!X$284</f>
        <v>21.573</v>
      </c>
      <c r="Y38" s="141">
        <f>'[2]EU Sunflower Exports'!Y$284</f>
        <v>22.029000000000003</v>
      </c>
      <c r="Z38" s="141">
        <f>'[2]EU Sunflower Exports'!Z$284</f>
        <v>26.859999999999996</v>
      </c>
      <c r="AA38" s="141">
        <f>'[2]EU Sunflower Exports'!AA$284</f>
        <v>38.379000000000005</v>
      </c>
      <c r="AB38" s="141">
        <f>'[2]EU Sunflower Exports'!AB$284</f>
        <v>130.38899999999998</v>
      </c>
      <c r="AC38" s="141">
        <f>'[2]EU Sunflower Exports'!AC$284</f>
        <v>105.959</v>
      </c>
      <c r="AD38" s="143">
        <f>90-20</f>
        <v>70</v>
      </c>
      <c r="AE38" s="141">
        <v>66</v>
      </c>
      <c r="AF38" s="141">
        <v>67</v>
      </c>
      <c r="AG38" s="141">
        <v>68</v>
      </c>
      <c r="AH38" s="141">
        <v>69</v>
      </c>
      <c r="AI38" s="141">
        <v>70</v>
      </c>
      <c r="AJ38" s="141">
        <v>71</v>
      </c>
      <c r="AK38" s="141">
        <v>72</v>
      </c>
      <c r="AL38" s="141">
        <v>73</v>
      </c>
      <c r="AM38" s="141">
        <v>74</v>
      </c>
      <c r="AN38" s="141">
        <v>75</v>
      </c>
      <c r="AO38" s="141">
        <v>76</v>
      </c>
      <c r="AP38" s="141">
        <v>77</v>
      </c>
      <c r="AQ38" s="141">
        <v>78</v>
      </c>
      <c r="AR38" s="141">
        <v>79</v>
      </c>
      <c r="AS38" s="141">
        <v>80</v>
      </c>
      <c r="AT38" s="141">
        <v>81</v>
      </c>
      <c r="AU38" s="141">
        <v>82</v>
      </c>
      <c r="AV38" s="141">
        <v>83</v>
      </c>
      <c r="AW38" s="141">
        <v>84</v>
      </c>
      <c r="AX38" s="141">
        <v>85</v>
      </c>
      <c r="AY38" s="141">
        <v>86</v>
      </c>
      <c r="AZ38" s="141">
        <v>87</v>
      </c>
      <c r="BA38" s="141">
        <v>88</v>
      </c>
      <c r="BB38" s="141">
        <v>89</v>
      </c>
      <c r="BC38" s="141">
        <f>'[2]Ukraine Sunflower Exports'!Z$284</f>
        <v>2.35E-2</v>
      </c>
      <c r="BD38" s="141">
        <f>'[2]Ukraine Sunflower Exports'!AA$284</f>
        <v>2.0281899999999999</v>
      </c>
      <c r="BE38" s="141">
        <f>'[2]Ukraine Sunflower Exports'!AB$284</f>
        <v>0.25849</v>
      </c>
      <c r="BF38" s="141">
        <f>'[2]Ukraine Sunflower Exports'!AC$284</f>
        <v>1.09466</v>
      </c>
      <c r="BG38" s="141">
        <f>'[2]Ukraine Sunflower Exports'!AD$284</f>
        <v>8.2000000000000003E-2</v>
      </c>
      <c r="BH38" s="141">
        <f>'[2]Russia Sunflower Exports'!B$284</f>
        <v>0</v>
      </c>
      <c r="BI38" s="141">
        <f>'[2]Russia Sunflower Exports'!C$284</f>
        <v>0</v>
      </c>
      <c r="BJ38" s="141">
        <f>'[2]Russia Sunflower Exports'!D$284</f>
        <v>0</v>
      </c>
      <c r="BK38" s="141">
        <f>'[2]Russia Sunflower Exports'!E$284</f>
        <v>19.479829000000002</v>
      </c>
      <c r="BL38" s="141">
        <f>'[2]Russia Sunflower Exports'!F$284</f>
        <v>25.746325999999996</v>
      </c>
      <c r="BM38" s="141">
        <f>'[2]Russia Sunflower Exports'!G$284</f>
        <v>12.667566000000001</v>
      </c>
      <c r="BN38" s="141">
        <f>'[2]Russia Sunflower Exports'!H$284</f>
        <v>0</v>
      </c>
      <c r="BO38" s="141">
        <f>'[2]Russia Sunflower Exports'!I$284</f>
        <v>1.55541</v>
      </c>
      <c r="BP38" s="141">
        <f>'[2]Russia Sunflower Exports'!J$284</f>
        <v>0</v>
      </c>
      <c r="BQ38" s="141">
        <f>'[2]Russia Sunflower Exports'!K$284</f>
        <v>0</v>
      </c>
      <c r="BR38" s="141">
        <f>'[2]Russia Sunflower Exports'!L$284</f>
        <v>1E-3</v>
      </c>
      <c r="BS38" s="141">
        <f>'[2]Russia Sunflower Exports'!M$284</f>
        <v>0</v>
      </c>
      <c r="BT38" s="141">
        <f>'[2]Russia Sunflower Exports'!N$284</f>
        <v>2.1000000000000001E-2</v>
      </c>
      <c r="BU38" s="141">
        <f>'[2]Russia Sunflower Exports'!O$284</f>
        <v>1E-3</v>
      </c>
      <c r="BV38" s="141">
        <f>'[2]Russia Sunflower Exports'!P$284</f>
        <v>0</v>
      </c>
      <c r="BW38" s="141">
        <f>'[2]Russia Sunflower Exports'!Q$284</f>
        <v>0.02</v>
      </c>
      <c r="BX38" s="141">
        <f>'[2]Russia Sunflower Exports'!R$284</f>
        <v>0</v>
      </c>
      <c r="BY38" s="141">
        <f>'[2]Russia Sunflower Exports'!S$284</f>
        <v>4.0000000000000001E-3</v>
      </c>
      <c r="BZ38" s="141">
        <f>'[2]Russia Sunflower Exports'!T$284</f>
        <v>0</v>
      </c>
      <c r="CA38" s="141">
        <f>'[2]Russia Sunflower Exports'!U$284</f>
        <v>1.7999999999999999E-2</v>
      </c>
      <c r="CB38" s="141">
        <f>'[2]Russia Sunflower Exports'!V$284</f>
        <v>2.7E-2</v>
      </c>
      <c r="CC38" s="141">
        <f>'[2]Russia Sunflower Exports'!W$284</f>
        <v>4.5999999999999999E-2</v>
      </c>
      <c r="CD38" s="141">
        <f>'[2]Russia Sunflower Exports'!X$284</f>
        <v>2.4E-2</v>
      </c>
      <c r="CE38" s="141">
        <f>'[2]Russia Sunflower Exports'!Y$284</f>
        <v>6.9000000000000006E-2</v>
      </c>
      <c r="CF38" s="141">
        <f>'[2]Russia Sunflower Exports'!Z$284</f>
        <v>0.13799999999999998</v>
      </c>
      <c r="CG38" s="147">
        <f>'[2]Russia Sunflower Exports'!AA$284</f>
        <v>0.18119999999999997</v>
      </c>
      <c r="CH38" s="141">
        <f>'[2]Russia Sunflower Exports'!AB$284</f>
        <v>4.5999999999999999E-2</v>
      </c>
      <c r="CI38" s="141">
        <f>'[2]Russia Sunflower Exports'!AC$284</f>
        <v>2.1999999999999999E-2</v>
      </c>
      <c r="CJ38" s="141">
        <f>'[2]Russia Sunflower Exports'!AD$284</f>
        <v>0</v>
      </c>
      <c r="CK38" s="150" t="s">
        <v>135</v>
      </c>
      <c r="CL38" s="150" t="s">
        <v>135</v>
      </c>
      <c r="CM38" s="150" t="s">
        <v>135</v>
      </c>
      <c r="CN38" s="150" t="s">
        <v>135</v>
      </c>
      <c r="CO38" s="150" t="s">
        <v>135</v>
      </c>
      <c r="CP38" s="150" t="s">
        <v>135</v>
      </c>
      <c r="CQ38" s="150" t="s">
        <v>135</v>
      </c>
      <c r="CR38" s="150" t="s">
        <v>135</v>
      </c>
      <c r="CS38" s="150" t="s">
        <v>135</v>
      </c>
      <c r="CT38" s="150" t="s">
        <v>135</v>
      </c>
      <c r="CU38" s="150" t="s">
        <v>135</v>
      </c>
      <c r="CV38" s="150" t="s">
        <v>135</v>
      </c>
      <c r="CW38" s="150" t="s">
        <v>135</v>
      </c>
      <c r="CX38" s="150" t="s">
        <v>135</v>
      </c>
      <c r="CY38" s="150" t="s">
        <v>135</v>
      </c>
      <c r="CZ38" s="150" t="s">
        <v>135</v>
      </c>
      <c r="DA38" s="150" t="s">
        <v>135</v>
      </c>
      <c r="DB38" s="150" t="s">
        <v>135</v>
      </c>
      <c r="DC38" s="150" t="s">
        <v>135</v>
      </c>
      <c r="DD38" s="150" t="s">
        <v>135</v>
      </c>
      <c r="DE38" s="150" t="s">
        <v>135</v>
      </c>
      <c r="DF38" s="150" t="s">
        <v>135</v>
      </c>
      <c r="DG38" s="150" t="s">
        <v>135</v>
      </c>
      <c r="DH38" s="150" t="s">
        <v>135</v>
      </c>
      <c r="DI38" s="150" t="s">
        <v>135</v>
      </c>
      <c r="DJ38" s="151" t="s">
        <v>135</v>
      </c>
      <c r="DK38" s="150" t="s">
        <v>135</v>
      </c>
      <c r="DL38" s="150" t="s">
        <v>135</v>
      </c>
      <c r="DM38" s="152" t="s">
        <v>135</v>
      </c>
      <c r="DN38" s="141">
        <f t="shared" si="6"/>
        <v>66</v>
      </c>
      <c r="DO38" s="141">
        <f t="shared" si="6"/>
        <v>67</v>
      </c>
      <c r="DP38" s="141">
        <f t="shared" si="6"/>
        <v>68</v>
      </c>
      <c r="DQ38" s="141">
        <f t="shared" si="6"/>
        <v>88.621828999999991</v>
      </c>
      <c r="DR38" s="141">
        <f t="shared" si="6"/>
        <v>95.798326000000003</v>
      </c>
      <c r="DS38" s="141">
        <f t="shared" si="6"/>
        <v>84.051566000000008</v>
      </c>
      <c r="DT38" s="141">
        <f t="shared" si="6"/>
        <v>72.150999999999996</v>
      </c>
      <c r="DU38" s="141">
        <f t="shared" si="6"/>
        <v>74.819409999999991</v>
      </c>
      <c r="DV38" s="141">
        <f t="shared" si="6"/>
        <v>74.072999999999993</v>
      </c>
      <c r="DW38" s="141">
        <f t="shared" si="6"/>
        <v>75.075999999999993</v>
      </c>
      <c r="DX38" s="141">
        <f t="shared" si="6"/>
        <v>76.853999999999999</v>
      </c>
      <c r="DY38" s="141">
        <f t="shared" si="6"/>
        <v>80.037000000000006</v>
      </c>
      <c r="DZ38" s="141">
        <f t="shared" si="6"/>
        <v>78.582999999999998</v>
      </c>
      <c r="EA38" s="141">
        <f t="shared" si="6"/>
        <v>79.504000000000005</v>
      </c>
      <c r="EB38" s="141">
        <f t="shared" si="6"/>
        <v>80.430000000000007</v>
      </c>
      <c r="EC38" s="141">
        <f t="shared" si="3"/>
        <v>81.478999999999999</v>
      </c>
      <c r="ED38" s="141">
        <f t="shared" si="3"/>
        <v>82.19</v>
      </c>
      <c r="EE38" s="141">
        <f t="shared" si="3"/>
        <v>83.542000000000002</v>
      </c>
      <c r="EF38" s="141">
        <f t="shared" si="3"/>
        <v>87.320999999999998</v>
      </c>
      <c r="EG38" s="141">
        <f t="shared" si="3"/>
        <v>88.222999999999999</v>
      </c>
      <c r="EH38" s="141">
        <f t="shared" si="3"/>
        <v>96.638000000000005</v>
      </c>
      <c r="EI38" s="141">
        <f t="shared" si="3"/>
        <v>104.09700000000001</v>
      </c>
      <c r="EJ38" s="141">
        <f t="shared" si="3"/>
        <v>109.59700000000001</v>
      </c>
      <c r="EK38" s="141">
        <f t="shared" si="3"/>
        <v>111.098</v>
      </c>
      <c r="EL38" s="141">
        <f t="shared" si="3"/>
        <v>27.021499999999996</v>
      </c>
      <c r="EM38" s="141">
        <f t="shared" si="3"/>
        <v>40.588390000000004</v>
      </c>
      <c r="EN38" s="141">
        <f t="shared" si="5"/>
        <v>130.69348999999997</v>
      </c>
      <c r="EO38" s="141">
        <f t="shared" si="5"/>
        <v>107.07566000000001</v>
      </c>
      <c r="EP38" s="145">
        <f>'[4]Sun Complex'!BK$10/2204.622*1000-50-25</f>
        <v>54.576455054653366</v>
      </c>
      <c r="EQ38" s="145">
        <f>'[4]Sun Complex'!BL$10/2204.622*1000-50</f>
        <v>49.766229312780141</v>
      </c>
      <c r="ES38" s="141">
        <f>SUM(BF38+CI38+AC38)-EO38</f>
        <v>0</v>
      </c>
      <c r="ET38" s="141">
        <f>SUM(BG38+CJ38+AD38)-EP38</f>
        <v>15.505544945346628</v>
      </c>
      <c r="EV38" s="141"/>
      <c r="EW38" s="141"/>
      <c r="FB38" s="107"/>
    </row>
    <row r="39" spans="1:158">
      <c r="A39" s="148" t="s">
        <v>170</v>
      </c>
      <c r="B39" s="146">
        <f>'[2]EU Sunflower Exports'!B$286</f>
        <v>0</v>
      </c>
      <c r="C39" s="146">
        <f>'[2]EU Sunflower Exports'!C$286</f>
        <v>0</v>
      </c>
      <c r="D39" s="146">
        <f>'[2]EU Sunflower Exports'!D$286</f>
        <v>0</v>
      </c>
      <c r="E39" s="146">
        <f>'[2]EU Sunflower Exports'!E$286</f>
        <v>0</v>
      </c>
      <c r="F39" s="146">
        <f>'[2]EU Sunflower Exports'!F$286</f>
        <v>0</v>
      </c>
      <c r="G39" s="146">
        <f>'[2]EU Sunflower Exports'!G$286</f>
        <v>1E-3</v>
      </c>
      <c r="H39" s="146">
        <f>'[2]EU Sunflower Exports'!H$286</f>
        <v>0</v>
      </c>
      <c r="I39" s="146">
        <f>'[2]EU Sunflower Exports'!I$286</f>
        <v>0</v>
      </c>
      <c r="J39" s="146">
        <f>'[2]EU Sunflower Exports'!J$286</f>
        <v>0</v>
      </c>
      <c r="K39" s="146">
        <f>'[2]EU Sunflower Exports'!K$286</f>
        <v>0</v>
      </c>
      <c r="L39" s="146">
        <f>'[2]EU Sunflower Exports'!L$286</f>
        <v>1E-3</v>
      </c>
      <c r="M39" s="146">
        <f>'[2]EU Sunflower Exports'!M$286</f>
        <v>4.3999999999999997E-2</v>
      </c>
      <c r="N39" s="146">
        <f>'[2]EU Sunflower Exports'!N$286</f>
        <v>0</v>
      </c>
      <c r="O39" s="146">
        <f>'[2]EU Sunflower Exports'!O$286</f>
        <v>0</v>
      </c>
      <c r="P39" s="141">
        <f>'[2]EU Sunflower Exports'!P$286</f>
        <v>6.0000000000000001E-3</v>
      </c>
      <c r="Q39" s="141">
        <f>'[2]EU Sunflower Exports'!Q$286</f>
        <v>0</v>
      </c>
      <c r="R39" s="141">
        <f>'[2]EU Sunflower Exports'!R$286</f>
        <v>0</v>
      </c>
      <c r="S39" s="141">
        <f>'[2]EU Sunflower Exports'!S$286</f>
        <v>0</v>
      </c>
      <c r="T39" s="141">
        <f>'[2]EU Sunflower Exports'!T$286</f>
        <v>0</v>
      </c>
      <c r="U39" s="141">
        <f>'[2]EU Sunflower Exports'!U$286</f>
        <v>0</v>
      </c>
      <c r="V39" s="141">
        <f>'[2]EU Sunflower Exports'!V$286</f>
        <v>0</v>
      </c>
      <c r="W39" s="141">
        <f>'[2]EU Sunflower Exports'!W$286</f>
        <v>0</v>
      </c>
      <c r="X39" s="141">
        <f>'[2]EU Sunflower Exports'!X$286</f>
        <v>0</v>
      </c>
      <c r="Y39" s="141">
        <f>'[2]EU Sunflower Exports'!Y$286</f>
        <v>0.16200000000000001</v>
      </c>
      <c r="Z39" s="141">
        <f>'[2]EU Sunflower Exports'!Z$286</f>
        <v>0</v>
      </c>
      <c r="AA39" s="141">
        <f>'[2]EU Sunflower Exports'!AA$286</f>
        <v>0</v>
      </c>
      <c r="AB39" s="141">
        <f>'[2]EU Sunflower Exports'!AB$286</f>
        <v>0</v>
      </c>
      <c r="AC39" s="141">
        <f>'[2]EU Sunflower Exports'!AC$286</f>
        <v>0</v>
      </c>
      <c r="AD39" s="143">
        <f>'[2]EU Sunflower Exports'!BB$286</f>
        <v>0</v>
      </c>
      <c r="AE39" s="141">
        <f>'[2]EU Sunflower Exports'!AD$286</f>
        <v>0</v>
      </c>
      <c r="AF39" s="141">
        <f>'[2]EU Sunflower Exports'!AE$286</f>
        <v>0</v>
      </c>
      <c r="AG39" s="141">
        <f>'[2]EU Sunflower Exports'!AF$286</f>
        <v>0</v>
      </c>
      <c r="AH39" s="141">
        <f>'[2]EU Sunflower Exports'!AG$286</f>
        <v>0</v>
      </c>
      <c r="AI39" s="141">
        <f>'[2]EU Sunflower Exports'!AH$286</f>
        <v>0</v>
      </c>
      <c r="AJ39" s="141">
        <f>'[2]EU Sunflower Exports'!AI$286</f>
        <v>0</v>
      </c>
      <c r="AK39" s="141">
        <f>'[2]EU Sunflower Exports'!AJ$286</f>
        <v>0</v>
      </c>
      <c r="AL39" s="141">
        <f>'[2]EU Sunflower Exports'!AK$286</f>
        <v>0</v>
      </c>
      <c r="AM39" s="141">
        <f>'[2]EU Sunflower Exports'!AL$286</f>
        <v>0</v>
      </c>
      <c r="AN39" s="141">
        <f>'[2]EU Sunflower Exports'!AM$286</f>
        <v>0</v>
      </c>
      <c r="AO39" s="141">
        <f>'[2]EU Sunflower Exports'!AN$286</f>
        <v>0</v>
      </c>
      <c r="AP39" s="141">
        <f>'[2]EU Sunflower Exports'!AO$286</f>
        <v>0</v>
      </c>
      <c r="AQ39" s="141">
        <f>'[2]EU Sunflower Exports'!AP$286</f>
        <v>0</v>
      </c>
      <c r="AR39" s="141">
        <f>'[2]EU Sunflower Exports'!AQ$286</f>
        <v>0</v>
      </c>
      <c r="AS39" s="141">
        <f>'[2]EU Sunflower Exports'!AR$286</f>
        <v>0</v>
      </c>
      <c r="AT39" s="141">
        <f>'[2]EU Sunflower Exports'!AS$286</f>
        <v>0</v>
      </c>
      <c r="AU39" s="141">
        <f>'[2]EU Sunflower Exports'!AT$286</f>
        <v>0</v>
      </c>
      <c r="AV39" s="141">
        <f>'[2]EU Sunflower Exports'!AU$286</f>
        <v>0</v>
      </c>
      <c r="AW39" s="141">
        <f>'[2]EU Sunflower Exports'!AV$286</f>
        <v>0</v>
      </c>
      <c r="AX39" s="141">
        <f>'[2]EU Sunflower Exports'!AW$286</f>
        <v>0</v>
      </c>
      <c r="AY39" s="141">
        <f>'[2]EU Sunflower Exports'!AX$286</f>
        <v>0</v>
      </c>
      <c r="AZ39" s="141">
        <f>'[2]EU Sunflower Exports'!AY$286</f>
        <v>0</v>
      </c>
      <c r="BA39" s="141">
        <f>'[2]EU Sunflower Exports'!AZ$286</f>
        <v>0</v>
      </c>
      <c r="BB39" s="141">
        <f>'[2]EU Sunflower Exports'!BA$286</f>
        <v>0</v>
      </c>
      <c r="BC39" s="141">
        <f>'[2]Ukraine Sunflower Exports'!Z$286</f>
        <v>0</v>
      </c>
      <c r="BD39" s="141">
        <f>'[2]Ukraine Sunflower Exports'!AA$286</f>
        <v>0</v>
      </c>
      <c r="BE39" s="141">
        <f>'[2]Ukraine Sunflower Exports'!AB$286</f>
        <v>0</v>
      </c>
      <c r="BF39" s="141">
        <f>'[2]Ukraine Sunflower Exports'!AC$286</f>
        <v>0</v>
      </c>
      <c r="BG39" s="143">
        <f>'[2]Ukraine Sunflower Exports'!AD$286</f>
        <v>0</v>
      </c>
      <c r="BH39" s="141">
        <f>'[2]Russia Sunflower Exports'!B$286</f>
        <v>0</v>
      </c>
      <c r="BI39" s="141">
        <f>'[2]Russia Sunflower Exports'!C$286</f>
        <v>0</v>
      </c>
      <c r="BJ39" s="141">
        <f>'[2]Russia Sunflower Exports'!D$286</f>
        <v>0</v>
      </c>
      <c r="BK39" s="141">
        <f>'[2]Russia Sunflower Exports'!E$286</f>
        <v>0</v>
      </c>
      <c r="BL39" s="141">
        <f>'[2]Russia Sunflower Exports'!F$286</f>
        <v>0</v>
      </c>
      <c r="BM39" s="141">
        <f>'[2]Russia Sunflower Exports'!G$286</f>
        <v>0</v>
      </c>
      <c r="BN39" s="141">
        <f>'[2]Russia Sunflower Exports'!H$286</f>
        <v>0</v>
      </c>
      <c r="BO39" s="141">
        <f>'[2]Russia Sunflower Exports'!I$286</f>
        <v>0</v>
      </c>
      <c r="BP39" s="141">
        <f>'[2]Russia Sunflower Exports'!J$286</f>
        <v>0</v>
      </c>
      <c r="BQ39" s="141">
        <f>'[2]Russia Sunflower Exports'!K$286</f>
        <v>0</v>
      </c>
      <c r="BR39" s="141">
        <f>'[2]Russia Sunflower Exports'!L$286</f>
        <v>0</v>
      </c>
      <c r="BS39" s="141">
        <f>'[2]Russia Sunflower Exports'!M$286</f>
        <v>0</v>
      </c>
      <c r="BT39" s="141">
        <f>'[2]Russia Sunflower Exports'!N$286</f>
        <v>0</v>
      </c>
      <c r="BU39" s="141">
        <f>'[2]Russia Sunflower Exports'!O$286</f>
        <v>0</v>
      </c>
      <c r="BV39" s="141">
        <f>'[2]Russia Sunflower Exports'!P$286</f>
        <v>0</v>
      </c>
      <c r="BW39" s="141">
        <f>'[2]Russia Sunflower Exports'!Q$286</f>
        <v>0</v>
      </c>
      <c r="BX39" s="141">
        <f>'[2]Russia Sunflower Exports'!R$286</f>
        <v>0</v>
      </c>
      <c r="BY39" s="141">
        <f>'[2]Russia Sunflower Exports'!S$286</f>
        <v>0</v>
      </c>
      <c r="BZ39" s="141">
        <f>'[2]Russia Sunflower Exports'!T$286</f>
        <v>0</v>
      </c>
      <c r="CA39" s="141">
        <f>'[2]Russia Sunflower Exports'!U$286</f>
        <v>0</v>
      </c>
      <c r="CB39" s="141">
        <f>'[2]Russia Sunflower Exports'!V$286</f>
        <v>0</v>
      </c>
      <c r="CC39" s="141">
        <f>'[2]Russia Sunflower Exports'!W$286</f>
        <v>0</v>
      </c>
      <c r="CD39" s="141">
        <f>'[2]Russia Sunflower Exports'!X$286</f>
        <v>0</v>
      </c>
      <c r="CE39" s="141">
        <f>'[2]Russia Sunflower Exports'!Y$286</f>
        <v>0</v>
      </c>
      <c r="CF39" s="141">
        <f>'[2]Russia Sunflower Exports'!Z$286</f>
        <v>0</v>
      </c>
      <c r="CG39" s="147">
        <f>'[2]Russia Sunflower Exports'!AA$286</f>
        <v>0</v>
      </c>
      <c r="CH39" s="141">
        <f>'[2]Russia Sunflower Exports'!AB$286</f>
        <v>0</v>
      </c>
      <c r="CI39" s="141">
        <f>'[2]Russia Sunflower Exports'!AC$286</f>
        <v>0</v>
      </c>
      <c r="CJ39" s="143">
        <f>'[2]Russia Sunflower Exports'!AD$286</f>
        <v>0</v>
      </c>
      <c r="CK39" s="141">
        <f>'[3]Sunflower Exports'!B$286/2204.622*1000</f>
        <v>0</v>
      </c>
      <c r="CL39" s="141">
        <f>'[3]Sunflower Exports'!C$286/2204.622*1000</f>
        <v>2.7900000000000005E-2</v>
      </c>
      <c r="CM39" s="141">
        <f>'[3]Sunflower Exports'!D$286/2204.622*1000</f>
        <v>1.1000000000000001E-3</v>
      </c>
      <c r="CN39" s="141">
        <f>'[3]Sunflower Exports'!E$286/2204.622*1000</f>
        <v>0</v>
      </c>
      <c r="CO39" s="141">
        <f>'[3]Sunflower Exports'!F$286/2204.622*1000</f>
        <v>0</v>
      </c>
      <c r="CP39" s="141">
        <f>'[3]Sunflower Exports'!G$286/2204.622*1000</f>
        <v>0</v>
      </c>
      <c r="CQ39" s="141">
        <f>'[3]Sunflower Exports'!H$286/2204.622*1000</f>
        <v>2.4800000000000003E-2</v>
      </c>
      <c r="CR39" s="141">
        <f>'[3]Sunflower Exports'!I$286/2204.622*1000</f>
        <v>0.15120000000000003</v>
      </c>
      <c r="CS39" s="141">
        <f>'[3]Sunflower Exports'!J$286/2204.622*1000</f>
        <v>2.2000000000000001E-3</v>
      </c>
      <c r="CT39" s="141">
        <f>'[3]Sunflower Exports'!K$286/2204.622*1000</f>
        <v>3.8000000000000004E-3</v>
      </c>
      <c r="CU39" s="141">
        <f>'[3]Sunflower Exports'!L$286/2204.622*1000</f>
        <v>7.6000000000000009E-3</v>
      </c>
      <c r="CV39" s="141">
        <f>'[3]Sunflower Exports'!M$286/2204.622*1000</f>
        <v>0</v>
      </c>
      <c r="CW39" s="141">
        <f>'[3]Sunflower Exports'!N$286/2204.622*1000</f>
        <v>2.9000000000000001E-2</v>
      </c>
      <c r="CX39" s="141">
        <f>'[3]Sunflower Exports'!O$286/2204.622*1000</f>
        <v>0</v>
      </c>
      <c r="CY39" s="141">
        <f>'[3]Sunflower Exports'!P$286/2204.622*1000</f>
        <v>5.1000000000000004E-2</v>
      </c>
      <c r="CZ39" s="141">
        <f>'[3]Sunflower Exports'!Q$286/2204.622*1000</f>
        <v>4.5000000000000012E-2</v>
      </c>
      <c r="DA39" s="141">
        <f>'[3]Sunflower Exports'!R$286/2204.622*1000</f>
        <v>0</v>
      </c>
      <c r="DB39" s="141">
        <f>'[3]Sunflower Exports'!S$286/2204.622*1000</f>
        <v>0</v>
      </c>
      <c r="DC39" s="141">
        <f>'[3]Sunflower Exports'!T$286/2204.622*1000</f>
        <v>0</v>
      </c>
      <c r="DD39" s="141">
        <f>'[3]Sunflower Exports'!U$286/2204.622*1000</f>
        <v>0</v>
      </c>
      <c r="DE39" s="141">
        <f>'[3]Sunflower Exports'!V$286/2204.622*1000</f>
        <v>0</v>
      </c>
      <c r="DF39" s="141">
        <f>'[3]Sunflower Exports'!W$286/2204.622*1000</f>
        <v>0</v>
      </c>
      <c r="DG39" s="141">
        <f>'[3]Sunflower Exports'!X$286/2204.622*1000</f>
        <v>0</v>
      </c>
      <c r="DH39" s="141">
        <f>'[3]Sunflower Exports'!Y$286/2204.622*1000</f>
        <v>8.4000000000000012E-3</v>
      </c>
      <c r="DI39" s="141">
        <f>'[3]Sunflower Exports'!Z$286/2204.622*1000</f>
        <v>0</v>
      </c>
      <c r="DJ39" s="141">
        <f>'[3]Sunflower Exports'!AA$286/2204.622*1000</f>
        <v>0</v>
      </c>
      <c r="DK39" s="141">
        <f>'[3]Sunflower Exports'!AB$286/2204.622*1000</f>
        <v>0</v>
      </c>
      <c r="DL39" s="141">
        <f>'[3]Sunflower Exports'!AC$286/2204.622*1000</f>
        <v>0</v>
      </c>
      <c r="DM39" s="143">
        <f>'[3]Sunflower Exports'!AD$286/2204.622*1000</f>
        <v>0</v>
      </c>
      <c r="DN39" s="141">
        <f t="shared" si="6"/>
        <v>0</v>
      </c>
      <c r="DO39" s="141">
        <f t="shared" si="6"/>
        <v>2.7900000000000005E-2</v>
      </c>
      <c r="DP39" s="141">
        <f t="shared" si="6"/>
        <v>1.1000000000000001E-3</v>
      </c>
      <c r="DQ39" s="141">
        <f t="shared" si="6"/>
        <v>0</v>
      </c>
      <c r="DR39" s="141">
        <f t="shared" si="6"/>
        <v>0</v>
      </c>
      <c r="DS39" s="141">
        <f t="shared" si="6"/>
        <v>1E-3</v>
      </c>
      <c r="DT39" s="141">
        <f t="shared" si="6"/>
        <v>2.4800000000000003E-2</v>
      </c>
      <c r="DU39" s="141">
        <f t="shared" si="6"/>
        <v>0.15120000000000003</v>
      </c>
      <c r="DV39" s="141">
        <f t="shared" si="6"/>
        <v>2.2000000000000001E-3</v>
      </c>
      <c r="DW39" s="141">
        <f t="shared" si="6"/>
        <v>3.8000000000000004E-3</v>
      </c>
      <c r="DX39" s="141">
        <f t="shared" si="6"/>
        <v>8.6E-3</v>
      </c>
      <c r="DY39" s="141">
        <f t="shared" si="6"/>
        <v>4.3999999999999997E-2</v>
      </c>
      <c r="DZ39" s="141">
        <f t="shared" si="6"/>
        <v>2.9000000000000001E-2</v>
      </c>
      <c r="EA39" s="141">
        <f t="shared" si="6"/>
        <v>0</v>
      </c>
      <c r="EB39" s="141">
        <f t="shared" si="6"/>
        <v>5.7000000000000002E-2</v>
      </c>
      <c r="EC39" s="141">
        <f t="shared" si="3"/>
        <v>4.5000000000000012E-2</v>
      </c>
      <c r="ED39" s="141">
        <f t="shared" si="3"/>
        <v>0</v>
      </c>
      <c r="EE39" s="141">
        <f t="shared" si="3"/>
        <v>0</v>
      </c>
      <c r="EF39" s="141">
        <f t="shared" si="3"/>
        <v>0</v>
      </c>
      <c r="EG39" s="141">
        <f t="shared" si="3"/>
        <v>0</v>
      </c>
      <c r="EH39" s="141">
        <f t="shared" si="3"/>
        <v>0</v>
      </c>
      <c r="EI39" s="141">
        <f t="shared" si="3"/>
        <v>0</v>
      </c>
      <c r="EJ39" s="141">
        <f t="shared" si="3"/>
        <v>0</v>
      </c>
      <c r="EK39" s="141">
        <f t="shared" si="3"/>
        <v>0.1704</v>
      </c>
      <c r="EL39" s="141">
        <f t="shared" si="3"/>
        <v>0</v>
      </c>
      <c r="EM39" s="141">
        <f t="shared" si="3"/>
        <v>0</v>
      </c>
      <c r="EN39" s="141">
        <f t="shared" si="5"/>
        <v>0</v>
      </c>
      <c r="EO39" s="141">
        <f t="shared" si="5"/>
        <v>0</v>
      </c>
      <c r="EP39" s="145">
        <f t="shared" si="5"/>
        <v>0</v>
      </c>
      <c r="EQ39" s="145">
        <v>0</v>
      </c>
      <c r="ES39" s="141">
        <f>SUM(BF39+CI39+DL39+AC39)-EO39</f>
        <v>0</v>
      </c>
      <c r="ET39" s="141">
        <f>SUM(BG39+CJ39+DM39+AD39)-EP39</f>
        <v>0</v>
      </c>
      <c r="EV39" s="141"/>
      <c r="EW39" s="141"/>
      <c r="FB39" s="107"/>
    </row>
    <row r="40" spans="1:158" ht="15.75" thickBot="1">
      <c r="A40" s="137" t="s">
        <v>171</v>
      </c>
      <c r="B40" s="146">
        <f>'[2]EU Sunflower Exports'!B$231-SUM(B29:B39)</f>
        <v>0</v>
      </c>
      <c r="C40" s="146">
        <f>'[2]EU Sunflower Exports'!C$231-SUM(C29:C39)</f>
        <v>0</v>
      </c>
      <c r="D40" s="146">
        <f>'[2]EU Sunflower Exports'!D$231-SUM(D29:D39)</f>
        <v>0</v>
      </c>
      <c r="E40" s="146">
        <f>'[2]EU Sunflower Exports'!E$231-SUM(E29:E39)</f>
        <v>3.6999999999999034E-2</v>
      </c>
      <c r="F40" s="146">
        <f>'[2]EU Sunflower Exports'!F$231-SUM(F29:F39)</f>
        <v>4.7000000000000597E-2</v>
      </c>
      <c r="G40" s="146">
        <f>'[2]EU Sunflower Exports'!G$231-SUM(G29:G39)</f>
        <v>8.0000000000000016E-2</v>
      </c>
      <c r="H40" s="146">
        <f>'[2]EU Sunflower Exports'!H$231-SUM(H29:H39)</f>
        <v>6.4000000000000057E-2</v>
      </c>
      <c r="I40" s="146">
        <f>'[2]EU Sunflower Exports'!I$231-SUM(I29:I39)</f>
        <v>7.6000000000000012E-2</v>
      </c>
      <c r="J40" s="146">
        <f>'[2]EU Sunflower Exports'!J$231-SUM(J29:J39)</f>
        <v>8.8000000000000023E-2</v>
      </c>
      <c r="K40" s="146">
        <f>'[2]EU Sunflower Exports'!K$231-SUM(K29:K39)</f>
        <v>6.9000000000000006E-2</v>
      </c>
      <c r="L40" s="146">
        <f>'[2]EU Sunflower Exports'!L$231-SUM(L29:L39)</f>
        <v>3.2999999999999918E-2</v>
      </c>
      <c r="M40" s="146">
        <f>'[2]EU Sunflower Exports'!M$231-SUM(M29:M39)</f>
        <v>0.47100000000000009</v>
      </c>
      <c r="N40" s="146">
        <f>'[2]EU Sunflower Exports'!N$231-SUM(N29:N39)</f>
        <v>0.7430000000000001</v>
      </c>
      <c r="O40" s="146">
        <f>'[2]EU Sunflower Exports'!O$231-SUM(O29:O39)</f>
        <v>6.3999999999999946E-2</v>
      </c>
      <c r="P40" s="141">
        <f>'[2]EU Sunflower Exports'!P$231-SUM(P29:P39)</f>
        <v>5.1000000000000045E-2</v>
      </c>
      <c r="Q40" s="141">
        <f>'[2]EU Sunflower Exports'!Q$231-SUM(Q29:Q39)</f>
        <v>2.6000000000000023E-2</v>
      </c>
      <c r="R40" s="141">
        <f>'[2]EU Sunflower Exports'!R$231-SUM(R29:R39)</f>
        <v>8.700000000000005E-2</v>
      </c>
      <c r="S40" s="141">
        <f>'[2]EU Sunflower Exports'!S$231-SUM(S29:S39)</f>
        <v>0.10000000000000009</v>
      </c>
      <c r="T40" s="141">
        <f>'[2]EU Sunflower Exports'!T$231-SUM(T29:T39)</f>
        <v>6.899999999999995E-2</v>
      </c>
      <c r="U40" s="141">
        <f>'[2]EU Sunflower Exports'!U$231-SUM(U29:U39)</f>
        <v>4.5999999999999819E-2</v>
      </c>
      <c r="V40" s="141">
        <f>'[2]EU Sunflower Exports'!V$231-SUM(V29:V39)</f>
        <v>6.9000000000000838E-2</v>
      </c>
      <c r="W40" s="141">
        <f>'[2]EU Sunflower Exports'!W$231-SUM(W29:W39)</f>
        <v>0.13799999999999812</v>
      </c>
      <c r="X40" s="141">
        <f>'[2]EU Sunflower Exports'!X$231-SUM(X29:X39)</f>
        <v>9.6000000000000085E-2</v>
      </c>
      <c r="Y40" s="141">
        <f>'[2]EU Sunflower Exports'!Y$231-SUM(Y29:Y39)</f>
        <v>0.18499999999999872</v>
      </c>
      <c r="Z40" s="141">
        <f>'[2]EU Sunflower Exports'!Z$231-SUM(Z29:Z39)</f>
        <v>0.3370000000000033</v>
      </c>
      <c r="AA40" s="141">
        <f>'[2]EU Sunflower Exports'!AA$231-SUM(AA29:AA39)</f>
        <v>0.27499999999999858</v>
      </c>
      <c r="AB40" s="141">
        <f>'[2]EU Sunflower Exports'!AB$231-SUM(AB29:AB39)</f>
        <v>1.5190000000000055</v>
      </c>
      <c r="AC40" s="141">
        <f>'[2]EU Sunflower Exports'!AC$231-SUM(AC29:AC39)</f>
        <v>2.1200000000000045</v>
      </c>
      <c r="AD40" s="153">
        <f>26.3-25.3</f>
        <v>1</v>
      </c>
      <c r="AE40" s="154">
        <v>2.2999999999999998</v>
      </c>
      <c r="AF40" s="154">
        <v>3.3</v>
      </c>
      <c r="AG40" s="154">
        <v>4.3</v>
      </c>
      <c r="AH40" s="154">
        <v>5.3</v>
      </c>
      <c r="AI40" s="154">
        <v>6.3</v>
      </c>
      <c r="AJ40" s="154">
        <v>7.3</v>
      </c>
      <c r="AK40" s="154">
        <v>8.3000000000000007</v>
      </c>
      <c r="AL40" s="154">
        <v>9.3000000000000007</v>
      </c>
      <c r="AM40" s="154">
        <v>10.3</v>
      </c>
      <c r="AN40" s="154">
        <v>11.3</v>
      </c>
      <c r="AO40" s="154">
        <v>12.3</v>
      </c>
      <c r="AP40" s="154">
        <v>13.3</v>
      </c>
      <c r="AQ40" s="154">
        <v>14.3</v>
      </c>
      <c r="AR40" s="154">
        <v>15.3</v>
      </c>
      <c r="AS40" s="154">
        <v>16.3</v>
      </c>
      <c r="AT40" s="154">
        <v>17.3</v>
      </c>
      <c r="AU40" s="154">
        <v>18.3</v>
      </c>
      <c r="AV40" s="154">
        <v>19.3</v>
      </c>
      <c r="AW40" s="154">
        <v>20.3</v>
      </c>
      <c r="AX40" s="154">
        <v>21.3</v>
      </c>
      <c r="AY40" s="154">
        <v>22.3</v>
      </c>
      <c r="AZ40" s="154">
        <v>23.3</v>
      </c>
      <c r="BA40" s="154">
        <v>24.3</v>
      </c>
      <c r="BB40" s="154">
        <v>25.3</v>
      </c>
      <c r="BC40" s="141">
        <f>'[2]Ukraine Sunflower Exports'!Z$231-SUM(BC29:BC39)</f>
        <v>0</v>
      </c>
      <c r="BD40" s="141">
        <f>'[2]Ukraine Sunflower Exports'!AA$231-SUM(BD29:BD39)</f>
        <v>0</v>
      </c>
      <c r="BE40" s="141">
        <f>'[2]Ukraine Sunflower Exports'!AB$231-SUM(BE29:BE39)</f>
        <v>0</v>
      </c>
      <c r="BF40" s="141">
        <f>'[2]Ukraine Sunflower Exports'!AC$231-SUM(BF29:BF39)</f>
        <v>0</v>
      </c>
      <c r="BG40" s="153">
        <v>1</v>
      </c>
      <c r="BH40" s="141">
        <f>'[2]Russia Sunflower Exports'!B$231-SUM(BH29:BH39)</f>
        <v>0</v>
      </c>
      <c r="BI40" s="141">
        <f>'[2]Russia Sunflower Exports'!C$231-SUM(BI29:BI39)</f>
        <v>0</v>
      </c>
      <c r="BJ40" s="141">
        <f>'[2]Russia Sunflower Exports'!D$231-SUM(BJ29:BJ39)</f>
        <v>0</v>
      </c>
      <c r="BK40" s="141">
        <f>'[2]Russia Sunflower Exports'!E$231-SUM(BK29:BK39)</f>
        <v>7.9580899999999986</v>
      </c>
      <c r="BL40" s="141">
        <f>'[2]Russia Sunflower Exports'!F$231-SUM(BL29:BL39)</f>
        <v>9.9475699999999989</v>
      </c>
      <c r="BM40" s="141">
        <f>'[2]Russia Sunflower Exports'!G$231-SUM(BM29:BM39)</f>
        <v>8.8487000000000009</v>
      </c>
      <c r="BN40" s="141">
        <f>'[2]Russia Sunflower Exports'!H$231-SUM(BN29:BN39)</f>
        <v>0</v>
      </c>
      <c r="BO40" s="141">
        <f>'[2]Russia Sunflower Exports'!I$231-SUM(BO29:BO39)</f>
        <v>0</v>
      </c>
      <c r="BP40" s="141">
        <f>'[2]Russia Sunflower Exports'!J$231-SUM(BP29:BP39)</f>
        <v>0</v>
      </c>
      <c r="BQ40" s="141">
        <f>'[2]Russia Sunflower Exports'!K$231-SUM(BQ29:BQ39)</f>
        <v>0</v>
      </c>
      <c r="BR40" s="141">
        <f>'[2]Russia Sunflower Exports'!L$231-SUM(BR29:BR39)</f>
        <v>0</v>
      </c>
      <c r="BS40" s="141">
        <f>'[2]Russia Sunflower Exports'!M$231-SUM(BS29:BS39)</f>
        <v>0</v>
      </c>
      <c r="BT40" s="141">
        <f>'[2]Russia Sunflower Exports'!N$231-SUM(BT29:BT39)</f>
        <v>0</v>
      </c>
      <c r="BU40" s="141">
        <f>'[2]Russia Sunflower Exports'!O$231-SUM(BU29:BU39)</f>
        <v>0</v>
      </c>
      <c r="BV40" s="141">
        <f>'[2]Russia Sunflower Exports'!P$231-SUM(BV29:BV39)</f>
        <v>0</v>
      </c>
      <c r="BW40" s="141">
        <f>'[2]Russia Sunflower Exports'!Q$231-SUM(BW29:BW39)</f>
        <v>0</v>
      </c>
      <c r="BX40" s="141">
        <f>'[2]Russia Sunflower Exports'!R$231-SUM(BX29:BX39)</f>
        <v>0</v>
      </c>
      <c r="BY40" s="141">
        <f>'[2]Russia Sunflower Exports'!S$231-SUM(BY29:BY39)</f>
        <v>0</v>
      </c>
      <c r="BZ40" s="141">
        <f>'[2]Russia Sunflower Exports'!T$231-SUM(BZ29:BZ39)</f>
        <v>0</v>
      </c>
      <c r="CA40" s="141">
        <f>'[2]Russia Sunflower Exports'!U$231-SUM(CA29:CA39)</f>
        <v>0.126</v>
      </c>
      <c r="CB40" s="141">
        <f>'[2]Russia Sunflower Exports'!V$231-SUM(CB29:CB39)</f>
        <v>0</v>
      </c>
      <c r="CC40" s="141">
        <f>'[2]Russia Sunflower Exports'!W$231-SUM(CC29:CC39)</f>
        <v>0</v>
      </c>
      <c r="CD40" s="141">
        <f>'[2]Russia Sunflower Exports'!X$231-SUM(CD29:CD39)</f>
        <v>0</v>
      </c>
      <c r="CE40" s="141">
        <f>'[2]Russia Sunflower Exports'!Y$231-SUM(CE29:CE39)</f>
        <v>0</v>
      </c>
      <c r="CF40" s="141">
        <f>'[2]Russia Sunflower Exports'!Z$231-SUM(CF29:CF39)</f>
        <v>0</v>
      </c>
      <c r="CG40" s="147">
        <f>'[2]Russia Sunflower Exports'!AA$231-SUM(CG29:CG39)</f>
        <v>3.4399999999999986E-2</v>
      </c>
      <c r="CH40" s="141">
        <f>'[2]Russia Sunflower Exports'!AB$231-SUM(CH29:CH39)</f>
        <v>0</v>
      </c>
      <c r="CI40" s="141">
        <f>'[2]Russia Sunflower Exports'!AC$231-SUM(CI29:CI39)</f>
        <v>1.7175000000000003E-2</v>
      </c>
      <c r="CJ40" s="153">
        <f>'[2]Russia Sunflower Exports'!AD$231-SUM(CJ29:CJ39)</f>
        <v>2.1000000000000001E-2</v>
      </c>
      <c r="CK40" s="141">
        <f>('[3]Sunflower Exports'!B$231/2204.622*1000)-SUM(CK29:CK39)</f>
        <v>0.28790000000000049</v>
      </c>
      <c r="CL40" s="141">
        <f>('[3]Sunflower Exports'!C$231/2204.622*1000)-SUM(CL29:CL39)</f>
        <v>0.48730000000000118</v>
      </c>
      <c r="CM40" s="141">
        <f>('[3]Sunflower Exports'!D$231/2204.622*1000)-SUM(CM29:CM39)</f>
        <v>7.809999999999917E-2</v>
      </c>
      <c r="CN40" s="141">
        <f>('[3]Sunflower Exports'!E$231/2204.622*1000)-SUM(CN29:CN39)</f>
        <v>5.8799999999994412E-2</v>
      </c>
      <c r="CO40" s="141">
        <f>('[3]Sunflower Exports'!F$231/2204.622*1000)-SUM(CO29:CO39)</f>
        <v>0.10490000000000066</v>
      </c>
      <c r="CP40" s="141">
        <f>('[3]Sunflower Exports'!G$231/2204.622*1000)-SUM(CP29:CP39)</f>
        <v>6.7999999999994287E-2</v>
      </c>
      <c r="CQ40" s="141">
        <f>('[3]Sunflower Exports'!H$231/2204.622*1000)-SUM(CQ29:CQ39)</f>
        <v>0.19090000000000629</v>
      </c>
      <c r="CR40" s="141">
        <f>('[3]Sunflower Exports'!I$231/2204.622*1000)-SUM(CR29:CR39)</f>
        <v>0.52880000000000393</v>
      </c>
      <c r="CS40" s="141">
        <f>('[3]Sunflower Exports'!J$231/2204.622*1000)-SUM(CS29:CS39)</f>
        <v>0.43569999999999709</v>
      </c>
      <c r="CT40" s="141">
        <f>('[3]Sunflower Exports'!K$231/2204.622*1000)-SUM(CT29:CT39)</f>
        <v>0.21370000000000289</v>
      </c>
      <c r="CU40" s="141">
        <f>('[3]Sunflower Exports'!L$231/2204.622*1000)-SUM(CU29:CU39)</f>
        <v>0.49950000000000117</v>
      </c>
      <c r="CV40" s="141">
        <f>('[3]Sunflower Exports'!M$231/2204.622*1000)-SUM(CV29:CV39)</f>
        <v>0.16399999999999437</v>
      </c>
      <c r="CW40" s="141">
        <f>('[3]Sunflower Exports'!N$231/2204.622*1000)-SUM(CW29:CW39)</f>
        <v>0.47500000000000142</v>
      </c>
      <c r="CX40" s="141">
        <f>('[3]Sunflower Exports'!O$231/2204.622*1000)-SUM(CX29:CX39)</f>
        <v>5.9300000000003905E-2</v>
      </c>
      <c r="CY40" s="141">
        <f>('[3]Sunflower Exports'!P$231/2204.622*1000)-SUM(CY29:CY39)</f>
        <v>0.18469999999999942</v>
      </c>
      <c r="CZ40" s="141">
        <f>('[3]Sunflower Exports'!Q$231/2204.622*1000)-SUM(CZ29:CZ39)</f>
        <v>0.14910000000000423</v>
      </c>
      <c r="DA40" s="141">
        <f>('[3]Sunflower Exports'!R$231/2204.622*1000)-SUM(DA29:DA39)</f>
        <v>0.56739999999999924</v>
      </c>
      <c r="DB40" s="141">
        <f>('[3]Sunflower Exports'!S$231/2204.622*1000)-SUM(DB29:DB39)</f>
        <v>0.38850000000000051</v>
      </c>
      <c r="DC40" s="141">
        <f>('[3]Sunflower Exports'!T$231/2204.622*1000)-SUM(DC29:DC39)</f>
        <v>0.72200000000000841</v>
      </c>
      <c r="DD40" s="141">
        <f>('[3]Sunflower Exports'!U$231/2204.622*1000)-SUM(DD29:DD39)</f>
        <v>1.109499999999997</v>
      </c>
      <c r="DE40" s="141">
        <f>('[3]Sunflower Exports'!V$231/2204.622*1000)-SUM(DE29:DE39)</f>
        <v>0.91559999999999775</v>
      </c>
      <c r="DF40" s="141">
        <f>('[3]Sunflower Exports'!W$231/2204.622*1000)-SUM(DF29:DF39)</f>
        <v>1.1718000000000046</v>
      </c>
      <c r="DG40" s="141">
        <f>('[3]Sunflower Exports'!X$231/2204.622*1000)-SUM(DG29:DG39)</f>
        <v>0.6016000000000048</v>
      </c>
      <c r="DH40" s="141">
        <f>('[3]Sunflower Exports'!Y$231/2204.622*1000)-SUM(DH29:DH39)</f>
        <v>0.37792397221836893</v>
      </c>
      <c r="DI40" s="141">
        <f>('[3]Sunflower Exports'!Z$231/2204.622*1000)-SUM(DI29:DI39)</f>
        <v>0.26283576155911703</v>
      </c>
      <c r="DJ40" s="141">
        <f>('[3]Sunflower Exports'!AA$231/2204.622*1000)-SUM(DJ29:DJ39)</f>
        <v>5.1452953322606021E-2</v>
      </c>
      <c r="DK40" s="141">
        <f>('[3]Sunflower Exports'!AB$231/2204.622*1000)-SUM(DK29:DK39)</f>
        <v>4.8703955816456812E-2</v>
      </c>
      <c r="DL40" s="141">
        <f>('[3]Sunflower Exports'!AC$231/2204.622*1000)-SUM(DL29:DL39)</f>
        <v>0.167950051509969</v>
      </c>
      <c r="DM40" s="153">
        <v>0</v>
      </c>
      <c r="DN40" s="141">
        <f t="shared" si="6"/>
        <v>2.5879000000000003</v>
      </c>
      <c r="DO40" s="141">
        <f t="shared" si="6"/>
        <v>3.787300000000001</v>
      </c>
      <c r="DP40" s="141">
        <f t="shared" si="6"/>
        <v>4.378099999999999</v>
      </c>
      <c r="DQ40" s="141">
        <f t="shared" si="6"/>
        <v>13.353889999999993</v>
      </c>
      <c r="DR40" s="141">
        <f t="shared" si="6"/>
        <v>16.399470000000001</v>
      </c>
      <c r="DS40" s="141">
        <f t="shared" si="6"/>
        <v>16.296699999999994</v>
      </c>
      <c r="DT40" s="141">
        <f t="shared" si="6"/>
        <v>8.5549000000000071</v>
      </c>
      <c r="DU40" s="141">
        <f t="shared" si="6"/>
        <v>9.9048000000000052</v>
      </c>
      <c r="DV40" s="141">
        <f t="shared" si="6"/>
        <v>10.823699999999997</v>
      </c>
      <c r="DW40" s="141">
        <f t="shared" si="6"/>
        <v>11.582700000000004</v>
      </c>
      <c r="DX40" s="141">
        <f t="shared" si="6"/>
        <v>12.832500000000001</v>
      </c>
      <c r="DY40" s="141">
        <f t="shared" si="6"/>
        <v>13.934999999999995</v>
      </c>
      <c r="DZ40" s="141">
        <f t="shared" si="6"/>
        <v>15.518000000000002</v>
      </c>
      <c r="EA40" s="141">
        <f t="shared" si="6"/>
        <v>15.423300000000005</v>
      </c>
      <c r="EB40" s="141">
        <f t="shared" si="6"/>
        <v>16.535699999999999</v>
      </c>
      <c r="EC40" s="141">
        <f t="shared" si="3"/>
        <v>17.475100000000005</v>
      </c>
      <c r="ED40" s="141">
        <f t="shared" si="3"/>
        <v>18.9544</v>
      </c>
      <c r="EE40" s="141">
        <f t="shared" si="3"/>
        <v>19.788500000000003</v>
      </c>
      <c r="EF40" s="141">
        <f t="shared" si="3"/>
        <v>21.091000000000008</v>
      </c>
      <c r="EG40" s="141">
        <f t="shared" si="3"/>
        <v>22.581499999999998</v>
      </c>
      <c r="EH40" s="141">
        <f t="shared" si="3"/>
        <v>23.284599999999998</v>
      </c>
      <c r="EI40" s="141">
        <f t="shared" si="3"/>
        <v>24.609800000000003</v>
      </c>
      <c r="EJ40" s="141">
        <f t="shared" si="3"/>
        <v>24.997600000000006</v>
      </c>
      <c r="EK40" s="141">
        <f t="shared" si="3"/>
        <v>25.862923972218368</v>
      </c>
      <c r="EL40" s="141">
        <f t="shared" si="3"/>
        <v>0.59983576155912033</v>
      </c>
      <c r="EM40" s="141">
        <f t="shared" si="3"/>
        <v>0.36085295332260459</v>
      </c>
      <c r="EN40" s="141">
        <f t="shared" si="5"/>
        <v>1.5677039558164623</v>
      </c>
      <c r="EO40" s="141">
        <f t="shared" si="5"/>
        <v>2.3051250515099735</v>
      </c>
      <c r="EP40" s="145">
        <f t="shared" si="5"/>
        <v>2.0209999999999999</v>
      </c>
      <c r="EQ40" s="155">
        <v>2</v>
      </c>
      <c r="ES40" s="141">
        <f>SUM(BF40+CI40+DL40+AC40)-EO40</f>
        <v>0</v>
      </c>
      <c r="ET40" s="141">
        <f>SUM(BG40+CJ40+DM40+AD40)-EP40</f>
        <v>0</v>
      </c>
      <c r="EV40" s="141"/>
      <c r="EW40" s="141"/>
      <c r="FB40" s="107"/>
    </row>
    <row r="41" spans="1:158" s="163" customFormat="1" ht="15.75" thickBot="1">
      <c r="A41" s="156" t="s">
        <v>172</v>
      </c>
      <c r="B41" s="157">
        <f>SUM(B4:B40)</f>
        <v>0</v>
      </c>
      <c r="C41" s="158">
        <f t="shared" ref="C41:AB41" si="7">SUM(C4:C40)</f>
        <v>0</v>
      </c>
      <c r="D41" s="158">
        <f t="shared" si="7"/>
        <v>0</v>
      </c>
      <c r="E41" s="158">
        <f>SUM(E4:E40)</f>
        <v>99.734000000000009</v>
      </c>
      <c r="F41" s="158">
        <f t="shared" si="7"/>
        <v>95.431000000000012</v>
      </c>
      <c r="G41" s="158">
        <f t="shared" si="7"/>
        <v>99.194000000000003</v>
      </c>
      <c r="H41" s="158">
        <f t="shared" si="7"/>
        <v>175.82699999999994</v>
      </c>
      <c r="I41" s="158">
        <f t="shared" si="7"/>
        <v>61.987999999999992</v>
      </c>
      <c r="J41" s="158">
        <f t="shared" si="7"/>
        <v>145.68300000000008</v>
      </c>
      <c r="K41" s="158">
        <f t="shared" si="7"/>
        <v>129.79600000000002</v>
      </c>
      <c r="L41" s="158">
        <f t="shared" si="7"/>
        <v>394.89499999999987</v>
      </c>
      <c r="M41" s="158">
        <f t="shared" si="7"/>
        <v>585.428</v>
      </c>
      <c r="N41" s="158">
        <f t="shared" si="7"/>
        <v>316.53199999999998</v>
      </c>
      <c r="O41" s="158">
        <f t="shared" si="7"/>
        <v>793.84500000000014</v>
      </c>
      <c r="P41" s="159">
        <f t="shared" si="7"/>
        <v>497.15599999999989</v>
      </c>
      <c r="Q41" s="159">
        <f t="shared" si="7"/>
        <v>392.16499999999991</v>
      </c>
      <c r="R41" s="159">
        <f t="shared" si="7"/>
        <v>665.02400000000011</v>
      </c>
      <c r="S41" s="159">
        <f t="shared" si="7"/>
        <v>518.16700000000003</v>
      </c>
      <c r="T41" s="159">
        <f t="shared" si="7"/>
        <v>660.61300000000006</v>
      </c>
      <c r="U41" s="159">
        <f t="shared" si="7"/>
        <v>441.67399999999998</v>
      </c>
      <c r="V41" s="159">
        <f t="shared" si="7"/>
        <v>736.74899999999991</v>
      </c>
      <c r="W41" s="159">
        <f t="shared" si="7"/>
        <v>568.93299999999988</v>
      </c>
      <c r="X41" s="159">
        <f t="shared" si="7"/>
        <v>396.21499999999992</v>
      </c>
      <c r="Y41" s="159">
        <f t="shared" si="7"/>
        <v>410.02400000000006</v>
      </c>
      <c r="Z41" s="159">
        <f t="shared" si="7"/>
        <v>654.01099999999997</v>
      </c>
      <c r="AA41" s="159">
        <f>SUM(AA4:AA40)</f>
        <v>510.90800000000007</v>
      </c>
      <c r="AB41" s="159">
        <f t="shared" si="7"/>
        <v>741.47999999999979</v>
      </c>
      <c r="AC41" s="159">
        <f>SUM(AC4:AC40)</f>
        <v>1136.3069999999998</v>
      </c>
      <c r="AD41" s="160">
        <f>SUM(AD4:AD40)</f>
        <v>500</v>
      </c>
      <c r="AE41" s="161">
        <f t="shared" ref="AE41:BG41" si="8">SUM(AE4:AE40)</f>
        <v>604.43415300000004</v>
      </c>
      <c r="AF41" s="161">
        <f t="shared" si="8"/>
        <v>581.29999999999995</v>
      </c>
      <c r="AG41" s="161">
        <f t="shared" si="8"/>
        <v>587.29999999999995</v>
      </c>
      <c r="AH41" s="161">
        <f t="shared" si="8"/>
        <v>593.29999999999995</v>
      </c>
      <c r="AI41" s="161">
        <f t="shared" si="8"/>
        <v>599.29999999999995</v>
      </c>
      <c r="AJ41" s="161">
        <f t="shared" si="8"/>
        <v>605.29999999999995</v>
      </c>
      <c r="AK41" s="161">
        <f t="shared" si="8"/>
        <v>611.29999999999995</v>
      </c>
      <c r="AL41" s="161">
        <f t="shared" si="8"/>
        <v>617.29999999999995</v>
      </c>
      <c r="AM41" s="161">
        <f t="shared" si="8"/>
        <v>623.29999999999995</v>
      </c>
      <c r="AN41" s="161">
        <f t="shared" si="8"/>
        <v>629.29999999999995</v>
      </c>
      <c r="AO41" s="161">
        <f t="shared" si="8"/>
        <v>635.29999999999995</v>
      </c>
      <c r="AP41" s="161">
        <f t="shared" si="8"/>
        <v>641.29999999999995</v>
      </c>
      <c r="AQ41" s="161">
        <f t="shared" si="8"/>
        <v>647.29999999999995</v>
      </c>
      <c r="AR41" s="161">
        <f t="shared" si="8"/>
        <v>653.29999999999995</v>
      </c>
      <c r="AS41" s="161">
        <f t="shared" si="8"/>
        <v>659.3</v>
      </c>
      <c r="AT41" s="161">
        <f t="shared" si="8"/>
        <v>665.3</v>
      </c>
      <c r="AU41" s="161">
        <f t="shared" si="8"/>
        <v>671.3</v>
      </c>
      <c r="AV41" s="161">
        <f t="shared" si="8"/>
        <v>677.3</v>
      </c>
      <c r="AW41" s="161">
        <f t="shared" si="8"/>
        <v>683.3</v>
      </c>
      <c r="AX41" s="161">
        <f t="shared" si="8"/>
        <v>689.3</v>
      </c>
      <c r="AY41" s="161">
        <f t="shared" si="8"/>
        <v>695.3</v>
      </c>
      <c r="AZ41" s="161">
        <f t="shared" si="8"/>
        <v>701.3</v>
      </c>
      <c r="BA41" s="161">
        <f t="shared" si="8"/>
        <v>707.3</v>
      </c>
      <c r="BB41" s="161">
        <f t="shared" si="8"/>
        <v>713.3</v>
      </c>
      <c r="BC41" s="159">
        <f t="shared" si="8"/>
        <v>38.517354000000005</v>
      </c>
      <c r="BD41" s="159">
        <f t="shared" si="8"/>
        <v>104.51452300000001</v>
      </c>
      <c r="BE41" s="159">
        <f t="shared" si="8"/>
        <v>53.088619999999999</v>
      </c>
      <c r="BF41" s="159">
        <f t="shared" si="8"/>
        <v>232.42772299999996</v>
      </c>
      <c r="BG41" s="160">
        <f t="shared" si="8"/>
        <v>1479.0369999999998</v>
      </c>
      <c r="BH41" s="159">
        <f>SUM(BH4:BH40)</f>
        <v>0</v>
      </c>
      <c r="BI41" s="159">
        <f t="shared" ref="BI41:CJ41" si="9">SUM(BI4:BI40)</f>
        <v>0</v>
      </c>
      <c r="BJ41" s="159">
        <f t="shared" si="9"/>
        <v>0</v>
      </c>
      <c r="BK41" s="159">
        <f>SUM(BK4:BK40)</f>
        <v>456.93145300000003</v>
      </c>
      <c r="BL41" s="159">
        <f t="shared" si="9"/>
        <v>939.71123699999987</v>
      </c>
      <c r="BM41" s="159">
        <f>SUM(BM4:BM40)</f>
        <v>898.01875800000005</v>
      </c>
      <c r="BN41" s="159">
        <f t="shared" si="9"/>
        <v>845.36931500000003</v>
      </c>
      <c r="BO41" s="159">
        <f t="shared" si="9"/>
        <v>708.04574200000002</v>
      </c>
      <c r="BP41" s="159">
        <f t="shared" si="9"/>
        <v>17.903572999999998</v>
      </c>
      <c r="BQ41" s="159">
        <f t="shared" si="9"/>
        <v>185.51899999999998</v>
      </c>
      <c r="BR41" s="159">
        <f t="shared" si="9"/>
        <v>310.61899999999997</v>
      </c>
      <c r="BS41" s="159">
        <f t="shared" si="9"/>
        <v>44.962000000000003</v>
      </c>
      <c r="BT41" s="159">
        <f t="shared" si="9"/>
        <v>395.51600000000002</v>
      </c>
      <c r="BU41" s="159">
        <f t="shared" si="9"/>
        <v>161.86200000000002</v>
      </c>
      <c r="BV41" s="159">
        <f t="shared" si="9"/>
        <v>36.753999999999998</v>
      </c>
      <c r="BW41" s="159">
        <f t="shared" si="9"/>
        <v>159.69400000000005</v>
      </c>
      <c r="BX41" s="159">
        <f t="shared" si="9"/>
        <v>20.352999999999998</v>
      </c>
      <c r="BY41" s="159">
        <f t="shared" si="9"/>
        <v>9.5649999999999995</v>
      </c>
      <c r="BZ41" s="159">
        <f>SUM(BZ4:BZ40)</f>
        <v>331.53000000000003</v>
      </c>
      <c r="CA41" s="159">
        <f t="shared" si="9"/>
        <v>39.351999999999997</v>
      </c>
      <c r="CB41" s="159">
        <f t="shared" si="9"/>
        <v>135.24200000000002</v>
      </c>
      <c r="CC41" s="159">
        <f t="shared" si="9"/>
        <v>61.161000000000001</v>
      </c>
      <c r="CD41" s="159">
        <f t="shared" si="9"/>
        <v>103.904</v>
      </c>
      <c r="CE41" s="159">
        <f t="shared" si="9"/>
        <v>366.208641</v>
      </c>
      <c r="CF41" s="159">
        <f t="shared" si="9"/>
        <v>97.006878</v>
      </c>
      <c r="CG41" s="162">
        <f t="shared" si="9"/>
        <v>351.53394600000007</v>
      </c>
      <c r="CH41" s="159">
        <f t="shared" si="9"/>
        <v>1234.2326260000002</v>
      </c>
      <c r="CI41" s="159">
        <f t="shared" si="9"/>
        <v>581.25172500000008</v>
      </c>
      <c r="CJ41" s="160">
        <f t="shared" si="9"/>
        <v>137.89914599999997</v>
      </c>
      <c r="CK41" s="159">
        <f>SUM(CK4:CK40)</f>
        <v>99.053500000000042</v>
      </c>
      <c r="CL41" s="159">
        <f t="shared" ref="CL41:DM41" si="10">SUM(CL4:CL40)</f>
        <v>286.60690000000005</v>
      </c>
      <c r="CM41" s="159">
        <f t="shared" si="10"/>
        <v>224.20620000000002</v>
      </c>
      <c r="CN41" s="159">
        <f t="shared" si="10"/>
        <v>149.24930000000001</v>
      </c>
      <c r="CO41" s="159">
        <f t="shared" si="10"/>
        <v>189.52330000000001</v>
      </c>
      <c r="CP41" s="159">
        <f t="shared" si="10"/>
        <v>259.78310000000005</v>
      </c>
      <c r="CQ41" s="159">
        <f t="shared" si="10"/>
        <v>204.78450000000001</v>
      </c>
      <c r="CR41" s="159">
        <f t="shared" si="10"/>
        <v>200.899</v>
      </c>
      <c r="CS41" s="159">
        <f t="shared" si="10"/>
        <v>234.68590000000012</v>
      </c>
      <c r="CT41" s="159">
        <f t="shared" si="10"/>
        <v>166.14220000000006</v>
      </c>
      <c r="CU41" s="159">
        <f t="shared" si="10"/>
        <v>170.03410000000005</v>
      </c>
      <c r="CV41" s="159">
        <f t="shared" si="10"/>
        <v>141.32400000000001</v>
      </c>
      <c r="CW41" s="159">
        <f t="shared" si="10"/>
        <v>178.14480000000003</v>
      </c>
      <c r="CX41" s="159">
        <f t="shared" si="10"/>
        <v>181.50230000000008</v>
      </c>
      <c r="CY41" s="159">
        <f t="shared" si="10"/>
        <v>200.0934</v>
      </c>
      <c r="CZ41" s="159">
        <f t="shared" si="10"/>
        <v>183.92669999999998</v>
      </c>
      <c r="DA41" s="159">
        <f t="shared" si="10"/>
        <v>179.17900000000003</v>
      </c>
      <c r="DB41" s="159">
        <f t="shared" si="10"/>
        <v>160.46100000000001</v>
      </c>
      <c r="DC41" s="159">
        <f t="shared" si="10"/>
        <v>106.0403</v>
      </c>
      <c r="DD41" s="159">
        <f t="shared" si="10"/>
        <v>136.41540000000003</v>
      </c>
      <c r="DE41" s="159">
        <f t="shared" si="10"/>
        <v>119.74920000000002</v>
      </c>
      <c r="DF41" s="159">
        <f t="shared" si="10"/>
        <v>115.81070000000001</v>
      </c>
      <c r="DG41" s="159">
        <f t="shared" si="10"/>
        <v>98.870800000000017</v>
      </c>
      <c r="DH41" s="159">
        <f t="shared" si="10"/>
        <v>89.386804075710032</v>
      </c>
      <c r="DI41" s="159">
        <f>SUM(DI4:DI40)</f>
        <v>88.191999993468258</v>
      </c>
      <c r="DJ41" s="159">
        <f t="shared" si="10"/>
        <v>86.894453170584356</v>
      </c>
      <c r="DK41" s="159">
        <f t="shared" si="10"/>
        <v>63.382740500076657</v>
      </c>
      <c r="DL41" s="159">
        <f t="shared" si="10"/>
        <v>75.507706034304277</v>
      </c>
      <c r="DM41" s="160">
        <f t="shared" si="10"/>
        <v>68</v>
      </c>
      <c r="DN41" s="159">
        <f>SUM(DN4:DN40)</f>
        <v>703.48765300000002</v>
      </c>
      <c r="DO41" s="159">
        <f t="shared" ref="DO41:EQ41" si="11">SUM(DO4:DO40)</f>
        <v>867.90690000000006</v>
      </c>
      <c r="DP41" s="159">
        <f t="shared" si="11"/>
        <v>811.50619999999981</v>
      </c>
      <c r="DQ41" s="159">
        <f t="shared" si="11"/>
        <v>1299.214753</v>
      </c>
      <c r="DR41" s="159">
        <f t="shared" si="11"/>
        <v>1823.9655370000003</v>
      </c>
      <c r="DS41" s="159">
        <f t="shared" si="11"/>
        <v>1862.2958580000006</v>
      </c>
      <c r="DT41" s="159">
        <f t="shared" si="11"/>
        <v>1837.2808150000001</v>
      </c>
      <c r="DU41" s="159">
        <f t="shared" si="11"/>
        <v>1588.2327420000001</v>
      </c>
      <c r="DV41" s="159">
        <f t="shared" si="11"/>
        <v>1021.5724730000002</v>
      </c>
      <c r="DW41" s="159">
        <f t="shared" si="11"/>
        <v>1110.7571999999998</v>
      </c>
      <c r="DX41" s="159">
        <f t="shared" si="11"/>
        <v>1510.8480999999995</v>
      </c>
      <c r="DY41" s="159">
        <f t="shared" si="11"/>
        <v>1413.0140000000004</v>
      </c>
      <c r="DZ41" s="159">
        <f t="shared" si="11"/>
        <v>1537.4927999999998</v>
      </c>
      <c r="EA41" s="159">
        <f t="shared" si="11"/>
        <v>1790.5092999999997</v>
      </c>
      <c r="EB41" s="159">
        <f t="shared" si="11"/>
        <v>1393.3033999999998</v>
      </c>
      <c r="EC41" s="159">
        <f t="shared" si="11"/>
        <v>1401.0857000000001</v>
      </c>
      <c r="ED41" s="159">
        <f t="shared" si="11"/>
        <v>1535.8560000000007</v>
      </c>
      <c r="EE41" s="159">
        <f t="shared" si="11"/>
        <v>1365.4929999999999</v>
      </c>
      <c r="EF41" s="159">
        <f t="shared" si="11"/>
        <v>1781.4833000000003</v>
      </c>
      <c r="EG41" s="159">
        <f t="shared" si="11"/>
        <v>1306.7413999999999</v>
      </c>
      <c r="EH41" s="159">
        <f t="shared" si="11"/>
        <v>1687.0401999999999</v>
      </c>
      <c r="EI41" s="159">
        <f t="shared" si="11"/>
        <v>1447.2047000000002</v>
      </c>
      <c r="EJ41" s="159">
        <f t="shared" si="11"/>
        <v>1306.2898</v>
      </c>
      <c r="EK41" s="159">
        <f t="shared" si="11"/>
        <v>1578.9194450757097</v>
      </c>
      <c r="EL41" s="159">
        <f t="shared" si="11"/>
        <v>877.72723199346808</v>
      </c>
      <c r="EM41" s="159">
        <f t="shared" si="11"/>
        <v>1053.8509221705845</v>
      </c>
      <c r="EN41" s="159">
        <f t="shared" si="11"/>
        <v>2092.1839865000766</v>
      </c>
      <c r="EO41" s="159">
        <f t="shared" si="11"/>
        <v>2025.4941540343038</v>
      </c>
      <c r="EP41" s="161">
        <f t="shared" si="11"/>
        <v>1283.1327870546536</v>
      </c>
      <c r="EQ41" s="161">
        <f t="shared" si="11"/>
        <v>1111.7662293127801</v>
      </c>
    </row>
    <row r="42" spans="1:158" s="138" customFormat="1" ht="12.75">
      <c r="A42" s="164" t="s">
        <v>19</v>
      </c>
    </row>
    <row r="43" spans="1:158" s="138" customFormat="1" ht="12.75">
      <c r="A43" s="164" t="s">
        <v>173</v>
      </c>
      <c r="X43" s="165"/>
      <c r="Y43" s="165"/>
      <c r="Z43" s="165"/>
      <c r="AA43" s="165"/>
      <c r="AB43" s="165"/>
      <c r="AC43" s="165"/>
      <c r="BF43" s="165"/>
      <c r="BG43" s="165"/>
      <c r="CI43" s="165"/>
      <c r="CJ43" s="165"/>
      <c r="DL43" s="165"/>
      <c r="DM43" s="165"/>
      <c r="EO43" s="165"/>
    </row>
    <row r="44" spans="1:158" s="138" customFormat="1" ht="12.75">
      <c r="AC44" s="165">
        <f>'EU Sun Complex'!AC76</f>
        <v>666.26487299999997</v>
      </c>
      <c r="AD44" s="165">
        <f>'EU Sun Complex'!AD76</f>
        <v>403.27806500000003</v>
      </c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D44" s="165">
        <f>'EU Sun Complex'!AE76</f>
        <v>572.34791299999995</v>
      </c>
      <c r="BE44" s="166"/>
      <c r="BF44" s="165">
        <f>'Ukraine Sun Complex'!AC75</f>
        <v>232.430533</v>
      </c>
      <c r="BG44" s="165">
        <f>'Ukraine Sun Complex'!AD75</f>
        <v>1620.953</v>
      </c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>
        <f>'Ukraine Sun Complex'!AE75</f>
        <v>1855.2289999999998</v>
      </c>
      <c r="CH44" s="166"/>
      <c r="CI44" s="165">
        <f>'Russia Sun Complex'!AC13</f>
        <v>581.37940800000013</v>
      </c>
      <c r="CJ44" s="165">
        <f>'Russia Sun Complex'!AD76</f>
        <v>250</v>
      </c>
      <c r="CL44" s="165"/>
      <c r="CM44" s="165"/>
      <c r="CN44" s="165"/>
      <c r="CO44" s="165"/>
      <c r="CP44" s="165"/>
      <c r="CQ44" s="165"/>
      <c r="CR44" s="165"/>
      <c r="CS44" s="165"/>
      <c r="CT44" s="165"/>
      <c r="CU44" s="165"/>
      <c r="CV44" s="165"/>
      <c r="CW44" s="165"/>
      <c r="CX44" s="165"/>
      <c r="CY44" s="165"/>
      <c r="CZ44" s="165"/>
      <c r="DA44" s="165"/>
      <c r="DB44" s="165"/>
      <c r="DC44" s="165"/>
      <c r="DD44" s="165"/>
      <c r="DE44" s="165"/>
      <c r="DF44" s="165"/>
      <c r="DG44" s="165"/>
      <c r="DH44" s="165"/>
      <c r="DI44" s="165"/>
      <c r="DJ44" s="165">
        <f>'Russia Sun Complex'!AE76</f>
        <v>225</v>
      </c>
      <c r="DK44" s="166"/>
      <c r="DL44" s="165">
        <f>'[4]Sun Complex'!$BJ$13/2204.622*1000</f>
        <v>75.507706034304292</v>
      </c>
      <c r="DM44" s="165">
        <f>'[4]Sun Complex'!$BK$75/2204.622*1000</f>
        <v>66.745567446192595</v>
      </c>
      <c r="DO44" s="165"/>
      <c r="DP44" s="165"/>
      <c r="DQ44" s="165"/>
      <c r="DR44" s="165"/>
      <c r="DS44" s="165"/>
      <c r="DT44" s="165"/>
      <c r="DU44" s="165"/>
      <c r="DV44" s="165"/>
      <c r="DW44" s="165"/>
      <c r="DX44" s="165"/>
      <c r="DY44" s="165"/>
      <c r="DZ44" s="165"/>
      <c r="EA44" s="165"/>
      <c r="EB44" s="165"/>
      <c r="EC44" s="165"/>
      <c r="ED44" s="165"/>
      <c r="EE44" s="165"/>
      <c r="EF44" s="165"/>
      <c r="EG44" s="165"/>
      <c r="EH44" s="165"/>
      <c r="EI44" s="165"/>
      <c r="EJ44" s="165"/>
      <c r="EK44" s="165"/>
      <c r="EL44" s="165"/>
      <c r="EM44" s="165">
        <f>'[4]Sun Complex'!$BL$75/2204.622*1000</f>
        <v>65.426825551046846</v>
      </c>
      <c r="EN44" s="166"/>
      <c r="EO44" s="165">
        <f>DL44+CI44+BF44+AC44</f>
        <v>1555.5825200343043</v>
      </c>
      <c r="EP44" s="165">
        <f>DM44+CJ44+BG44+AD44</f>
        <v>2340.9766324461925</v>
      </c>
      <c r="EQ44" s="165">
        <f>EM44+DJ44+CG44+BD44</f>
        <v>2718.0037385510468</v>
      </c>
    </row>
    <row r="45" spans="1:158" s="138" customFormat="1" ht="12.75">
      <c r="AC45" s="166">
        <f>AC44-AC41</f>
        <v>-470.04212699999982</v>
      </c>
      <c r="AD45" s="166">
        <f>AD44-AD41</f>
        <v>-96.721934999999974</v>
      </c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D45" s="166"/>
      <c r="BF45" s="166">
        <f>BF44-BF41</f>
        <v>2.8100000000392811E-3</v>
      </c>
      <c r="BG45" s="166">
        <f>BG44-BG41</f>
        <v>141.91600000000017</v>
      </c>
      <c r="CG45" s="166"/>
      <c r="CI45" s="166">
        <f>CI44-CI41</f>
        <v>0.12768300000004729</v>
      </c>
      <c r="CJ45" s="166">
        <f>CJ44-CJ41</f>
        <v>112.10085400000003</v>
      </c>
      <c r="CK45" s="166"/>
      <c r="DL45" s="166">
        <f>DL44-DL41</f>
        <v>0</v>
      </c>
      <c r="DM45" s="166">
        <f t="shared" ref="DM45" si="12">DM44-DM41</f>
        <v>-1.2544325538074048</v>
      </c>
      <c r="DN45" s="166"/>
      <c r="EO45" s="166">
        <f>EO44-EO41</f>
        <v>-469.91163399999959</v>
      </c>
      <c r="EP45" s="166">
        <f>EP44-EP41</f>
        <v>1057.8438453915389</v>
      </c>
      <c r="EQ45" s="166">
        <f>EQ44-EQ41</f>
        <v>1606.2375092382667</v>
      </c>
    </row>
    <row r="46" spans="1:158" s="138" customFormat="1" ht="12.75"/>
    <row r="47" spans="1:158" s="138" customFormat="1" ht="12.75"/>
    <row r="48" spans="1:158" s="138" customFormat="1" ht="12.75"/>
  </sheetData>
  <pageMargins left="0.25" right="0.25" top="0.75" bottom="0.75" header="0.3" footer="0.3"/>
  <pageSetup scale="63" orientation="landscape" r:id="rId1"/>
  <headerFooter>
    <oddHeader>&amp;L&amp;G&amp;C&amp;"Arial,Bold"&amp;20SUNFLOWER TRADE MATRIX</oddHeader>
    <oddFooter>&amp;L&amp;D&amp;C&amp;P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9342-3FEA-42CB-96FD-604A66CE67C5}">
  <sheetPr>
    <pageSetUpPr fitToPage="1"/>
  </sheetPr>
  <dimension ref="A1:ET48"/>
  <sheetViews>
    <sheetView zoomScale="85" zoomScaleNormal="85" workbookViewId="0">
      <pane xSplit="1" topLeftCell="AA1" activePane="topRight" state="frozen"/>
      <selection activeCell="AD5" sqref="AD5"/>
      <selection pane="topRight" activeCell="AD5" sqref="AD5"/>
    </sheetView>
  </sheetViews>
  <sheetFormatPr defaultColWidth="8.85546875" defaultRowHeight="15"/>
  <cols>
    <col min="1" max="1" width="18.140625" customWidth="1"/>
    <col min="2" max="26" width="9.140625" hidden="1" customWidth="1"/>
    <col min="27" max="30" width="9.140625" customWidth="1"/>
    <col min="31" max="55" width="9.140625" hidden="1" customWidth="1"/>
    <col min="56" max="59" width="9.140625" customWidth="1"/>
    <col min="60" max="84" width="9.140625" hidden="1" customWidth="1"/>
    <col min="85" max="87" width="9.140625" customWidth="1"/>
    <col min="88" max="88" width="8.28515625" customWidth="1"/>
    <col min="89" max="113" width="9.140625" hidden="1" customWidth="1"/>
    <col min="114" max="117" width="9.140625" customWidth="1"/>
    <col min="118" max="143" width="9.140625" hidden="1" customWidth="1"/>
    <col min="144" max="145" width="9.140625" customWidth="1"/>
  </cols>
  <sheetData>
    <row r="1" spans="1:150" ht="15.75">
      <c r="A1" s="99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</row>
    <row r="2" spans="1:150" ht="16.5" thickBot="1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B2" s="167" t="s">
        <v>125</v>
      </c>
      <c r="AC2" s="126"/>
      <c r="AD2" s="126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E2" s="168" t="s">
        <v>126</v>
      </c>
      <c r="BF2" s="117"/>
      <c r="BG2" s="126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H2" s="168" t="s">
        <v>127</v>
      </c>
      <c r="CI2" s="117"/>
      <c r="CJ2" s="126"/>
      <c r="CK2" s="115"/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5"/>
      <c r="DG2" s="115"/>
      <c r="DH2" s="115"/>
      <c r="DI2" s="115"/>
      <c r="DK2" s="167" t="s">
        <v>128</v>
      </c>
      <c r="DL2" s="117"/>
      <c r="DM2" s="126"/>
      <c r="DN2" s="115"/>
      <c r="DO2" s="115"/>
      <c r="DP2" s="115"/>
      <c r="DQ2" s="115"/>
      <c r="DR2" s="115"/>
      <c r="DS2" s="115"/>
      <c r="DT2" s="115"/>
      <c r="DU2" s="115"/>
      <c r="DV2" s="115"/>
      <c r="DW2" s="115"/>
      <c r="DX2" s="115"/>
      <c r="DY2" s="115"/>
      <c r="DZ2" s="115"/>
      <c r="EA2" s="115"/>
      <c r="EB2" s="115"/>
      <c r="EC2" s="115"/>
      <c r="ED2" s="115"/>
      <c r="EE2" s="115"/>
      <c r="EF2" s="115"/>
      <c r="EG2" s="115"/>
      <c r="EH2" s="115"/>
      <c r="EI2" s="115"/>
      <c r="EJ2" s="115"/>
      <c r="EK2" s="115"/>
      <c r="EL2" s="115"/>
      <c r="EO2" s="168" t="s">
        <v>50</v>
      </c>
      <c r="EP2" s="117"/>
    </row>
    <row r="3" spans="1:150" s="128" customFormat="1" ht="15.75" thickBot="1">
      <c r="A3" s="129"/>
      <c r="B3" s="130" t="str">
        <f>AE3</f>
        <v xml:space="preserve">1993/94 </v>
      </c>
      <c r="C3" s="130" t="str">
        <f t="shared" ref="C3:AC3" si="0">AF3</f>
        <v xml:space="preserve">1994/95 </v>
      </c>
      <c r="D3" s="130" t="str">
        <f t="shared" si="0"/>
        <v xml:space="preserve">1995/96 </v>
      </c>
      <c r="E3" s="130" t="str">
        <f t="shared" si="0"/>
        <v xml:space="preserve">1996/97 </v>
      </c>
      <c r="F3" s="130" t="str">
        <f t="shared" si="0"/>
        <v xml:space="preserve">1997/98 </v>
      </c>
      <c r="G3" s="130" t="str">
        <f t="shared" si="0"/>
        <v xml:space="preserve">1998/99 </v>
      </c>
      <c r="H3" s="130" t="str">
        <f t="shared" si="0"/>
        <v xml:space="preserve">1999/00 </v>
      </c>
      <c r="I3" s="130" t="str">
        <f t="shared" si="0"/>
        <v xml:space="preserve">2000/01 </v>
      </c>
      <c r="J3" s="130" t="str">
        <f t="shared" si="0"/>
        <v xml:space="preserve">2001/02 </v>
      </c>
      <c r="K3" s="130" t="str">
        <f t="shared" si="0"/>
        <v xml:space="preserve">2002/03 </v>
      </c>
      <c r="L3" s="130" t="str">
        <f t="shared" si="0"/>
        <v xml:space="preserve">2003/04 </v>
      </c>
      <c r="M3" s="130" t="str">
        <f t="shared" si="0"/>
        <v xml:space="preserve">2004/05 </v>
      </c>
      <c r="N3" s="130" t="str">
        <f t="shared" si="0"/>
        <v xml:space="preserve">2005/06 </v>
      </c>
      <c r="O3" s="130" t="str">
        <f t="shared" si="0"/>
        <v xml:space="preserve">2006/07 </v>
      </c>
      <c r="P3" s="130" t="str">
        <f t="shared" si="0"/>
        <v xml:space="preserve">2007/08 </v>
      </c>
      <c r="Q3" s="130" t="str">
        <f t="shared" si="0"/>
        <v xml:space="preserve">2008/09 </v>
      </c>
      <c r="R3" s="130" t="str">
        <f t="shared" si="0"/>
        <v xml:space="preserve">2009/10 </v>
      </c>
      <c r="S3" s="130" t="str">
        <f t="shared" si="0"/>
        <v xml:space="preserve">2010/11 </v>
      </c>
      <c r="T3" s="130" t="str">
        <f t="shared" si="0"/>
        <v xml:space="preserve">2011/12 </v>
      </c>
      <c r="U3" s="130" t="str">
        <f t="shared" si="0"/>
        <v xml:space="preserve">2012/13 </v>
      </c>
      <c r="V3" s="130" t="str">
        <f t="shared" si="0"/>
        <v>2013/14</v>
      </c>
      <c r="W3" s="130" t="str">
        <f t="shared" si="0"/>
        <v xml:space="preserve">2014/15 </v>
      </c>
      <c r="X3" s="130" t="str">
        <f t="shared" si="0"/>
        <v xml:space="preserve">2015/16 </v>
      </c>
      <c r="Y3" s="130" t="str">
        <f t="shared" si="0"/>
        <v xml:space="preserve">2016/17 </v>
      </c>
      <c r="Z3" s="130" t="str">
        <f t="shared" si="0"/>
        <v xml:space="preserve">2017/18 </v>
      </c>
      <c r="AA3" s="130" t="str">
        <f t="shared" si="0"/>
        <v xml:space="preserve">2018/19 </v>
      </c>
      <c r="AB3" s="130" t="str">
        <f t="shared" si="0"/>
        <v xml:space="preserve">2019/20 </v>
      </c>
      <c r="AC3" s="130" t="str">
        <f t="shared" si="0"/>
        <v xml:space="preserve">2020/21 </v>
      </c>
      <c r="AD3" s="169" t="s">
        <v>132</v>
      </c>
      <c r="AE3" s="133" t="str">
        <f t="shared" ref="AE3:BF3" si="1">BH3</f>
        <v xml:space="preserve">1993/94 </v>
      </c>
      <c r="AF3" s="133" t="str">
        <f t="shared" si="1"/>
        <v xml:space="preserve">1994/95 </v>
      </c>
      <c r="AG3" s="133" t="str">
        <f t="shared" si="1"/>
        <v xml:space="preserve">1995/96 </v>
      </c>
      <c r="AH3" s="133" t="str">
        <f t="shared" si="1"/>
        <v xml:space="preserve">1996/97 </v>
      </c>
      <c r="AI3" s="133" t="str">
        <f t="shared" si="1"/>
        <v xml:space="preserve">1997/98 </v>
      </c>
      <c r="AJ3" s="133" t="str">
        <f t="shared" si="1"/>
        <v xml:space="preserve">1998/99 </v>
      </c>
      <c r="AK3" s="133" t="str">
        <f t="shared" si="1"/>
        <v xml:space="preserve">1999/00 </v>
      </c>
      <c r="AL3" s="133" t="str">
        <f t="shared" si="1"/>
        <v xml:space="preserve">2000/01 </v>
      </c>
      <c r="AM3" s="133" t="str">
        <f t="shared" si="1"/>
        <v xml:space="preserve">2001/02 </v>
      </c>
      <c r="AN3" s="133" t="str">
        <f t="shared" si="1"/>
        <v xml:space="preserve">2002/03 </v>
      </c>
      <c r="AO3" s="133" t="str">
        <f t="shared" si="1"/>
        <v xml:space="preserve">2003/04 </v>
      </c>
      <c r="AP3" s="133" t="str">
        <f t="shared" si="1"/>
        <v xml:space="preserve">2004/05 </v>
      </c>
      <c r="AQ3" s="133" t="str">
        <f t="shared" si="1"/>
        <v xml:space="preserve">2005/06 </v>
      </c>
      <c r="AR3" s="133" t="str">
        <f t="shared" si="1"/>
        <v xml:space="preserve">2006/07 </v>
      </c>
      <c r="AS3" s="133" t="str">
        <f t="shared" si="1"/>
        <v xml:space="preserve">2007/08 </v>
      </c>
      <c r="AT3" s="133" t="str">
        <f t="shared" si="1"/>
        <v xml:space="preserve">2008/09 </v>
      </c>
      <c r="AU3" s="133" t="str">
        <f t="shared" si="1"/>
        <v xml:space="preserve">2009/10 </v>
      </c>
      <c r="AV3" s="133" t="str">
        <f t="shared" si="1"/>
        <v xml:space="preserve">2010/11 </v>
      </c>
      <c r="AW3" s="133" t="str">
        <f t="shared" si="1"/>
        <v xml:space="preserve">2011/12 </v>
      </c>
      <c r="AX3" s="133" t="str">
        <f t="shared" si="1"/>
        <v xml:space="preserve">2012/13 </v>
      </c>
      <c r="AY3" s="133" t="str">
        <f t="shared" si="1"/>
        <v>2013/14</v>
      </c>
      <c r="AZ3" s="133" t="str">
        <f t="shared" si="1"/>
        <v xml:space="preserve">2014/15 </v>
      </c>
      <c r="BA3" s="133" t="str">
        <f t="shared" si="1"/>
        <v xml:space="preserve">2015/16 </v>
      </c>
      <c r="BB3" s="133" t="str">
        <f t="shared" si="1"/>
        <v xml:space="preserve">2016/17 </v>
      </c>
      <c r="BC3" s="133" t="str">
        <f t="shared" si="1"/>
        <v xml:space="preserve">2017/18 </v>
      </c>
      <c r="BD3" s="133" t="str">
        <f t="shared" si="1"/>
        <v xml:space="preserve">2018/19 </v>
      </c>
      <c r="BE3" s="133" t="str">
        <f t="shared" si="1"/>
        <v xml:space="preserve">2019/20 </v>
      </c>
      <c r="BF3" s="133" t="str">
        <f t="shared" si="1"/>
        <v xml:space="preserve">2020/21 </v>
      </c>
      <c r="BG3" s="131" t="str">
        <f>AD3</f>
        <v xml:space="preserve">2021/22 </v>
      </c>
      <c r="BH3" s="133" t="str">
        <f>CK3</f>
        <v xml:space="preserve">1993/94 </v>
      </c>
      <c r="BI3" s="133" t="str">
        <f t="shared" ref="BI3:CI3" si="2">CL3</f>
        <v xml:space="preserve">1994/95 </v>
      </c>
      <c r="BJ3" s="133" t="str">
        <f t="shared" si="2"/>
        <v xml:space="preserve">1995/96 </v>
      </c>
      <c r="BK3" s="133" t="str">
        <f t="shared" si="2"/>
        <v xml:space="preserve">1996/97 </v>
      </c>
      <c r="BL3" s="133" t="str">
        <f t="shared" si="2"/>
        <v xml:space="preserve">1997/98 </v>
      </c>
      <c r="BM3" s="133" t="str">
        <f t="shared" si="2"/>
        <v xml:space="preserve">1998/99 </v>
      </c>
      <c r="BN3" s="133" t="str">
        <f t="shared" si="2"/>
        <v xml:space="preserve">1999/00 </v>
      </c>
      <c r="BO3" s="133" t="str">
        <f t="shared" si="2"/>
        <v xml:space="preserve">2000/01 </v>
      </c>
      <c r="BP3" s="133" t="str">
        <f t="shared" si="2"/>
        <v xml:space="preserve">2001/02 </v>
      </c>
      <c r="BQ3" s="133" t="str">
        <f t="shared" si="2"/>
        <v xml:space="preserve">2002/03 </v>
      </c>
      <c r="BR3" s="133" t="str">
        <f t="shared" si="2"/>
        <v xml:space="preserve">2003/04 </v>
      </c>
      <c r="BS3" s="133" t="str">
        <f t="shared" si="2"/>
        <v xml:space="preserve">2004/05 </v>
      </c>
      <c r="BT3" s="133" t="str">
        <f t="shared" si="2"/>
        <v xml:space="preserve">2005/06 </v>
      </c>
      <c r="BU3" s="133" t="str">
        <f t="shared" si="2"/>
        <v xml:space="preserve">2006/07 </v>
      </c>
      <c r="BV3" s="133" t="str">
        <f t="shared" si="2"/>
        <v xml:space="preserve">2007/08 </v>
      </c>
      <c r="BW3" s="133" t="str">
        <f t="shared" si="2"/>
        <v xml:space="preserve">2008/09 </v>
      </c>
      <c r="BX3" s="133" t="str">
        <f t="shared" si="2"/>
        <v xml:space="preserve">2009/10 </v>
      </c>
      <c r="BY3" s="133" t="str">
        <f t="shared" si="2"/>
        <v xml:space="preserve">2010/11 </v>
      </c>
      <c r="BZ3" s="133" t="str">
        <f t="shared" si="2"/>
        <v xml:space="preserve">2011/12 </v>
      </c>
      <c r="CA3" s="133" t="str">
        <f t="shared" si="2"/>
        <v xml:space="preserve">2012/13 </v>
      </c>
      <c r="CB3" s="133" t="str">
        <f t="shared" si="2"/>
        <v>2013/14</v>
      </c>
      <c r="CC3" s="133" t="str">
        <f t="shared" si="2"/>
        <v xml:space="preserve">2014/15 </v>
      </c>
      <c r="CD3" s="133" t="str">
        <f t="shared" si="2"/>
        <v xml:space="preserve">2015/16 </v>
      </c>
      <c r="CE3" s="133" t="str">
        <f t="shared" si="2"/>
        <v xml:space="preserve">2016/17 </v>
      </c>
      <c r="CF3" s="133" t="str">
        <f t="shared" si="2"/>
        <v xml:space="preserve">2017/18 </v>
      </c>
      <c r="CG3" s="133" t="str">
        <f t="shared" si="2"/>
        <v xml:space="preserve">2018/19 </v>
      </c>
      <c r="CH3" s="133" t="str">
        <f t="shared" si="2"/>
        <v xml:space="preserve">2019/20 </v>
      </c>
      <c r="CI3" s="133" t="str">
        <f t="shared" si="2"/>
        <v xml:space="preserve">2020/21 </v>
      </c>
      <c r="CJ3" s="131" t="str">
        <f>BG3</f>
        <v xml:space="preserve">2021/22 </v>
      </c>
      <c r="CK3" s="133" t="str">
        <f>DN3</f>
        <v xml:space="preserve">1993/94 </v>
      </c>
      <c r="CL3" s="133" t="str">
        <f t="shared" ref="CL3:DL3" si="3">DO3</f>
        <v xml:space="preserve">1994/95 </v>
      </c>
      <c r="CM3" s="133" t="str">
        <f t="shared" si="3"/>
        <v xml:space="preserve">1995/96 </v>
      </c>
      <c r="CN3" s="133" t="str">
        <f t="shared" si="3"/>
        <v xml:space="preserve">1996/97 </v>
      </c>
      <c r="CO3" s="133" t="str">
        <f t="shared" si="3"/>
        <v xml:space="preserve">1997/98 </v>
      </c>
      <c r="CP3" s="133" t="str">
        <f t="shared" si="3"/>
        <v xml:space="preserve">1998/99 </v>
      </c>
      <c r="CQ3" s="133" t="str">
        <f t="shared" si="3"/>
        <v xml:space="preserve">1999/00 </v>
      </c>
      <c r="CR3" s="133" t="str">
        <f t="shared" si="3"/>
        <v xml:space="preserve">2000/01 </v>
      </c>
      <c r="CS3" s="133" t="str">
        <f t="shared" si="3"/>
        <v xml:space="preserve">2001/02 </v>
      </c>
      <c r="CT3" s="133" t="str">
        <f t="shared" si="3"/>
        <v xml:space="preserve">2002/03 </v>
      </c>
      <c r="CU3" s="133" t="str">
        <f t="shared" si="3"/>
        <v xml:space="preserve">2003/04 </v>
      </c>
      <c r="CV3" s="133" t="str">
        <f t="shared" si="3"/>
        <v xml:space="preserve">2004/05 </v>
      </c>
      <c r="CW3" s="133" t="str">
        <f t="shared" si="3"/>
        <v xml:space="preserve">2005/06 </v>
      </c>
      <c r="CX3" s="133" t="str">
        <f t="shared" si="3"/>
        <v xml:space="preserve">2006/07 </v>
      </c>
      <c r="CY3" s="133" t="str">
        <f t="shared" si="3"/>
        <v xml:space="preserve">2007/08 </v>
      </c>
      <c r="CZ3" s="133" t="str">
        <f t="shared" si="3"/>
        <v xml:space="preserve">2008/09 </v>
      </c>
      <c r="DA3" s="133" t="str">
        <f t="shared" si="3"/>
        <v xml:space="preserve">2009/10 </v>
      </c>
      <c r="DB3" s="133" t="str">
        <f t="shared" si="3"/>
        <v xml:space="preserve">2010/11 </v>
      </c>
      <c r="DC3" s="133" t="str">
        <f t="shared" si="3"/>
        <v xml:space="preserve">2011/12 </v>
      </c>
      <c r="DD3" s="133" t="str">
        <f t="shared" si="3"/>
        <v xml:space="preserve">2012/13 </v>
      </c>
      <c r="DE3" s="133" t="str">
        <f t="shared" si="3"/>
        <v>2013/14</v>
      </c>
      <c r="DF3" s="133" t="str">
        <f t="shared" si="3"/>
        <v xml:space="preserve">2014/15 </v>
      </c>
      <c r="DG3" s="133" t="str">
        <f t="shared" si="3"/>
        <v xml:space="preserve">2015/16 </v>
      </c>
      <c r="DH3" s="133" t="str">
        <f t="shared" si="3"/>
        <v xml:space="preserve">2016/17 </v>
      </c>
      <c r="DI3" s="133" t="str">
        <f t="shared" si="3"/>
        <v xml:space="preserve">2017/18 </v>
      </c>
      <c r="DJ3" s="133" t="str">
        <f t="shared" si="3"/>
        <v xml:space="preserve">2018/19 </v>
      </c>
      <c r="DK3" s="133" t="str">
        <f t="shared" si="3"/>
        <v xml:space="preserve">2019/20 </v>
      </c>
      <c r="DL3" s="133" t="str">
        <f t="shared" si="3"/>
        <v xml:space="preserve">2020/21 </v>
      </c>
      <c r="DM3" s="131" t="str">
        <f>CJ3</f>
        <v xml:space="preserve">2021/22 </v>
      </c>
      <c r="DN3" s="133" t="s">
        <v>175</v>
      </c>
      <c r="DO3" s="133" t="s">
        <v>176</v>
      </c>
      <c r="DP3" s="133" t="s">
        <v>177</v>
      </c>
      <c r="DQ3" s="133" t="s">
        <v>178</v>
      </c>
      <c r="DR3" s="133" t="s">
        <v>179</v>
      </c>
      <c r="DS3" s="133" t="s">
        <v>180</v>
      </c>
      <c r="DT3" s="133" t="s">
        <v>181</v>
      </c>
      <c r="DU3" s="133" t="s">
        <v>182</v>
      </c>
      <c r="DV3" s="133" t="s">
        <v>183</v>
      </c>
      <c r="DW3" s="133" t="s">
        <v>184</v>
      </c>
      <c r="DX3" s="134" t="s">
        <v>185</v>
      </c>
      <c r="DY3" s="134" t="s">
        <v>186</v>
      </c>
      <c r="DZ3" s="134" t="s">
        <v>187</v>
      </c>
      <c r="EA3" s="134" t="s">
        <v>188</v>
      </c>
      <c r="EB3" s="134" t="s">
        <v>189</v>
      </c>
      <c r="EC3" s="134" t="s">
        <v>190</v>
      </c>
      <c r="ED3" s="134" t="s">
        <v>191</v>
      </c>
      <c r="EE3" s="134" t="s">
        <v>192</v>
      </c>
      <c r="EF3" s="134" t="s">
        <v>193</v>
      </c>
      <c r="EG3" s="134" t="s">
        <v>194</v>
      </c>
      <c r="EH3" s="134" t="s">
        <v>75</v>
      </c>
      <c r="EI3" s="134" t="s">
        <v>195</v>
      </c>
      <c r="EJ3" s="134" t="s">
        <v>196</v>
      </c>
      <c r="EK3" s="134" t="s">
        <v>197</v>
      </c>
      <c r="EL3" s="134" t="s">
        <v>198</v>
      </c>
      <c r="EM3" s="134" t="s">
        <v>199</v>
      </c>
      <c r="EN3" s="134" t="s">
        <v>200</v>
      </c>
      <c r="EO3" s="134" t="s">
        <v>201</v>
      </c>
      <c r="EP3" s="134" t="s">
        <v>132</v>
      </c>
      <c r="EQ3" s="134" t="s">
        <v>202</v>
      </c>
      <c r="ES3" s="128" t="s">
        <v>129</v>
      </c>
    </row>
    <row r="4" spans="1:150">
      <c r="A4" s="137" t="s">
        <v>134</v>
      </c>
      <c r="B4" s="138" t="s">
        <v>135</v>
      </c>
      <c r="C4" s="138" t="s">
        <v>135</v>
      </c>
      <c r="D4" s="138" t="s">
        <v>135</v>
      </c>
      <c r="E4" s="138" t="s">
        <v>135</v>
      </c>
      <c r="F4" s="138" t="s">
        <v>135</v>
      </c>
      <c r="G4" s="138" t="s">
        <v>135</v>
      </c>
      <c r="H4" s="138" t="s">
        <v>135</v>
      </c>
      <c r="I4" s="138" t="s">
        <v>135</v>
      </c>
      <c r="J4" s="138" t="s">
        <v>135</v>
      </c>
      <c r="K4" s="138" t="s">
        <v>135</v>
      </c>
      <c r="L4" s="138" t="s">
        <v>135</v>
      </c>
      <c r="M4" s="138" t="s">
        <v>135</v>
      </c>
      <c r="N4" s="138" t="s">
        <v>135</v>
      </c>
      <c r="O4" s="138" t="s">
        <v>135</v>
      </c>
      <c r="P4" s="139" t="s">
        <v>135</v>
      </c>
      <c r="Q4" s="139" t="s">
        <v>135</v>
      </c>
      <c r="R4" s="139" t="s">
        <v>135</v>
      </c>
      <c r="S4" s="139" t="s">
        <v>135</v>
      </c>
      <c r="T4" s="139" t="s">
        <v>135</v>
      </c>
      <c r="U4" s="139" t="s">
        <v>135</v>
      </c>
      <c r="V4" s="139" t="s">
        <v>135</v>
      </c>
      <c r="W4" s="139" t="s">
        <v>135</v>
      </c>
      <c r="X4" s="139" t="s">
        <v>135</v>
      </c>
      <c r="Y4" s="139" t="s">
        <v>135</v>
      </c>
      <c r="Z4" s="139" t="s">
        <v>135</v>
      </c>
      <c r="AA4" s="139" t="s">
        <v>135</v>
      </c>
      <c r="AB4" s="139" t="s">
        <v>135</v>
      </c>
      <c r="AC4" s="139" t="s">
        <v>135</v>
      </c>
      <c r="AD4" s="140" t="s">
        <v>135</v>
      </c>
      <c r="AE4" s="141">
        <f>'[2]Ukraine Sun Meal Exports'!B$4</f>
        <v>0</v>
      </c>
      <c r="AF4" s="141">
        <f>'[2]Ukraine Sun Meal Exports'!C$4</f>
        <v>0</v>
      </c>
      <c r="AG4" s="141">
        <f>'[2]Ukraine Sun Meal Exports'!D$4</f>
        <v>0</v>
      </c>
      <c r="AH4" s="141">
        <f>'[2]Ukraine Sun Meal Exports'!E$4</f>
        <v>0</v>
      </c>
      <c r="AI4" s="141">
        <f>'[2]Ukraine Sun Meal Exports'!F$4</f>
        <v>0</v>
      </c>
      <c r="AJ4" s="141">
        <f>'[2]Ukraine Sun Meal Exports'!G$4</f>
        <v>0</v>
      </c>
      <c r="AK4" s="141">
        <f>'[2]Ukraine Sun Meal Exports'!H$4</f>
        <v>0</v>
      </c>
      <c r="AL4" s="141">
        <f>'[2]Ukraine Sun Meal Exports'!I$4</f>
        <v>0</v>
      </c>
      <c r="AM4" s="141">
        <f>'[2]Ukraine Sun Meal Exports'!J$4</f>
        <v>158.43099999999998</v>
      </c>
      <c r="AN4" s="141">
        <f>'[2]Ukraine Sun Meal Exports'!K$4</f>
        <v>428.78399999999999</v>
      </c>
      <c r="AO4" s="141">
        <f>'[2]Ukraine Sun Meal Exports'!L$4</f>
        <v>657.49099999999999</v>
      </c>
      <c r="AP4" s="141">
        <f>'[2]Ukraine Sun Meal Exports'!M$4</f>
        <v>391.73499999999996</v>
      </c>
      <c r="AQ4" s="141">
        <f>'[2]Ukraine Sun Meal Exports'!N$4</f>
        <v>583.0139999999999</v>
      </c>
      <c r="AR4" s="141">
        <f>'[2]Ukraine Sun Meal Exports'!O$4</f>
        <v>679.48900000000003</v>
      </c>
      <c r="AS4" s="141">
        <f>'[2]Ukraine Sun Meal Exports'!P$4</f>
        <v>521.82799999999997</v>
      </c>
      <c r="AT4" s="141">
        <f>'[2]Ukraine Sun Meal Exports'!Q$4</f>
        <v>1252.125</v>
      </c>
      <c r="AU4" s="141">
        <f>'[2]Ukraine Sun Meal Exports'!R$4</f>
        <v>1415.3779999999997</v>
      </c>
      <c r="AV4" s="141">
        <f>'[2]Ukraine Sun Meal Exports'!S$4</f>
        <v>1680.7210000000002</v>
      </c>
      <c r="AW4" s="141">
        <f>'[2]Ukraine Sun Meal Exports'!T$4</f>
        <v>2726.3109999999992</v>
      </c>
      <c r="AX4" s="141">
        <f>'[2]Ukraine Sun Meal Exports'!U$4</f>
        <v>2053.8409999999999</v>
      </c>
      <c r="AY4" s="141">
        <f>'[2]Ukraine Sun Meal Exports'!V$4</f>
        <v>2375.7200000000003</v>
      </c>
      <c r="AZ4" s="141">
        <f>'[2]Ukraine Sun Meal Exports'!W$4</f>
        <v>2089.259</v>
      </c>
      <c r="BA4" s="141">
        <f>'[2]Ukraine Sun Meal Exports'!X$4</f>
        <v>2145.5770000000002</v>
      </c>
      <c r="BB4" s="141">
        <f>'[2]Ukraine Sun Meal Exports'!Y$4</f>
        <v>2690.6610000000001</v>
      </c>
      <c r="BC4" s="141">
        <f>'[2]Ukraine Sun Meal Exports'!Z$4</f>
        <v>2320.018</v>
      </c>
      <c r="BD4" s="141">
        <f>'[2]Ukraine Sun Meal Exports'!AA$4</f>
        <v>1941.8150000000001</v>
      </c>
      <c r="BE4" s="141">
        <f>'[2]Ukraine Sun Meal Exports'!AB$4</f>
        <v>1419.0139999999999</v>
      </c>
      <c r="BF4" s="141">
        <f>'[2]Ukraine Sun Meal Exports'!AC$4</f>
        <v>1378.4440000000002</v>
      </c>
      <c r="BG4" s="144">
        <f>'[2]Ukraine Sun Meal Exports'!AD$4</f>
        <v>1182.098</v>
      </c>
      <c r="BH4" s="141">
        <f>'[2]Russia Sun Meal Exports'!B$4</f>
        <v>0</v>
      </c>
      <c r="BI4" s="141">
        <f>'[2]Russia Sun Meal Exports'!C$4</f>
        <v>0</v>
      </c>
      <c r="BJ4" s="141">
        <f>'[2]Russia Sun Meal Exports'!D$4</f>
        <v>0</v>
      </c>
      <c r="BK4" s="141">
        <f>'[2]Russia Sun Meal Exports'!E$4</f>
        <v>1.8583670000000001</v>
      </c>
      <c r="BL4" s="141">
        <f>'[2]Russia Sun Meal Exports'!F$4</f>
        <v>11.549209999999999</v>
      </c>
      <c r="BM4" s="141">
        <f>'[2]Russia Sun Meal Exports'!G$4</f>
        <v>5.1427840000000007</v>
      </c>
      <c r="BN4" s="141">
        <f>'[2]Russia Sun Meal Exports'!H$4</f>
        <v>43.418790000000001</v>
      </c>
      <c r="BO4" s="141">
        <f>'[2]Russia Sun Meal Exports'!I$4</f>
        <v>110.27109700000001</v>
      </c>
      <c r="BP4" s="141">
        <f>'[2]Russia Sun Meal Exports'!J$4</f>
        <v>84.565382</v>
      </c>
      <c r="BQ4" s="141">
        <f>'[2]Russia Sun Meal Exports'!K$4</f>
        <v>127.98629299999999</v>
      </c>
      <c r="BR4" s="141">
        <f>'[2]Russia Sun Meal Exports'!L$4</f>
        <v>200.47262700000002</v>
      </c>
      <c r="BS4" s="141">
        <f>'[2]Russia Sun Meal Exports'!M$4</f>
        <v>287.308042</v>
      </c>
      <c r="BT4" s="141">
        <f>'[2]Russia Sun Meal Exports'!N$4</f>
        <v>469.25900000000007</v>
      </c>
      <c r="BU4" s="141">
        <f>'[2]Russia Sun Meal Exports'!O$4</f>
        <v>439.23100000000011</v>
      </c>
      <c r="BV4" s="141">
        <f>'[2]Russia Sun Meal Exports'!P$4</f>
        <v>366.62799999999999</v>
      </c>
      <c r="BW4" s="141">
        <f>'[2]Russia Sun Meal Exports'!Q$4</f>
        <v>672.54799999999989</v>
      </c>
      <c r="BX4" s="141">
        <f>'[2]Russia Sun Meal Exports'!R$4</f>
        <v>446.375</v>
      </c>
      <c r="BY4" s="141">
        <f>'[2]Russia Sun Meal Exports'!S$4</f>
        <v>374.23899999999998</v>
      </c>
      <c r="BZ4" s="141">
        <f>'[2]Russia Sun Meal Exports'!T$4</f>
        <v>1026.4970000000001</v>
      </c>
      <c r="CA4" s="141">
        <f>'[2]Russia Sun Meal Exports'!U$4</f>
        <v>907.48599999999999</v>
      </c>
      <c r="CB4" s="141">
        <f>'[2]Russia Sun Meal Exports'!V$4</f>
        <v>1039.1280000000002</v>
      </c>
      <c r="CC4" s="141">
        <f>'[2]Russia Sun Meal Exports'!W$4</f>
        <v>782.23699999999997</v>
      </c>
      <c r="CD4" s="141">
        <f>'[2]Russia Sun Meal Exports'!X$4</f>
        <v>675.08699999999999</v>
      </c>
      <c r="CE4" s="141">
        <f>'[2]Russia Sun Meal Exports'!Y$4</f>
        <v>539.01299999999992</v>
      </c>
      <c r="CF4" s="141">
        <f>'[2]Russia Sun Meal Exports'!Z$4</f>
        <v>530.9860000000001</v>
      </c>
      <c r="CG4" s="141">
        <f>'[2]Russia Sun Meal Exports'!AA$4</f>
        <v>890.17200000000003</v>
      </c>
      <c r="CH4" s="141">
        <f>'[2]Russia Sun Meal Exports'!AB$4</f>
        <v>1146.1130000000003</v>
      </c>
      <c r="CI4" s="141">
        <f>'[2]Russia Sun Meal Exports'!AC$4</f>
        <v>942.53899999999999</v>
      </c>
      <c r="CJ4" s="144">
        <f>'[2]Russia Sun Meal Exports'!AD$4+50</f>
        <v>471.036</v>
      </c>
      <c r="CK4" s="141">
        <f>'[3]Sunflower Meal Exports'!B$4/1.10231</f>
        <v>30.356527538986317</v>
      </c>
      <c r="CL4" s="141">
        <f>'[3]Sunflower Meal Exports'!C$4/1.10231</f>
        <v>54.635849564822976</v>
      </c>
      <c r="CM4" s="141">
        <f>'[3]Sunflower Meal Exports'!D$4/1.10231</f>
        <v>22.658420555379163</v>
      </c>
      <c r="CN4" s="141">
        <f>'[3]Sunflower Meal Exports'!E$4/1.10231</f>
        <v>17.66391602443959</v>
      </c>
      <c r="CO4" s="141">
        <f>'[3]Sunflower Meal Exports'!F$4/1.10231</f>
        <v>10.412209445800185</v>
      </c>
      <c r="CP4" s="141">
        <f>'[3]Sunflower Meal Exports'!G$4/1.10231</f>
        <v>29.237126523482505</v>
      </c>
      <c r="CQ4" s="141">
        <f>'[3]Sunflower Meal Exports'!H$4/1.10231</f>
        <v>14.871513491213909</v>
      </c>
      <c r="CR4" s="141">
        <f>'[3]Sunflower Meal Exports'!I$4/1.10231</f>
        <v>3.9334035683247008</v>
      </c>
      <c r="CS4" s="141">
        <f>'[3]Sunflower Meal Exports'!J$4/1.10231</f>
        <v>21.024419073037535</v>
      </c>
      <c r="CT4" s="141">
        <f>'[3]Sunflower Meal Exports'!K$4/1.10231</f>
        <v>0</v>
      </c>
      <c r="CU4" s="141">
        <f>'[3]Sunflower Meal Exports'!L$4/1.10231</f>
        <v>9.7830088749988668</v>
      </c>
      <c r="CV4" s="141">
        <f>'[3]Sunflower Meal Exports'!M$4/1.10231</f>
        <v>0.32240029247670804</v>
      </c>
      <c r="CW4" s="141">
        <f>'[3]Sunflower Meal Exports'!N$4/1.10231</f>
        <v>0</v>
      </c>
      <c r="CX4" s="141">
        <f>'[3]Sunflower Meal Exports'!O$4/1.10231</f>
        <v>2.7068024555705752</v>
      </c>
      <c r="CY4" s="141">
        <f>'[3]Sunflower Meal Exports'!P$4/1.10231</f>
        <v>4.1084037270822185</v>
      </c>
      <c r="CZ4" s="141">
        <f>'[3]Sunflower Meal Exports'!Q$4/1.10231</f>
        <v>0</v>
      </c>
      <c r="DA4" s="141">
        <f>'[3]Sunflower Meal Exports'!R$4/1.10231</f>
        <v>0</v>
      </c>
      <c r="DB4" s="141">
        <f>'[3]Sunflower Meal Exports'!S$4/1.10231</f>
        <v>0</v>
      </c>
      <c r="DC4" s="141">
        <f>'[3]Sunflower Meal Exports'!T$4/1.10231</f>
        <v>0</v>
      </c>
      <c r="DD4" s="141">
        <f>'[3]Sunflower Meal Exports'!U$4/1.10231</f>
        <v>0</v>
      </c>
      <c r="DE4" s="141">
        <f>'[3]Sunflower Meal Exports'!V$4/1.10231</f>
        <v>3.0482027652838131</v>
      </c>
      <c r="DF4" s="141">
        <f>'[3]Sunflower Meal Exports'!W$4/1.10231</f>
        <v>0</v>
      </c>
      <c r="DG4" s="141">
        <f>'[3]Sunflower Meal Exports'!X$4/1.10231</f>
        <v>0</v>
      </c>
      <c r="DH4" s="141">
        <f>'[3]Sunflower Meal Exports'!Y$4/1.10231</f>
        <v>0</v>
      </c>
      <c r="DI4" s="141">
        <f>'[3]Sunflower Meal Exports'!Z$4/1.10231</f>
        <v>0</v>
      </c>
      <c r="DJ4" s="141">
        <f>'[3]Sunflower Meal Exports'!AA$4/1.10231</f>
        <v>0</v>
      </c>
      <c r="DK4" s="141">
        <f>'[3]Sunflower Meal Exports'!AB$4/1.10231</f>
        <v>0</v>
      </c>
      <c r="DL4" s="141">
        <f>'[3]Sunflower Meal Exports'!AC$4/1.10231</f>
        <v>0</v>
      </c>
      <c r="DM4" s="143">
        <f>'[3]Sunflower Meal Exports'!AD$4/1.10231</f>
        <v>0</v>
      </c>
      <c r="DN4" s="141">
        <f>SUM(B4,AE4,BH4,CK4)</f>
        <v>30.356527538986317</v>
      </c>
      <c r="DO4" s="141">
        <f>SUM(C4,AF4,BI4,CL4)</f>
        <v>54.635849564822976</v>
      </c>
      <c r="DP4" s="141">
        <f>SUM(D4,AG4,BJ4,CM4)</f>
        <v>22.658420555379163</v>
      </c>
      <c r="DQ4" s="141">
        <f>SUM(E4,AH4,BK4,CN4)</f>
        <v>19.522283024439592</v>
      </c>
      <c r="DR4" s="141">
        <f>SUM(F4,AI4,BL4,CO4)</f>
        <v>21.961419445800182</v>
      </c>
      <c r="DS4" s="141">
        <f t="shared" ref="DS4:DV19" si="4">SUM(G4,AJ4,BM4,CP4)</f>
        <v>34.379910523482508</v>
      </c>
      <c r="DT4" s="141">
        <f t="shared" si="4"/>
        <v>58.290303491213912</v>
      </c>
      <c r="DU4" s="141">
        <f>SUM(I4,AL4,BO4,CR4)</f>
        <v>114.20450056832472</v>
      </c>
      <c r="DV4" s="141">
        <f>SUM(J4,AM4,BP4,CS4)</f>
        <v>264.02080107303755</v>
      </c>
      <c r="DW4" s="141">
        <f t="shared" ref="DW4:DZ19" si="5">SUM(K4,AN4,BQ4,CT4)</f>
        <v>556.77029300000004</v>
      </c>
      <c r="DX4" s="141">
        <f t="shared" si="5"/>
        <v>867.74663587499879</v>
      </c>
      <c r="DY4" s="141">
        <f>SUM(M4,AP4,BS4,CV4)</f>
        <v>679.3654422924767</v>
      </c>
      <c r="DZ4" s="141">
        <f>SUM(N4,AQ4,BT4,CW4)</f>
        <v>1052.2729999999999</v>
      </c>
      <c r="EA4" s="141">
        <f t="shared" ref="EA4:ED19" si="6">SUM(O4,AR4,BU4,CX4)</f>
        <v>1121.4268024555709</v>
      </c>
      <c r="EB4" s="141">
        <f t="shared" si="6"/>
        <v>892.56440372708209</v>
      </c>
      <c r="EC4" s="141">
        <f>SUM(Q4,AT4,BW4,CZ4)</f>
        <v>1924.6729999999998</v>
      </c>
      <c r="ED4" s="141">
        <f>SUM(R4,AU4,BX4,DA4)</f>
        <v>1861.7529999999997</v>
      </c>
      <c r="EE4" s="141">
        <f t="shared" ref="EE4:EH19" si="7">SUM(S4,AV4,BY4,DB4)</f>
        <v>2054.96</v>
      </c>
      <c r="EF4" s="141">
        <f t="shared" si="7"/>
        <v>3752.8079999999991</v>
      </c>
      <c r="EG4" s="141">
        <f>SUM(U4,AX4,CA4,DD4)</f>
        <v>2961.3269999999998</v>
      </c>
      <c r="EH4" s="141">
        <f>SUM(V4,AY4,CB4,DE4)</f>
        <v>3417.8962027652842</v>
      </c>
      <c r="EI4" s="141">
        <f t="shared" ref="EI4:EL19" si="8">SUM(W4,AZ4,CC4,DF4)</f>
        <v>2871.4960000000001</v>
      </c>
      <c r="EJ4" s="141">
        <f t="shared" si="8"/>
        <v>2820.6640000000002</v>
      </c>
      <c r="EK4" s="141">
        <f t="shared" si="8"/>
        <v>3229.674</v>
      </c>
      <c r="EL4" s="141">
        <f>SUM(Z4,BC4,CF4,DI4)</f>
        <v>2851.0039999999999</v>
      </c>
      <c r="EM4" s="141">
        <f t="shared" ref="EM4:EP19" si="9">SUM(AA4,BD4,CG4,DJ4)</f>
        <v>2831.9870000000001</v>
      </c>
      <c r="EN4" s="141">
        <f t="shared" si="9"/>
        <v>2565.1270000000004</v>
      </c>
      <c r="EO4" s="141">
        <f t="shared" si="9"/>
        <v>2320.9830000000002</v>
      </c>
      <c r="EP4" s="145">
        <f>'EU Sun Complex'!AD24-500-2350</f>
        <v>-286.84316699999999</v>
      </c>
      <c r="EQ4" s="145">
        <f>'EU Sun Complex'!AE24-500</f>
        <v>2250.1656270000003</v>
      </c>
      <c r="ES4" s="141">
        <f>SUM(BF4+CI4+DL4)-EO4</f>
        <v>0</v>
      </c>
      <c r="ET4" s="141">
        <f>SUM(BG4+CJ4+DM4)-EP4</f>
        <v>1939.977167</v>
      </c>
    </row>
    <row r="5" spans="1:150">
      <c r="A5" s="137" t="s">
        <v>136</v>
      </c>
      <c r="B5" s="146">
        <f>'[2]EU Sun Meal Exports'!B$37</f>
        <v>0</v>
      </c>
      <c r="C5" s="146">
        <f>'[2]EU Sun Meal Exports'!C$37</f>
        <v>0</v>
      </c>
      <c r="D5" s="146">
        <f>'[2]EU Sun Meal Exports'!D$37</f>
        <v>0</v>
      </c>
      <c r="E5" s="146">
        <f>'[2]EU Sun Meal Exports'!E$37</f>
        <v>0.27400000000000002</v>
      </c>
      <c r="F5" s="146">
        <f>'[2]EU Sun Meal Exports'!F$37</f>
        <v>1.298</v>
      </c>
      <c r="G5" s="146">
        <f>'[2]EU Sun Meal Exports'!G$37</f>
        <v>7.2210000000000001</v>
      </c>
      <c r="H5" s="146">
        <f>'[2]EU Sun Meal Exports'!H$37</f>
        <v>3.8779999999999997</v>
      </c>
      <c r="I5" s="146">
        <f>'[2]EU Sun Meal Exports'!I$37</f>
        <v>23.509</v>
      </c>
      <c r="J5" s="146">
        <f>'[2]EU Sun Meal Exports'!J$37</f>
        <v>8.0989999999999984</v>
      </c>
      <c r="K5" s="146">
        <f>'[2]EU Sun Meal Exports'!K$37</f>
        <v>22.577000000000002</v>
      </c>
      <c r="L5" s="146">
        <f>'[2]EU Sun Meal Exports'!L$37</f>
        <v>18.332000000000001</v>
      </c>
      <c r="M5" s="146">
        <f>'[2]EU Sun Meal Exports'!M$37</f>
        <v>11.817</v>
      </c>
      <c r="N5" s="146">
        <f>'[2]EU Sun Meal Exports'!N$37</f>
        <v>17.501000000000001</v>
      </c>
      <c r="O5" s="146">
        <f>'[2]EU Sun Meal Exports'!O$37</f>
        <v>24.137999999999998</v>
      </c>
      <c r="P5" s="141">
        <f>'[2]EU Sun Meal Exports'!P$37</f>
        <v>34.701000000000001</v>
      </c>
      <c r="Q5" s="141">
        <f>'[2]EU Sun Meal Exports'!Q$37</f>
        <v>11.381</v>
      </c>
      <c r="R5" s="141">
        <f>'[2]EU Sun Meal Exports'!R$37</f>
        <v>18.184999999999999</v>
      </c>
      <c r="S5" s="141">
        <f>'[2]EU Sun Meal Exports'!S$37</f>
        <v>31.872999999999998</v>
      </c>
      <c r="T5" s="141">
        <f>'[2]EU Sun Meal Exports'!T$37</f>
        <v>24.524999999999999</v>
      </c>
      <c r="U5" s="141">
        <f>'[2]EU Sun Meal Exports'!U$37</f>
        <v>51.008000000000003</v>
      </c>
      <c r="V5" s="141">
        <f>'[2]EU Sun Meal Exports'!V$37</f>
        <v>42.234000000000002</v>
      </c>
      <c r="W5" s="141">
        <f>'[2]EU Sun Meal Exports'!W$37</f>
        <v>33.643000000000001</v>
      </c>
      <c r="X5" s="141">
        <f>'[2]EU Sun Meal Exports'!X$37</f>
        <v>35.942000000000007</v>
      </c>
      <c r="Y5" s="141">
        <f>'[2]EU Sun Meal Exports'!Y$37</f>
        <v>33.655000000000001</v>
      </c>
      <c r="Z5" s="141">
        <f>'[2]EU Sun Meal Exports'!Z$37</f>
        <v>35.692</v>
      </c>
      <c r="AA5" s="141">
        <f>'[2]EU Sun Meal Exports'!AA$37</f>
        <v>44.552</v>
      </c>
      <c r="AB5" s="141">
        <f>'[2]EU Sun Meal Exports'!AB$37</f>
        <v>70.274000000000001</v>
      </c>
      <c r="AC5" s="141">
        <f>'[2]EU Sun Meal Exports'!AC$37</f>
        <v>92.039999999999992</v>
      </c>
      <c r="AD5" s="143">
        <f>'[2]EU Sun Meal Exports'!AD$37+44</f>
        <v>138.79900000000001</v>
      </c>
      <c r="AE5" s="141">
        <f>'[2]Ukraine Sun Meal Exports'!B$37</f>
        <v>0</v>
      </c>
      <c r="AF5" s="141">
        <f>'[2]Ukraine Sun Meal Exports'!C$37</f>
        <v>0</v>
      </c>
      <c r="AG5" s="141">
        <f>'[2]Ukraine Sun Meal Exports'!D$37</f>
        <v>0</v>
      </c>
      <c r="AH5" s="141">
        <f>'[2]Ukraine Sun Meal Exports'!E$37</f>
        <v>0</v>
      </c>
      <c r="AI5" s="141">
        <f>'[2]Ukraine Sun Meal Exports'!F$37</f>
        <v>0</v>
      </c>
      <c r="AJ5" s="141">
        <f>'[2]Ukraine Sun Meal Exports'!G$37</f>
        <v>0</v>
      </c>
      <c r="AK5" s="141">
        <f>'[2]Ukraine Sun Meal Exports'!H$37</f>
        <v>0</v>
      </c>
      <c r="AL5" s="141">
        <f>'[2]Ukraine Sun Meal Exports'!I$37</f>
        <v>0</v>
      </c>
      <c r="AM5" s="141">
        <f>'[2]Ukraine Sun Meal Exports'!J$37</f>
        <v>51.814000000000007</v>
      </c>
      <c r="AN5" s="141">
        <f>'[2]Ukraine Sun Meal Exports'!K$37</f>
        <v>123.89400000000001</v>
      </c>
      <c r="AO5" s="141">
        <f>'[2]Ukraine Sun Meal Exports'!L$37</f>
        <v>108.09700000000001</v>
      </c>
      <c r="AP5" s="141">
        <f>'[2]Ukraine Sun Meal Exports'!M$37</f>
        <v>21.985999999999997</v>
      </c>
      <c r="AQ5" s="141">
        <f>'[2]Ukraine Sun Meal Exports'!N$37</f>
        <v>7.1079999999999997</v>
      </c>
      <c r="AR5" s="141">
        <f>'[2]Ukraine Sun Meal Exports'!O$37</f>
        <v>12.013</v>
      </c>
      <c r="AS5" s="141">
        <f>'[2]Ukraine Sun Meal Exports'!P$37</f>
        <v>0</v>
      </c>
      <c r="AT5" s="141">
        <f>'[2]Ukraine Sun Meal Exports'!Q$37</f>
        <v>10.504999999999999</v>
      </c>
      <c r="AU5" s="141">
        <f>'[2]Ukraine Sun Meal Exports'!R$37</f>
        <v>11.609</v>
      </c>
      <c r="AV5" s="141">
        <f>'[2]Ukraine Sun Meal Exports'!S$37</f>
        <v>13.2</v>
      </c>
      <c r="AW5" s="141">
        <f>'[2]Ukraine Sun Meal Exports'!T$37</f>
        <v>37.055</v>
      </c>
      <c r="AX5" s="141">
        <f>'[2]Ukraine Sun Meal Exports'!U$37</f>
        <v>14.507999999999999</v>
      </c>
      <c r="AY5" s="141">
        <f>'[2]Ukraine Sun Meal Exports'!V$37</f>
        <v>26.421999999999997</v>
      </c>
      <c r="AZ5" s="141">
        <f>'[2]Ukraine Sun Meal Exports'!W$37</f>
        <v>6.6</v>
      </c>
      <c r="BA5" s="141">
        <f>'[2]Ukraine Sun Meal Exports'!X$37</f>
        <v>2.0030000000000001</v>
      </c>
      <c r="BB5" s="141">
        <f>'[2]Ukraine Sun Meal Exports'!Y$37</f>
        <v>9.1670000000000016</v>
      </c>
      <c r="BC5" s="141">
        <f>'[2]Ukraine Sun Meal Exports'!Z$37</f>
        <v>0.17199999999999999</v>
      </c>
      <c r="BD5" s="141">
        <f>'[2]Ukraine Sun Meal Exports'!AA$37</f>
        <v>16.477999999999998</v>
      </c>
      <c r="BE5" s="141">
        <f>'[2]Ukraine Sun Meal Exports'!AB$37</f>
        <v>4.5380000000000003</v>
      </c>
      <c r="BF5" s="141">
        <f>'[2]Ukraine Sun Meal Exports'!AC$37</f>
        <v>11.923999999999999</v>
      </c>
      <c r="BG5" s="143">
        <f>'[2]Ukraine Sun Meal Exports'!AD$37</f>
        <v>4.1340000000000003</v>
      </c>
      <c r="BH5" s="141">
        <f>'[2]Russia Sun Meal Exports'!B$37</f>
        <v>0</v>
      </c>
      <c r="BI5" s="141">
        <f>'[2]Russia Sun Meal Exports'!C$37</f>
        <v>0</v>
      </c>
      <c r="BJ5" s="141">
        <f>'[2]Russia Sun Meal Exports'!D$37</f>
        <v>0</v>
      </c>
      <c r="BK5" s="141">
        <f>'[2]Russia Sun Meal Exports'!E$37</f>
        <v>1.9990000000000001</v>
      </c>
      <c r="BL5" s="141">
        <f>'[2]Russia Sun Meal Exports'!F$37</f>
        <v>2.972</v>
      </c>
      <c r="BM5" s="141">
        <f>'[2]Russia Sun Meal Exports'!G$37</f>
        <v>0.70550000000000002</v>
      </c>
      <c r="BN5" s="141">
        <f>'[2]Russia Sun Meal Exports'!H$37</f>
        <v>0.53720000000000001</v>
      </c>
      <c r="BO5" s="141">
        <f>'[2]Russia Sun Meal Exports'!I$37</f>
        <v>14.67525</v>
      </c>
      <c r="BP5" s="141">
        <f>'[2]Russia Sun Meal Exports'!J$37</f>
        <v>0</v>
      </c>
      <c r="BQ5" s="141">
        <f>'[2]Russia Sun Meal Exports'!K$37</f>
        <v>0</v>
      </c>
      <c r="BR5" s="141">
        <f>'[2]Russia Sun Meal Exports'!L$37</f>
        <v>0</v>
      </c>
      <c r="BS5" s="141">
        <f>'[2]Russia Sun Meal Exports'!M$37</f>
        <v>0</v>
      </c>
      <c r="BT5" s="141">
        <f>'[2]Russia Sun Meal Exports'!N$37</f>
        <v>0</v>
      </c>
      <c r="BU5" s="141">
        <f>'[2]Russia Sun Meal Exports'!O$37</f>
        <v>0</v>
      </c>
      <c r="BV5" s="141">
        <f>'[2]Russia Sun Meal Exports'!P$37</f>
        <v>13.657999999999999</v>
      </c>
      <c r="BW5" s="141">
        <f>'[2]Russia Sun Meal Exports'!Q$37</f>
        <v>0</v>
      </c>
      <c r="BX5" s="141">
        <f>'[2]Russia Sun Meal Exports'!R$37</f>
        <v>0</v>
      </c>
      <c r="BY5" s="141">
        <f>'[2]Russia Sun Meal Exports'!S$37</f>
        <v>0</v>
      </c>
      <c r="BZ5" s="141">
        <f>'[2]Russia Sun Meal Exports'!T$37</f>
        <v>3.5510000000000002</v>
      </c>
      <c r="CA5" s="141">
        <f>'[2]Russia Sun Meal Exports'!U$37</f>
        <v>10.007</v>
      </c>
      <c r="CB5" s="141">
        <f>'[2]Russia Sun Meal Exports'!V$37</f>
        <v>16.77</v>
      </c>
      <c r="CC5" s="141">
        <f>'[2]Russia Sun Meal Exports'!W$37</f>
        <v>16.91</v>
      </c>
      <c r="CD5" s="141">
        <f>'[2]Russia Sun Meal Exports'!X$37</f>
        <v>34.767000000000003</v>
      </c>
      <c r="CE5" s="141">
        <f>'[2]Russia Sun Meal Exports'!Y$37</f>
        <v>4.5730000000000004</v>
      </c>
      <c r="CF5" s="141">
        <f>'[2]Russia Sun Meal Exports'!Z$37</f>
        <v>14.073</v>
      </c>
      <c r="CG5" s="141">
        <f>'[2]Russia Sun Meal Exports'!AA$37</f>
        <v>21.973999999999997</v>
      </c>
      <c r="CH5" s="141">
        <f>'[2]Russia Sun Meal Exports'!AB$37</f>
        <v>53.954000000000001</v>
      </c>
      <c r="CI5" s="141">
        <f>'[2]Russia Sun Meal Exports'!AC$37</f>
        <v>36.462000000000003</v>
      </c>
      <c r="CJ5" s="143">
        <f>'[2]Russia Sun Meal Exports'!AD$37</f>
        <v>7.7489999999999997</v>
      </c>
      <c r="CK5" s="141">
        <f>'[3]Sunflower Meal Exports'!B$37/1.10231</f>
        <v>0</v>
      </c>
      <c r="CL5" s="141">
        <f>'[3]Sunflower Meal Exports'!C$37/1.10231</f>
        <v>0</v>
      </c>
      <c r="CM5" s="141">
        <f>'[3]Sunflower Meal Exports'!D$37/1.10231</f>
        <v>0</v>
      </c>
      <c r="CN5" s="141">
        <f>'[3]Sunflower Meal Exports'!E$37/1.10231</f>
        <v>0</v>
      </c>
      <c r="CO5" s="141">
        <f>'[3]Sunflower Meal Exports'!F$37/1.10231</f>
        <v>0</v>
      </c>
      <c r="CP5" s="141">
        <f>'[3]Sunflower Meal Exports'!G$37/1.10231</f>
        <v>0</v>
      </c>
      <c r="CQ5" s="141">
        <f>'[3]Sunflower Meal Exports'!H$37/1.10231</f>
        <v>0</v>
      </c>
      <c r="CR5" s="141">
        <f>'[3]Sunflower Meal Exports'!I$37/1.10231</f>
        <v>0</v>
      </c>
      <c r="CS5" s="141">
        <f>'[3]Sunflower Meal Exports'!J$37/1.10231</f>
        <v>0</v>
      </c>
      <c r="CT5" s="141">
        <f>'[3]Sunflower Meal Exports'!K$37/1.10231</f>
        <v>0</v>
      </c>
      <c r="CU5" s="141">
        <f>'[3]Sunflower Meal Exports'!L$37/1.10231</f>
        <v>0</v>
      </c>
      <c r="CV5" s="141">
        <f>'[3]Sunflower Meal Exports'!M$37/1.10231</f>
        <v>0</v>
      </c>
      <c r="CW5" s="141">
        <f>'[3]Sunflower Meal Exports'!N$37/1.10231</f>
        <v>0</v>
      </c>
      <c r="CX5" s="141">
        <f>'[3]Sunflower Meal Exports'!O$37/1.10231</f>
        <v>0</v>
      </c>
      <c r="CY5" s="141">
        <f>'[3]Sunflower Meal Exports'!P$37/1.10231</f>
        <v>0</v>
      </c>
      <c r="CZ5" s="141">
        <f>'[3]Sunflower Meal Exports'!Q$37/1.10231</f>
        <v>0</v>
      </c>
      <c r="DA5" s="141">
        <f>'[3]Sunflower Meal Exports'!R$37/1.10231</f>
        <v>0</v>
      </c>
      <c r="DB5" s="141">
        <f>'[3]Sunflower Meal Exports'!S$37/1.10231</f>
        <v>0</v>
      </c>
      <c r="DC5" s="141">
        <f>'[3]Sunflower Meal Exports'!T$37/1.10231</f>
        <v>0</v>
      </c>
      <c r="DD5" s="141">
        <f>'[3]Sunflower Meal Exports'!U$37/1.10231</f>
        <v>0</v>
      </c>
      <c r="DE5" s="141">
        <f>'[3]Sunflower Meal Exports'!V$37/1.10231</f>
        <v>0</v>
      </c>
      <c r="DF5" s="141">
        <f>'[3]Sunflower Meal Exports'!W$37/1.10231</f>
        <v>0</v>
      </c>
      <c r="DG5" s="141">
        <f>'[3]Sunflower Meal Exports'!X$37/1.10231</f>
        <v>0</v>
      </c>
      <c r="DH5" s="141">
        <f>'[3]Sunflower Meal Exports'!Y$37/1.10231</f>
        <v>0</v>
      </c>
      <c r="DI5" s="141">
        <f>'[3]Sunflower Meal Exports'!Z$37/1.10231</f>
        <v>0</v>
      </c>
      <c r="DJ5" s="141">
        <f>'[3]Sunflower Meal Exports'!AA$37/1.10231</f>
        <v>0</v>
      </c>
      <c r="DK5" s="141">
        <f>'[3]Sunflower Meal Exports'!AB$37/1.10231</f>
        <v>0</v>
      </c>
      <c r="DL5" s="141">
        <f>'[3]Sunflower Meal Exports'!AC$37/1.10231</f>
        <v>0</v>
      </c>
      <c r="DM5" s="143">
        <f>'[3]Sunflower Meal Exports'!AD$37/1.10231</f>
        <v>0</v>
      </c>
      <c r="DN5" s="141">
        <f t="shared" ref="DN5:DX41" si="10">SUM(B5,AE5,BH5,CK5)</f>
        <v>0</v>
      </c>
      <c r="DO5" s="141">
        <f t="shared" si="10"/>
        <v>0</v>
      </c>
      <c r="DP5" s="141">
        <f t="shared" si="10"/>
        <v>0</v>
      </c>
      <c r="DQ5" s="141">
        <f t="shared" si="10"/>
        <v>2.2730000000000001</v>
      </c>
      <c r="DR5" s="141">
        <f t="shared" si="10"/>
        <v>4.2699999999999996</v>
      </c>
      <c r="DS5" s="141">
        <f t="shared" si="4"/>
        <v>7.9264999999999999</v>
      </c>
      <c r="DT5" s="141">
        <f t="shared" si="4"/>
        <v>4.4151999999999996</v>
      </c>
      <c r="DU5" s="141">
        <f t="shared" si="4"/>
        <v>38.184249999999999</v>
      </c>
      <c r="DV5" s="141">
        <f t="shared" si="4"/>
        <v>59.913000000000004</v>
      </c>
      <c r="DW5" s="141">
        <f t="shared" si="5"/>
        <v>146.471</v>
      </c>
      <c r="DX5" s="141">
        <f t="shared" si="5"/>
        <v>126.429</v>
      </c>
      <c r="DY5" s="141">
        <f t="shared" si="5"/>
        <v>33.802999999999997</v>
      </c>
      <c r="DZ5" s="141">
        <f t="shared" si="5"/>
        <v>24.609000000000002</v>
      </c>
      <c r="EA5" s="141">
        <f t="shared" si="6"/>
        <v>36.150999999999996</v>
      </c>
      <c r="EB5" s="141">
        <f t="shared" si="6"/>
        <v>48.359000000000002</v>
      </c>
      <c r="EC5" s="141">
        <f t="shared" si="6"/>
        <v>21.885999999999999</v>
      </c>
      <c r="ED5" s="141">
        <f t="shared" si="6"/>
        <v>29.793999999999997</v>
      </c>
      <c r="EE5" s="141">
        <f t="shared" si="7"/>
        <v>45.072999999999993</v>
      </c>
      <c r="EF5" s="141">
        <f t="shared" si="7"/>
        <v>65.131</v>
      </c>
      <c r="EG5" s="141">
        <f t="shared" si="7"/>
        <v>75.52300000000001</v>
      </c>
      <c r="EH5" s="141">
        <f t="shared" si="7"/>
        <v>85.426000000000002</v>
      </c>
      <c r="EI5" s="141">
        <f t="shared" si="8"/>
        <v>57.153000000000006</v>
      </c>
      <c r="EJ5" s="141">
        <f t="shared" si="8"/>
        <v>72.712000000000018</v>
      </c>
      <c r="EK5" s="141">
        <f t="shared" si="8"/>
        <v>47.395000000000003</v>
      </c>
      <c r="EL5" s="141">
        <f t="shared" si="8"/>
        <v>49.936999999999998</v>
      </c>
      <c r="EM5" s="141">
        <f t="shared" si="9"/>
        <v>83.003999999999991</v>
      </c>
      <c r="EN5" s="141">
        <f t="shared" si="9"/>
        <v>128.76599999999999</v>
      </c>
      <c r="EO5" s="141">
        <f t="shared" si="9"/>
        <v>140.42599999999999</v>
      </c>
      <c r="EP5" s="145">
        <f t="shared" si="9"/>
        <v>150.68199999999999</v>
      </c>
      <c r="EQ5" s="145">
        <v>125</v>
      </c>
      <c r="ES5" s="141">
        <f t="shared" ref="ES5:ET37" si="11">SUM(BF5+CI5+DL5+AC5)-EO5</f>
        <v>0</v>
      </c>
      <c r="ET5" s="141">
        <f t="shared" si="11"/>
        <v>0</v>
      </c>
    </row>
    <row r="6" spans="1:150">
      <c r="A6" s="137" t="s">
        <v>137</v>
      </c>
      <c r="B6" s="146">
        <f>'[2]EU Sun Meal Exports'!B$59</f>
        <v>0</v>
      </c>
      <c r="C6" s="146">
        <f>'[2]EU Sun Meal Exports'!C$59</f>
        <v>0</v>
      </c>
      <c r="D6" s="146">
        <f>'[2]EU Sun Meal Exports'!D$59</f>
        <v>0</v>
      </c>
      <c r="E6" s="146">
        <f>'[2]EU Sun Meal Exports'!E$59</f>
        <v>4.3279999999999994</v>
      </c>
      <c r="F6" s="146">
        <f>'[2]EU Sun Meal Exports'!F$59</f>
        <v>1.35</v>
      </c>
      <c r="G6" s="146">
        <f>'[2]EU Sun Meal Exports'!G$59</f>
        <v>0</v>
      </c>
      <c r="H6" s="146">
        <f>'[2]EU Sun Meal Exports'!H$59</f>
        <v>0.13200000000000001</v>
      </c>
      <c r="I6" s="146">
        <f>'[2]EU Sun Meal Exports'!I$59</f>
        <v>5.4969999999999999</v>
      </c>
      <c r="J6" s="146">
        <f>'[2]EU Sun Meal Exports'!J$59</f>
        <v>0.122</v>
      </c>
      <c r="K6" s="146">
        <f>'[2]EU Sun Meal Exports'!K$59</f>
        <v>0</v>
      </c>
      <c r="L6" s="146">
        <f>'[2]EU Sun Meal Exports'!L$59</f>
        <v>0.01</v>
      </c>
      <c r="M6" s="146">
        <f>'[2]EU Sun Meal Exports'!M$59</f>
        <v>0.309</v>
      </c>
      <c r="N6" s="146">
        <f>'[2]EU Sun Meal Exports'!N$59</f>
        <v>6.782</v>
      </c>
      <c r="O6" s="146">
        <f>'[2]EU Sun Meal Exports'!O$59</f>
        <v>3.7889999999999997</v>
      </c>
      <c r="P6" s="141">
        <f>'[2]EU Sun Meal Exports'!P$59</f>
        <v>0</v>
      </c>
      <c r="Q6" s="141">
        <f>'[2]EU Sun Meal Exports'!Q$59</f>
        <v>0</v>
      </c>
      <c r="R6" s="141">
        <f>'[2]EU Sun Meal Exports'!R$59</f>
        <v>0.11499999999999999</v>
      </c>
      <c r="S6" s="141">
        <f>'[2]EU Sun Meal Exports'!S$59</f>
        <v>0</v>
      </c>
      <c r="T6" s="141">
        <f>'[2]EU Sun Meal Exports'!T$59</f>
        <v>8.2000000000000003E-2</v>
      </c>
      <c r="U6" s="141">
        <f>'[2]EU Sun Meal Exports'!U$59</f>
        <v>0.04</v>
      </c>
      <c r="V6" s="141">
        <f>'[2]EU Sun Meal Exports'!V$59</f>
        <v>0.18</v>
      </c>
      <c r="W6" s="141">
        <f>'[2]EU Sun Meal Exports'!W$59</f>
        <v>0</v>
      </c>
      <c r="X6" s="141">
        <f>'[2]EU Sun Meal Exports'!X$59</f>
        <v>0</v>
      </c>
      <c r="Y6" s="141">
        <f>'[2]EU Sun Meal Exports'!Y$59</f>
        <v>8.900000000000001E-2</v>
      </c>
      <c r="Z6" s="141">
        <f>'[2]EU Sun Meal Exports'!Z$59</f>
        <v>0.23499999999999999</v>
      </c>
      <c r="AA6" s="141">
        <f>'[2]EU Sun Meal Exports'!AA$59</f>
        <v>0</v>
      </c>
      <c r="AB6" s="141">
        <f>'[2]EU Sun Meal Exports'!AB$59</f>
        <v>1.234</v>
      </c>
      <c r="AC6" s="141">
        <f>'[2]EU Sun Meal Exports'!AC$59</f>
        <v>1E-3</v>
      </c>
      <c r="AD6" s="143">
        <f>'[2]EU Sun Meal Exports'!AD$59</f>
        <v>0</v>
      </c>
      <c r="AE6" s="141">
        <f>'[2]Ukraine Sun Meal Exports'!B$59</f>
        <v>0</v>
      </c>
      <c r="AF6" s="141">
        <f>'[2]Ukraine Sun Meal Exports'!C$59</f>
        <v>0</v>
      </c>
      <c r="AG6" s="141">
        <f>'[2]Ukraine Sun Meal Exports'!D$59</f>
        <v>0</v>
      </c>
      <c r="AH6" s="141">
        <f>'[2]Ukraine Sun Meal Exports'!E$59</f>
        <v>0</v>
      </c>
      <c r="AI6" s="141">
        <f>'[2]Ukraine Sun Meal Exports'!F$59</f>
        <v>0</v>
      </c>
      <c r="AJ6" s="141">
        <f>'[2]Ukraine Sun Meal Exports'!G$59</f>
        <v>0</v>
      </c>
      <c r="AK6" s="141">
        <f>'[2]Ukraine Sun Meal Exports'!H$59</f>
        <v>0</v>
      </c>
      <c r="AL6" s="141">
        <f>'[2]Ukraine Sun Meal Exports'!I$59</f>
        <v>0</v>
      </c>
      <c r="AM6" s="141">
        <f>'[2]Ukraine Sun Meal Exports'!J$59</f>
        <v>113.747</v>
      </c>
      <c r="AN6" s="141">
        <f>'[2]Ukraine Sun Meal Exports'!K$59</f>
        <v>181.08100000000002</v>
      </c>
      <c r="AO6" s="141">
        <f>'[2]Ukraine Sun Meal Exports'!L$59</f>
        <v>129.63400000000001</v>
      </c>
      <c r="AP6" s="141">
        <f>'[2]Ukraine Sun Meal Exports'!M$59</f>
        <v>226.24899999999997</v>
      </c>
      <c r="AQ6" s="141">
        <f>'[2]Ukraine Sun Meal Exports'!N$59</f>
        <v>361.80400000000003</v>
      </c>
      <c r="AR6" s="141">
        <f>'[2]Ukraine Sun Meal Exports'!O$59</f>
        <v>365.81899999999996</v>
      </c>
      <c r="AS6" s="141">
        <f>'[2]Ukraine Sun Meal Exports'!P$59</f>
        <v>434.60200000000003</v>
      </c>
      <c r="AT6" s="141">
        <f>'[2]Ukraine Sun Meal Exports'!Q$59</f>
        <v>397.32600000000002</v>
      </c>
      <c r="AU6" s="141">
        <f>'[2]Ukraine Sun Meal Exports'!R$59</f>
        <v>397.71</v>
      </c>
      <c r="AV6" s="141">
        <f>'[2]Ukraine Sun Meal Exports'!S$59</f>
        <v>553.29300000000001</v>
      </c>
      <c r="AW6" s="141">
        <f>'[2]Ukraine Sun Meal Exports'!T$59</f>
        <v>604.70799999999997</v>
      </c>
      <c r="AX6" s="141">
        <f>'[2]Ukraine Sun Meal Exports'!U$59</f>
        <v>542.07799999999997</v>
      </c>
      <c r="AY6" s="141">
        <f>'[2]Ukraine Sun Meal Exports'!V$59</f>
        <v>582.96399999999994</v>
      </c>
      <c r="AZ6" s="141">
        <f>'[2]Ukraine Sun Meal Exports'!W$59</f>
        <v>534.75599999999997</v>
      </c>
      <c r="BA6" s="141">
        <f>'[2]Ukraine Sun Meal Exports'!X$59</f>
        <v>499.86399999999992</v>
      </c>
      <c r="BB6" s="141">
        <f>'[2]Ukraine Sun Meal Exports'!Y$59</f>
        <v>552.84699999999998</v>
      </c>
      <c r="BC6" s="141">
        <f>'[2]Ukraine Sun Meal Exports'!Z$59</f>
        <v>543.6579999999999</v>
      </c>
      <c r="BD6" s="141">
        <f>'[2]Ukraine Sun Meal Exports'!AA$59</f>
        <v>412.28400000000005</v>
      </c>
      <c r="BE6" s="141">
        <f>'[2]Ukraine Sun Meal Exports'!AB$59</f>
        <v>360.78200000000004</v>
      </c>
      <c r="BF6" s="141">
        <f>'[2]Ukraine Sun Meal Exports'!AC$59</f>
        <v>243.76200000000009</v>
      </c>
      <c r="BG6" s="141">
        <f>'[2]Ukraine Sun Meal Exports'!AD$59+22</f>
        <v>127.63000000000001</v>
      </c>
      <c r="BH6" s="141">
        <f>'[2]Russia Sun Meal Exports'!B$59</f>
        <v>0</v>
      </c>
      <c r="BI6" s="141">
        <f>'[2]Russia Sun Meal Exports'!C$59</f>
        <v>0</v>
      </c>
      <c r="BJ6" s="141">
        <f>'[2]Russia Sun Meal Exports'!D$59</f>
        <v>0</v>
      </c>
      <c r="BK6" s="141">
        <f>'[2]Russia Sun Meal Exports'!E$59</f>
        <v>5.1000000000000004E-2</v>
      </c>
      <c r="BL6" s="141">
        <f>'[2]Russia Sun Meal Exports'!F$59</f>
        <v>8.2250000000000004E-2</v>
      </c>
      <c r="BM6" s="141">
        <f>'[2]Russia Sun Meal Exports'!G$59</f>
        <v>0.7881800000000001</v>
      </c>
      <c r="BN6" s="141">
        <f>'[2]Russia Sun Meal Exports'!H$59</f>
        <v>1.4300300000000001</v>
      </c>
      <c r="BO6" s="141">
        <f>'[2]Russia Sun Meal Exports'!I$59</f>
        <v>3.8891300000000002</v>
      </c>
      <c r="BP6" s="141">
        <f>'[2]Russia Sun Meal Exports'!J$59</f>
        <v>3.7135199999999995</v>
      </c>
      <c r="BQ6" s="141">
        <f>'[2]Russia Sun Meal Exports'!K$59</f>
        <v>7.9230199999999993</v>
      </c>
      <c r="BR6" s="141">
        <f>'[2]Russia Sun Meal Exports'!L$59</f>
        <v>21.290179999999999</v>
      </c>
      <c r="BS6" s="141">
        <f>'[2]Russia Sun Meal Exports'!M$59</f>
        <v>16.721280000000004</v>
      </c>
      <c r="BT6" s="141">
        <f>'[2]Russia Sun Meal Exports'!N$59</f>
        <v>26.093</v>
      </c>
      <c r="BU6" s="141">
        <f>'[2]Russia Sun Meal Exports'!O$59</f>
        <v>40.316000000000003</v>
      </c>
      <c r="BV6" s="141">
        <f>'[2]Russia Sun Meal Exports'!P$59</f>
        <v>20.300999999999998</v>
      </c>
      <c r="BW6" s="141">
        <f>'[2]Russia Sun Meal Exports'!Q$59</f>
        <v>31.034000000000006</v>
      </c>
      <c r="BX6" s="141">
        <f>'[2]Russia Sun Meal Exports'!R$59</f>
        <v>21.993999999999996</v>
      </c>
      <c r="BY6" s="141">
        <f>'[2]Russia Sun Meal Exports'!S$59</f>
        <v>15.68</v>
      </c>
      <c r="BZ6" s="141">
        <f>'[2]Russia Sun Meal Exports'!T$59</f>
        <v>42.290999999999997</v>
      </c>
      <c r="CA6" s="141">
        <f>'[2]Russia Sun Meal Exports'!U$59</f>
        <v>42.786000000000001</v>
      </c>
      <c r="CB6" s="141">
        <f>'[2]Russia Sun Meal Exports'!V$59</f>
        <v>45.934999999999995</v>
      </c>
      <c r="CC6" s="141">
        <f>'[2]Russia Sun Meal Exports'!W$59</f>
        <v>44.893000000000001</v>
      </c>
      <c r="CD6" s="141">
        <f>'[2]Russia Sun Meal Exports'!X$59</f>
        <v>65.167000000000002</v>
      </c>
      <c r="CE6" s="141">
        <f>'[2]Russia Sun Meal Exports'!Y$59</f>
        <v>194.13400000000001</v>
      </c>
      <c r="CF6" s="141">
        <f>'[2]Russia Sun Meal Exports'!Z$59</f>
        <v>156.88500000000002</v>
      </c>
      <c r="CG6" s="147">
        <f>'[2]Russia Sun Meal Exports'!AA$59</f>
        <v>242.45600000000002</v>
      </c>
      <c r="CH6" s="141">
        <f>'[2]Russia Sun Meal Exports'!AB$59</f>
        <v>272.85700000000003</v>
      </c>
      <c r="CI6" s="141">
        <f>'[2]Russia Sun Meal Exports'!AC$59</f>
        <v>302.43000000000006</v>
      </c>
      <c r="CJ6" s="143">
        <f>'[2]Russia Sun Meal Exports'!AD$59+236.6</f>
        <v>368.017</v>
      </c>
      <c r="CK6" s="141">
        <f>'[3]Sunflower Meal Exports'!B$59/1.10231</f>
        <v>0</v>
      </c>
      <c r="CL6" s="141">
        <f>'[3]Sunflower Meal Exports'!C$59/1.10231</f>
        <v>0</v>
      </c>
      <c r="CM6" s="141">
        <f>'[3]Sunflower Meal Exports'!D$59/1.10231</f>
        <v>0</v>
      </c>
      <c r="CN6" s="141">
        <f>'[3]Sunflower Meal Exports'!E$59/1.10231</f>
        <v>0</v>
      </c>
      <c r="CO6" s="141">
        <f>'[3]Sunflower Meal Exports'!F$59/1.10231</f>
        <v>0</v>
      </c>
      <c r="CP6" s="141">
        <f>'[3]Sunflower Meal Exports'!G$59/1.10231</f>
        <v>0</v>
      </c>
      <c r="CQ6" s="141">
        <f>'[3]Sunflower Meal Exports'!H$59/1.10231</f>
        <v>0</v>
      </c>
      <c r="CR6" s="141">
        <f>'[3]Sunflower Meal Exports'!I$59/1.10231</f>
        <v>0</v>
      </c>
      <c r="CS6" s="141">
        <f>'[3]Sunflower Meal Exports'!J$59/1.10231</f>
        <v>0</v>
      </c>
      <c r="CT6" s="141">
        <f>'[3]Sunflower Meal Exports'!K$59/1.10231</f>
        <v>0</v>
      </c>
      <c r="CU6" s="141">
        <f>'[3]Sunflower Meal Exports'!L$59/1.10231</f>
        <v>0</v>
      </c>
      <c r="CV6" s="141">
        <f>'[3]Sunflower Meal Exports'!M$59/1.10231</f>
        <v>0</v>
      </c>
      <c r="CW6" s="141">
        <f>'[3]Sunflower Meal Exports'!N$59/1.10231</f>
        <v>0</v>
      </c>
      <c r="CX6" s="141">
        <f>'[3]Sunflower Meal Exports'!O$59/1.10231</f>
        <v>0</v>
      </c>
      <c r="CY6" s="141">
        <f>'[3]Sunflower Meal Exports'!P$59/1.10231</f>
        <v>0</v>
      </c>
      <c r="CZ6" s="141">
        <f>'[3]Sunflower Meal Exports'!Q$59/1.10231</f>
        <v>0</v>
      </c>
      <c r="DA6" s="141">
        <f>'[3]Sunflower Meal Exports'!R$59/1.10231</f>
        <v>0</v>
      </c>
      <c r="DB6" s="141">
        <f>'[3]Sunflower Meal Exports'!S$59/1.10231</f>
        <v>0</v>
      </c>
      <c r="DC6" s="141">
        <f>'[3]Sunflower Meal Exports'!T$59/1.10231</f>
        <v>0</v>
      </c>
      <c r="DD6" s="141">
        <f>'[3]Sunflower Meal Exports'!U$59/1.10231</f>
        <v>0</v>
      </c>
      <c r="DE6" s="141">
        <f>'[3]Sunflower Meal Exports'!V$59/1.10231</f>
        <v>0</v>
      </c>
      <c r="DF6" s="141">
        <f>'[3]Sunflower Meal Exports'!W$59/1.10231</f>
        <v>0</v>
      </c>
      <c r="DG6" s="141">
        <f>'[3]Sunflower Meal Exports'!X$59/1.10231</f>
        <v>0</v>
      </c>
      <c r="DH6" s="141">
        <f>'[3]Sunflower Meal Exports'!Y$59/1.10231</f>
        <v>0</v>
      </c>
      <c r="DI6" s="141">
        <f>'[3]Sunflower Meal Exports'!Z$59/1.10231</f>
        <v>0</v>
      </c>
      <c r="DJ6" s="141">
        <f>'[3]Sunflower Meal Exports'!AA$59/1.10231</f>
        <v>0</v>
      </c>
      <c r="DK6" s="141">
        <f>'[3]Sunflower Meal Exports'!AB$59/1.10231</f>
        <v>0</v>
      </c>
      <c r="DL6" s="141">
        <f>'[3]Sunflower Meal Exports'!AC$59/1.10231</f>
        <v>0</v>
      </c>
      <c r="DM6" s="143">
        <f>'[3]Sunflower Meal Exports'!AD$59/1.10231</f>
        <v>0</v>
      </c>
      <c r="DN6" s="141">
        <f t="shared" si="10"/>
        <v>0</v>
      </c>
      <c r="DO6" s="141">
        <f t="shared" si="10"/>
        <v>0</v>
      </c>
      <c r="DP6" s="141">
        <f t="shared" si="10"/>
        <v>0</v>
      </c>
      <c r="DQ6" s="141">
        <f t="shared" si="10"/>
        <v>4.3789999999999996</v>
      </c>
      <c r="DR6" s="141">
        <f t="shared" si="10"/>
        <v>1.43225</v>
      </c>
      <c r="DS6" s="141">
        <f t="shared" si="4"/>
        <v>0.7881800000000001</v>
      </c>
      <c r="DT6" s="141">
        <f t="shared" si="4"/>
        <v>1.56203</v>
      </c>
      <c r="DU6" s="141">
        <f t="shared" si="4"/>
        <v>9.3861299999999996</v>
      </c>
      <c r="DV6" s="141">
        <f t="shared" si="4"/>
        <v>117.58252</v>
      </c>
      <c r="DW6" s="141">
        <f t="shared" si="5"/>
        <v>189.00402000000003</v>
      </c>
      <c r="DX6" s="141">
        <f t="shared" si="5"/>
        <v>150.93418</v>
      </c>
      <c r="DY6" s="141">
        <f t="shared" si="5"/>
        <v>243.27927999999997</v>
      </c>
      <c r="DZ6" s="141">
        <f t="shared" si="5"/>
        <v>394.67900000000003</v>
      </c>
      <c r="EA6" s="141">
        <f t="shared" si="6"/>
        <v>409.92399999999998</v>
      </c>
      <c r="EB6" s="141">
        <f t="shared" si="6"/>
        <v>454.90300000000002</v>
      </c>
      <c r="EC6" s="141">
        <f t="shared" si="6"/>
        <v>428.36</v>
      </c>
      <c r="ED6" s="141">
        <f t="shared" si="6"/>
        <v>419.81899999999996</v>
      </c>
      <c r="EE6" s="141">
        <f t="shared" si="7"/>
        <v>568.97299999999996</v>
      </c>
      <c r="EF6" s="141">
        <f t="shared" si="7"/>
        <v>647.0809999999999</v>
      </c>
      <c r="EG6" s="141">
        <f t="shared" si="7"/>
        <v>584.904</v>
      </c>
      <c r="EH6" s="141">
        <f t="shared" si="7"/>
        <v>629.07899999999984</v>
      </c>
      <c r="EI6" s="141">
        <f t="shared" si="8"/>
        <v>579.649</v>
      </c>
      <c r="EJ6" s="141">
        <f t="shared" si="8"/>
        <v>565.03099999999995</v>
      </c>
      <c r="EK6" s="141">
        <f t="shared" si="8"/>
        <v>747.07</v>
      </c>
      <c r="EL6" s="141">
        <f t="shared" si="8"/>
        <v>700.77799999999991</v>
      </c>
      <c r="EM6" s="141">
        <f t="shared" si="9"/>
        <v>654.74</v>
      </c>
      <c r="EN6" s="141">
        <f t="shared" si="9"/>
        <v>634.87300000000005</v>
      </c>
      <c r="EO6" s="141">
        <f t="shared" si="9"/>
        <v>546.19300000000021</v>
      </c>
      <c r="EP6" s="145">
        <f t="shared" si="9"/>
        <v>495.64699999999999</v>
      </c>
      <c r="EQ6" s="145">
        <v>600</v>
      </c>
      <c r="ES6" s="141">
        <f t="shared" si="11"/>
        <v>0</v>
      </c>
      <c r="ET6" s="141">
        <f t="shared" si="11"/>
        <v>0</v>
      </c>
    </row>
    <row r="7" spans="1:150">
      <c r="A7" s="148" t="s">
        <v>138</v>
      </c>
      <c r="B7" s="146">
        <f>'[2]EU Sun Meal Exports'!B$88</f>
        <v>0</v>
      </c>
      <c r="C7" s="146">
        <f>'[2]EU Sun Meal Exports'!C$88</f>
        <v>0</v>
      </c>
      <c r="D7" s="146">
        <f>'[2]EU Sun Meal Exports'!D$88</f>
        <v>0</v>
      </c>
      <c r="E7" s="146">
        <f>'[2]EU Sun Meal Exports'!E$88</f>
        <v>0</v>
      </c>
      <c r="F7" s="146">
        <f>'[2]EU Sun Meal Exports'!F$88</f>
        <v>0</v>
      </c>
      <c r="G7" s="146">
        <f>'[2]EU Sun Meal Exports'!G$88</f>
        <v>0</v>
      </c>
      <c r="H7" s="146">
        <f>'[2]EU Sun Meal Exports'!H$88</f>
        <v>0</v>
      </c>
      <c r="I7" s="146">
        <f>'[2]EU Sun Meal Exports'!I$88</f>
        <v>0</v>
      </c>
      <c r="J7" s="146">
        <f>'[2]EU Sun Meal Exports'!J$88</f>
        <v>0</v>
      </c>
      <c r="K7" s="146">
        <f>'[2]EU Sun Meal Exports'!K$88</f>
        <v>0</v>
      </c>
      <c r="L7" s="146">
        <f>'[2]EU Sun Meal Exports'!L$88</f>
        <v>0</v>
      </c>
      <c r="M7" s="146">
        <f>'[2]EU Sun Meal Exports'!M$88</f>
        <v>0</v>
      </c>
      <c r="N7" s="146">
        <f>'[2]EU Sun Meal Exports'!N$88</f>
        <v>0</v>
      </c>
      <c r="O7" s="146">
        <f>'[2]EU Sun Meal Exports'!O$88</f>
        <v>0</v>
      </c>
      <c r="P7" s="141">
        <f>'[2]EU Sun Meal Exports'!P$88</f>
        <v>0</v>
      </c>
      <c r="Q7" s="141">
        <f>'[2]EU Sun Meal Exports'!Q$88</f>
        <v>0</v>
      </c>
      <c r="R7" s="141">
        <f>'[2]EU Sun Meal Exports'!R$88</f>
        <v>0</v>
      </c>
      <c r="S7" s="141">
        <f>'[2]EU Sun Meal Exports'!S$88</f>
        <v>0</v>
      </c>
      <c r="T7" s="141">
        <f>'[2]EU Sun Meal Exports'!T$88</f>
        <v>0</v>
      </c>
      <c r="U7" s="141">
        <f>'[2]EU Sun Meal Exports'!U$88</f>
        <v>0</v>
      </c>
      <c r="V7" s="141">
        <f>'[2]EU Sun Meal Exports'!V$88</f>
        <v>0</v>
      </c>
      <c r="W7" s="141">
        <f>'[2]EU Sun Meal Exports'!W$88</f>
        <v>5.1999999999999998E-2</v>
      </c>
      <c r="X7" s="141">
        <f>'[2]EU Sun Meal Exports'!X$88</f>
        <v>0</v>
      </c>
      <c r="Y7" s="141">
        <f>'[2]EU Sun Meal Exports'!Y$88</f>
        <v>0.27700000000000002</v>
      </c>
      <c r="Z7" s="141">
        <f>'[2]EU Sun Meal Exports'!Z$88</f>
        <v>0</v>
      </c>
      <c r="AA7" s="141">
        <f>'[2]EU Sun Meal Exports'!AA$88</f>
        <v>0</v>
      </c>
      <c r="AB7" s="141">
        <f>'[2]EU Sun Meal Exports'!AB$88</f>
        <v>0</v>
      </c>
      <c r="AC7" s="141">
        <f>'[2]EU Sun Meal Exports'!AC$88</f>
        <v>264.94</v>
      </c>
      <c r="AD7" s="143">
        <f>'[2]EU Sun Meal Exports'!AD$88+108.5</f>
        <v>563.11400000000003</v>
      </c>
      <c r="AE7" s="141">
        <f>'[2]Ukraine Sun Meal Exports'!B$88</f>
        <v>0</v>
      </c>
      <c r="AF7" s="141">
        <f>'[2]Ukraine Sun Meal Exports'!C$88</f>
        <v>0</v>
      </c>
      <c r="AG7" s="141">
        <f>'[2]Ukraine Sun Meal Exports'!D$88</f>
        <v>0</v>
      </c>
      <c r="AH7" s="141">
        <f>'[2]Ukraine Sun Meal Exports'!E$88</f>
        <v>0</v>
      </c>
      <c r="AI7" s="141">
        <f>'[2]Ukraine Sun Meal Exports'!F$88</f>
        <v>0</v>
      </c>
      <c r="AJ7" s="141">
        <f>'[2]Ukraine Sun Meal Exports'!G$88</f>
        <v>0</v>
      </c>
      <c r="AK7" s="141">
        <f>'[2]Ukraine Sun Meal Exports'!H$88</f>
        <v>0</v>
      </c>
      <c r="AL7" s="141">
        <f>'[2]Ukraine Sun Meal Exports'!I$88</f>
        <v>0</v>
      </c>
      <c r="AM7" s="141">
        <f>'[2]Ukraine Sun Meal Exports'!J$88</f>
        <v>0</v>
      </c>
      <c r="AN7" s="141">
        <f>'[2]Ukraine Sun Meal Exports'!K$88</f>
        <v>0</v>
      </c>
      <c r="AO7" s="141">
        <f>'[2]Ukraine Sun Meal Exports'!L$88</f>
        <v>0</v>
      </c>
      <c r="AP7" s="141">
        <f>'[2]Ukraine Sun Meal Exports'!M$88</f>
        <v>0</v>
      </c>
      <c r="AQ7" s="141">
        <f>'[2]Ukraine Sun Meal Exports'!N$88</f>
        <v>0</v>
      </c>
      <c r="AR7" s="141">
        <f>'[2]Ukraine Sun Meal Exports'!O$88</f>
        <v>0</v>
      </c>
      <c r="AS7" s="141">
        <f>'[2]Ukraine Sun Meal Exports'!P$88</f>
        <v>0</v>
      </c>
      <c r="AT7" s="141">
        <f>'[2]Ukraine Sun Meal Exports'!Q$88</f>
        <v>0</v>
      </c>
      <c r="AU7" s="141">
        <f>'[2]Ukraine Sun Meal Exports'!R$88</f>
        <v>0</v>
      </c>
      <c r="AV7" s="141">
        <f>'[2]Ukraine Sun Meal Exports'!S$88</f>
        <v>0</v>
      </c>
      <c r="AW7" s="141">
        <f>'[2]Ukraine Sun Meal Exports'!T$88</f>
        <v>0.183</v>
      </c>
      <c r="AX7" s="141">
        <f>'[2]Ukraine Sun Meal Exports'!U$88</f>
        <v>0</v>
      </c>
      <c r="AY7" s="141">
        <f>'[2]Ukraine Sun Meal Exports'!V$88</f>
        <v>0</v>
      </c>
      <c r="AZ7" s="141">
        <f>'[2]Ukraine Sun Meal Exports'!W$88</f>
        <v>0</v>
      </c>
      <c r="BA7" s="141">
        <f>'[2]Ukraine Sun Meal Exports'!X$88</f>
        <v>0</v>
      </c>
      <c r="BB7" s="141">
        <f>'[2]Ukraine Sun Meal Exports'!Y$88</f>
        <v>0</v>
      </c>
      <c r="BC7" s="141">
        <f>'[2]Ukraine Sun Meal Exports'!Z$88</f>
        <v>162.60400000000001</v>
      </c>
      <c r="BD7" s="141">
        <f>'[2]Ukraine Sun Meal Exports'!AA$88</f>
        <v>1116.7180000000003</v>
      </c>
      <c r="BE7" s="141">
        <f>'[2]Ukraine Sun Meal Exports'!AB$88</f>
        <v>2038.6199999999997</v>
      </c>
      <c r="BF7" s="141">
        <f>'[2]Ukraine Sun Meal Exports'!AC$88</f>
        <v>1931.953</v>
      </c>
      <c r="BG7" s="141">
        <f>'[2]Ukraine Sun Meal Exports'!AD$88+747.5</f>
        <v>2360.924</v>
      </c>
      <c r="BH7" s="141">
        <f>'[2]Russia Sun Meal Exports'!B$88</f>
        <v>0</v>
      </c>
      <c r="BI7" s="141">
        <f>'[2]Russia Sun Meal Exports'!C$88</f>
        <v>0</v>
      </c>
      <c r="BJ7" s="141">
        <f>'[2]Russia Sun Meal Exports'!D$88</f>
        <v>0</v>
      </c>
      <c r="BK7" s="141">
        <f>'[2]Russia Sun Meal Exports'!E$88</f>
        <v>0</v>
      </c>
      <c r="BL7" s="141">
        <f>'[2]Russia Sun Meal Exports'!F$88</f>
        <v>0</v>
      </c>
      <c r="BM7" s="141">
        <f>'[2]Russia Sun Meal Exports'!G$88</f>
        <v>0</v>
      </c>
      <c r="BN7" s="141">
        <f>'[2]Russia Sun Meal Exports'!H$88</f>
        <v>0</v>
      </c>
      <c r="BO7" s="141">
        <f>'[2]Russia Sun Meal Exports'!I$88</f>
        <v>0</v>
      </c>
      <c r="BP7" s="141">
        <f>'[2]Russia Sun Meal Exports'!J$88</f>
        <v>0</v>
      </c>
      <c r="BQ7" s="141">
        <f>'[2]Russia Sun Meal Exports'!K$88</f>
        <v>0</v>
      </c>
      <c r="BR7" s="141">
        <f>'[2]Russia Sun Meal Exports'!L$88</f>
        <v>0</v>
      </c>
      <c r="BS7" s="141">
        <f>'[2]Russia Sun Meal Exports'!M$88</f>
        <v>0</v>
      </c>
      <c r="BT7" s="141">
        <f>'[2]Russia Sun Meal Exports'!N$88</f>
        <v>0</v>
      </c>
      <c r="BU7" s="141">
        <f>'[2]Russia Sun Meal Exports'!O$88</f>
        <v>0</v>
      </c>
      <c r="BV7" s="141">
        <f>'[2]Russia Sun Meal Exports'!P$88</f>
        <v>0</v>
      </c>
      <c r="BW7" s="141">
        <f>'[2]Russia Sun Meal Exports'!Q$88</f>
        <v>0</v>
      </c>
      <c r="BX7" s="141">
        <f>'[2]Russia Sun Meal Exports'!R$88</f>
        <v>0</v>
      </c>
      <c r="BY7" s="141">
        <f>'[2]Russia Sun Meal Exports'!S$88</f>
        <v>0</v>
      </c>
      <c r="BZ7" s="141">
        <f>'[2]Russia Sun Meal Exports'!T$88</f>
        <v>0</v>
      </c>
      <c r="CA7" s="141">
        <f>'[2]Russia Sun Meal Exports'!U$88</f>
        <v>0</v>
      </c>
      <c r="CB7" s="141">
        <f>'[2]Russia Sun Meal Exports'!V$88</f>
        <v>0</v>
      </c>
      <c r="CC7" s="141">
        <f>'[2]Russia Sun Meal Exports'!W$88</f>
        <v>0</v>
      </c>
      <c r="CD7" s="141">
        <f>'[2]Russia Sun Meal Exports'!X$88</f>
        <v>0</v>
      </c>
      <c r="CE7" s="141">
        <f>'[2]Russia Sun Meal Exports'!Y$88</f>
        <v>0</v>
      </c>
      <c r="CF7" s="141">
        <f>'[2]Russia Sun Meal Exports'!Z$88</f>
        <v>0</v>
      </c>
      <c r="CG7" s="147">
        <f>'[2]Russia Sun Meal Exports'!AA$88</f>
        <v>0</v>
      </c>
      <c r="CH7" s="141">
        <f>'[2]Russia Sun Meal Exports'!AB$88</f>
        <v>2.2149999999999999</v>
      </c>
      <c r="CI7" s="141">
        <f>'[2]Russia Sun Meal Exports'!AC$88</f>
        <v>6.58</v>
      </c>
      <c r="CJ7" s="143">
        <f>'[2]Russia Sun Meal Exports'!AD$88</f>
        <v>0</v>
      </c>
      <c r="CK7" s="141">
        <f>'[3]Sunflower Meal Exports'!B$88/1.10231</f>
        <v>0</v>
      </c>
      <c r="CL7" s="141">
        <f>'[3]Sunflower Meal Exports'!C$88/1.10231</f>
        <v>0</v>
      </c>
      <c r="CM7" s="141">
        <f>'[3]Sunflower Meal Exports'!D$88/1.10231</f>
        <v>0</v>
      </c>
      <c r="CN7" s="141">
        <f>'[3]Sunflower Meal Exports'!E$88/1.10231</f>
        <v>0</v>
      </c>
      <c r="CO7" s="141">
        <f>'[3]Sunflower Meal Exports'!F$88/1.10231</f>
        <v>0</v>
      </c>
      <c r="CP7" s="141">
        <f>'[3]Sunflower Meal Exports'!G$88/1.10231</f>
        <v>0</v>
      </c>
      <c r="CQ7" s="141">
        <f>'[3]Sunflower Meal Exports'!H$88/1.10231</f>
        <v>0</v>
      </c>
      <c r="CR7" s="141">
        <f>'[3]Sunflower Meal Exports'!I$88/1.10231</f>
        <v>0</v>
      </c>
      <c r="CS7" s="141">
        <f>'[3]Sunflower Meal Exports'!J$88/1.10231</f>
        <v>0</v>
      </c>
      <c r="CT7" s="141">
        <f>'[3]Sunflower Meal Exports'!K$88/1.10231</f>
        <v>0</v>
      </c>
      <c r="CU7" s="141">
        <f>'[3]Sunflower Meal Exports'!L$88/1.10231</f>
        <v>0</v>
      </c>
      <c r="CV7" s="141">
        <f>'[3]Sunflower Meal Exports'!M$88/1.10231</f>
        <v>0</v>
      </c>
      <c r="CW7" s="141">
        <f>'[3]Sunflower Meal Exports'!N$88/1.10231</f>
        <v>2.120001923233936E-2</v>
      </c>
      <c r="CX7" s="141">
        <f>'[3]Sunflower Meal Exports'!O$88/1.10231</f>
        <v>0</v>
      </c>
      <c r="CY7" s="141">
        <f>'[3]Sunflower Meal Exports'!P$88/1.10231</f>
        <v>0</v>
      </c>
      <c r="CZ7" s="141">
        <f>'[3]Sunflower Meal Exports'!Q$88/1.10231</f>
        <v>0</v>
      </c>
      <c r="DA7" s="141">
        <f>'[3]Sunflower Meal Exports'!R$88/1.10231</f>
        <v>0</v>
      </c>
      <c r="DB7" s="141">
        <f>'[3]Sunflower Meal Exports'!S$88/1.10231</f>
        <v>0</v>
      </c>
      <c r="DC7" s="141">
        <f>'[3]Sunflower Meal Exports'!T$88/1.10231</f>
        <v>0</v>
      </c>
      <c r="DD7" s="141">
        <f>'[3]Sunflower Meal Exports'!U$88/1.10231</f>
        <v>0</v>
      </c>
      <c r="DE7" s="141">
        <f>'[3]Sunflower Meal Exports'!V$88/1.10231</f>
        <v>0</v>
      </c>
      <c r="DF7" s="141">
        <f>'[3]Sunflower Meal Exports'!W$88/1.10231</f>
        <v>0</v>
      </c>
      <c r="DG7" s="141">
        <f>'[3]Sunflower Meal Exports'!X$88/1.10231</f>
        <v>0</v>
      </c>
      <c r="DH7" s="141">
        <f>'[3]Sunflower Meal Exports'!Y$88/1.10231</f>
        <v>0</v>
      </c>
      <c r="DI7" s="141">
        <f>'[3]Sunflower Meal Exports'!Z$88/1.10231</f>
        <v>0</v>
      </c>
      <c r="DJ7" s="141">
        <f>'[3]Sunflower Meal Exports'!AA$88/1.10231</f>
        <v>0</v>
      </c>
      <c r="DK7" s="141">
        <f>'[3]Sunflower Meal Exports'!AB$88/1.10231</f>
        <v>0</v>
      </c>
      <c r="DL7" s="141">
        <f>'[3]Sunflower Meal Exports'!AC$88/1.10231</f>
        <v>0</v>
      </c>
      <c r="DM7" s="143">
        <f>'[3]Sunflower Meal Exports'!AD$88/1.10231</f>
        <v>0</v>
      </c>
      <c r="DN7" s="141">
        <f t="shared" si="10"/>
        <v>0</v>
      </c>
      <c r="DO7" s="141">
        <f t="shared" si="10"/>
        <v>0</v>
      </c>
      <c r="DP7" s="141">
        <f t="shared" si="10"/>
        <v>0</v>
      </c>
      <c r="DQ7" s="141">
        <f t="shared" si="10"/>
        <v>0</v>
      </c>
      <c r="DR7" s="141">
        <f t="shared" si="10"/>
        <v>0</v>
      </c>
      <c r="DS7" s="141">
        <f t="shared" si="4"/>
        <v>0</v>
      </c>
      <c r="DT7" s="141">
        <f t="shared" si="4"/>
        <v>0</v>
      </c>
      <c r="DU7" s="141">
        <f t="shared" si="4"/>
        <v>0</v>
      </c>
      <c r="DV7" s="141">
        <f t="shared" si="4"/>
        <v>0</v>
      </c>
      <c r="DW7" s="141">
        <f t="shared" si="5"/>
        <v>0</v>
      </c>
      <c r="DX7" s="141">
        <f t="shared" si="5"/>
        <v>0</v>
      </c>
      <c r="DY7" s="141">
        <f t="shared" si="5"/>
        <v>0</v>
      </c>
      <c r="DZ7" s="141">
        <f t="shared" si="5"/>
        <v>2.120001923233936E-2</v>
      </c>
      <c r="EA7" s="141">
        <f t="shared" si="6"/>
        <v>0</v>
      </c>
      <c r="EB7" s="141">
        <f t="shared" si="6"/>
        <v>0</v>
      </c>
      <c r="EC7" s="141">
        <f t="shared" si="6"/>
        <v>0</v>
      </c>
      <c r="ED7" s="141">
        <f t="shared" si="6"/>
        <v>0</v>
      </c>
      <c r="EE7" s="141">
        <f t="shared" si="7"/>
        <v>0</v>
      </c>
      <c r="EF7" s="141">
        <f t="shared" si="7"/>
        <v>0.183</v>
      </c>
      <c r="EG7" s="141">
        <f t="shared" si="7"/>
        <v>0</v>
      </c>
      <c r="EH7" s="141">
        <f t="shared" si="7"/>
        <v>0</v>
      </c>
      <c r="EI7" s="141">
        <f t="shared" si="8"/>
        <v>5.1999999999999998E-2</v>
      </c>
      <c r="EJ7" s="141">
        <f t="shared" si="8"/>
        <v>0</v>
      </c>
      <c r="EK7" s="141">
        <f t="shared" si="8"/>
        <v>0.27700000000000002</v>
      </c>
      <c r="EL7" s="141">
        <f t="shared" si="8"/>
        <v>162.60400000000001</v>
      </c>
      <c r="EM7" s="141">
        <f t="shared" si="9"/>
        <v>1116.7180000000003</v>
      </c>
      <c r="EN7" s="141">
        <f t="shared" si="9"/>
        <v>2040.8349999999996</v>
      </c>
      <c r="EO7" s="141">
        <f t="shared" si="9"/>
        <v>2203.473</v>
      </c>
      <c r="EP7" s="145">
        <f>'China Sun Complex'!AD24-525</f>
        <v>1175</v>
      </c>
      <c r="EQ7" s="145">
        <f>'China Sun Complex'!AE24</f>
        <v>1750</v>
      </c>
      <c r="ES7" s="141">
        <f>SUM(BF7+CI7+DL7+AC7)-EO7</f>
        <v>0</v>
      </c>
      <c r="ET7" s="141">
        <f t="shared" si="11"/>
        <v>1749.038</v>
      </c>
    </row>
    <row r="8" spans="1:150">
      <c r="A8" s="149" t="s">
        <v>139</v>
      </c>
      <c r="B8" s="146">
        <f>'[2]EU Sun Meal Exports'!B$103</f>
        <v>0</v>
      </c>
      <c r="C8" s="146">
        <f>'[2]EU Sun Meal Exports'!C$103</f>
        <v>0</v>
      </c>
      <c r="D8" s="146">
        <f>'[2]EU Sun Meal Exports'!D$103</f>
        <v>0</v>
      </c>
      <c r="E8" s="146">
        <f>'[2]EU Sun Meal Exports'!E$103</f>
        <v>0</v>
      </c>
      <c r="F8" s="146">
        <f>'[2]EU Sun Meal Exports'!F$103</f>
        <v>0</v>
      </c>
      <c r="G8" s="146">
        <f>'[2]EU Sun Meal Exports'!G$103</f>
        <v>0</v>
      </c>
      <c r="H8" s="146">
        <f>'[2]EU Sun Meal Exports'!H$103</f>
        <v>0</v>
      </c>
      <c r="I8" s="146">
        <f>'[2]EU Sun Meal Exports'!I$103</f>
        <v>0</v>
      </c>
      <c r="J8" s="146">
        <f>'[2]EU Sun Meal Exports'!J$103</f>
        <v>0</v>
      </c>
      <c r="K8" s="146">
        <f>'[2]EU Sun Meal Exports'!K$103</f>
        <v>0</v>
      </c>
      <c r="L8" s="146">
        <f>'[2]EU Sun Meal Exports'!L$103</f>
        <v>0</v>
      </c>
      <c r="M8" s="146">
        <f>'[2]EU Sun Meal Exports'!M$103</f>
        <v>0</v>
      </c>
      <c r="N8" s="146">
        <f>'[2]EU Sun Meal Exports'!N$103</f>
        <v>0</v>
      </c>
      <c r="O8" s="146">
        <f>'[2]EU Sun Meal Exports'!O$103</f>
        <v>0</v>
      </c>
      <c r="P8" s="141">
        <f>'[2]EU Sun Meal Exports'!P$103</f>
        <v>0</v>
      </c>
      <c r="Q8" s="141">
        <f>'[2]EU Sun Meal Exports'!Q$103</f>
        <v>0</v>
      </c>
      <c r="R8" s="141">
        <f>'[2]EU Sun Meal Exports'!R$103</f>
        <v>0</v>
      </c>
      <c r="S8" s="141">
        <f>'[2]EU Sun Meal Exports'!S$103</f>
        <v>0</v>
      </c>
      <c r="T8" s="141">
        <f>'[2]EU Sun Meal Exports'!T$103</f>
        <v>0</v>
      </c>
      <c r="U8" s="141">
        <f>'[2]EU Sun Meal Exports'!U$103</f>
        <v>0</v>
      </c>
      <c r="V8" s="141">
        <f>'[2]EU Sun Meal Exports'!V$103</f>
        <v>0</v>
      </c>
      <c r="W8" s="141">
        <f>'[2]EU Sun Meal Exports'!W$103</f>
        <v>0</v>
      </c>
      <c r="X8" s="141">
        <f>'[2]EU Sun Meal Exports'!X$103</f>
        <v>0</v>
      </c>
      <c r="Y8" s="141">
        <f>'[2]EU Sun Meal Exports'!Y$103</f>
        <v>0.626</v>
      </c>
      <c r="Z8" s="141">
        <f>'[2]EU Sun Meal Exports'!Z$103</f>
        <v>0.71</v>
      </c>
      <c r="AA8" s="141">
        <f>'[2]EU Sun Meal Exports'!AA$103</f>
        <v>5.0999999999999997E-2</v>
      </c>
      <c r="AB8" s="141">
        <f>'[2]EU Sun Meal Exports'!AB$103</f>
        <v>4.0000000000000001E-3</v>
      </c>
      <c r="AC8" s="141">
        <f>'[2]EU Sun Meal Exports'!AC$103</f>
        <v>0</v>
      </c>
      <c r="AD8" s="143">
        <f>'[2]EU Sun Meal Exports'!AD$103</f>
        <v>0</v>
      </c>
      <c r="AE8" s="141">
        <f>'[2]Ukraine Sun Meal Exports'!B$103</f>
        <v>0</v>
      </c>
      <c r="AF8" s="141">
        <f>'[2]Ukraine Sun Meal Exports'!C$103</f>
        <v>0</v>
      </c>
      <c r="AG8" s="141">
        <f>'[2]Ukraine Sun Meal Exports'!D$103</f>
        <v>0</v>
      </c>
      <c r="AH8" s="141">
        <f>'[2]Ukraine Sun Meal Exports'!E$103</f>
        <v>0</v>
      </c>
      <c r="AI8" s="141">
        <f>'[2]Ukraine Sun Meal Exports'!F$103</f>
        <v>0</v>
      </c>
      <c r="AJ8" s="141">
        <f>'[2]Ukraine Sun Meal Exports'!G$103</f>
        <v>0</v>
      </c>
      <c r="AK8" s="141">
        <f>'[2]Ukraine Sun Meal Exports'!H$103</f>
        <v>0</v>
      </c>
      <c r="AL8" s="141">
        <f>'[2]Ukraine Sun Meal Exports'!I$103</f>
        <v>0</v>
      </c>
      <c r="AM8" s="141">
        <f>'[2]Ukraine Sun Meal Exports'!J$103</f>
        <v>0</v>
      </c>
      <c r="AN8" s="141">
        <f>'[2]Ukraine Sun Meal Exports'!K$103</f>
        <v>0</v>
      </c>
      <c r="AO8" s="141">
        <f>'[2]Ukraine Sun Meal Exports'!L$103</f>
        <v>0</v>
      </c>
      <c r="AP8" s="141">
        <f>'[2]Ukraine Sun Meal Exports'!M$103</f>
        <v>0</v>
      </c>
      <c r="AQ8" s="141">
        <f>'[2]Ukraine Sun Meal Exports'!N$103</f>
        <v>0</v>
      </c>
      <c r="AR8" s="141">
        <f>'[2]Ukraine Sun Meal Exports'!O$103</f>
        <v>0</v>
      </c>
      <c r="AS8" s="141">
        <f>'[2]Ukraine Sun Meal Exports'!P$103</f>
        <v>0</v>
      </c>
      <c r="AT8" s="141">
        <f>'[2]Ukraine Sun Meal Exports'!Q$103</f>
        <v>0</v>
      </c>
      <c r="AU8" s="141">
        <f>'[2]Ukraine Sun Meal Exports'!R$103</f>
        <v>0</v>
      </c>
      <c r="AV8" s="141">
        <f>'[2]Ukraine Sun Meal Exports'!S$103</f>
        <v>0</v>
      </c>
      <c r="AW8" s="141">
        <f>'[2]Ukraine Sun Meal Exports'!T$103</f>
        <v>0</v>
      </c>
      <c r="AX8" s="141">
        <f>'[2]Ukraine Sun Meal Exports'!U$103</f>
        <v>0</v>
      </c>
      <c r="AY8" s="141">
        <f>'[2]Ukraine Sun Meal Exports'!V$103</f>
        <v>0.11</v>
      </c>
      <c r="AZ8" s="141">
        <f>'[2]Ukraine Sun Meal Exports'!W$103</f>
        <v>0.65600000000000003</v>
      </c>
      <c r="BA8" s="141">
        <f>'[2]Ukraine Sun Meal Exports'!X$103</f>
        <v>0.43799999999999994</v>
      </c>
      <c r="BB8" s="141">
        <f>'[2]Ukraine Sun Meal Exports'!Y$103</f>
        <v>0.95599999999999996</v>
      </c>
      <c r="BC8" s="141">
        <f>'[2]Ukraine Sun Meal Exports'!Z$103</f>
        <v>18.331000000000003</v>
      </c>
      <c r="BD8" s="141">
        <f>'[2]Ukraine Sun Meal Exports'!AA$103</f>
        <v>9.8509999999999991</v>
      </c>
      <c r="BE8" s="141">
        <f>'[2]Ukraine Sun Meal Exports'!AB$103</f>
        <v>3.012</v>
      </c>
      <c r="BF8" s="141">
        <f>'[2]Ukraine Sun Meal Exports'!AC$103</f>
        <v>0</v>
      </c>
      <c r="BG8" s="143">
        <f>'[2]Ukraine Sun Meal Exports'!AD$103</f>
        <v>0</v>
      </c>
      <c r="BH8" s="141">
        <f>'[2]Russia Sun Meal Exports'!B$103</f>
        <v>0</v>
      </c>
      <c r="BI8" s="141">
        <f>'[2]Russia Sun Meal Exports'!C$103</f>
        <v>0</v>
      </c>
      <c r="BJ8" s="141">
        <f>'[2]Russia Sun Meal Exports'!D$103</f>
        <v>0</v>
      </c>
      <c r="BK8" s="141">
        <f>'[2]Russia Sun Meal Exports'!E$103</f>
        <v>0</v>
      </c>
      <c r="BL8" s="141">
        <f>'[2]Russia Sun Meal Exports'!F$103</f>
        <v>0</v>
      </c>
      <c r="BM8" s="141">
        <f>'[2]Russia Sun Meal Exports'!G$103</f>
        <v>0</v>
      </c>
      <c r="BN8" s="141">
        <f>'[2]Russia Sun Meal Exports'!H$103</f>
        <v>0</v>
      </c>
      <c r="BO8" s="141">
        <f>'[2]Russia Sun Meal Exports'!I$103</f>
        <v>0</v>
      </c>
      <c r="BP8" s="141">
        <f>'[2]Russia Sun Meal Exports'!J$103</f>
        <v>0</v>
      </c>
      <c r="BQ8" s="141">
        <f>'[2]Russia Sun Meal Exports'!K$103</f>
        <v>0</v>
      </c>
      <c r="BR8" s="141">
        <f>'[2]Russia Sun Meal Exports'!L$103</f>
        <v>0</v>
      </c>
      <c r="BS8" s="141">
        <f>'[2]Russia Sun Meal Exports'!M$103</f>
        <v>0</v>
      </c>
      <c r="BT8" s="141">
        <f>'[2]Russia Sun Meal Exports'!N$103</f>
        <v>0</v>
      </c>
      <c r="BU8" s="141">
        <f>'[2]Russia Sun Meal Exports'!O$103</f>
        <v>0</v>
      </c>
      <c r="BV8" s="141">
        <f>'[2]Russia Sun Meal Exports'!P$103</f>
        <v>0</v>
      </c>
      <c r="BW8" s="141">
        <f>'[2]Russia Sun Meal Exports'!Q$103</f>
        <v>0</v>
      </c>
      <c r="BX8" s="141">
        <f>'[2]Russia Sun Meal Exports'!R$103</f>
        <v>0</v>
      </c>
      <c r="BY8" s="141">
        <f>'[2]Russia Sun Meal Exports'!S$103</f>
        <v>0</v>
      </c>
      <c r="BZ8" s="141">
        <f>'[2]Russia Sun Meal Exports'!T$103</f>
        <v>0</v>
      </c>
      <c r="CA8" s="141">
        <f>'[2]Russia Sun Meal Exports'!U$103</f>
        <v>0</v>
      </c>
      <c r="CB8" s="141">
        <f>'[2]Russia Sun Meal Exports'!V$103</f>
        <v>0</v>
      </c>
      <c r="CC8" s="141">
        <f>'[2]Russia Sun Meal Exports'!W$103</f>
        <v>0</v>
      </c>
      <c r="CD8" s="141">
        <f>'[2]Russia Sun Meal Exports'!X$103</f>
        <v>0</v>
      </c>
      <c r="CE8" s="141">
        <f>'[2]Russia Sun Meal Exports'!Y$103</f>
        <v>0</v>
      </c>
      <c r="CF8" s="141">
        <f>'[2]Russia Sun Meal Exports'!Z$103</f>
        <v>0</v>
      </c>
      <c r="CG8" s="147">
        <f>'[2]Russia Sun Meal Exports'!AA$103</f>
        <v>0</v>
      </c>
      <c r="CH8" s="141">
        <f>'[2]Russia Sun Meal Exports'!AB$103</f>
        <v>0</v>
      </c>
      <c r="CI8" s="141">
        <f>'[2]Russia Sun Meal Exports'!AC$103</f>
        <v>0</v>
      </c>
      <c r="CJ8" s="143">
        <f>'[2]Russia Sun Meal Exports'!AD$103</f>
        <v>0</v>
      </c>
      <c r="CK8" s="141">
        <f>'[3]Sunflower Meal Exports'!B$103/1.10231</f>
        <v>0</v>
      </c>
      <c r="CL8" s="141">
        <f>'[3]Sunflower Meal Exports'!C$103/1.10231</f>
        <v>0</v>
      </c>
      <c r="CM8" s="141">
        <f>'[3]Sunflower Meal Exports'!D$103/1.10231</f>
        <v>0</v>
      </c>
      <c r="CN8" s="141">
        <f>'[3]Sunflower Meal Exports'!E$103/1.10231</f>
        <v>0</v>
      </c>
      <c r="CO8" s="141">
        <f>'[3]Sunflower Meal Exports'!F$103/1.10231</f>
        <v>0</v>
      </c>
      <c r="CP8" s="141">
        <f>'[3]Sunflower Meal Exports'!G$103/1.10231</f>
        <v>0</v>
      </c>
      <c r="CQ8" s="141">
        <f>'[3]Sunflower Meal Exports'!H$103/1.10231</f>
        <v>0</v>
      </c>
      <c r="CR8" s="141">
        <f>'[3]Sunflower Meal Exports'!I$103/1.10231</f>
        <v>0</v>
      </c>
      <c r="CS8" s="141">
        <f>'[3]Sunflower Meal Exports'!J$103/1.10231</f>
        <v>0</v>
      </c>
      <c r="CT8" s="141">
        <f>'[3]Sunflower Meal Exports'!K$103/1.10231</f>
        <v>0</v>
      </c>
      <c r="CU8" s="141">
        <f>'[3]Sunflower Meal Exports'!L$103/1.10231</f>
        <v>0</v>
      </c>
      <c r="CV8" s="141">
        <f>'[3]Sunflower Meal Exports'!M$103/1.10231</f>
        <v>0</v>
      </c>
      <c r="CW8" s="141">
        <f>'[3]Sunflower Meal Exports'!N$103/1.10231</f>
        <v>0</v>
      </c>
      <c r="CX8" s="141">
        <f>'[3]Sunflower Meal Exports'!O$103/1.10231</f>
        <v>0</v>
      </c>
      <c r="CY8" s="141">
        <f>'[3]Sunflower Meal Exports'!P$103/1.10231</f>
        <v>0</v>
      </c>
      <c r="CZ8" s="141">
        <f>'[3]Sunflower Meal Exports'!Q$103/1.10231</f>
        <v>0</v>
      </c>
      <c r="DA8" s="141">
        <f>'[3]Sunflower Meal Exports'!R$103/1.10231</f>
        <v>0</v>
      </c>
      <c r="DB8" s="141">
        <f>'[3]Sunflower Meal Exports'!S$103/1.10231</f>
        <v>0</v>
      </c>
      <c r="DC8" s="141">
        <f>'[3]Sunflower Meal Exports'!T$103/1.10231</f>
        <v>0</v>
      </c>
      <c r="DD8" s="141">
        <f>'[3]Sunflower Meal Exports'!U$103/1.10231</f>
        <v>0</v>
      </c>
      <c r="DE8" s="141">
        <f>'[3]Sunflower Meal Exports'!V$103/1.10231</f>
        <v>7.6200069127559417E-2</v>
      </c>
      <c r="DF8" s="141">
        <f>'[3]Sunflower Meal Exports'!W$103/1.10231</f>
        <v>2.7507024953960322</v>
      </c>
      <c r="DG8" s="141">
        <f>'[3]Sunflower Meal Exports'!X$103/1.10231</f>
        <v>0.40620036849887969</v>
      </c>
      <c r="DH8" s="141">
        <f>'[3]Sunflower Meal Exports'!Y$103/1.10231</f>
        <v>0</v>
      </c>
      <c r="DI8" s="141">
        <f>'[3]Sunflower Meal Exports'!Z$103/1.10231</f>
        <v>0.19387900000000002</v>
      </c>
      <c r="DJ8" s="141">
        <f>'[3]Sunflower Meal Exports'!AA$103/1.10231</f>
        <v>0.15481200000000001</v>
      </c>
      <c r="DK8" s="141">
        <f>'[3]Sunflower Meal Exports'!AB$103/1.10231</f>
        <v>0</v>
      </c>
      <c r="DL8" s="141">
        <f>'[3]Sunflower Meal Exports'!AC$103/1.10231</f>
        <v>0</v>
      </c>
      <c r="DM8" s="143">
        <f>'[3]Sunflower Meal Exports'!AD$103/1.10231</f>
        <v>0</v>
      </c>
      <c r="DN8" s="141">
        <f t="shared" si="10"/>
        <v>0</v>
      </c>
      <c r="DO8" s="141">
        <f t="shared" si="10"/>
        <v>0</v>
      </c>
      <c r="DP8" s="141">
        <f t="shared" si="10"/>
        <v>0</v>
      </c>
      <c r="DQ8" s="141">
        <f t="shared" si="10"/>
        <v>0</v>
      </c>
      <c r="DR8" s="141">
        <f t="shared" si="10"/>
        <v>0</v>
      </c>
      <c r="DS8" s="141">
        <f t="shared" si="4"/>
        <v>0</v>
      </c>
      <c r="DT8" s="141">
        <f t="shared" si="4"/>
        <v>0</v>
      </c>
      <c r="DU8" s="141">
        <f t="shared" si="4"/>
        <v>0</v>
      </c>
      <c r="DV8" s="141">
        <f t="shared" si="4"/>
        <v>0</v>
      </c>
      <c r="DW8" s="141">
        <f t="shared" si="5"/>
        <v>0</v>
      </c>
      <c r="DX8" s="141">
        <f t="shared" si="5"/>
        <v>0</v>
      </c>
      <c r="DY8" s="141">
        <f t="shared" si="5"/>
        <v>0</v>
      </c>
      <c r="DZ8" s="141">
        <f t="shared" si="5"/>
        <v>0</v>
      </c>
      <c r="EA8" s="141">
        <f t="shared" si="6"/>
        <v>0</v>
      </c>
      <c r="EB8" s="141">
        <f t="shared" si="6"/>
        <v>0</v>
      </c>
      <c r="EC8" s="141">
        <f t="shared" si="6"/>
        <v>0</v>
      </c>
      <c r="ED8" s="141">
        <f t="shared" si="6"/>
        <v>0</v>
      </c>
      <c r="EE8" s="141">
        <f t="shared" si="7"/>
        <v>0</v>
      </c>
      <c r="EF8" s="141">
        <f t="shared" si="7"/>
        <v>0</v>
      </c>
      <c r="EG8" s="141">
        <f t="shared" si="7"/>
        <v>0</v>
      </c>
      <c r="EH8" s="141">
        <f t="shared" si="7"/>
        <v>0.18620006912755943</v>
      </c>
      <c r="EI8" s="141">
        <f t="shared" si="8"/>
        <v>3.4067024953960323</v>
      </c>
      <c r="EJ8" s="141">
        <f t="shared" si="8"/>
        <v>0.84420036849887969</v>
      </c>
      <c r="EK8" s="141">
        <f t="shared" si="8"/>
        <v>1.5819999999999999</v>
      </c>
      <c r="EL8" s="141">
        <f t="shared" si="8"/>
        <v>19.234879000000003</v>
      </c>
      <c r="EM8" s="141">
        <f t="shared" si="9"/>
        <v>10.056811999999999</v>
      </c>
      <c r="EN8" s="141">
        <f t="shared" si="9"/>
        <v>3.016</v>
      </c>
      <c r="EO8" s="141">
        <f t="shared" si="9"/>
        <v>0</v>
      </c>
      <c r="EP8" s="145">
        <f t="shared" si="9"/>
        <v>0</v>
      </c>
      <c r="EQ8" s="145">
        <v>0</v>
      </c>
      <c r="ES8" s="141">
        <f t="shared" si="11"/>
        <v>0</v>
      </c>
      <c r="ET8" s="141">
        <f t="shared" si="11"/>
        <v>0</v>
      </c>
    </row>
    <row r="9" spans="1:150">
      <c r="A9" s="149" t="s">
        <v>140</v>
      </c>
      <c r="B9" s="146">
        <f>'[2]EU Sun Meal Exports'!B$104</f>
        <v>0</v>
      </c>
      <c r="C9" s="146">
        <f>'[2]EU Sun Meal Exports'!C$104</f>
        <v>0</v>
      </c>
      <c r="D9" s="146">
        <f>'[2]EU Sun Meal Exports'!D$104</f>
        <v>0</v>
      </c>
      <c r="E9" s="146">
        <f>'[2]EU Sun Meal Exports'!E$104</f>
        <v>0</v>
      </c>
      <c r="F9" s="146">
        <f>'[2]EU Sun Meal Exports'!F$104</f>
        <v>0</v>
      </c>
      <c r="G9" s="146">
        <f>'[2]EU Sun Meal Exports'!G$104</f>
        <v>0</v>
      </c>
      <c r="H9" s="146">
        <f>'[2]EU Sun Meal Exports'!H$104</f>
        <v>0</v>
      </c>
      <c r="I9" s="146">
        <f>'[2]EU Sun Meal Exports'!I$104</f>
        <v>0</v>
      </c>
      <c r="J9" s="146">
        <f>'[2]EU Sun Meal Exports'!J$104</f>
        <v>0</v>
      </c>
      <c r="K9" s="146">
        <f>'[2]EU Sun Meal Exports'!K$104</f>
        <v>0</v>
      </c>
      <c r="L9" s="146">
        <f>'[2]EU Sun Meal Exports'!L$104</f>
        <v>0</v>
      </c>
      <c r="M9" s="146">
        <f>'[2]EU Sun Meal Exports'!M$104</f>
        <v>0</v>
      </c>
      <c r="N9" s="146">
        <f>'[2]EU Sun Meal Exports'!N$104</f>
        <v>0</v>
      </c>
      <c r="O9" s="146">
        <f>'[2]EU Sun Meal Exports'!O$104</f>
        <v>0</v>
      </c>
      <c r="P9" s="141">
        <f>'[2]EU Sun Meal Exports'!P$104</f>
        <v>0</v>
      </c>
      <c r="Q9" s="141">
        <f>'[2]EU Sun Meal Exports'!Q$104</f>
        <v>0</v>
      </c>
      <c r="R9" s="141">
        <f>'[2]EU Sun Meal Exports'!R$104</f>
        <v>0</v>
      </c>
      <c r="S9" s="141">
        <f>'[2]EU Sun Meal Exports'!S$104</f>
        <v>0</v>
      </c>
      <c r="T9" s="141">
        <f>'[2]EU Sun Meal Exports'!T$104</f>
        <v>0</v>
      </c>
      <c r="U9" s="141">
        <f>'[2]EU Sun Meal Exports'!U$104</f>
        <v>0</v>
      </c>
      <c r="V9" s="141">
        <f>'[2]EU Sun Meal Exports'!V$104</f>
        <v>0</v>
      </c>
      <c r="W9" s="141">
        <f>'[2]EU Sun Meal Exports'!W$104</f>
        <v>0</v>
      </c>
      <c r="X9" s="141">
        <f>'[2]EU Sun Meal Exports'!X$104</f>
        <v>0</v>
      </c>
      <c r="Y9" s="141">
        <f>'[2]EU Sun Meal Exports'!Y$104</f>
        <v>0</v>
      </c>
      <c r="Z9" s="141">
        <f>'[2]EU Sun Meal Exports'!Z$104</f>
        <v>0</v>
      </c>
      <c r="AA9" s="141">
        <f>'[2]EU Sun Meal Exports'!AA$104</f>
        <v>0</v>
      </c>
      <c r="AB9" s="141">
        <f>'[2]EU Sun Meal Exports'!AB$104</f>
        <v>0</v>
      </c>
      <c r="AC9" s="141">
        <f>'[2]EU Sun Meal Exports'!AC$104</f>
        <v>0</v>
      </c>
      <c r="AD9" s="143">
        <f>'[2]EU Sun Meal Exports'!AD$104</f>
        <v>0</v>
      </c>
      <c r="AE9" s="141">
        <f>'[2]Ukraine Sun Meal Exports'!B$104</f>
        <v>0</v>
      </c>
      <c r="AF9" s="141">
        <f>'[2]Ukraine Sun Meal Exports'!C$104</f>
        <v>0</v>
      </c>
      <c r="AG9" s="141">
        <f>'[2]Ukraine Sun Meal Exports'!D$104</f>
        <v>0</v>
      </c>
      <c r="AH9" s="141">
        <f>'[2]Ukraine Sun Meal Exports'!E$104</f>
        <v>0</v>
      </c>
      <c r="AI9" s="141">
        <f>'[2]Ukraine Sun Meal Exports'!F$104</f>
        <v>0</v>
      </c>
      <c r="AJ9" s="141">
        <f>'[2]Ukraine Sun Meal Exports'!G$104</f>
        <v>0</v>
      </c>
      <c r="AK9" s="141">
        <f>'[2]Ukraine Sun Meal Exports'!H$104</f>
        <v>0</v>
      </c>
      <c r="AL9" s="141">
        <f>'[2]Ukraine Sun Meal Exports'!I$104</f>
        <v>0</v>
      </c>
      <c r="AM9" s="141">
        <f>'[2]Ukraine Sun Meal Exports'!J$104</f>
        <v>0</v>
      </c>
      <c r="AN9" s="141">
        <f>'[2]Ukraine Sun Meal Exports'!K$104</f>
        <v>0</v>
      </c>
      <c r="AO9" s="141">
        <f>'[2]Ukraine Sun Meal Exports'!L$104</f>
        <v>0</v>
      </c>
      <c r="AP9" s="141">
        <f>'[2]Ukraine Sun Meal Exports'!M$104</f>
        <v>0</v>
      </c>
      <c r="AQ9" s="141">
        <f>'[2]Ukraine Sun Meal Exports'!N$104</f>
        <v>0</v>
      </c>
      <c r="AR9" s="141">
        <f>'[2]Ukraine Sun Meal Exports'!O$104</f>
        <v>0</v>
      </c>
      <c r="AS9" s="141">
        <f>'[2]Ukraine Sun Meal Exports'!P$104</f>
        <v>0</v>
      </c>
      <c r="AT9" s="141">
        <f>'[2]Ukraine Sun Meal Exports'!Q$104</f>
        <v>0</v>
      </c>
      <c r="AU9" s="141">
        <f>'[2]Ukraine Sun Meal Exports'!R$104</f>
        <v>0</v>
      </c>
      <c r="AV9" s="141">
        <f>'[2]Ukraine Sun Meal Exports'!S$104</f>
        <v>0</v>
      </c>
      <c r="AW9" s="141">
        <f>'[2]Ukraine Sun Meal Exports'!T$104</f>
        <v>0</v>
      </c>
      <c r="AX9" s="141">
        <f>'[2]Ukraine Sun Meal Exports'!U$104</f>
        <v>0</v>
      </c>
      <c r="AY9" s="141">
        <f>'[2]Ukraine Sun Meal Exports'!V$104</f>
        <v>0</v>
      </c>
      <c r="AZ9" s="141">
        <f>'[2]Ukraine Sun Meal Exports'!W$104</f>
        <v>0</v>
      </c>
      <c r="BA9" s="141">
        <f>'[2]Ukraine Sun Meal Exports'!X$104</f>
        <v>0</v>
      </c>
      <c r="BB9" s="141">
        <f>'[2]Ukraine Sun Meal Exports'!Y$104</f>
        <v>0</v>
      </c>
      <c r="BC9" s="141">
        <f>'[2]Ukraine Sun Meal Exports'!Z$104</f>
        <v>0</v>
      </c>
      <c r="BD9" s="141">
        <f>'[2]Ukraine Sun Meal Exports'!AA$104</f>
        <v>0</v>
      </c>
      <c r="BE9" s="141">
        <f>'[2]Ukraine Sun Meal Exports'!AB$104</f>
        <v>0</v>
      </c>
      <c r="BF9" s="141">
        <f>'[2]Ukraine Sun Meal Exports'!AC$104</f>
        <v>0</v>
      </c>
      <c r="BG9" s="143">
        <f>'[2]Ukraine Sun Meal Exports'!AD$104</f>
        <v>0</v>
      </c>
      <c r="BH9" s="141">
        <f>'[2]Russia Sun Meal Exports'!B$104</f>
        <v>0</v>
      </c>
      <c r="BI9" s="141">
        <f>'[2]Russia Sun Meal Exports'!C$104</f>
        <v>0</v>
      </c>
      <c r="BJ9" s="141">
        <f>'[2]Russia Sun Meal Exports'!D$104</f>
        <v>0</v>
      </c>
      <c r="BK9" s="141">
        <f>'[2]Russia Sun Meal Exports'!E$104</f>
        <v>0</v>
      </c>
      <c r="BL9" s="141">
        <f>'[2]Russia Sun Meal Exports'!F$104</f>
        <v>0</v>
      </c>
      <c r="BM9" s="141">
        <f>'[2]Russia Sun Meal Exports'!G$104</f>
        <v>0</v>
      </c>
      <c r="BN9" s="141">
        <f>'[2]Russia Sun Meal Exports'!H$104</f>
        <v>0</v>
      </c>
      <c r="BO9" s="141">
        <f>'[2]Russia Sun Meal Exports'!I$104</f>
        <v>0</v>
      </c>
      <c r="BP9" s="141">
        <f>'[2]Russia Sun Meal Exports'!J$104</f>
        <v>0</v>
      </c>
      <c r="BQ9" s="141">
        <f>'[2]Russia Sun Meal Exports'!K$104</f>
        <v>0</v>
      </c>
      <c r="BR9" s="141">
        <f>'[2]Russia Sun Meal Exports'!L$104</f>
        <v>0</v>
      </c>
      <c r="BS9" s="141">
        <f>'[2]Russia Sun Meal Exports'!M$104</f>
        <v>0</v>
      </c>
      <c r="BT9" s="141">
        <f>'[2]Russia Sun Meal Exports'!N$104</f>
        <v>1.2999999999999999E-2</v>
      </c>
      <c r="BU9" s="141">
        <f>'[2]Russia Sun Meal Exports'!O$104</f>
        <v>0.221</v>
      </c>
      <c r="BV9" s="141">
        <f>'[2]Russia Sun Meal Exports'!P$104</f>
        <v>0</v>
      </c>
      <c r="BW9" s="141">
        <f>'[2]Russia Sun Meal Exports'!Q$104</f>
        <v>19.407999999999998</v>
      </c>
      <c r="BX9" s="141">
        <f>'[2]Russia Sun Meal Exports'!R$104</f>
        <v>38.710999999999999</v>
      </c>
      <c r="BY9" s="141">
        <f>'[2]Russia Sun Meal Exports'!S$104</f>
        <v>2.3330000000000002</v>
      </c>
      <c r="BZ9" s="141">
        <f>'[2]Russia Sun Meal Exports'!T$104</f>
        <v>40.978999999999999</v>
      </c>
      <c r="CA9" s="141">
        <f>'[2]Russia Sun Meal Exports'!U$104</f>
        <v>3.391</v>
      </c>
      <c r="CB9" s="141">
        <f>'[2]Russia Sun Meal Exports'!V$104</f>
        <v>25.393999999999998</v>
      </c>
      <c r="CC9" s="141">
        <f>'[2]Russia Sun Meal Exports'!W$104</f>
        <v>0.21500000000000002</v>
      </c>
      <c r="CD9" s="141">
        <f>'[2]Russia Sun Meal Exports'!X$104</f>
        <v>31.625</v>
      </c>
      <c r="CE9" s="141">
        <f>'[2]Russia Sun Meal Exports'!Y$104</f>
        <v>6.7279999999999998</v>
      </c>
      <c r="CF9" s="141">
        <f>'[2]Russia Sun Meal Exports'!Z$104</f>
        <v>17.527999999999999</v>
      </c>
      <c r="CG9" s="147">
        <f>'[2]Russia Sun Meal Exports'!AA$104</f>
        <v>0</v>
      </c>
      <c r="CH9" s="141">
        <f>'[2]Russia Sun Meal Exports'!AB$104</f>
        <v>0</v>
      </c>
      <c r="CI9" s="141">
        <f>'[2]Russia Sun Meal Exports'!AC$104</f>
        <v>0</v>
      </c>
      <c r="CJ9" s="143">
        <f>'[2]Russia Sun Meal Exports'!AD$104</f>
        <v>0</v>
      </c>
      <c r="CK9" s="141">
        <f>'[3]Sunflower Meal Exports'!B$104/1.10231</f>
        <v>0</v>
      </c>
      <c r="CL9" s="141">
        <f>'[3]Sunflower Meal Exports'!C$104/1.10231</f>
        <v>0</v>
      </c>
      <c r="CM9" s="141">
        <f>'[3]Sunflower Meal Exports'!D$104/1.10231</f>
        <v>0</v>
      </c>
      <c r="CN9" s="141">
        <f>'[3]Sunflower Meal Exports'!E$104/1.10231</f>
        <v>0</v>
      </c>
      <c r="CO9" s="141">
        <f>'[3]Sunflower Meal Exports'!F$104/1.10231</f>
        <v>0</v>
      </c>
      <c r="CP9" s="141">
        <f>'[3]Sunflower Meal Exports'!G$104/1.10231</f>
        <v>0</v>
      </c>
      <c r="CQ9" s="141">
        <f>'[3]Sunflower Meal Exports'!H$104/1.10231</f>
        <v>0</v>
      </c>
      <c r="CR9" s="141">
        <f>'[3]Sunflower Meal Exports'!I$104/1.10231</f>
        <v>0</v>
      </c>
      <c r="CS9" s="141">
        <f>'[3]Sunflower Meal Exports'!J$104/1.10231</f>
        <v>0</v>
      </c>
      <c r="CT9" s="141">
        <f>'[3]Sunflower Meal Exports'!K$104/1.10231</f>
        <v>0</v>
      </c>
      <c r="CU9" s="141">
        <f>'[3]Sunflower Meal Exports'!L$104/1.10231</f>
        <v>0</v>
      </c>
      <c r="CV9" s="141">
        <f>'[3]Sunflower Meal Exports'!M$104/1.10231</f>
        <v>0</v>
      </c>
      <c r="CW9" s="141">
        <f>'[3]Sunflower Meal Exports'!N$104/1.10231</f>
        <v>0</v>
      </c>
      <c r="CX9" s="141">
        <f>'[3]Sunflower Meal Exports'!O$104/1.10231</f>
        <v>0</v>
      </c>
      <c r="CY9" s="141">
        <f>'[3]Sunflower Meal Exports'!P$104/1.10231</f>
        <v>0</v>
      </c>
      <c r="CZ9" s="141">
        <f>'[3]Sunflower Meal Exports'!Q$104/1.10231</f>
        <v>0</v>
      </c>
      <c r="DA9" s="141">
        <f>'[3]Sunflower Meal Exports'!R$104/1.10231</f>
        <v>0</v>
      </c>
      <c r="DB9" s="141">
        <f>'[3]Sunflower Meal Exports'!S$104/1.10231</f>
        <v>0</v>
      </c>
      <c r="DC9" s="141">
        <f>'[3]Sunflower Meal Exports'!T$104/1.10231</f>
        <v>0</v>
      </c>
      <c r="DD9" s="141">
        <f>'[3]Sunflower Meal Exports'!U$104/1.10231</f>
        <v>0</v>
      </c>
      <c r="DE9" s="141">
        <f>'[3]Sunflower Meal Exports'!V$104/1.10231</f>
        <v>0</v>
      </c>
      <c r="DF9" s="141">
        <f>'[3]Sunflower Meal Exports'!W$104/1.10231</f>
        <v>0</v>
      </c>
      <c r="DG9" s="141">
        <f>'[3]Sunflower Meal Exports'!X$104/1.10231</f>
        <v>0</v>
      </c>
      <c r="DH9" s="141">
        <f>'[3]Sunflower Meal Exports'!Y$104/1.10231</f>
        <v>0</v>
      </c>
      <c r="DI9" s="141">
        <f>'[3]Sunflower Meal Exports'!Z$104/1.10231</f>
        <v>0</v>
      </c>
      <c r="DJ9" s="141">
        <f>'[3]Sunflower Meal Exports'!AA$104/1.10231</f>
        <v>0</v>
      </c>
      <c r="DK9" s="141">
        <f>'[3]Sunflower Meal Exports'!AB$104/1.10231</f>
        <v>0</v>
      </c>
      <c r="DL9" s="141">
        <f>'[3]Sunflower Meal Exports'!AC$104/1.10231</f>
        <v>0</v>
      </c>
      <c r="DM9" s="143">
        <f>'[3]Sunflower Meal Exports'!AD$104/1.10231</f>
        <v>0</v>
      </c>
      <c r="DN9" s="141">
        <f t="shared" si="10"/>
        <v>0</v>
      </c>
      <c r="DO9" s="141">
        <f t="shared" si="10"/>
        <v>0</v>
      </c>
      <c r="DP9" s="141">
        <f t="shared" si="10"/>
        <v>0</v>
      </c>
      <c r="DQ9" s="141">
        <f t="shared" si="10"/>
        <v>0</v>
      </c>
      <c r="DR9" s="141">
        <f t="shared" si="10"/>
        <v>0</v>
      </c>
      <c r="DS9" s="141">
        <f t="shared" si="4"/>
        <v>0</v>
      </c>
      <c r="DT9" s="141">
        <f t="shared" si="4"/>
        <v>0</v>
      </c>
      <c r="DU9" s="141">
        <f t="shared" si="4"/>
        <v>0</v>
      </c>
      <c r="DV9" s="141">
        <f t="shared" si="4"/>
        <v>0</v>
      </c>
      <c r="DW9" s="141">
        <f t="shared" si="5"/>
        <v>0</v>
      </c>
      <c r="DX9" s="141">
        <f t="shared" si="5"/>
        <v>0</v>
      </c>
      <c r="DY9" s="141">
        <f t="shared" si="5"/>
        <v>0</v>
      </c>
      <c r="DZ9" s="141">
        <f t="shared" si="5"/>
        <v>1.2999999999999999E-2</v>
      </c>
      <c r="EA9" s="141">
        <f t="shared" si="6"/>
        <v>0.221</v>
      </c>
      <c r="EB9" s="141">
        <f t="shared" si="6"/>
        <v>0</v>
      </c>
      <c r="EC9" s="141">
        <f t="shared" si="6"/>
        <v>19.407999999999998</v>
      </c>
      <c r="ED9" s="141">
        <f t="shared" si="6"/>
        <v>38.710999999999999</v>
      </c>
      <c r="EE9" s="141">
        <f t="shared" si="7"/>
        <v>2.3330000000000002</v>
      </c>
      <c r="EF9" s="141">
        <f t="shared" si="7"/>
        <v>40.978999999999999</v>
      </c>
      <c r="EG9" s="141">
        <f t="shared" si="7"/>
        <v>3.391</v>
      </c>
      <c r="EH9" s="141">
        <f t="shared" si="7"/>
        <v>25.393999999999998</v>
      </c>
      <c r="EI9" s="141">
        <f t="shared" si="8"/>
        <v>0.21500000000000002</v>
      </c>
      <c r="EJ9" s="141">
        <f t="shared" si="8"/>
        <v>31.625</v>
      </c>
      <c r="EK9" s="141">
        <f t="shared" si="8"/>
        <v>6.7279999999999998</v>
      </c>
      <c r="EL9" s="141">
        <f t="shared" si="8"/>
        <v>17.527999999999999</v>
      </c>
      <c r="EM9" s="141">
        <f t="shared" si="9"/>
        <v>0</v>
      </c>
      <c r="EN9" s="141">
        <f t="shared" si="9"/>
        <v>0</v>
      </c>
      <c r="EO9" s="141">
        <f t="shared" si="9"/>
        <v>0</v>
      </c>
      <c r="EP9" s="145">
        <f t="shared" si="9"/>
        <v>0</v>
      </c>
      <c r="EQ9" s="145">
        <v>0</v>
      </c>
      <c r="ES9" s="141">
        <f t="shared" si="11"/>
        <v>0</v>
      </c>
      <c r="ET9" s="141">
        <f t="shared" si="11"/>
        <v>0</v>
      </c>
    </row>
    <row r="10" spans="1:150">
      <c r="A10" s="149" t="s">
        <v>141</v>
      </c>
      <c r="B10" s="146">
        <f>'[2]EU Sun Meal Exports'!B$107</f>
        <v>0</v>
      </c>
      <c r="C10" s="146">
        <f>'[2]EU Sun Meal Exports'!C$107</f>
        <v>0</v>
      </c>
      <c r="D10" s="146">
        <f>'[2]EU Sun Meal Exports'!D$107</f>
        <v>0</v>
      </c>
      <c r="E10" s="146">
        <f>'[2]EU Sun Meal Exports'!E$107</f>
        <v>4.8049999999999997</v>
      </c>
      <c r="F10" s="146">
        <f>'[2]EU Sun Meal Exports'!F$107</f>
        <v>0</v>
      </c>
      <c r="G10" s="146">
        <f>'[2]EU Sun Meal Exports'!G$107</f>
        <v>18.978999999999999</v>
      </c>
      <c r="H10" s="146">
        <f>'[2]EU Sun Meal Exports'!H$107</f>
        <v>20.696000000000002</v>
      </c>
      <c r="I10" s="146">
        <f>'[2]EU Sun Meal Exports'!I$107</f>
        <v>10.768999999999998</v>
      </c>
      <c r="J10" s="146">
        <f>'[2]EU Sun Meal Exports'!J$107</f>
        <v>13.381</v>
      </c>
      <c r="K10" s="146">
        <f>'[2]EU Sun Meal Exports'!K$107</f>
        <v>4.202</v>
      </c>
      <c r="L10" s="146">
        <f>'[2]EU Sun Meal Exports'!L$107</f>
        <v>15.702999999999999</v>
      </c>
      <c r="M10" s="146">
        <f>'[2]EU Sun Meal Exports'!M$107</f>
        <v>18.878999999999998</v>
      </c>
      <c r="N10" s="146">
        <f>'[2]EU Sun Meal Exports'!N$107</f>
        <v>2.1040000000000001</v>
      </c>
      <c r="O10" s="146">
        <f>'[2]EU Sun Meal Exports'!O$107</f>
        <v>2.4729999999999999</v>
      </c>
      <c r="P10" s="141">
        <f>'[2]EU Sun Meal Exports'!P$107</f>
        <v>0</v>
      </c>
      <c r="Q10" s="141">
        <f>'[2]EU Sun Meal Exports'!Q$107</f>
        <v>3.3</v>
      </c>
      <c r="R10" s="141">
        <f>'[2]EU Sun Meal Exports'!R$107</f>
        <v>0</v>
      </c>
      <c r="S10" s="141">
        <f>'[2]EU Sun Meal Exports'!S$107</f>
        <v>0</v>
      </c>
      <c r="T10" s="141">
        <f>'[2]EU Sun Meal Exports'!T$107</f>
        <v>2.9990000000000001</v>
      </c>
      <c r="U10" s="141">
        <f>'[2]EU Sun Meal Exports'!U$107</f>
        <v>5.9740000000000002</v>
      </c>
      <c r="V10" s="141">
        <f>'[2]EU Sun Meal Exports'!V$107</f>
        <v>6.1749999999999998</v>
      </c>
      <c r="W10" s="141">
        <f>'[2]EU Sun Meal Exports'!W$107</f>
        <v>28.431999999999999</v>
      </c>
      <c r="X10" s="141">
        <f>'[2]EU Sun Meal Exports'!X$107</f>
        <v>32.315999999999995</v>
      </c>
      <c r="Y10" s="141">
        <f>'[2]EU Sun Meal Exports'!Y$107</f>
        <v>73.667999999999992</v>
      </c>
      <c r="Z10" s="141">
        <f>'[2]EU Sun Meal Exports'!Z$107</f>
        <v>88.013000000000005</v>
      </c>
      <c r="AA10" s="141">
        <f>'[2]EU Sun Meal Exports'!AA$107</f>
        <v>76.548999999999992</v>
      </c>
      <c r="AB10" s="141">
        <f>'[2]EU Sun Meal Exports'!AB$107</f>
        <v>59.073000000000008</v>
      </c>
      <c r="AC10" s="141">
        <f>'[2]EU Sun Meal Exports'!AC$107</f>
        <v>41.536999999999999</v>
      </c>
      <c r="AD10" s="143">
        <f>'[2]EU Sun Meal Exports'!AD$107</f>
        <v>126.021</v>
      </c>
      <c r="AE10" s="141">
        <f>'[2]Ukraine Sun Meal Exports'!B$107</f>
        <v>0</v>
      </c>
      <c r="AF10" s="141">
        <f>'[2]Ukraine Sun Meal Exports'!C$107</f>
        <v>0</v>
      </c>
      <c r="AG10" s="141">
        <f>'[2]Ukraine Sun Meal Exports'!D$107</f>
        <v>0</v>
      </c>
      <c r="AH10" s="141">
        <f>'[2]Ukraine Sun Meal Exports'!E$107</f>
        <v>0</v>
      </c>
      <c r="AI10" s="141">
        <f>'[2]Ukraine Sun Meal Exports'!F$107</f>
        <v>0</v>
      </c>
      <c r="AJ10" s="141">
        <f>'[2]Ukraine Sun Meal Exports'!G$107</f>
        <v>0</v>
      </c>
      <c r="AK10" s="141">
        <f>'[2]Ukraine Sun Meal Exports'!H$107</f>
        <v>0</v>
      </c>
      <c r="AL10" s="141">
        <f>'[2]Ukraine Sun Meal Exports'!I$107</f>
        <v>0</v>
      </c>
      <c r="AM10" s="141">
        <f>'[2]Ukraine Sun Meal Exports'!J$107</f>
        <v>16.868000000000002</v>
      </c>
      <c r="AN10" s="141">
        <f>'[2]Ukraine Sun Meal Exports'!K$107</f>
        <v>41.349999999999994</v>
      </c>
      <c r="AO10" s="141">
        <f>'[2]Ukraine Sun Meal Exports'!L$107</f>
        <v>78.852000000000004</v>
      </c>
      <c r="AP10" s="141">
        <f>'[2]Ukraine Sun Meal Exports'!M$107</f>
        <v>97.502000000000024</v>
      </c>
      <c r="AQ10" s="141">
        <f>'[2]Ukraine Sun Meal Exports'!N$107</f>
        <v>150.113</v>
      </c>
      <c r="AR10" s="141">
        <f>'[2]Ukraine Sun Meal Exports'!O$107</f>
        <v>193.90699999999998</v>
      </c>
      <c r="AS10" s="141">
        <f>'[2]Ukraine Sun Meal Exports'!P$107</f>
        <v>100.61999999999999</v>
      </c>
      <c r="AT10" s="141">
        <f>'[2]Ukraine Sun Meal Exports'!Q$107</f>
        <v>244.79500000000004</v>
      </c>
      <c r="AU10" s="141">
        <f>'[2]Ukraine Sun Meal Exports'!R$107</f>
        <v>240.42399999999998</v>
      </c>
      <c r="AV10" s="141">
        <f>'[2]Ukraine Sun Meal Exports'!S$107</f>
        <v>189.714</v>
      </c>
      <c r="AW10" s="141">
        <f>'[2]Ukraine Sun Meal Exports'!T$107</f>
        <v>189.48199999999997</v>
      </c>
      <c r="AX10" s="141">
        <f>'[2]Ukraine Sun Meal Exports'!U$107</f>
        <v>147.55200000000002</v>
      </c>
      <c r="AY10" s="141">
        <f>'[2]Ukraine Sun Meal Exports'!V$107</f>
        <v>200.017</v>
      </c>
      <c r="AZ10" s="141">
        <f>'[2]Ukraine Sun Meal Exports'!W$107</f>
        <v>192.01599999999999</v>
      </c>
      <c r="BA10" s="141">
        <f>'[2]Ukraine Sun Meal Exports'!X$107</f>
        <v>175.87400000000002</v>
      </c>
      <c r="BB10" s="141">
        <f>'[2]Ukraine Sun Meal Exports'!Y$107</f>
        <v>161.89899999999997</v>
      </c>
      <c r="BC10" s="141">
        <f>'[2]Ukraine Sun Meal Exports'!Z$107</f>
        <v>134.78899999999999</v>
      </c>
      <c r="BD10" s="141">
        <f>'[2]Ukraine Sun Meal Exports'!AA$107</f>
        <v>115.467</v>
      </c>
      <c r="BE10" s="141">
        <f>'[2]Ukraine Sun Meal Exports'!AB$107</f>
        <v>120.16499999999999</v>
      </c>
      <c r="BF10" s="141">
        <f>'[2]Ukraine Sun Meal Exports'!AC$107</f>
        <v>118.80099999999999</v>
      </c>
      <c r="BG10" s="141">
        <f>'[2]Ukraine Sun Meal Exports'!AD$107</f>
        <v>32.302</v>
      </c>
      <c r="BH10" s="141">
        <f>'[2]Russia Sun Meal Exports'!B$107</f>
        <v>0</v>
      </c>
      <c r="BI10" s="141">
        <f>'[2]Russia Sun Meal Exports'!C$107</f>
        <v>0</v>
      </c>
      <c r="BJ10" s="141">
        <f>'[2]Russia Sun Meal Exports'!D$107</f>
        <v>0</v>
      </c>
      <c r="BK10" s="141">
        <f>'[2]Russia Sun Meal Exports'!E$107</f>
        <v>0</v>
      </c>
      <c r="BL10" s="141">
        <f>'[2]Russia Sun Meal Exports'!F$107</f>
        <v>0</v>
      </c>
      <c r="BM10" s="141">
        <f>'[2]Russia Sun Meal Exports'!G$107</f>
        <v>1.99</v>
      </c>
      <c r="BN10" s="141">
        <f>'[2]Russia Sun Meal Exports'!H$107</f>
        <v>21.519351</v>
      </c>
      <c r="BO10" s="141">
        <f>'[2]Russia Sun Meal Exports'!I$107</f>
        <v>20.537597999999999</v>
      </c>
      <c r="BP10" s="141">
        <f>'[2]Russia Sun Meal Exports'!J$107</f>
        <v>5.7405429999999997</v>
      </c>
      <c r="BQ10" s="141">
        <f>'[2]Russia Sun Meal Exports'!K$107</f>
        <v>4.7800399999999996</v>
      </c>
      <c r="BR10" s="141">
        <f>'[2]Russia Sun Meal Exports'!L$107</f>
        <v>22.339988999999999</v>
      </c>
      <c r="BS10" s="141">
        <f>'[2]Russia Sun Meal Exports'!M$107</f>
        <v>25.426956000000001</v>
      </c>
      <c r="BT10" s="141">
        <f>'[2]Russia Sun Meal Exports'!N$107</f>
        <v>53.656000000000013</v>
      </c>
      <c r="BU10" s="141">
        <f>'[2]Russia Sun Meal Exports'!O$107</f>
        <v>41.552</v>
      </c>
      <c r="BV10" s="141">
        <f>'[2]Russia Sun Meal Exports'!P$107</f>
        <v>39.463999999999999</v>
      </c>
      <c r="BW10" s="141">
        <f>'[2]Russia Sun Meal Exports'!Q$107</f>
        <v>4.3650000000000002</v>
      </c>
      <c r="BX10" s="141">
        <f>'[2]Russia Sun Meal Exports'!R$107</f>
        <v>5.1310000000000002</v>
      </c>
      <c r="BY10" s="141">
        <f>'[2]Russia Sun Meal Exports'!S$107</f>
        <v>10.148</v>
      </c>
      <c r="BZ10" s="141">
        <f>'[2]Russia Sun Meal Exports'!T$107</f>
        <v>65.78</v>
      </c>
      <c r="CA10" s="141">
        <f>'[2]Russia Sun Meal Exports'!U$107</f>
        <v>67.731999999999999</v>
      </c>
      <c r="CB10" s="141">
        <f>'[2]Russia Sun Meal Exports'!V$107</f>
        <v>49.792000000000002</v>
      </c>
      <c r="CC10" s="141">
        <f>'[2]Russia Sun Meal Exports'!W$107</f>
        <v>14.715</v>
      </c>
      <c r="CD10" s="141">
        <f>'[2]Russia Sun Meal Exports'!X$107</f>
        <v>9.3709999999999987</v>
      </c>
      <c r="CE10" s="141">
        <f>'[2]Russia Sun Meal Exports'!Y$107</f>
        <v>5.1319999999999997</v>
      </c>
      <c r="CF10" s="141">
        <f>'[2]Russia Sun Meal Exports'!Z$107</f>
        <v>0</v>
      </c>
      <c r="CG10" s="147">
        <f>'[2]Russia Sun Meal Exports'!AA$107</f>
        <v>4.59</v>
      </c>
      <c r="CH10" s="141">
        <f>'[2]Russia Sun Meal Exports'!AB$107</f>
        <v>9.3109999999999999</v>
      </c>
      <c r="CI10" s="141">
        <f>'[2]Russia Sun Meal Exports'!AC$107</f>
        <v>0</v>
      </c>
      <c r="CJ10" s="143">
        <f>'[2]Russia Sun Meal Exports'!AD$107</f>
        <v>0</v>
      </c>
      <c r="CK10" s="141">
        <f>'[3]Sunflower Meal Exports'!B$107/1.10231</f>
        <v>0</v>
      </c>
      <c r="CL10" s="141">
        <f>'[3]Sunflower Meal Exports'!C$107/1.10231</f>
        <v>0.80000072574865511</v>
      </c>
      <c r="CM10" s="141">
        <f>'[3]Sunflower Meal Exports'!D$107/1.10231</f>
        <v>0</v>
      </c>
      <c r="CN10" s="141">
        <f>'[3]Sunflower Meal Exports'!E$107/1.10231</f>
        <v>0</v>
      </c>
      <c r="CO10" s="141">
        <f>'[3]Sunflower Meal Exports'!F$107/1.10231</f>
        <v>0</v>
      </c>
      <c r="CP10" s="141">
        <f>'[3]Sunflower Meal Exports'!G$107/1.10231</f>
        <v>0</v>
      </c>
      <c r="CQ10" s="141">
        <f>'[3]Sunflower Meal Exports'!H$107/1.10231</f>
        <v>0</v>
      </c>
      <c r="CR10" s="141">
        <f>'[3]Sunflower Meal Exports'!I$107/1.10231</f>
        <v>0</v>
      </c>
      <c r="CS10" s="141">
        <f>'[3]Sunflower Meal Exports'!J$107/1.10231</f>
        <v>0</v>
      </c>
      <c r="CT10" s="141">
        <f>'[3]Sunflower Meal Exports'!K$107/1.10231</f>
        <v>0</v>
      </c>
      <c r="CU10" s="141">
        <f>'[3]Sunflower Meal Exports'!L$107/1.10231</f>
        <v>0</v>
      </c>
      <c r="CV10" s="141">
        <f>'[3]Sunflower Meal Exports'!M$107/1.10231</f>
        <v>0</v>
      </c>
      <c r="CW10" s="141">
        <f>'[3]Sunflower Meal Exports'!N$107/1.10231</f>
        <v>0</v>
      </c>
      <c r="CX10" s="141">
        <f>'[3]Sunflower Meal Exports'!O$107/1.10231</f>
        <v>0</v>
      </c>
      <c r="CY10" s="141">
        <f>'[3]Sunflower Meal Exports'!P$107/1.10231</f>
        <v>0</v>
      </c>
      <c r="CZ10" s="141">
        <f>'[3]Sunflower Meal Exports'!Q$107/1.10231</f>
        <v>0</v>
      </c>
      <c r="DA10" s="141">
        <f>'[3]Sunflower Meal Exports'!R$107/1.10231</f>
        <v>0</v>
      </c>
      <c r="DB10" s="141">
        <f>'[3]Sunflower Meal Exports'!S$107/1.10231</f>
        <v>0</v>
      </c>
      <c r="DC10" s="141">
        <f>'[3]Sunflower Meal Exports'!T$107/1.10231</f>
        <v>0</v>
      </c>
      <c r="DD10" s="141">
        <f>'[3]Sunflower Meal Exports'!U$107/1.10231</f>
        <v>14.057312752583213</v>
      </c>
      <c r="DE10" s="141">
        <f>'[3]Sunflower Meal Exports'!V$107/1.10231</f>
        <v>0</v>
      </c>
      <c r="DF10" s="141">
        <f>'[3]Sunflower Meal Exports'!W$107/1.10231</f>
        <v>0</v>
      </c>
      <c r="DG10" s="141">
        <f>'[3]Sunflower Meal Exports'!X$107/1.10231</f>
        <v>0</v>
      </c>
      <c r="DH10" s="141">
        <f>'[3]Sunflower Meal Exports'!Y$107/1.10231</f>
        <v>0</v>
      </c>
      <c r="DI10" s="141">
        <f>'[3]Sunflower Meal Exports'!Z$107/1.10231</f>
        <v>0</v>
      </c>
      <c r="DJ10" s="141">
        <f>'[3]Sunflower Meal Exports'!AA$107/1.10231</f>
        <v>0</v>
      </c>
      <c r="DK10" s="141">
        <f>'[3]Sunflower Meal Exports'!AB$107/1.10231</f>
        <v>0</v>
      </c>
      <c r="DL10" s="141">
        <f>'[3]Sunflower Meal Exports'!AC$107/1.10231</f>
        <v>0</v>
      </c>
      <c r="DM10" s="143">
        <f>'[3]Sunflower Meal Exports'!AD$107/1.10231</f>
        <v>0</v>
      </c>
      <c r="DN10" s="141">
        <f t="shared" si="10"/>
        <v>0</v>
      </c>
      <c r="DO10" s="141">
        <f t="shared" si="10"/>
        <v>0.80000072574865511</v>
      </c>
      <c r="DP10" s="141">
        <f t="shared" si="10"/>
        <v>0</v>
      </c>
      <c r="DQ10" s="141">
        <f t="shared" si="10"/>
        <v>4.8049999999999997</v>
      </c>
      <c r="DR10" s="141">
        <f t="shared" si="10"/>
        <v>0</v>
      </c>
      <c r="DS10" s="141">
        <f t="shared" si="4"/>
        <v>20.968999999999998</v>
      </c>
      <c r="DT10" s="141">
        <f t="shared" si="4"/>
        <v>42.215350999999998</v>
      </c>
      <c r="DU10" s="141">
        <f t="shared" si="4"/>
        <v>31.306597999999997</v>
      </c>
      <c r="DV10" s="141">
        <f t="shared" si="4"/>
        <v>35.989543000000005</v>
      </c>
      <c r="DW10" s="141">
        <f t="shared" si="5"/>
        <v>50.332039999999992</v>
      </c>
      <c r="DX10" s="141">
        <f t="shared" si="5"/>
        <v>116.89498900000001</v>
      </c>
      <c r="DY10" s="141">
        <f t="shared" si="5"/>
        <v>141.80795600000002</v>
      </c>
      <c r="DZ10" s="141">
        <f t="shared" si="5"/>
        <v>205.87300000000002</v>
      </c>
      <c r="EA10" s="141">
        <f t="shared" si="6"/>
        <v>237.93199999999999</v>
      </c>
      <c r="EB10" s="141">
        <f t="shared" si="6"/>
        <v>140.084</v>
      </c>
      <c r="EC10" s="141">
        <f t="shared" si="6"/>
        <v>252.46000000000006</v>
      </c>
      <c r="ED10" s="141">
        <f t="shared" si="6"/>
        <v>245.55499999999998</v>
      </c>
      <c r="EE10" s="141">
        <f t="shared" si="7"/>
        <v>199.86199999999999</v>
      </c>
      <c r="EF10" s="141">
        <f t="shared" si="7"/>
        <v>258.26099999999997</v>
      </c>
      <c r="EG10" s="141">
        <f t="shared" si="7"/>
        <v>235.31531275258322</v>
      </c>
      <c r="EH10" s="141">
        <f t="shared" si="7"/>
        <v>255.98400000000001</v>
      </c>
      <c r="EI10" s="141">
        <f t="shared" si="8"/>
        <v>235.16299999999998</v>
      </c>
      <c r="EJ10" s="141">
        <f t="shared" si="8"/>
        <v>217.56100000000004</v>
      </c>
      <c r="EK10" s="141">
        <f t="shared" si="8"/>
        <v>240.69899999999996</v>
      </c>
      <c r="EL10" s="141">
        <f t="shared" si="8"/>
        <v>222.80199999999999</v>
      </c>
      <c r="EM10" s="141">
        <f t="shared" si="9"/>
        <v>196.60599999999999</v>
      </c>
      <c r="EN10" s="141">
        <f t="shared" si="9"/>
        <v>188.54900000000001</v>
      </c>
      <c r="EO10" s="141">
        <f t="shared" si="9"/>
        <v>160.33799999999999</v>
      </c>
      <c r="EP10" s="145">
        <f t="shared" si="9"/>
        <v>158.32300000000001</v>
      </c>
      <c r="EQ10" s="145">
        <v>150</v>
      </c>
      <c r="ES10" s="141">
        <f t="shared" si="11"/>
        <v>0</v>
      </c>
      <c r="ET10" s="141">
        <f t="shared" si="11"/>
        <v>0</v>
      </c>
    </row>
    <row r="11" spans="1:150">
      <c r="A11" s="149" t="s">
        <v>142</v>
      </c>
      <c r="B11" s="146">
        <f>'[2]EU Sun Meal Exports'!B$108</f>
        <v>0</v>
      </c>
      <c r="C11" s="146">
        <f>'[2]EU Sun Meal Exports'!C$108</f>
        <v>0</v>
      </c>
      <c r="D11" s="146">
        <f>'[2]EU Sun Meal Exports'!D$108</f>
        <v>0</v>
      </c>
      <c r="E11" s="146">
        <f>'[2]EU Sun Meal Exports'!E$108</f>
        <v>0</v>
      </c>
      <c r="F11" s="146">
        <f>'[2]EU Sun Meal Exports'!F$108</f>
        <v>0</v>
      </c>
      <c r="G11" s="146">
        <f>'[2]EU Sun Meal Exports'!G$108</f>
        <v>0</v>
      </c>
      <c r="H11" s="146">
        <f>'[2]EU Sun Meal Exports'!H$108</f>
        <v>0</v>
      </c>
      <c r="I11" s="146">
        <f>'[2]EU Sun Meal Exports'!I$108</f>
        <v>0</v>
      </c>
      <c r="J11" s="146">
        <f>'[2]EU Sun Meal Exports'!J$108</f>
        <v>0</v>
      </c>
      <c r="K11" s="146">
        <f>'[2]EU Sun Meal Exports'!K$108</f>
        <v>0</v>
      </c>
      <c r="L11" s="146">
        <f>'[2]EU Sun Meal Exports'!L$108</f>
        <v>0</v>
      </c>
      <c r="M11" s="146">
        <f>'[2]EU Sun Meal Exports'!M$108</f>
        <v>0</v>
      </c>
      <c r="N11" s="146">
        <f>'[2]EU Sun Meal Exports'!N$108</f>
        <v>0</v>
      </c>
      <c r="O11" s="146">
        <f>'[2]EU Sun Meal Exports'!O$108</f>
        <v>0</v>
      </c>
      <c r="P11" s="141">
        <f>'[2]EU Sun Meal Exports'!P$108</f>
        <v>0</v>
      </c>
      <c r="Q11" s="141">
        <f>'[2]EU Sun Meal Exports'!Q$108</f>
        <v>0</v>
      </c>
      <c r="R11" s="141">
        <f>'[2]EU Sun Meal Exports'!R$108</f>
        <v>0</v>
      </c>
      <c r="S11" s="141">
        <f>'[2]EU Sun Meal Exports'!S$108</f>
        <v>0</v>
      </c>
      <c r="T11" s="141">
        <f>'[2]EU Sun Meal Exports'!T$108</f>
        <v>0</v>
      </c>
      <c r="U11" s="141">
        <f>'[2]EU Sun Meal Exports'!U$108</f>
        <v>0</v>
      </c>
      <c r="V11" s="141">
        <f>'[2]EU Sun Meal Exports'!V$108</f>
        <v>0</v>
      </c>
      <c r="W11" s="141">
        <f>'[2]EU Sun Meal Exports'!W$108</f>
        <v>0</v>
      </c>
      <c r="X11" s="141">
        <f>'[2]EU Sun Meal Exports'!X$108</f>
        <v>0</v>
      </c>
      <c r="Y11" s="141">
        <f>'[2]EU Sun Meal Exports'!Y$108</f>
        <v>0</v>
      </c>
      <c r="Z11" s="141">
        <f>'[2]EU Sun Meal Exports'!Z$108</f>
        <v>0</v>
      </c>
      <c r="AA11" s="141">
        <f>'[2]EU Sun Meal Exports'!AA$108</f>
        <v>0</v>
      </c>
      <c r="AB11" s="141">
        <f>'[2]EU Sun Meal Exports'!AB$108</f>
        <v>0</v>
      </c>
      <c r="AC11" s="141">
        <f>'[2]EU Sun Meal Exports'!AC$108</f>
        <v>0</v>
      </c>
      <c r="AD11" s="143">
        <f>'[2]EU Sun Meal Exports'!AD$108</f>
        <v>0</v>
      </c>
      <c r="AE11" s="141">
        <f>'[2]Ukraine Sun Meal Exports'!B$108</f>
        <v>0</v>
      </c>
      <c r="AF11" s="141">
        <f>'[2]Ukraine Sun Meal Exports'!C$108</f>
        <v>0</v>
      </c>
      <c r="AG11" s="141">
        <f>'[2]Ukraine Sun Meal Exports'!D$108</f>
        <v>0</v>
      </c>
      <c r="AH11" s="141">
        <f>'[2]Ukraine Sun Meal Exports'!E$108</f>
        <v>0</v>
      </c>
      <c r="AI11" s="141">
        <f>'[2]Ukraine Sun Meal Exports'!F$108</f>
        <v>0</v>
      </c>
      <c r="AJ11" s="141">
        <f>'[2]Ukraine Sun Meal Exports'!G$108</f>
        <v>0</v>
      </c>
      <c r="AK11" s="141">
        <f>'[2]Ukraine Sun Meal Exports'!H$108</f>
        <v>0</v>
      </c>
      <c r="AL11" s="141">
        <f>'[2]Ukraine Sun Meal Exports'!I$108</f>
        <v>0</v>
      </c>
      <c r="AM11" s="141">
        <f>'[2]Ukraine Sun Meal Exports'!J$108</f>
        <v>0</v>
      </c>
      <c r="AN11" s="141">
        <f>'[2]Ukraine Sun Meal Exports'!K$108</f>
        <v>0</v>
      </c>
      <c r="AO11" s="141">
        <f>'[2]Ukraine Sun Meal Exports'!L$108</f>
        <v>0</v>
      </c>
      <c r="AP11" s="141">
        <f>'[2]Ukraine Sun Meal Exports'!M$108</f>
        <v>0</v>
      </c>
      <c r="AQ11" s="141">
        <f>'[2]Ukraine Sun Meal Exports'!N$108</f>
        <v>0</v>
      </c>
      <c r="AR11" s="141">
        <f>'[2]Ukraine Sun Meal Exports'!O$108</f>
        <v>0</v>
      </c>
      <c r="AS11" s="141">
        <f>'[2]Ukraine Sun Meal Exports'!P$108</f>
        <v>0</v>
      </c>
      <c r="AT11" s="141">
        <f>'[2]Ukraine Sun Meal Exports'!Q$108</f>
        <v>0</v>
      </c>
      <c r="AU11" s="141">
        <f>'[2]Ukraine Sun Meal Exports'!R$108</f>
        <v>0</v>
      </c>
      <c r="AV11" s="141">
        <f>'[2]Ukraine Sun Meal Exports'!S$108</f>
        <v>0</v>
      </c>
      <c r="AW11" s="141">
        <f>'[2]Ukraine Sun Meal Exports'!T$108</f>
        <v>0</v>
      </c>
      <c r="AX11" s="141">
        <f>'[2]Ukraine Sun Meal Exports'!U$108</f>
        <v>0</v>
      </c>
      <c r="AY11" s="141">
        <f>'[2]Ukraine Sun Meal Exports'!V$108</f>
        <v>0</v>
      </c>
      <c r="AZ11" s="141">
        <f>'[2]Ukraine Sun Meal Exports'!W$108</f>
        <v>0</v>
      </c>
      <c r="BA11" s="141">
        <f>'[2]Ukraine Sun Meal Exports'!X$108</f>
        <v>0</v>
      </c>
      <c r="BB11" s="141">
        <f>'[2]Ukraine Sun Meal Exports'!Y$108</f>
        <v>2.1999999999999999E-2</v>
      </c>
      <c r="BC11" s="141">
        <f>'[2]Ukraine Sun Meal Exports'!Z$108</f>
        <v>0</v>
      </c>
      <c r="BD11" s="141">
        <f>'[2]Ukraine Sun Meal Exports'!AA$108</f>
        <v>0</v>
      </c>
      <c r="BE11" s="141">
        <f>'[2]Ukraine Sun Meal Exports'!AB$108</f>
        <v>0</v>
      </c>
      <c r="BF11" s="141">
        <f>'[2]Ukraine Sun Meal Exports'!AC$108</f>
        <v>3.0000000000000001E-3</v>
      </c>
      <c r="BG11" s="143">
        <f>'[2]Ukraine Sun Meal Exports'!AD$108</f>
        <v>0</v>
      </c>
      <c r="BH11" s="141">
        <f>'[2]Russia Sun Meal Exports'!B$108</f>
        <v>0</v>
      </c>
      <c r="BI11" s="141">
        <f>'[2]Russia Sun Meal Exports'!C$108</f>
        <v>0</v>
      </c>
      <c r="BJ11" s="141">
        <f>'[2]Russia Sun Meal Exports'!D$108</f>
        <v>0</v>
      </c>
      <c r="BK11" s="141">
        <f>'[2]Russia Sun Meal Exports'!E$108</f>
        <v>0</v>
      </c>
      <c r="BL11" s="141">
        <f>'[2]Russia Sun Meal Exports'!F$108</f>
        <v>0</v>
      </c>
      <c r="BM11" s="141">
        <f>'[2]Russia Sun Meal Exports'!G$108</f>
        <v>0</v>
      </c>
      <c r="BN11" s="141">
        <f>'[2]Russia Sun Meal Exports'!H$108</f>
        <v>0</v>
      </c>
      <c r="BO11" s="141">
        <f>'[2]Russia Sun Meal Exports'!I$108</f>
        <v>0</v>
      </c>
      <c r="BP11" s="141">
        <f>'[2]Russia Sun Meal Exports'!J$108</f>
        <v>0</v>
      </c>
      <c r="BQ11" s="141">
        <f>'[2]Russia Sun Meal Exports'!K$108</f>
        <v>0</v>
      </c>
      <c r="BR11" s="141">
        <f>'[2]Russia Sun Meal Exports'!L$108</f>
        <v>0</v>
      </c>
      <c r="BS11" s="141">
        <f>'[2]Russia Sun Meal Exports'!M$108</f>
        <v>0</v>
      </c>
      <c r="BT11" s="141">
        <f>'[2]Russia Sun Meal Exports'!N$108</f>
        <v>0</v>
      </c>
      <c r="BU11" s="141">
        <f>'[2]Russia Sun Meal Exports'!O$108</f>
        <v>0</v>
      </c>
      <c r="BV11" s="141">
        <f>'[2]Russia Sun Meal Exports'!P$108</f>
        <v>0</v>
      </c>
      <c r="BW11" s="141">
        <f>'[2]Russia Sun Meal Exports'!Q$108</f>
        <v>0</v>
      </c>
      <c r="BX11" s="141">
        <f>'[2]Russia Sun Meal Exports'!R$108</f>
        <v>0</v>
      </c>
      <c r="BY11" s="141">
        <f>'[2]Russia Sun Meal Exports'!S$108</f>
        <v>0</v>
      </c>
      <c r="BZ11" s="141">
        <f>'[2]Russia Sun Meal Exports'!T$108</f>
        <v>0</v>
      </c>
      <c r="CA11" s="141">
        <f>'[2]Russia Sun Meal Exports'!U$108</f>
        <v>0</v>
      </c>
      <c r="CB11" s="141">
        <f>'[2]Russia Sun Meal Exports'!V$108</f>
        <v>0</v>
      </c>
      <c r="CC11" s="141">
        <f>'[2]Russia Sun Meal Exports'!W$108</f>
        <v>0</v>
      </c>
      <c r="CD11" s="141">
        <f>'[2]Russia Sun Meal Exports'!X$108</f>
        <v>0</v>
      </c>
      <c r="CE11" s="141">
        <f>'[2]Russia Sun Meal Exports'!Y$108</f>
        <v>0</v>
      </c>
      <c r="CF11" s="141">
        <f>'[2]Russia Sun Meal Exports'!Z$108</f>
        <v>0</v>
      </c>
      <c r="CG11" s="147">
        <f>'[2]Russia Sun Meal Exports'!AA$108</f>
        <v>0</v>
      </c>
      <c r="CH11" s="141">
        <f>'[2]Russia Sun Meal Exports'!AB$108</f>
        <v>0</v>
      </c>
      <c r="CI11" s="141">
        <f>'[2]Russia Sun Meal Exports'!AC$108</f>
        <v>0</v>
      </c>
      <c r="CJ11" s="143">
        <f>'[2]Russia Sun Meal Exports'!AD$108</f>
        <v>0</v>
      </c>
      <c r="CK11" s="141">
        <f>'[3]Sunflower Meal Exports'!B$108/1.10231</f>
        <v>0</v>
      </c>
      <c r="CL11" s="141">
        <f>'[3]Sunflower Meal Exports'!C$108/1.10231</f>
        <v>0</v>
      </c>
      <c r="CM11" s="141">
        <f>'[3]Sunflower Meal Exports'!D$108/1.10231</f>
        <v>0</v>
      </c>
      <c r="CN11" s="141">
        <f>'[3]Sunflower Meal Exports'!E$108/1.10231</f>
        <v>4.1500037648211488E-2</v>
      </c>
      <c r="CO11" s="141">
        <f>'[3]Sunflower Meal Exports'!F$108/1.10231</f>
        <v>0</v>
      </c>
      <c r="CP11" s="141">
        <f>'[3]Sunflower Meal Exports'!G$108/1.10231</f>
        <v>0</v>
      </c>
      <c r="CQ11" s="141">
        <f>'[3]Sunflower Meal Exports'!H$108/1.10231</f>
        <v>0</v>
      </c>
      <c r="CR11" s="141">
        <f>'[3]Sunflower Meal Exports'!I$108/1.10231</f>
        <v>0</v>
      </c>
      <c r="CS11" s="141">
        <f>'[3]Sunflower Meal Exports'!J$108/1.10231</f>
        <v>2.0400018506590706E-2</v>
      </c>
      <c r="CT11" s="141">
        <f>'[3]Sunflower Meal Exports'!K$108/1.10231</f>
        <v>2.0800018869465038E-2</v>
      </c>
      <c r="CU11" s="141">
        <f>'[3]Sunflower Meal Exports'!L$108/1.10231</f>
        <v>0</v>
      </c>
      <c r="CV11" s="141">
        <f>'[3]Sunflower Meal Exports'!M$108/1.10231</f>
        <v>0</v>
      </c>
      <c r="CW11" s="141">
        <f>'[3]Sunflower Meal Exports'!N$108/1.10231</f>
        <v>0</v>
      </c>
      <c r="CX11" s="141">
        <f>'[3]Sunflower Meal Exports'!O$108/1.10231</f>
        <v>0</v>
      </c>
      <c r="CY11" s="141">
        <f>'[3]Sunflower Meal Exports'!P$108/1.10231</f>
        <v>0</v>
      </c>
      <c r="CZ11" s="141">
        <f>'[3]Sunflower Meal Exports'!Q$108/1.10231</f>
        <v>0</v>
      </c>
      <c r="DA11" s="141">
        <f>'[3]Sunflower Meal Exports'!R$108/1.10231</f>
        <v>0</v>
      </c>
      <c r="DB11" s="141">
        <f>'[3]Sunflower Meal Exports'!S$108/1.10231</f>
        <v>0</v>
      </c>
      <c r="DC11" s="141">
        <f>'[3]Sunflower Meal Exports'!T$108/1.10231</f>
        <v>0</v>
      </c>
      <c r="DD11" s="141">
        <f>'[3]Sunflower Meal Exports'!U$108/1.10231</f>
        <v>0</v>
      </c>
      <c r="DE11" s="141">
        <f>'[3]Sunflower Meal Exports'!V$108/1.10231</f>
        <v>0</v>
      </c>
      <c r="DF11" s="141">
        <f>'[3]Sunflower Meal Exports'!W$108/1.10231</f>
        <v>0</v>
      </c>
      <c r="DG11" s="141">
        <f>'[3]Sunflower Meal Exports'!X$108/1.10231</f>
        <v>0</v>
      </c>
      <c r="DH11" s="141">
        <f>'[3]Sunflower Meal Exports'!Y$108/1.10231</f>
        <v>0</v>
      </c>
      <c r="DI11" s="141">
        <f>'[3]Sunflower Meal Exports'!Z$108/1.10231</f>
        <v>0</v>
      </c>
      <c r="DJ11" s="141">
        <f>'[3]Sunflower Meal Exports'!AA$108/1.10231</f>
        <v>0</v>
      </c>
      <c r="DK11" s="141">
        <f>'[3]Sunflower Meal Exports'!AB$108/1.10231</f>
        <v>0</v>
      </c>
      <c r="DL11" s="141">
        <f>'[3]Sunflower Meal Exports'!AC$108/1.10231</f>
        <v>0</v>
      </c>
      <c r="DM11" s="143">
        <f>'[3]Sunflower Meal Exports'!AD$108/1.10231</f>
        <v>0</v>
      </c>
      <c r="DN11" s="141">
        <f t="shared" si="10"/>
        <v>0</v>
      </c>
      <c r="DO11" s="141">
        <f t="shared" si="10"/>
        <v>0</v>
      </c>
      <c r="DP11" s="141">
        <f t="shared" si="10"/>
        <v>0</v>
      </c>
      <c r="DQ11" s="141">
        <f t="shared" si="10"/>
        <v>4.1500037648211488E-2</v>
      </c>
      <c r="DR11" s="141">
        <f t="shared" si="10"/>
        <v>0</v>
      </c>
      <c r="DS11" s="141">
        <f t="shared" si="4"/>
        <v>0</v>
      </c>
      <c r="DT11" s="141">
        <f t="shared" si="4"/>
        <v>0</v>
      </c>
      <c r="DU11" s="141">
        <f t="shared" si="4"/>
        <v>0</v>
      </c>
      <c r="DV11" s="141">
        <f t="shared" si="4"/>
        <v>2.0400018506590706E-2</v>
      </c>
      <c r="DW11" s="141">
        <f t="shared" si="5"/>
        <v>2.0800018869465038E-2</v>
      </c>
      <c r="DX11" s="141">
        <f t="shared" si="5"/>
        <v>0</v>
      </c>
      <c r="DY11" s="141">
        <f t="shared" si="5"/>
        <v>0</v>
      </c>
      <c r="DZ11" s="141">
        <f t="shared" si="5"/>
        <v>0</v>
      </c>
      <c r="EA11" s="141">
        <f t="shared" si="6"/>
        <v>0</v>
      </c>
      <c r="EB11" s="141">
        <f t="shared" si="6"/>
        <v>0</v>
      </c>
      <c r="EC11" s="141">
        <f t="shared" si="6"/>
        <v>0</v>
      </c>
      <c r="ED11" s="141">
        <f t="shared" si="6"/>
        <v>0</v>
      </c>
      <c r="EE11" s="141">
        <f t="shared" si="7"/>
        <v>0</v>
      </c>
      <c r="EF11" s="141">
        <f t="shared" si="7"/>
        <v>0</v>
      </c>
      <c r="EG11" s="141">
        <f t="shared" si="7"/>
        <v>0</v>
      </c>
      <c r="EH11" s="141">
        <f t="shared" si="7"/>
        <v>0</v>
      </c>
      <c r="EI11" s="141">
        <f t="shared" si="8"/>
        <v>0</v>
      </c>
      <c r="EJ11" s="141">
        <f t="shared" si="8"/>
        <v>0</v>
      </c>
      <c r="EK11" s="141">
        <f t="shared" si="8"/>
        <v>2.1999999999999999E-2</v>
      </c>
      <c r="EL11" s="141">
        <f t="shared" si="8"/>
        <v>0</v>
      </c>
      <c r="EM11" s="141">
        <f t="shared" si="9"/>
        <v>0</v>
      </c>
      <c r="EN11" s="141">
        <f t="shared" si="9"/>
        <v>0</v>
      </c>
      <c r="EO11" s="141">
        <f t="shared" si="9"/>
        <v>3.0000000000000001E-3</v>
      </c>
      <c r="EP11" s="145">
        <f t="shared" si="9"/>
        <v>0</v>
      </c>
      <c r="EQ11" s="145">
        <v>0</v>
      </c>
      <c r="ES11" s="141">
        <f t="shared" si="11"/>
        <v>0</v>
      </c>
      <c r="ET11" s="141">
        <f t="shared" si="11"/>
        <v>0</v>
      </c>
    </row>
    <row r="12" spans="1:150">
      <c r="A12" s="148" t="s">
        <v>143</v>
      </c>
      <c r="B12" s="146">
        <f>'[2]EU Sun Meal Exports'!B$109</f>
        <v>0</v>
      </c>
      <c r="C12" s="146">
        <f>'[2]EU Sun Meal Exports'!C$109</f>
        <v>0</v>
      </c>
      <c r="D12" s="146">
        <f>'[2]EU Sun Meal Exports'!D$109</f>
        <v>0</v>
      </c>
      <c r="E12" s="146">
        <f>'[2]EU Sun Meal Exports'!E$109</f>
        <v>0</v>
      </c>
      <c r="F12" s="146">
        <f>'[2]EU Sun Meal Exports'!F$109</f>
        <v>0</v>
      </c>
      <c r="G12" s="146">
        <f>'[2]EU Sun Meal Exports'!G$109</f>
        <v>0</v>
      </c>
      <c r="H12" s="146">
        <f>'[2]EU Sun Meal Exports'!H$109</f>
        <v>0</v>
      </c>
      <c r="I12" s="146">
        <f>'[2]EU Sun Meal Exports'!I$109</f>
        <v>0</v>
      </c>
      <c r="J12" s="146">
        <f>'[2]EU Sun Meal Exports'!J$109</f>
        <v>0</v>
      </c>
      <c r="K12" s="146">
        <f>'[2]EU Sun Meal Exports'!K$109</f>
        <v>0</v>
      </c>
      <c r="L12" s="146">
        <f>'[2]EU Sun Meal Exports'!L$109</f>
        <v>0</v>
      </c>
      <c r="M12" s="146">
        <f>'[2]EU Sun Meal Exports'!M$109</f>
        <v>0</v>
      </c>
      <c r="N12" s="146">
        <f>'[2]EU Sun Meal Exports'!N$109</f>
        <v>0</v>
      </c>
      <c r="O12" s="146">
        <f>'[2]EU Sun Meal Exports'!O$109</f>
        <v>0</v>
      </c>
      <c r="P12" s="141">
        <f>'[2]EU Sun Meal Exports'!P$109</f>
        <v>0</v>
      </c>
      <c r="Q12" s="141">
        <f>'[2]EU Sun Meal Exports'!Q$109</f>
        <v>0</v>
      </c>
      <c r="R12" s="141">
        <f>'[2]EU Sun Meal Exports'!R$109</f>
        <v>0.50800000000000001</v>
      </c>
      <c r="S12" s="141">
        <f>'[2]EU Sun Meal Exports'!S$109</f>
        <v>1.996</v>
      </c>
      <c r="T12" s="141">
        <f>'[2]EU Sun Meal Exports'!T$109</f>
        <v>2.86</v>
      </c>
      <c r="U12" s="141">
        <f>'[2]EU Sun Meal Exports'!U$109</f>
        <v>0</v>
      </c>
      <c r="V12" s="141">
        <f>'[2]EU Sun Meal Exports'!V$109</f>
        <v>1.93</v>
      </c>
      <c r="W12" s="141">
        <f>'[2]EU Sun Meal Exports'!W$109</f>
        <v>0.75</v>
      </c>
      <c r="X12" s="141">
        <f>'[2]EU Sun Meal Exports'!X$109</f>
        <v>0</v>
      </c>
      <c r="Y12" s="141">
        <f>'[2]EU Sun Meal Exports'!Y$109</f>
        <v>0</v>
      </c>
      <c r="Z12" s="141">
        <f>'[2]EU Sun Meal Exports'!Z$109</f>
        <v>0</v>
      </c>
      <c r="AA12" s="141">
        <f>'[2]EU Sun Meal Exports'!AA$109</f>
        <v>0</v>
      </c>
      <c r="AB12" s="141">
        <f>'[2]EU Sun Meal Exports'!AB$109</f>
        <v>0</v>
      </c>
      <c r="AC12" s="141">
        <f>'[2]EU Sun Meal Exports'!AC$109</f>
        <v>0</v>
      </c>
      <c r="AD12" s="143">
        <f>'[2]EU Sun Meal Exports'!AD$109</f>
        <v>0</v>
      </c>
      <c r="AE12" s="141">
        <f>'[2]Ukraine Sun Meal Exports'!B$109</f>
        <v>0</v>
      </c>
      <c r="AF12" s="141">
        <f>'[2]Ukraine Sun Meal Exports'!C$109</f>
        <v>0</v>
      </c>
      <c r="AG12" s="141">
        <f>'[2]Ukraine Sun Meal Exports'!D$109</f>
        <v>0</v>
      </c>
      <c r="AH12" s="141">
        <f>'[2]Ukraine Sun Meal Exports'!E$109</f>
        <v>0</v>
      </c>
      <c r="AI12" s="141">
        <f>'[2]Ukraine Sun Meal Exports'!F$109</f>
        <v>0</v>
      </c>
      <c r="AJ12" s="141">
        <f>'[2]Ukraine Sun Meal Exports'!G$109</f>
        <v>0</v>
      </c>
      <c r="AK12" s="141">
        <f>'[2]Ukraine Sun Meal Exports'!H$109</f>
        <v>0</v>
      </c>
      <c r="AL12" s="141">
        <f>'[2]Ukraine Sun Meal Exports'!I$109</f>
        <v>0</v>
      </c>
      <c r="AM12" s="141">
        <f>'[2]Ukraine Sun Meal Exports'!J$109</f>
        <v>0</v>
      </c>
      <c r="AN12" s="141">
        <f>'[2]Ukraine Sun Meal Exports'!K$109</f>
        <v>0</v>
      </c>
      <c r="AO12" s="141">
        <f>'[2]Ukraine Sun Meal Exports'!L$109</f>
        <v>0</v>
      </c>
      <c r="AP12" s="141">
        <f>'[2]Ukraine Sun Meal Exports'!M$109</f>
        <v>0</v>
      </c>
      <c r="AQ12" s="141">
        <f>'[2]Ukraine Sun Meal Exports'!N$109</f>
        <v>0</v>
      </c>
      <c r="AR12" s="141">
        <f>'[2]Ukraine Sun Meal Exports'!O$109</f>
        <v>0</v>
      </c>
      <c r="AS12" s="141">
        <f>'[2]Ukraine Sun Meal Exports'!P$109</f>
        <v>0</v>
      </c>
      <c r="AT12" s="141">
        <f>'[2]Ukraine Sun Meal Exports'!Q$109</f>
        <v>0</v>
      </c>
      <c r="AU12" s="141">
        <f>'[2]Ukraine Sun Meal Exports'!R$109</f>
        <v>0</v>
      </c>
      <c r="AV12" s="141">
        <f>'[2]Ukraine Sun Meal Exports'!S$109</f>
        <v>0</v>
      </c>
      <c r="AW12" s="141">
        <f>'[2]Ukraine Sun Meal Exports'!T$109</f>
        <v>0</v>
      </c>
      <c r="AX12" s="141">
        <f>'[2]Ukraine Sun Meal Exports'!U$109</f>
        <v>0</v>
      </c>
      <c r="AY12" s="141">
        <f>'[2]Ukraine Sun Meal Exports'!V$109</f>
        <v>0</v>
      </c>
      <c r="AZ12" s="141">
        <f>'[2]Ukraine Sun Meal Exports'!W$109</f>
        <v>0</v>
      </c>
      <c r="BA12" s="141">
        <f>'[2]Ukraine Sun Meal Exports'!X$109</f>
        <v>0</v>
      </c>
      <c r="BB12" s="141">
        <f>'[2]Ukraine Sun Meal Exports'!Y$109</f>
        <v>0</v>
      </c>
      <c r="BC12" s="141">
        <f>'[2]Ukraine Sun Meal Exports'!Z$109</f>
        <v>0</v>
      </c>
      <c r="BD12" s="141">
        <f>'[2]Ukraine Sun Meal Exports'!AA$109</f>
        <v>0.314</v>
      </c>
      <c r="BE12" s="141">
        <f>'[2]Ukraine Sun Meal Exports'!AB$109</f>
        <v>0.17100000000000001</v>
      </c>
      <c r="BF12" s="141">
        <f>'[2]Ukraine Sun Meal Exports'!AC$109</f>
        <v>0</v>
      </c>
      <c r="BG12" s="143">
        <f>'[2]Ukraine Sun Meal Exports'!AD$109</f>
        <v>0</v>
      </c>
      <c r="BH12" s="141">
        <f>'[2]Russia Sun Meal Exports'!B$109</f>
        <v>0</v>
      </c>
      <c r="BI12" s="141">
        <f>'[2]Russia Sun Meal Exports'!C$109</f>
        <v>0</v>
      </c>
      <c r="BJ12" s="141">
        <f>'[2]Russia Sun Meal Exports'!D$109</f>
        <v>0</v>
      </c>
      <c r="BK12" s="141">
        <f>'[2]Russia Sun Meal Exports'!E$109</f>
        <v>0</v>
      </c>
      <c r="BL12" s="141">
        <f>'[2]Russia Sun Meal Exports'!F$109</f>
        <v>0</v>
      </c>
      <c r="BM12" s="141">
        <f>'[2]Russia Sun Meal Exports'!G$109</f>
        <v>0</v>
      </c>
      <c r="BN12" s="141">
        <f>'[2]Russia Sun Meal Exports'!H$109</f>
        <v>0</v>
      </c>
      <c r="BO12" s="141">
        <f>'[2]Russia Sun Meal Exports'!I$109</f>
        <v>0</v>
      </c>
      <c r="BP12" s="141">
        <f>'[2]Russia Sun Meal Exports'!J$109</f>
        <v>0</v>
      </c>
      <c r="BQ12" s="141">
        <f>'[2]Russia Sun Meal Exports'!K$109</f>
        <v>0</v>
      </c>
      <c r="BR12" s="141">
        <f>'[2]Russia Sun Meal Exports'!L$109</f>
        <v>0</v>
      </c>
      <c r="BS12" s="141">
        <f>'[2]Russia Sun Meal Exports'!M$109</f>
        <v>0</v>
      </c>
      <c r="BT12" s="141">
        <f>'[2]Russia Sun Meal Exports'!N$109</f>
        <v>0</v>
      </c>
      <c r="BU12" s="141">
        <f>'[2]Russia Sun Meal Exports'!O$109</f>
        <v>0</v>
      </c>
      <c r="BV12" s="141">
        <f>'[2]Russia Sun Meal Exports'!P$109</f>
        <v>0</v>
      </c>
      <c r="BW12" s="141">
        <f>'[2]Russia Sun Meal Exports'!Q$109</f>
        <v>0</v>
      </c>
      <c r="BX12" s="141">
        <f>'[2]Russia Sun Meal Exports'!R$109</f>
        <v>0</v>
      </c>
      <c r="BY12" s="141">
        <f>'[2]Russia Sun Meal Exports'!S$109</f>
        <v>2</v>
      </c>
      <c r="BZ12" s="141">
        <f>'[2]Russia Sun Meal Exports'!T$109</f>
        <v>0</v>
      </c>
      <c r="CA12" s="141">
        <f>'[2]Russia Sun Meal Exports'!U$109</f>
        <v>0</v>
      </c>
      <c r="CB12" s="141">
        <f>'[2]Russia Sun Meal Exports'!V$109</f>
        <v>0</v>
      </c>
      <c r="CC12" s="141">
        <f>'[2]Russia Sun Meal Exports'!W$109</f>
        <v>0</v>
      </c>
      <c r="CD12" s="141">
        <f>'[2]Russia Sun Meal Exports'!X$109</f>
        <v>0</v>
      </c>
      <c r="CE12" s="141">
        <f>'[2]Russia Sun Meal Exports'!Y$109</f>
        <v>0</v>
      </c>
      <c r="CF12" s="141">
        <f>'[2]Russia Sun Meal Exports'!Z$109</f>
        <v>0</v>
      </c>
      <c r="CG12" s="147">
        <f>'[2]Russia Sun Meal Exports'!AA$109</f>
        <v>0</v>
      </c>
      <c r="CH12" s="141">
        <f>'[2]Russia Sun Meal Exports'!AB$109</f>
        <v>0</v>
      </c>
      <c r="CI12" s="141">
        <f>'[2]Russia Sun Meal Exports'!AC$109</f>
        <v>0</v>
      </c>
      <c r="CJ12" s="143">
        <f>'[2]Russia Sun Meal Exports'!AD$109</f>
        <v>0</v>
      </c>
      <c r="CK12" s="141">
        <f>'[3]Sunflower Meal Exports'!B$109/1.10231</f>
        <v>0</v>
      </c>
      <c r="CL12" s="141">
        <f>'[3]Sunflower Meal Exports'!C$109/1.10231</f>
        <v>0</v>
      </c>
      <c r="CM12" s="141">
        <f>'[3]Sunflower Meal Exports'!D$109/1.10231</f>
        <v>0</v>
      </c>
      <c r="CN12" s="141">
        <f>'[3]Sunflower Meal Exports'!E$109/1.10231</f>
        <v>0</v>
      </c>
      <c r="CO12" s="141">
        <f>'[3]Sunflower Meal Exports'!F$109/1.10231</f>
        <v>0</v>
      </c>
      <c r="CP12" s="141">
        <f>'[3]Sunflower Meal Exports'!G$109/1.10231</f>
        <v>0</v>
      </c>
      <c r="CQ12" s="141">
        <f>'[3]Sunflower Meal Exports'!H$109/1.10231</f>
        <v>0</v>
      </c>
      <c r="CR12" s="141">
        <f>'[3]Sunflower Meal Exports'!I$109/1.10231</f>
        <v>0</v>
      </c>
      <c r="CS12" s="141">
        <f>'[3]Sunflower Meal Exports'!J$109/1.10231</f>
        <v>0</v>
      </c>
      <c r="CT12" s="141">
        <f>'[3]Sunflower Meal Exports'!K$109/1.10231</f>
        <v>0</v>
      </c>
      <c r="CU12" s="141">
        <f>'[3]Sunflower Meal Exports'!L$109/1.10231</f>
        <v>0</v>
      </c>
      <c r="CV12" s="141">
        <f>'[3]Sunflower Meal Exports'!M$109/1.10231</f>
        <v>0</v>
      </c>
      <c r="CW12" s="141">
        <f>'[3]Sunflower Meal Exports'!N$109/1.10231</f>
        <v>0</v>
      </c>
      <c r="CX12" s="141">
        <f>'[3]Sunflower Meal Exports'!O$109/1.10231</f>
        <v>0</v>
      </c>
      <c r="CY12" s="141">
        <f>'[3]Sunflower Meal Exports'!P$109/1.10231</f>
        <v>0</v>
      </c>
      <c r="CZ12" s="141">
        <f>'[3]Sunflower Meal Exports'!Q$109/1.10231</f>
        <v>0</v>
      </c>
      <c r="DA12" s="141">
        <f>'[3]Sunflower Meal Exports'!R$109/1.10231</f>
        <v>0</v>
      </c>
      <c r="DB12" s="141">
        <f>'[3]Sunflower Meal Exports'!S$109/1.10231</f>
        <v>0</v>
      </c>
      <c r="DC12" s="141">
        <f>'[3]Sunflower Meal Exports'!T$109/1.10231</f>
        <v>0</v>
      </c>
      <c r="DD12" s="141">
        <f>'[3]Sunflower Meal Exports'!U$109/1.10231</f>
        <v>0</v>
      </c>
      <c r="DE12" s="141">
        <f>'[3]Sunflower Meal Exports'!V$109/1.10231</f>
        <v>0</v>
      </c>
      <c r="DF12" s="141">
        <f>'[3]Sunflower Meal Exports'!W$109/1.10231</f>
        <v>0</v>
      </c>
      <c r="DG12" s="141">
        <f>'[3]Sunflower Meal Exports'!X$109/1.10231</f>
        <v>9.9700090446426151E-2</v>
      </c>
      <c r="DH12" s="141">
        <f>'[3]Sunflower Meal Exports'!Y$109/1.10231</f>
        <v>0</v>
      </c>
      <c r="DI12" s="141">
        <f>'[3]Sunflower Meal Exports'!Z$109/1.10231</f>
        <v>0</v>
      </c>
      <c r="DJ12" s="141">
        <f>'[3]Sunflower Meal Exports'!AA$109/1.10231</f>
        <v>0</v>
      </c>
      <c r="DK12" s="141">
        <f>'[3]Sunflower Meal Exports'!AB$109/1.10231</f>
        <v>0</v>
      </c>
      <c r="DL12" s="141">
        <f>'[3]Sunflower Meal Exports'!AC$109/1.10231</f>
        <v>0</v>
      </c>
      <c r="DM12" s="143">
        <f>'[3]Sunflower Meal Exports'!AD$109/1.10231</f>
        <v>0</v>
      </c>
      <c r="DN12" s="141">
        <f t="shared" si="10"/>
        <v>0</v>
      </c>
      <c r="DO12" s="141">
        <f t="shared" si="10"/>
        <v>0</v>
      </c>
      <c r="DP12" s="141">
        <f t="shared" si="10"/>
        <v>0</v>
      </c>
      <c r="DQ12" s="141">
        <f t="shared" si="10"/>
        <v>0</v>
      </c>
      <c r="DR12" s="141">
        <f t="shared" si="10"/>
        <v>0</v>
      </c>
      <c r="DS12" s="141">
        <f t="shared" si="4"/>
        <v>0</v>
      </c>
      <c r="DT12" s="141">
        <f t="shared" si="4"/>
        <v>0</v>
      </c>
      <c r="DU12" s="141">
        <f t="shared" si="4"/>
        <v>0</v>
      </c>
      <c r="DV12" s="141">
        <f t="shared" si="4"/>
        <v>0</v>
      </c>
      <c r="DW12" s="141">
        <f t="shared" si="5"/>
        <v>0</v>
      </c>
      <c r="DX12" s="141">
        <f t="shared" si="5"/>
        <v>0</v>
      </c>
      <c r="DY12" s="141">
        <f t="shared" si="5"/>
        <v>0</v>
      </c>
      <c r="DZ12" s="141">
        <f t="shared" si="5"/>
        <v>0</v>
      </c>
      <c r="EA12" s="141">
        <f t="shared" si="6"/>
        <v>0</v>
      </c>
      <c r="EB12" s="141">
        <f t="shared" si="6"/>
        <v>0</v>
      </c>
      <c r="EC12" s="141">
        <f t="shared" si="6"/>
        <v>0</v>
      </c>
      <c r="ED12" s="141">
        <f t="shared" si="6"/>
        <v>0.50800000000000001</v>
      </c>
      <c r="EE12" s="141">
        <f t="shared" si="7"/>
        <v>3.996</v>
      </c>
      <c r="EF12" s="141">
        <f t="shared" si="7"/>
        <v>2.86</v>
      </c>
      <c r="EG12" s="141">
        <f t="shared" si="7"/>
        <v>0</v>
      </c>
      <c r="EH12" s="141">
        <f t="shared" si="7"/>
        <v>1.93</v>
      </c>
      <c r="EI12" s="141">
        <f t="shared" si="8"/>
        <v>0.75</v>
      </c>
      <c r="EJ12" s="141">
        <f t="shared" si="8"/>
        <v>9.9700090446426151E-2</v>
      </c>
      <c r="EK12" s="141">
        <f t="shared" si="8"/>
        <v>0</v>
      </c>
      <c r="EL12" s="141">
        <f t="shared" si="8"/>
        <v>0</v>
      </c>
      <c r="EM12" s="141">
        <f t="shared" si="9"/>
        <v>0.314</v>
      </c>
      <c r="EN12" s="141">
        <f t="shared" si="9"/>
        <v>0.17100000000000001</v>
      </c>
      <c r="EO12" s="141">
        <f t="shared" si="9"/>
        <v>0</v>
      </c>
      <c r="EP12" s="145">
        <f t="shared" si="9"/>
        <v>0</v>
      </c>
      <c r="EQ12" s="145">
        <v>0</v>
      </c>
      <c r="ES12" s="141">
        <f t="shared" si="11"/>
        <v>0</v>
      </c>
      <c r="ET12" s="141">
        <f t="shared" si="11"/>
        <v>0</v>
      </c>
    </row>
    <row r="13" spans="1:150">
      <c r="A13" s="148" t="s">
        <v>144</v>
      </c>
      <c r="B13" s="146">
        <f>'[2]EU Sun Meal Exports'!B$117</f>
        <v>0</v>
      </c>
      <c r="C13" s="146">
        <f>'[2]EU Sun Meal Exports'!C$117</f>
        <v>0</v>
      </c>
      <c r="D13" s="146">
        <f>'[2]EU Sun Meal Exports'!D$117</f>
        <v>0</v>
      </c>
      <c r="E13" s="146">
        <f>'[2]EU Sun Meal Exports'!E$117</f>
        <v>0</v>
      </c>
      <c r="F13" s="146">
        <f>'[2]EU Sun Meal Exports'!F$117</f>
        <v>0</v>
      </c>
      <c r="G13" s="146">
        <f>'[2]EU Sun Meal Exports'!G$117</f>
        <v>0</v>
      </c>
      <c r="H13" s="146">
        <f>'[2]EU Sun Meal Exports'!H$117</f>
        <v>0</v>
      </c>
      <c r="I13" s="146">
        <f>'[2]EU Sun Meal Exports'!I$117</f>
        <v>0</v>
      </c>
      <c r="J13" s="146">
        <f>'[2]EU Sun Meal Exports'!J$117</f>
        <v>0</v>
      </c>
      <c r="K13" s="146">
        <f>'[2]EU Sun Meal Exports'!K$117</f>
        <v>0</v>
      </c>
      <c r="L13" s="146">
        <f>'[2]EU Sun Meal Exports'!L$117</f>
        <v>0</v>
      </c>
      <c r="M13" s="146">
        <f>'[2]EU Sun Meal Exports'!M$117</f>
        <v>0</v>
      </c>
      <c r="N13" s="146">
        <f>'[2]EU Sun Meal Exports'!N$117</f>
        <v>0</v>
      </c>
      <c r="O13" s="146">
        <f>'[2]EU Sun Meal Exports'!O$117</f>
        <v>0</v>
      </c>
      <c r="P13" s="141">
        <f>'[2]EU Sun Meal Exports'!P$117</f>
        <v>0</v>
      </c>
      <c r="Q13" s="141">
        <f>'[2]EU Sun Meal Exports'!Q$117</f>
        <v>0</v>
      </c>
      <c r="R13" s="141">
        <f>'[2]EU Sun Meal Exports'!R$117</f>
        <v>0</v>
      </c>
      <c r="S13" s="141">
        <f>'[2]EU Sun Meal Exports'!S$117</f>
        <v>0</v>
      </c>
      <c r="T13" s="141">
        <f>'[2]EU Sun Meal Exports'!T$117</f>
        <v>0</v>
      </c>
      <c r="U13" s="141">
        <f>'[2]EU Sun Meal Exports'!U$117</f>
        <v>0</v>
      </c>
      <c r="V13" s="141">
        <f>'[2]EU Sun Meal Exports'!V$117</f>
        <v>0</v>
      </c>
      <c r="W13" s="141">
        <f>'[2]EU Sun Meal Exports'!W$117</f>
        <v>0</v>
      </c>
      <c r="X13" s="141">
        <f>'[2]EU Sun Meal Exports'!X$117</f>
        <v>0</v>
      </c>
      <c r="Y13" s="141">
        <f>'[2]EU Sun Meal Exports'!Y$117</f>
        <v>0</v>
      </c>
      <c r="Z13" s="141">
        <f>'[2]EU Sun Meal Exports'!Z$117</f>
        <v>0</v>
      </c>
      <c r="AA13" s="141">
        <f>'[2]EU Sun Meal Exports'!AA$117</f>
        <v>0</v>
      </c>
      <c r="AB13" s="141">
        <f>'[2]EU Sun Meal Exports'!AB$117</f>
        <v>0</v>
      </c>
      <c r="AC13" s="141">
        <f>'[2]EU Sun Meal Exports'!AC$117</f>
        <v>0</v>
      </c>
      <c r="AD13" s="143">
        <f>'[2]EU Sun Meal Exports'!AD$117</f>
        <v>0</v>
      </c>
      <c r="AE13" s="141">
        <f>'[2]Ukraine Sun Meal Exports'!B$117</f>
        <v>0</v>
      </c>
      <c r="AF13" s="141">
        <f>'[2]Ukraine Sun Meal Exports'!C$117</f>
        <v>0</v>
      </c>
      <c r="AG13" s="141">
        <f>'[2]Ukraine Sun Meal Exports'!D$117</f>
        <v>0</v>
      </c>
      <c r="AH13" s="141">
        <f>'[2]Ukraine Sun Meal Exports'!E$117</f>
        <v>0</v>
      </c>
      <c r="AI13" s="141">
        <f>'[2]Ukraine Sun Meal Exports'!F$117</f>
        <v>0</v>
      </c>
      <c r="AJ13" s="141">
        <f>'[2]Ukraine Sun Meal Exports'!G$117</f>
        <v>0</v>
      </c>
      <c r="AK13" s="141">
        <f>'[2]Ukraine Sun Meal Exports'!H$117</f>
        <v>0</v>
      </c>
      <c r="AL13" s="141">
        <f>'[2]Ukraine Sun Meal Exports'!I$117</f>
        <v>0</v>
      </c>
      <c r="AM13" s="141">
        <f>'[2]Ukraine Sun Meal Exports'!J$117</f>
        <v>0</v>
      </c>
      <c r="AN13" s="141">
        <f>'[2]Ukraine Sun Meal Exports'!K$117</f>
        <v>0</v>
      </c>
      <c r="AO13" s="141">
        <f>'[2]Ukraine Sun Meal Exports'!L$117</f>
        <v>0</v>
      </c>
      <c r="AP13" s="141">
        <f>'[2]Ukraine Sun Meal Exports'!M$117</f>
        <v>0</v>
      </c>
      <c r="AQ13" s="141">
        <f>'[2]Ukraine Sun Meal Exports'!N$117</f>
        <v>0</v>
      </c>
      <c r="AR13" s="141">
        <f>'[2]Ukraine Sun Meal Exports'!O$117</f>
        <v>0</v>
      </c>
      <c r="AS13" s="141">
        <f>'[2]Ukraine Sun Meal Exports'!P$117</f>
        <v>0</v>
      </c>
      <c r="AT13" s="141">
        <f>'[2]Ukraine Sun Meal Exports'!Q$117</f>
        <v>0</v>
      </c>
      <c r="AU13" s="141">
        <f>'[2]Ukraine Sun Meal Exports'!R$117</f>
        <v>0</v>
      </c>
      <c r="AV13" s="141">
        <f>'[2]Ukraine Sun Meal Exports'!S$117</f>
        <v>0</v>
      </c>
      <c r="AW13" s="141">
        <f>'[2]Ukraine Sun Meal Exports'!T$117</f>
        <v>0</v>
      </c>
      <c r="AX13" s="141">
        <f>'[2]Ukraine Sun Meal Exports'!U$117</f>
        <v>0</v>
      </c>
      <c r="AY13" s="141">
        <f>'[2]Ukraine Sun Meal Exports'!V$117</f>
        <v>6.3</v>
      </c>
      <c r="AZ13" s="141">
        <f>'[2]Ukraine Sun Meal Exports'!W$117</f>
        <v>0</v>
      </c>
      <c r="BA13" s="141">
        <f>'[2]Ukraine Sun Meal Exports'!X$117</f>
        <v>7.5789999999999997</v>
      </c>
      <c r="BB13" s="141">
        <f>'[2]Ukraine Sun Meal Exports'!Y$117</f>
        <v>12.956999999999997</v>
      </c>
      <c r="BC13" s="141">
        <f>'[2]Ukraine Sun Meal Exports'!Z$117</f>
        <v>31.650000000000002</v>
      </c>
      <c r="BD13" s="141">
        <f>'[2]Ukraine Sun Meal Exports'!AA$117</f>
        <v>58.341999999999992</v>
      </c>
      <c r="BE13" s="141">
        <f>'[2]Ukraine Sun Meal Exports'!AB$117</f>
        <v>70.405000000000001</v>
      </c>
      <c r="BF13" s="141">
        <f>'[2]Ukraine Sun Meal Exports'!AC$117</f>
        <v>47.956000000000003</v>
      </c>
      <c r="BG13" s="141">
        <f>'[2]Ukraine Sun Meal Exports'!AD$117</f>
        <v>18.016999999999999</v>
      </c>
      <c r="BH13" s="141">
        <f>'[2]Russia Sun Meal Exports'!B$117</f>
        <v>0</v>
      </c>
      <c r="BI13" s="141">
        <f>'[2]Russia Sun Meal Exports'!C$117</f>
        <v>0</v>
      </c>
      <c r="BJ13" s="141">
        <f>'[2]Russia Sun Meal Exports'!D$117</f>
        <v>0</v>
      </c>
      <c r="BK13" s="141">
        <f>'[2]Russia Sun Meal Exports'!E$117</f>
        <v>0</v>
      </c>
      <c r="BL13" s="141">
        <f>'[2]Russia Sun Meal Exports'!F$117</f>
        <v>0</v>
      </c>
      <c r="BM13" s="141">
        <f>'[2]Russia Sun Meal Exports'!G$117</f>
        <v>0</v>
      </c>
      <c r="BN13" s="141">
        <f>'[2]Russia Sun Meal Exports'!H$117</f>
        <v>0</v>
      </c>
      <c r="BO13" s="141">
        <f>'[2]Russia Sun Meal Exports'!I$117</f>
        <v>0</v>
      </c>
      <c r="BP13" s="141">
        <f>'[2]Russia Sun Meal Exports'!J$117</f>
        <v>0</v>
      </c>
      <c r="BQ13" s="141">
        <f>'[2]Russia Sun Meal Exports'!K$117</f>
        <v>0</v>
      </c>
      <c r="BR13" s="141">
        <f>'[2]Russia Sun Meal Exports'!L$117</f>
        <v>0</v>
      </c>
      <c r="BS13" s="141">
        <f>'[2]Russia Sun Meal Exports'!M$117</f>
        <v>0</v>
      </c>
      <c r="BT13" s="141">
        <f>'[2]Russia Sun Meal Exports'!N$117</f>
        <v>0</v>
      </c>
      <c r="BU13" s="141">
        <f>'[2]Russia Sun Meal Exports'!O$117</f>
        <v>0</v>
      </c>
      <c r="BV13" s="141">
        <f>'[2]Russia Sun Meal Exports'!P$117</f>
        <v>0</v>
      </c>
      <c r="BW13" s="141">
        <f>'[2]Russia Sun Meal Exports'!Q$117</f>
        <v>0</v>
      </c>
      <c r="BX13" s="141">
        <f>'[2]Russia Sun Meal Exports'!R$117</f>
        <v>0</v>
      </c>
      <c r="BY13" s="141">
        <f>'[2]Russia Sun Meal Exports'!S$117</f>
        <v>0</v>
      </c>
      <c r="BZ13" s="141">
        <f>'[2]Russia Sun Meal Exports'!T$117</f>
        <v>0</v>
      </c>
      <c r="CA13" s="141">
        <f>'[2]Russia Sun Meal Exports'!U$117</f>
        <v>0</v>
      </c>
      <c r="CB13" s="141">
        <f>'[2]Russia Sun Meal Exports'!V$117</f>
        <v>0</v>
      </c>
      <c r="CC13" s="141">
        <f>'[2]Russia Sun Meal Exports'!W$117</f>
        <v>0</v>
      </c>
      <c r="CD13" s="141">
        <f>'[2]Russia Sun Meal Exports'!X$117</f>
        <v>0</v>
      </c>
      <c r="CE13" s="141">
        <f>'[2]Russia Sun Meal Exports'!Y$117</f>
        <v>0</v>
      </c>
      <c r="CF13" s="141">
        <f>'[2]Russia Sun Meal Exports'!Z$117</f>
        <v>0</v>
      </c>
      <c r="CG13" s="147">
        <f>'[2]Russia Sun Meal Exports'!AA$117</f>
        <v>0</v>
      </c>
      <c r="CH13" s="141">
        <f>'[2]Russia Sun Meal Exports'!AB$117</f>
        <v>0</v>
      </c>
      <c r="CI13" s="141">
        <f>'[2]Russia Sun Meal Exports'!AC$117</f>
        <v>0</v>
      </c>
      <c r="CJ13" s="143">
        <f>'[2]Russia Sun Meal Exports'!AD$117</f>
        <v>0</v>
      </c>
      <c r="CK13" s="141">
        <f>'[3]Sunflower Meal Exports'!B$117/1.10231</f>
        <v>0</v>
      </c>
      <c r="CL13" s="141">
        <f>'[3]Sunflower Meal Exports'!C$117/1.10231</f>
        <v>0</v>
      </c>
      <c r="CM13" s="141">
        <f>'[3]Sunflower Meal Exports'!D$117/1.10231</f>
        <v>0</v>
      </c>
      <c r="CN13" s="141">
        <f>'[3]Sunflower Meal Exports'!E$117/1.10231</f>
        <v>0</v>
      </c>
      <c r="CO13" s="141">
        <f>'[3]Sunflower Meal Exports'!F$117/1.10231</f>
        <v>0</v>
      </c>
      <c r="CP13" s="141">
        <f>'[3]Sunflower Meal Exports'!G$117/1.10231</f>
        <v>0</v>
      </c>
      <c r="CQ13" s="141">
        <f>'[3]Sunflower Meal Exports'!H$117/1.10231</f>
        <v>0</v>
      </c>
      <c r="CR13" s="141">
        <f>'[3]Sunflower Meal Exports'!I$117/1.10231</f>
        <v>0</v>
      </c>
      <c r="CS13" s="141">
        <f>'[3]Sunflower Meal Exports'!J$117/1.10231</f>
        <v>0</v>
      </c>
      <c r="CT13" s="141">
        <f>'[3]Sunflower Meal Exports'!K$117/1.10231</f>
        <v>0</v>
      </c>
      <c r="CU13" s="141">
        <f>'[3]Sunflower Meal Exports'!L$117/1.10231</f>
        <v>0</v>
      </c>
      <c r="CV13" s="141">
        <f>'[3]Sunflower Meal Exports'!M$117/1.10231</f>
        <v>0</v>
      </c>
      <c r="CW13" s="141">
        <f>'[3]Sunflower Meal Exports'!N$117/1.10231</f>
        <v>0</v>
      </c>
      <c r="CX13" s="141">
        <f>'[3]Sunflower Meal Exports'!O$117/1.10231</f>
        <v>0</v>
      </c>
      <c r="CY13" s="141">
        <f>'[3]Sunflower Meal Exports'!P$117/1.10231</f>
        <v>6.8100061779354265E-2</v>
      </c>
      <c r="CZ13" s="141">
        <f>'[3]Sunflower Meal Exports'!Q$117/1.10231</f>
        <v>0</v>
      </c>
      <c r="DA13" s="141">
        <f>'[3]Sunflower Meal Exports'!R$117/1.10231</f>
        <v>0</v>
      </c>
      <c r="DB13" s="141">
        <f>'[3]Sunflower Meal Exports'!S$117/1.10231</f>
        <v>0</v>
      </c>
      <c r="DC13" s="141">
        <f>'[3]Sunflower Meal Exports'!T$117/1.10231</f>
        <v>0</v>
      </c>
      <c r="DD13" s="141">
        <f>'[3]Sunflower Meal Exports'!U$117/1.10231</f>
        <v>0</v>
      </c>
      <c r="DE13" s="141">
        <f>'[3]Sunflower Meal Exports'!V$117/1.10231</f>
        <v>0</v>
      </c>
      <c r="DF13" s="141">
        <f>'[3]Sunflower Meal Exports'!W$117/1.10231</f>
        <v>0</v>
      </c>
      <c r="DG13" s="141">
        <f>'[3]Sunflower Meal Exports'!X$117/1.10231</f>
        <v>0</v>
      </c>
      <c r="DH13" s="141">
        <f>'[3]Sunflower Meal Exports'!Y$117/1.10231</f>
        <v>0</v>
      </c>
      <c r="DI13" s="141">
        <f>'[3]Sunflower Meal Exports'!Z$117/1.10231</f>
        <v>0</v>
      </c>
      <c r="DJ13" s="141">
        <f>'[3]Sunflower Meal Exports'!AA$117/1.10231</f>
        <v>0</v>
      </c>
      <c r="DK13" s="141">
        <f>'[3]Sunflower Meal Exports'!AB$117/1.10231</f>
        <v>0</v>
      </c>
      <c r="DL13" s="141">
        <f>'[3]Sunflower Meal Exports'!AC$117/1.10231</f>
        <v>0</v>
      </c>
      <c r="DM13" s="143">
        <f>'[3]Sunflower Meal Exports'!AD$117/1.10231</f>
        <v>0</v>
      </c>
      <c r="DN13" s="141">
        <f t="shared" si="10"/>
        <v>0</v>
      </c>
      <c r="DO13" s="141">
        <f t="shared" si="10"/>
        <v>0</v>
      </c>
      <c r="DP13" s="141">
        <f t="shared" si="10"/>
        <v>0</v>
      </c>
      <c r="DQ13" s="141">
        <f t="shared" si="10"/>
        <v>0</v>
      </c>
      <c r="DR13" s="141">
        <f t="shared" si="10"/>
        <v>0</v>
      </c>
      <c r="DS13" s="141">
        <f t="shared" si="4"/>
        <v>0</v>
      </c>
      <c r="DT13" s="141">
        <f t="shared" si="4"/>
        <v>0</v>
      </c>
      <c r="DU13" s="141">
        <f t="shared" si="4"/>
        <v>0</v>
      </c>
      <c r="DV13" s="141">
        <f t="shared" si="4"/>
        <v>0</v>
      </c>
      <c r="DW13" s="141">
        <f t="shared" si="5"/>
        <v>0</v>
      </c>
      <c r="DX13" s="141">
        <f t="shared" si="5"/>
        <v>0</v>
      </c>
      <c r="DY13" s="141">
        <f t="shared" si="5"/>
        <v>0</v>
      </c>
      <c r="DZ13" s="141">
        <f t="shared" si="5"/>
        <v>0</v>
      </c>
      <c r="EA13" s="141">
        <f t="shared" si="6"/>
        <v>0</v>
      </c>
      <c r="EB13" s="141">
        <f t="shared" si="6"/>
        <v>6.8100061779354265E-2</v>
      </c>
      <c r="EC13" s="141">
        <f t="shared" si="6"/>
        <v>0</v>
      </c>
      <c r="ED13" s="141">
        <f t="shared" si="6"/>
        <v>0</v>
      </c>
      <c r="EE13" s="141">
        <f t="shared" si="7"/>
        <v>0</v>
      </c>
      <c r="EF13" s="141">
        <f t="shared" si="7"/>
        <v>0</v>
      </c>
      <c r="EG13" s="141">
        <f t="shared" si="7"/>
        <v>0</v>
      </c>
      <c r="EH13" s="141">
        <f t="shared" si="7"/>
        <v>6.3</v>
      </c>
      <c r="EI13" s="141">
        <f t="shared" si="8"/>
        <v>0</v>
      </c>
      <c r="EJ13" s="141">
        <f t="shared" si="8"/>
        <v>7.5789999999999997</v>
      </c>
      <c r="EK13" s="141">
        <f t="shared" si="8"/>
        <v>12.956999999999997</v>
      </c>
      <c r="EL13" s="141">
        <f t="shared" si="8"/>
        <v>31.650000000000002</v>
      </c>
      <c r="EM13" s="141">
        <f t="shared" si="9"/>
        <v>58.341999999999992</v>
      </c>
      <c r="EN13" s="141">
        <f t="shared" si="9"/>
        <v>70.405000000000001</v>
      </c>
      <c r="EO13" s="141">
        <f t="shared" si="9"/>
        <v>47.956000000000003</v>
      </c>
      <c r="EP13" s="145">
        <f t="shared" si="9"/>
        <v>18.016999999999999</v>
      </c>
      <c r="EQ13" s="145">
        <v>75</v>
      </c>
      <c r="ES13" s="141">
        <f t="shared" si="11"/>
        <v>0</v>
      </c>
      <c r="ET13" s="141">
        <f t="shared" si="11"/>
        <v>0</v>
      </c>
    </row>
    <row r="14" spans="1:150">
      <c r="A14" s="149" t="s">
        <v>145</v>
      </c>
      <c r="B14" s="146">
        <f>'[2]EU Sun Meal Exports'!B$136</f>
        <v>0</v>
      </c>
      <c r="C14" s="146">
        <f>'[2]EU Sun Meal Exports'!C$136</f>
        <v>0</v>
      </c>
      <c r="D14" s="146">
        <f>'[2]EU Sun Meal Exports'!D$136</f>
        <v>0</v>
      </c>
      <c r="E14" s="146">
        <f>'[2]EU Sun Meal Exports'!E$136</f>
        <v>0</v>
      </c>
      <c r="F14" s="146">
        <f>'[2]EU Sun Meal Exports'!F$136</f>
        <v>0</v>
      </c>
      <c r="G14" s="146">
        <f>'[2]EU Sun Meal Exports'!G$136</f>
        <v>0</v>
      </c>
      <c r="H14" s="146">
        <f>'[2]EU Sun Meal Exports'!H$136</f>
        <v>0</v>
      </c>
      <c r="I14" s="146">
        <f>'[2]EU Sun Meal Exports'!I$136</f>
        <v>0</v>
      </c>
      <c r="J14" s="146">
        <f>'[2]EU Sun Meal Exports'!J$136</f>
        <v>0</v>
      </c>
      <c r="K14" s="146">
        <f>'[2]EU Sun Meal Exports'!K$136</f>
        <v>0</v>
      </c>
      <c r="L14" s="146">
        <f>'[2]EU Sun Meal Exports'!L$136</f>
        <v>0</v>
      </c>
      <c r="M14" s="146">
        <f>'[2]EU Sun Meal Exports'!M$136</f>
        <v>0</v>
      </c>
      <c r="N14" s="146">
        <f>'[2]EU Sun Meal Exports'!N$136</f>
        <v>0</v>
      </c>
      <c r="O14" s="146">
        <f>'[2]EU Sun Meal Exports'!O$136</f>
        <v>0</v>
      </c>
      <c r="P14" s="141">
        <f>'[2]EU Sun Meal Exports'!P$136</f>
        <v>0</v>
      </c>
      <c r="Q14" s="141">
        <f>'[2]EU Sun Meal Exports'!Q$136</f>
        <v>0</v>
      </c>
      <c r="R14" s="141">
        <f>'[2]EU Sun Meal Exports'!R$136</f>
        <v>0</v>
      </c>
      <c r="S14" s="141">
        <f>'[2]EU Sun Meal Exports'!S$136</f>
        <v>0</v>
      </c>
      <c r="T14" s="141">
        <f>'[2]EU Sun Meal Exports'!T$136</f>
        <v>0</v>
      </c>
      <c r="U14" s="141">
        <f>'[2]EU Sun Meal Exports'!U$136</f>
        <v>0</v>
      </c>
      <c r="V14" s="141">
        <f>'[2]EU Sun Meal Exports'!V$136</f>
        <v>0</v>
      </c>
      <c r="W14" s="141">
        <f>'[2]EU Sun Meal Exports'!W$136</f>
        <v>0</v>
      </c>
      <c r="X14" s="141">
        <f>'[2]EU Sun Meal Exports'!X$136</f>
        <v>0</v>
      </c>
      <c r="Y14" s="141">
        <f>'[2]EU Sun Meal Exports'!Y$136</f>
        <v>0</v>
      </c>
      <c r="Z14" s="141">
        <f>'[2]EU Sun Meal Exports'!Z$136</f>
        <v>0</v>
      </c>
      <c r="AA14" s="141">
        <f>'[2]EU Sun Meal Exports'!AA$136</f>
        <v>0</v>
      </c>
      <c r="AB14" s="141">
        <f>'[2]EU Sun Meal Exports'!AB$136</f>
        <v>0</v>
      </c>
      <c r="AC14" s="141">
        <f>'[2]EU Sun Meal Exports'!AC$136</f>
        <v>0</v>
      </c>
      <c r="AD14" s="143">
        <f>'[2]EU Sun Meal Exports'!AD$136</f>
        <v>0</v>
      </c>
      <c r="AE14" s="141">
        <f>'[2]Ukraine Sun Meal Exports'!B$136</f>
        <v>0</v>
      </c>
      <c r="AF14" s="141">
        <f>'[2]Ukraine Sun Meal Exports'!C$136</f>
        <v>0</v>
      </c>
      <c r="AG14" s="141">
        <f>'[2]Ukraine Sun Meal Exports'!D$136</f>
        <v>0</v>
      </c>
      <c r="AH14" s="141">
        <f>'[2]Ukraine Sun Meal Exports'!E$136</f>
        <v>0</v>
      </c>
      <c r="AI14" s="141">
        <f>'[2]Ukraine Sun Meal Exports'!F$136</f>
        <v>0</v>
      </c>
      <c r="AJ14" s="141">
        <f>'[2]Ukraine Sun Meal Exports'!G$136</f>
        <v>0</v>
      </c>
      <c r="AK14" s="141">
        <f>'[2]Ukraine Sun Meal Exports'!H$136</f>
        <v>0</v>
      </c>
      <c r="AL14" s="141">
        <f>'[2]Ukraine Sun Meal Exports'!I$136</f>
        <v>0</v>
      </c>
      <c r="AM14" s="141">
        <f>'[2]Ukraine Sun Meal Exports'!J$136</f>
        <v>0</v>
      </c>
      <c r="AN14" s="141">
        <f>'[2]Ukraine Sun Meal Exports'!K$136</f>
        <v>0</v>
      </c>
      <c r="AO14" s="141">
        <f>'[2]Ukraine Sun Meal Exports'!L$136</f>
        <v>0</v>
      </c>
      <c r="AP14" s="141">
        <f>'[2]Ukraine Sun Meal Exports'!M$136</f>
        <v>0</v>
      </c>
      <c r="AQ14" s="141">
        <f>'[2]Ukraine Sun Meal Exports'!N$136</f>
        <v>0</v>
      </c>
      <c r="AR14" s="141">
        <f>'[2]Ukraine Sun Meal Exports'!O$136</f>
        <v>0</v>
      </c>
      <c r="AS14" s="141">
        <f>'[2]Ukraine Sun Meal Exports'!P$136</f>
        <v>0</v>
      </c>
      <c r="AT14" s="141">
        <f>'[2]Ukraine Sun Meal Exports'!Q$136</f>
        <v>0</v>
      </c>
      <c r="AU14" s="141">
        <f>'[2]Ukraine Sun Meal Exports'!R$136</f>
        <v>0</v>
      </c>
      <c r="AV14" s="141">
        <f>'[2]Ukraine Sun Meal Exports'!S$136</f>
        <v>0</v>
      </c>
      <c r="AW14" s="141">
        <f>'[2]Ukraine Sun Meal Exports'!T$136</f>
        <v>0</v>
      </c>
      <c r="AX14" s="141">
        <f>'[2]Ukraine Sun Meal Exports'!U$136</f>
        <v>0</v>
      </c>
      <c r="AY14" s="141">
        <f>'[2]Ukraine Sun Meal Exports'!V$136</f>
        <v>0</v>
      </c>
      <c r="AZ14" s="141">
        <f>'[2]Ukraine Sun Meal Exports'!W$136</f>
        <v>0</v>
      </c>
      <c r="BA14" s="141">
        <f>'[2]Ukraine Sun Meal Exports'!X$136</f>
        <v>0</v>
      </c>
      <c r="BB14" s="141">
        <f>'[2]Ukraine Sun Meal Exports'!Y$136</f>
        <v>0</v>
      </c>
      <c r="BC14" s="141">
        <f>'[2]Ukraine Sun Meal Exports'!Z$136</f>
        <v>2.2109999999999999</v>
      </c>
      <c r="BD14" s="141">
        <f>'[2]Ukraine Sun Meal Exports'!AA$136</f>
        <v>2.4939999999999998</v>
      </c>
      <c r="BE14" s="141">
        <f>'[2]Ukraine Sun Meal Exports'!AB$136</f>
        <v>0</v>
      </c>
      <c r="BF14" s="141">
        <f>'[2]Ukraine Sun Meal Exports'!AC$136</f>
        <v>0.311</v>
      </c>
      <c r="BG14" s="143">
        <f>'[2]Ukraine Sun Meal Exports'!AD$136</f>
        <v>0.76</v>
      </c>
      <c r="BH14" s="141">
        <f>'[2]Russia Sun Meal Exports'!B$136</f>
        <v>0</v>
      </c>
      <c r="BI14" s="141">
        <f>'[2]Russia Sun Meal Exports'!C$136</f>
        <v>0</v>
      </c>
      <c r="BJ14" s="141">
        <f>'[2]Russia Sun Meal Exports'!D$136</f>
        <v>0</v>
      </c>
      <c r="BK14" s="141">
        <f>'[2]Russia Sun Meal Exports'!E$136</f>
        <v>0</v>
      </c>
      <c r="BL14" s="141">
        <f>'[2]Russia Sun Meal Exports'!F$136</f>
        <v>0</v>
      </c>
      <c r="BM14" s="141">
        <f>'[2]Russia Sun Meal Exports'!G$136</f>
        <v>0</v>
      </c>
      <c r="BN14" s="141">
        <f>'[2]Russia Sun Meal Exports'!H$136</f>
        <v>0</v>
      </c>
      <c r="BO14" s="141">
        <f>'[2]Russia Sun Meal Exports'!I$136</f>
        <v>0</v>
      </c>
      <c r="BP14" s="141">
        <f>'[2]Russia Sun Meal Exports'!J$136</f>
        <v>0</v>
      </c>
      <c r="BQ14" s="141">
        <f>'[2]Russia Sun Meal Exports'!K$136</f>
        <v>0</v>
      </c>
      <c r="BR14" s="141">
        <f>'[2]Russia Sun Meal Exports'!L$136</f>
        <v>0</v>
      </c>
      <c r="BS14" s="141">
        <f>'[2]Russia Sun Meal Exports'!M$136</f>
        <v>0</v>
      </c>
      <c r="BT14" s="141">
        <f>'[2]Russia Sun Meal Exports'!N$136</f>
        <v>0</v>
      </c>
      <c r="BU14" s="141">
        <f>'[2]Russia Sun Meal Exports'!O$136</f>
        <v>0</v>
      </c>
      <c r="BV14" s="141">
        <f>'[2]Russia Sun Meal Exports'!P$136</f>
        <v>0</v>
      </c>
      <c r="BW14" s="141">
        <f>'[2]Russia Sun Meal Exports'!Q$136</f>
        <v>0</v>
      </c>
      <c r="BX14" s="141">
        <f>'[2]Russia Sun Meal Exports'!R$136</f>
        <v>0</v>
      </c>
      <c r="BY14" s="141">
        <f>'[2]Russia Sun Meal Exports'!S$136</f>
        <v>0</v>
      </c>
      <c r="BZ14" s="141">
        <f>'[2]Russia Sun Meal Exports'!T$136</f>
        <v>0</v>
      </c>
      <c r="CA14" s="141">
        <f>'[2]Russia Sun Meal Exports'!U$136</f>
        <v>0</v>
      </c>
      <c r="CB14" s="141">
        <f>'[2]Russia Sun Meal Exports'!V$136</f>
        <v>0</v>
      </c>
      <c r="CC14" s="141">
        <f>'[2]Russia Sun Meal Exports'!W$136</f>
        <v>0</v>
      </c>
      <c r="CD14" s="141">
        <f>'[2]Russia Sun Meal Exports'!X$136</f>
        <v>0</v>
      </c>
      <c r="CE14" s="141">
        <f>'[2]Russia Sun Meal Exports'!Y$136</f>
        <v>0</v>
      </c>
      <c r="CF14" s="141">
        <f>'[2]Russia Sun Meal Exports'!Z$136</f>
        <v>0</v>
      </c>
      <c r="CG14" s="147">
        <f>'[2]Russia Sun Meal Exports'!AA$136</f>
        <v>0</v>
      </c>
      <c r="CH14" s="141">
        <f>'[2]Russia Sun Meal Exports'!AB$136</f>
        <v>0</v>
      </c>
      <c r="CI14" s="141">
        <f>'[2]Russia Sun Meal Exports'!AC$136</f>
        <v>0</v>
      </c>
      <c r="CJ14" s="143">
        <f>'[2]Russia Sun Meal Exports'!AD$136</f>
        <v>0</v>
      </c>
      <c r="CK14" s="141">
        <f>'[3]Sunflower Meal Exports'!B$136/1.10231</f>
        <v>0</v>
      </c>
      <c r="CL14" s="141">
        <f>'[3]Sunflower Meal Exports'!C$136/1.10231</f>
        <v>0</v>
      </c>
      <c r="CM14" s="141">
        <f>'[3]Sunflower Meal Exports'!D$136/1.10231</f>
        <v>0</v>
      </c>
      <c r="CN14" s="141">
        <f>'[3]Sunflower Meal Exports'!E$136/1.10231</f>
        <v>0</v>
      </c>
      <c r="CO14" s="141">
        <f>'[3]Sunflower Meal Exports'!F$136/1.10231</f>
        <v>0</v>
      </c>
      <c r="CP14" s="141">
        <f>'[3]Sunflower Meal Exports'!G$136/1.10231</f>
        <v>0</v>
      </c>
      <c r="CQ14" s="141">
        <f>'[3]Sunflower Meal Exports'!H$136/1.10231</f>
        <v>0</v>
      </c>
      <c r="CR14" s="141">
        <f>'[3]Sunflower Meal Exports'!I$136/1.10231</f>
        <v>0</v>
      </c>
      <c r="CS14" s="141">
        <f>'[3]Sunflower Meal Exports'!J$136/1.10231</f>
        <v>0</v>
      </c>
      <c r="CT14" s="141">
        <f>'[3]Sunflower Meal Exports'!K$136/1.10231</f>
        <v>0</v>
      </c>
      <c r="CU14" s="141">
        <f>'[3]Sunflower Meal Exports'!L$136/1.10231</f>
        <v>0</v>
      </c>
      <c r="CV14" s="141">
        <f>'[3]Sunflower Meal Exports'!M$136/1.10231</f>
        <v>0</v>
      </c>
      <c r="CW14" s="141">
        <f>'[3]Sunflower Meal Exports'!N$136/1.10231</f>
        <v>0</v>
      </c>
      <c r="CX14" s="141">
        <f>'[3]Sunflower Meal Exports'!O$136/1.10231</f>
        <v>0</v>
      </c>
      <c r="CY14" s="141">
        <f>'[3]Sunflower Meal Exports'!P$136/1.10231</f>
        <v>0</v>
      </c>
      <c r="CZ14" s="141">
        <f>'[3]Sunflower Meal Exports'!Q$136/1.10231</f>
        <v>0</v>
      </c>
      <c r="DA14" s="141">
        <f>'[3]Sunflower Meal Exports'!R$136/1.10231</f>
        <v>0</v>
      </c>
      <c r="DB14" s="141">
        <f>'[3]Sunflower Meal Exports'!S$136/1.10231</f>
        <v>0</v>
      </c>
      <c r="DC14" s="141">
        <f>'[3]Sunflower Meal Exports'!T$136/1.10231</f>
        <v>0</v>
      </c>
      <c r="DD14" s="141">
        <f>'[3]Sunflower Meal Exports'!U$136/1.10231</f>
        <v>0</v>
      </c>
      <c r="DE14" s="141">
        <f>'[3]Sunflower Meal Exports'!V$136/1.10231</f>
        <v>0</v>
      </c>
      <c r="DF14" s="141">
        <f>'[3]Sunflower Meal Exports'!W$136/1.10231</f>
        <v>0</v>
      </c>
      <c r="DG14" s="141">
        <f>'[3]Sunflower Meal Exports'!X$136/1.10231</f>
        <v>0</v>
      </c>
      <c r="DH14" s="141">
        <f>'[3]Sunflower Meal Exports'!Y$136/1.10231</f>
        <v>0</v>
      </c>
      <c r="DI14" s="141">
        <f>'[3]Sunflower Meal Exports'!Z$136/1.10231</f>
        <v>0</v>
      </c>
      <c r="DJ14" s="141">
        <f>'[3]Sunflower Meal Exports'!AA$136/1.10231</f>
        <v>0</v>
      </c>
      <c r="DK14" s="141">
        <f>'[3]Sunflower Meal Exports'!AB$136/1.10231</f>
        <v>0</v>
      </c>
      <c r="DL14" s="141">
        <f>'[3]Sunflower Meal Exports'!AC$136/1.10231</f>
        <v>0</v>
      </c>
      <c r="DM14" s="143">
        <f>'[3]Sunflower Meal Exports'!AD$136/1.10231</f>
        <v>0</v>
      </c>
      <c r="DN14" s="141">
        <f t="shared" si="10"/>
        <v>0</v>
      </c>
      <c r="DO14" s="141">
        <f t="shared" si="10"/>
        <v>0</v>
      </c>
      <c r="DP14" s="141">
        <f t="shared" si="10"/>
        <v>0</v>
      </c>
      <c r="DQ14" s="141">
        <f t="shared" si="10"/>
        <v>0</v>
      </c>
      <c r="DR14" s="141">
        <f t="shared" si="10"/>
        <v>0</v>
      </c>
      <c r="DS14" s="141">
        <f t="shared" si="4"/>
        <v>0</v>
      </c>
      <c r="DT14" s="141">
        <f t="shared" si="4"/>
        <v>0</v>
      </c>
      <c r="DU14" s="141">
        <f t="shared" si="4"/>
        <v>0</v>
      </c>
      <c r="DV14" s="141">
        <f t="shared" si="4"/>
        <v>0</v>
      </c>
      <c r="DW14" s="141">
        <f t="shared" si="5"/>
        <v>0</v>
      </c>
      <c r="DX14" s="141">
        <f t="shared" si="5"/>
        <v>0</v>
      </c>
      <c r="DY14" s="141">
        <f t="shared" si="5"/>
        <v>0</v>
      </c>
      <c r="DZ14" s="141">
        <f t="shared" si="5"/>
        <v>0</v>
      </c>
      <c r="EA14" s="141">
        <f t="shared" si="6"/>
        <v>0</v>
      </c>
      <c r="EB14" s="141">
        <f t="shared" si="6"/>
        <v>0</v>
      </c>
      <c r="EC14" s="141">
        <f t="shared" si="6"/>
        <v>0</v>
      </c>
      <c r="ED14" s="141">
        <f t="shared" si="6"/>
        <v>0</v>
      </c>
      <c r="EE14" s="141">
        <f t="shared" si="7"/>
        <v>0</v>
      </c>
      <c r="EF14" s="141">
        <f t="shared" si="7"/>
        <v>0</v>
      </c>
      <c r="EG14" s="141">
        <f t="shared" si="7"/>
        <v>0</v>
      </c>
      <c r="EH14" s="141">
        <f t="shared" si="7"/>
        <v>0</v>
      </c>
      <c r="EI14" s="141">
        <f t="shared" si="8"/>
        <v>0</v>
      </c>
      <c r="EJ14" s="141">
        <f t="shared" si="8"/>
        <v>0</v>
      </c>
      <c r="EK14" s="141">
        <f t="shared" si="8"/>
        <v>0</v>
      </c>
      <c r="EL14" s="141">
        <f t="shared" si="8"/>
        <v>2.2109999999999999</v>
      </c>
      <c r="EM14" s="141">
        <f t="shared" si="9"/>
        <v>2.4939999999999998</v>
      </c>
      <c r="EN14" s="141">
        <f t="shared" si="9"/>
        <v>0</v>
      </c>
      <c r="EO14" s="141">
        <f t="shared" si="9"/>
        <v>0.311</v>
      </c>
      <c r="EP14" s="145">
        <f t="shared" si="9"/>
        <v>0.76</v>
      </c>
      <c r="EQ14" s="145">
        <v>0</v>
      </c>
      <c r="ES14" s="141">
        <f t="shared" si="11"/>
        <v>0</v>
      </c>
      <c r="ET14" s="141">
        <f t="shared" si="11"/>
        <v>0</v>
      </c>
    </row>
    <row r="15" spans="1:150">
      <c r="A15" s="148" t="s">
        <v>146</v>
      </c>
      <c r="B15" s="146">
        <f>'[2]EU Sun Meal Exports'!B$140</f>
        <v>0</v>
      </c>
      <c r="C15" s="146">
        <f>'[2]EU Sun Meal Exports'!C$140</f>
        <v>0</v>
      </c>
      <c r="D15" s="146">
        <f>'[2]EU Sun Meal Exports'!D$140</f>
        <v>0</v>
      </c>
      <c r="E15" s="146">
        <f>'[2]EU Sun Meal Exports'!E$140</f>
        <v>0</v>
      </c>
      <c r="F15" s="146">
        <f>'[2]EU Sun Meal Exports'!F$140</f>
        <v>0</v>
      </c>
      <c r="G15" s="146">
        <f>'[2]EU Sun Meal Exports'!G$140</f>
        <v>0</v>
      </c>
      <c r="H15" s="146">
        <f>'[2]EU Sun Meal Exports'!H$140</f>
        <v>0</v>
      </c>
      <c r="I15" s="146">
        <f>'[2]EU Sun Meal Exports'!I$140</f>
        <v>0</v>
      </c>
      <c r="J15" s="146">
        <f>'[2]EU Sun Meal Exports'!J$140</f>
        <v>0</v>
      </c>
      <c r="K15" s="146">
        <f>'[2]EU Sun Meal Exports'!K$140</f>
        <v>0</v>
      </c>
      <c r="L15" s="146">
        <f>'[2]EU Sun Meal Exports'!L$140</f>
        <v>0</v>
      </c>
      <c r="M15" s="146">
        <f>'[2]EU Sun Meal Exports'!M$140</f>
        <v>0</v>
      </c>
      <c r="N15" s="146">
        <f>'[2]EU Sun Meal Exports'!N$140</f>
        <v>0</v>
      </c>
      <c r="O15" s="146">
        <f>'[2]EU Sun Meal Exports'!O$140</f>
        <v>0</v>
      </c>
      <c r="P15" s="141">
        <f>'[2]EU Sun Meal Exports'!P$140</f>
        <v>0</v>
      </c>
      <c r="Q15" s="141">
        <f>'[2]EU Sun Meal Exports'!Q$140</f>
        <v>0</v>
      </c>
      <c r="R15" s="141">
        <f>'[2]EU Sun Meal Exports'!R$140</f>
        <v>0</v>
      </c>
      <c r="S15" s="141">
        <f>'[2]EU Sun Meal Exports'!S$140</f>
        <v>0</v>
      </c>
      <c r="T15" s="141">
        <f>'[2]EU Sun Meal Exports'!T$140</f>
        <v>0</v>
      </c>
      <c r="U15" s="141">
        <f>'[2]EU Sun Meal Exports'!U$140</f>
        <v>0</v>
      </c>
      <c r="V15" s="141">
        <f>'[2]EU Sun Meal Exports'!V$140</f>
        <v>0</v>
      </c>
      <c r="W15" s="141">
        <f>'[2]EU Sun Meal Exports'!W$140</f>
        <v>52.75</v>
      </c>
      <c r="X15" s="141">
        <f>'[2]EU Sun Meal Exports'!X$140</f>
        <v>25.59</v>
      </c>
      <c r="Y15" s="141">
        <f>'[2]EU Sun Meal Exports'!Y$140</f>
        <v>0</v>
      </c>
      <c r="Z15" s="141">
        <f>'[2]EU Sun Meal Exports'!Z$140</f>
        <v>0</v>
      </c>
      <c r="AA15" s="141">
        <f>'[2]EU Sun Meal Exports'!AA$140</f>
        <v>0</v>
      </c>
      <c r="AB15" s="141">
        <f>'[2]EU Sun Meal Exports'!AB$140</f>
        <v>0</v>
      </c>
      <c r="AC15" s="141">
        <f>'[2]EU Sun Meal Exports'!AC$140</f>
        <v>0</v>
      </c>
      <c r="AD15" s="143">
        <f>'[2]EU Sun Meal Exports'!AD$140</f>
        <v>0</v>
      </c>
      <c r="AE15" s="141">
        <f>'[2]Ukraine Sun Meal Exports'!B$140</f>
        <v>0</v>
      </c>
      <c r="AF15" s="141">
        <f>'[2]Ukraine Sun Meal Exports'!C$140</f>
        <v>0</v>
      </c>
      <c r="AG15" s="141">
        <f>'[2]Ukraine Sun Meal Exports'!D$140</f>
        <v>0</v>
      </c>
      <c r="AH15" s="141">
        <f>'[2]Ukraine Sun Meal Exports'!E$140</f>
        <v>0</v>
      </c>
      <c r="AI15" s="141">
        <f>'[2]Ukraine Sun Meal Exports'!F$140</f>
        <v>0</v>
      </c>
      <c r="AJ15" s="141">
        <f>'[2]Ukraine Sun Meal Exports'!G$140</f>
        <v>0</v>
      </c>
      <c r="AK15" s="141">
        <f>'[2]Ukraine Sun Meal Exports'!H$140</f>
        <v>0</v>
      </c>
      <c r="AL15" s="141">
        <f>'[2]Ukraine Sun Meal Exports'!I$140</f>
        <v>0</v>
      </c>
      <c r="AM15" s="141">
        <f>'[2]Ukraine Sun Meal Exports'!J$140</f>
        <v>0</v>
      </c>
      <c r="AN15" s="141">
        <f>'[2]Ukraine Sun Meal Exports'!K$140</f>
        <v>0</v>
      </c>
      <c r="AO15" s="141">
        <f>'[2]Ukraine Sun Meal Exports'!L$140</f>
        <v>0</v>
      </c>
      <c r="AP15" s="141">
        <f>'[2]Ukraine Sun Meal Exports'!M$140</f>
        <v>0</v>
      </c>
      <c r="AQ15" s="141">
        <f>'[2]Ukraine Sun Meal Exports'!N$140</f>
        <v>0</v>
      </c>
      <c r="AR15" s="141">
        <f>'[2]Ukraine Sun Meal Exports'!O$140</f>
        <v>0</v>
      </c>
      <c r="AS15" s="141">
        <f>'[2]Ukraine Sun Meal Exports'!P$140</f>
        <v>0</v>
      </c>
      <c r="AT15" s="141">
        <f>'[2]Ukraine Sun Meal Exports'!Q$140</f>
        <v>0</v>
      </c>
      <c r="AU15" s="141">
        <f>'[2]Ukraine Sun Meal Exports'!R$140</f>
        <v>0</v>
      </c>
      <c r="AV15" s="141">
        <f>'[2]Ukraine Sun Meal Exports'!S$140</f>
        <v>0</v>
      </c>
      <c r="AW15" s="141">
        <f>'[2]Ukraine Sun Meal Exports'!T$140</f>
        <v>0</v>
      </c>
      <c r="AX15" s="141">
        <f>'[2]Ukraine Sun Meal Exports'!U$140</f>
        <v>0</v>
      </c>
      <c r="AY15" s="141">
        <f>'[2]Ukraine Sun Meal Exports'!V$140</f>
        <v>0</v>
      </c>
      <c r="AZ15" s="141">
        <f>'[2]Ukraine Sun Meal Exports'!W$140</f>
        <v>0</v>
      </c>
      <c r="BA15" s="141">
        <f>'[2]Ukraine Sun Meal Exports'!X$140</f>
        <v>82.5</v>
      </c>
      <c r="BB15" s="141">
        <f>'[2]Ukraine Sun Meal Exports'!Y$140</f>
        <v>82.5</v>
      </c>
      <c r="BC15" s="141">
        <f>'[2]Ukraine Sun Meal Exports'!Z$140</f>
        <v>27.334</v>
      </c>
      <c r="BD15" s="141">
        <f>'[2]Ukraine Sun Meal Exports'!AA$140</f>
        <v>77.968000000000004</v>
      </c>
      <c r="BE15" s="141">
        <f>'[2]Ukraine Sun Meal Exports'!AB$140</f>
        <v>27.5</v>
      </c>
      <c r="BF15" s="141">
        <f>'[2]Ukraine Sun Meal Exports'!AC$140</f>
        <v>0</v>
      </c>
      <c r="BG15" s="143">
        <f>'[2]Ukraine Sun Meal Exports'!AD$140</f>
        <v>0</v>
      </c>
      <c r="BH15" s="141">
        <f>'[2]Russia Sun Meal Exports'!B$140</f>
        <v>0</v>
      </c>
      <c r="BI15" s="141">
        <f>'[2]Russia Sun Meal Exports'!C$140</f>
        <v>0</v>
      </c>
      <c r="BJ15" s="141">
        <f>'[2]Russia Sun Meal Exports'!D$140</f>
        <v>0</v>
      </c>
      <c r="BK15" s="141">
        <f>'[2]Russia Sun Meal Exports'!E$140</f>
        <v>0</v>
      </c>
      <c r="BL15" s="141">
        <f>'[2]Russia Sun Meal Exports'!F$140</f>
        <v>0</v>
      </c>
      <c r="BM15" s="141">
        <f>'[2]Russia Sun Meal Exports'!G$140</f>
        <v>0</v>
      </c>
      <c r="BN15" s="141">
        <f>'[2]Russia Sun Meal Exports'!H$140</f>
        <v>0</v>
      </c>
      <c r="BO15" s="141">
        <f>'[2]Russia Sun Meal Exports'!I$140</f>
        <v>0</v>
      </c>
      <c r="BP15" s="141">
        <f>'[2]Russia Sun Meal Exports'!J$140</f>
        <v>0</v>
      </c>
      <c r="BQ15" s="141">
        <f>'[2]Russia Sun Meal Exports'!K$140</f>
        <v>0</v>
      </c>
      <c r="BR15" s="141">
        <f>'[2]Russia Sun Meal Exports'!L$140</f>
        <v>0</v>
      </c>
      <c r="BS15" s="141">
        <f>'[2]Russia Sun Meal Exports'!M$140</f>
        <v>0</v>
      </c>
      <c r="BT15" s="141">
        <f>'[2]Russia Sun Meal Exports'!N$140</f>
        <v>0</v>
      </c>
      <c r="BU15" s="141">
        <f>'[2]Russia Sun Meal Exports'!O$140</f>
        <v>0</v>
      </c>
      <c r="BV15" s="141">
        <f>'[2]Russia Sun Meal Exports'!P$140</f>
        <v>0</v>
      </c>
      <c r="BW15" s="141">
        <f>'[2]Russia Sun Meal Exports'!Q$140</f>
        <v>0</v>
      </c>
      <c r="BX15" s="141">
        <f>'[2]Russia Sun Meal Exports'!R$140</f>
        <v>0</v>
      </c>
      <c r="BY15" s="141">
        <f>'[2]Russia Sun Meal Exports'!S$140</f>
        <v>0</v>
      </c>
      <c r="BZ15" s="141">
        <f>'[2]Russia Sun Meal Exports'!T$140</f>
        <v>0</v>
      </c>
      <c r="CA15" s="141">
        <f>'[2]Russia Sun Meal Exports'!U$140</f>
        <v>0</v>
      </c>
      <c r="CB15" s="141">
        <f>'[2]Russia Sun Meal Exports'!V$140</f>
        <v>0</v>
      </c>
      <c r="CC15" s="141">
        <f>'[2]Russia Sun Meal Exports'!W$140</f>
        <v>0</v>
      </c>
      <c r="CD15" s="141">
        <f>'[2]Russia Sun Meal Exports'!X$140</f>
        <v>0</v>
      </c>
      <c r="CE15" s="141">
        <f>'[2]Russia Sun Meal Exports'!Y$140</f>
        <v>0</v>
      </c>
      <c r="CF15" s="141">
        <f>'[2]Russia Sun Meal Exports'!Z$140</f>
        <v>0</v>
      </c>
      <c r="CG15" s="147">
        <f>'[2]Russia Sun Meal Exports'!AA$140</f>
        <v>0</v>
      </c>
      <c r="CH15" s="141">
        <f>'[2]Russia Sun Meal Exports'!AB$140</f>
        <v>0</v>
      </c>
      <c r="CI15" s="141">
        <f>'[2]Russia Sun Meal Exports'!AC$140</f>
        <v>0</v>
      </c>
      <c r="CJ15" s="143">
        <f>'[2]Russia Sun Meal Exports'!AD$140</f>
        <v>0</v>
      </c>
      <c r="CK15" s="141">
        <f>'[3]Sunflower Meal Exports'!B$140/1.10231</f>
        <v>0</v>
      </c>
      <c r="CL15" s="141">
        <f>'[3]Sunflower Meal Exports'!C$140/1.10231</f>
        <v>0</v>
      </c>
      <c r="CM15" s="141">
        <f>'[3]Sunflower Meal Exports'!D$140/1.10231</f>
        <v>0</v>
      </c>
      <c r="CN15" s="141">
        <f>'[3]Sunflower Meal Exports'!E$140/1.10231</f>
        <v>0</v>
      </c>
      <c r="CO15" s="141">
        <f>'[3]Sunflower Meal Exports'!F$140/1.10231</f>
        <v>0</v>
      </c>
      <c r="CP15" s="141">
        <f>'[3]Sunflower Meal Exports'!G$140/1.10231</f>
        <v>0</v>
      </c>
      <c r="CQ15" s="141">
        <f>'[3]Sunflower Meal Exports'!H$140/1.10231</f>
        <v>0</v>
      </c>
      <c r="CR15" s="141">
        <f>'[3]Sunflower Meal Exports'!I$140/1.10231</f>
        <v>0</v>
      </c>
      <c r="CS15" s="141">
        <f>'[3]Sunflower Meal Exports'!J$140/1.10231</f>
        <v>0</v>
      </c>
      <c r="CT15" s="141">
        <f>'[3]Sunflower Meal Exports'!K$140/1.10231</f>
        <v>0</v>
      </c>
      <c r="CU15" s="141">
        <f>'[3]Sunflower Meal Exports'!L$140/1.10231</f>
        <v>0</v>
      </c>
      <c r="CV15" s="141">
        <f>'[3]Sunflower Meal Exports'!M$140/1.10231</f>
        <v>0</v>
      </c>
      <c r="CW15" s="141">
        <f>'[3]Sunflower Meal Exports'!N$140/1.10231</f>
        <v>0</v>
      </c>
      <c r="CX15" s="141">
        <f>'[3]Sunflower Meal Exports'!O$140/1.10231</f>
        <v>0</v>
      </c>
      <c r="CY15" s="141">
        <f>'[3]Sunflower Meal Exports'!P$140/1.10231</f>
        <v>0</v>
      </c>
      <c r="CZ15" s="141">
        <f>'[3]Sunflower Meal Exports'!Q$140/1.10231</f>
        <v>0</v>
      </c>
      <c r="DA15" s="141">
        <f>'[3]Sunflower Meal Exports'!R$140/1.10231</f>
        <v>0</v>
      </c>
      <c r="DB15" s="141">
        <f>'[3]Sunflower Meal Exports'!S$140/1.10231</f>
        <v>0</v>
      </c>
      <c r="DC15" s="141">
        <f>'[3]Sunflower Meal Exports'!T$140/1.10231</f>
        <v>0</v>
      </c>
      <c r="DD15" s="141">
        <f>'[3]Sunflower Meal Exports'!U$140/1.10231</f>
        <v>0</v>
      </c>
      <c r="DE15" s="141">
        <f>'[3]Sunflower Meal Exports'!V$140/1.10231</f>
        <v>0</v>
      </c>
      <c r="DF15" s="141">
        <f>'[3]Sunflower Meal Exports'!W$140/1.10231</f>
        <v>0</v>
      </c>
      <c r="DG15" s="141">
        <f>'[3]Sunflower Meal Exports'!X$140/1.10231</f>
        <v>0</v>
      </c>
      <c r="DH15" s="141">
        <f>'[3]Sunflower Meal Exports'!Y$140/1.10231</f>
        <v>0</v>
      </c>
      <c r="DI15" s="141">
        <f>'[3]Sunflower Meal Exports'!Z$140/1.10231</f>
        <v>0</v>
      </c>
      <c r="DJ15" s="141">
        <f>'[3]Sunflower Meal Exports'!AA$140/1.10231</f>
        <v>0</v>
      </c>
      <c r="DK15" s="141">
        <f>'[3]Sunflower Meal Exports'!AB$140/1.10231</f>
        <v>0</v>
      </c>
      <c r="DL15" s="141">
        <f>'[3]Sunflower Meal Exports'!AC$140/1.10231</f>
        <v>0</v>
      </c>
      <c r="DM15" s="143">
        <f>'[3]Sunflower Meal Exports'!AD$140/1.10231</f>
        <v>0</v>
      </c>
      <c r="DN15" s="141">
        <f t="shared" si="10"/>
        <v>0</v>
      </c>
      <c r="DO15" s="141">
        <f t="shared" si="10"/>
        <v>0</v>
      </c>
      <c r="DP15" s="141">
        <f t="shared" si="10"/>
        <v>0</v>
      </c>
      <c r="DQ15" s="141">
        <f t="shared" si="10"/>
        <v>0</v>
      </c>
      <c r="DR15" s="141">
        <f t="shared" si="10"/>
        <v>0</v>
      </c>
      <c r="DS15" s="141">
        <f t="shared" si="4"/>
        <v>0</v>
      </c>
      <c r="DT15" s="141">
        <f t="shared" si="4"/>
        <v>0</v>
      </c>
      <c r="DU15" s="141">
        <f t="shared" si="4"/>
        <v>0</v>
      </c>
      <c r="DV15" s="141">
        <f t="shared" si="4"/>
        <v>0</v>
      </c>
      <c r="DW15" s="141">
        <f t="shared" si="5"/>
        <v>0</v>
      </c>
      <c r="DX15" s="141">
        <f t="shared" si="5"/>
        <v>0</v>
      </c>
      <c r="DY15" s="141">
        <f t="shared" si="5"/>
        <v>0</v>
      </c>
      <c r="DZ15" s="141">
        <f t="shared" si="5"/>
        <v>0</v>
      </c>
      <c r="EA15" s="141">
        <f t="shared" si="6"/>
        <v>0</v>
      </c>
      <c r="EB15" s="141">
        <f t="shared" si="6"/>
        <v>0</v>
      </c>
      <c r="EC15" s="141">
        <f t="shared" si="6"/>
        <v>0</v>
      </c>
      <c r="ED15" s="141">
        <f t="shared" si="6"/>
        <v>0</v>
      </c>
      <c r="EE15" s="141">
        <f t="shared" si="7"/>
        <v>0</v>
      </c>
      <c r="EF15" s="141">
        <f t="shared" si="7"/>
        <v>0</v>
      </c>
      <c r="EG15" s="141">
        <f t="shared" si="7"/>
        <v>0</v>
      </c>
      <c r="EH15" s="141">
        <f t="shared" si="7"/>
        <v>0</v>
      </c>
      <c r="EI15" s="141">
        <f t="shared" si="8"/>
        <v>52.75</v>
      </c>
      <c r="EJ15" s="141">
        <f t="shared" si="8"/>
        <v>108.09</v>
      </c>
      <c r="EK15" s="141">
        <f t="shared" si="8"/>
        <v>82.5</v>
      </c>
      <c r="EL15" s="141">
        <f t="shared" si="8"/>
        <v>27.334</v>
      </c>
      <c r="EM15" s="141">
        <f t="shared" si="9"/>
        <v>77.968000000000004</v>
      </c>
      <c r="EN15" s="141">
        <f t="shared" si="9"/>
        <v>27.5</v>
      </c>
      <c r="EO15" s="141">
        <f t="shared" si="9"/>
        <v>0</v>
      </c>
      <c r="EP15" s="145">
        <f t="shared" si="9"/>
        <v>0</v>
      </c>
      <c r="EQ15" s="145">
        <v>0</v>
      </c>
      <c r="ES15" s="141">
        <f t="shared" si="11"/>
        <v>0</v>
      </c>
      <c r="ET15" s="141">
        <f t="shared" si="11"/>
        <v>0</v>
      </c>
    </row>
    <row r="16" spans="1:150">
      <c r="A16" s="148" t="s">
        <v>147</v>
      </c>
      <c r="B16" s="146">
        <f>'[2]EU Sun Meal Exports'!B$112</f>
        <v>0</v>
      </c>
      <c r="C16" s="146">
        <f>'[2]EU Sun Meal Exports'!C$112</f>
        <v>0</v>
      </c>
      <c r="D16" s="146">
        <f>'[2]EU Sun Meal Exports'!D$112</f>
        <v>0</v>
      </c>
      <c r="E16" s="146">
        <f>'[2]EU Sun Meal Exports'!E$112</f>
        <v>0</v>
      </c>
      <c r="F16" s="146">
        <f>'[2]EU Sun Meal Exports'!F$112</f>
        <v>0</v>
      </c>
      <c r="G16" s="146">
        <f>'[2]EU Sun Meal Exports'!G$112</f>
        <v>0</v>
      </c>
      <c r="H16" s="146">
        <f>'[2]EU Sun Meal Exports'!H$112</f>
        <v>0</v>
      </c>
      <c r="I16" s="146">
        <f>'[2]EU Sun Meal Exports'!I$112</f>
        <v>0</v>
      </c>
      <c r="J16" s="146">
        <f>'[2]EU Sun Meal Exports'!J$112</f>
        <v>0</v>
      </c>
      <c r="K16" s="146">
        <f>'[2]EU Sun Meal Exports'!K$112</f>
        <v>0</v>
      </c>
      <c r="L16" s="146">
        <f>'[2]EU Sun Meal Exports'!L$112</f>
        <v>0</v>
      </c>
      <c r="M16" s="146">
        <f>'[2]EU Sun Meal Exports'!M$112</f>
        <v>0</v>
      </c>
      <c r="N16" s="146">
        <f>'[2]EU Sun Meal Exports'!N$112</f>
        <v>2.1999999999999999E-2</v>
      </c>
      <c r="O16" s="146">
        <f>'[2]EU Sun Meal Exports'!O$112</f>
        <v>0</v>
      </c>
      <c r="P16" s="141">
        <f>'[2]EU Sun Meal Exports'!P$112</f>
        <v>0</v>
      </c>
      <c r="Q16" s="141">
        <f>'[2]EU Sun Meal Exports'!Q$112</f>
        <v>0</v>
      </c>
      <c r="R16" s="141">
        <f>'[2]EU Sun Meal Exports'!R$112</f>
        <v>0</v>
      </c>
      <c r="S16" s="141">
        <f>'[2]EU Sun Meal Exports'!S$112</f>
        <v>0</v>
      </c>
      <c r="T16" s="141">
        <f>'[2]EU Sun Meal Exports'!T$112</f>
        <v>0</v>
      </c>
      <c r="U16" s="141">
        <f>'[2]EU Sun Meal Exports'!U$112</f>
        <v>0.01</v>
      </c>
      <c r="V16" s="141">
        <f>'[2]EU Sun Meal Exports'!V$112</f>
        <v>0</v>
      </c>
      <c r="W16" s="141">
        <f>'[2]EU Sun Meal Exports'!W$112</f>
        <v>0</v>
      </c>
      <c r="X16" s="141">
        <f>'[2]EU Sun Meal Exports'!X$112</f>
        <v>1.2999999999999999E-2</v>
      </c>
      <c r="Y16" s="141">
        <f>'[2]EU Sun Meal Exports'!Y$112</f>
        <v>0.182</v>
      </c>
      <c r="Z16" s="141">
        <f>'[2]EU Sun Meal Exports'!Z$112</f>
        <v>1.0169999999999999</v>
      </c>
      <c r="AA16" s="141">
        <f>'[2]EU Sun Meal Exports'!AA$112</f>
        <v>0</v>
      </c>
      <c r="AB16" s="141">
        <f>'[2]EU Sun Meal Exports'!AB$112</f>
        <v>1E-3</v>
      </c>
      <c r="AC16" s="141">
        <f>'[2]EU Sun Meal Exports'!AC$112</f>
        <v>0</v>
      </c>
      <c r="AD16" s="143">
        <f>'[2]EU Sun Meal Exports'!AD$112</f>
        <v>0</v>
      </c>
      <c r="AE16" s="141">
        <f>'[2]Ukraine Sun Meal Exports'!B$112</f>
        <v>0</v>
      </c>
      <c r="AF16" s="141">
        <f>'[2]Ukraine Sun Meal Exports'!C$112</f>
        <v>0</v>
      </c>
      <c r="AG16" s="141">
        <f>'[2]Ukraine Sun Meal Exports'!D$112</f>
        <v>0</v>
      </c>
      <c r="AH16" s="141">
        <f>'[2]Ukraine Sun Meal Exports'!E$112</f>
        <v>0</v>
      </c>
      <c r="AI16" s="141">
        <f>'[2]Ukraine Sun Meal Exports'!F$112</f>
        <v>0</v>
      </c>
      <c r="AJ16" s="141">
        <f>'[2]Ukraine Sun Meal Exports'!G$112</f>
        <v>0</v>
      </c>
      <c r="AK16" s="141">
        <f>'[2]Ukraine Sun Meal Exports'!H$112</f>
        <v>0</v>
      </c>
      <c r="AL16" s="141">
        <f>'[2]Ukraine Sun Meal Exports'!I$112</f>
        <v>0</v>
      </c>
      <c r="AM16" s="141">
        <f>'[2]Ukraine Sun Meal Exports'!J$112</f>
        <v>0</v>
      </c>
      <c r="AN16" s="141">
        <f>'[2]Ukraine Sun Meal Exports'!K$112</f>
        <v>0</v>
      </c>
      <c r="AO16" s="141">
        <f>'[2]Ukraine Sun Meal Exports'!L$112</f>
        <v>0</v>
      </c>
      <c r="AP16" s="141">
        <f>'[2]Ukraine Sun Meal Exports'!M$112</f>
        <v>2.5000000000000001E-2</v>
      </c>
      <c r="AQ16" s="141">
        <f>'[2]Ukraine Sun Meal Exports'!N$112</f>
        <v>0</v>
      </c>
      <c r="AR16" s="141">
        <f>'[2]Ukraine Sun Meal Exports'!O$112</f>
        <v>0</v>
      </c>
      <c r="AS16" s="141">
        <f>'[2]Ukraine Sun Meal Exports'!P$112</f>
        <v>0</v>
      </c>
      <c r="AT16" s="141">
        <f>'[2]Ukraine Sun Meal Exports'!Q$112</f>
        <v>0.50900000000000001</v>
      </c>
      <c r="AU16" s="141">
        <f>'[2]Ukraine Sun Meal Exports'!R$112</f>
        <v>0</v>
      </c>
      <c r="AV16" s="141">
        <f>'[2]Ukraine Sun Meal Exports'!S$112</f>
        <v>0</v>
      </c>
      <c r="AW16" s="141">
        <f>'[2]Ukraine Sun Meal Exports'!T$112</f>
        <v>0</v>
      </c>
      <c r="AX16" s="141">
        <f>'[2]Ukraine Sun Meal Exports'!U$112</f>
        <v>0</v>
      </c>
      <c r="AY16" s="141">
        <f>'[2]Ukraine Sun Meal Exports'!V$112</f>
        <v>0</v>
      </c>
      <c r="AZ16" s="141">
        <f>'[2]Ukraine Sun Meal Exports'!W$112</f>
        <v>0.42299999999999999</v>
      </c>
      <c r="BA16" s="141">
        <f>'[2]Ukraine Sun Meal Exports'!X$112</f>
        <v>1.7809999999999999</v>
      </c>
      <c r="BB16" s="141">
        <f>'[2]Ukraine Sun Meal Exports'!Y$112</f>
        <v>8.5960000000000001</v>
      </c>
      <c r="BC16" s="141">
        <f>'[2]Ukraine Sun Meal Exports'!Z$112</f>
        <v>10.885999999999999</v>
      </c>
      <c r="BD16" s="141">
        <f>'[2]Ukraine Sun Meal Exports'!AA$112</f>
        <v>2.3340000000000001</v>
      </c>
      <c r="BE16" s="141">
        <f>'[2]Ukraine Sun Meal Exports'!AB$112</f>
        <v>2.5030000000000001</v>
      </c>
      <c r="BF16" s="141">
        <f>'[2]Ukraine Sun Meal Exports'!AC$112</f>
        <v>0.33599999999999997</v>
      </c>
      <c r="BG16" s="141">
        <f>'[2]Ukraine Sun Meal Exports'!AD$112</f>
        <v>0.38400000000000001</v>
      </c>
      <c r="BH16" s="141">
        <f>'[2]Russia Sun Meal Exports'!B$112</f>
        <v>0</v>
      </c>
      <c r="BI16" s="141">
        <f>'[2]Russia Sun Meal Exports'!C$112</f>
        <v>0</v>
      </c>
      <c r="BJ16" s="141">
        <f>'[2]Russia Sun Meal Exports'!D$112</f>
        <v>0</v>
      </c>
      <c r="BK16" s="141">
        <f>'[2]Russia Sun Meal Exports'!E$112</f>
        <v>0</v>
      </c>
      <c r="BL16" s="141">
        <f>'[2]Russia Sun Meal Exports'!F$112</f>
        <v>0</v>
      </c>
      <c r="BM16" s="141">
        <f>'[2]Russia Sun Meal Exports'!G$112</f>
        <v>0</v>
      </c>
      <c r="BN16" s="141">
        <f>'[2]Russia Sun Meal Exports'!H$112</f>
        <v>0</v>
      </c>
      <c r="BO16" s="141">
        <f>'[2]Russia Sun Meal Exports'!I$112</f>
        <v>0</v>
      </c>
      <c r="BP16" s="141">
        <f>'[2]Russia Sun Meal Exports'!J$112</f>
        <v>0</v>
      </c>
      <c r="BQ16" s="141">
        <f>'[2]Russia Sun Meal Exports'!K$112</f>
        <v>0</v>
      </c>
      <c r="BR16" s="141">
        <f>'[2]Russia Sun Meal Exports'!L$112</f>
        <v>0</v>
      </c>
      <c r="BS16" s="141">
        <f>'[2]Russia Sun Meal Exports'!M$112</f>
        <v>0</v>
      </c>
      <c r="BT16" s="141">
        <f>'[2]Russia Sun Meal Exports'!N$112</f>
        <v>0</v>
      </c>
      <c r="BU16" s="141">
        <f>'[2]Russia Sun Meal Exports'!O$112</f>
        <v>0</v>
      </c>
      <c r="BV16" s="141">
        <f>'[2]Russia Sun Meal Exports'!P$112</f>
        <v>0</v>
      </c>
      <c r="BW16" s="141">
        <f>'[2]Russia Sun Meal Exports'!Q$112</f>
        <v>0</v>
      </c>
      <c r="BX16" s="141">
        <f>'[2]Russia Sun Meal Exports'!R$112</f>
        <v>0</v>
      </c>
      <c r="BY16" s="141">
        <f>'[2]Russia Sun Meal Exports'!S$112</f>
        <v>0</v>
      </c>
      <c r="BZ16" s="141">
        <f>'[2]Russia Sun Meal Exports'!T$112</f>
        <v>0</v>
      </c>
      <c r="CA16" s="141">
        <f>'[2]Russia Sun Meal Exports'!U$112</f>
        <v>0</v>
      </c>
      <c r="CB16" s="141">
        <f>'[2]Russia Sun Meal Exports'!V$112</f>
        <v>0</v>
      </c>
      <c r="CC16" s="141">
        <f>'[2]Russia Sun Meal Exports'!W$112</f>
        <v>0</v>
      </c>
      <c r="CD16" s="141">
        <f>'[2]Russia Sun Meal Exports'!X$112</f>
        <v>0</v>
      </c>
      <c r="CE16" s="141">
        <f>'[2]Russia Sun Meal Exports'!Y$112</f>
        <v>0</v>
      </c>
      <c r="CF16" s="141">
        <f>'[2]Russia Sun Meal Exports'!Z$112</f>
        <v>0</v>
      </c>
      <c r="CG16" s="147">
        <f>'[2]Russia Sun Meal Exports'!AA$112</f>
        <v>0</v>
      </c>
      <c r="CH16" s="141">
        <f>'[2]Russia Sun Meal Exports'!AB$112</f>
        <v>0</v>
      </c>
      <c r="CI16" s="141">
        <f>'[2]Russia Sun Meal Exports'!AC$112</f>
        <v>0</v>
      </c>
      <c r="CJ16" s="143">
        <f>'[2]Russia Sun Meal Exports'!AD$112</f>
        <v>0</v>
      </c>
      <c r="CK16" s="141">
        <f>'[3]Sunflower Meal Exports'!B$112/1.10231</f>
        <v>0</v>
      </c>
      <c r="CL16" s="141">
        <f>'[3]Sunflower Meal Exports'!C$112/1.10231</f>
        <v>0</v>
      </c>
      <c r="CM16" s="141">
        <f>'[3]Sunflower Meal Exports'!D$112/1.10231</f>
        <v>0</v>
      </c>
      <c r="CN16" s="141">
        <f>'[3]Sunflower Meal Exports'!E$112/1.10231</f>
        <v>0</v>
      </c>
      <c r="CO16" s="141">
        <f>'[3]Sunflower Meal Exports'!F$112/1.10231</f>
        <v>0</v>
      </c>
      <c r="CP16" s="141">
        <f>'[3]Sunflower Meal Exports'!G$112/1.10231</f>
        <v>0</v>
      </c>
      <c r="CQ16" s="141">
        <f>'[3]Sunflower Meal Exports'!H$112/1.10231</f>
        <v>0</v>
      </c>
      <c r="CR16" s="141">
        <f>'[3]Sunflower Meal Exports'!I$112/1.10231</f>
        <v>0</v>
      </c>
      <c r="CS16" s="141">
        <f>'[3]Sunflower Meal Exports'!J$112/1.10231</f>
        <v>0</v>
      </c>
      <c r="CT16" s="141">
        <f>'[3]Sunflower Meal Exports'!K$112/1.10231</f>
        <v>0</v>
      </c>
      <c r="CU16" s="141">
        <f>'[3]Sunflower Meal Exports'!L$112/1.10231</f>
        <v>0</v>
      </c>
      <c r="CV16" s="141">
        <f>'[3]Sunflower Meal Exports'!M$112/1.10231</f>
        <v>0</v>
      </c>
      <c r="CW16" s="141">
        <f>'[3]Sunflower Meal Exports'!N$112/1.10231</f>
        <v>0</v>
      </c>
      <c r="CX16" s="141">
        <f>'[3]Sunflower Meal Exports'!O$112/1.10231</f>
        <v>0</v>
      </c>
      <c r="CY16" s="141">
        <f>'[3]Sunflower Meal Exports'!P$112/1.10231</f>
        <v>0</v>
      </c>
      <c r="CZ16" s="141">
        <f>'[3]Sunflower Meal Exports'!Q$112/1.10231</f>
        <v>0</v>
      </c>
      <c r="DA16" s="141">
        <f>'[3]Sunflower Meal Exports'!R$112/1.10231</f>
        <v>0.45370041159020613</v>
      </c>
      <c r="DB16" s="141">
        <f>'[3]Sunflower Meal Exports'!S$112/1.10231</f>
        <v>0</v>
      </c>
      <c r="DC16" s="141">
        <f>'[3]Sunflower Meal Exports'!T$112/1.10231</f>
        <v>2.10000190509022E-3</v>
      </c>
      <c r="DD16" s="141">
        <f>'[3]Sunflower Meal Exports'!U$112/1.10231</f>
        <v>0</v>
      </c>
      <c r="DE16" s="141">
        <f>'[3]Sunflower Meal Exports'!V$112/1.10231</f>
        <v>0.26050023632190589</v>
      </c>
      <c r="DF16" s="141">
        <f>'[3]Sunflower Meal Exports'!W$112/1.10231</f>
        <v>0</v>
      </c>
      <c r="DG16" s="141">
        <f>'[3]Sunflower Meal Exports'!X$112/1.10231</f>
        <v>0</v>
      </c>
      <c r="DH16" s="141">
        <f>'[3]Sunflower Meal Exports'!Y$112/1.10231</f>
        <v>1.3456000000000003E-2</v>
      </c>
      <c r="DI16" s="141">
        <f>'[3]Sunflower Meal Exports'!Z$112/1.10231</f>
        <v>0</v>
      </c>
      <c r="DJ16" s="141">
        <f>'[3]Sunflower Meal Exports'!AA$112/1.10231</f>
        <v>0</v>
      </c>
      <c r="DK16" s="141">
        <f>'[3]Sunflower Meal Exports'!AB$112/1.10231</f>
        <v>0</v>
      </c>
      <c r="DL16" s="141">
        <f>'[3]Sunflower Meal Exports'!AC$112/1.10231</f>
        <v>0</v>
      </c>
      <c r="DM16" s="143">
        <f>'[3]Sunflower Meal Exports'!AD$112/1.10231</f>
        <v>0</v>
      </c>
      <c r="DN16" s="141">
        <f t="shared" si="10"/>
        <v>0</v>
      </c>
      <c r="DO16" s="141">
        <f t="shared" si="10"/>
        <v>0</v>
      </c>
      <c r="DP16" s="141">
        <f t="shared" si="10"/>
        <v>0</v>
      </c>
      <c r="DQ16" s="141">
        <f t="shared" si="10"/>
        <v>0</v>
      </c>
      <c r="DR16" s="141">
        <f t="shared" si="10"/>
        <v>0</v>
      </c>
      <c r="DS16" s="141">
        <f t="shared" si="4"/>
        <v>0</v>
      </c>
      <c r="DT16" s="141">
        <f t="shared" si="4"/>
        <v>0</v>
      </c>
      <c r="DU16" s="141">
        <f t="shared" si="4"/>
        <v>0</v>
      </c>
      <c r="DV16" s="141">
        <f t="shared" si="4"/>
        <v>0</v>
      </c>
      <c r="DW16" s="141">
        <f t="shared" si="5"/>
        <v>0</v>
      </c>
      <c r="DX16" s="141">
        <f t="shared" si="5"/>
        <v>0</v>
      </c>
      <c r="DY16" s="141">
        <f t="shared" si="5"/>
        <v>2.5000000000000001E-2</v>
      </c>
      <c r="DZ16" s="141">
        <f t="shared" si="5"/>
        <v>2.1999999999999999E-2</v>
      </c>
      <c r="EA16" s="141">
        <f t="shared" si="6"/>
        <v>0</v>
      </c>
      <c r="EB16" s="141">
        <f t="shared" si="6"/>
        <v>0</v>
      </c>
      <c r="EC16" s="141">
        <f t="shared" si="6"/>
        <v>0.50900000000000001</v>
      </c>
      <c r="ED16" s="141">
        <f t="shared" si="6"/>
        <v>0.45370041159020613</v>
      </c>
      <c r="EE16" s="141">
        <f t="shared" si="7"/>
        <v>0</v>
      </c>
      <c r="EF16" s="141">
        <f t="shared" si="7"/>
        <v>2.10000190509022E-3</v>
      </c>
      <c r="EG16" s="141">
        <f t="shared" si="7"/>
        <v>0.01</v>
      </c>
      <c r="EH16" s="141">
        <f t="shared" si="7"/>
        <v>0.26050023632190589</v>
      </c>
      <c r="EI16" s="141">
        <f t="shared" si="8"/>
        <v>0.42299999999999999</v>
      </c>
      <c r="EJ16" s="141">
        <f t="shared" si="8"/>
        <v>1.7939999999999998</v>
      </c>
      <c r="EK16" s="141">
        <f t="shared" si="8"/>
        <v>8.7914560000000002</v>
      </c>
      <c r="EL16" s="141">
        <f t="shared" si="8"/>
        <v>11.902999999999999</v>
      </c>
      <c r="EM16" s="141">
        <f t="shared" si="9"/>
        <v>2.3340000000000001</v>
      </c>
      <c r="EN16" s="141">
        <f t="shared" si="9"/>
        <v>2.504</v>
      </c>
      <c r="EO16" s="141">
        <f t="shared" si="9"/>
        <v>0.33599999999999997</v>
      </c>
      <c r="EP16" s="145">
        <f t="shared" si="9"/>
        <v>0.38400000000000001</v>
      </c>
      <c r="EQ16" s="145">
        <v>0</v>
      </c>
      <c r="ES16" s="141">
        <f t="shared" si="11"/>
        <v>0</v>
      </c>
      <c r="ET16" s="141">
        <f t="shared" si="11"/>
        <v>0</v>
      </c>
    </row>
    <row r="17" spans="1:150">
      <c r="A17" s="148" t="s">
        <v>148</v>
      </c>
      <c r="B17" s="146">
        <f>'[2]EU Sun Meal Exports'!B$146</f>
        <v>0</v>
      </c>
      <c r="C17" s="146">
        <f>'[2]EU Sun Meal Exports'!C$146</f>
        <v>0</v>
      </c>
      <c r="D17" s="146">
        <f>'[2]EU Sun Meal Exports'!D$146</f>
        <v>0</v>
      </c>
      <c r="E17" s="146">
        <f>'[2]EU Sun Meal Exports'!E$146</f>
        <v>0</v>
      </c>
      <c r="F17" s="146">
        <f>'[2]EU Sun Meal Exports'!F$146</f>
        <v>0</v>
      </c>
      <c r="G17" s="146">
        <f>'[2]EU Sun Meal Exports'!G$146</f>
        <v>4.8259999999999996</v>
      </c>
      <c r="H17" s="146">
        <f>'[2]EU Sun Meal Exports'!H$146</f>
        <v>0</v>
      </c>
      <c r="I17" s="146">
        <f>'[2]EU Sun Meal Exports'!I$146</f>
        <v>0</v>
      </c>
      <c r="J17" s="146">
        <f>'[2]EU Sun Meal Exports'!J$146</f>
        <v>0</v>
      </c>
      <c r="K17" s="146">
        <f>'[2]EU Sun Meal Exports'!K$146</f>
        <v>0</v>
      </c>
      <c r="L17" s="146">
        <f>'[2]EU Sun Meal Exports'!L$146</f>
        <v>2</v>
      </c>
      <c r="M17" s="146">
        <f>'[2]EU Sun Meal Exports'!M$146</f>
        <v>5.1229999999999993</v>
      </c>
      <c r="N17" s="146">
        <f>'[2]EU Sun Meal Exports'!N$146</f>
        <v>2.0579999999999998</v>
      </c>
      <c r="O17" s="146">
        <f>'[2]EU Sun Meal Exports'!O$146</f>
        <v>2.2269999999999999</v>
      </c>
      <c r="P17" s="141">
        <f>'[2]EU Sun Meal Exports'!P$146</f>
        <v>0</v>
      </c>
      <c r="Q17" s="141">
        <f>'[2]EU Sun Meal Exports'!Q$146</f>
        <v>1.321</v>
      </c>
      <c r="R17" s="141">
        <f>'[2]EU Sun Meal Exports'!R$146</f>
        <v>7.2189999999999994</v>
      </c>
      <c r="S17" s="141">
        <f>'[2]EU Sun Meal Exports'!S$146</f>
        <v>3.1739999999999999</v>
      </c>
      <c r="T17" s="141">
        <f>'[2]EU Sun Meal Exports'!T$146</f>
        <v>6.9809999999999999</v>
      </c>
      <c r="U17" s="141">
        <f>'[2]EU Sun Meal Exports'!U$146</f>
        <v>0</v>
      </c>
      <c r="V17" s="141">
        <f>'[2]EU Sun Meal Exports'!V$146</f>
        <v>0</v>
      </c>
      <c r="W17" s="141">
        <f>'[2]EU Sun Meal Exports'!W$146</f>
        <v>3.0659999999999998</v>
      </c>
      <c r="X17" s="141">
        <f>'[2]EU Sun Meal Exports'!X$146</f>
        <v>0</v>
      </c>
      <c r="Y17" s="141">
        <f>'[2]EU Sun Meal Exports'!Y$146</f>
        <v>0</v>
      </c>
      <c r="Z17" s="141">
        <f>'[2]EU Sun Meal Exports'!Z$146</f>
        <v>0</v>
      </c>
      <c r="AA17" s="141">
        <f>'[2]EU Sun Meal Exports'!AA$146</f>
        <v>0</v>
      </c>
      <c r="AB17" s="141">
        <f>'[2]EU Sun Meal Exports'!AB$146</f>
        <v>0</v>
      </c>
      <c r="AC17" s="141">
        <f>'[2]EU Sun Meal Exports'!AC$146</f>
        <v>0</v>
      </c>
      <c r="AD17" s="143">
        <f>'[2]EU Sun Meal Exports'!AD$146</f>
        <v>0</v>
      </c>
      <c r="AE17" s="141">
        <f>'[2]Ukraine Sun Meal Exports'!B$146</f>
        <v>0</v>
      </c>
      <c r="AF17" s="141">
        <f>'[2]Ukraine Sun Meal Exports'!C$146</f>
        <v>0</v>
      </c>
      <c r="AG17" s="141">
        <f>'[2]Ukraine Sun Meal Exports'!D$146</f>
        <v>0</v>
      </c>
      <c r="AH17" s="141">
        <f>'[2]Ukraine Sun Meal Exports'!E$146</f>
        <v>0</v>
      </c>
      <c r="AI17" s="141">
        <f>'[2]Ukraine Sun Meal Exports'!F$146</f>
        <v>0</v>
      </c>
      <c r="AJ17" s="141">
        <f>'[2]Ukraine Sun Meal Exports'!G$146</f>
        <v>0</v>
      </c>
      <c r="AK17" s="141">
        <f>'[2]Ukraine Sun Meal Exports'!H$146</f>
        <v>0</v>
      </c>
      <c r="AL17" s="141">
        <f>'[2]Ukraine Sun Meal Exports'!I$146</f>
        <v>0</v>
      </c>
      <c r="AM17" s="141">
        <f>'[2]Ukraine Sun Meal Exports'!J$146</f>
        <v>0</v>
      </c>
      <c r="AN17" s="141">
        <f>'[2]Ukraine Sun Meal Exports'!K$146</f>
        <v>0</v>
      </c>
      <c r="AO17" s="141">
        <f>'[2]Ukraine Sun Meal Exports'!L$146</f>
        <v>0.53700000000000003</v>
      </c>
      <c r="AP17" s="141">
        <f>'[2]Ukraine Sun Meal Exports'!M$146</f>
        <v>4.2610000000000001</v>
      </c>
      <c r="AQ17" s="141">
        <f>'[2]Ukraine Sun Meal Exports'!N$146</f>
        <v>0</v>
      </c>
      <c r="AR17" s="141">
        <f>'[2]Ukraine Sun Meal Exports'!O$146</f>
        <v>0</v>
      </c>
      <c r="AS17" s="141">
        <f>'[2]Ukraine Sun Meal Exports'!P$146</f>
        <v>0</v>
      </c>
      <c r="AT17" s="141">
        <f>'[2]Ukraine Sun Meal Exports'!Q$146</f>
        <v>0</v>
      </c>
      <c r="AU17" s="141">
        <f>'[2]Ukraine Sun Meal Exports'!R$146</f>
        <v>4.3159999999999998</v>
      </c>
      <c r="AV17" s="141">
        <f>'[2]Ukraine Sun Meal Exports'!S$146</f>
        <v>6.4219999999999997</v>
      </c>
      <c r="AW17" s="141">
        <f>'[2]Ukraine Sun Meal Exports'!T$146</f>
        <v>0</v>
      </c>
      <c r="AX17" s="141">
        <f>'[2]Ukraine Sun Meal Exports'!U$146</f>
        <v>0.42</v>
      </c>
      <c r="AY17" s="141">
        <f>'[2]Ukraine Sun Meal Exports'!V$146</f>
        <v>0</v>
      </c>
      <c r="AZ17" s="141">
        <f>'[2]Ukraine Sun Meal Exports'!W$146</f>
        <v>0</v>
      </c>
      <c r="BA17" s="141">
        <f>'[2]Ukraine Sun Meal Exports'!X$146</f>
        <v>0</v>
      </c>
      <c r="BB17" s="141">
        <f>'[2]Ukraine Sun Meal Exports'!Y$146</f>
        <v>0</v>
      </c>
      <c r="BC17" s="141">
        <f>'[2]Ukraine Sun Meal Exports'!Z$146</f>
        <v>0</v>
      </c>
      <c r="BD17" s="141">
        <f>'[2]Ukraine Sun Meal Exports'!AA$146</f>
        <v>0</v>
      </c>
      <c r="BE17" s="141">
        <f>'[2]Ukraine Sun Meal Exports'!AB$146</f>
        <v>0</v>
      </c>
      <c r="BF17" s="141">
        <f>'[2]Ukraine Sun Meal Exports'!AC$146</f>
        <v>0</v>
      </c>
      <c r="BG17" s="143">
        <f>'[2]Ukraine Sun Meal Exports'!AD$146</f>
        <v>0</v>
      </c>
      <c r="BH17" s="141">
        <f>'[2]Russia Sun Meal Exports'!B$146</f>
        <v>0</v>
      </c>
      <c r="BI17" s="141">
        <f>'[2]Russia Sun Meal Exports'!C$146</f>
        <v>0</v>
      </c>
      <c r="BJ17" s="141">
        <f>'[2]Russia Sun Meal Exports'!D$146</f>
        <v>0</v>
      </c>
      <c r="BK17" s="141">
        <f>'[2]Russia Sun Meal Exports'!E$146</f>
        <v>0</v>
      </c>
      <c r="BL17" s="141">
        <f>'[2]Russia Sun Meal Exports'!F$146</f>
        <v>0</v>
      </c>
      <c r="BM17" s="141">
        <f>'[2]Russia Sun Meal Exports'!G$146</f>
        <v>0</v>
      </c>
      <c r="BN17" s="141">
        <f>'[2]Russia Sun Meal Exports'!H$146</f>
        <v>0</v>
      </c>
      <c r="BO17" s="141">
        <f>'[2]Russia Sun Meal Exports'!I$146</f>
        <v>0</v>
      </c>
      <c r="BP17" s="141">
        <f>'[2]Russia Sun Meal Exports'!J$146</f>
        <v>0</v>
      </c>
      <c r="BQ17" s="141">
        <f>'[2]Russia Sun Meal Exports'!K$146</f>
        <v>0</v>
      </c>
      <c r="BR17" s="141">
        <f>'[2]Russia Sun Meal Exports'!L$146</f>
        <v>0</v>
      </c>
      <c r="BS17" s="141">
        <f>'[2]Russia Sun Meal Exports'!M$146</f>
        <v>6.2929999999999993</v>
      </c>
      <c r="BT17" s="141">
        <f>'[2]Russia Sun Meal Exports'!N$146</f>
        <v>11.899999999999999</v>
      </c>
      <c r="BU17" s="141">
        <f>'[2]Russia Sun Meal Exports'!O$146</f>
        <v>27.396999999999998</v>
      </c>
      <c r="BV17" s="141">
        <f>'[2]Russia Sun Meal Exports'!P$146</f>
        <v>0</v>
      </c>
      <c r="BW17" s="141">
        <f>'[2]Russia Sun Meal Exports'!Q$146</f>
        <v>28.818999999999999</v>
      </c>
      <c r="BX17" s="141">
        <f>'[2]Russia Sun Meal Exports'!R$146</f>
        <v>5.5</v>
      </c>
      <c r="BY17" s="141">
        <f>'[2]Russia Sun Meal Exports'!S$146</f>
        <v>0</v>
      </c>
      <c r="BZ17" s="141">
        <f>'[2]Russia Sun Meal Exports'!T$146</f>
        <v>8.6419999999999995</v>
      </c>
      <c r="CA17" s="141">
        <f>'[2]Russia Sun Meal Exports'!U$146</f>
        <v>0</v>
      </c>
      <c r="CB17" s="141">
        <f>'[2]Russia Sun Meal Exports'!V$146</f>
        <v>0</v>
      </c>
      <c r="CC17" s="141">
        <f>'[2]Russia Sun Meal Exports'!W$146</f>
        <v>0</v>
      </c>
      <c r="CD17" s="141">
        <f>'[2]Russia Sun Meal Exports'!X$146</f>
        <v>0</v>
      </c>
      <c r="CE17" s="141">
        <f>'[2]Russia Sun Meal Exports'!Y$146</f>
        <v>0</v>
      </c>
      <c r="CF17" s="141">
        <f>'[2]Russia Sun Meal Exports'!Z$146</f>
        <v>0</v>
      </c>
      <c r="CG17" s="147">
        <f>'[2]Russia Sun Meal Exports'!AA$146</f>
        <v>0</v>
      </c>
      <c r="CH17" s="141">
        <f>'[2]Russia Sun Meal Exports'!AB$146</f>
        <v>0</v>
      </c>
      <c r="CI17" s="141">
        <f>'[2]Russia Sun Meal Exports'!AC$146</f>
        <v>0</v>
      </c>
      <c r="CJ17" s="143">
        <f>'[2]Russia Sun Meal Exports'!AD$146</f>
        <v>0</v>
      </c>
      <c r="CK17" s="141">
        <f>'[3]Sunflower Meal Exports'!B$146/1.10231</f>
        <v>0</v>
      </c>
      <c r="CL17" s="141">
        <f>'[3]Sunflower Meal Exports'!C$146/1.10231</f>
        <v>0</v>
      </c>
      <c r="CM17" s="141">
        <f>'[3]Sunflower Meal Exports'!D$146/1.10231</f>
        <v>0</v>
      </c>
      <c r="CN17" s="141">
        <f>'[3]Sunflower Meal Exports'!E$146/1.10231</f>
        <v>0</v>
      </c>
      <c r="CO17" s="141">
        <f>'[3]Sunflower Meal Exports'!F$146/1.10231</f>
        <v>0</v>
      </c>
      <c r="CP17" s="141">
        <f>'[3]Sunflower Meal Exports'!G$146/1.10231</f>
        <v>0</v>
      </c>
      <c r="CQ17" s="141">
        <f>'[3]Sunflower Meal Exports'!H$146/1.10231</f>
        <v>0</v>
      </c>
      <c r="CR17" s="141">
        <f>'[3]Sunflower Meal Exports'!I$146/1.10231</f>
        <v>0</v>
      </c>
      <c r="CS17" s="141">
        <f>'[3]Sunflower Meal Exports'!J$146/1.10231</f>
        <v>0</v>
      </c>
      <c r="CT17" s="141">
        <f>'[3]Sunflower Meal Exports'!K$146/1.10231</f>
        <v>0</v>
      </c>
      <c r="CU17" s="141">
        <f>'[3]Sunflower Meal Exports'!L$146/1.10231</f>
        <v>0</v>
      </c>
      <c r="CV17" s="141">
        <f>'[3]Sunflower Meal Exports'!M$146/1.10231</f>
        <v>0</v>
      </c>
      <c r="CW17" s="141">
        <f>'[3]Sunflower Meal Exports'!N$146/1.10231</f>
        <v>0</v>
      </c>
      <c r="CX17" s="141">
        <f>'[3]Sunflower Meal Exports'!O$146/1.10231</f>
        <v>0</v>
      </c>
      <c r="CY17" s="141">
        <f>'[3]Sunflower Meal Exports'!P$146/1.10231</f>
        <v>0</v>
      </c>
      <c r="CZ17" s="141">
        <f>'[3]Sunflower Meal Exports'!Q$146/1.10231</f>
        <v>0</v>
      </c>
      <c r="DA17" s="141">
        <f>'[3]Sunflower Meal Exports'!R$146/1.10231</f>
        <v>0</v>
      </c>
      <c r="DB17" s="141">
        <f>'[3]Sunflower Meal Exports'!S$146/1.10231</f>
        <v>0</v>
      </c>
      <c r="DC17" s="141">
        <f>'[3]Sunflower Meal Exports'!T$146/1.10231</f>
        <v>0</v>
      </c>
      <c r="DD17" s="141">
        <f>'[3]Sunflower Meal Exports'!U$146/1.10231</f>
        <v>0</v>
      </c>
      <c r="DE17" s="141">
        <f>'[3]Sunflower Meal Exports'!V$146/1.10231</f>
        <v>0</v>
      </c>
      <c r="DF17" s="141">
        <f>'[3]Sunflower Meal Exports'!W$146/1.10231</f>
        <v>0</v>
      </c>
      <c r="DG17" s="141">
        <f>'[3]Sunflower Meal Exports'!X$146/1.10231</f>
        <v>0</v>
      </c>
      <c r="DH17" s="141">
        <f>'[3]Sunflower Meal Exports'!Y$146/1.10231</f>
        <v>0</v>
      </c>
      <c r="DI17" s="141">
        <f>'[3]Sunflower Meal Exports'!Z$146/1.10231</f>
        <v>0</v>
      </c>
      <c r="DJ17" s="141">
        <f>'[3]Sunflower Meal Exports'!AA$146/1.10231</f>
        <v>0</v>
      </c>
      <c r="DK17" s="141">
        <f>'[3]Sunflower Meal Exports'!AB$146/1.10231</f>
        <v>0</v>
      </c>
      <c r="DL17" s="141">
        <f>'[3]Sunflower Meal Exports'!AC$146/1.10231</f>
        <v>0</v>
      </c>
      <c r="DM17" s="143">
        <f>'[3]Sunflower Meal Exports'!AD$146/1.10231</f>
        <v>0</v>
      </c>
      <c r="DN17" s="141">
        <f t="shared" si="10"/>
        <v>0</v>
      </c>
      <c r="DO17" s="141">
        <f t="shared" si="10"/>
        <v>0</v>
      </c>
      <c r="DP17" s="141">
        <f t="shared" si="10"/>
        <v>0</v>
      </c>
      <c r="DQ17" s="141">
        <f t="shared" si="10"/>
        <v>0</v>
      </c>
      <c r="DR17" s="141">
        <f t="shared" si="10"/>
        <v>0</v>
      </c>
      <c r="DS17" s="141">
        <f t="shared" si="4"/>
        <v>4.8259999999999996</v>
      </c>
      <c r="DT17" s="141">
        <f t="shared" si="4"/>
        <v>0</v>
      </c>
      <c r="DU17" s="141">
        <f t="shared" si="4"/>
        <v>0</v>
      </c>
      <c r="DV17" s="141">
        <f t="shared" si="4"/>
        <v>0</v>
      </c>
      <c r="DW17" s="141">
        <f t="shared" si="5"/>
        <v>0</v>
      </c>
      <c r="DX17" s="141">
        <f t="shared" si="5"/>
        <v>2.5369999999999999</v>
      </c>
      <c r="DY17" s="141">
        <f t="shared" si="5"/>
        <v>15.677</v>
      </c>
      <c r="DZ17" s="141">
        <f t="shared" si="5"/>
        <v>13.957999999999998</v>
      </c>
      <c r="EA17" s="141">
        <f t="shared" si="6"/>
        <v>29.623999999999999</v>
      </c>
      <c r="EB17" s="141">
        <f t="shared" si="6"/>
        <v>0</v>
      </c>
      <c r="EC17" s="141">
        <f t="shared" si="6"/>
        <v>30.14</v>
      </c>
      <c r="ED17" s="141">
        <f t="shared" si="6"/>
        <v>17.035</v>
      </c>
      <c r="EE17" s="141">
        <f t="shared" si="7"/>
        <v>9.5960000000000001</v>
      </c>
      <c r="EF17" s="141">
        <f t="shared" si="7"/>
        <v>15.622999999999999</v>
      </c>
      <c r="EG17" s="141">
        <f t="shared" si="7"/>
        <v>0.42</v>
      </c>
      <c r="EH17" s="141">
        <f t="shared" si="7"/>
        <v>0</v>
      </c>
      <c r="EI17" s="141">
        <f t="shared" si="8"/>
        <v>3.0659999999999998</v>
      </c>
      <c r="EJ17" s="141">
        <f t="shared" si="8"/>
        <v>0</v>
      </c>
      <c r="EK17" s="141">
        <f t="shared" si="8"/>
        <v>0</v>
      </c>
      <c r="EL17" s="141">
        <f t="shared" si="8"/>
        <v>0</v>
      </c>
      <c r="EM17" s="141">
        <f t="shared" si="9"/>
        <v>0</v>
      </c>
      <c r="EN17" s="141">
        <f t="shared" si="9"/>
        <v>0</v>
      </c>
      <c r="EO17" s="141">
        <f t="shared" si="9"/>
        <v>0</v>
      </c>
      <c r="EP17" s="145">
        <f t="shared" si="9"/>
        <v>0</v>
      </c>
      <c r="EQ17" s="145">
        <v>0</v>
      </c>
      <c r="ES17" s="141">
        <f t="shared" si="11"/>
        <v>0</v>
      </c>
      <c r="ET17" s="141">
        <f t="shared" si="11"/>
        <v>0</v>
      </c>
    </row>
    <row r="18" spans="1:150">
      <c r="A18" s="148" t="s">
        <v>149</v>
      </c>
      <c r="B18" s="146">
        <f>'[2]EU Sun Meal Exports'!B$147</f>
        <v>0</v>
      </c>
      <c r="C18" s="146">
        <f>'[2]EU Sun Meal Exports'!C$147</f>
        <v>0</v>
      </c>
      <c r="D18" s="146">
        <f>'[2]EU Sun Meal Exports'!D$147</f>
        <v>0</v>
      </c>
      <c r="E18" s="146">
        <f>'[2]EU Sun Meal Exports'!E$147</f>
        <v>0</v>
      </c>
      <c r="F18" s="146">
        <f>'[2]EU Sun Meal Exports'!F$147</f>
        <v>0</v>
      </c>
      <c r="G18" s="146">
        <f>'[2]EU Sun Meal Exports'!G$147</f>
        <v>0</v>
      </c>
      <c r="H18" s="146">
        <f>'[2]EU Sun Meal Exports'!H$147</f>
        <v>0</v>
      </c>
      <c r="I18" s="146">
        <f>'[2]EU Sun Meal Exports'!I$147</f>
        <v>0</v>
      </c>
      <c r="J18" s="146">
        <f>'[2]EU Sun Meal Exports'!J$147</f>
        <v>0</v>
      </c>
      <c r="K18" s="146">
        <f>'[2]EU Sun Meal Exports'!K$147</f>
        <v>0</v>
      </c>
      <c r="L18" s="146">
        <f>'[2]EU Sun Meal Exports'!L$147</f>
        <v>0</v>
      </c>
      <c r="M18" s="146">
        <f>'[2]EU Sun Meal Exports'!M$147</f>
        <v>0</v>
      </c>
      <c r="N18" s="146">
        <f>'[2]EU Sun Meal Exports'!N$147</f>
        <v>0</v>
      </c>
      <c r="O18" s="146">
        <f>'[2]EU Sun Meal Exports'!O$147</f>
        <v>0</v>
      </c>
      <c r="P18" s="141">
        <f>'[2]EU Sun Meal Exports'!P$147</f>
        <v>0</v>
      </c>
      <c r="Q18" s="141">
        <f>'[2]EU Sun Meal Exports'!Q$147</f>
        <v>0</v>
      </c>
      <c r="R18" s="141">
        <f>'[2]EU Sun Meal Exports'!R$147</f>
        <v>0</v>
      </c>
      <c r="S18" s="141">
        <f>'[2]EU Sun Meal Exports'!S$147</f>
        <v>0</v>
      </c>
      <c r="T18" s="141">
        <f>'[2]EU Sun Meal Exports'!T$147</f>
        <v>0</v>
      </c>
      <c r="U18" s="141">
        <f>'[2]EU Sun Meal Exports'!U$147</f>
        <v>0</v>
      </c>
      <c r="V18" s="141">
        <f>'[2]EU Sun Meal Exports'!V$147</f>
        <v>2.5000000000000001E-2</v>
      </c>
      <c r="W18" s="141">
        <f>'[2]EU Sun Meal Exports'!W$147</f>
        <v>0</v>
      </c>
      <c r="X18" s="141">
        <f>'[2]EU Sun Meal Exports'!X$147</f>
        <v>0</v>
      </c>
      <c r="Y18" s="141">
        <f>'[2]EU Sun Meal Exports'!Y$147</f>
        <v>0</v>
      </c>
      <c r="Z18" s="141">
        <f>'[2]EU Sun Meal Exports'!Z$147</f>
        <v>0</v>
      </c>
      <c r="AA18" s="141">
        <f>'[2]EU Sun Meal Exports'!AA$147</f>
        <v>0</v>
      </c>
      <c r="AB18" s="141">
        <f>'[2]EU Sun Meal Exports'!AB$147</f>
        <v>0</v>
      </c>
      <c r="AC18" s="141">
        <f>'[2]EU Sun Meal Exports'!AC$147</f>
        <v>0</v>
      </c>
      <c r="AD18" s="143">
        <f>'[2]EU Sun Meal Exports'!AD$147</f>
        <v>0</v>
      </c>
      <c r="AE18" s="141">
        <f>'[2]Ukraine Sun Meal Exports'!B$147</f>
        <v>0</v>
      </c>
      <c r="AF18" s="141">
        <f>'[2]Ukraine Sun Meal Exports'!C$147</f>
        <v>0</v>
      </c>
      <c r="AG18" s="141">
        <f>'[2]Ukraine Sun Meal Exports'!D$147</f>
        <v>0</v>
      </c>
      <c r="AH18" s="141">
        <f>'[2]Ukraine Sun Meal Exports'!E$147</f>
        <v>0</v>
      </c>
      <c r="AI18" s="141">
        <f>'[2]Ukraine Sun Meal Exports'!F$147</f>
        <v>0</v>
      </c>
      <c r="AJ18" s="141">
        <f>'[2]Ukraine Sun Meal Exports'!G$147</f>
        <v>0</v>
      </c>
      <c r="AK18" s="141">
        <f>'[2]Ukraine Sun Meal Exports'!H$147</f>
        <v>0</v>
      </c>
      <c r="AL18" s="141">
        <f>'[2]Ukraine Sun Meal Exports'!I$147</f>
        <v>0</v>
      </c>
      <c r="AM18" s="141">
        <f>'[2]Ukraine Sun Meal Exports'!J$147</f>
        <v>0</v>
      </c>
      <c r="AN18" s="141">
        <f>'[2]Ukraine Sun Meal Exports'!K$147</f>
        <v>0</v>
      </c>
      <c r="AO18" s="141">
        <f>'[2]Ukraine Sun Meal Exports'!L$147</f>
        <v>0</v>
      </c>
      <c r="AP18" s="141">
        <f>'[2]Ukraine Sun Meal Exports'!M$147</f>
        <v>0</v>
      </c>
      <c r="AQ18" s="141">
        <f>'[2]Ukraine Sun Meal Exports'!N$147</f>
        <v>0</v>
      </c>
      <c r="AR18" s="141">
        <f>'[2]Ukraine Sun Meal Exports'!O$147</f>
        <v>0</v>
      </c>
      <c r="AS18" s="141">
        <f>'[2]Ukraine Sun Meal Exports'!P$147</f>
        <v>0</v>
      </c>
      <c r="AT18" s="141">
        <f>'[2]Ukraine Sun Meal Exports'!Q$147</f>
        <v>0</v>
      </c>
      <c r="AU18" s="141">
        <f>'[2]Ukraine Sun Meal Exports'!R$147</f>
        <v>0</v>
      </c>
      <c r="AV18" s="141">
        <f>'[2]Ukraine Sun Meal Exports'!S$147</f>
        <v>0</v>
      </c>
      <c r="AW18" s="141">
        <f>'[2]Ukraine Sun Meal Exports'!T$147</f>
        <v>0</v>
      </c>
      <c r="AX18" s="141">
        <f>'[2]Ukraine Sun Meal Exports'!U$147</f>
        <v>0</v>
      </c>
      <c r="AY18" s="141">
        <f>'[2]Ukraine Sun Meal Exports'!V$147</f>
        <v>0.7</v>
      </c>
      <c r="AZ18" s="141">
        <f>'[2]Ukraine Sun Meal Exports'!W$147</f>
        <v>0</v>
      </c>
      <c r="BA18" s="141">
        <f>'[2]Ukraine Sun Meal Exports'!X$147</f>
        <v>0</v>
      </c>
      <c r="BB18" s="141">
        <f>'[2]Ukraine Sun Meal Exports'!Y$147</f>
        <v>0</v>
      </c>
      <c r="BC18" s="141">
        <f>'[2]Ukraine Sun Meal Exports'!Z$147</f>
        <v>0</v>
      </c>
      <c r="BD18" s="141">
        <f>'[2]Ukraine Sun Meal Exports'!AA$147</f>
        <v>2.577</v>
      </c>
      <c r="BE18" s="141">
        <f>'[2]Ukraine Sun Meal Exports'!AB$147</f>
        <v>0</v>
      </c>
      <c r="BF18" s="141">
        <f>'[2]Ukraine Sun Meal Exports'!AC$147</f>
        <v>0</v>
      </c>
      <c r="BG18" s="143">
        <f>'[2]Ukraine Sun Meal Exports'!AD$147</f>
        <v>0</v>
      </c>
      <c r="BH18" s="141">
        <f>'[2]Russia Sun Meal Exports'!B$147</f>
        <v>0</v>
      </c>
      <c r="BI18" s="141">
        <f>'[2]Russia Sun Meal Exports'!C$147</f>
        <v>0</v>
      </c>
      <c r="BJ18" s="141">
        <f>'[2]Russia Sun Meal Exports'!D$147</f>
        <v>0</v>
      </c>
      <c r="BK18" s="141">
        <f>'[2]Russia Sun Meal Exports'!E$147</f>
        <v>0</v>
      </c>
      <c r="BL18" s="141">
        <f>'[2]Russia Sun Meal Exports'!F$147</f>
        <v>0</v>
      </c>
      <c r="BM18" s="141">
        <f>'[2]Russia Sun Meal Exports'!G$147</f>
        <v>0</v>
      </c>
      <c r="BN18" s="141">
        <f>'[2]Russia Sun Meal Exports'!H$147</f>
        <v>0</v>
      </c>
      <c r="BO18" s="141">
        <f>'[2]Russia Sun Meal Exports'!I$147</f>
        <v>0</v>
      </c>
      <c r="BP18" s="141">
        <f>'[2]Russia Sun Meal Exports'!J$147</f>
        <v>0</v>
      </c>
      <c r="BQ18" s="141">
        <f>'[2]Russia Sun Meal Exports'!K$147</f>
        <v>0</v>
      </c>
      <c r="BR18" s="141">
        <f>'[2]Russia Sun Meal Exports'!L$147</f>
        <v>0</v>
      </c>
      <c r="BS18" s="141">
        <f>'[2]Russia Sun Meal Exports'!M$147</f>
        <v>0</v>
      </c>
      <c r="BT18" s="141">
        <f>'[2]Russia Sun Meal Exports'!N$147</f>
        <v>0</v>
      </c>
      <c r="BU18" s="141">
        <f>'[2]Russia Sun Meal Exports'!O$147</f>
        <v>0</v>
      </c>
      <c r="BV18" s="141">
        <f>'[2]Russia Sun Meal Exports'!P$147</f>
        <v>0</v>
      </c>
      <c r="BW18" s="141">
        <f>'[2]Russia Sun Meal Exports'!Q$147</f>
        <v>0</v>
      </c>
      <c r="BX18" s="141">
        <f>'[2]Russia Sun Meal Exports'!R$147</f>
        <v>0</v>
      </c>
      <c r="BY18" s="141">
        <f>'[2]Russia Sun Meal Exports'!S$147</f>
        <v>0</v>
      </c>
      <c r="BZ18" s="141">
        <f>'[2]Russia Sun Meal Exports'!T$147</f>
        <v>0</v>
      </c>
      <c r="CA18" s="141">
        <f>'[2]Russia Sun Meal Exports'!U$147</f>
        <v>0</v>
      </c>
      <c r="CB18" s="141">
        <f>'[2]Russia Sun Meal Exports'!V$147</f>
        <v>0</v>
      </c>
      <c r="CC18" s="141">
        <f>'[2]Russia Sun Meal Exports'!W$147</f>
        <v>0</v>
      </c>
      <c r="CD18" s="141">
        <f>'[2]Russia Sun Meal Exports'!X$147</f>
        <v>0</v>
      </c>
      <c r="CE18" s="141">
        <f>'[2]Russia Sun Meal Exports'!Y$147</f>
        <v>0</v>
      </c>
      <c r="CF18" s="141">
        <f>'[2]Russia Sun Meal Exports'!Z$147</f>
        <v>0</v>
      </c>
      <c r="CG18" s="147">
        <f>'[2]Russia Sun Meal Exports'!AA$147</f>
        <v>0</v>
      </c>
      <c r="CH18" s="141">
        <f>'[2]Russia Sun Meal Exports'!AB$147</f>
        <v>0</v>
      </c>
      <c r="CI18" s="141">
        <f>'[2]Russia Sun Meal Exports'!AC$147</f>
        <v>0</v>
      </c>
      <c r="CJ18" s="143">
        <f>'[2]Russia Sun Meal Exports'!AD$147</f>
        <v>0</v>
      </c>
      <c r="CK18" s="141">
        <f>'[3]Sunflower Meal Exports'!B$147/1.10231</f>
        <v>0</v>
      </c>
      <c r="CL18" s="141">
        <f>'[3]Sunflower Meal Exports'!C$147/1.10231</f>
        <v>0</v>
      </c>
      <c r="CM18" s="141">
        <f>'[3]Sunflower Meal Exports'!D$147/1.10231</f>
        <v>0</v>
      </c>
      <c r="CN18" s="141">
        <f>'[3]Sunflower Meal Exports'!E$147/1.10231</f>
        <v>0</v>
      </c>
      <c r="CO18" s="141">
        <f>'[3]Sunflower Meal Exports'!F$147/1.10231</f>
        <v>0</v>
      </c>
      <c r="CP18" s="141">
        <f>'[3]Sunflower Meal Exports'!G$147/1.10231</f>
        <v>0</v>
      </c>
      <c r="CQ18" s="141">
        <f>'[3]Sunflower Meal Exports'!H$147/1.10231</f>
        <v>0</v>
      </c>
      <c r="CR18" s="141">
        <f>'[3]Sunflower Meal Exports'!I$147/1.10231</f>
        <v>2.0400018506590706E-2</v>
      </c>
      <c r="CS18" s="141">
        <f>'[3]Sunflower Meal Exports'!J$147/1.10231</f>
        <v>0</v>
      </c>
      <c r="CT18" s="141">
        <f>'[3]Sunflower Meal Exports'!K$147/1.10231</f>
        <v>0</v>
      </c>
      <c r="CU18" s="141">
        <f>'[3]Sunflower Meal Exports'!L$147/1.10231</f>
        <v>0</v>
      </c>
      <c r="CV18" s="141">
        <f>'[3]Sunflower Meal Exports'!M$147/1.10231</f>
        <v>0</v>
      </c>
      <c r="CW18" s="141">
        <f>'[3]Sunflower Meal Exports'!N$147/1.10231</f>
        <v>0</v>
      </c>
      <c r="CX18" s="141">
        <f>'[3]Sunflower Meal Exports'!O$147/1.10231</f>
        <v>0</v>
      </c>
      <c r="CY18" s="141">
        <f>'[3]Sunflower Meal Exports'!P$147/1.10231</f>
        <v>0</v>
      </c>
      <c r="CZ18" s="141">
        <f>'[3]Sunflower Meal Exports'!Q$147/1.10231</f>
        <v>0</v>
      </c>
      <c r="DA18" s="141">
        <f>'[3]Sunflower Meal Exports'!R$147/1.10231</f>
        <v>6.5200059148515399E-2</v>
      </c>
      <c r="DB18" s="141">
        <f>'[3]Sunflower Meal Exports'!S$147/1.10231</f>
        <v>0</v>
      </c>
      <c r="DC18" s="141">
        <f>'[3]Sunflower Meal Exports'!T$147/1.10231</f>
        <v>0</v>
      </c>
      <c r="DD18" s="141">
        <f>'[3]Sunflower Meal Exports'!U$147/1.10231</f>
        <v>0</v>
      </c>
      <c r="DE18" s="141">
        <f>'[3]Sunflower Meal Exports'!V$147/1.10231</f>
        <v>0</v>
      </c>
      <c r="DF18" s="141">
        <f>'[3]Sunflower Meal Exports'!W$147/1.10231</f>
        <v>0</v>
      </c>
      <c r="DG18" s="141">
        <f>'[3]Sunflower Meal Exports'!X$147/1.10231</f>
        <v>0</v>
      </c>
      <c r="DH18" s="141">
        <f>'[3]Sunflower Meal Exports'!Y$147/1.10231</f>
        <v>0.52170047327884173</v>
      </c>
      <c r="DI18" s="141">
        <f>'[3]Sunflower Meal Exports'!Z$147/1.10231</f>
        <v>0</v>
      </c>
      <c r="DJ18" s="141">
        <f>'[3]Sunflower Meal Exports'!AA$147/1.10231</f>
        <v>0</v>
      </c>
      <c r="DK18" s="141">
        <f>'[3]Sunflower Meal Exports'!AB$147/1.10231</f>
        <v>0</v>
      </c>
      <c r="DL18" s="141">
        <f>'[3]Sunflower Meal Exports'!AC$147/1.10231</f>
        <v>0</v>
      </c>
      <c r="DM18" s="143">
        <f>'[3]Sunflower Meal Exports'!AD$147/1.10231</f>
        <v>0</v>
      </c>
      <c r="DN18" s="141">
        <f t="shared" si="10"/>
        <v>0</v>
      </c>
      <c r="DO18" s="141">
        <f t="shared" si="10"/>
        <v>0</v>
      </c>
      <c r="DP18" s="141">
        <f t="shared" si="10"/>
        <v>0</v>
      </c>
      <c r="DQ18" s="141">
        <f t="shared" si="10"/>
        <v>0</v>
      </c>
      <c r="DR18" s="141">
        <f t="shared" si="10"/>
        <v>0</v>
      </c>
      <c r="DS18" s="141">
        <f t="shared" si="4"/>
        <v>0</v>
      </c>
      <c r="DT18" s="141">
        <f t="shared" si="4"/>
        <v>0</v>
      </c>
      <c r="DU18" s="141">
        <f t="shared" si="4"/>
        <v>2.0400018506590706E-2</v>
      </c>
      <c r="DV18" s="141">
        <f t="shared" si="4"/>
        <v>0</v>
      </c>
      <c r="DW18" s="141">
        <f t="shared" si="5"/>
        <v>0</v>
      </c>
      <c r="DX18" s="141">
        <f t="shared" si="5"/>
        <v>0</v>
      </c>
      <c r="DY18" s="141">
        <f t="shared" si="5"/>
        <v>0</v>
      </c>
      <c r="DZ18" s="141">
        <f t="shared" si="5"/>
        <v>0</v>
      </c>
      <c r="EA18" s="141">
        <f t="shared" si="6"/>
        <v>0</v>
      </c>
      <c r="EB18" s="141">
        <f t="shared" si="6"/>
        <v>0</v>
      </c>
      <c r="EC18" s="141">
        <f t="shared" si="6"/>
        <v>0</v>
      </c>
      <c r="ED18" s="141">
        <f t="shared" si="6"/>
        <v>6.5200059148515399E-2</v>
      </c>
      <c r="EE18" s="141">
        <f t="shared" si="7"/>
        <v>0</v>
      </c>
      <c r="EF18" s="141">
        <f t="shared" si="7"/>
        <v>0</v>
      </c>
      <c r="EG18" s="141">
        <f t="shared" si="7"/>
        <v>0</v>
      </c>
      <c r="EH18" s="141">
        <f t="shared" si="7"/>
        <v>0.72499999999999998</v>
      </c>
      <c r="EI18" s="141">
        <f t="shared" si="8"/>
        <v>0</v>
      </c>
      <c r="EJ18" s="141">
        <f t="shared" si="8"/>
        <v>0</v>
      </c>
      <c r="EK18" s="141">
        <f t="shared" si="8"/>
        <v>0.52170047327884173</v>
      </c>
      <c r="EL18" s="141">
        <f t="shared" si="8"/>
        <v>0</v>
      </c>
      <c r="EM18" s="141">
        <f t="shared" si="9"/>
        <v>2.577</v>
      </c>
      <c r="EN18" s="141">
        <f t="shared" si="9"/>
        <v>0</v>
      </c>
      <c r="EO18" s="141">
        <f t="shared" si="9"/>
        <v>0</v>
      </c>
      <c r="EP18" s="145">
        <f t="shared" si="9"/>
        <v>0</v>
      </c>
      <c r="EQ18" s="145">
        <v>0</v>
      </c>
      <c r="ES18" s="141">
        <f t="shared" si="11"/>
        <v>0</v>
      </c>
      <c r="ET18" s="141">
        <f t="shared" si="11"/>
        <v>0</v>
      </c>
    </row>
    <row r="19" spans="1:150">
      <c r="A19" s="149" t="s">
        <v>150</v>
      </c>
      <c r="B19" s="146">
        <f>'[2]EU Sun Meal Exports'!B$148</f>
        <v>0</v>
      </c>
      <c r="C19" s="146">
        <f>'[2]EU Sun Meal Exports'!C$148</f>
        <v>0</v>
      </c>
      <c r="D19" s="146">
        <f>'[2]EU Sun Meal Exports'!D$148</f>
        <v>0</v>
      </c>
      <c r="E19" s="146">
        <f>'[2]EU Sun Meal Exports'!E$148</f>
        <v>0</v>
      </c>
      <c r="F19" s="146">
        <f>'[2]EU Sun Meal Exports'!F$148</f>
        <v>0</v>
      </c>
      <c r="G19" s="146">
        <f>'[2]EU Sun Meal Exports'!G$148</f>
        <v>0</v>
      </c>
      <c r="H19" s="146">
        <f>'[2]EU Sun Meal Exports'!H$148</f>
        <v>0</v>
      </c>
      <c r="I19" s="146">
        <f>'[2]EU Sun Meal Exports'!I$148</f>
        <v>0</v>
      </c>
      <c r="J19" s="146">
        <f>'[2]EU Sun Meal Exports'!J$148</f>
        <v>0</v>
      </c>
      <c r="K19" s="146">
        <f>'[2]EU Sun Meal Exports'!K$148</f>
        <v>0</v>
      </c>
      <c r="L19" s="146">
        <f>'[2]EU Sun Meal Exports'!L$148</f>
        <v>0</v>
      </c>
      <c r="M19" s="146">
        <f>'[2]EU Sun Meal Exports'!M$148</f>
        <v>0</v>
      </c>
      <c r="N19" s="146">
        <f>'[2]EU Sun Meal Exports'!N$148</f>
        <v>0</v>
      </c>
      <c r="O19" s="146">
        <f>'[2]EU Sun Meal Exports'!O$148</f>
        <v>0</v>
      </c>
      <c r="P19" s="141">
        <f>'[2]EU Sun Meal Exports'!P$148</f>
        <v>0</v>
      </c>
      <c r="Q19" s="141">
        <f>'[2]EU Sun Meal Exports'!Q$148</f>
        <v>0</v>
      </c>
      <c r="R19" s="141">
        <f>'[2]EU Sun Meal Exports'!R$148</f>
        <v>0</v>
      </c>
      <c r="S19" s="141">
        <f>'[2]EU Sun Meal Exports'!S$148</f>
        <v>0</v>
      </c>
      <c r="T19" s="141">
        <f>'[2]EU Sun Meal Exports'!T$148</f>
        <v>0</v>
      </c>
      <c r="U19" s="141">
        <f>'[2]EU Sun Meal Exports'!U$148</f>
        <v>0</v>
      </c>
      <c r="V19" s="141">
        <f>'[2]EU Sun Meal Exports'!V$148</f>
        <v>0</v>
      </c>
      <c r="W19" s="141">
        <f>'[2]EU Sun Meal Exports'!W$148</f>
        <v>1E-3</v>
      </c>
      <c r="X19" s="141">
        <f>'[2]EU Sun Meal Exports'!X$148</f>
        <v>0</v>
      </c>
      <c r="Y19" s="141">
        <f>'[2]EU Sun Meal Exports'!Y$148</f>
        <v>0</v>
      </c>
      <c r="Z19" s="141">
        <f>'[2]EU Sun Meal Exports'!Z$148</f>
        <v>0</v>
      </c>
      <c r="AA19" s="141">
        <f>'[2]EU Sun Meal Exports'!AA$148</f>
        <v>0</v>
      </c>
      <c r="AB19" s="141">
        <f>'[2]EU Sun Meal Exports'!AB$148</f>
        <v>0</v>
      </c>
      <c r="AC19" s="141">
        <f>'[2]EU Sun Meal Exports'!AC$148</f>
        <v>0</v>
      </c>
      <c r="AD19" s="143">
        <f>'[2]EU Sun Meal Exports'!AD$148</f>
        <v>0</v>
      </c>
      <c r="AE19" s="141">
        <f>'[2]Ukraine Sun Meal Exports'!B$148</f>
        <v>0</v>
      </c>
      <c r="AF19" s="141">
        <f>'[2]Ukraine Sun Meal Exports'!C$148</f>
        <v>0</v>
      </c>
      <c r="AG19" s="141">
        <f>'[2]Ukraine Sun Meal Exports'!D$148</f>
        <v>0</v>
      </c>
      <c r="AH19" s="141">
        <f>'[2]Ukraine Sun Meal Exports'!E$148</f>
        <v>0</v>
      </c>
      <c r="AI19" s="141">
        <f>'[2]Ukraine Sun Meal Exports'!F$148</f>
        <v>0</v>
      </c>
      <c r="AJ19" s="141">
        <f>'[2]Ukraine Sun Meal Exports'!G$148</f>
        <v>0</v>
      </c>
      <c r="AK19" s="141">
        <f>'[2]Ukraine Sun Meal Exports'!H$148</f>
        <v>0</v>
      </c>
      <c r="AL19" s="141">
        <f>'[2]Ukraine Sun Meal Exports'!I$148</f>
        <v>0</v>
      </c>
      <c r="AM19" s="141">
        <f>'[2]Ukraine Sun Meal Exports'!J$148</f>
        <v>0</v>
      </c>
      <c r="AN19" s="141">
        <f>'[2]Ukraine Sun Meal Exports'!K$148</f>
        <v>0</v>
      </c>
      <c r="AO19" s="141">
        <f>'[2]Ukraine Sun Meal Exports'!L$148</f>
        <v>0</v>
      </c>
      <c r="AP19" s="141">
        <f>'[2]Ukraine Sun Meal Exports'!M$148</f>
        <v>0</v>
      </c>
      <c r="AQ19" s="141">
        <f>'[2]Ukraine Sun Meal Exports'!N$148</f>
        <v>0</v>
      </c>
      <c r="AR19" s="141">
        <f>'[2]Ukraine Sun Meal Exports'!O$148</f>
        <v>0</v>
      </c>
      <c r="AS19" s="141">
        <f>'[2]Ukraine Sun Meal Exports'!P$148</f>
        <v>0</v>
      </c>
      <c r="AT19" s="141">
        <f>'[2]Ukraine Sun Meal Exports'!Q$148</f>
        <v>1.4969999999999999</v>
      </c>
      <c r="AU19" s="141">
        <f>'[2]Ukraine Sun Meal Exports'!R$148</f>
        <v>0</v>
      </c>
      <c r="AV19" s="141">
        <f>'[2]Ukraine Sun Meal Exports'!S$148</f>
        <v>0</v>
      </c>
      <c r="AW19" s="141">
        <f>'[2]Ukraine Sun Meal Exports'!T$148</f>
        <v>1.04</v>
      </c>
      <c r="AX19" s="141">
        <f>'[2]Ukraine Sun Meal Exports'!U$148</f>
        <v>0</v>
      </c>
      <c r="AY19" s="141">
        <f>'[2]Ukraine Sun Meal Exports'!V$148</f>
        <v>2.7430000000000003</v>
      </c>
      <c r="AZ19" s="141">
        <f>'[2]Ukraine Sun Meal Exports'!W$148</f>
        <v>9.0820000000000007</v>
      </c>
      <c r="BA19" s="141">
        <f>'[2]Ukraine Sun Meal Exports'!X$148</f>
        <v>60.448999999999998</v>
      </c>
      <c r="BB19" s="141">
        <f>'[2]Ukraine Sun Meal Exports'!Y$148</f>
        <v>95.646999999999991</v>
      </c>
      <c r="BC19" s="141">
        <f>'[2]Ukraine Sun Meal Exports'!Z$148</f>
        <v>125.03600000000002</v>
      </c>
      <c r="BD19" s="141">
        <f>'[2]Ukraine Sun Meal Exports'!AA$148</f>
        <v>107.24400000000001</v>
      </c>
      <c r="BE19" s="141">
        <f>'[2]Ukraine Sun Meal Exports'!AB$148</f>
        <v>88.081999999999994</v>
      </c>
      <c r="BF19" s="141">
        <f>'[2]Ukraine Sun Meal Exports'!AC$148</f>
        <v>42.432000000000009</v>
      </c>
      <c r="BG19" s="141">
        <f>'[2]Ukraine Sun Meal Exports'!AD$148</f>
        <v>19.161000000000001</v>
      </c>
      <c r="BH19" s="141">
        <f>'[2]Russia Sun Meal Exports'!B$148</f>
        <v>0</v>
      </c>
      <c r="BI19" s="141">
        <f>'[2]Russia Sun Meal Exports'!C$148</f>
        <v>0</v>
      </c>
      <c r="BJ19" s="141">
        <f>'[2]Russia Sun Meal Exports'!D$148</f>
        <v>0</v>
      </c>
      <c r="BK19" s="141">
        <f>'[2]Russia Sun Meal Exports'!E$148</f>
        <v>0</v>
      </c>
      <c r="BL19" s="141">
        <f>'[2]Russia Sun Meal Exports'!F$148</f>
        <v>0</v>
      </c>
      <c r="BM19" s="141">
        <f>'[2]Russia Sun Meal Exports'!G$148</f>
        <v>0</v>
      </c>
      <c r="BN19" s="141">
        <f>'[2]Russia Sun Meal Exports'!H$148</f>
        <v>0</v>
      </c>
      <c r="BO19" s="141">
        <f>'[2]Russia Sun Meal Exports'!I$148</f>
        <v>0</v>
      </c>
      <c r="BP19" s="141">
        <f>'[2]Russia Sun Meal Exports'!J$148</f>
        <v>0</v>
      </c>
      <c r="BQ19" s="141">
        <f>'[2]Russia Sun Meal Exports'!K$148</f>
        <v>0</v>
      </c>
      <c r="BR19" s="141">
        <f>'[2]Russia Sun Meal Exports'!L$148</f>
        <v>0</v>
      </c>
      <c r="BS19" s="141">
        <f>'[2]Russia Sun Meal Exports'!M$148</f>
        <v>0</v>
      </c>
      <c r="BT19" s="141">
        <f>'[2]Russia Sun Meal Exports'!N$148</f>
        <v>0</v>
      </c>
      <c r="BU19" s="141">
        <f>'[2]Russia Sun Meal Exports'!O$148</f>
        <v>0</v>
      </c>
      <c r="BV19" s="141">
        <f>'[2]Russia Sun Meal Exports'!P$148</f>
        <v>0</v>
      </c>
      <c r="BW19" s="141">
        <f>'[2]Russia Sun Meal Exports'!Q$148</f>
        <v>0</v>
      </c>
      <c r="BX19" s="141">
        <f>'[2]Russia Sun Meal Exports'!R$148</f>
        <v>0</v>
      </c>
      <c r="BY19" s="141">
        <f>'[2]Russia Sun Meal Exports'!S$148</f>
        <v>0</v>
      </c>
      <c r="BZ19" s="141">
        <f>'[2]Russia Sun Meal Exports'!T$148</f>
        <v>0</v>
      </c>
      <c r="CA19" s="141">
        <f>'[2]Russia Sun Meal Exports'!U$148</f>
        <v>0</v>
      </c>
      <c r="CB19" s="141">
        <f>'[2]Russia Sun Meal Exports'!V$148</f>
        <v>3.4489999999999998</v>
      </c>
      <c r="CC19" s="141">
        <f>'[2]Russia Sun Meal Exports'!W$148</f>
        <v>1.976</v>
      </c>
      <c r="CD19" s="141">
        <f>'[2]Russia Sun Meal Exports'!X$148</f>
        <v>1.4</v>
      </c>
      <c r="CE19" s="141">
        <f>'[2]Russia Sun Meal Exports'!Y$148</f>
        <v>2.4489999999999998</v>
      </c>
      <c r="CF19" s="141">
        <f>'[2]Russia Sun Meal Exports'!Z$148</f>
        <v>0.32400000000000001</v>
      </c>
      <c r="CG19" s="147">
        <f>'[2]Russia Sun Meal Exports'!AA$148</f>
        <v>0</v>
      </c>
      <c r="CH19" s="141">
        <f>'[2]Russia Sun Meal Exports'!AB$148</f>
        <v>1.5720000000000001</v>
      </c>
      <c r="CI19" s="141">
        <f>'[2]Russia Sun Meal Exports'!AC$148</f>
        <v>0</v>
      </c>
      <c r="CJ19" s="143">
        <f>'[2]Russia Sun Meal Exports'!AD$148</f>
        <v>0</v>
      </c>
      <c r="CK19" s="141">
        <f>'[3]Sunflower Meal Exports'!B$148/1.10231</f>
        <v>0</v>
      </c>
      <c r="CL19" s="141">
        <f>'[3]Sunflower Meal Exports'!C$148/1.10231</f>
        <v>3.5411032124357034</v>
      </c>
      <c r="CM19" s="141">
        <f>'[3]Sunflower Meal Exports'!D$148/1.10231</f>
        <v>0</v>
      </c>
      <c r="CN19" s="141">
        <f>'[3]Sunflower Meal Exports'!E$148/1.10231</f>
        <v>0</v>
      </c>
      <c r="CO19" s="141">
        <f>'[3]Sunflower Meal Exports'!F$148/1.10231</f>
        <v>0</v>
      </c>
      <c r="CP19" s="141">
        <f>'[3]Sunflower Meal Exports'!G$148/1.10231</f>
        <v>0</v>
      </c>
      <c r="CQ19" s="141">
        <f>'[3]Sunflower Meal Exports'!H$148/1.10231</f>
        <v>0</v>
      </c>
      <c r="CR19" s="141">
        <f>'[3]Sunflower Meal Exports'!I$148/1.10231</f>
        <v>0</v>
      </c>
      <c r="CS19" s="141">
        <f>'[3]Sunflower Meal Exports'!J$148/1.10231</f>
        <v>0</v>
      </c>
      <c r="CT19" s="141">
        <f>'[3]Sunflower Meal Exports'!K$148/1.10231</f>
        <v>0</v>
      </c>
      <c r="CU19" s="141">
        <f>'[3]Sunflower Meal Exports'!L$148/1.10231</f>
        <v>0</v>
      </c>
      <c r="CV19" s="141">
        <f>'[3]Sunflower Meal Exports'!M$148/1.10231</f>
        <v>0</v>
      </c>
      <c r="CW19" s="141">
        <f>'[3]Sunflower Meal Exports'!N$148/1.10231</f>
        <v>0</v>
      </c>
      <c r="CX19" s="141">
        <f>'[3]Sunflower Meal Exports'!O$148/1.10231</f>
        <v>0</v>
      </c>
      <c r="CY19" s="141">
        <f>'[3]Sunflower Meal Exports'!P$148/1.10231</f>
        <v>0</v>
      </c>
      <c r="CZ19" s="141">
        <f>'[3]Sunflower Meal Exports'!Q$148/1.10231</f>
        <v>0</v>
      </c>
      <c r="DA19" s="141">
        <f>'[3]Sunflower Meal Exports'!R$148/1.10231</f>
        <v>0</v>
      </c>
      <c r="DB19" s="141">
        <f>'[3]Sunflower Meal Exports'!S$148/1.10231</f>
        <v>0</v>
      </c>
      <c r="DC19" s="141">
        <f>'[3]Sunflower Meal Exports'!T$148/1.10231</f>
        <v>0</v>
      </c>
      <c r="DD19" s="141">
        <f>'[3]Sunflower Meal Exports'!U$148/1.10231</f>
        <v>0</v>
      </c>
      <c r="DE19" s="141">
        <f>'[3]Sunflower Meal Exports'!V$148/1.10231</f>
        <v>0</v>
      </c>
      <c r="DF19" s="141">
        <f>'[3]Sunflower Meal Exports'!W$148/1.10231</f>
        <v>0</v>
      </c>
      <c r="DG19" s="141">
        <f>'[3]Sunflower Meal Exports'!X$148/1.10231</f>
        <v>5.1399046628443914</v>
      </c>
      <c r="DH19" s="141">
        <f>'[3]Sunflower Meal Exports'!Y$148/1.10231</f>
        <v>0.28785000000000005</v>
      </c>
      <c r="DI19" s="141">
        <f>'[3]Sunflower Meal Exports'!Z$148/1.10231</f>
        <v>0</v>
      </c>
      <c r="DJ19" s="141">
        <f>'[3]Sunflower Meal Exports'!AA$148/1.10231</f>
        <v>0.83459800000000017</v>
      </c>
      <c r="DK19" s="141">
        <f>'[3]Sunflower Meal Exports'!AB$148/1.10231</f>
        <v>0</v>
      </c>
      <c r="DL19" s="141">
        <f>'[3]Sunflower Meal Exports'!AC$148/1.10231</f>
        <v>0</v>
      </c>
      <c r="DM19" s="143">
        <f>'[3]Sunflower Meal Exports'!AD$148/1.10231</f>
        <v>0</v>
      </c>
      <c r="DN19" s="141">
        <f t="shared" si="10"/>
        <v>0</v>
      </c>
      <c r="DO19" s="141">
        <f t="shared" si="10"/>
        <v>3.5411032124357034</v>
      </c>
      <c r="DP19" s="141">
        <f t="shared" si="10"/>
        <v>0</v>
      </c>
      <c r="DQ19" s="141">
        <f t="shared" si="10"/>
        <v>0</v>
      </c>
      <c r="DR19" s="141">
        <f t="shared" si="10"/>
        <v>0</v>
      </c>
      <c r="DS19" s="141">
        <f t="shared" si="4"/>
        <v>0</v>
      </c>
      <c r="DT19" s="141">
        <f t="shared" si="4"/>
        <v>0</v>
      </c>
      <c r="DU19" s="141">
        <f t="shared" si="4"/>
        <v>0</v>
      </c>
      <c r="DV19" s="141">
        <f t="shared" si="4"/>
        <v>0</v>
      </c>
      <c r="DW19" s="141">
        <f t="shared" si="5"/>
        <v>0</v>
      </c>
      <c r="DX19" s="141">
        <f t="shared" si="5"/>
        <v>0</v>
      </c>
      <c r="DY19" s="141">
        <f t="shared" si="5"/>
        <v>0</v>
      </c>
      <c r="DZ19" s="141">
        <f t="shared" si="5"/>
        <v>0</v>
      </c>
      <c r="EA19" s="141">
        <f t="shared" si="6"/>
        <v>0</v>
      </c>
      <c r="EB19" s="141">
        <f t="shared" si="6"/>
        <v>0</v>
      </c>
      <c r="EC19" s="141">
        <f t="shared" si="6"/>
        <v>1.4969999999999999</v>
      </c>
      <c r="ED19" s="141">
        <f t="shared" si="6"/>
        <v>0</v>
      </c>
      <c r="EE19" s="141">
        <f t="shared" si="7"/>
        <v>0</v>
      </c>
      <c r="EF19" s="141">
        <f t="shared" si="7"/>
        <v>1.04</v>
      </c>
      <c r="EG19" s="141">
        <f t="shared" si="7"/>
        <v>0</v>
      </c>
      <c r="EH19" s="141">
        <f t="shared" si="7"/>
        <v>6.1920000000000002</v>
      </c>
      <c r="EI19" s="141">
        <f t="shared" si="8"/>
        <v>11.059000000000001</v>
      </c>
      <c r="EJ19" s="141">
        <f t="shared" si="8"/>
        <v>66.988904662844391</v>
      </c>
      <c r="EK19" s="141">
        <f t="shared" si="8"/>
        <v>98.383849999999995</v>
      </c>
      <c r="EL19" s="141">
        <f t="shared" si="8"/>
        <v>125.36000000000001</v>
      </c>
      <c r="EM19" s="141">
        <f t="shared" si="9"/>
        <v>108.07859800000001</v>
      </c>
      <c r="EN19" s="141">
        <f t="shared" si="9"/>
        <v>89.653999999999996</v>
      </c>
      <c r="EO19" s="141">
        <f t="shared" si="9"/>
        <v>42.432000000000009</v>
      </c>
      <c r="EP19" s="145">
        <f t="shared" si="9"/>
        <v>19.161000000000001</v>
      </c>
      <c r="EQ19" s="145">
        <v>75</v>
      </c>
      <c r="ES19" s="141">
        <f t="shared" si="11"/>
        <v>0</v>
      </c>
      <c r="ET19" s="141">
        <f t="shared" si="11"/>
        <v>0</v>
      </c>
    </row>
    <row r="20" spans="1:150">
      <c r="A20" s="149" t="s">
        <v>151</v>
      </c>
      <c r="B20" s="146">
        <f>'[2]EU Sun Meal Exports'!B$151</f>
        <v>0</v>
      </c>
      <c r="C20" s="146">
        <f>'[2]EU Sun Meal Exports'!C$151</f>
        <v>0</v>
      </c>
      <c r="D20" s="146">
        <f>'[2]EU Sun Meal Exports'!D$151</f>
        <v>0</v>
      </c>
      <c r="E20" s="146">
        <f>'[2]EU Sun Meal Exports'!E$151</f>
        <v>1.95</v>
      </c>
      <c r="F20" s="146">
        <f>'[2]EU Sun Meal Exports'!F$151</f>
        <v>0</v>
      </c>
      <c r="G20" s="146">
        <f>'[2]EU Sun Meal Exports'!G$151</f>
        <v>70.685000000000002</v>
      </c>
      <c r="H20" s="146">
        <f>'[2]EU Sun Meal Exports'!H$151</f>
        <v>80.372</v>
      </c>
      <c r="I20" s="146">
        <f>'[2]EU Sun Meal Exports'!I$151</f>
        <v>34.463000000000001</v>
      </c>
      <c r="J20" s="146">
        <f>'[2]EU Sun Meal Exports'!J$151</f>
        <v>16.079000000000001</v>
      </c>
      <c r="K20" s="146">
        <f>'[2]EU Sun Meal Exports'!K$151</f>
        <v>15.894</v>
      </c>
      <c r="L20" s="146">
        <f>'[2]EU Sun Meal Exports'!L$151</f>
        <v>26.919</v>
      </c>
      <c r="M20" s="146">
        <f>'[2]EU Sun Meal Exports'!M$151</f>
        <v>111.36900000000001</v>
      </c>
      <c r="N20" s="146">
        <f>'[2]EU Sun Meal Exports'!N$151</f>
        <v>124.96</v>
      </c>
      <c r="O20" s="146">
        <f>'[2]EU Sun Meal Exports'!O$151</f>
        <v>91.908999999999992</v>
      </c>
      <c r="P20" s="141">
        <f>'[2]EU Sun Meal Exports'!P$151</f>
        <v>3.98</v>
      </c>
      <c r="Q20" s="141">
        <f>'[2]EU Sun Meal Exports'!Q$151</f>
        <v>45.670999999999999</v>
      </c>
      <c r="R20" s="141">
        <f>'[2]EU Sun Meal Exports'!R$151</f>
        <v>39.245999999999995</v>
      </c>
      <c r="S20" s="141">
        <f>'[2]EU Sun Meal Exports'!S$151</f>
        <v>53.079999999999984</v>
      </c>
      <c r="T20" s="141">
        <f>'[2]EU Sun Meal Exports'!T$151</f>
        <v>41.215000000000003</v>
      </c>
      <c r="U20" s="141">
        <f>'[2]EU Sun Meal Exports'!U$151</f>
        <v>23.924999999999997</v>
      </c>
      <c r="V20" s="141">
        <f>'[2]EU Sun Meal Exports'!V$151</f>
        <v>36.779000000000003</v>
      </c>
      <c r="W20" s="141">
        <f>'[2]EU Sun Meal Exports'!W$151</f>
        <v>90.327000000000012</v>
      </c>
      <c r="X20" s="141">
        <f>'[2]EU Sun Meal Exports'!X$151</f>
        <v>62.350999999999992</v>
      </c>
      <c r="Y20" s="141">
        <f>'[2]EU Sun Meal Exports'!Y$151</f>
        <v>91.535999999999987</v>
      </c>
      <c r="Z20" s="141">
        <f>'[2]EU Sun Meal Exports'!Z$151</f>
        <v>173.78800000000001</v>
      </c>
      <c r="AA20" s="141">
        <f>'[2]EU Sun Meal Exports'!AA$151</f>
        <v>177.31100000000001</v>
      </c>
      <c r="AB20" s="141">
        <f>'[2]EU Sun Meal Exports'!AB$151</f>
        <v>182.86499999999998</v>
      </c>
      <c r="AC20" s="141">
        <f>'[2]EU Sun Meal Exports'!AC$151</f>
        <v>101.22699999999999</v>
      </c>
      <c r="AD20" s="143">
        <f>'[2]EU Sun Meal Exports'!AD$151+40</f>
        <v>92.162000000000006</v>
      </c>
      <c r="AE20" s="141">
        <f>'[2]Ukraine Sun Meal Exports'!B$151</f>
        <v>0</v>
      </c>
      <c r="AF20" s="141">
        <f>'[2]Ukraine Sun Meal Exports'!C$151</f>
        <v>0</v>
      </c>
      <c r="AG20" s="141">
        <f>'[2]Ukraine Sun Meal Exports'!D$151</f>
        <v>0</v>
      </c>
      <c r="AH20" s="141">
        <f>'[2]Ukraine Sun Meal Exports'!E$151</f>
        <v>0</v>
      </c>
      <c r="AI20" s="141">
        <f>'[2]Ukraine Sun Meal Exports'!F$151</f>
        <v>0</v>
      </c>
      <c r="AJ20" s="141">
        <f>'[2]Ukraine Sun Meal Exports'!G$151</f>
        <v>0</v>
      </c>
      <c r="AK20" s="141">
        <f>'[2]Ukraine Sun Meal Exports'!H$151</f>
        <v>0</v>
      </c>
      <c r="AL20" s="141">
        <f>'[2]Ukraine Sun Meal Exports'!I$151</f>
        <v>0</v>
      </c>
      <c r="AM20" s="141">
        <f>'[2]Ukraine Sun Meal Exports'!J$151</f>
        <v>16.279</v>
      </c>
      <c r="AN20" s="141">
        <f>'[2]Ukraine Sun Meal Exports'!K$151</f>
        <v>21.795999999999999</v>
      </c>
      <c r="AO20" s="141">
        <f>'[2]Ukraine Sun Meal Exports'!L$151</f>
        <v>63.034999999999997</v>
      </c>
      <c r="AP20" s="141">
        <f>'[2]Ukraine Sun Meal Exports'!M$151</f>
        <v>44.655999999999999</v>
      </c>
      <c r="AQ20" s="141">
        <f>'[2]Ukraine Sun Meal Exports'!N$151</f>
        <v>138.33599999999998</v>
      </c>
      <c r="AR20" s="141">
        <f>'[2]Ukraine Sun Meal Exports'!O$151</f>
        <v>145.59600000000003</v>
      </c>
      <c r="AS20" s="141">
        <f>'[2]Ukraine Sun Meal Exports'!P$151</f>
        <v>93.841000000000022</v>
      </c>
      <c r="AT20" s="141">
        <f>'[2]Ukraine Sun Meal Exports'!Q$151</f>
        <v>191.05200000000002</v>
      </c>
      <c r="AU20" s="141">
        <f>'[2]Ukraine Sun Meal Exports'!R$151</f>
        <v>264.13599999999997</v>
      </c>
      <c r="AV20" s="141">
        <f>'[2]Ukraine Sun Meal Exports'!S$151</f>
        <v>356.00299999999999</v>
      </c>
      <c r="AW20" s="141">
        <f>'[2]Ukraine Sun Meal Exports'!T$151</f>
        <v>241.95100000000002</v>
      </c>
      <c r="AX20" s="141">
        <f>'[2]Ukraine Sun Meal Exports'!U$151</f>
        <v>115.97799999999999</v>
      </c>
      <c r="AY20" s="141">
        <f>'[2]Ukraine Sun Meal Exports'!V$151</f>
        <v>266.45</v>
      </c>
      <c r="AZ20" s="141">
        <f>'[2]Ukraine Sun Meal Exports'!W$151</f>
        <v>280.41899999999998</v>
      </c>
      <c r="BA20" s="141">
        <f>'[2]Ukraine Sun Meal Exports'!X$151</f>
        <v>356.66999999999996</v>
      </c>
      <c r="BB20" s="141">
        <f>'[2]Ukraine Sun Meal Exports'!Y$151</f>
        <v>391.38799999999998</v>
      </c>
      <c r="BC20" s="141">
        <f>'[2]Ukraine Sun Meal Exports'!Z$151</f>
        <v>243.94399999999999</v>
      </c>
      <c r="BD20" s="141">
        <f>'[2]Ukraine Sun Meal Exports'!AA$151</f>
        <v>313.12500000000006</v>
      </c>
      <c r="BE20" s="141">
        <f>'[2]Ukraine Sun Meal Exports'!AB$151</f>
        <v>320.40600000000001</v>
      </c>
      <c r="BF20" s="141">
        <f>'[2]Ukraine Sun Meal Exports'!AC$151</f>
        <v>265.58099999999996</v>
      </c>
      <c r="BG20" s="141">
        <f>'[2]Ukraine Sun Meal Exports'!AD$151+30</f>
        <v>324.53399999999999</v>
      </c>
      <c r="BH20" s="141">
        <f>'[2]Russia Sun Meal Exports'!B$151</f>
        <v>0</v>
      </c>
      <c r="BI20" s="141">
        <f>'[2]Russia Sun Meal Exports'!C$151</f>
        <v>0</v>
      </c>
      <c r="BJ20" s="141">
        <f>'[2]Russia Sun Meal Exports'!D$151</f>
        <v>0</v>
      </c>
      <c r="BK20" s="141">
        <f>'[2]Russia Sun Meal Exports'!E$151</f>
        <v>0.45579900000000001</v>
      </c>
      <c r="BL20" s="141">
        <f>'[2]Russia Sun Meal Exports'!F$151</f>
        <v>6.6039999999999996E-3</v>
      </c>
      <c r="BM20" s="141">
        <f>'[2]Russia Sun Meal Exports'!G$151</f>
        <v>0.91869999999999996</v>
      </c>
      <c r="BN20" s="141">
        <f>'[2]Russia Sun Meal Exports'!H$151</f>
        <v>69.955745000000007</v>
      </c>
      <c r="BO20" s="141">
        <f>'[2]Russia Sun Meal Exports'!I$151</f>
        <v>53.767889999999994</v>
      </c>
      <c r="BP20" s="141">
        <f>'[2]Russia Sun Meal Exports'!J$151</f>
        <v>2.6508349999999998</v>
      </c>
      <c r="BQ20" s="141">
        <f>'[2]Russia Sun Meal Exports'!K$151</f>
        <v>27.620352000000004</v>
      </c>
      <c r="BR20" s="141">
        <f>'[2]Russia Sun Meal Exports'!L$151</f>
        <v>198.42256300000003</v>
      </c>
      <c r="BS20" s="141">
        <f>'[2]Russia Sun Meal Exports'!M$151</f>
        <v>93.771390000000011</v>
      </c>
      <c r="BT20" s="141">
        <f>'[2]Russia Sun Meal Exports'!N$151</f>
        <v>142.154</v>
      </c>
      <c r="BU20" s="141">
        <f>'[2]Russia Sun Meal Exports'!O$151</f>
        <v>167.672</v>
      </c>
      <c r="BV20" s="141">
        <f>'[2]Russia Sun Meal Exports'!P$151</f>
        <v>140.10300000000001</v>
      </c>
      <c r="BW20" s="141">
        <f>'[2]Russia Sun Meal Exports'!Q$151</f>
        <v>113.708</v>
      </c>
      <c r="BX20" s="141">
        <f>'[2]Russia Sun Meal Exports'!R$151</f>
        <v>121.09099999999999</v>
      </c>
      <c r="BY20" s="141">
        <f>'[2]Russia Sun Meal Exports'!S$151</f>
        <v>137.50400000000002</v>
      </c>
      <c r="BZ20" s="141">
        <f>'[2]Russia Sun Meal Exports'!T$151</f>
        <v>471.7589999999999</v>
      </c>
      <c r="CA20" s="141">
        <f>'[2]Russia Sun Meal Exports'!U$151</f>
        <v>306.12399999999997</v>
      </c>
      <c r="CB20" s="141">
        <f>'[2]Russia Sun Meal Exports'!V$151</f>
        <v>452.02800000000002</v>
      </c>
      <c r="CC20" s="141">
        <f>'[2]Russia Sun Meal Exports'!W$151</f>
        <v>401.45000000000005</v>
      </c>
      <c r="CD20" s="141">
        <f>'[2]Russia Sun Meal Exports'!X$151</f>
        <v>415.62100000000004</v>
      </c>
      <c r="CE20" s="141">
        <f>'[2]Russia Sun Meal Exports'!Y$151</f>
        <v>466.274</v>
      </c>
      <c r="CF20" s="141">
        <f>'[2]Russia Sun Meal Exports'!Z$151</f>
        <v>430.50099999999992</v>
      </c>
      <c r="CG20" s="147">
        <f>'[2]Russia Sun Meal Exports'!AA$151</f>
        <v>435.25999999999993</v>
      </c>
      <c r="CH20" s="141">
        <f>'[2]Russia Sun Meal Exports'!AB$151</f>
        <v>496.44400000000002</v>
      </c>
      <c r="CI20" s="141">
        <f>'[2]Russia Sun Meal Exports'!AC$151</f>
        <v>435.69400000000007</v>
      </c>
      <c r="CJ20" s="143">
        <f>'[2]Russia Sun Meal Exports'!AD$151+130</f>
        <v>294.08500000000004</v>
      </c>
      <c r="CK20" s="141">
        <f>'[3]Sunflower Meal Exports'!B$151/1.10231</f>
        <v>0</v>
      </c>
      <c r="CL20" s="141">
        <f>'[3]Sunflower Meal Exports'!C$151/1.10231</f>
        <v>0</v>
      </c>
      <c r="CM20" s="141">
        <f>'[3]Sunflower Meal Exports'!D$151/1.10231</f>
        <v>0</v>
      </c>
      <c r="CN20" s="141">
        <f>'[3]Sunflower Meal Exports'!E$151/1.10231</f>
        <v>0</v>
      </c>
      <c r="CO20" s="141">
        <f>'[3]Sunflower Meal Exports'!F$151/1.10231</f>
        <v>0</v>
      </c>
      <c r="CP20" s="141">
        <f>'[3]Sunflower Meal Exports'!G$151/1.10231</f>
        <v>0</v>
      </c>
      <c r="CQ20" s="141">
        <f>'[3]Sunflower Meal Exports'!H$151/1.10231</f>
        <v>0</v>
      </c>
      <c r="CR20" s="141">
        <f>'[3]Sunflower Meal Exports'!I$151/1.10231</f>
        <v>0</v>
      </c>
      <c r="CS20" s="141">
        <f>'[3]Sunflower Meal Exports'!J$151/1.10231</f>
        <v>0</v>
      </c>
      <c r="CT20" s="141">
        <f>'[3]Sunflower Meal Exports'!K$151/1.10231</f>
        <v>0</v>
      </c>
      <c r="CU20" s="141">
        <f>'[3]Sunflower Meal Exports'!L$151/1.10231</f>
        <v>0</v>
      </c>
      <c r="CV20" s="141">
        <f>'[3]Sunflower Meal Exports'!M$151/1.10231</f>
        <v>0</v>
      </c>
      <c r="CW20" s="141">
        <f>'[3]Sunflower Meal Exports'!N$151/1.10231</f>
        <v>0</v>
      </c>
      <c r="CX20" s="141">
        <f>'[3]Sunflower Meal Exports'!O$151/1.10231</f>
        <v>0</v>
      </c>
      <c r="CY20" s="141">
        <f>'[3]Sunflower Meal Exports'!P$151/1.10231</f>
        <v>0</v>
      </c>
      <c r="CZ20" s="141">
        <f>'[3]Sunflower Meal Exports'!Q$151/1.10231</f>
        <v>0</v>
      </c>
      <c r="DA20" s="141">
        <f>'[3]Sunflower Meal Exports'!R$151/1.10231</f>
        <v>0</v>
      </c>
      <c r="DB20" s="141">
        <f>'[3]Sunflower Meal Exports'!S$151/1.10231</f>
        <v>0</v>
      </c>
      <c r="DC20" s="141">
        <f>'[3]Sunflower Meal Exports'!T$151/1.10231</f>
        <v>0</v>
      </c>
      <c r="DD20" s="141">
        <f>'[3]Sunflower Meal Exports'!U$151/1.10231</f>
        <v>0</v>
      </c>
      <c r="DE20" s="141">
        <f>'[3]Sunflower Meal Exports'!V$151/1.10231</f>
        <v>0</v>
      </c>
      <c r="DF20" s="141">
        <f>'[3]Sunflower Meal Exports'!W$151/1.10231</f>
        <v>0</v>
      </c>
      <c r="DG20" s="141">
        <f>'[3]Sunflower Meal Exports'!X$151/1.10231</f>
        <v>0</v>
      </c>
      <c r="DH20" s="141">
        <f>'[3]Sunflower Meal Exports'!Y$151/1.10231</f>
        <v>0</v>
      </c>
      <c r="DI20" s="141">
        <f>'[3]Sunflower Meal Exports'!Z$151/1.10231</f>
        <v>0</v>
      </c>
      <c r="DJ20" s="141">
        <f>'[3]Sunflower Meal Exports'!AA$151/1.10231</f>
        <v>0</v>
      </c>
      <c r="DK20" s="141">
        <f>'[3]Sunflower Meal Exports'!AB$151/1.10231</f>
        <v>0</v>
      </c>
      <c r="DL20" s="141">
        <f>'[3]Sunflower Meal Exports'!AC$151/1.10231</f>
        <v>0</v>
      </c>
      <c r="DM20" s="143">
        <f>'[3]Sunflower Meal Exports'!AD$151/1.10231</f>
        <v>0</v>
      </c>
      <c r="DN20" s="141">
        <f t="shared" si="10"/>
        <v>0</v>
      </c>
      <c r="DO20" s="141">
        <f t="shared" si="10"/>
        <v>0</v>
      </c>
      <c r="DP20" s="141">
        <f t="shared" si="10"/>
        <v>0</v>
      </c>
      <c r="DQ20" s="141">
        <f t="shared" si="10"/>
        <v>2.405799</v>
      </c>
      <c r="DR20" s="141">
        <f t="shared" si="10"/>
        <v>6.6039999999999996E-3</v>
      </c>
      <c r="DS20" s="141">
        <f t="shared" si="10"/>
        <v>71.603700000000003</v>
      </c>
      <c r="DT20" s="141">
        <f t="shared" si="10"/>
        <v>150.32774499999999</v>
      </c>
      <c r="DU20" s="141">
        <f t="shared" si="10"/>
        <v>88.230889999999988</v>
      </c>
      <c r="DV20" s="141">
        <f t="shared" si="10"/>
        <v>35.008835000000005</v>
      </c>
      <c r="DW20" s="141">
        <f t="shared" si="10"/>
        <v>65.310351999999995</v>
      </c>
      <c r="DX20" s="141">
        <f>SUM(L20,AO20,BR20,CU20)</f>
        <v>288.37656300000003</v>
      </c>
      <c r="DY20" s="141">
        <f t="shared" ref="DY20:EN56" si="12">SUM(M20,AP20,BS20,CV20)</f>
        <v>249.79639000000003</v>
      </c>
      <c r="DZ20" s="141">
        <f t="shared" si="12"/>
        <v>405.45</v>
      </c>
      <c r="EA20" s="141">
        <f t="shared" si="12"/>
        <v>405.17700000000002</v>
      </c>
      <c r="EB20" s="141">
        <f t="shared" si="12"/>
        <v>237.92400000000004</v>
      </c>
      <c r="EC20" s="141">
        <f t="shared" si="12"/>
        <v>350.43100000000004</v>
      </c>
      <c r="ED20" s="141">
        <f t="shared" si="12"/>
        <v>424.47299999999996</v>
      </c>
      <c r="EE20" s="141">
        <f t="shared" si="12"/>
        <v>546.58699999999999</v>
      </c>
      <c r="EF20" s="141">
        <f t="shared" si="12"/>
        <v>754.92499999999995</v>
      </c>
      <c r="EG20" s="141">
        <f t="shared" si="12"/>
        <v>446.02699999999993</v>
      </c>
      <c r="EH20" s="141">
        <f t="shared" si="12"/>
        <v>755.25700000000006</v>
      </c>
      <c r="EI20" s="141">
        <f t="shared" si="12"/>
        <v>772.19600000000003</v>
      </c>
      <c r="EJ20" s="141">
        <f t="shared" si="12"/>
        <v>834.64200000000005</v>
      </c>
      <c r="EK20" s="141">
        <f t="shared" si="12"/>
        <v>949.19799999999998</v>
      </c>
      <c r="EL20" s="141">
        <f t="shared" si="12"/>
        <v>848.23299999999995</v>
      </c>
      <c r="EM20" s="141">
        <f t="shared" si="12"/>
        <v>925.69599999999991</v>
      </c>
      <c r="EN20" s="141">
        <f t="shared" si="12"/>
        <v>999.71499999999992</v>
      </c>
      <c r="EO20" s="141">
        <f t="shared" ref="EN20:EP55" si="13">SUM(AC20,BF20,CI20,DL20)</f>
        <v>802.50199999999995</v>
      </c>
      <c r="EP20" s="145">
        <f>'Turkey Sun Complex'!AD24-500</f>
        <v>375</v>
      </c>
      <c r="EQ20" s="145">
        <f>'Turkey Sun Complex'!AE24</f>
        <v>875</v>
      </c>
      <c r="ES20" s="141">
        <f t="shared" si="11"/>
        <v>0</v>
      </c>
      <c r="ET20" s="141">
        <f t="shared" si="11"/>
        <v>335.78100000000006</v>
      </c>
    </row>
    <row r="21" spans="1:150">
      <c r="A21" s="148" t="s">
        <v>152</v>
      </c>
      <c r="B21" s="146">
        <f>'[2]EU Sun Meal Exports'!B$156</f>
        <v>0</v>
      </c>
      <c r="C21" s="146">
        <f>'[2]EU Sun Meal Exports'!C$156</f>
        <v>0</v>
      </c>
      <c r="D21" s="146">
        <f>'[2]EU Sun Meal Exports'!D$156</f>
        <v>0</v>
      </c>
      <c r="E21" s="146">
        <f>'[2]EU Sun Meal Exports'!E$156</f>
        <v>0</v>
      </c>
      <c r="F21" s="146">
        <f>'[2]EU Sun Meal Exports'!F$156</f>
        <v>0</v>
      </c>
      <c r="G21" s="146">
        <f>'[2]EU Sun Meal Exports'!G$156</f>
        <v>0</v>
      </c>
      <c r="H21" s="146">
        <f>'[2]EU Sun Meal Exports'!H$156</f>
        <v>0</v>
      </c>
      <c r="I21" s="146">
        <f>'[2]EU Sun Meal Exports'!I$156</f>
        <v>0</v>
      </c>
      <c r="J21" s="146">
        <f>'[2]EU Sun Meal Exports'!J$156</f>
        <v>0</v>
      </c>
      <c r="K21" s="146">
        <f>'[2]EU Sun Meal Exports'!K$156</f>
        <v>0</v>
      </c>
      <c r="L21" s="146">
        <f>'[2]EU Sun Meal Exports'!L$156</f>
        <v>0</v>
      </c>
      <c r="M21" s="146">
        <f>'[2]EU Sun Meal Exports'!M$156</f>
        <v>0</v>
      </c>
      <c r="N21" s="146">
        <f>'[2]EU Sun Meal Exports'!N$156</f>
        <v>0</v>
      </c>
      <c r="O21" s="146">
        <f>'[2]EU Sun Meal Exports'!O$156</f>
        <v>0</v>
      </c>
      <c r="P21" s="141">
        <f>'[2]EU Sun Meal Exports'!P$156</f>
        <v>0</v>
      </c>
      <c r="Q21" s="141">
        <f>'[2]EU Sun Meal Exports'!Q$156</f>
        <v>0</v>
      </c>
      <c r="R21" s="141">
        <f>'[2]EU Sun Meal Exports'!R$156</f>
        <v>0</v>
      </c>
      <c r="S21" s="141">
        <f>'[2]EU Sun Meal Exports'!S$156</f>
        <v>0</v>
      </c>
      <c r="T21" s="141">
        <f>'[2]EU Sun Meal Exports'!T$156</f>
        <v>0</v>
      </c>
      <c r="U21" s="141">
        <f>'[2]EU Sun Meal Exports'!U$156</f>
        <v>0</v>
      </c>
      <c r="V21" s="141">
        <f>'[2]EU Sun Meal Exports'!V$156</f>
        <v>0</v>
      </c>
      <c r="W21" s="141">
        <f>'[2]EU Sun Meal Exports'!W$156</f>
        <v>0</v>
      </c>
      <c r="X21" s="141">
        <f>'[2]EU Sun Meal Exports'!X$156</f>
        <v>1.036</v>
      </c>
      <c r="Y21" s="141">
        <f>'[2]EU Sun Meal Exports'!Y$156</f>
        <v>1.1120000000000001</v>
      </c>
      <c r="Z21" s="141">
        <f>'[2]EU Sun Meal Exports'!Z$156</f>
        <v>10.669</v>
      </c>
      <c r="AA21" s="141">
        <f>'[2]EU Sun Meal Exports'!AA$156</f>
        <v>5.5730000000000004</v>
      </c>
      <c r="AB21" s="141">
        <f>'[2]EU Sun Meal Exports'!AB$156</f>
        <v>10.603999999999999</v>
      </c>
      <c r="AC21" s="141">
        <f>'[2]EU Sun Meal Exports'!AC$156</f>
        <v>8.2010000000000005</v>
      </c>
      <c r="AD21" s="143">
        <f>'[2]EU Sun Meal Exports'!AD$156</f>
        <v>9.6660000000000004</v>
      </c>
      <c r="AE21" s="141">
        <f>'[2]Ukraine Sun Meal Exports'!B$156</f>
        <v>0</v>
      </c>
      <c r="AF21" s="141">
        <f>'[2]Ukraine Sun Meal Exports'!C$156</f>
        <v>0</v>
      </c>
      <c r="AG21" s="141">
        <f>'[2]Ukraine Sun Meal Exports'!D$156</f>
        <v>0</v>
      </c>
      <c r="AH21" s="141">
        <f>'[2]Ukraine Sun Meal Exports'!E$156</f>
        <v>0</v>
      </c>
      <c r="AI21" s="141">
        <f>'[2]Ukraine Sun Meal Exports'!F$156</f>
        <v>0</v>
      </c>
      <c r="AJ21" s="141">
        <f>'[2]Ukraine Sun Meal Exports'!G$156</f>
        <v>0</v>
      </c>
      <c r="AK21" s="141">
        <f>'[2]Ukraine Sun Meal Exports'!H$156</f>
        <v>0</v>
      </c>
      <c r="AL21" s="141">
        <f>'[2]Ukraine Sun Meal Exports'!I$156</f>
        <v>0</v>
      </c>
      <c r="AM21" s="141">
        <f>'[2]Ukraine Sun Meal Exports'!J$156</f>
        <v>0</v>
      </c>
      <c r="AN21" s="141">
        <f>'[2]Ukraine Sun Meal Exports'!K$156</f>
        <v>0</v>
      </c>
      <c r="AO21" s="141">
        <f>'[2]Ukraine Sun Meal Exports'!L$156</f>
        <v>0</v>
      </c>
      <c r="AP21" s="141">
        <f>'[2]Ukraine Sun Meal Exports'!M$156</f>
        <v>0</v>
      </c>
      <c r="AQ21" s="141">
        <f>'[2]Ukraine Sun Meal Exports'!N$156</f>
        <v>0</v>
      </c>
      <c r="AR21" s="141">
        <f>'[2]Ukraine Sun Meal Exports'!O$156</f>
        <v>0</v>
      </c>
      <c r="AS21" s="141">
        <f>'[2]Ukraine Sun Meal Exports'!P$156</f>
        <v>0</v>
      </c>
      <c r="AT21" s="141">
        <f>'[2]Ukraine Sun Meal Exports'!Q$156</f>
        <v>0</v>
      </c>
      <c r="AU21" s="141">
        <f>'[2]Ukraine Sun Meal Exports'!R$156</f>
        <v>0</v>
      </c>
      <c r="AV21" s="141">
        <f>'[2]Ukraine Sun Meal Exports'!S$156</f>
        <v>0</v>
      </c>
      <c r="AW21" s="141">
        <f>'[2]Ukraine Sun Meal Exports'!T$156</f>
        <v>0</v>
      </c>
      <c r="AX21" s="141">
        <f>'[2]Ukraine Sun Meal Exports'!U$156</f>
        <v>0</v>
      </c>
      <c r="AY21" s="141">
        <f>'[2]Ukraine Sun Meal Exports'!V$156</f>
        <v>2.5430000000000001</v>
      </c>
      <c r="AZ21" s="141">
        <f>'[2]Ukraine Sun Meal Exports'!W$156</f>
        <v>7.5139999999999993</v>
      </c>
      <c r="BA21" s="141">
        <f>'[2]Ukraine Sun Meal Exports'!X$156</f>
        <v>11.484999999999999</v>
      </c>
      <c r="BB21" s="141">
        <f>'[2]Ukraine Sun Meal Exports'!Y$156</f>
        <v>33.069000000000003</v>
      </c>
      <c r="BC21" s="141">
        <f>'[2]Ukraine Sun Meal Exports'!Z$156</f>
        <v>107.78100000000001</v>
      </c>
      <c r="BD21" s="141">
        <f>'[2]Ukraine Sun Meal Exports'!AA$156</f>
        <v>91.679999999999993</v>
      </c>
      <c r="BE21" s="141">
        <f>'[2]Ukraine Sun Meal Exports'!AB$156</f>
        <v>29.569000000000003</v>
      </c>
      <c r="BF21" s="141">
        <f>'[2]Ukraine Sun Meal Exports'!AC$156</f>
        <v>19.772000000000002</v>
      </c>
      <c r="BG21" s="141">
        <f>'[2]Ukraine Sun Meal Exports'!AD$156</f>
        <v>13.578000000000001</v>
      </c>
      <c r="BH21" s="141">
        <f>'[2]Russia Sun Meal Exports'!B$156</f>
        <v>0</v>
      </c>
      <c r="BI21" s="141">
        <f>'[2]Russia Sun Meal Exports'!C$156</f>
        <v>0</v>
      </c>
      <c r="BJ21" s="141">
        <f>'[2]Russia Sun Meal Exports'!D$156</f>
        <v>0</v>
      </c>
      <c r="BK21" s="141">
        <f>'[2]Russia Sun Meal Exports'!E$156</f>
        <v>0</v>
      </c>
      <c r="BL21" s="141">
        <f>'[2]Russia Sun Meal Exports'!F$156</f>
        <v>0</v>
      </c>
      <c r="BM21" s="141">
        <f>'[2]Russia Sun Meal Exports'!G$156</f>
        <v>0</v>
      </c>
      <c r="BN21" s="141">
        <f>'[2]Russia Sun Meal Exports'!H$156</f>
        <v>0</v>
      </c>
      <c r="BO21" s="141">
        <f>'[2]Russia Sun Meal Exports'!I$156</f>
        <v>0</v>
      </c>
      <c r="BP21" s="141">
        <f>'[2]Russia Sun Meal Exports'!J$156</f>
        <v>0</v>
      </c>
      <c r="BQ21" s="141">
        <f>'[2]Russia Sun Meal Exports'!K$156</f>
        <v>0</v>
      </c>
      <c r="BR21" s="141">
        <f>'[2]Russia Sun Meal Exports'!L$156</f>
        <v>0</v>
      </c>
      <c r="BS21" s="141">
        <f>'[2]Russia Sun Meal Exports'!M$156</f>
        <v>0</v>
      </c>
      <c r="BT21" s="141">
        <f>'[2]Russia Sun Meal Exports'!N$156</f>
        <v>0</v>
      </c>
      <c r="BU21" s="141">
        <f>'[2]Russia Sun Meal Exports'!O$156</f>
        <v>0</v>
      </c>
      <c r="BV21" s="141">
        <f>'[2]Russia Sun Meal Exports'!P$156</f>
        <v>0</v>
      </c>
      <c r="BW21" s="141">
        <f>'[2]Russia Sun Meal Exports'!Q$156</f>
        <v>0</v>
      </c>
      <c r="BX21" s="141">
        <f>'[2]Russia Sun Meal Exports'!R$156</f>
        <v>0</v>
      </c>
      <c r="BY21" s="141">
        <f>'[2]Russia Sun Meal Exports'!S$156</f>
        <v>0</v>
      </c>
      <c r="BZ21" s="141">
        <f>'[2]Russia Sun Meal Exports'!T$156</f>
        <v>0</v>
      </c>
      <c r="CA21" s="141">
        <f>'[2]Russia Sun Meal Exports'!U$156</f>
        <v>0</v>
      </c>
      <c r="CB21" s="141">
        <f>'[2]Russia Sun Meal Exports'!V$156</f>
        <v>0</v>
      </c>
      <c r="CC21" s="141">
        <f>'[2]Russia Sun Meal Exports'!W$156</f>
        <v>0</v>
      </c>
      <c r="CD21" s="141">
        <f>'[2]Russia Sun Meal Exports'!X$156</f>
        <v>0.499</v>
      </c>
      <c r="CE21" s="141">
        <f>'[2]Russia Sun Meal Exports'!Y$156</f>
        <v>0</v>
      </c>
      <c r="CF21" s="141">
        <f>'[2]Russia Sun Meal Exports'!Z$156</f>
        <v>0</v>
      </c>
      <c r="CG21" s="147">
        <f>'[2]Russia Sun Meal Exports'!AA$156</f>
        <v>0</v>
      </c>
      <c r="CH21" s="141">
        <f>'[2]Russia Sun Meal Exports'!AB$156</f>
        <v>0</v>
      </c>
      <c r="CI21" s="141">
        <f>'[2]Russia Sun Meal Exports'!AC$156</f>
        <v>0.501</v>
      </c>
      <c r="CJ21" s="143">
        <f>'[2]Russia Sun Meal Exports'!AD$156</f>
        <v>0</v>
      </c>
      <c r="CK21" s="141">
        <f>'[3]Sunflower Meal Exports'!B$156/1.10231</f>
        <v>0</v>
      </c>
      <c r="CL21" s="141">
        <f>'[3]Sunflower Meal Exports'!C$156/1.10231</f>
        <v>0</v>
      </c>
      <c r="CM21" s="141">
        <f>'[3]Sunflower Meal Exports'!D$156/1.10231</f>
        <v>0</v>
      </c>
      <c r="CN21" s="141">
        <f>'[3]Sunflower Meal Exports'!E$156/1.10231</f>
        <v>0</v>
      </c>
      <c r="CO21" s="141">
        <f>'[3]Sunflower Meal Exports'!F$156/1.10231</f>
        <v>0</v>
      </c>
      <c r="CP21" s="141">
        <f>'[3]Sunflower Meal Exports'!G$156/1.10231</f>
        <v>0</v>
      </c>
      <c r="CQ21" s="141">
        <f>'[3]Sunflower Meal Exports'!H$156/1.10231</f>
        <v>0</v>
      </c>
      <c r="CR21" s="141">
        <f>'[3]Sunflower Meal Exports'!I$156/1.10231</f>
        <v>0</v>
      </c>
      <c r="CS21" s="141">
        <f>'[3]Sunflower Meal Exports'!J$156/1.10231</f>
        <v>0</v>
      </c>
      <c r="CT21" s="141">
        <f>'[3]Sunflower Meal Exports'!K$156/1.10231</f>
        <v>0</v>
      </c>
      <c r="CU21" s="141">
        <f>'[3]Sunflower Meal Exports'!L$156/1.10231</f>
        <v>0</v>
      </c>
      <c r="CV21" s="141">
        <f>'[3]Sunflower Meal Exports'!M$156/1.10231</f>
        <v>0</v>
      </c>
      <c r="CW21" s="141">
        <f>'[3]Sunflower Meal Exports'!N$156/1.10231</f>
        <v>0</v>
      </c>
      <c r="CX21" s="141">
        <f>'[3]Sunflower Meal Exports'!O$156/1.10231</f>
        <v>0</v>
      </c>
      <c r="CY21" s="141">
        <f>'[3]Sunflower Meal Exports'!P$156/1.10231</f>
        <v>0</v>
      </c>
      <c r="CZ21" s="141">
        <f>'[3]Sunflower Meal Exports'!Q$156/1.10231</f>
        <v>0</v>
      </c>
      <c r="DA21" s="141">
        <f>'[3]Sunflower Meal Exports'!R$156/1.10231</f>
        <v>0</v>
      </c>
      <c r="DB21" s="141">
        <f>'[3]Sunflower Meal Exports'!S$156/1.10231</f>
        <v>0</v>
      </c>
      <c r="DC21" s="141">
        <f>'[3]Sunflower Meal Exports'!T$156/1.10231</f>
        <v>0</v>
      </c>
      <c r="DD21" s="141">
        <f>'[3]Sunflower Meal Exports'!U$156/1.10231</f>
        <v>0</v>
      </c>
      <c r="DE21" s="141">
        <f>'[3]Sunflower Meal Exports'!V$156/1.10231</f>
        <v>0</v>
      </c>
      <c r="DF21" s="141">
        <f>'[3]Sunflower Meal Exports'!W$156/1.10231</f>
        <v>0</v>
      </c>
      <c r="DG21" s="141">
        <f>'[3]Sunflower Meal Exports'!X$156/1.10231</f>
        <v>9.9700090446426151E-2</v>
      </c>
      <c r="DH21" s="141">
        <f>'[3]Sunflower Meal Exports'!Y$156/1.10231</f>
        <v>0</v>
      </c>
      <c r="DI21" s="141">
        <f>'[3]Sunflower Meal Exports'!Z$156/1.10231</f>
        <v>0</v>
      </c>
      <c r="DJ21" s="141">
        <f>'[3]Sunflower Meal Exports'!AA$156/1.10231</f>
        <v>0</v>
      </c>
      <c r="DK21" s="141">
        <f>'[3]Sunflower Meal Exports'!AB$156/1.10231</f>
        <v>0</v>
      </c>
      <c r="DL21" s="141">
        <f>'[3]Sunflower Meal Exports'!AC$156/1.10231</f>
        <v>0</v>
      </c>
      <c r="DM21" s="143">
        <f>'[3]Sunflower Meal Exports'!AD$156/1.10231</f>
        <v>0</v>
      </c>
      <c r="DN21" s="141">
        <f t="shared" si="10"/>
        <v>0</v>
      </c>
      <c r="DO21" s="141">
        <f t="shared" si="10"/>
        <v>0</v>
      </c>
      <c r="DP21" s="141">
        <f t="shared" si="10"/>
        <v>0</v>
      </c>
      <c r="DQ21" s="141">
        <f t="shared" si="10"/>
        <v>0</v>
      </c>
      <c r="DR21" s="141">
        <f t="shared" si="10"/>
        <v>0</v>
      </c>
      <c r="DS21" s="141">
        <f t="shared" si="10"/>
        <v>0</v>
      </c>
      <c r="DT21" s="141">
        <f t="shared" si="10"/>
        <v>0</v>
      </c>
      <c r="DU21" s="141">
        <f t="shared" si="10"/>
        <v>0</v>
      </c>
      <c r="DV21" s="141">
        <f t="shared" si="10"/>
        <v>0</v>
      </c>
      <c r="DW21" s="141">
        <f t="shared" si="10"/>
        <v>0</v>
      </c>
      <c r="DX21" s="141">
        <f t="shared" si="10"/>
        <v>0</v>
      </c>
      <c r="DY21" s="141">
        <f t="shared" si="12"/>
        <v>0</v>
      </c>
      <c r="DZ21" s="141">
        <f t="shared" si="12"/>
        <v>0</v>
      </c>
      <c r="EA21" s="141">
        <f t="shared" si="12"/>
        <v>0</v>
      </c>
      <c r="EB21" s="141">
        <f t="shared" si="12"/>
        <v>0</v>
      </c>
      <c r="EC21" s="141">
        <f t="shared" si="12"/>
        <v>0</v>
      </c>
      <c r="ED21" s="141">
        <f t="shared" si="12"/>
        <v>0</v>
      </c>
      <c r="EE21" s="141">
        <f t="shared" si="12"/>
        <v>0</v>
      </c>
      <c r="EF21" s="141">
        <f t="shared" si="12"/>
        <v>0</v>
      </c>
      <c r="EG21" s="141">
        <f t="shared" si="12"/>
        <v>0</v>
      </c>
      <c r="EH21" s="141">
        <f t="shared" si="12"/>
        <v>2.5430000000000001</v>
      </c>
      <c r="EI21" s="141">
        <f t="shared" si="12"/>
        <v>7.5139999999999993</v>
      </c>
      <c r="EJ21" s="141">
        <f t="shared" si="12"/>
        <v>13.119700090446425</v>
      </c>
      <c r="EK21" s="141">
        <f t="shared" si="12"/>
        <v>34.181000000000004</v>
      </c>
      <c r="EL21" s="141">
        <f t="shared" si="12"/>
        <v>118.45</v>
      </c>
      <c r="EM21" s="141">
        <f t="shared" si="12"/>
        <v>97.252999999999986</v>
      </c>
      <c r="EN21" s="141">
        <f t="shared" si="13"/>
        <v>40.173000000000002</v>
      </c>
      <c r="EO21" s="141">
        <f t="shared" si="13"/>
        <v>28.474000000000004</v>
      </c>
      <c r="EP21" s="145">
        <f t="shared" si="13"/>
        <v>23.244</v>
      </c>
      <c r="EQ21" s="145">
        <v>50</v>
      </c>
      <c r="ES21" s="141">
        <f t="shared" si="11"/>
        <v>0</v>
      </c>
      <c r="ET21" s="141">
        <f t="shared" si="11"/>
        <v>0</v>
      </c>
    </row>
    <row r="22" spans="1:150">
      <c r="A22" s="149" t="s">
        <v>153</v>
      </c>
      <c r="B22" s="146">
        <f>'[2]EU Sun Meal Exports'!B$74-SUM(B7:B21)</f>
        <v>0</v>
      </c>
      <c r="C22" s="146">
        <f>'[2]EU Sun Meal Exports'!C$74-SUM(C7:C21)</f>
        <v>0</v>
      </c>
      <c r="D22" s="146">
        <f>'[2]EU Sun Meal Exports'!D$74-SUM(D7:D21)</f>
        <v>0</v>
      </c>
      <c r="E22" s="146">
        <f>'[2]EU Sun Meal Exports'!E$74-SUM(E7:E21)</f>
        <v>0</v>
      </c>
      <c r="F22" s="146">
        <f>'[2]EU Sun Meal Exports'!F$74-SUM(F7:F21)</f>
        <v>0</v>
      </c>
      <c r="G22" s="146">
        <f>'[2]EU Sun Meal Exports'!G$74-SUM(G7:G21)</f>
        <v>0</v>
      </c>
      <c r="H22" s="146">
        <f>'[2]EU Sun Meal Exports'!H$74-SUM(H7:H21)</f>
        <v>4.0000000000006253E-2</v>
      </c>
      <c r="I22" s="146">
        <f>'[2]EU Sun Meal Exports'!I$74-SUM(I7:I21)</f>
        <v>2.1000000000000796E-2</v>
      </c>
      <c r="J22" s="146">
        <f>'[2]EU Sun Meal Exports'!J$74-SUM(J7:J21)</f>
        <v>2.5999999999999801E-2</v>
      </c>
      <c r="K22" s="146">
        <f>'[2]EU Sun Meal Exports'!K$74-SUM(K7:K21)</f>
        <v>2.2000000000002018E-2</v>
      </c>
      <c r="L22" s="146">
        <f>'[2]EU Sun Meal Exports'!L$74-SUM(L7:L21)</f>
        <v>1.6000000000005343E-2</v>
      </c>
      <c r="M22" s="146">
        <f>'[2]EU Sun Meal Exports'!M$74-SUM(M7:M21)</f>
        <v>1.8000000000000682E-2</v>
      </c>
      <c r="N22" s="146">
        <f>'[2]EU Sun Meal Exports'!N$74-SUM(N7:N21)</f>
        <v>2.1469999999999914</v>
      </c>
      <c r="O22" s="146">
        <f>'[2]EU Sun Meal Exports'!O$74-SUM(O7:O21)</f>
        <v>0</v>
      </c>
      <c r="P22" s="141">
        <f>'[2]EU Sun Meal Exports'!P$74-SUM(P7:P21)</f>
        <v>0</v>
      </c>
      <c r="Q22" s="141">
        <f>'[2]EU Sun Meal Exports'!Q$74-SUM(Q7:Q21)</f>
        <v>1.2439999999999998</v>
      </c>
      <c r="R22" s="141">
        <f>'[2]EU Sun Meal Exports'!R$74-SUM(R7:R21)</f>
        <v>4.5470000000000041</v>
      </c>
      <c r="S22" s="141">
        <f>'[2]EU Sun Meal Exports'!S$74-SUM(S7:S21)</f>
        <v>9.4400000000000119</v>
      </c>
      <c r="T22" s="141">
        <f>'[2]EU Sun Meal Exports'!T$74-SUM(T7:T21)</f>
        <v>9.6089999999999947</v>
      </c>
      <c r="U22" s="141">
        <f>'[2]EU Sun Meal Exports'!U$74-SUM(U7:U21)</f>
        <v>3.7999999999996703E-2</v>
      </c>
      <c r="V22" s="141">
        <f>'[2]EU Sun Meal Exports'!V$74-SUM(V7:V21)</f>
        <v>4.8870000000000005</v>
      </c>
      <c r="W22" s="141">
        <f>'[2]EU Sun Meal Exports'!W$74-SUM(W7:W21)</f>
        <v>11.849000000000018</v>
      </c>
      <c r="X22" s="141">
        <f>'[2]EU Sun Meal Exports'!X$74-SUM(X7:X21)</f>
        <v>4.2760000000000105</v>
      </c>
      <c r="Y22" s="141">
        <f>'[2]EU Sun Meal Exports'!Y$74-SUM(Y7:Y21)</f>
        <v>7.3190000000000168</v>
      </c>
      <c r="Z22" s="141">
        <f>'[2]EU Sun Meal Exports'!Z$74-SUM(Z7:Z21)</f>
        <v>6.853999999999985</v>
      </c>
      <c r="AA22" s="141">
        <f>'[2]EU Sun Meal Exports'!AA$74-SUM(AA7:AA21)</f>
        <v>3.6129999999999995</v>
      </c>
      <c r="AB22" s="141">
        <f>'[2]EU Sun Meal Exports'!AB$74-SUM(AB7:AB21)</f>
        <v>12.958000000000027</v>
      </c>
      <c r="AC22" s="141">
        <f>'[2]EU Sun Meal Exports'!AC$74-SUM(AC7:AC21)</f>
        <v>0.76200000000000045</v>
      </c>
      <c r="AD22" s="143">
        <v>1</v>
      </c>
      <c r="AE22" s="141">
        <f>'[2]Ukraine Sun Meal Exports'!B$74-SUM(AE7:AE21)</f>
        <v>0</v>
      </c>
      <c r="AF22" s="141">
        <f>'[2]Ukraine Sun Meal Exports'!C$74-SUM(AF7:AF21)</f>
        <v>0</v>
      </c>
      <c r="AG22" s="141">
        <f>'[2]Ukraine Sun Meal Exports'!D$74-SUM(AG7:AG21)</f>
        <v>0</v>
      </c>
      <c r="AH22" s="141">
        <f>'[2]Ukraine Sun Meal Exports'!E$74-SUM(AH7:AH21)</f>
        <v>0</v>
      </c>
      <c r="AI22" s="141">
        <f>'[2]Ukraine Sun Meal Exports'!F$74-SUM(AI7:AI21)</f>
        <v>0</v>
      </c>
      <c r="AJ22" s="141">
        <f>'[2]Ukraine Sun Meal Exports'!G$74-SUM(AJ7:AJ21)</f>
        <v>0</v>
      </c>
      <c r="AK22" s="141">
        <f>'[2]Ukraine Sun Meal Exports'!H$74-SUM(AK7:AK21)</f>
        <v>0</v>
      </c>
      <c r="AL22" s="141">
        <f>'[2]Ukraine Sun Meal Exports'!I$74-SUM(AL7:AL21)</f>
        <v>0</v>
      </c>
      <c r="AM22" s="141">
        <f>'[2]Ukraine Sun Meal Exports'!J$74-SUM(AM7:AM21)</f>
        <v>0</v>
      </c>
      <c r="AN22" s="141">
        <f>'[2]Ukraine Sun Meal Exports'!K$74-SUM(AN7:AN21)</f>
        <v>0</v>
      </c>
      <c r="AO22" s="141">
        <f>'[2]Ukraine Sun Meal Exports'!L$74-SUM(AO7:AO21)</f>
        <v>0</v>
      </c>
      <c r="AP22" s="141">
        <f>'[2]Ukraine Sun Meal Exports'!M$74-SUM(AP7:AP21)</f>
        <v>0</v>
      </c>
      <c r="AQ22" s="141">
        <f>'[2]Ukraine Sun Meal Exports'!N$74-SUM(AQ7:AQ21)</f>
        <v>0.20900000000000318</v>
      </c>
      <c r="AR22" s="141">
        <f>'[2]Ukraine Sun Meal Exports'!O$74-SUM(AR7:AR21)</f>
        <v>0</v>
      </c>
      <c r="AS22" s="141">
        <f>'[2]Ukraine Sun Meal Exports'!P$74-SUM(AS7:AS21)</f>
        <v>0</v>
      </c>
      <c r="AT22" s="141">
        <f>'[2]Ukraine Sun Meal Exports'!Q$74-SUM(AT7:AT21)</f>
        <v>0</v>
      </c>
      <c r="AU22" s="141">
        <f>'[2]Ukraine Sun Meal Exports'!R$74-SUM(AU7:AU21)</f>
        <v>0</v>
      </c>
      <c r="AV22" s="141">
        <f>'[2]Ukraine Sun Meal Exports'!S$74-SUM(AV7:AV21)</f>
        <v>6.0729999999999791</v>
      </c>
      <c r="AW22" s="141">
        <f>'[2]Ukraine Sun Meal Exports'!T$74-SUM(AW7:AW21)</f>
        <v>0</v>
      </c>
      <c r="AX22" s="141">
        <f>'[2]Ukraine Sun Meal Exports'!U$74-SUM(AX7:AX21)</f>
        <v>0.31200000000001182</v>
      </c>
      <c r="AY22" s="141">
        <f>'[2]Ukraine Sun Meal Exports'!V$74-SUM(AY7:AY21)</f>
        <v>2.3819999999999482</v>
      </c>
      <c r="AZ22" s="141">
        <f>'[2]Ukraine Sun Meal Exports'!W$74-SUM(AZ7:AZ21)</f>
        <v>7.7949999999999591</v>
      </c>
      <c r="BA22" s="141">
        <f>'[2]Ukraine Sun Meal Exports'!X$74-SUM(BA7:BA21)</f>
        <v>246.44199999999989</v>
      </c>
      <c r="BB22" s="141">
        <f>'[2]Ukraine Sun Meal Exports'!Y$74-SUM(BB7:BB21)</f>
        <v>415.173</v>
      </c>
      <c r="BC22" s="141">
        <f>'[2]Ukraine Sun Meal Exports'!Z$74-SUM(BC7:BC21)</f>
        <v>129.91100000000006</v>
      </c>
      <c r="BD22" s="141">
        <f>'[2]Ukraine Sun Meal Exports'!AA$74-SUM(BD7:BD21)</f>
        <v>177.84899999999993</v>
      </c>
      <c r="BE22" s="141">
        <f>'[2]Ukraine Sun Meal Exports'!AB$74-SUM(BE7:BE21)</f>
        <v>305.5590000000002</v>
      </c>
      <c r="BF22" s="141">
        <f>'[2]Ukraine Sun Meal Exports'!AC$74-SUM(BF7:BF21)</f>
        <v>47.072999999999865</v>
      </c>
      <c r="BG22" s="143">
        <v>50</v>
      </c>
      <c r="BH22" s="141">
        <f>'[2]Russia Sun Meal Exports'!B$74-SUM(BH7:BH21)</f>
        <v>0</v>
      </c>
      <c r="BI22" s="141">
        <f>'[2]Russia Sun Meal Exports'!C$74-SUM(BI7:BI21)</f>
        <v>0</v>
      </c>
      <c r="BJ22" s="141">
        <f>'[2]Russia Sun Meal Exports'!D$74-SUM(BJ7:BJ21)</f>
        <v>0</v>
      </c>
      <c r="BK22" s="141">
        <f>'[2]Russia Sun Meal Exports'!E$74-SUM(BK7:BK21)</f>
        <v>0</v>
      </c>
      <c r="BL22" s="141">
        <f>'[2]Russia Sun Meal Exports'!F$74-SUM(BL7:BL21)</f>
        <v>0</v>
      </c>
      <c r="BM22" s="141">
        <f>'[2]Russia Sun Meal Exports'!G$74-SUM(BM7:BM21)</f>
        <v>0</v>
      </c>
      <c r="BN22" s="141">
        <f>'[2]Russia Sun Meal Exports'!H$74-SUM(BN7:BN21)</f>
        <v>0</v>
      </c>
      <c r="BO22" s="141">
        <f>'[2]Russia Sun Meal Exports'!I$74-SUM(BO7:BO21)</f>
        <v>0</v>
      </c>
      <c r="BP22" s="141">
        <f>'[2]Russia Sun Meal Exports'!J$74-SUM(BP7:BP21)</f>
        <v>0</v>
      </c>
      <c r="BQ22" s="141">
        <f>'[2]Russia Sun Meal Exports'!K$74-SUM(BQ7:BQ21)</f>
        <v>0</v>
      </c>
      <c r="BR22" s="141">
        <f>'[2]Russia Sun Meal Exports'!L$74-SUM(BR7:BR21)</f>
        <v>0</v>
      </c>
      <c r="BS22" s="141">
        <f>'[2]Russia Sun Meal Exports'!M$74-SUM(BS7:BS21)</f>
        <v>4.2000000000000028</v>
      </c>
      <c r="BT22" s="141">
        <f>'[2]Russia Sun Meal Exports'!N$74-SUM(BT7:BT21)</f>
        <v>10.216000000000008</v>
      </c>
      <c r="BU22" s="141">
        <f>'[2]Russia Sun Meal Exports'!O$74-SUM(BU7:BU21)</f>
        <v>10.033000000000015</v>
      </c>
      <c r="BV22" s="141">
        <f>'[2]Russia Sun Meal Exports'!P$74-SUM(BV7:BV21)</f>
        <v>2.86099999999999</v>
      </c>
      <c r="BW22" s="141">
        <f>'[2]Russia Sun Meal Exports'!Q$74-SUM(BW7:BW21)</f>
        <v>2.4219999999999686</v>
      </c>
      <c r="BX22" s="141">
        <f>'[2]Russia Sun Meal Exports'!R$74-SUM(BX7:BX21)</f>
        <v>0</v>
      </c>
      <c r="BY22" s="141">
        <f>'[2]Russia Sun Meal Exports'!S$74-SUM(BY7:BY21)</f>
        <v>0</v>
      </c>
      <c r="BZ22" s="141">
        <f>'[2]Russia Sun Meal Exports'!T$74-SUM(BZ7:BZ21)</f>
        <v>3.0130000000000337</v>
      </c>
      <c r="CA22" s="141">
        <f>'[2]Russia Sun Meal Exports'!U$74-SUM(CA7:CA21)</f>
        <v>0</v>
      </c>
      <c r="CB22" s="141">
        <f>'[2]Russia Sun Meal Exports'!V$74-SUM(CB7:CB21)</f>
        <v>0</v>
      </c>
      <c r="CC22" s="141">
        <f>'[2]Russia Sun Meal Exports'!W$74-SUM(CC7:CC21)</f>
        <v>2.3519999999999754</v>
      </c>
      <c r="CD22" s="141">
        <f>'[2]Russia Sun Meal Exports'!X$74-SUM(CD7:CD21)</f>
        <v>3.2459999999999809</v>
      </c>
      <c r="CE22" s="141">
        <f>'[2]Russia Sun Meal Exports'!Y$74-SUM(CE7:CE21)</f>
        <v>1.0349999999999682</v>
      </c>
      <c r="CF22" s="141">
        <f>'[2]Russia Sun Meal Exports'!Z$74-SUM(CF7:CF21)</f>
        <v>0.12000000000000455</v>
      </c>
      <c r="CG22" s="147">
        <f>'[2]Russia Sun Meal Exports'!AA$74-SUM(CG7:CG21)</f>
        <v>1.01400000000001</v>
      </c>
      <c r="CH22" s="141">
        <f>'[2]Russia Sun Meal Exports'!AB$74-SUM(CH7:CH21)</f>
        <v>1.1839999999999691</v>
      </c>
      <c r="CI22" s="141">
        <f>'[2]Russia Sun Meal Exports'!AC$74-SUM(CI7:CI21)</f>
        <v>1.1879999999999882</v>
      </c>
      <c r="CJ22" s="143">
        <v>0</v>
      </c>
      <c r="CK22" s="141">
        <f>('[3]Sunflower Meal Exports'!B$74/1.10231)-SUM(CK7:CK21)</f>
        <v>0</v>
      </c>
      <c r="CL22" s="141">
        <f>('[3]Sunflower Meal Exports'!C$74/1.10231)-SUM(CL7:CL21)</f>
        <v>0</v>
      </c>
      <c r="CM22" s="141">
        <f>('[3]Sunflower Meal Exports'!D$74/1.10231)-SUM(CM7:CM21)</f>
        <v>0</v>
      </c>
      <c r="CN22" s="141">
        <f>('[3]Sunflower Meal Exports'!E$74/1.10231)-SUM(CN7:CN21)</f>
        <v>3.8800035198809771E-2</v>
      </c>
      <c r="CO22" s="141">
        <f>('[3]Sunflower Meal Exports'!F$74/1.10231)-SUM(CO7:CO21)</f>
        <v>0</v>
      </c>
      <c r="CP22" s="141">
        <f>('[3]Sunflower Meal Exports'!G$74/1.10231)-SUM(CP7:CP21)</f>
        <v>0</v>
      </c>
      <c r="CQ22" s="141">
        <f>('[3]Sunflower Meal Exports'!H$74/1.10231)-SUM(CQ7:CQ21)</f>
        <v>0</v>
      </c>
      <c r="CR22" s="141">
        <f>('[3]Sunflower Meal Exports'!I$74/1.10231)-SUM(CR7:CR21)</f>
        <v>0</v>
      </c>
      <c r="CS22" s="141">
        <f>('[3]Sunflower Meal Exports'!J$74/1.10231)-SUM(CS7:CS21)</f>
        <v>0</v>
      </c>
      <c r="CT22" s="141">
        <f>('[3]Sunflower Meal Exports'!K$74/1.10231)-SUM(CT7:CT21)</f>
        <v>0</v>
      </c>
      <c r="CU22" s="141">
        <f>('[3]Sunflower Meal Exports'!L$74/1.10231)-SUM(CU7:CU21)</f>
        <v>0</v>
      </c>
      <c r="CV22" s="141">
        <f>('[3]Sunflower Meal Exports'!M$74/1.10231)-SUM(CV7:CV21)</f>
        <v>0</v>
      </c>
      <c r="CW22" s="141">
        <f>('[3]Sunflower Meal Exports'!N$74/1.10231)-SUM(CW7:CW21)</f>
        <v>0</v>
      </c>
      <c r="CX22" s="141">
        <f>('[3]Sunflower Meal Exports'!O$74/1.10231)-SUM(CX7:CX21)</f>
        <v>0</v>
      </c>
      <c r="CY22" s="141">
        <f>('[3]Sunflower Meal Exports'!P$74/1.10231)-SUM(CY7:CY21)</f>
        <v>0</v>
      </c>
      <c r="CZ22" s="141">
        <f>('[3]Sunflower Meal Exports'!Q$74/1.10231)-SUM(CZ7:CZ21)</f>
        <v>0</v>
      </c>
      <c r="DA22" s="141">
        <f>('[3]Sunflower Meal Exports'!R$74/1.10231)-SUM(DA7:DA21)</f>
        <v>0</v>
      </c>
      <c r="DB22" s="141">
        <f>('[3]Sunflower Meal Exports'!S$74/1.10231)-SUM(DB7:DB21)</f>
        <v>0</v>
      </c>
      <c r="DC22" s="141">
        <f>('[3]Sunflower Meal Exports'!T$74/1.10231)-SUM(DC7:DC21)</f>
        <v>0</v>
      </c>
      <c r="DD22" s="141">
        <f>('[3]Sunflower Meal Exports'!U$74/1.10231)-SUM(DD7:DD21)</f>
        <v>0</v>
      </c>
      <c r="DE22" s="141">
        <f>('[3]Sunflower Meal Exports'!V$74/1.10231)-SUM(DE7:DE21)</f>
        <v>0</v>
      </c>
      <c r="DF22" s="141">
        <f>('[3]Sunflower Meal Exports'!W$74/1.10231)-SUM(DF7:DF21)</f>
        <v>0.31230028331413084</v>
      </c>
      <c r="DG22" s="141">
        <f>('[3]Sunflower Meal Exports'!X$74/1.10231)-SUM(DG7:DG21)</f>
        <v>0</v>
      </c>
      <c r="DH22" s="141">
        <f>('[3]Sunflower Meal Exports'!Y$74/1.10231)-SUM(DH7:DH21)</f>
        <v>0</v>
      </c>
      <c r="DI22" s="141">
        <f>('[3]Sunflower Meal Exports'!Z$74/1.10231)-SUM(DI7:DI21)</f>
        <v>2.5502190000000002</v>
      </c>
      <c r="DJ22" s="141">
        <f>('[3]Sunflower Meal Exports'!AA$74/1.10231)-SUM(DJ7:DJ21)</f>
        <v>0.15600000000000014</v>
      </c>
      <c r="DK22" s="141">
        <f>('[3]Sunflower Meal Exports'!AB$74/1.10231)-SUM(DK7:DK21)</f>
        <v>4.1494000000000003E-2</v>
      </c>
      <c r="DL22" s="141">
        <f>('[3]Sunflower Meal Exports'!AC$74/1.10231)-SUM(DL7:DL21)</f>
        <v>0.41893900000000001</v>
      </c>
      <c r="DM22" s="143">
        <v>0</v>
      </c>
      <c r="DN22" s="141">
        <f t="shared" si="10"/>
        <v>0</v>
      </c>
      <c r="DO22" s="141">
        <f t="shared" si="10"/>
        <v>0</v>
      </c>
      <c r="DP22" s="141">
        <f t="shared" si="10"/>
        <v>0</v>
      </c>
      <c r="DQ22" s="141">
        <f t="shared" si="10"/>
        <v>3.8800035198809771E-2</v>
      </c>
      <c r="DR22" s="141">
        <f t="shared" si="10"/>
        <v>0</v>
      </c>
      <c r="DS22" s="141">
        <f t="shared" si="10"/>
        <v>0</v>
      </c>
      <c r="DT22" s="141">
        <f t="shared" si="10"/>
        <v>4.0000000000006253E-2</v>
      </c>
      <c r="DU22" s="141">
        <f t="shared" si="10"/>
        <v>2.1000000000000796E-2</v>
      </c>
      <c r="DV22" s="141">
        <f t="shared" si="10"/>
        <v>2.5999999999999801E-2</v>
      </c>
      <c r="DW22" s="141">
        <f t="shared" si="10"/>
        <v>2.2000000000002018E-2</v>
      </c>
      <c r="DX22" s="141">
        <f t="shared" si="10"/>
        <v>1.6000000000005343E-2</v>
      </c>
      <c r="DY22" s="141">
        <f t="shared" si="12"/>
        <v>4.2180000000000035</v>
      </c>
      <c r="DZ22" s="141">
        <f t="shared" si="12"/>
        <v>12.572000000000003</v>
      </c>
      <c r="EA22" s="141">
        <f t="shared" si="12"/>
        <v>10.033000000000015</v>
      </c>
      <c r="EB22" s="141">
        <f t="shared" si="12"/>
        <v>2.86099999999999</v>
      </c>
      <c r="EC22" s="141">
        <f t="shared" si="12"/>
        <v>3.6659999999999684</v>
      </c>
      <c r="ED22" s="141">
        <f t="shared" si="12"/>
        <v>4.5470000000000041</v>
      </c>
      <c r="EE22" s="141">
        <f t="shared" si="12"/>
        <v>15.512999999999991</v>
      </c>
      <c r="EF22" s="141">
        <f t="shared" si="12"/>
        <v>12.622000000000028</v>
      </c>
      <c r="EG22" s="141">
        <f t="shared" si="12"/>
        <v>0.35000000000000853</v>
      </c>
      <c r="EH22" s="141">
        <f t="shared" si="12"/>
        <v>7.2689999999999486</v>
      </c>
      <c r="EI22" s="141">
        <f t="shared" si="12"/>
        <v>22.308300283314082</v>
      </c>
      <c r="EJ22" s="141">
        <f t="shared" si="12"/>
        <v>253.96399999999988</v>
      </c>
      <c r="EK22" s="141">
        <f t="shared" si="12"/>
        <v>423.52699999999999</v>
      </c>
      <c r="EL22" s="141">
        <f t="shared" si="12"/>
        <v>139.43521900000005</v>
      </c>
      <c r="EM22" s="141">
        <f t="shared" si="12"/>
        <v>182.63199999999995</v>
      </c>
      <c r="EN22" s="141">
        <f t="shared" si="13"/>
        <v>319.74249400000019</v>
      </c>
      <c r="EO22" s="141">
        <f t="shared" si="13"/>
        <v>49.441938999999856</v>
      </c>
      <c r="EP22" s="145">
        <f t="shared" si="13"/>
        <v>51</v>
      </c>
      <c r="EQ22" s="145">
        <v>163.5</v>
      </c>
      <c r="ES22" s="141">
        <f t="shared" si="11"/>
        <v>0</v>
      </c>
      <c r="ET22" s="141">
        <f t="shared" si="11"/>
        <v>0</v>
      </c>
    </row>
    <row r="23" spans="1:150">
      <c r="A23" s="148" t="s">
        <v>154</v>
      </c>
      <c r="B23" s="146">
        <f>'[2]EU Sun Meal Exports'!B$165</f>
        <v>0</v>
      </c>
      <c r="C23" s="146">
        <f>'[2]EU Sun Meal Exports'!C$165</f>
        <v>0</v>
      </c>
      <c r="D23" s="146">
        <f>'[2]EU Sun Meal Exports'!D$165</f>
        <v>0</v>
      </c>
      <c r="E23" s="146">
        <f>'[2]EU Sun Meal Exports'!E$165</f>
        <v>0</v>
      </c>
      <c r="F23" s="146">
        <f>'[2]EU Sun Meal Exports'!F$165</f>
        <v>0</v>
      </c>
      <c r="G23" s="146">
        <f>'[2]EU Sun Meal Exports'!G$165</f>
        <v>0</v>
      </c>
      <c r="H23" s="146">
        <f>'[2]EU Sun Meal Exports'!H$165</f>
        <v>0</v>
      </c>
      <c r="I23" s="146">
        <f>'[2]EU Sun Meal Exports'!I$165</f>
        <v>0</v>
      </c>
      <c r="J23" s="146">
        <f>'[2]EU Sun Meal Exports'!J$165</f>
        <v>0</v>
      </c>
      <c r="K23" s="146">
        <f>'[2]EU Sun Meal Exports'!K$165</f>
        <v>0</v>
      </c>
      <c r="L23" s="146">
        <f>'[2]EU Sun Meal Exports'!L$165</f>
        <v>0</v>
      </c>
      <c r="M23" s="146">
        <f>'[2]EU Sun Meal Exports'!M$165</f>
        <v>0</v>
      </c>
      <c r="N23" s="146">
        <f>'[2]EU Sun Meal Exports'!N$165</f>
        <v>0</v>
      </c>
      <c r="O23" s="146">
        <f>'[2]EU Sun Meal Exports'!O$165</f>
        <v>3.74</v>
      </c>
      <c r="P23" s="141">
        <f>'[2]EU Sun Meal Exports'!P$165</f>
        <v>0</v>
      </c>
      <c r="Q23" s="141">
        <f>'[2]EU Sun Meal Exports'!Q$165</f>
        <v>0</v>
      </c>
      <c r="R23" s="141">
        <f>'[2]EU Sun Meal Exports'!R$165</f>
        <v>0</v>
      </c>
      <c r="S23" s="141">
        <f>'[2]EU Sun Meal Exports'!S$165</f>
        <v>0</v>
      </c>
      <c r="T23" s="141">
        <f>'[2]EU Sun Meal Exports'!T$165</f>
        <v>0</v>
      </c>
      <c r="U23" s="141">
        <f>'[2]EU Sun Meal Exports'!U$165</f>
        <v>0</v>
      </c>
      <c r="V23" s="141">
        <f>'[2]EU Sun Meal Exports'!V$165</f>
        <v>0</v>
      </c>
      <c r="W23" s="141">
        <f>'[2]EU Sun Meal Exports'!W$165</f>
        <v>0</v>
      </c>
      <c r="X23" s="141">
        <f>'[2]EU Sun Meal Exports'!X$165</f>
        <v>0</v>
      </c>
      <c r="Y23" s="141">
        <f>'[2]EU Sun Meal Exports'!Y$165</f>
        <v>0</v>
      </c>
      <c r="Z23" s="141">
        <f>'[2]EU Sun Meal Exports'!Z$165</f>
        <v>0</v>
      </c>
      <c r="AA23" s="141">
        <f>'[2]EU Sun Meal Exports'!AA$165</f>
        <v>0</v>
      </c>
      <c r="AB23" s="141">
        <f>'[2]EU Sun Meal Exports'!AB$165</f>
        <v>0</v>
      </c>
      <c r="AC23" s="141">
        <f>'[2]EU Sun Meal Exports'!AC$165</f>
        <v>0</v>
      </c>
      <c r="AD23" s="143">
        <f>'[2]EU Sun Meal Exports'!AD$165</f>
        <v>0</v>
      </c>
      <c r="AE23" s="141">
        <f>'[2]Ukraine Sun Meal Exports'!B$165</f>
        <v>0</v>
      </c>
      <c r="AF23" s="141">
        <f>'[2]Ukraine Sun Meal Exports'!C$165</f>
        <v>0</v>
      </c>
      <c r="AG23" s="141">
        <f>'[2]Ukraine Sun Meal Exports'!D$165</f>
        <v>0</v>
      </c>
      <c r="AH23" s="141">
        <f>'[2]Ukraine Sun Meal Exports'!E$165</f>
        <v>0</v>
      </c>
      <c r="AI23" s="141">
        <f>'[2]Ukraine Sun Meal Exports'!F$165</f>
        <v>0</v>
      </c>
      <c r="AJ23" s="141">
        <f>'[2]Ukraine Sun Meal Exports'!G$165</f>
        <v>0</v>
      </c>
      <c r="AK23" s="141">
        <f>'[2]Ukraine Sun Meal Exports'!H$165</f>
        <v>0</v>
      </c>
      <c r="AL23" s="141">
        <f>'[2]Ukraine Sun Meal Exports'!I$165</f>
        <v>0</v>
      </c>
      <c r="AM23" s="141">
        <f>'[2]Ukraine Sun Meal Exports'!J$165</f>
        <v>0</v>
      </c>
      <c r="AN23" s="141">
        <f>'[2]Ukraine Sun Meal Exports'!K$165</f>
        <v>0</v>
      </c>
      <c r="AO23" s="141">
        <f>'[2]Ukraine Sun Meal Exports'!L$165</f>
        <v>0</v>
      </c>
      <c r="AP23" s="141">
        <f>'[2]Ukraine Sun Meal Exports'!M$165</f>
        <v>0</v>
      </c>
      <c r="AQ23" s="141">
        <f>'[2]Ukraine Sun Meal Exports'!N$165</f>
        <v>0</v>
      </c>
      <c r="AR23" s="141">
        <f>'[2]Ukraine Sun Meal Exports'!O$165</f>
        <v>0</v>
      </c>
      <c r="AS23" s="141">
        <f>'[2]Ukraine Sun Meal Exports'!P$165</f>
        <v>0</v>
      </c>
      <c r="AT23" s="141">
        <f>'[2]Ukraine Sun Meal Exports'!Q$165</f>
        <v>0</v>
      </c>
      <c r="AU23" s="141">
        <f>'[2]Ukraine Sun Meal Exports'!R$165</f>
        <v>3.8159999999999998</v>
      </c>
      <c r="AV23" s="141">
        <f>'[2]Ukraine Sun Meal Exports'!S$165</f>
        <v>4.2</v>
      </c>
      <c r="AW23" s="141">
        <f>'[2]Ukraine Sun Meal Exports'!T$165</f>
        <v>4.2430000000000003</v>
      </c>
      <c r="AX23" s="141">
        <f>'[2]Ukraine Sun Meal Exports'!U$165</f>
        <v>9.3290000000000006</v>
      </c>
      <c r="AY23" s="141">
        <f>'[2]Ukraine Sun Meal Exports'!V$165</f>
        <v>5.4950000000000001</v>
      </c>
      <c r="AZ23" s="141">
        <f>'[2]Ukraine Sun Meal Exports'!W$165</f>
        <v>0</v>
      </c>
      <c r="BA23" s="141">
        <f>'[2]Ukraine Sun Meal Exports'!X$165</f>
        <v>0</v>
      </c>
      <c r="BB23" s="141">
        <f>'[2]Ukraine Sun Meal Exports'!Y$165</f>
        <v>15.792000000000002</v>
      </c>
      <c r="BC23" s="141">
        <f>'[2]Ukraine Sun Meal Exports'!Z$165</f>
        <v>11.593999999999999</v>
      </c>
      <c r="BD23" s="141">
        <f>'[2]Ukraine Sun Meal Exports'!AA$165</f>
        <v>22.965</v>
      </c>
      <c r="BE23" s="141">
        <f>'[2]Ukraine Sun Meal Exports'!AB$165</f>
        <v>13.579000000000001</v>
      </c>
      <c r="BF23" s="141">
        <f>'[2]Ukraine Sun Meal Exports'!AC$165</f>
        <v>0</v>
      </c>
      <c r="BG23" s="143">
        <f>'[2]Ukraine Sun Meal Exports'!AD$165</f>
        <v>0</v>
      </c>
      <c r="BH23" s="141">
        <f>'[2]Russia Sun Meal Exports'!B$165</f>
        <v>0</v>
      </c>
      <c r="BI23" s="141">
        <f>'[2]Russia Sun Meal Exports'!C$165</f>
        <v>0</v>
      </c>
      <c r="BJ23" s="141">
        <f>'[2]Russia Sun Meal Exports'!D$165</f>
        <v>0</v>
      </c>
      <c r="BK23" s="141">
        <f>'[2]Russia Sun Meal Exports'!E$165</f>
        <v>0</v>
      </c>
      <c r="BL23" s="141">
        <f>'[2]Russia Sun Meal Exports'!F$165</f>
        <v>0</v>
      </c>
      <c r="BM23" s="141">
        <f>'[2]Russia Sun Meal Exports'!G$165</f>
        <v>0</v>
      </c>
      <c r="BN23" s="141">
        <f>'[2]Russia Sun Meal Exports'!H$165</f>
        <v>0</v>
      </c>
      <c r="BO23" s="141">
        <f>'[2]Russia Sun Meal Exports'!I$165</f>
        <v>0</v>
      </c>
      <c r="BP23" s="141">
        <f>'[2]Russia Sun Meal Exports'!J$165</f>
        <v>0</v>
      </c>
      <c r="BQ23" s="141">
        <f>'[2]Russia Sun Meal Exports'!K$165</f>
        <v>0</v>
      </c>
      <c r="BR23" s="141">
        <f>'[2]Russia Sun Meal Exports'!L$165</f>
        <v>0</v>
      </c>
      <c r="BS23" s="141">
        <f>'[2]Russia Sun Meal Exports'!M$165</f>
        <v>0</v>
      </c>
      <c r="BT23" s="141">
        <f>'[2]Russia Sun Meal Exports'!N$165</f>
        <v>0</v>
      </c>
      <c r="BU23" s="141">
        <f>'[2]Russia Sun Meal Exports'!O$165</f>
        <v>0</v>
      </c>
      <c r="BV23" s="141">
        <f>'[2]Russia Sun Meal Exports'!P$165</f>
        <v>0</v>
      </c>
      <c r="BW23" s="141">
        <f>'[2]Russia Sun Meal Exports'!Q$165</f>
        <v>0</v>
      </c>
      <c r="BX23" s="141">
        <f>'[2]Russia Sun Meal Exports'!R$165</f>
        <v>0</v>
      </c>
      <c r="BY23" s="141">
        <f>'[2]Russia Sun Meal Exports'!S$165</f>
        <v>0</v>
      </c>
      <c r="BZ23" s="141">
        <f>'[2]Russia Sun Meal Exports'!T$165</f>
        <v>0</v>
      </c>
      <c r="CA23" s="141">
        <f>'[2]Russia Sun Meal Exports'!U$165</f>
        <v>0</v>
      </c>
      <c r="CB23" s="141">
        <f>'[2]Russia Sun Meal Exports'!V$165</f>
        <v>0</v>
      </c>
      <c r="CC23" s="141">
        <f>'[2]Russia Sun Meal Exports'!W$165</f>
        <v>0</v>
      </c>
      <c r="CD23" s="141">
        <f>'[2]Russia Sun Meal Exports'!X$165</f>
        <v>0</v>
      </c>
      <c r="CE23" s="141">
        <f>'[2]Russia Sun Meal Exports'!Y$165</f>
        <v>0</v>
      </c>
      <c r="CF23" s="141">
        <f>'[2]Russia Sun Meal Exports'!Z$165</f>
        <v>0</v>
      </c>
      <c r="CG23" s="147">
        <f>'[2]Russia Sun Meal Exports'!AA$165</f>
        <v>0</v>
      </c>
      <c r="CH23" s="141">
        <f>'[2]Russia Sun Meal Exports'!AB$165</f>
        <v>0</v>
      </c>
      <c r="CI23" s="141">
        <f>'[2]Russia Sun Meal Exports'!AC$165</f>
        <v>0</v>
      </c>
      <c r="CJ23" s="143">
        <f>'[2]Russia Sun Meal Exports'!AD$165</f>
        <v>0</v>
      </c>
      <c r="CK23" s="141">
        <f>'[3]Sunflower Meal Exports'!B$165/1.10231</f>
        <v>0</v>
      </c>
      <c r="CL23" s="141">
        <f>'[3]Sunflower Meal Exports'!C$165/1.10231</f>
        <v>0</v>
      </c>
      <c r="CM23" s="141">
        <f>'[3]Sunflower Meal Exports'!D$165/1.10231</f>
        <v>0</v>
      </c>
      <c r="CN23" s="141">
        <f>'[3]Sunflower Meal Exports'!E$165/1.10231</f>
        <v>0</v>
      </c>
      <c r="CO23" s="141">
        <f>'[3]Sunflower Meal Exports'!F$165/1.10231</f>
        <v>0</v>
      </c>
      <c r="CP23" s="141">
        <f>'[3]Sunflower Meal Exports'!G$165/1.10231</f>
        <v>0</v>
      </c>
      <c r="CQ23" s="141">
        <f>'[3]Sunflower Meal Exports'!H$165/1.10231</f>
        <v>0</v>
      </c>
      <c r="CR23" s="141">
        <f>'[3]Sunflower Meal Exports'!I$165/1.10231</f>
        <v>0</v>
      </c>
      <c r="CS23" s="141">
        <f>'[3]Sunflower Meal Exports'!J$165/1.10231</f>
        <v>0</v>
      </c>
      <c r="CT23" s="141">
        <f>'[3]Sunflower Meal Exports'!K$165/1.10231</f>
        <v>0</v>
      </c>
      <c r="CU23" s="141">
        <f>'[3]Sunflower Meal Exports'!L$165/1.10231</f>
        <v>0</v>
      </c>
      <c r="CV23" s="141">
        <f>'[3]Sunflower Meal Exports'!M$165/1.10231</f>
        <v>0</v>
      </c>
      <c r="CW23" s="141">
        <f>'[3]Sunflower Meal Exports'!N$165/1.10231</f>
        <v>0</v>
      </c>
      <c r="CX23" s="141">
        <f>'[3]Sunflower Meal Exports'!O$165/1.10231</f>
        <v>0</v>
      </c>
      <c r="CY23" s="141">
        <f>'[3]Sunflower Meal Exports'!P$165/1.10231</f>
        <v>0</v>
      </c>
      <c r="CZ23" s="141">
        <f>'[3]Sunflower Meal Exports'!Q$165/1.10231</f>
        <v>0</v>
      </c>
      <c r="DA23" s="141">
        <f>'[3]Sunflower Meal Exports'!R$165/1.10231</f>
        <v>0</v>
      </c>
      <c r="DB23" s="141">
        <f>'[3]Sunflower Meal Exports'!S$165/1.10231</f>
        <v>0</v>
      </c>
      <c r="DC23" s="141">
        <f>'[3]Sunflower Meal Exports'!T$165/1.10231</f>
        <v>0</v>
      </c>
      <c r="DD23" s="141">
        <f>'[3]Sunflower Meal Exports'!U$165/1.10231</f>
        <v>0</v>
      </c>
      <c r="DE23" s="141">
        <f>'[3]Sunflower Meal Exports'!V$165/1.10231</f>
        <v>0</v>
      </c>
      <c r="DF23" s="141">
        <f>'[3]Sunflower Meal Exports'!W$165/1.10231</f>
        <v>0</v>
      </c>
      <c r="DG23" s="141">
        <f>'[3]Sunflower Meal Exports'!X$165/1.10231</f>
        <v>0</v>
      </c>
      <c r="DH23" s="141">
        <f>'[3]Sunflower Meal Exports'!Y$165/1.10231</f>
        <v>0</v>
      </c>
      <c r="DI23" s="141">
        <f>'[3]Sunflower Meal Exports'!Z$165/1.10231</f>
        <v>0</v>
      </c>
      <c r="DJ23" s="141">
        <f>'[3]Sunflower Meal Exports'!AA$165/1.10231</f>
        <v>0</v>
      </c>
      <c r="DK23" s="141">
        <f>'[3]Sunflower Meal Exports'!AB$165/1.10231</f>
        <v>0</v>
      </c>
      <c r="DL23" s="141">
        <f>'[3]Sunflower Meal Exports'!AC$165/1.10231</f>
        <v>0</v>
      </c>
      <c r="DM23" s="143">
        <f>'[3]Sunflower Meal Exports'!AD$165/1.10231</f>
        <v>0</v>
      </c>
      <c r="DN23" s="141">
        <f t="shared" si="10"/>
        <v>0</v>
      </c>
      <c r="DO23" s="141">
        <f t="shared" si="10"/>
        <v>0</v>
      </c>
      <c r="DP23" s="141">
        <f t="shared" si="10"/>
        <v>0</v>
      </c>
      <c r="DQ23" s="141">
        <f t="shared" si="10"/>
        <v>0</v>
      </c>
      <c r="DR23" s="141">
        <f t="shared" si="10"/>
        <v>0</v>
      </c>
      <c r="DS23" s="141">
        <f t="shared" si="10"/>
        <v>0</v>
      </c>
      <c r="DT23" s="141">
        <f t="shared" si="10"/>
        <v>0</v>
      </c>
      <c r="DU23" s="141">
        <f t="shared" si="10"/>
        <v>0</v>
      </c>
      <c r="DV23" s="141">
        <f t="shared" si="10"/>
        <v>0</v>
      </c>
      <c r="DW23" s="141">
        <f t="shared" si="10"/>
        <v>0</v>
      </c>
      <c r="DX23" s="141">
        <f t="shared" si="10"/>
        <v>0</v>
      </c>
      <c r="DY23" s="141">
        <f t="shared" si="12"/>
        <v>0</v>
      </c>
      <c r="DZ23" s="141">
        <f t="shared" si="12"/>
        <v>0</v>
      </c>
      <c r="EA23" s="141">
        <f t="shared" si="12"/>
        <v>3.74</v>
      </c>
      <c r="EB23" s="141">
        <f t="shared" si="12"/>
        <v>0</v>
      </c>
      <c r="EC23" s="141">
        <f t="shared" si="12"/>
        <v>0</v>
      </c>
      <c r="ED23" s="141">
        <f t="shared" si="12"/>
        <v>3.8159999999999998</v>
      </c>
      <c r="EE23" s="141">
        <f t="shared" si="12"/>
        <v>4.2</v>
      </c>
      <c r="EF23" s="141">
        <f t="shared" si="12"/>
        <v>4.2430000000000003</v>
      </c>
      <c r="EG23" s="141">
        <f t="shared" si="12"/>
        <v>9.3290000000000006</v>
      </c>
      <c r="EH23" s="141">
        <f t="shared" si="12"/>
        <v>5.4950000000000001</v>
      </c>
      <c r="EI23" s="141">
        <f t="shared" si="12"/>
        <v>0</v>
      </c>
      <c r="EJ23" s="141">
        <f t="shared" si="12"/>
        <v>0</v>
      </c>
      <c r="EK23" s="141">
        <f t="shared" si="12"/>
        <v>15.792000000000002</v>
      </c>
      <c r="EL23" s="141">
        <f t="shared" si="12"/>
        <v>11.593999999999999</v>
      </c>
      <c r="EM23" s="141">
        <f t="shared" si="12"/>
        <v>22.965</v>
      </c>
      <c r="EN23" s="141">
        <f t="shared" si="13"/>
        <v>13.579000000000001</v>
      </c>
      <c r="EO23" s="141">
        <f t="shared" si="13"/>
        <v>0</v>
      </c>
      <c r="EP23" s="145">
        <f t="shared" si="13"/>
        <v>0</v>
      </c>
      <c r="EQ23" s="145">
        <v>0</v>
      </c>
      <c r="ES23" s="141">
        <f t="shared" si="11"/>
        <v>0</v>
      </c>
      <c r="ET23" s="141">
        <f t="shared" si="11"/>
        <v>0</v>
      </c>
    </row>
    <row r="24" spans="1:150">
      <c r="A24" s="149" t="s">
        <v>155</v>
      </c>
      <c r="B24" s="146">
        <f>'[2]EU Sun Meal Exports'!B$184</f>
        <v>0</v>
      </c>
      <c r="C24" s="146">
        <f>'[2]EU Sun Meal Exports'!C$184</f>
        <v>0</v>
      </c>
      <c r="D24" s="146">
        <f>'[2]EU Sun Meal Exports'!D$184</f>
        <v>0</v>
      </c>
      <c r="E24" s="146">
        <f>'[2]EU Sun Meal Exports'!E$184</f>
        <v>0</v>
      </c>
      <c r="F24" s="146">
        <f>'[2]EU Sun Meal Exports'!F$184</f>
        <v>0</v>
      </c>
      <c r="G24" s="146">
        <f>'[2]EU Sun Meal Exports'!G$184</f>
        <v>0</v>
      </c>
      <c r="H24" s="146">
        <f>'[2]EU Sun Meal Exports'!H$184</f>
        <v>0</v>
      </c>
      <c r="I24" s="146">
        <f>'[2]EU Sun Meal Exports'!I$184</f>
        <v>2.9329999999999998</v>
      </c>
      <c r="J24" s="146">
        <f>'[2]EU Sun Meal Exports'!J$184</f>
        <v>0</v>
      </c>
      <c r="K24" s="146">
        <f>'[2]EU Sun Meal Exports'!K$184</f>
        <v>3.113</v>
      </c>
      <c r="L24" s="146">
        <f>'[2]EU Sun Meal Exports'!L$184</f>
        <v>10.129</v>
      </c>
      <c r="M24" s="146">
        <f>'[2]EU Sun Meal Exports'!M$184</f>
        <v>3.1469999999999998</v>
      </c>
      <c r="N24" s="146">
        <f>'[2]EU Sun Meal Exports'!N$184</f>
        <v>0</v>
      </c>
      <c r="O24" s="146">
        <f>'[2]EU Sun Meal Exports'!O$184</f>
        <v>0</v>
      </c>
      <c r="P24" s="141">
        <f>'[2]EU Sun Meal Exports'!P$184</f>
        <v>0</v>
      </c>
      <c r="Q24" s="141">
        <f>'[2]EU Sun Meal Exports'!Q$184</f>
        <v>0</v>
      </c>
      <c r="R24" s="141">
        <f>'[2]EU Sun Meal Exports'!R$184</f>
        <v>6.8130000000000006</v>
      </c>
      <c r="S24" s="141">
        <f>'[2]EU Sun Meal Exports'!S$184</f>
        <v>20</v>
      </c>
      <c r="T24" s="141">
        <f>'[2]EU Sun Meal Exports'!T$184</f>
        <v>21.287000000000003</v>
      </c>
      <c r="U24" s="141">
        <f>'[2]EU Sun Meal Exports'!U$184</f>
        <v>27.088000000000001</v>
      </c>
      <c r="V24" s="141">
        <f>'[2]EU Sun Meal Exports'!V$184</f>
        <v>18.152000000000001</v>
      </c>
      <c r="W24" s="141">
        <f>'[2]EU Sun Meal Exports'!W$184</f>
        <v>33.045999999999999</v>
      </c>
      <c r="X24" s="141">
        <f>'[2]EU Sun Meal Exports'!X$184</f>
        <v>26.466999999999999</v>
      </c>
      <c r="Y24" s="141">
        <f>'[2]EU Sun Meal Exports'!Y$184</f>
        <v>24.23</v>
      </c>
      <c r="Z24" s="141">
        <f>'[2]EU Sun Meal Exports'!Z$184</f>
        <v>11.620000000000001</v>
      </c>
      <c r="AA24" s="141">
        <f>'[2]EU Sun Meal Exports'!AA$184</f>
        <v>16.713000000000001</v>
      </c>
      <c r="AB24" s="141">
        <f>'[2]EU Sun Meal Exports'!AB$184</f>
        <v>26.419999999999998</v>
      </c>
      <c r="AC24" s="141">
        <f>'[2]EU Sun Meal Exports'!AC$184</f>
        <v>14.398</v>
      </c>
      <c r="AD24" s="143">
        <f>'[2]EU Sun Meal Exports'!AD$184</f>
        <v>4.2640000000000002</v>
      </c>
      <c r="AE24" s="141">
        <f>'[2]Ukraine Sun Meal Exports'!B$184</f>
        <v>0</v>
      </c>
      <c r="AF24" s="141">
        <f>'[2]Ukraine Sun Meal Exports'!C$184</f>
        <v>0</v>
      </c>
      <c r="AG24" s="141">
        <f>'[2]Ukraine Sun Meal Exports'!D$184</f>
        <v>0</v>
      </c>
      <c r="AH24" s="141">
        <f>'[2]Ukraine Sun Meal Exports'!E$184</f>
        <v>0</v>
      </c>
      <c r="AI24" s="141">
        <f>'[2]Ukraine Sun Meal Exports'!F$184</f>
        <v>0</v>
      </c>
      <c r="AJ24" s="141">
        <f>'[2]Ukraine Sun Meal Exports'!G$184</f>
        <v>0</v>
      </c>
      <c r="AK24" s="141">
        <f>'[2]Ukraine Sun Meal Exports'!H$184</f>
        <v>0</v>
      </c>
      <c r="AL24" s="141">
        <f>'[2]Ukraine Sun Meal Exports'!I$184</f>
        <v>0</v>
      </c>
      <c r="AM24" s="141">
        <f>'[2]Ukraine Sun Meal Exports'!J$184</f>
        <v>0</v>
      </c>
      <c r="AN24" s="141">
        <f>'[2]Ukraine Sun Meal Exports'!K$184</f>
        <v>2.794</v>
      </c>
      <c r="AO24" s="141">
        <f>'[2]Ukraine Sun Meal Exports'!L$184</f>
        <v>7.1970000000000001</v>
      </c>
      <c r="AP24" s="141">
        <f>'[2]Ukraine Sun Meal Exports'!M$184</f>
        <v>3.6520000000000001</v>
      </c>
      <c r="AQ24" s="141">
        <f>'[2]Ukraine Sun Meal Exports'!N$184</f>
        <v>0</v>
      </c>
      <c r="AR24" s="141">
        <f>'[2]Ukraine Sun Meal Exports'!O$184</f>
        <v>15.071999999999999</v>
      </c>
      <c r="AS24" s="141">
        <f>'[2]Ukraine Sun Meal Exports'!P$184</f>
        <v>0</v>
      </c>
      <c r="AT24" s="141">
        <f>'[2]Ukraine Sun Meal Exports'!Q$184</f>
        <v>10.094000000000001</v>
      </c>
      <c r="AU24" s="141">
        <f>'[2]Ukraine Sun Meal Exports'!R$184</f>
        <v>14.834</v>
      </c>
      <c r="AV24" s="141">
        <f>'[2]Ukraine Sun Meal Exports'!S$184</f>
        <v>32.084999999999994</v>
      </c>
      <c r="AW24" s="141">
        <f>'[2]Ukraine Sun Meal Exports'!T$184</f>
        <v>5.806</v>
      </c>
      <c r="AX24" s="141">
        <f>'[2]Ukraine Sun Meal Exports'!U$184</f>
        <v>9.5779999999999994</v>
      </c>
      <c r="AY24" s="141">
        <f>'[2]Ukraine Sun Meal Exports'!V$184</f>
        <v>37.017000000000003</v>
      </c>
      <c r="AZ24" s="141">
        <f>'[2]Ukraine Sun Meal Exports'!W$184</f>
        <v>59.594999999999992</v>
      </c>
      <c r="BA24" s="141">
        <f>'[2]Ukraine Sun Meal Exports'!X$184</f>
        <v>50.155999999999999</v>
      </c>
      <c r="BB24" s="141">
        <f>'[2]Ukraine Sun Meal Exports'!Y$184</f>
        <v>72.128000000000014</v>
      </c>
      <c r="BC24" s="141">
        <f>'[2]Ukraine Sun Meal Exports'!Z$184</f>
        <v>101.729</v>
      </c>
      <c r="BD24" s="141">
        <f>'[2]Ukraine Sun Meal Exports'!AA$184</f>
        <v>64.84</v>
      </c>
      <c r="BE24" s="141">
        <f>'[2]Ukraine Sun Meal Exports'!AB$184</f>
        <v>72.837999999999994</v>
      </c>
      <c r="BF24" s="141">
        <f>'[2]Ukraine Sun Meal Exports'!AC$184</f>
        <v>50.474000000000004</v>
      </c>
      <c r="BG24" s="141">
        <f>'[2]Ukraine Sun Meal Exports'!AD$184</f>
        <v>69.087000000000003</v>
      </c>
      <c r="BH24" s="141">
        <f>'[2]Russia Sun Meal Exports'!B$184</f>
        <v>0</v>
      </c>
      <c r="BI24" s="141">
        <f>'[2]Russia Sun Meal Exports'!C$184</f>
        <v>0</v>
      </c>
      <c r="BJ24" s="141">
        <f>'[2]Russia Sun Meal Exports'!D$184</f>
        <v>0</v>
      </c>
      <c r="BK24" s="141">
        <f>'[2]Russia Sun Meal Exports'!E$184</f>
        <v>0</v>
      </c>
      <c r="BL24" s="141">
        <f>'[2]Russia Sun Meal Exports'!F$184</f>
        <v>0</v>
      </c>
      <c r="BM24" s="141">
        <f>'[2]Russia Sun Meal Exports'!G$184</f>
        <v>0</v>
      </c>
      <c r="BN24" s="141">
        <f>'[2]Russia Sun Meal Exports'!H$184</f>
        <v>0</v>
      </c>
      <c r="BO24" s="141">
        <f>'[2]Russia Sun Meal Exports'!I$184</f>
        <v>0</v>
      </c>
      <c r="BP24" s="141">
        <f>'[2]Russia Sun Meal Exports'!J$184</f>
        <v>0</v>
      </c>
      <c r="BQ24" s="141">
        <f>'[2]Russia Sun Meal Exports'!K$184</f>
        <v>0.58999000000000001</v>
      </c>
      <c r="BR24" s="141">
        <f>'[2]Russia Sun Meal Exports'!L$184</f>
        <v>80.966007000000005</v>
      </c>
      <c r="BS24" s="141">
        <f>'[2]Russia Sun Meal Exports'!M$184</f>
        <v>45.608350000000002</v>
      </c>
      <c r="BT24" s="141">
        <f>'[2]Russia Sun Meal Exports'!N$184</f>
        <v>63.669000000000004</v>
      </c>
      <c r="BU24" s="141">
        <f>'[2]Russia Sun Meal Exports'!O$184</f>
        <v>44.216000000000001</v>
      </c>
      <c r="BV24" s="141">
        <f>'[2]Russia Sun Meal Exports'!P$184</f>
        <v>12.548</v>
      </c>
      <c r="BW24" s="141">
        <f>'[2]Russia Sun Meal Exports'!Q$184</f>
        <v>61.826000000000001</v>
      </c>
      <c r="BX24" s="141">
        <f>'[2]Russia Sun Meal Exports'!R$184</f>
        <v>21.346</v>
      </c>
      <c r="BY24" s="141">
        <f>'[2]Russia Sun Meal Exports'!S$184</f>
        <v>24.103999999999999</v>
      </c>
      <c r="BZ24" s="141">
        <f>'[2]Russia Sun Meal Exports'!T$184</f>
        <v>56.327999999999989</v>
      </c>
      <c r="CA24" s="141">
        <f>'[2]Russia Sun Meal Exports'!U$184</f>
        <v>28.756999999999998</v>
      </c>
      <c r="CB24" s="141">
        <f>'[2]Russia Sun Meal Exports'!V$184</f>
        <v>59.567999999999998</v>
      </c>
      <c r="CC24" s="141">
        <f>'[2]Russia Sun Meal Exports'!W$184</f>
        <v>17.082000000000001</v>
      </c>
      <c r="CD24" s="141">
        <f>'[2]Russia Sun Meal Exports'!X$184</f>
        <v>20.548000000000002</v>
      </c>
      <c r="CE24" s="141">
        <f>'[2]Russia Sun Meal Exports'!Y$184</f>
        <v>40.369</v>
      </c>
      <c r="CF24" s="141">
        <f>'[2]Russia Sun Meal Exports'!Z$184</f>
        <v>36.657000000000004</v>
      </c>
      <c r="CG24" s="147">
        <f>'[2]Russia Sun Meal Exports'!AA$184</f>
        <v>0</v>
      </c>
      <c r="CH24" s="141">
        <f>'[2]Russia Sun Meal Exports'!AB$184</f>
        <v>10.054</v>
      </c>
      <c r="CI24" s="141">
        <f>'[2]Russia Sun Meal Exports'!AC$184</f>
        <v>16.794</v>
      </c>
      <c r="CJ24" s="143">
        <f>'[2]Russia Sun Meal Exports'!AD$184</f>
        <v>6.0060000000000002</v>
      </c>
      <c r="CK24" s="141">
        <f>'[3]Sunflower Meal Exports'!B$184/1.10231</f>
        <v>0</v>
      </c>
      <c r="CL24" s="141">
        <f>'[3]Sunflower Meal Exports'!C$184/1.10231</f>
        <v>3.6669033265596798</v>
      </c>
      <c r="CM24" s="141">
        <f>'[3]Sunflower Meal Exports'!D$184/1.10231</f>
        <v>0</v>
      </c>
      <c r="CN24" s="141">
        <f>'[3]Sunflower Meal Exports'!E$184/1.10231</f>
        <v>0</v>
      </c>
      <c r="CO24" s="141">
        <f>'[3]Sunflower Meal Exports'!F$184/1.10231</f>
        <v>0</v>
      </c>
      <c r="CP24" s="141">
        <f>'[3]Sunflower Meal Exports'!G$184/1.10231</f>
        <v>0</v>
      </c>
      <c r="CQ24" s="141">
        <f>'[3]Sunflower Meal Exports'!H$184/1.10231</f>
        <v>0</v>
      </c>
      <c r="CR24" s="141">
        <f>'[3]Sunflower Meal Exports'!I$184/1.10231</f>
        <v>0</v>
      </c>
      <c r="CS24" s="141">
        <f>'[3]Sunflower Meal Exports'!J$184/1.10231</f>
        <v>0</v>
      </c>
      <c r="CT24" s="141">
        <f>'[3]Sunflower Meal Exports'!K$184/1.10231</f>
        <v>0</v>
      </c>
      <c r="CU24" s="141">
        <f>'[3]Sunflower Meal Exports'!L$184/1.10231</f>
        <v>0</v>
      </c>
      <c r="CV24" s="141">
        <f>'[3]Sunflower Meal Exports'!M$184/1.10231</f>
        <v>0</v>
      </c>
      <c r="CW24" s="141">
        <f>'[3]Sunflower Meal Exports'!N$184/1.10231</f>
        <v>0</v>
      </c>
      <c r="CX24" s="141">
        <f>'[3]Sunflower Meal Exports'!O$184/1.10231</f>
        <v>0</v>
      </c>
      <c r="CY24" s="141">
        <f>'[3]Sunflower Meal Exports'!P$184/1.10231</f>
        <v>0</v>
      </c>
      <c r="CZ24" s="141">
        <f>'[3]Sunflower Meal Exports'!Q$184/1.10231</f>
        <v>0</v>
      </c>
      <c r="DA24" s="141">
        <f>'[3]Sunflower Meal Exports'!R$184/1.10231</f>
        <v>0</v>
      </c>
      <c r="DB24" s="141">
        <f>'[3]Sunflower Meal Exports'!S$184/1.10231</f>
        <v>0</v>
      </c>
      <c r="DC24" s="141">
        <f>'[3]Sunflower Meal Exports'!T$184/1.10231</f>
        <v>0</v>
      </c>
      <c r="DD24" s="141">
        <f>'[3]Sunflower Meal Exports'!U$184/1.10231</f>
        <v>0</v>
      </c>
      <c r="DE24" s="141">
        <f>'[3]Sunflower Meal Exports'!V$184/1.10231</f>
        <v>0</v>
      </c>
      <c r="DF24" s="141">
        <f>'[3]Sunflower Meal Exports'!W$184/1.10231</f>
        <v>0</v>
      </c>
      <c r="DG24" s="141">
        <f>'[3]Sunflower Meal Exports'!X$184/1.10231</f>
        <v>0</v>
      </c>
      <c r="DH24" s="141">
        <f>'[3]Sunflower Meal Exports'!Y$184/1.10231</f>
        <v>0</v>
      </c>
      <c r="DI24" s="141">
        <f>'[3]Sunflower Meal Exports'!Z$184/1.10231</f>
        <v>0</v>
      </c>
      <c r="DJ24" s="141">
        <f>'[3]Sunflower Meal Exports'!AA$184/1.10231</f>
        <v>0</v>
      </c>
      <c r="DK24" s="141">
        <f>'[3]Sunflower Meal Exports'!AB$184/1.10231</f>
        <v>0</v>
      </c>
      <c r="DL24" s="141">
        <f>'[3]Sunflower Meal Exports'!AC$184/1.10231</f>
        <v>0</v>
      </c>
      <c r="DM24" s="143">
        <f>'[3]Sunflower Meal Exports'!AD$184/1.10231</f>
        <v>0</v>
      </c>
      <c r="DN24" s="141">
        <f t="shared" si="10"/>
        <v>0</v>
      </c>
      <c r="DO24" s="141">
        <f t="shared" si="10"/>
        <v>3.6669033265596798</v>
      </c>
      <c r="DP24" s="141">
        <f t="shared" si="10"/>
        <v>0</v>
      </c>
      <c r="DQ24" s="141">
        <f t="shared" si="10"/>
        <v>0</v>
      </c>
      <c r="DR24" s="141">
        <f t="shared" si="10"/>
        <v>0</v>
      </c>
      <c r="DS24" s="141">
        <f t="shared" si="10"/>
        <v>0</v>
      </c>
      <c r="DT24" s="141">
        <f t="shared" si="10"/>
        <v>0</v>
      </c>
      <c r="DU24" s="141">
        <f t="shared" si="10"/>
        <v>2.9329999999999998</v>
      </c>
      <c r="DV24" s="141">
        <f t="shared" si="10"/>
        <v>0</v>
      </c>
      <c r="DW24" s="141">
        <f t="shared" si="10"/>
        <v>6.4969900000000003</v>
      </c>
      <c r="DX24" s="141">
        <f t="shared" si="10"/>
        <v>98.292007000000012</v>
      </c>
      <c r="DY24" s="141">
        <f t="shared" si="12"/>
        <v>52.407350000000001</v>
      </c>
      <c r="DZ24" s="141">
        <f t="shared" si="12"/>
        <v>63.669000000000004</v>
      </c>
      <c r="EA24" s="141">
        <f t="shared" si="12"/>
        <v>59.287999999999997</v>
      </c>
      <c r="EB24" s="141">
        <f t="shared" si="12"/>
        <v>12.548</v>
      </c>
      <c r="EC24" s="141">
        <f t="shared" si="12"/>
        <v>71.92</v>
      </c>
      <c r="ED24" s="141">
        <f t="shared" si="12"/>
        <v>42.992999999999995</v>
      </c>
      <c r="EE24" s="141">
        <f t="shared" si="12"/>
        <v>76.188999999999993</v>
      </c>
      <c r="EF24" s="141">
        <f t="shared" si="12"/>
        <v>83.420999999999992</v>
      </c>
      <c r="EG24" s="141">
        <f t="shared" si="12"/>
        <v>65.423000000000002</v>
      </c>
      <c r="EH24" s="141">
        <f t="shared" si="12"/>
        <v>114.73699999999999</v>
      </c>
      <c r="EI24" s="141">
        <f t="shared" si="12"/>
        <v>109.72299999999998</v>
      </c>
      <c r="EJ24" s="141">
        <f t="shared" si="12"/>
        <v>97.170999999999992</v>
      </c>
      <c r="EK24" s="141">
        <f t="shared" si="12"/>
        <v>136.72700000000003</v>
      </c>
      <c r="EL24" s="141">
        <f t="shared" si="12"/>
        <v>150.006</v>
      </c>
      <c r="EM24" s="141">
        <f t="shared" si="12"/>
        <v>81.552999999999997</v>
      </c>
      <c r="EN24" s="141">
        <f t="shared" si="13"/>
        <v>109.312</v>
      </c>
      <c r="EO24" s="141">
        <f t="shared" si="13"/>
        <v>81.665999999999997</v>
      </c>
      <c r="EP24" s="145">
        <f t="shared" si="13"/>
        <v>79.356999999999999</v>
      </c>
      <c r="EQ24" s="145">
        <v>75</v>
      </c>
      <c r="ES24" s="141">
        <f t="shared" si="11"/>
        <v>0</v>
      </c>
      <c r="ET24" s="141">
        <f t="shared" si="11"/>
        <v>0</v>
      </c>
    </row>
    <row r="25" spans="1:150">
      <c r="A25" s="137" t="s">
        <v>156</v>
      </c>
      <c r="B25" s="146">
        <f>'[2]EU Sun Meal Exports'!B$207</f>
        <v>0</v>
      </c>
      <c r="C25" s="146">
        <f>'[2]EU Sun Meal Exports'!C$207</f>
        <v>0</v>
      </c>
      <c r="D25" s="146">
        <f>'[2]EU Sun Meal Exports'!D$207</f>
        <v>0</v>
      </c>
      <c r="E25" s="146">
        <f>'[2]EU Sun Meal Exports'!E$207</f>
        <v>0</v>
      </c>
      <c r="F25" s="146">
        <f>'[2]EU Sun Meal Exports'!F$207</f>
        <v>1.4570000000000001</v>
      </c>
      <c r="G25" s="146">
        <f>'[2]EU Sun Meal Exports'!G$207</f>
        <v>0</v>
      </c>
      <c r="H25" s="146">
        <f>'[2]EU Sun Meal Exports'!H$207</f>
        <v>3.1760000000000002</v>
      </c>
      <c r="I25" s="146">
        <f>'[2]EU Sun Meal Exports'!I$207</f>
        <v>16.185000000000002</v>
      </c>
      <c r="J25" s="146">
        <f>'[2]EU Sun Meal Exports'!J$207</f>
        <v>2.996</v>
      </c>
      <c r="K25" s="146">
        <f>'[2]EU Sun Meal Exports'!K$207</f>
        <v>0</v>
      </c>
      <c r="L25" s="146">
        <f>'[2]EU Sun Meal Exports'!L$207</f>
        <v>6.1460000000000008</v>
      </c>
      <c r="M25" s="146">
        <f>'[2]EU Sun Meal Exports'!M$207</f>
        <v>2.6909999999999998</v>
      </c>
      <c r="N25" s="146">
        <f>'[2]EU Sun Meal Exports'!N$207</f>
        <v>10.699</v>
      </c>
      <c r="O25" s="146">
        <f>'[2]EU Sun Meal Exports'!O$207</f>
        <v>3.1539999999999995</v>
      </c>
      <c r="P25" s="141">
        <f>'[2]EU Sun Meal Exports'!P$207</f>
        <v>8.9999999999999993E-3</v>
      </c>
      <c r="Q25" s="141">
        <f>'[2]EU Sun Meal Exports'!Q$207</f>
        <v>8.0500000000000007</v>
      </c>
      <c r="R25" s="141">
        <f>'[2]EU Sun Meal Exports'!R$207</f>
        <v>7.6999999999999999E-2</v>
      </c>
      <c r="S25" s="141">
        <f>'[2]EU Sun Meal Exports'!S$207</f>
        <v>5.5179999999999998</v>
      </c>
      <c r="T25" s="141">
        <f>'[2]EU Sun Meal Exports'!T$207</f>
        <v>8.0169999999999995</v>
      </c>
      <c r="U25" s="141">
        <f>'[2]EU Sun Meal Exports'!U$207</f>
        <v>2.2000000000000002</v>
      </c>
      <c r="V25" s="141">
        <f>'[2]EU Sun Meal Exports'!V$207</f>
        <v>53.168999999999997</v>
      </c>
      <c r="W25" s="141">
        <f>'[2]EU Sun Meal Exports'!W$207</f>
        <v>39.491</v>
      </c>
      <c r="X25" s="141">
        <f>'[2]EU Sun Meal Exports'!X$207</f>
        <v>21.143000000000001</v>
      </c>
      <c r="Y25" s="141">
        <f>'[2]EU Sun Meal Exports'!Y$207</f>
        <v>28.279000000000003</v>
      </c>
      <c r="Z25" s="141">
        <f>'[2]EU Sun Meal Exports'!Z$207</f>
        <v>68.503</v>
      </c>
      <c r="AA25" s="141">
        <f>'[2]EU Sun Meal Exports'!AA$207</f>
        <v>61.872</v>
      </c>
      <c r="AB25" s="141">
        <f>'[2]EU Sun Meal Exports'!AB$207</f>
        <v>37.804000000000002</v>
      </c>
      <c r="AC25" s="141">
        <f>'[2]EU Sun Meal Exports'!AC$207</f>
        <v>51.663000000000004</v>
      </c>
      <c r="AD25" s="143">
        <f>'[2]EU Sun Meal Exports'!AD$207</f>
        <v>100.857</v>
      </c>
      <c r="AE25" s="141">
        <f>'[2]Ukraine Sun Meal Exports'!B$207</f>
        <v>0</v>
      </c>
      <c r="AF25" s="141">
        <f>'[2]Ukraine Sun Meal Exports'!C$207</f>
        <v>0</v>
      </c>
      <c r="AG25" s="141">
        <f>'[2]Ukraine Sun Meal Exports'!D$207</f>
        <v>0</v>
      </c>
      <c r="AH25" s="141">
        <f>'[2]Ukraine Sun Meal Exports'!E$207</f>
        <v>0</v>
      </c>
      <c r="AI25" s="141">
        <f>'[2]Ukraine Sun Meal Exports'!F$207</f>
        <v>0</v>
      </c>
      <c r="AJ25" s="141">
        <f>'[2]Ukraine Sun Meal Exports'!G$207</f>
        <v>0</v>
      </c>
      <c r="AK25" s="141">
        <f>'[2]Ukraine Sun Meal Exports'!H$207</f>
        <v>0</v>
      </c>
      <c r="AL25" s="141">
        <f>'[2]Ukraine Sun Meal Exports'!I$207</f>
        <v>0</v>
      </c>
      <c r="AM25" s="141">
        <f>'[2]Ukraine Sun Meal Exports'!J$207</f>
        <v>26.003999999999998</v>
      </c>
      <c r="AN25" s="141">
        <f>'[2]Ukraine Sun Meal Exports'!K$207</f>
        <v>45.534000000000006</v>
      </c>
      <c r="AO25" s="141">
        <f>'[2]Ukraine Sun Meal Exports'!L$207</f>
        <v>38.001999999999995</v>
      </c>
      <c r="AP25" s="141">
        <f>'[2]Ukraine Sun Meal Exports'!M$207</f>
        <v>78.447999999999993</v>
      </c>
      <c r="AQ25" s="141">
        <f>'[2]Ukraine Sun Meal Exports'!N$207</f>
        <v>101.053</v>
      </c>
      <c r="AR25" s="141">
        <f>'[2]Ukraine Sun Meal Exports'!O$207</f>
        <v>97.735000000000014</v>
      </c>
      <c r="AS25" s="141">
        <f>'[2]Ukraine Sun Meal Exports'!P$207</f>
        <v>93.574000000000012</v>
      </c>
      <c r="AT25" s="141">
        <f>'[2]Ukraine Sun Meal Exports'!Q$207</f>
        <v>160.32700000000003</v>
      </c>
      <c r="AU25" s="141">
        <f>'[2]Ukraine Sun Meal Exports'!R$207</f>
        <v>163.47699999999998</v>
      </c>
      <c r="AV25" s="141">
        <f>'[2]Ukraine Sun Meal Exports'!S$207</f>
        <v>127.815</v>
      </c>
      <c r="AW25" s="141">
        <f>'[2]Ukraine Sun Meal Exports'!T$207</f>
        <v>107.87199999999999</v>
      </c>
      <c r="AX25" s="141">
        <f>'[2]Ukraine Sun Meal Exports'!U$207</f>
        <v>77.558999999999997</v>
      </c>
      <c r="AY25" s="141">
        <f>'[2]Ukraine Sun Meal Exports'!V$207</f>
        <v>179.12500000000003</v>
      </c>
      <c r="AZ25" s="141">
        <f>'[2]Ukraine Sun Meal Exports'!W$207</f>
        <v>162.559</v>
      </c>
      <c r="BA25" s="141">
        <f>'[2]Ukraine Sun Meal Exports'!X$207</f>
        <v>199.47800000000001</v>
      </c>
      <c r="BB25" s="141">
        <f>'[2]Ukraine Sun Meal Exports'!Y$207</f>
        <v>276.536</v>
      </c>
      <c r="BC25" s="141">
        <f>'[2]Ukraine Sun Meal Exports'!Z$207</f>
        <v>202.99600000000004</v>
      </c>
      <c r="BD25" s="141">
        <f>'[2]Ukraine Sun Meal Exports'!AA$207</f>
        <v>252.27500000000001</v>
      </c>
      <c r="BE25" s="141">
        <f>'[2]Ukraine Sun Meal Exports'!AB$207</f>
        <v>287.50100000000003</v>
      </c>
      <c r="BF25" s="141">
        <f>'[2]Ukraine Sun Meal Exports'!AC$207</f>
        <v>205.197</v>
      </c>
      <c r="BG25" s="141">
        <f>'[2]Ukraine Sun Meal Exports'!AD$207</f>
        <v>65.182999999999993</v>
      </c>
      <c r="BH25" s="141">
        <f>'[2]Russia Sun Meal Exports'!B$207</f>
        <v>0</v>
      </c>
      <c r="BI25" s="141">
        <f>'[2]Russia Sun Meal Exports'!C$207</f>
        <v>0</v>
      </c>
      <c r="BJ25" s="141">
        <f>'[2]Russia Sun Meal Exports'!D$207</f>
        <v>0</v>
      </c>
      <c r="BK25" s="141">
        <f>'[2]Russia Sun Meal Exports'!E$207</f>
        <v>0</v>
      </c>
      <c r="BL25" s="141">
        <f>'[2]Russia Sun Meal Exports'!F$207</f>
        <v>0</v>
      </c>
      <c r="BM25" s="141">
        <f>'[2]Russia Sun Meal Exports'!G$207</f>
        <v>0</v>
      </c>
      <c r="BN25" s="141">
        <f>'[2]Russia Sun Meal Exports'!H$207</f>
        <v>0</v>
      </c>
      <c r="BO25" s="141">
        <f>'[2]Russia Sun Meal Exports'!I$207</f>
        <v>0</v>
      </c>
      <c r="BP25" s="141">
        <f>'[2]Russia Sun Meal Exports'!J$207</f>
        <v>0</v>
      </c>
      <c r="BQ25" s="141">
        <f>'[2]Russia Sun Meal Exports'!K$207</f>
        <v>0</v>
      </c>
      <c r="BR25" s="141">
        <f>'[2]Russia Sun Meal Exports'!L$207</f>
        <v>13.782465999999999</v>
      </c>
      <c r="BS25" s="141">
        <f>'[2]Russia Sun Meal Exports'!M$207</f>
        <v>14.95</v>
      </c>
      <c r="BT25" s="141">
        <f>'[2]Russia Sun Meal Exports'!N$207</f>
        <v>23.401</v>
      </c>
      <c r="BU25" s="141">
        <f>'[2]Russia Sun Meal Exports'!O$207</f>
        <v>108.145</v>
      </c>
      <c r="BV25" s="141">
        <f>'[2]Russia Sun Meal Exports'!P$207</f>
        <v>49.591999999999999</v>
      </c>
      <c r="BW25" s="141">
        <f>'[2]Russia Sun Meal Exports'!Q$207</f>
        <v>31.870999999999999</v>
      </c>
      <c r="BX25" s="141">
        <f>'[2]Russia Sun Meal Exports'!R$207</f>
        <v>14.352</v>
      </c>
      <c r="BY25" s="141">
        <f>'[2]Russia Sun Meal Exports'!S$207</f>
        <v>5.4870000000000001</v>
      </c>
      <c r="BZ25" s="141">
        <f>'[2]Russia Sun Meal Exports'!T$207</f>
        <v>0</v>
      </c>
      <c r="CA25" s="141">
        <f>'[2]Russia Sun Meal Exports'!U$207</f>
        <v>13.717000000000001</v>
      </c>
      <c r="CB25" s="141">
        <f>'[2]Russia Sun Meal Exports'!V$207</f>
        <v>17.036999999999999</v>
      </c>
      <c r="CC25" s="141">
        <f>'[2]Russia Sun Meal Exports'!W$207</f>
        <v>12.611000000000001</v>
      </c>
      <c r="CD25" s="141">
        <f>'[2]Russia Sun Meal Exports'!X$207</f>
        <v>0</v>
      </c>
      <c r="CE25" s="141">
        <f>'[2]Russia Sun Meal Exports'!Y$207</f>
        <v>0</v>
      </c>
      <c r="CF25" s="141">
        <f>'[2]Russia Sun Meal Exports'!Z$207</f>
        <v>0</v>
      </c>
      <c r="CG25" s="147">
        <f>'[2]Russia Sun Meal Exports'!AA$207</f>
        <v>0</v>
      </c>
      <c r="CH25" s="141">
        <f>'[2]Russia Sun Meal Exports'!AB$207</f>
        <v>0</v>
      </c>
      <c r="CI25" s="141">
        <f>'[2]Russia Sun Meal Exports'!AC$207</f>
        <v>0</v>
      </c>
      <c r="CJ25" s="143">
        <f>'[2]Russia Sun Meal Exports'!AD$207</f>
        <v>0</v>
      </c>
      <c r="CK25" s="141">
        <f>'[3]Sunflower Meal Exports'!B$207/1.10231</f>
        <v>0</v>
      </c>
      <c r="CL25" s="141">
        <f>'[3]Sunflower Meal Exports'!C$207/1.10231</f>
        <v>0</v>
      </c>
      <c r="CM25" s="141">
        <f>'[3]Sunflower Meal Exports'!D$207/1.10231</f>
        <v>0</v>
      </c>
      <c r="CN25" s="141">
        <f>'[3]Sunflower Meal Exports'!E$207/1.10231</f>
        <v>0</v>
      </c>
      <c r="CO25" s="141">
        <f>'[3]Sunflower Meal Exports'!F$207/1.10231</f>
        <v>0</v>
      </c>
      <c r="CP25" s="141">
        <f>'[3]Sunflower Meal Exports'!G$207/1.10231</f>
        <v>0</v>
      </c>
      <c r="CQ25" s="141">
        <f>'[3]Sunflower Meal Exports'!H$207/1.10231</f>
        <v>0</v>
      </c>
      <c r="CR25" s="141">
        <f>'[3]Sunflower Meal Exports'!I$207/1.10231</f>
        <v>0</v>
      </c>
      <c r="CS25" s="141">
        <f>'[3]Sunflower Meal Exports'!J$207/1.10231</f>
        <v>0</v>
      </c>
      <c r="CT25" s="141">
        <f>'[3]Sunflower Meal Exports'!K$207/1.10231</f>
        <v>0</v>
      </c>
      <c r="CU25" s="141">
        <f>'[3]Sunflower Meal Exports'!L$207/1.10231</f>
        <v>0</v>
      </c>
      <c r="CV25" s="141">
        <f>'[3]Sunflower Meal Exports'!M$207/1.10231</f>
        <v>0</v>
      </c>
      <c r="CW25" s="141">
        <f>'[3]Sunflower Meal Exports'!N$207/1.10231</f>
        <v>0</v>
      </c>
      <c r="CX25" s="141">
        <f>'[3]Sunflower Meal Exports'!O$207/1.10231</f>
        <v>0</v>
      </c>
      <c r="CY25" s="141">
        <f>'[3]Sunflower Meal Exports'!P$207/1.10231</f>
        <v>0</v>
      </c>
      <c r="CZ25" s="141">
        <f>'[3]Sunflower Meal Exports'!Q$207/1.10231</f>
        <v>0</v>
      </c>
      <c r="DA25" s="141">
        <f>'[3]Sunflower Meal Exports'!R$207/1.10231</f>
        <v>0</v>
      </c>
      <c r="DB25" s="141">
        <f>'[3]Sunflower Meal Exports'!S$207/1.10231</f>
        <v>0</v>
      </c>
      <c r="DC25" s="141">
        <f>'[3]Sunflower Meal Exports'!T$207/1.10231</f>
        <v>0</v>
      </c>
      <c r="DD25" s="141">
        <f>'[3]Sunflower Meal Exports'!U$207/1.10231</f>
        <v>0</v>
      </c>
      <c r="DE25" s="141">
        <f>'[3]Sunflower Meal Exports'!V$207/1.10231</f>
        <v>0</v>
      </c>
      <c r="DF25" s="141">
        <f>'[3]Sunflower Meal Exports'!W$207/1.10231</f>
        <v>0</v>
      </c>
      <c r="DG25" s="141">
        <f>'[3]Sunflower Meal Exports'!X$207/1.10231</f>
        <v>0</v>
      </c>
      <c r="DH25" s="141">
        <f>'[3]Sunflower Meal Exports'!Y$207/1.10231</f>
        <v>0</v>
      </c>
      <c r="DI25" s="141">
        <f>'[3]Sunflower Meal Exports'!Z$207/1.10231</f>
        <v>0</v>
      </c>
      <c r="DJ25" s="141">
        <f>'[3]Sunflower Meal Exports'!AA$207/1.10231</f>
        <v>0</v>
      </c>
      <c r="DK25" s="141">
        <f>'[3]Sunflower Meal Exports'!AB$207/1.10231</f>
        <v>0</v>
      </c>
      <c r="DL25" s="141">
        <f>'[3]Sunflower Meal Exports'!AC$207/1.10231</f>
        <v>0</v>
      </c>
      <c r="DM25" s="143">
        <f>'[3]Sunflower Meal Exports'!AD$207/1.10231</f>
        <v>0</v>
      </c>
      <c r="DN25" s="141">
        <f t="shared" si="10"/>
        <v>0</v>
      </c>
      <c r="DO25" s="141">
        <f t="shared" si="10"/>
        <v>0</v>
      </c>
      <c r="DP25" s="141">
        <f t="shared" si="10"/>
        <v>0</v>
      </c>
      <c r="DQ25" s="141">
        <f t="shared" si="10"/>
        <v>0</v>
      </c>
      <c r="DR25" s="141">
        <f t="shared" si="10"/>
        <v>1.4570000000000001</v>
      </c>
      <c r="DS25" s="141">
        <f t="shared" si="10"/>
        <v>0</v>
      </c>
      <c r="DT25" s="141">
        <f t="shared" si="10"/>
        <v>3.1760000000000002</v>
      </c>
      <c r="DU25" s="141">
        <f t="shared" si="10"/>
        <v>16.185000000000002</v>
      </c>
      <c r="DV25" s="141">
        <f t="shared" si="10"/>
        <v>28.999999999999996</v>
      </c>
      <c r="DW25" s="141">
        <f t="shared" si="10"/>
        <v>45.534000000000006</v>
      </c>
      <c r="DX25" s="141">
        <f t="shared" si="10"/>
        <v>57.930465999999996</v>
      </c>
      <c r="DY25" s="141">
        <f t="shared" si="12"/>
        <v>96.088999999999999</v>
      </c>
      <c r="DZ25" s="141">
        <f t="shared" si="12"/>
        <v>135.15299999999999</v>
      </c>
      <c r="EA25" s="141">
        <f t="shared" si="12"/>
        <v>209.03399999999999</v>
      </c>
      <c r="EB25" s="141">
        <f t="shared" si="12"/>
        <v>143.17500000000001</v>
      </c>
      <c r="EC25" s="141">
        <f t="shared" si="12"/>
        <v>200.24800000000005</v>
      </c>
      <c r="ED25" s="141">
        <f t="shared" si="12"/>
        <v>177.90599999999998</v>
      </c>
      <c r="EE25" s="141">
        <f t="shared" si="12"/>
        <v>138.82</v>
      </c>
      <c r="EF25" s="141">
        <f t="shared" si="12"/>
        <v>115.88899999999998</v>
      </c>
      <c r="EG25" s="141">
        <f t="shared" si="12"/>
        <v>93.475999999999999</v>
      </c>
      <c r="EH25" s="141">
        <f t="shared" si="12"/>
        <v>249.33100000000005</v>
      </c>
      <c r="EI25" s="141">
        <f t="shared" si="12"/>
        <v>214.661</v>
      </c>
      <c r="EJ25" s="141">
        <f t="shared" si="12"/>
        <v>220.62100000000001</v>
      </c>
      <c r="EK25" s="141">
        <f t="shared" si="12"/>
        <v>304.815</v>
      </c>
      <c r="EL25" s="141">
        <f t="shared" si="12"/>
        <v>271.49900000000002</v>
      </c>
      <c r="EM25" s="141">
        <f t="shared" si="12"/>
        <v>314.14699999999999</v>
      </c>
      <c r="EN25" s="141">
        <f t="shared" si="13"/>
        <v>325.30500000000006</v>
      </c>
      <c r="EO25" s="141">
        <f t="shared" si="13"/>
        <v>256.86</v>
      </c>
      <c r="EP25" s="145">
        <f t="shared" si="13"/>
        <v>166.04</v>
      </c>
      <c r="EQ25" s="145">
        <v>250</v>
      </c>
      <c r="ES25" s="141">
        <f t="shared" si="11"/>
        <v>0</v>
      </c>
      <c r="ET25" s="141">
        <f t="shared" si="11"/>
        <v>0</v>
      </c>
    </row>
    <row r="26" spans="1:150">
      <c r="A26" s="148" t="s">
        <v>157</v>
      </c>
      <c r="B26" s="146">
        <f>'[2]EU Sun Meal Exports'!B$219</f>
        <v>0</v>
      </c>
      <c r="C26" s="146">
        <f>'[2]EU Sun Meal Exports'!C$219</f>
        <v>0</v>
      </c>
      <c r="D26" s="146">
        <f>'[2]EU Sun Meal Exports'!D$219</f>
        <v>0</v>
      </c>
      <c r="E26" s="146">
        <f>'[2]EU Sun Meal Exports'!E$219</f>
        <v>0</v>
      </c>
      <c r="F26" s="146">
        <f>'[2]EU Sun Meal Exports'!F$219</f>
        <v>0</v>
      </c>
      <c r="G26" s="146">
        <f>'[2]EU Sun Meal Exports'!G$219</f>
        <v>0</v>
      </c>
      <c r="H26" s="146">
        <f>'[2]EU Sun Meal Exports'!H$219</f>
        <v>0</v>
      </c>
      <c r="I26" s="146">
        <f>'[2]EU Sun Meal Exports'!I$219</f>
        <v>0</v>
      </c>
      <c r="J26" s="146">
        <f>'[2]EU Sun Meal Exports'!J$219</f>
        <v>0</v>
      </c>
      <c r="K26" s="146">
        <f>'[2]EU Sun Meal Exports'!K$219</f>
        <v>0</v>
      </c>
      <c r="L26" s="146">
        <f>'[2]EU Sun Meal Exports'!L$219</f>
        <v>0</v>
      </c>
      <c r="M26" s="146">
        <f>'[2]EU Sun Meal Exports'!M$219</f>
        <v>0</v>
      </c>
      <c r="N26" s="146">
        <f>'[2]EU Sun Meal Exports'!N$219</f>
        <v>0</v>
      </c>
      <c r="O26" s="146">
        <f>'[2]EU Sun Meal Exports'!O$219</f>
        <v>0</v>
      </c>
      <c r="P26" s="141">
        <f>'[2]EU Sun Meal Exports'!P$219</f>
        <v>0</v>
      </c>
      <c r="Q26" s="141">
        <f>'[2]EU Sun Meal Exports'!Q$219</f>
        <v>0</v>
      </c>
      <c r="R26" s="141">
        <f>'[2]EU Sun Meal Exports'!R$219</f>
        <v>0</v>
      </c>
      <c r="S26" s="141">
        <f>'[2]EU Sun Meal Exports'!S$219</f>
        <v>0</v>
      </c>
      <c r="T26" s="141">
        <f>'[2]EU Sun Meal Exports'!T$219</f>
        <v>0</v>
      </c>
      <c r="U26" s="141">
        <f>'[2]EU Sun Meal Exports'!U$219</f>
        <v>0</v>
      </c>
      <c r="V26" s="141">
        <f>'[2]EU Sun Meal Exports'!V$219</f>
        <v>0</v>
      </c>
      <c r="W26" s="141">
        <f>'[2]EU Sun Meal Exports'!W$219</f>
        <v>0</v>
      </c>
      <c r="X26" s="141">
        <f>'[2]EU Sun Meal Exports'!X$219</f>
        <v>0</v>
      </c>
      <c r="Y26" s="141">
        <f>'[2]EU Sun Meal Exports'!Y$219</f>
        <v>7.5</v>
      </c>
      <c r="Z26" s="141">
        <f>'[2]EU Sun Meal Exports'!Z$219</f>
        <v>0</v>
      </c>
      <c r="AA26" s="141">
        <f>'[2]EU Sun Meal Exports'!AA$219</f>
        <v>0</v>
      </c>
      <c r="AB26" s="141">
        <f>'[2]EU Sun Meal Exports'!AB$219</f>
        <v>0</v>
      </c>
      <c r="AC26" s="141">
        <f>'[2]EU Sun Meal Exports'!AC$219</f>
        <v>0</v>
      </c>
      <c r="AD26" s="143">
        <f>'[2]EU Sun Meal Exports'!AD$219</f>
        <v>4.0030000000000001</v>
      </c>
      <c r="AE26" s="141">
        <f>'[2]Ukraine Sun Meal Exports'!B$219</f>
        <v>0</v>
      </c>
      <c r="AF26" s="141">
        <f>'[2]Ukraine Sun Meal Exports'!C$219</f>
        <v>0</v>
      </c>
      <c r="AG26" s="141">
        <f>'[2]Ukraine Sun Meal Exports'!D$219</f>
        <v>0</v>
      </c>
      <c r="AH26" s="141">
        <f>'[2]Ukraine Sun Meal Exports'!E$219</f>
        <v>0</v>
      </c>
      <c r="AI26" s="141">
        <f>'[2]Ukraine Sun Meal Exports'!F$219</f>
        <v>0</v>
      </c>
      <c r="AJ26" s="141">
        <f>'[2]Ukraine Sun Meal Exports'!G$219</f>
        <v>0</v>
      </c>
      <c r="AK26" s="141">
        <f>'[2]Ukraine Sun Meal Exports'!H$219</f>
        <v>0</v>
      </c>
      <c r="AL26" s="141">
        <f>'[2]Ukraine Sun Meal Exports'!I$219</f>
        <v>0</v>
      </c>
      <c r="AM26" s="141">
        <f>'[2]Ukraine Sun Meal Exports'!J$219</f>
        <v>0</v>
      </c>
      <c r="AN26" s="141">
        <f>'[2]Ukraine Sun Meal Exports'!K$219</f>
        <v>0</v>
      </c>
      <c r="AO26" s="141">
        <f>'[2]Ukraine Sun Meal Exports'!L$219</f>
        <v>0</v>
      </c>
      <c r="AP26" s="141">
        <f>'[2]Ukraine Sun Meal Exports'!M$219</f>
        <v>0</v>
      </c>
      <c r="AQ26" s="141">
        <f>'[2]Ukraine Sun Meal Exports'!N$219</f>
        <v>0</v>
      </c>
      <c r="AR26" s="141">
        <f>'[2]Ukraine Sun Meal Exports'!O$219</f>
        <v>0</v>
      </c>
      <c r="AS26" s="141">
        <f>'[2]Ukraine Sun Meal Exports'!P$219</f>
        <v>0</v>
      </c>
      <c r="AT26" s="141">
        <f>'[2]Ukraine Sun Meal Exports'!Q$219</f>
        <v>0</v>
      </c>
      <c r="AU26" s="141">
        <f>'[2]Ukraine Sun Meal Exports'!R$219</f>
        <v>0</v>
      </c>
      <c r="AV26" s="141">
        <f>'[2]Ukraine Sun Meal Exports'!S$219</f>
        <v>0</v>
      </c>
      <c r="AW26" s="141">
        <f>'[2]Ukraine Sun Meal Exports'!T$219</f>
        <v>0</v>
      </c>
      <c r="AX26" s="141">
        <f>'[2]Ukraine Sun Meal Exports'!U$219</f>
        <v>0</v>
      </c>
      <c r="AY26" s="141">
        <f>'[2]Ukraine Sun Meal Exports'!V$219</f>
        <v>0</v>
      </c>
      <c r="AZ26" s="141">
        <f>'[2]Ukraine Sun Meal Exports'!W$219</f>
        <v>0</v>
      </c>
      <c r="BA26" s="141">
        <f>'[2]Ukraine Sun Meal Exports'!X$219</f>
        <v>0</v>
      </c>
      <c r="BB26" s="141">
        <f>'[2]Ukraine Sun Meal Exports'!Y$219</f>
        <v>0</v>
      </c>
      <c r="BC26" s="141">
        <f>'[2]Ukraine Sun Meal Exports'!Z$219</f>
        <v>0</v>
      </c>
      <c r="BD26" s="141">
        <f>'[2]Ukraine Sun Meal Exports'!AA$219</f>
        <v>0</v>
      </c>
      <c r="BE26" s="141">
        <f>'[2]Ukraine Sun Meal Exports'!AB$219</f>
        <v>0</v>
      </c>
      <c r="BF26" s="141">
        <f>'[2]Ukraine Sun Meal Exports'!AC$219</f>
        <v>0</v>
      </c>
      <c r="BG26" s="143">
        <f>'[2]Ukraine Sun Meal Exports'!AD$219</f>
        <v>0</v>
      </c>
      <c r="BH26" s="141">
        <f>'[2]Russia Sun Meal Exports'!B$219</f>
        <v>0</v>
      </c>
      <c r="BI26" s="141">
        <f>'[2]Russia Sun Meal Exports'!C$219</f>
        <v>0</v>
      </c>
      <c r="BJ26" s="141">
        <f>'[2]Russia Sun Meal Exports'!D$219</f>
        <v>0</v>
      </c>
      <c r="BK26" s="141">
        <f>'[2]Russia Sun Meal Exports'!E$219</f>
        <v>0</v>
      </c>
      <c r="BL26" s="141">
        <f>'[2]Russia Sun Meal Exports'!F$219</f>
        <v>0</v>
      </c>
      <c r="BM26" s="141">
        <f>'[2]Russia Sun Meal Exports'!G$219</f>
        <v>0</v>
      </c>
      <c r="BN26" s="141">
        <f>'[2]Russia Sun Meal Exports'!H$219</f>
        <v>0</v>
      </c>
      <c r="BO26" s="141">
        <f>'[2]Russia Sun Meal Exports'!I$219</f>
        <v>0</v>
      </c>
      <c r="BP26" s="141">
        <f>'[2]Russia Sun Meal Exports'!J$219</f>
        <v>0</v>
      </c>
      <c r="BQ26" s="141">
        <f>'[2]Russia Sun Meal Exports'!K$219</f>
        <v>0</v>
      </c>
      <c r="BR26" s="141">
        <f>'[2]Russia Sun Meal Exports'!L$219</f>
        <v>0</v>
      </c>
      <c r="BS26" s="141">
        <f>'[2]Russia Sun Meal Exports'!M$219</f>
        <v>0</v>
      </c>
      <c r="BT26" s="141">
        <f>'[2]Russia Sun Meal Exports'!N$219</f>
        <v>0</v>
      </c>
      <c r="BU26" s="141">
        <f>'[2]Russia Sun Meal Exports'!O$219</f>
        <v>0</v>
      </c>
      <c r="BV26" s="141">
        <f>'[2]Russia Sun Meal Exports'!P$219</f>
        <v>0</v>
      </c>
      <c r="BW26" s="141">
        <f>'[2]Russia Sun Meal Exports'!Q$219</f>
        <v>0</v>
      </c>
      <c r="BX26" s="141">
        <f>'[2]Russia Sun Meal Exports'!R$219</f>
        <v>0</v>
      </c>
      <c r="BY26" s="141">
        <f>'[2]Russia Sun Meal Exports'!S$219</f>
        <v>0</v>
      </c>
      <c r="BZ26" s="141">
        <f>'[2]Russia Sun Meal Exports'!T$219</f>
        <v>0</v>
      </c>
      <c r="CA26" s="141">
        <f>'[2]Russia Sun Meal Exports'!U$219</f>
        <v>0</v>
      </c>
      <c r="CB26" s="141">
        <f>'[2]Russia Sun Meal Exports'!V$219</f>
        <v>0</v>
      </c>
      <c r="CC26" s="141">
        <f>'[2]Russia Sun Meal Exports'!W$219</f>
        <v>0</v>
      </c>
      <c r="CD26" s="141">
        <f>'[2]Russia Sun Meal Exports'!X$219</f>
        <v>0</v>
      </c>
      <c r="CE26" s="141">
        <f>'[2]Russia Sun Meal Exports'!Y$219</f>
        <v>0</v>
      </c>
      <c r="CF26" s="141">
        <f>'[2]Russia Sun Meal Exports'!Z$219</f>
        <v>0</v>
      </c>
      <c r="CG26" s="147">
        <f>'[2]Russia Sun Meal Exports'!AA$219</f>
        <v>0</v>
      </c>
      <c r="CH26" s="141">
        <f>'[2]Russia Sun Meal Exports'!AB$219</f>
        <v>0</v>
      </c>
      <c r="CI26" s="141">
        <f>'[2]Russia Sun Meal Exports'!AC$219</f>
        <v>0</v>
      </c>
      <c r="CJ26" s="143">
        <f>'[2]Russia Sun Meal Exports'!AD$219</f>
        <v>0</v>
      </c>
      <c r="CK26" s="141">
        <f>'[3]Sunflower Meal Exports'!B$219/1.10231</f>
        <v>0</v>
      </c>
      <c r="CL26" s="141">
        <f>'[3]Sunflower Meal Exports'!C$219/1.10231</f>
        <v>0</v>
      </c>
      <c r="CM26" s="141">
        <f>'[3]Sunflower Meal Exports'!D$219/1.10231</f>
        <v>0</v>
      </c>
      <c r="CN26" s="141">
        <f>'[3]Sunflower Meal Exports'!E$219/1.10231</f>
        <v>0</v>
      </c>
      <c r="CO26" s="141">
        <f>'[3]Sunflower Meal Exports'!F$219/1.10231</f>
        <v>0</v>
      </c>
      <c r="CP26" s="141">
        <f>'[3]Sunflower Meal Exports'!G$219/1.10231</f>
        <v>0</v>
      </c>
      <c r="CQ26" s="141">
        <f>'[3]Sunflower Meal Exports'!H$219/1.10231</f>
        <v>0</v>
      </c>
      <c r="CR26" s="141">
        <f>'[3]Sunflower Meal Exports'!I$219/1.10231</f>
        <v>0</v>
      </c>
      <c r="CS26" s="141">
        <f>'[3]Sunflower Meal Exports'!J$219/1.10231</f>
        <v>0</v>
      </c>
      <c r="CT26" s="141">
        <f>'[3]Sunflower Meal Exports'!K$219/1.10231</f>
        <v>0</v>
      </c>
      <c r="CU26" s="141">
        <f>'[3]Sunflower Meal Exports'!L$219/1.10231</f>
        <v>0</v>
      </c>
      <c r="CV26" s="141">
        <f>'[3]Sunflower Meal Exports'!M$219/1.10231</f>
        <v>0</v>
      </c>
      <c r="CW26" s="141">
        <f>'[3]Sunflower Meal Exports'!N$219/1.10231</f>
        <v>0</v>
      </c>
      <c r="CX26" s="141">
        <f>'[3]Sunflower Meal Exports'!O$219/1.10231</f>
        <v>0</v>
      </c>
      <c r="CY26" s="141">
        <f>'[3]Sunflower Meal Exports'!P$219/1.10231</f>
        <v>0</v>
      </c>
      <c r="CZ26" s="141">
        <f>'[3]Sunflower Meal Exports'!Q$219/1.10231</f>
        <v>0</v>
      </c>
      <c r="DA26" s="141">
        <f>'[3]Sunflower Meal Exports'!R$219/1.10231</f>
        <v>0</v>
      </c>
      <c r="DB26" s="141">
        <f>'[3]Sunflower Meal Exports'!S$219/1.10231</f>
        <v>0</v>
      </c>
      <c r="DC26" s="141">
        <f>'[3]Sunflower Meal Exports'!T$219/1.10231</f>
        <v>0</v>
      </c>
      <c r="DD26" s="141">
        <f>'[3]Sunflower Meal Exports'!U$219/1.10231</f>
        <v>0</v>
      </c>
      <c r="DE26" s="141">
        <f>'[3]Sunflower Meal Exports'!V$219/1.10231</f>
        <v>0</v>
      </c>
      <c r="DF26" s="141">
        <f>'[3]Sunflower Meal Exports'!W$219/1.10231</f>
        <v>0</v>
      </c>
      <c r="DG26" s="141">
        <f>'[3]Sunflower Meal Exports'!X$219/1.10231</f>
        <v>0</v>
      </c>
      <c r="DH26" s="141">
        <f>'[3]Sunflower Meal Exports'!Y$219/1.10231</f>
        <v>0</v>
      </c>
      <c r="DI26" s="141">
        <f>'[3]Sunflower Meal Exports'!Z$219/1.10231</f>
        <v>0</v>
      </c>
      <c r="DJ26" s="141">
        <f>'[3]Sunflower Meal Exports'!AA$219/1.10231</f>
        <v>0</v>
      </c>
      <c r="DK26" s="141">
        <f>'[3]Sunflower Meal Exports'!AB$219/1.10231</f>
        <v>0</v>
      </c>
      <c r="DL26" s="141">
        <f>'[3]Sunflower Meal Exports'!AC$219/1.10231</f>
        <v>0</v>
      </c>
      <c r="DM26" s="143">
        <f>'[3]Sunflower Meal Exports'!AD$219/1.10231</f>
        <v>0</v>
      </c>
      <c r="DN26" s="141">
        <f t="shared" si="10"/>
        <v>0</v>
      </c>
      <c r="DO26" s="141">
        <f t="shared" si="10"/>
        <v>0</v>
      </c>
      <c r="DP26" s="141">
        <f t="shared" si="10"/>
        <v>0</v>
      </c>
      <c r="DQ26" s="141">
        <f t="shared" si="10"/>
        <v>0</v>
      </c>
      <c r="DR26" s="141">
        <f t="shared" si="10"/>
        <v>0</v>
      </c>
      <c r="DS26" s="141">
        <f t="shared" si="10"/>
        <v>0</v>
      </c>
      <c r="DT26" s="141">
        <f t="shared" si="10"/>
        <v>0</v>
      </c>
      <c r="DU26" s="141">
        <f t="shared" si="10"/>
        <v>0</v>
      </c>
      <c r="DV26" s="141">
        <f t="shared" si="10"/>
        <v>0</v>
      </c>
      <c r="DW26" s="141">
        <f t="shared" si="10"/>
        <v>0</v>
      </c>
      <c r="DX26" s="141">
        <f t="shared" si="10"/>
        <v>0</v>
      </c>
      <c r="DY26" s="141">
        <f t="shared" si="12"/>
        <v>0</v>
      </c>
      <c r="DZ26" s="141">
        <f t="shared" si="12"/>
        <v>0</v>
      </c>
      <c r="EA26" s="141">
        <f t="shared" si="12"/>
        <v>0</v>
      </c>
      <c r="EB26" s="141">
        <f t="shared" si="12"/>
        <v>0</v>
      </c>
      <c r="EC26" s="141">
        <f t="shared" si="12"/>
        <v>0</v>
      </c>
      <c r="ED26" s="141">
        <f t="shared" si="12"/>
        <v>0</v>
      </c>
      <c r="EE26" s="141">
        <f t="shared" si="12"/>
        <v>0</v>
      </c>
      <c r="EF26" s="141">
        <f t="shared" si="12"/>
        <v>0</v>
      </c>
      <c r="EG26" s="141">
        <f t="shared" si="12"/>
        <v>0</v>
      </c>
      <c r="EH26" s="141">
        <f t="shared" si="12"/>
        <v>0</v>
      </c>
      <c r="EI26" s="141">
        <f t="shared" si="12"/>
        <v>0</v>
      </c>
      <c r="EJ26" s="141">
        <f t="shared" si="12"/>
        <v>0</v>
      </c>
      <c r="EK26" s="141">
        <f t="shared" si="12"/>
        <v>7.5</v>
      </c>
      <c r="EL26" s="141">
        <f t="shared" si="12"/>
        <v>0</v>
      </c>
      <c r="EM26" s="141">
        <f t="shared" si="12"/>
        <v>0</v>
      </c>
      <c r="EN26" s="141">
        <f t="shared" si="13"/>
        <v>0</v>
      </c>
      <c r="EO26" s="141">
        <f t="shared" si="13"/>
        <v>0</v>
      </c>
      <c r="EP26" s="145">
        <f t="shared" si="13"/>
        <v>4.0030000000000001</v>
      </c>
      <c r="EQ26" s="145">
        <v>0</v>
      </c>
      <c r="ES26" s="141">
        <f t="shared" si="11"/>
        <v>0</v>
      </c>
      <c r="ET26" s="141">
        <f t="shared" si="11"/>
        <v>0</v>
      </c>
    </row>
    <row r="27" spans="1:150">
      <c r="A27" s="148" t="s">
        <v>158</v>
      </c>
      <c r="B27" s="146">
        <f>'[2]EU Sun Meal Exports'!B$225</f>
        <v>0</v>
      </c>
      <c r="C27" s="146">
        <f>'[2]EU Sun Meal Exports'!C$225</f>
        <v>0</v>
      </c>
      <c r="D27" s="146">
        <f>'[2]EU Sun Meal Exports'!D$225</f>
        <v>0</v>
      </c>
      <c r="E27" s="146">
        <f>'[2]EU Sun Meal Exports'!E$225</f>
        <v>0</v>
      </c>
      <c r="F27" s="146">
        <f>'[2]EU Sun Meal Exports'!F$225</f>
        <v>0</v>
      </c>
      <c r="G27" s="146">
        <f>'[2]EU Sun Meal Exports'!G$225</f>
        <v>0</v>
      </c>
      <c r="H27" s="146">
        <f>'[2]EU Sun Meal Exports'!H$225</f>
        <v>0</v>
      </c>
      <c r="I27" s="146">
        <f>'[2]EU Sun Meal Exports'!I$225</f>
        <v>0</v>
      </c>
      <c r="J27" s="146">
        <f>'[2]EU Sun Meal Exports'!J$225</f>
        <v>0</v>
      </c>
      <c r="K27" s="146">
        <f>'[2]EU Sun Meal Exports'!K$225</f>
        <v>0</v>
      </c>
      <c r="L27" s="146">
        <f>'[2]EU Sun Meal Exports'!L$225</f>
        <v>0</v>
      </c>
      <c r="M27" s="146">
        <f>'[2]EU Sun Meal Exports'!M$225</f>
        <v>0</v>
      </c>
      <c r="N27" s="146">
        <f>'[2]EU Sun Meal Exports'!N$225</f>
        <v>0</v>
      </c>
      <c r="O27" s="146">
        <f>'[2]EU Sun Meal Exports'!O$225</f>
        <v>0</v>
      </c>
      <c r="P27" s="141">
        <f>'[2]EU Sun Meal Exports'!P$225</f>
        <v>0</v>
      </c>
      <c r="Q27" s="141">
        <f>'[2]EU Sun Meal Exports'!Q$225</f>
        <v>0</v>
      </c>
      <c r="R27" s="141">
        <f>'[2]EU Sun Meal Exports'!R$225</f>
        <v>0</v>
      </c>
      <c r="S27" s="141">
        <f>'[2]EU Sun Meal Exports'!S$225</f>
        <v>0</v>
      </c>
      <c r="T27" s="141">
        <f>'[2]EU Sun Meal Exports'!T$225</f>
        <v>0</v>
      </c>
      <c r="U27" s="141">
        <f>'[2]EU Sun Meal Exports'!U$225</f>
        <v>0</v>
      </c>
      <c r="V27" s="141">
        <f>'[2]EU Sun Meal Exports'!V$225</f>
        <v>0</v>
      </c>
      <c r="W27" s="141">
        <f>'[2]EU Sun Meal Exports'!W$225</f>
        <v>0</v>
      </c>
      <c r="X27" s="141">
        <f>'[2]EU Sun Meal Exports'!X$225</f>
        <v>0</v>
      </c>
      <c r="Y27" s="141">
        <f>'[2]EU Sun Meal Exports'!Y$225</f>
        <v>0</v>
      </c>
      <c r="Z27" s="141">
        <f>'[2]EU Sun Meal Exports'!Z$225</f>
        <v>0</v>
      </c>
      <c r="AA27" s="141">
        <f>'[2]EU Sun Meal Exports'!AA$225</f>
        <v>0</v>
      </c>
      <c r="AB27" s="141">
        <f>'[2]EU Sun Meal Exports'!AB$225</f>
        <v>0</v>
      </c>
      <c r="AC27" s="141">
        <f>'[2]EU Sun Meal Exports'!AC$225</f>
        <v>0</v>
      </c>
      <c r="AD27" s="143">
        <f>'[2]EU Sun Meal Exports'!AD$225</f>
        <v>0</v>
      </c>
      <c r="AE27" s="141">
        <f>'[2]Ukraine Sun Meal Exports'!B$225</f>
        <v>0</v>
      </c>
      <c r="AF27" s="141">
        <f>'[2]Ukraine Sun Meal Exports'!C$225</f>
        <v>0</v>
      </c>
      <c r="AG27" s="141">
        <f>'[2]Ukraine Sun Meal Exports'!D$225</f>
        <v>0</v>
      </c>
      <c r="AH27" s="141">
        <f>'[2]Ukraine Sun Meal Exports'!E$225</f>
        <v>0</v>
      </c>
      <c r="AI27" s="141">
        <f>'[2]Ukraine Sun Meal Exports'!F$225</f>
        <v>0</v>
      </c>
      <c r="AJ27" s="141">
        <f>'[2]Ukraine Sun Meal Exports'!G$225</f>
        <v>0</v>
      </c>
      <c r="AK27" s="141">
        <f>'[2]Ukraine Sun Meal Exports'!H$225</f>
        <v>0</v>
      </c>
      <c r="AL27" s="141">
        <f>'[2]Ukraine Sun Meal Exports'!I$225</f>
        <v>0</v>
      </c>
      <c r="AM27" s="141">
        <f>'[2]Ukraine Sun Meal Exports'!J$225</f>
        <v>0</v>
      </c>
      <c r="AN27" s="141">
        <f>'[2]Ukraine Sun Meal Exports'!K$225</f>
        <v>0</v>
      </c>
      <c r="AO27" s="141">
        <f>'[2]Ukraine Sun Meal Exports'!L$225</f>
        <v>0</v>
      </c>
      <c r="AP27" s="141">
        <f>'[2]Ukraine Sun Meal Exports'!M$225</f>
        <v>0</v>
      </c>
      <c r="AQ27" s="141">
        <f>'[2]Ukraine Sun Meal Exports'!N$225</f>
        <v>0</v>
      </c>
      <c r="AR27" s="141">
        <f>'[2]Ukraine Sun Meal Exports'!O$225</f>
        <v>0</v>
      </c>
      <c r="AS27" s="141">
        <f>'[2]Ukraine Sun Meal Exports'!P$225</f>
        <v>0</v>
      </c>
      <c r="AT27" s="141">
        <f>'[2]Ukraine Sun Meal Exports'!Q$225</f>
        <v>0</v>
      </c>
      <c r="AU27" s="141">
        <f>'[2]Ukraine Sun Meal Exports'!R$225</f>
        <v>0</v>
      </c>
      <c r="AV27" s="141">
        <f>'[2]Ukraine Sun Meal Exports'!S$225</f>
        <v>0</v>
      </c>
      <c r="AW27" s="141">
        <f>'[2]Ukraine Sun Meal Exports'!T$225</f>
        <v>0</v>
      </c>
      <c r="AX27" s="141">
        <f>'[2]Ukraine Sun Meal Exports'!U$225</f>
        <v>0</v>
      </c>
      <c r="AY27" s="141">
        <f>'[2]Ukraine Sun Meal Exports'!V$225</f>
        <v>0</v>
      </c>
      <c r="AZ27" s="141">
        <f>'[2]Ukraine Sun Meal Exports'!W$225</f>
        <v>0</v>
      </c>
      <c r="BA27" s="141">
        <f>'[2]Ukraine Sun Meal Exports'!X$225</f>
        <v>3.2130000000000001</v>
      </c>
      <c r="BB27" s="141">
        <f>'[2]Ukraine Sun Meal Exports'!Y$225</f>
        <v>6.05</v>
      </c>
      <c r="BC27" s="141">
        <f>'[2]Ukraine Sun Meal Exports'!Z$225</f>
        <v>0</v>
      </c>
      <c r="BD27" s="141">
        <f>'[2]Ukraine Sun Meal Exports'!AA$225</f>
        <v>0.97199999999999998</v>
      </c>
      <c r="BE27" s="141">
        <f>'[2]Ukraine Sun Meal Exports'!AB$225</f>
        <v>0</v>
      </c>
      <c r="BF27" s="141">
        <f>'[2]Ukraine Sun Meal Exports'!AC$225</f>
        <v>0.76400000000000001</v>
      </c>
      <c r="BG27" s="143">
        <f>'[2]Ukraine Sun Meal Exports'!AD$225</f>
        <v>0</v>
      </c>
      <c r="BH27" s="141">
        <f>'[2]Russia Sun Meal Exports'!B$225</f>
        <v>0</v>
      </c>
      <c r="BI27" s="141">
        <f>'[2]Russia Sun Meal Exports'!C$225</f>
        <v>0</v>
      </c>
      <c r="BJ27" s="141">
        <f>'[2]Russia Sun Meal Exports'!D$225</f>
        <v>0</v>
      </c>
      <c r="BK27" s="141">
        <f>'[2]Russia Sun Meal Exports'!E$225</f>
        <v>0</v>
      </c>
      <c r="BL27" s="141">
        <f>'[2]Russia Sun Meal Exports'!F$225</f>
        <v>0</v>
      </c>
      <c r="BM27" s="141">
        <f>'[2]Russia Sun Meal Exports'!G$225</f>
        <v>0</v>
      </c>
      <c r="BN27" s="141">
        <f>'[2]Russia Sun Meal Exports'!H$225</f>
        <v>0</v>
      </c>
      <c r="BO27" s="141">
        <f>'[2]Russia Sun Meal Exports'!I$225</f>
        <v>0</v>
      </c>
      <c r="BP27" s="141">
        <f>'[2]Russia Sun Meal Exports'!J$225</f>
        <v>0</v>
      </c>
      <c r="BQ27" s="141">
        <f>'[2]Russia Sun Meal Exports'!K$225</f>
        <v>0</v>
      </c>
      <c r="BR27" s="141">
        <f>'[2]Russia Sun Meal Exports'!L$225</f>
        <v>0</v>
      </c>
      <c r="BS27" s="141">
        <f>'[2]Russia Sun Meal Exports'!M$225</f>
        <v>0</v>
      </c>
      <c r="BT27" s="141">
        <f>'[2]Russia Sun Meal Exports'!N$225</f>
        <v>0</v>
      </c>
      <c r="BU27" s="141">
        <f>'[2]Russia Sun Meal Exports'!O$225</f>
        <v>0</v>
      </c>
      <c r="BV27" s="141">
        <f>'[2]Russia Sun Meal Exports'!P$225</f>
        <v>0</v>
      </c>
      <c r="BW27" s="141">
        <f>'[2]Russia Sun Meal Exports'!Q$225</f>
        <v>0</v>
      </c>
      <c r="BX27" s="141">
        <f>'[2]Russia Sun Meal Exports'!R$225</f>
        <v>0</v>
      </c>
      <c r="BY27" s="141">
        <f>'[2]Russia Sun Meal Exports'!S$225</f>
        <v>0</v>
      </c>
      <c r="BZ27" s="141">
        <f>'[2]Russia Sun Meal Exports'!T$225</f>
        <v>0</v>
      </c>
      <c r="CA27" s="141">
        <f>'[2]Russia Sun Meal Exports'!U$225</f>
        <v>0</v>
      </c>
      <c r="CB27" s="141">
        <f>'[2]Russia Sun Meal Exports'!V$225</f>
        <v>0</v>
      </c>
      <c r="CC27" s="141">
        <f>'[2]Russia Sun Meal Exports'!W$225</f>
        <v>0</v>
      </c>
      <c r="CD27" s="141">
        <f>'[2]Russia Sun Meal Exports'!X$225</f>
        <v>0</v>
      </c>
      <c r="CE27" s="141">
        <f>'[2]Russia Sun Meal Exports'!Y$225</f>
        <v>0</v>
      </c>
      <c r="CF27" s="141">
        <f>'[2]Russia Sun Meal Exports'!Z$225</f>
        <v>0</v>
      </c>
      <c r="CG27" s="147">
        <f>'[2]Russia Sun Meal Exports'!AA$225</f>
        <v>0</v>
      </c>
      <c r="CH27" s="141">
        <f>'[2]Russia Sun Meal Exports'!AB$225</f>
        <v>0</v>
      </c>
      <c r="CI27" s="141">
        <f>'[2]Russia Sun Meal Exports'!AC$225</f>
        <v>0</v>
      </c>
      <c r="CJ27" s="143">
        <f>'[2]Russia Sun Meal Exports'!AD$225</f>
        <v>0</v>
      </c>
      <c r="CK27" s="141">
        <f>'[3]Sunflower Meal Exports'!B$225/1.10231</f>
        <v>0</v>
      </c>
      <c r="CL27" s="141">
        <f>'[3]Sunflower Meal Exports'!C$225/1.10231</f>
        <v>0</v>
      </c>
      <c r="CM27" s="141">
        <f>'[3]Sunflower Meal Exports'!D$225/1.10231</f>
        <v>0</v>
      </c>
      <c r="CN27" s="141">
        <f>'[3]Sunflower Meal Exports'!E$225/1.10231</f>
        <v>0</v>
      </c>
      <c r="CO27" s="141">
        <f>'[3]Sunflower Meal Exports'!F$225/1.10231</f>
        <v>0</v>
      </c>
      <c r="CP27" s="141">
        <f>'[3]Sunflower Meal Exports'!G$225/1.10231</f>
        <v>0</v>
      </c>
      <c r="CQ27" s="141">
        <f>'[3]Sunflower Meal Exports'!H$225/1.10231</f>
        <v>0</v>
      </c>
      <c r="CR27" s="141">
        <f>'[3]Sunflower Meal Exports'!I$225/1.10231</f>
        <v>0</v>
      </c>
      <c r="CS27" s="141">
        <f>'[3]Sunflower Meal Exports'!J$225/1.10231</f>
        <v>0</v>
      </c>
      <c r="CT27" s="141">
        <f>'[3]Sunflower Meal Exports'!K$225/1.10231</f>
        <v>0</v>
      </c>
      <c r="CU27" s="141">
        <f>'[3]Sunflower Meal Exports'!L$225/1.10231</f>
        <v>0</v>
      </c>
      <c r="CV27" s="141">
        <f>'[3]Sunflower Meal Exports'!M$225/1.10231</f>
        <v>0</v>
      </c>
      <c r="CW27" s="141">
        <f>'[3]Sunflower Meal Exports'!N$225/1.10231</f>
        <v>0</v>
      </c>
      <c r="CX27" s="141">
        <f>'[3]Sunflower Meal Exports'!O$225/1.10231</f>
        <v>0</v>
      </c>
      <c r="CY27" s="141">
        <f>'[3]Sunflower Meal Exports'!P$225/1.10231</f>
        <v>0</v>
      </c>
      <c r="CZ27" s="141">
        <f>'[3]Sunflower Meal Exports'!Q$225/1.10231</f>
        <v>0</v>
      </c>
      <c r="DA27" s="141">
        <f>'[3]Sunflower Meal Exports'!R$225/1.10231</f>
        <v>0</v>
      </c>
      <c r="DB27" s="141">
        <f>'[3]Sunflower Meal Exports'!S$225/1.10231</f>
        <v>0</v>
      </c>
      <c r="DC27" s="141">
        <f>'[3]Sunflower Meal Exports'!T$225/1.10231</f>
        <v>0</v>
      </c>
      <c r="DD27" s="141">
        <f>'[3]Sunflower Meal Exports'!U$225/1.10231</f>
        <v>0</v>
      </c>
      <c r="DE27" s="141">
        <f>'[3]Sunflower Meal Exports'!V$225/1.10231</f>
        <v>0</v>
      </c>
      <c r="DF27" s="141">
        <f>'[3]Sunflower Meal Exports'!W$225/1.10231</f>
        <v>0</v>
      </c>
      <c r="DG27" s="141">
        <f>'[3]Sunflower Meal Exports'!X$225/1.10231</f>
        <v>0</v>
      </c>
      <c r="DH27" s="141">
        <f>'[3]Sunflower Meal Exports'!Y$225/1.10231</f>
        <v>0</v>
      </c>
      <c r="DI27" s="141">
        <f>'[3]Sunflower Meal Exports'!Z$225/1.10231</f>
        <v>0</v>
      </c>
      <c r="DJ27" s="141">
        <f>'[3]Sunflower Meal Exports'!AA$225/1.10231</f>
        <v>0</v>
      </c>
      <c r="DK27" s="141">
        <f>'[3]Sunflower Meal Exports'!AB$225/1.10231</f>
        <v>0</v>
      </c>
      <c r="DL27" s="141">
        <f>'[3]Sunflower Meal Exports'!AC$225/1.10231</f>
        <v>0</v>
      </c>
      <c r="DM27" s="143">
        <f>'[3]Sunflower Meal Exports'!AD$225/1.10231</f>
        <v>0</v>
      </c>
      <c r="DN27" s="141">
        <f t="shared" si="10"/>
        <v>0</v>
      </c>
      <c r="DO27" s="141">
        <f t="shared" si="10"/>
        <v>0</v>
      </c>
      <c r="DP27" s="141">
        <f t="shared" si="10"/>
        <v>0</v>
      </c>
      <c r="DQ27" s="141">
        <f t="shared" si="10"/>
        <v>0</v>
      </c>
      <c r="DR27" s="141">
        <f t="shared" si="10"/>
        <v>0</v>
      </c>
      <c r="DS27" s="141">
        <f t="shared" si="10"/>
        <v>0</v>
      </c>
      <c r="DT27" s="141">
        <f t="shared" si="10"/>
        <v>0</v>
      </c>
      <c r="DU27" s="141">
        <f t="shared" si="10"/>
        <v>0</v>
      </c>
      <c r="DV27" s="141">
        <f t="shared" si="10"/>
        <v>0</v>
      </c>
      <c r="DW27" s="141">
        <f t="shared" si="10"/>
        <v>0</v>
      </c>
      <c r="DX27" s="141">
        <f t="shared" si="10"/>
        <v>0</v>
      </c>
      <c r="DY27" s="141">
        <f t="shared" si="12"/>
        <v>0</v>
      </c>
      <c r="DZ27" s="141">
        <f t="shared" si="12"/>
        <v>0</v>
      </c>
      <c r="EA27" s="141">
        <f t="shared" si="12"/>
        <v>0</v>
      </c>
      <c r="EB27" s="141">
        <f t="shared" si="12"/>
        <v>0</v>
      </c>
      <c r="EC27" s="141">
        <f t="shared" si="12"/>
        <v>0</v>
      </c>
      <c r="ED27" s="141">
        <f t="shared" si="12"/>
        <v>0</v>
      </c>
      <c r="EE27" s="141">
        <f t="shared" si="12"/>
        <v>0</v>
      </c>
      <c r="EF27" s="141">
        <f t="shared" si="12"/>
        <v>0</v>
      </c>
      <c r="EG27" s="141">
        <f t="shared" si="12"/>
        <v>0</v>
      </c>
      <c r="EH27" s="141">
        <f t="shared" si="12"/>
        <v>0</v>
      </c>
      <c r="EI27" s="141">
        <f t="shared" si="12"/>
        <v>0</v>
      </c>
      <c r="EJ27" s="141">
        <f t="shared" si="12"/>
        <v>3.2130000000000001</v>
      </c>
      <c r="EK27" s="141">
        <f t="shared" si="12"/>
        <v>6.05</v>
      </c>
      <c r="EL27" s="141">
        <f t="shared" si="12"/>
        <v>0</v>
      </c>
      <c r="EM27" s="141">
        <f t="shared" si="12"/>
        <v>0.97199999999999998</v>
      </c>
      <c r="EN27" s="141">
        <f t="shared" si="13"/>
        <v>0</v>
      </c>
      <c r="EO27" s="141">
        <f t="shared" si="13"/>
        <v>0.76400000000000001</v>
      </c>
      <c r="EP27" s="145">
        <f t="shared" si="13"/>
        <v>0</v>
      </c>
      <c r="EQ27" s="145">
        <v>0</v>
      </c>
      <c r="ES27" s="141">
        <f t="shared" si="11"/>
        <v>0</v>
      </c>
      <c r="ET27" s="141">
        <f t="shared" si="11"/>
        <v>0</v>
      </c>
    </row>
    <row r="28" spans="1:150">
      <c r="A28" s="148" t="s">
        <v>159</v>
      </c>
      <c r="B28" s="146">
        <f>'[2]EU Sun Meal Exports'!B$164-SUM(B23:B27)</f>
        <v>0</v>
      </c>
      <c r="C28" s="146">
        <f>'[2]EU Sun Meal Exports'!C$164-SUM(C23:C27)</f>
        <v>0</v>
      </c>
      <c r="D28" s="146">
        <f>'[2]EU Sun Meal Exports'!D$164-SUM(D23:D27)</f>
        <v>0</v>
      </c>
      <c r="E28" s="146">
        <f>'[2]EU Sun Meal Exports'!E$164-SUM(E23:E27)</f>
        <v>1.5000000000000001E-2</v>
      </c>
      <c r="F28" s="146">
        <f>'[2]EU Sun Meal Exports'!F$164-SUM(F23:F27)</f>
        <v>0.11099999999999999</v>
      </c>
      <c r="G28" s="146">
        <f>'[2]EU Sun Meal Exports'!G$164-SUM(G23:G27)</f>
        <v>0.15399999999999997</v>
      </c>
      <c r="H28" s="146">
        <f>'[2]EU Sun Meal Exports'!H$164-SUM(H23:H27)</f>
        <v>0.12199999999999989</v>
      </c>
      <c r="I28" s="146">
        <f>'[2]EU Sun Meal Exports'!I$164-SUM(I23:I27)</f>
        <v>0.10200000000000031</v>
      </c>
      <c r="J28" s="146">
        <f>'[2]EU Sun Meal Exports'!J$164-SUM(J23:J27)</f>
        <v>0.10199999999999987</v>
      </c>
      <c r="K28" s="146">
        <f>'[2]EU Sun Meal Exports'!K$164-SUM(K23:K27)</f>
        <v>0.1080000000000001</v>
      </c>
      <c r="L28" s="146">
        <f>'[2]EU Sun Meal Exports'!L$164-SUM(L23:L27)</f>
        <v>0.10500000000000398</v>
      </c>
      <c r="M28" s="146">
        <f>'[2]EU Sun Meal Exports'!M$164-SUM(M23:M27)</f>
        <v>0.13100000000000023</v>
      </c>
      <c r="N28" s="146">
        <f>'[2]EU Sun Meal Exports'!N$164-SUM(N23:N27)</f>
        <v>0.1769999999999996</v>
      </c>
      <c r="O28" s="146">
        <f>'[2]EU Sun Meal Exports'!O$164-SUM(O23:O27)</f>
        <v>0.14100000000000001</v>
      </c>
      <c r="P28" s="141">
        <f>'[2]EU Sun Meal Exports'!P$164-SUM(P23:P27)</f>
        <v>0.18200000000000002</v>
      </c>
      <c r="Q28" s="141">
        <f>'[2]EU Sun Meal Exports'!Q$164-SUM(Q23:Q27)</f>
        <v>0.17800000000000082</v>
      </c>
      <c r="R28" s="141">
        <f>'[2]EU Sun Meal Exports'!R$164-SUM(R23:R27)</f>
        <v>0.16199999999999992</v>
      </c>
      <c r="S28" s="141">
        <f>'[2]EU Sun Meal Exports'!S$164-SUM(S23:S27)</f>
        <v>0.18200000000000216</v>
      </c>
      <c r="T28" s="141">
        <f>'[2]EU Sun Meal Exports'!T$164-SUM(T23:T27)</f>
        <v>0.15800000000000125</v>
      </c>
      <c r="U28" s="141">
        <f>'[2]EU Sun Meal Exports'!U$164-SUM(U23:U27)</f>
        <v>8.708000000000002</v>
      </c>
      <c r="V28" s="141">
        <f>'[2]EU Sun Meal Exports'!V$164-SUM(V23:V27)</f>
        <v>4.6169999999999902</v>
      </c>
      <c r="W28" s="141">
        <f>'[2]EU Sun Meal Exports'!W$164-SUM(W23:W27)</f>
        <v>5.8799999999999955</v>
      </c>
      <c r="X28" s="141">
        <f>'[2]EU Sun Meal Exports'!X$164-SUM(X23:X27)</f>
        <v>5.8010000000000019</v>
      </c>
      <c r="Y28" s="141">
        <f>'[2]EU Sun Meal Exports'!Y$164-SUM(Y23:Y27)</f>
        <v>5.9189999999999969</v>
      </c>
      <c r="Z28" s="141">
        <f>'[2]EU Sun Meal Exports'!Z$164-SUM(Z23:Z27)</f>
        <v>8.6140000000000043</v>
      </c>
      <c r="AA28" s="141">
        <f>'[2]EU Sun Meal Exports'!AA$164-SUM(AA23:AA27)</f>
        <v>1.2309999999999945</v>
      </c>
      <c r="AB28" s="141">
        <f>'[2]EU Sun Meal Exports'!AB$164-SUM(AB23:AB27)</f>
        <v>1.583999999999989</v>
      </c>
      <c r="AC28" s="141">
        <f>'[2]EU Sun Meal Exports'!AC$164-SUM(AC23:AC27)</f>
        <v>0.60599999999999454</v>
      </c>
      <c r="AD28" s="143">
        <f>'[2]EU Sun Meal Exports'!AD$164-SUM(AD23:AD27)</f>
        <v>0.84300000000000352</v>
      </c>
      <c r="AE28" s="141">
        <f>'[2]Ukraine Sun Meal Exports'!B$164-SUM(AE23:AE27)</f>
        <v>0</v>
      </c>
      <c r="AF28" s="141">
        <f>'[2]Ukraine Sun Meal Exports'!C$164-SUM(AF23:AF27)</f>
        <v>0</v>
      </c>
      <c r="AG28" s="141">
        <f>'[2]Ukraine Sun Meal Exports'!D$164-SUM(AG23:AG27)</f>
        <v>0</v>
      </c>
      <c r="AH28" s="141">
        <f>'[2]Ukraine Sun Meal Exports'!E$164-SUM(AH23:AH27)</f>
        <v>0</v>
      </c>
      <c r="AI28" s="141">
        <f>'[2]Ukraine Sun Meal Exports'!F$164-SUM(AI23:AI27)</f>
        <v>0</v>
      </c>
      <c r="AJ28" s="141">
        <f>'[2]Ukraine Sun Meal Exports'!G$164-SUM(AJ23:AJ27)</f>
        <v>0</v>
      </c>
      <c r="AK28" s="141">
        <f>'[2]Ukraine Sun Meal Exports'!H$164-SUM(AK23:AK27)</f>
        <v>0</v>
      </c>
      <c r="AL28" s="141">
        <f>'[2]Ukraine Sun Meal Exports'!I$164-SUM(AL23:AL27)</f>
        <v>0</v>
      </c>
      <c r="AM28" s="141">
        <f>'[2]Ukraine Sun Meal Exports'!J$164-SUM(AM23:AM27)</f>
        <v>0</v>
      </c>
      <c r="AN28" s="141">
        <f>'[2]Ukraine Sun Meal Exports'!K$164-SUM(AN23:AN27)</f>
        <v>0</v>
      </c>
      <c r="AO28" s="141">
        <f>'[2]Ukraine Sun Meal Exports'!L$164-SUM(AO23:AO27)</f>
        <v>0</v>
      </c>
      <c r="AP28" s="141">
        <f>'[2]Ukraine Sun Meal Exports'!M$164-SUM(AP23:AP27)</f>
        <v>0</v>
      </c>
      <c r="AQ28" s="141">
        <f>'[2]Ukraine Sun Meal Exports'!N$164-SUM(AQ23:AQ27)</f>
        <v>0</v>
      </c>
      <c r="AR28" s="141">
        <f>'[2]Ukraine Sun Meal Exports'!O$164-SUM(AR23:AR27)</f>
        <v>0</v>
      </c>
      <c r="AS28" s="141">
        <f>'[2]Ukraine Sun Meal Exports'!P$164-SUM(AS23:AS27)</f>
        <v>0</v>
      </c>
      <c r="AT28" s="141">
        <f>'[2]Ukraine Sun Meal Exports'!Q$164-SUM(AT23:AT27)</f>
        <v>0</v>
      </c>
      <c r="AU28" s="141">
        <f>'[2]Ukraine Sun Meal Exports'!R$164-SUM(AU23:AU27)</f>
        <v>0</v>
      </c>
      <c r="AV28" s="141">
        <f>'[2]Ukraine Sun Meal Exports'!S$164-SUM(AV23:AV27)</f>
        <v>0</v>
      </c>
      <c r="AW28" s="141">
        <f>'[2]Ukraine Sun Meal Exports'!T$164-SUM(AW23:AW27)</f>
        <v>5.4989999999999952</v>
      </c>
      <c r="AX28" s="141">
        <f>'[2]Ukraine Sun Meal Exports'!U$164-SUM(AX23:AX27)</f>
        <v>0</v>
      </c>
      <c r="AY28" s="141">
        <f>'[2]Ukraine Sun Meal Exports'!V$164-SUM(AY23:AY27)</f>
        <v>0</v>
      </c>
      <c r="AZ28" s="141">
        <f>'[2]Ukraine Sun Meal Exports'!W$164-SUM(AZ23:AZ27)</f>
        <v>1.0209999999999866</v>
      </c>
      <c r="BA28" s="141">
        <f>'[2]Ukraine Sun Meal Exports'!X$164-SUM(BA23:BA27)</f>
        <v>0</v>
      </c>
      <c r="BB28" s="141">
        <f>'[2]Ukraine Sun Meal Exports'!Y$164-SUM(BB23:BB27)</f>
        <v>0.19499999999999318</v>
      </c>
      <c r="BC28" s="141">
        <f>'[2]Ukraine Sun Meal Exports'!Z$164-SUM(BC23:BC27)</f>
        <v>1.271000000000015</v>
      </c>
      <c r="BD28" s="141">
        <f>'[2]Ukraine Sun Meal Exports'!AA$164-SUM(BD23:BD27)</f>
        <v>0</v>
      </c>
      <c r="BE28" s="141">
        <f>'[2]Ukraine Sun Meal Exports'!AB$164-SUM(BE23:BE27)</f>
        <v>0.60700000000002774</v>
      </c>
      <c r="BF28" s="141">
        <f>'[2]Ukraine Sun Meal Exports'!AC$164-SUM(BF23:BF27)</f>
        <v>0.65100000000001046</v>
      </c>
      <c r="BG28" s="143">
        <f>'[2]Ukraine Sun Meal Exports'!AD$164-SUM(BG23:BG27)</f>
        <v>1.1490000000000009</v>
      </c>
      <c r="BH28" s="141">
        <f>'[2]Russia Sun Meal Exports'!B$164-SUM(BH23:BH27)</f>
        <v>0</v>
      </c>
      <c r="BI28" s="141">
        <f>'[2]Russia Sun Meal Exports'!C$164-SUM(BI23:BI27)</f>
        <v>0</v>
      </c>
      <c r="BJ28" s="141">
        <f>'[2]Russia Sun Meal Exports'!D$164-SUM(BJ23:BJ27)</f>
        <v>0</v>
      </c>
      <c r="BK28" s="141">
        <f>'[2]Russia Sun Meal Exports'!E$164-SUM(BK23:BK27)</f>
        <v>0</v>
      </c>
      <c r="BL28" s="141">
        <f>'[2]Russia Sun Meal Exports'!F$164-SUM(BL23:BL27)</f>
        <v>0</v>
      </c>
      <c r="BM28" s="141">
        <f>'[2]Russia Sun Meal Exports'!G$164-SUM(BM23:BM27)</f>
        <v>0</v>
      </c>
      <c r="BN28" s="141">
        <f>'[2]Russia Sun Meal Exports'!H$164-SUM(BN23:BN27)</f>
        <v>0</v>
      </c>
      <c r="BO28" s="141">
        <f>'[2]Russia Sun Meal Exports'!I$164-SUM(BO23:BO27)</f>
        <v>0</v>
      </c>
      <c r="BP28" s="141">
        <f>'[2]Russia Sun Meal Exports'!J$164-SUM(BP23:BP27)</f>
        <v>0</v>
      </c>
      <c r="BQ28" s="141">
        <f>'[2]Russia Sun Meal Exports'!K$164-SUM(BQ23:BQ27)</f>
        <v>0</v>
      </c>
      <c r="BR28" s="141">
        <f>'[2]Russia Sun Meal Exports'!L$164-SUM(BR23:BR27)</f>
        <v>0</v>
      </c>
      <c r="BS28" s="141">
        <f>'[2]Russia Sun Meal Exports'!M$164-SUM(BS23:BS27)</f>
        <v>0</v>
      </c>
      <c r="BT28" s="141">
        <f>'[2]Russia Sun Meal Exports'!N$164-SUM(BT23:BT27)</f>
        <v>8.9289999999999878</v>
      </c>
      <c r="BU28" s="141">
        <f>'[2]Russia Sun Meal Exports'!O$164-SUM(BU23:BU27)</f>
        <v>7.7610000000000241</v>
      </c>
      <c r="BV28" s="141">
        <f>'[2]Russia Sun Meal Exports'!P$164-SUM(BV23:BV27)</f>
        <v>0</v>
      </c>
      <c r="BW28" s="141">
        <f>'[2]Russia Sun Meal Exports'!Q$164-SUM(BW23:BW27)</f>
        <v>5.7119999999999891</v>
      </c>
      <c r="BX28" s="141">
        <f>'[2]Russia Sun Meal Exports'!R$164-SUM(BX23:BX27)</f>
        <v>0</v>
      </c>
      <c r="BY28" s="141">
        <f>'[2]Russia Sun Meal Exports'!S$164-SUM(BY23:BY27)</f>
        <v>1.0039999999999978</v>
      </c>
      <c r="BZ28" s="141">
        <f>'[2]Russia Sun Meal Exports'!T$164-SUM(BZ23:BZ27)</f>
        <v>0</v>
      </c>
      <c r="CA28" s="141">
        <f>'[2]Russia Sun Meal Exports'!U$164-SUM(CA23:CA27)</f>
        <v>0</v>
      </c>
      <c r="CB28" s="141">
        <f>'[2]Russia Sun Meal Exports'!V$164-SUM(CB23:CB27)</f>
        <v>0</v>
      </c>
      <c r="CC28" s="141">
        <f>'[2]Russia Sun Meal Exports'!W$164-SUM(CC23:CC27)</f>
        <v>0</v>
      </c>
      <c r="CD28" s="141">
        <f>'[2]Russia Sun Meal Exports'!X$164-SUM(CD23:CD27)</f>
        <v>0</v>
      </c>
      <c r="CE28" s="141">
        <f>'[2]Russia Sun Meal Exports'!Y$164-SUM(CE23:CE27)</f>
        <v>0</v>
      </c>
      <c r="CF28" s="141">
        <f>'[2]Russia Sun Meal Exports'!Z$164-SUM(CF23:CF27)</f>
        <v>0</v>
      </c>
      <c r="CG28" s="147">
        <f>'[2]Russia Sun Meal Exports'!AA$164-SUM(CG23:CG27)</f>
        <v>0</v>
      </c>
      <c r="CH28" s="141">
        <f>'[2]Russia Sun Meal Exports'!AB$164-SUM(CH23:CH27)</f>
        <v>0</v>
      </c>
      <c r="CI28" s="141">
        <f>'[2]Russia Sun Meal Exports'!AC$164-SUM(CI23:CI27)</f>
        <v>0</v>
      </c>
      <c r="CJ28" s="143">
        <v>0</v>
      </c>
      <c r="CK28" s="141">
        <f>('[3]Sunflower Meal Exports'!B$164/1.10231)-SUM(CK23:CK27)</f>
        <v>0</v>
      </c>
      <c r="CL28" s="141">
        <f>('[3]Sunflower Meal Exports'!C$164/1.10231)-SUM(CL23:CL27)</f>
        <v>0</v>
      </c>
      <c r="CM28" s="141">
        <f>('[3]Sunflower Meal Exports'!D$164/1.10231)-SUM(CM23:CM27)</f>
        <v>0</v>
      </c>
      <c r="CN28" s="141">
        <f>('[3]Sunflower Meal Exports'!E$164/1.10231)-SUM(CN23:CN27)</f>
        <v>0</v>
      </c>
      <c r="CO28" s="141">
        <f>('[3]Sunflower Meal Exports'!F$164/1.10231)-SUM(CO23:CO27)</f>
        <v>0</v>
      </c>
      <c r="CP28" s="141">
        <f>('[3]Sunflower Meal Exports'!G$164/1.10231)-SUM(CP23:CP27)</f>
        <v>0</v>
      </c>
      <c r="CQ28" s="141">
        <f>('[3]Sunflower Meal Exports'!H$164/1.10231)-SUM(CQ23:CQ27)</f>
        <v>0</v>
      </c>
      <c r="CR28" s="141">
        <f>('[3]Sunflower Meal Exports'!I$164/1.10231)-SUM(CR23:CR27)</f>
        <v>0</v>
      </c>
      <c r="CS28" s="141">
        <f>('[3]Sunflower Meal Exports'!J$164/1.10231)-SUM(CS23:CS27)</f>
        <v>0</v>
      </c>
      <c r="CT28" s="141">
        <f>('[3]Sunflower Meal Exports'!K$164/1.10231)-SUM(CT23:CT27)</f>
        <v>0</v>
      </c>
      <c r="CU28" s="141">
        <f>('[3]Sunflower Meal Exports'!L$164/1.10231)-SUM(CU23:CU27)</f>
        <v>0</v>
      </c>
      <c r="CV28" s="141">
        <f>('[3]Sunflower Meal Exports'!M$164/1.10231)-SUM(CV23:CV27)</f>
        <v>0</v>
      </c>
      <c r="CW28" s="141">
        <f>('[3]Sunflower Meal Exports'!N$164/1.10231)-SUM(CW23:CW27)</f>
        <v>0</v>
      </c>
      <c r="CX28" s="141">
        <f>('[3]Sunflower Meal Exports'!O$164/1.10231)-SUM(CX23:CX27)</f>
        <v>0</v>
      </c>
      <c r="CY28" s="141">
        <f>('[3]Sunflower Meal Exports'!P$164/1.10231)-SUM(CY23:CY27)</f>
        <v>0</v>
      </c>
      <c r="CZ28" s="141">
        <f>('[3]Sunflower Meal Exports'!Q$164/1.10231)-SUM(CZ23:CZ27)</f>
        <v>0</v>
      </c>
      <c r="DA28" s="141">
        <f>('[3]Sunflower Meal Exports'!R$164/1.10231)-SUM(DA23:DA27)</f>
        <v>0</v>
      </c>
      <c r="DB28" s="141">
        <f>('[3]Sunflower Meal Exports'!S$164/1.10231)-SUM(DB23:DB27)</f>
        <v>0</v>
      </c>
      <c r="DC28" s="141">
        <f>('[3]Sunflower Meal Exports'!T$164/1.10231)-SUM(DC23:DC27)</f>
        <v>0</v>
      </c>
      <c r="DD28" s="141">
        <f>('[3]Sunflower Meal Exports'!U$164/1.10231)-SUM(DD23:DD27)</f>
        <v>0</v>
      </c>
      <c r="DE28" s="141">
        <f>('[3]Sunflower Meal Exports'!V$164/1.10231)-SUM(DE23:DE27)</f>
        <v>0</v>
      </c>
      <c r="DF28" s="141">
        <f>('[3]Sunflower Meal Exports'!W$164/1.10231)-SUM(DF23:DF27)</f>
        <v>0</v>
      </c>
      <c r="DG28" s="141">
        <f>('[3]Sunflower Meal Exports'!X$164/1.10231)-SUM(DG23:DG27)</f>
        <v>0</v>
      </c>
      <c r="DH28" s="141">
        <f>('[3]Sunflower Meal Exports'!Y$164/1.10231)-SUM(DH23:DH27)</f>
        <v>0</v>
      </c>
      <c r="DI28" s="141">
        <f>('[3]Sunflower Meal Exports'!Z$164/1.10231)-SUM(DI23:DI27)</f>
        <v>0</v>
      </c>
      <c r="DJ28" s="141">
        <f>('[3]Sunflower Meal Exports'!AA$164/1.10231)-SUM(DJ23:DJ27)</f>
        <v>0</v>
      </c>
      <c r="DK28" s="141">
        <f>('[3]Sunflower Meal Exports'!AB$164/1.10231)-SUM(DK23:DK27)</f>
        <v>0</v>
      </c>
      <c r="DL28" s="141">
        <f>('[3]Sunflower Meal Exports'!AC$164/1.10231)-SUM(DL23:DL27)</f>
        <v>0</v>
      </c>
      <c r="DM28" s="143">
        <f>('[3]Sunflower Meal Exports'!AD$164/1.10231)-SUM(DM23:DM27)</f>
        <v>0</v>
      </c>
      <c r="DN28" s="141">
        <f t="shared" si="10"/>
        <v>0</v>
      </c>
      <c r="DO28" s="141">
        <f t="shared" si="10"/>
        <v>0</v>
      </c>
      <c r="DP28" s="141">
        <f t="shared" si="10"/>
        <v>0</v>
      </c>
      <c r="DQ28" s="141">
        <f t="shared" si="10"/>
        <v>1.5000000000000001E-2</v>
      </c>
      <c r="DR28" s="141">
        <f t="shared" si="10"/>
        <v>0.11099999999999999</v>
      </c>
      <c r="DS28" s="141">
        <f t="shared" si="10"/>
        <v>0.15399999999999997</v>
      </c>
      <c r="DT28" s="141">
        <f t="shared" si="10"/>
        <v>0.12199999999999989</v>
      </c>
      <c r="DU28" s="141">
        <f t="shared" si="10"/>
        <v>0.10200000000000031</v>
      </c>
      <c r="DV28" s="141">
        <f t="shared" si="10"/>
        <v>0.10199999999999987</v>
      </c>
      <c r="DW28" s="141">
        <f t="shared" si="10"/>
        <v>0.1080000000000001</v>
      </c>
      <c r="DX28" s="141">
        <f t="shared" si="10"/>
        <v>0.10500000000000398</v>
      </c>
      <c r="DY28" s="141">
        <f t="shared" si="12"/>
        <v>0.13100000000000023</v>
      </c>
      <c r="DZ28" s="141">
        <f t="shared" si="12"/>
        <v>9.1059999999999874</v>
      </c>
      <c r="EA28" s="141">
        <f t="shared" si="12"/>
        <v>7.9020000000000241</v>
      </c>
      <c r="EB28" s="141">
        <f t="shared" si="12"/>
        <v>0.18200000000000002</v>
      </c>
      <c r="EC28" s="141">
        <f t="shared" si="12"/>
        <v>5.8899999999999899</v>
      </c>
      <c r="ED28" s="141">
        <f t="shared" si="12"/>
        <v>0.16199999999999992</v>
      </c>
      <c r="EE28" s="141">
        <f t="shared" si="12"/>
        <v>1.1859999999999999</v>
      </c>
      <c r="EF28" s="141">
        <f t="shared" si="12"/>
        <v>5.6569999999999965</v>
      </c>
      <c r="EG28" s="141">
        <f t="shared" si="12"/>
        <v>8.708000000000002</v>
      </c>
      <c r="EH28" s="141">
        <f t="shared" si="12"/>
        <v>4.6169999999999902</v>
      </c>
      <c r="EI28" s="141">
        <f t="shared" si="12"/>
        <v>6.900999999999982</v>
      </c>
      <c r="EJ28" s="141">
        <f t="shared" si="12"/>
        <v>5.8010000000000019</v>
      </c>
      <c r="EK28" s="141">
        <f t="shared" si="12"/>
        <v>6.1139999999999901</v>
      </c>
      <c r="EL28" s="141">
        <f t="shared" si="12"/>
        <v>9.8850000000000193</v>
      </c>
      <c r="EM28" s="141">
        <f t="shared" si="12"/>
        <v>1.2309999999999945</v>
      </c>
      <c r="EN28" s="141">
        <f t="shared" si="13"/>
        <v>2.1910000000000167</v>
      </c>
      <c r="EO28" s="141">
        <f t="shared" si="13"/>
        <v>1.257000000000005</v>
      </c>
      <c r="EP28" s="145">
        <f t="shared" si="13"/>
        <v>1.9920000000000044</v>
      </c>
      <c r="EQ28" s="145">
        <v>2</v>
      </c>
      <c r="ES28" s="141">
        <f t="shared" si="11"/>
        <v>0</v>
      </c>
      <c r="ET28" s="141">
        <f t="shared" si="11"/>
        <v>0</v>
      </c>
    </row>
    <row r="29" spans="1:150">
      <c r="A29" s="148" t="s">
        <v>160</v>
      </c>
      <c r="B29" s="146">
        <f>'[2]EU Sun Meal Exports'!B$234</f>
        <v>0</v>
      </c>
      <c r="C29" s="146">
        <f>'[2]EU Sun Meal Exports'!C$234</f>
        <v>0</v>
      </c>
      <c r="D29" s="146">
        <f>'[2]EU Sun Meal Exports'!D$234</f>
        <v>0</v>
      </c>
      <c r="E29" s="146">
        <f>'[2]EU Sun Meal Exports'!E$234</f>
        <v>0</v>
      </c>
      <c r="F29" s="146">
        <f>'[2]EU Sun Meal Exports'!F$234</f>
        <v>0</v>
      </c>
      <c r="G29" s="146">
        <f>'[2]EU Sun Meal Exports'!G$234</f>
        <v>0</v>
      </c>
      <c r="H29" s="146">
        <f>'[2]EU Sun Meal Exports'!H$234</f>
        <v>0</v>
      </c>
      <c r="I29" s="146">
        <f>'[2]EU Sun Meal Exports'!I$234</f>
        <v>0</v>
      </c>
      <c r="J29" s="146">
        <f>'[2]EU Sun Meal Exports'!J$234</f>
        <v>0</v>
      </c>
      <c r="K29" s="146">
        <f>'[2]EU Sun Meal Exports'!K$234</f>
        <v>0</v>
      </c>
      <c r="L29" s="146">
        <f>'[2]EU Sun Meal Exports'!L$234</f>
        <v>0</v>
      </c>
      <c r="M29" s="146">
        <f>'[2]EU Sun Meal Exports'!M$234</f>
        <v>0</v>
      </c>
      <c r="N29" s="146">
        <f>'[2]EU Sun Meal Exports'!N$234</f>
        <v>0</v>
      </c>
      <c r="O29" s="146">
        <f>'[2]EU Sun Meal Exports'!O$234</f>
        <v>0</v>
      </c>
      <c r="P29" s="141">
        <f>'[2]EU Sun Meal Exports'!P$234</f>
        <v>0</v>
      </c>
      <c r="Q29" s="141">
        <f>'[2]EU Sun Meal Exports'!Q$234</f>
        <v>0</v>
      </c>
      <c r="R29" s="141">
        <f>'[2]EU Sun Meal Exports'!R$234</f>
        <v>0</v>
      </c>
      <c r="S29" s="141">
        <f>'[2]EU Sun Meal Exports'!S$234</f>
        <v>0</v>
      </c>
      <c r="T29" s="141">
        <f>'[2]EU Sun Meal Exports'!T$234</f>
        <v>0</v>
      </c>
      <c r="U29" s="141">
        <f>'[2]EU Sun Meal Exports'!U$234</f>
        <v>0</v>
      </c>
      <c r="V29" s="141">
        <f>'[2]EU Sun Meal Exports'!V$234</f>
        <v>0</v>
      </c>
      <c r="W29" s="141">
        <f>'[2]EU Sun Meal Exports'!W$234</f>
        <v>0</v>
      </c>
      <c r="X29" s="141">
        <f>'[2]EU Sun Meal Exports'!X$234</f>
        <v>0</v>
      </c>
      <c r="Y29" s="141">
        <f>'[2]EU Sun Meal Exports'!Y$234</f>
        <v>0</v>
      </c>
      <c r="Z29" s="141">
        <f>'[2]EU Sun Meal Exports'!Z$234</f>
        <v>0</v>
      </c>
      <c r="AA29" s="141">
        <f>'[2]EU Sun Meal Exports'!AA$234</f>
        <v>0</v>
      </c>
      <c r="AB29" s="141">
        <f>'[2]EU Sun Meal Exports'!AB$234</f>
        <v>0</v>
      </c>
      <c r="AC29" s="141">
        <f>'[2]EU Sun Meal Exports'!AC$234</f>
        <v>0</v>
      </c>
      <c r="AD29" s="143">
        <f>'[2]EU Sun Meal Exports'!AD$234</f>
        <v>0</v>
      </c>
      <c r="AE29" s="141">
        <f>'[2]Ukraine Sun Meal Exports'!B$234</f>
        <v>0</v>
      </c>
      <c r="AF29" s="141">
        <f>'[2]Ukraine Sun Meal Exports'!C$234</f>
        <v>0</v>
      </c>
      <c r="AG29" s="141">
        <f>'[2]Ukraine Sun Meal Exports'!D$234</f>
        <v>0</v>
      </c>
      <c r="AH29" s="141">
        <f>'[2]Ukraine Sun Meal Exports'!E$234</f>
        <v>0</v>
      </c>
      <c r="AI29" s="141">
        <f>'[2]Ukraine Sun Meal Exports'!F$234</f>
        <v>0</v>
      </c>
      <c r="AJ29" s="141">
        <f>'[2]Ukraine Sun Meal Exports'!G$234</f>
        <v>0</v>
      </c>
      <c r="AK29" s="141">
        <f>'[2]Ukraine Sun Meal Exports'!H$234</f>
        <v>0</v>
      </c>
      <c r="AL29" s="141">
        <f>'[2]Ukraine Sun Meal Exports'!I$234</f>
        <v>0</v>
      </c>
      <c r="AM29" s="141">
        <f>'[2]Ukraine Sun Meal Exports'!J$234</f>
        <v>0</v>
      </c>
      <c r="AN29" s="141">
        <f>'[2]Ukraine Sun Meal Exports'!K$234</f>
        <v>0</v>
      </c>
      <c r="AO29" s="141">
        <f>'[2]Ukraine Sun Meal Exports'!L$234</f>
        <v>0</v>
      </c>
      <c r="AP29" s="141">
        <f>'[2]Ukraine Sun Meal Exports'!M$234</f>
        <v>0</v>
      </c>
      <c r="AQ29" s="141">
        <f>'[2]Ukraine Sun Meal Exports'!N$234</f>
        <v>0</v>
      </c>
      <c r="AR29" s="141">
        <f>'[2]Ukraine Sun Meal Exports'!O$234</f>
        <v>0</v>
      </c>
      <c r="AS29" s="141">
        <f>'[2]Ukraine Sun Meal Exports'!P$234</f>
        <v>0</v>
      </c>
      <c r="AT29" s="141">
        <f>'[2]Ukraine Sun Meal Exports'!Q$234</f>
        <v>0</v>
      </c>
      <c r="AU29" s="141">
        <f>'[2]Ukraine Sun Meal Exports'!R$234</f>
        <v>0</v>
      </c>
      <c r="AV29" s="141">
        <f>'[2]Ukraine Sun Meal Exports'!S$234</f>
        <v>0</v>
      </c>
      <c r="AW29" s="141">
        <f>'[2]Ukraine Sun Meal Exports'!T$234</f>
        <v>0</v>
      </c>
      <c r="AX29" s="141">
        <f>'[2]Ukraine Sun Meal Exports'!U$234</f>
        <v>0</v>
      </c>
      <c r="AY29" s="141">
        <f>'[2]Ukraine Sun Meal Exports'!V$234</f>
        <v>0</v>
      </c>
      <c r="AZ29" s="141">
        <f>'[2]Ukraine Sun Meal Exports'!W$234</f>
        <v>0</v>
      </c>
      <c r="BA29" s="141">
        <f>'[2]Ukraine Sun Meal Exports'!X$234</f>
        <v>0</v>
      </c>
      <c r="BB29" s="141">
        <f>'[2]Ukraine Sun Meal Exports'!Y$234</f>
        <v>0</v>
      </c>
      <c r="BC29" s="141">
        <f>'[2]Ukraine Sun Meal Exports'!Z$234</f>
        <v>0</v>
      </c>
      <c r="BD29" s="141">
        <f>'[2]Ukraine Sun Meal Exports'!AA$234</f>
        <v>0</v>
      </c>
      <c r="BE29" s="141">
        <f>'[2]Ukraine Sun Meal Exports'!AB$234</f>
        <v>0</v>
      </c>
      <c r="BF29" s="141">
        <f>'[2]Ukraine Sun Meal Exports'!AC$234</f>
        <v>0</v>
      </c>
      <c r="BG29" s="143">
        <f>'[2]Ukraine Sun Meal Exports'!AD$234</f>
        <v>0</v>
      </c>
      <c r="BH29" s="141">
        <f>'[2]Russia Sun Meal Exports'!B$234</f>
        <v>0</v>
      </c>
      <c r="BI29" s="141">
        <f>'[2]Russia Sun Meal Exports'!C$234</f>
        <v>0</v>
      </c>
      <c r="BJ29" s="141">
        <f>'[2]Russia Sun Meal Exports'!D$234</f>
        <v>0</v>
      </c>
      <c r="BK29" s="141">
        <f>'[2]Russia Sun Meal Exports'!E$234</f>
        <v>0</v>
      </c>
      <c r="BL29" s="141">
        <f>'[2]Russia Sun Meal Exports'!F$234</f>
        <v>0</v>
      </c>
      <c r="BM29" s="141">
        <f>'[2]Russia Sun Meal Exports'!G$234</f>
        <v>0</v>
      </c>
      <c r="BN29" s="141">
        <f>'[2]Russia Sun Meal Exports'!H$234</f>
        <v>0</v>
      </c>
      <c r="BO29" s="141">
        <f>'[2]Russia Sun Meal Exports'!I$234</f>
        <v>0</v>
      </c>
      <c r="BP29" s="141">
        <f>'[2]Russia Sun Meal Exports'!J$234</f>
        <v>0</v>
      </c>
      <c r="BQ29" s="141">
        <f>'[2]Russia Sun Meal Exports'!K$234</f>
        <v>0</v>
      </c>
      <c r="BR29" s="141">
        <f>'[2]Russia Sun Meal Exports'!L$234</f>
        <v>0</v>
      </c>
      <c r="BS29" s="141">
        <f>'[2]Russia Sun Meal Exports'!M$234</f>
        <v>0</v>
      </c>
      <c r="BT29" s="141">
        <f>'[2]Russia Sun Meal Exports'!N$234</f>
        <v>0</v>
      </c>
      <c r="BU29" s="141">
        <f>'[2]Russia Sun Meal Exports'!O$234</f>
        <v>0</v>
      </c>
      <c r="BV29" s="141">
        <f>'[2]Russia Sun Meal Exports'!P$234</f>
        <v>0</v>
      </c>
      <c r="BW29" s="141">
        <f>'[2]Russia Sun Meal Exports'!Q$234</f>
        <v>0</v>
      </c>
      <c r="BX29" s="141">
        <f>'[2]Russia Sun Meal Exports'!R$234</f>
        <v>0</v>
      </c>
      <c r="BY29" s="141">
        <f>'[2]Russia Sun Meal Exports'!S$234</f>
        <v>0</v>
      </c>
      <c r="BZ29" s="141">
        <f>'[2]Russia Sun Meal Exports'!T$234</f>
        <v>0</v>
      </c>
      <c r="CA29" s="141">
        <f>'[2]Russia Sun Meal Exports'!U$234</f>
        <v>0</v>
      </c>
      <c r="CB29" s="141">
        <f>'[2]Russia Sun Meal Exports'!V$234</f>
        <v>0</v>
      </c>
      <c r="CC29" s="141">
        <f>'[2]Russia Sun Meal Exports'!W$234</f>
        <v>0</v>
      </c>
      <c r="CD29" s="141">
        <f>'[2]Russia Sun Meal Exports'!X$234</f>
        <v>0</v>
      </c>
      <c r="CE29" s="141">
        <f>'[2]Russia Sun Meal Exports'!Y$234</f>
        <v>0</v>
      </c>
      <c r="CF29" s="141">
        <f>'[2]Russia Sun Meal Exports'!Z$234</f>
        <v>0</v>
      </c>
      <c r="CG29" s="147">
        <f>'[2]Russia Sun Meal Exports'!AA$234</f>
        <v>0</v>
      </c>
      <c r="CH29" s="141">
        <f>'[2]Russia Sun Meal Exports'!AB$234</f>
        <v>0</v>
      </c>
      <c r="CI29" s="141">
        <f>'[2]Russia Sun Meal Exports'!AC$234</f>
        <v>0</v>
      </c>
      <c r="CJ29" s="143">
        <f>'[2]Russia Sun Meal Exports'!AD$234</f>
        <v>0</v>
      </c>
      <c r="CK29" s="141">
        <f>'[3]Sunflower Meal Exports'!B$234/1.10231</f>
        <v>0</v>
      </c>
      <c r="CL29" s="141">
        <f>'[3]Sunflower Meal Exports'!C$234/1.10231</f>
        <v>0</v>
      </c>
      <c r="CM29" s="141">
        <f>'[3]Sunflower Meal Exports'!D$234/1.10231</f>
        <v>0</v>
      </c>
      <c r="CN29" s="141">
        <f>'[3]Sunflower Meal Exports'!E$234/1.10231</f>
        <v>0</v>
      </c>
      <c r="CO29" s="141">
        <f>'[3]Sunflower Meal Exports'!F$234/1.10231</f>
        <v>0</v>
      </c>
      <c r="CP29" s="141">
        <f>'[3]Sunflower Meal Exports'!G$234/1.10231</f>
        <v>0</v>
      </c>
      <c r="CQ29" s="141">
        <f>'[3]Sunflower Meal Exports'!H$234/1.10231</f>
        <v>0</v>
      </c>
      <c r="CR29" s="141">
        <f>'[3]Sunflower Meal Exports'!I$234/1.10231</f>
        <v>0</v>
      </c>
      <c r="CS29" s="141">
        <f>'[3]Sunflower Meal Exports'!J$234/1.10231</f>
        <v>0</v>
      </c>
      <c r="CT29" s="141">
        <f>'[3]Sunflower Meal Exports'!K$234/1.10231</f>
        <v>0</v>
      </c>
      <c r="CU29" s="141">
        <f>'[3]Sunflower Meal Exports'!L$234/1.10231</f>
        <v>0.50070045422793963</v>
      </c>
      <c r="CV29" s="141">
        <f>'[3]Sunflower Meal Exports'!M$234/1.10231</f>
        <v>0</v>
      </c>
      <c r="CW29" s="141">
        <f>'[3]Sunflower Meal Exports'!N$234/1.10231</f>
        <v>0</v>
      </c>
      <c r="CX29" s="141">
        <f>'[3]Sunflower Meal Exports'!O$234/1.10231</f>
        <v>0</v>
      </c>
      <c r="CY29" s="141">
        <f>'[3]Sunflower Meal Exports'!P$234/1.10231</f>
        <v>0</v>
      </c>
      <c r="CZ29" s="141">
        <f>'[3]Sunflower Meal Exports'!Q$234/1.10231</f>
        <v>0</v>
      </c>
      <c r="DA29" s="141">
        <f>'[3]Sunflower Meal Exports'!R$234/1.10231</f>
        <v>0</v>
      </c>
      <c r="DB29" s="141">
        <f>'[3]Sunflower Meal Exports'!S$234/1.10231</f>
        <v>0</v>
      </c>
      <c r="DC29" s="141">
        <f>'[3]Sunflower Meal Exports'!T$234/1.10231</f>
        <v>0</v>
      </c>
      <c r="DD29" s="141">
        <f>'[3]Sunflower Meal Exports'!U$234/1.10231</f>
        <v>0</v>
      </c>
      <c r="DE29" s="141">
        <f>'[3]Sunflower Meal Exports'!V$234/1.10231</f>
        <v>0</v>
      </c>
      <c r="DF29" s="141">
        <f>'[3]Sunflower Meal Exports'!W$234/1.10231</f>
        <v>0</v>
      </c>
      <c r="DG29" s="141">
        <f>'[3]Sunflower Meal Exports'!X$234/1.10231</f>
        <v>0</v>
      </c>
      <c r="DH29" s="141">
        <f>'[3]Sunflower Meal Exports'!Y$234/1.10231</f>
        <v>0</v>
      </c>
      <c r="DI29" s="141">
        <f>'[3]Sunflower Meal Exports'!Z$234/1.10231</f>
        <v>0</v>
      </c>
      <c r="DJ29" s="141">
        <f>'[3]Sunflower Meal Exports'!AA$234/1.10231</f>
        <v>0</v>
      </c>
      <c r="DK29" s="141">
        <f>'[3]Sunflower Meal Exports'!AB$234/1.10231</f>
        <v>0</v>
      </c>
      <c r="DL29" s="141">
        <f>'[3]Sunflower Meal Exports'!AC$234/1.10231</f>
        <v>0</v>
      </c>
      <c r="DM29" s="143">
        <f>'[3]Sunflower Meal Exports'!AD$234/1.10231</f>
        <v>0</v>
      </c>
      <c r="DN29" s="141">
        <f t="shared" si="10"/>
        <v>0</v>
      </c>
      <c r="DO29" s="141">
        <f t="shared" si="10"/>
        <v>0</v>
      </c>
      <c r="DP29" s="141">
        <f t="shared" si="10"/>
        <v>0</v>
      </c>
      <c r="DQ29" s="141">
        <f t="shared" si="10"/>
        <v>0</v>
      </c>
      <c r="DR29" s="141">
        <f t="shared" si="10"/>
        <v>0</v>
      </c>
      <c r="DS29" s="141">
        <f t="shared" si="10"/>
        <v>0</v>
      </c>
      <c r="DT29" s="141">
        <f t="shared" si="10"/>
        <v>0</v>
      </c>
      <c r="DU29" s="141">
        <f t="shared" si="10"/>
        <v>0</v>
      </c>
      <c r="DV29" s="141">
        <f t="shared" si="10"/>
        <v>0</v>
      </c>
      <c r="DW29" s="141">
        <f t="shared" si="10"/>
        <v>0</v>
      </c>
      <c r="DX29" s="141">
        <f t="shared" si="10"/>
        <v>0.50070045422793963</v>
      </c>
      <c r="DY29" s="141">
        <f t="shared" si="12"/>
        <v>0</v>
      </c>
      <c r="DZ29" s="141">
        <f t="shared" si="12"/>
        <v>0</v>
      </c>
      <c r="EA29" s="141">
        <f t="shared" si="12"/>
        <v>0</v>
      </c>
      <c r="EB29" s="141">
        <f t="shared" si="12"/>
        <v>0</v>
      </c>
      <c r="EC29" s="141">
        <f t="shared" si="12"/>
        <v>0</v>
      </c>
      <c r="ED29" s="141">
        <f t="shared" si="12"/>
        <v>0</v>
      </c>
      <c r="EE29" s="141">
        <f t="shared" si="12"/>
        <v>0</v>
      </c>
      <c r="EF29" s="141">
        <f t="shared" si="12"/>
        <v>0</v>
      </c>
      <c r="EG29" s="141">
        <f t="shared" si="12"/>
        <v>0</v>
      </c>
      <c r="EH29" s="141">
        <f t="shared" si="12"/>
        <v>0</v>
      </c>
      <c r="EI29" s="141">
        <f t="shared" si="12"/>
        <v>0</v>
      </c>
      <c r="EJ29" s="141">
        <f t="shared" si="12"/>
        <v>0</v>
      </c>
      <c r="EK29" s="141">
        <f t="shared" si="12"/>
        <v>0</v>
      </c>
      <c r="EL29" s="141">
        <f t="shared" si="12"/>
        <v>0</v>
      </c>
      <c r="EM29" s="141">
        <f t="shared" si="12"/>
        <v>0</v>
      </c>
      <c r="EN29" s="141">
        <f t="shared" si="13"/>
        <v>0</v>
      </c>
      <c r="EO29" s="141">
        <f t="shared" si="13"/>
        <v>0</v>
      </c>
      <c r="EP29" s="145">
        <f t="shared" si="13"/>
        <v>0</v>
      </c>
      <c r="EQ29" s="145">
        <v>0</v>
      </c>
      <c r="ES29" s="141">
        <f t="shared" si="11"/>
        <v>0</v>
      </c>
      <c r="ET29" s="141">
        <f t="shared" si="11"/>
        <v>0</v>
      </c>
    </row>
    <row r="30" spans="1:150">
      <c r="A30" s="148" t="s">
        <v>161</v>
      </c>
      <c r="B30" s="146">
        <f>'[2]EU Sun Meal Exports'!B$241</f>
        <v>0</v>
      </c>
      <c r="C30" s="146">
        <f>'[2]EU Sun Meal Exports'!C$241</f>
        <v>0</v>
      </c>
      <c r="D30" s="146">
        <f>'[2]EU Sun Meal Exports'!D$241</f>
        <v>0</v>
      </c>
      <c r="E30" s="146">
        <f>'[2]EU Sun Meal Exports'!E$241</f>
        <v>0</v>
      </c>
      <c r="F30" s="146">
        <f>'[2]EU Sun Meal Exports'!F$241</f>
        <v>0</v>
      </c>
      <c r="G30" s="146">
        <f>'[2]EU Sun Meal Exports'!G$241</f>
        <v>0</v>
      </c>
      <c r="H30" s="146">
        <f>'[2]EU Sun Meal Exports'!H$241</f>
        <v>0</v>
      </c>
      <c r="I30" s="146">
        <f>'[2]EU Sun Meal Exports'!I$241</f>
        <v>0</v>
      </c>
      <c r="J30" s="146">
        <f>'[2]EU Sun Meal Exports'!J$241</f>
        <v>0</v>
      </c>
      <c r="K30" s="146">
        <f>'[2]EU Sun Meal Exports'!K$241</f>
        <v>0</v>
      </c>
      <c r="L30" s="146">
        <f>'[2]EU Sun Meal Exports'!L$241</f>
        <v>0</v>
      </c>
      <c r="M30" s="146">
        <f>'[2]EU Sun Meal Exports'!M$241</f>
        <v>0</v>
      </c>
      <c r="N30" s="146">
        <f>'[2]EU Sun Meal Exports'!N$241</f>
        <v>0</v>
      </c>
      <c r="O30" s="146">
        <f>'[2]EU Sun Meal Exports'!O$241</f>
        <v>0</v>
      </c>
      <c r="P30" s="141">
        <f>'[2]EU Sun Meal Exports'!P$241</f>
        <v>0</v>
      </c>
      <c r="Q30" s="141">
        <f>'[2]EU Sun Meal Exports'!Q$241</f>
        <v>0</v>
      </c>
      <c r="R30" s="141">
        <f>'[2]EU Sun Meal Exports'!R$241</f>
        <v>0</v>
      </c>
      <c r="S30" s="141">
        <f>'[2]EU Sun Meal Exports'!S$241</f>
        <v>0</v>
      </c>
      <c r="T30" s="141">
        <f>'[2]EU Sun Meal Exports'!T$241</f>
        <v>0</v>
      </c>
      <c r="U30" s="141">
        <f>'[2]EU Sun Meal Exports'!U$241</f>
        <v>0</v>
      </c>
      <c r="V30" s="141">
        <f>'[2]EU Sun Meal Exports'!V$241</f>
        <v>0</v>
      </c>
      <c r="W30" s="141">
        <f>'[2]EU Sun Meal Exports'!W$241</f>
        <v>0</v>
      </c>
      <c r="X30" s="141">
        <f>'[2]EU Sun Meal Exports'!X$241</f>
        <v>0</v>
      </c>
      <c r="Y30" s="141">
        <f>'[2]EU Sun Meal Exports'!Y$241</f>
        <v>0</v>
      </c>
      <c r="Z30" s="141">
        <f>'[2]EU Sun Meal Exports'!Z$241</f>
        <v>0</v>
      </c>
      <c r="AA30" s="141">
        <f>'[2]EU Sun Meal Exports'!AA$241</f>
        <v>0</v>
      </c>
      <c r="AB30" s="141">
        <f>'[2]EU Sun Meal Exports'!AB$241</f>
        <v>0</v>
      </c>
      <c r="AC30" s="141">
        <f>'[2]EU Sun Meal Exports'!AC$241</f>
        <v>0</v>
      </c>
      <c r="AD30" s="143">
        <f>'[2]EU Sun Meal Exports'!AD$241</f>
        <v>0</v>
      </c>
      <c r="AE30" s="141">
        <f>'[2]Ukraine Sun Meal Exports'!B$241</f>
        <v>0</v>
      </c>
      <c r="AF30" s="141">
        <f>'[2]Ukraine Sun Meal Exports'!C$241</f>
        <v>0</v>
      </c>
      <c r="AG30" s="141">
        <f>'[2]Ukraine Sun Meal Exports'!D$241</f>
        <v>0</v>
      </c>
      <c r="AH30" s="141">
        <f>'[2]Ukraine Sun Meal Exports'!E$241</f>
        <v>0</v>
      </c>
      <c r="AI30" s="141">
        <f>'[2]Ukraine Sun Meal Exports'!F$241</f>
        <v>0</v>
      </c>
      <c r="AJ30" s="141">
        <f>'[2]Ukraine Sun Meal Exports'!G$241</f>
        <v>0</v>
      </c>
      <c r="AK30" s="141">
        <f>'[2]Ukraine Sun Meal Exports'!H$241</f>
        <v>0</v>
      </c>
      <c r="AL30" s="141">
        <f>'[2]Ukraine Sun Meal Exports'!I$241</f>
        <v>0</v>
      </c>
      <c r="AM30" s="141">
        <f>'[2]Ukraine Sun Meal Exports'!J$241</f>
        <v>0</v>
      </c>
      <c r="AN30" s="141">
        <f>'[2]Ukraine Sun Meal Exports'!K$241</f>
        <v>0</v>
      </c>
      <c r="AO30" s="141">
        <f>'[2]Ukraine Sun Meal Exports'!L$241</f>
        <v>0</v>
      </c>
      <c r="AP30" s="141">
        <f>'[2]Ukraine Sun Meal Exports'!M$241</f>
        <v>0</v>
      </c>
      <c r="AQ30" s="141">
        <f>'[2]Ukraine Sun Meal Exports'!N$241</f>
        <v>0</v>
      </c>
      <c r="AR30" s="141">
        <f>'[2]Ukraine Sun Meal Exports'!O$241</f>
        <v>0</v>
      </c>
      <c r="AS30" s="141">
        <f>'[2]Ukraine Sun Meal Exports'!P$241</f>
        <v>0</v>
      </c>
      <c r="AT30" s="141">
        <f>'[2]Ukraine Sun Meal Exports'!Q$241</f>
        <v>0</v>
      </c>
      <c r="AU30" s="141">
        <f>'[2]Ukraine Sun Meal Exports'!R$241</f>
        <v>0</v>
      </c>
      <c r="AV30" s="141">
        <f>'[2]Ukraine Sun Meal Exports'!S$241</f>
        <v>0</v>
      </c>
      <c r="AW30" s="141">
        <f>'[2]Ukraine Sun Meal Exports'!T$241</f>
        <v>0</v>
      </c>
      <c r="AX30" s="141">
        <f>'[2]Ukraine Sun Meal Exports'!U$241</f>
        <v>0</v>
      </c>
      <c r="AY30" s="141">
        <f>'[2]Ukraine Sun Meal Exports'!V$241</f>
        <v>0</v>
      </c>
      <c r="AZ30" s="141">
        <f>'[2]Ukraine Sun Meal Exports'!W$241</f>
        <v>0</v>
      </c>
      <c r="BA30" s="141">
        <f>'[2]Ukraine Sun Meal Exports'!X$241</f>
        <v>0</v>
      </c>
      <c r="BB30" s="141">
        <f>'[2]Ukraine Sun Meal Exports'!Y$241</f>
        <v>0</v>
      </c>
      <c r="BC30" s="141">
        <f>'[2]Ukraine Sun Meal Exports'!Z$241</f>
        <v>0</v>
      </c>
      <c r="BD30" s="141">
        <f>'[2]Ukraine Sun Meal Exports'!AA$241</f>
        <v>0</v>
      </c>
      <c r="BE30" s="141">
        <f>'[2]Ukraine Sun Meal Exports'!AB$241</f>
        <v>0</v>
      </c>
      <c r="BF30" s="141">
        <f>'[2]Ukraine Sun Meal Exports'!AC$241</f>
        <v>0</v>
      </c>
      <c r="BG30" s="143">
        <f>'[2]Ukraine Sun Meal Exports'!AD$241</f>
        <v>0</v>
      </c>
      <c r="BH30" s="141">
        <f>'[2]Russia Sun Meal Exports'!B$241</f>
        <v>0</v>
      </c>
      <c r="BI30" s="141">
        <f>'[2]Russia Sun Meal Exports'!C$241</f>
        <v>0</v>
      </c>
      <c r="BJ30" s="141">
        <f>'[2]Russia Sun Meal Exports'!D$241</f>
        <v>0</v>
      </c>
      <c r="BK30" s="141">
        <f>'[2]Russia Sun Meal Exports'!E$241</f>
        <v>0</v>
      </c>
      <c r="BL30" s="141">
        <f>'[2]Russia Sun Meal Exports'!F$241</f>
        <v>0</v>
      </c>
      <c r="BM30" s="141">
        <f>'[2]Russia Sun Meal Exports'!G$241</f>
        <v>0</v>
      </c>
      <c r="BN30" s="141">
        <f>'[2]Russia Sun Meal Exports'!H$241</f>
        <v>0</v>
      </c>
      <c r="BO30" s="141">
        <f>'[2]Russia Sun Meal Exports'!I$241</f>
        <v>0</v>
      </c>
      <c r="BP30" s="141">
        <f>'[2]Russia Sun Meal Exports'!J$241</f>
        <v>0</v>
      </c>
      <c r="BQ30" s="141">
        <f>'[2]Russia Sun Meal Exports'!K$241</f>
        <v>0</v>
      </c>
      <c r="BR30" s="141">
        <f>'[2]Russia Sun Meal Exports'!L$241</f>
        <v>0</v>
      </c>
      <c r="BS30" s="141">
        <f>'[2]Russia Sun Meal Exports'!M$241</f>
        <v>0</v>
      </c>
      <c r="BT30" s="141">
        <f>'[2]Russia Sun Meal Exports'!N$241</f>
        <v>0</v>
      </c>
      <c r="BU30" s="141">
        <f>'[2]Russia Sun Meal Exports'!O$241</f>
        <v>0</v>
      </c>
      <c r="BV30" s="141">
        <f>'[2]Russia Sun Meal Exports'!P$241</f>
        <v>0</v>
      </c>
      <c r="BW30" s="141">
        <f>'[2]Russia Sun Meal Exports'!Q$241</f>
        <v>0</v>
      </c>
      <c r="BX30" s="141">
        <f>'[2]Russia Sun Meal Exports'!R$241</f>
        <v>0</v>
      </c>
      <c r="BY30" s="141">
        <f>'[2]Russia Sun Meal Exports'!S$241</f>
        <v>0</v>
      </c>
      <c r="BZ30" s="141">
        <f>'[2]Russia Sun Meal Exports'!T$241</f>
        <v>0</v>
      </c>
      <c r="CA30" s="141">
        <f>'[2]Russia Sun Meal Exports'!U$241</f>
        <v>0</v>
      </c>
      <c r="CB30" s="141">
        <f>'[2]Russia Sun Meal Exports'!V$241</f>
        <v>0</v>
      </c>
      <c r="CC30" s="141">
        <f>'[2]Russia Sun Meal Exports'!W$241</f>
        <v>0</v>
      </c>
      <c r="CD30" s="141">
        <f>'[2]Russia Sun Meal Exports'!X$241</f>
        <v>0</v>
      </c>
      <c r="CE30" s="141">
        <f>'[2]Russia Sun Meal Exports'!Y$241</f>
        <v>0</v>
      </c>
      <c r="CF30" s="141">
        <f>'[2]Russia Sun Meal Exports'!Z$241</f>
        <v>0</v>
      </c>
      <c r="CG30" s="147">
        <f>'[2]Russia Sun Meal Exports'!AA$241</f>
        <v>0</v>
      </c>
      <c r="CH30" s="141">
        <f>'[2]Russia Sun Meal Exports'!AB$241</f>
        <v>0</v>
      </c>
      <c r="CI30" s="141">
        <f>'[2]Russia Sun Meal Exports'!AC$241</f>
        <v>0</v>
      </c>
      <c r="CJ30" s="143">
        <f>'[2]Russia Sun Meal Exports'!AD$241</f>
        <v>0</v>
      </c>
      <c r="CK30" s="141">
        <f>'[3]Sunflower Meal Exports'!B$241/1.10231</f>
        <v>0</v>
      </c>
      <c r="CL30" s="141">
        <f>'[3]Sunflower Meal Exports'!C$241/1.10231</f>
        <v>0</v>
      </c>
      <c r="CM30" s="141">
        <f>'[3]Sunflower Meal Exports'!D$241/1.10231</f>
        <v>0</v>
      </c>
      <c r="CN30" s="141">
        <f>'[3]Sunflower Meal Exports'!E$241/1.10231</f>
        <v>0</v>
      </c>
      <c r="CO30" s="141">
        <f>'[3]Sunflower Meal Exports'!F$241/1.10231</f>
        <v>0</v>
      </c>
      <c r="CP30" s="141">
        <f>'[3]Sunflower Meal Exports'!G$241/1.10231</f>
        <v>0</v>
      </c>
      <c r="CQ30" s="141">
        <f>'[3]Sunflower Meal Exports'!H$241/1.10231</f>
        <v>0</v>
      </c>
      <c r="CR30" s="141">
        <f>'[3]Sunflower Meal Exports'!I$241/1.10231</f>
        <v>0</v>
      </c>
      <c r="CS30" s="141">
        <f>'[3]Sunflower Meal Exports'!J$241/1.10231</f>
        <v>0</v>
      </c>
      <c r="CT30" s="141">
        <f>'[3]Sunflower Meal Exports'!K$241/1.10231</f>
        <v>0</v>
      </c>
      <c r="CU30" s="141">
        <f>'[3]Sunflower Meal Exports'!L$241/1.10231</f>
        <v>0</v>
      </c>
      <c r="CV30" s="141">
        <f>'[3]Sunflower Meal Exports'!M$241/1.10231</f>
        <v>0</v>
      </c>
      <c r="CW30" s="141">
        <f>'[3]Sunflower Meal Exports'!N$241/1.10231</f>
        <v>0</v>
      </c>
      <c r="CX30" s="141">
        <f>'[3]Sunflower Meal Exports'!O$241/1.10231</f>
        <v>0</v>
      </c>
      <c r="CY30" s="141">
        <f>'[3]Sunflower Meal Exports'!P$241/1.10231</f>
        <v>1.2600011430541319E-2</v>
      </c>
      <c r="CZ30" s="141">
        <f>'[3]Sunflower Meal Exports'!Q$241/1.10231</f>
        <v>0</v>
      </c>
      <c r="DA30" s="141">
        <f>'[3]Sunflower Meal Exports'!R$241/1.10231</f>
        <v>0</v>
      </c>
      <c r="DB30" s="141">
        <f>'[3]Sunflower Meal Exports'!S$241/1.10231</f>
        <v>0</v>
      </c>
      <c r="DC30" s="141">
        <f>'[3]Sunflower Meal Exports'!T$241/1.10231</f>
        <v>0</v>
      </c>
      <c r="DD30" s="141">
        <f>'[3]Sunflower Meal Exports'!U$241/1.10231</f>
        <v>0</v>
      </c>
      <c r="DE30" s="141">
        <f>'[3]Sunflower Meal Exports'!V$241/1.10231</f>
        <v>0</v>
      </c>
      <c r="DF30" s="141">
        <f>'[3]Sunflower Meal Exports'!W$241/1.10231</f>
        <v>0</v>
      </c>
      <c r="DG30" s="141">
        <f>'[3]Sunflower Meal Exports'!X$241/1.10231</f>
        <v>0</v>
      </c>
      <c r="DH30" s="141">
        <f>'[3]Sunflower Meal Exports'!Y$241/1.10231</f>
        <v>0</v>
      </c>
      <c r="DI30" s="141">
        <f>'[3]Sunflower Meal Exports'!Z$241/1.10231</f>
        <v>0</v>
      </c>
      <c r="DJ30" s="141">
        <f>'[3]Sunflower Meal Exports'!AA$241/1.10231</f>
        <v>0</v>
      </c>
      <c r="DK30" s="141">
        <f>'[3]Sunflower Meal Exports'!AB$241/1.10231</f>
        <v>5.6818000000000007E-2</v>
      </c>
      <c r="DL30" s="141">
        <f>'[3]Sunflower Meal Exports'!AC$241/1.10231</f>
        <v>0</v>
      </c>
      <c r="DM30" s="143">
        <f>'[3]Sunflower Meal Exports'!AD$241/1.10231</f>
        <v>0</v>
      </c>
      <c r="DN30" s="141">
        <f t="shared" si="10"/>
        <v>0</v>
      </c>
      <c r="DO30" s="141">
        <f t="shared" si="10"/>
        <v>0</v>
      </c>
      <c r="DP30" s="141">
        <f t="shared" si="10"/>
        <v>0</v>
      </c>
      <c r="DQ30" s="141">
        <f t="shared" si="10"/>
        <v>0</v>
      </c>
      <c r="DR30" s="141">
        <f t="shared" si="10"/>
        <v>0</v>
      </c>
      <c r="DS30" s="141">
        <f t="shared" si="10"/>
        <v>0</v>
      </c>
      <c r="DT30" s="141">
        <f t="shared" si="10"/>
        <v>0</v>
      </c>
      <c r="DU30" s="141">
        <f t="shared" si="10"/>
        <v>0</v>
      </c>
      <c r="DV30" s="141">
        <f t="shared" si="10"/>
        <v>0</v>
      </c>
      <c r="DW30" s="141">
        <f t="shared" si="10"/>
        <v>0</v>
      </c>
      <c r="DX30" s="141">
        <f t="shared" si="10"/>
        <v>0</v>
      </c>
      <c r="DY30" s="141">
        <f t="shared" si="12"/>
        <v>0</v>
      </c>
      <c r="DZ30" s="141">
        <f t="shared" si="12"/>
        <v>0</v>
      </c>
      <c r="EA30" s="141">
        <f t="shared" si="12"/>
        <v>0</v>
      </c>
      <c r="EB30" s="141">
        <f t="shared" si="12"/>
        <v>1.2600011430541319E-2</v>
      </c>
      <c r="EC30" s="141">
        <f t="shared" si="12"/>
        <v>0</v>
      </c>
      <c r="ED30" s="141">
        <f t="shared" si="12"/>
        <v>0</v>
      </c>
      <c r="EE30" s="141">
        <f t="shared" si="12"/>
        <v>0</v>
      </c>
      <c r="EF30" s="141">
        <f t="shared" si="12"/>
        <v>0</v>
      </c>
      <c r="EG30" s="141">
        <f t="shared" si="12"/>
        <v>0</v>
      </c>
      <c r="EH30" s="141">
        <f t="shared" si="12"/>
        <v>0</v>
      </c>
      <c r="EI30" s="141">
        <f t="shared" si="12"/>
        <v>0</v>
      </c>
      <c r="EJ30" s="141">
        <f t="shared" si="12"/>
        <v>0</v>
      </c>
      <c r="EK30" s="141">
        <f t="shared" si="12"/>
        <v>0</v>
      </c>
      <c r="EL30" s="141">
        <f t="shared" si="12"/>
        <v>0</v>
      </c>
      <c r="EM30" s="141">
        <f t="shared" si="12"/>
        <v>0</v>
      </c>
      <c r="EN30" s="141">
        <f t="shared" si="13"/>
        <v>5.6818000000000007E-2</v>
      </c>
      <c r="EO30" s="141">
        <f t="shared" si="13"/>
        <v>0</v>
      </c>
      <c r="EP30" s="145">
        <f t="shared" si="13"/>
        <v>0</v>
      </c>
      <c r="EQ30" s="145">
        <v>0</v>
      </c>
      <c r="ES30" s="141">
        <f t="shared" si="11"/>
        <v>0</v>
      </c>
      <c r="ET30" s="141">
        <f t="shared" si="11"/>
        <v>0</v>
      </c>
    </row>
    <row r="31" spans="1:150">
      <c r="A31" s="148" t="s">
        <v>162</v>
      </c>
      <c r="B31" s="146">
        <f>'[2]EU Sun Meal Exports'!B$243</f>
        <v>0</v>
      </c>
      <c r="C31" s="146">
        <f>'[2]EU Sun Meal Exports'!C$243</f>
        <v>0</v>
      </c>
      <c r="D31" s="146">
        <f>'[2]EU Sun Meal Exports'!D$243</f>
        <v>0</v>
      </c>
      <c r="E31" s="146">
        <f>'[2]EU Sun Meal Exports'!E$243</f>
        <v>0</v>
      </c>
      <c r="F31" s="146">
        <f>'[2]EU Sun Meal Exports'!F$243</f>
        <v>0</v>
      </c>
      <c r="G31" s="146">
        <f>'[2]EU Sun Meal Exports'!G$243</f>
        <v>0</v>
      </c>
      <c r="H31" s="146">
        <f>'[2]EU Sun Meal Exports'!H$243</f>
        <v>0</v>
      </c>
      <c r="I31" s="146">
        <f>'[2]EU Sun Meal Exports'!I$243</f>
        <v>0</v>
      </c>
      <c r="J31" s="146">
        <f>'[2]EU Sun Meal Exports'!J$243</f>
        <v>0</v>
      </c>
      <c r="K31" s="146">
        <f>'[2]EU Sun Meal Exports'!K$243</f>
        <v>0</v>
      </c>
      <c r="L31" s="146">
        <f>'[2]EU Sun Meal Exports'!L$243</f>
        <v>0</v>
      </c>
      <c r="M31" s="146">
        <f>'[2]EU Sun Meal Exports'!M$243</f>
        <v>0</v>
      </c>
      <c r="N31" s="146">
        <f>'[2]EU Sun Meal Exports'!N$243</f>
        <v>0</v>
      </c>
      <c r="O31" s="146">
        <f>'[2]EU Sun Meal Exports'!O$243</f>
        <v>0</v>
      </c>
      <c r="P31" s="141">
        <f>'[2]EU Sun Meal Exports'!P$243</f>
        <v>0</v>
      </c>
      <c r="Q31" s="141">
        <f>'[2]EU Sun Meal Exports'!Q$243</f>
        <v>0</v>
      </c>
      <c r="R31" s="141">
        <f>'[2]EU Sun Meal Exports'!R$243</f>
        <v>2E-3</v>
      </c>
      <c r="S31" s="141">
        <f>'[2]EU Sun Meal Exports'!S$243</f>
        <v>5.0000000000000001E-3</v>
      </c>
      <c r="T31" s="141">
        <f>'[2]EU Sun Meal Exports'!T$243</f>
        <v>0.01</v>
      </c>
      <c r="U31" s="141">
        <f>'[2]EU Sun Meal Exports'!U$243</f>
        <v>0.04</v>
      </c>
      <c r="V31" s="141">
        <f>'[2]EU Sun Meal Exports'!V$243</f>
        <v>1.0999999999999999E-2</v>
      </c>
      <c r="W31" s="141">
        <f>'[2]EU Sun Meal Exports'!W$243</f>
        <v>6.0000000000000001E-3</v>
      </c>
      <c r="X31" s="141">
        <f>'[2]EU Sun Meal Exports'!X$243</f>
        <v>0.11700000000000001</v>
      </c>
      <c r="Y31" s="141">
        <f>'[2]EU Sun Meal Exports'!Y$243</f>
        <v>0</v>
      </c>
      <c r="Z31" s="141">
        <f>'[2]EU Sun Meal Exports'!Z$243</f>
        <v>0</v>
      </c>
      <c r="AA31" s="141">
        <f>'[2]EU Sun Meal Exports'!AA$243</f>
        <v>0</v>
      </c>
      <c r="AB31" s="141">
        <f>'[2]EU Sun Meal Exports'!AB$243</f>
        <v>0</v>
      </c>
      <c r="AC31" s="141">
        <f>'[2]EU Sun Meal Exports'!AC$243</f>
        <v>0</v>
      </c>
      <c r="AD31" s="143">
        <f>'[2]EU Sun Meal Exports'!AD$243</f>
        <v>0</v>
      </c>
      <c r="AE31" s="141">
        <f>'[2]Ukraine Sun Meal Exports'!B$243</f>
        <v>0</v>
      </c>
      <c r="AF31" s="141">
        <f>'[2]Ukraine Sun Meal Exports'!C$243</f>
        <v>0</v>
      </c>
      <c r="AG31" s="141">
        <f>'[2]Ukraine Sun Meal Exports'!D$243</f>
        <v>0</v>
      </c>
      <c r="AH31" s="141">
        <f>'[2]Ukraine Sun Meal Exports'!E$243</f>
        <v>0</v>
      </c>
      <c r="AI31" s="141">
        <f>'[2]Ukraine Sun Meal Exports'!F$243</f>
        <v>0</v>
      </c>
      <c r="AJ31" s="141">
        <f>'[2]Ukraine Sun Meal Exports'!G$243</f>
        <v>0</v>
      </c>
      <c r="AK31" s="141">
        <f>'[2]Ukraine Sun Meal Exports'!H$243</f>
        <v>0</v>
      </c>
      <c r="AL31" s="141">
        <f>'[2]Ukraine Sun Meal Exports'!I$243</f>
        <v>0</v>
      </c>
      <c r="AM31" s="141">
        <f>'[2]Ukraine Sun Meal Exports'!J$243</f>
        <v>0</v>
      </c>
      <c r="AN31" s="141">
        <f>'[2]Ukraine Sun Meal Exports'!K$243</f>
        <v>0</v>
      </c>
      <c r="AO31" s="141">
        <f>'[2]Ukraine Sun Meal Exports'!L$243</f>
        <v>0</v>
      </c>
      <c r="AP31" s="141">
        <f>'[2]Ukraine Sun Meal Exports'!M$243</f>
        <v>0</v>
      </c>
      <c r="AQ31" s="141">
        <f>'[2]Ukraine Sun Meal Exports'!N$243</f>
        <v>0</v>
      </c>
      <c r="AR31" s="141">
        <f>'[2]Ukraine Sun Meal Exports'!O$243</f>
        <v>0</v>
      </c>
      <c r="AS31" s="141">
        <f>'[2]Ukraine Sun Meal Exports'!P$243</f>
        <v>0</v>
      </c>
      <c r="AT31" s="141">
        <f>'[2]Ukraine Sun Meal Exports'!Q$243</f>
        <v>0</v>
      </c>
      <c r="AU31" s="141">
        <f>'[2]Ukraine Sun Meal Exports'!R$243</f>
        <v>0</v>
      </c>
      <c r="AV31" s="141">
        <f>'[2]Ukraine Sun Meal Exports'!S$243</f>
        <v>0</v>
      </c>
      <c r="AW31" s="141">
        <f>'[2]Ukraine Sun Meal Exports'!T$243</f>
        <v>0</v>
      </c>
      <c r="AX31" s="141">
        <f>'[2]Ukraine Sun Meal Exports'!U$243</f>
        <v>0</v>
      </c>
      <c r="AY31" s="141">
        <f>'[2]Ukraine Sun Meal Exports'!V$243</f>
        <v>0</v>
      </c>
      <c r="AZ31" s="141">
        <f>'[2]Ukraine Sun Meal Exports'!W$243</f>
        <v>0</v>
      </c>
      <c r="BA31" s="141">
        <f>'[2]Ukraine Sun Meal Exports'!X$243</f>
        <v>0</v>
      </c>
      <c r="BB31" s="141">
        <f>'[2]Ukraine Sun Meal Exports'!Y$243</f>
        <v>1.208</v>
      </c>
      <c r="BC31" s="141">
        <f>'[2]Ukraine Sun Meal Exports'!Z$243</f>
        <v>0</v>
      </c>
      <c r="BD31" s="141">
        <f>'[2]Ukraine Sun Meal Exports'!AA$243</f>
        <v>0</v>
      </c>
      <c r="BE31" s="141">
        <f>'[2]Ukraine Sun Meal Exports'!AB$243</f>
        <v>0</v>
      </c>
      <c r="BF31" s="141">
        <f>'[2]Ukraine Sun Meal Exports'!AC$243</f>
        <v>0</v>
      </c>
      <c r="BG31" s="143">
        <f>'[2]Ukraine Sun Meal Exports'!AD$243</f>
        <v>0</v>
      </c>
      <c r="BH31" s="141">
        <f>'[2]Russia Sun Meal Exports'!B$243</f>
        <v>0</v>
      </c>
      <c r="BI31" s="141">
        <f>'[2]Russia Sun Meal Exports'!C$243</f>
        <v>0</v>
      </c>
      <c r="BJ31" s="141">
        <f>'[2]Russia Sun Meal Exports'!D$243</f>
        <v>0</v>
      </c>
      <c r="BK31" s="141">
        <f>'[2]Russia Sun Meal Exports'!E$243</f>
        <v>0</v>
      </c>
      <c r="BL31" s="141">
        <f>'[2]Russia Sun Meal Exports'!F$243</f>
        <v>0</v>
      </c>
      <c r="BM31" s="141">
        <f>'[2]Russia Sun Meal Exports'!G$243</f>
        <v>0</v>
      </c>
      <c r="BN31" s="141">
        <f>'[2]Russia Sun Meal Exports'!H$243</f>
        <v>0</v>
      </c>
      <c r="BO31" s="141">
        <f>'[2]Russia Sun Meal Exports'!I$243</f>
        <v>0</v>
      </c>
      <c r="BP31" s="141">
        <f>'[2]Russia Sun Meal Exports'!J$243</f>
        <v>0</v>
      </c>
      <c r="BQ31" s="141">
        <f>'[2]Russia Sun Meal Exports'!K$243</f>
        <v>0</v>
      </c>
      <c r="BR31" s="141">
        <f>'[2]Russia Sun Meal Exports'!L$243</f>
        <v>0</v>
      </c>
      <c r="BS31" s="141">
        <f>'[2]Russia Sun Meal Exports'!M$243</f>
        <v>0</v>
      </c>
      <c r="BT31" s="141">
        <f>'[2]Russia Sun Meal Exports'!N$243</f>
        <v>0</v>
      </c>
      <c r="BU31" s="141">
        <f>'[2]Russia Sun Meal Exports'!O$243</f>
        <v>0</v>
      </c>
      <c r="BV31" s="141">
        <f>'[2]Russia Sun Meal Exports'!P$243</f>
        <v>0</v>
      </c>
      <c r="BW31" s="141">
        <f>'[2]Russia Sun Meal Exports'!Q$243</f>
        <v>0</v>
      </c>
      <c r="BX31" s="141">
        <f>'[2]Russia Sun Meal Exports'!R$243</f>
        <v>0</v>
      </c>
      <c r="BY31" s="141">
        <f>'[2]Russia Sun Meal Exports'!S$243</f>
        <v>0</v>
      </c>
      <c r="BZ31" s="141">
        <f>'[2]Russia Sun Meal Exports'!T$243</f>
        <v>0</v>
      </c>
      <c r="CA31" s="141">
        <f>'[2]Russia Sun Meal Exports'!U$243</f>
        <v>0</v>
      </c>
      <c r="CB31" s="141">
        <f>'[2]Russia Sun Meal Exports'!V$243</f>
        <v>0</v>
      </c>
      <c r="CC31" s="141">
        <f>'[2]Russia Sun Meal Exports'!W$243</f>
        <v>0</v>
      </c>
      <c r="CD31" s="141">
        <f>'[2]Russia Sun Meal Exports'!X$243</f>
        <v>0</v>
      </c>
      <c r="CE31" s="141">
        <f>'[2]Russia Sun Meal Exports'!Y$243</f>
        <v>0</v>
      </c>
      <c r="CF31" s="141">
        <f>'[2]Russia Sun Meal Exports'!Z$243</f>
        <v>0</v>
      </c>
      <c r="CG31" s="147">
        <f>'[2]Russia Sun Meal Exports'!AA$243</f>
        <v>0</v>
      </c>
      <c r="CH31" s="141">
        <f>'[2]Russia Sun Meal Exports'!AB$243</f>
        <v>0</v>
      </c>
      <c r="CI31" s="141">
        <f>'[2]Russia Sun Meal Exports'!AC$243</f>
        <v>0</v>
      </c>
      <c r="CJ31" s="143">
        <f>'[2]Russia Sun Meal Exports'!AD$243</f>
        <v>0</v>
      </c>
      <c r="CK31" s="141">
        <f>'[3]Sunflower Meal Exports'!B$243/1.10231</f>
        <v>0</v>
      </c>
      <c r="CL31" s="141">
        <f>'[3]Sunflower Meal Exports'!C$243/1.10231</f>
        <v>0.57500052163184601</v>
      </c>
      <c r="CM31" s="141">
        <f>'[3]Sunflower Meal Exports'!D$243/1.10231</f>
        <v>0.45160040968511578</v>
      </c>
      <c r="CN31" s="141">
        <f>'[3]Sunflower Meal Exports'!E$243/1.10231</f>
        <v>0.30060027270005724</v>
      </c>
      <c r="CO31" s="141">
        <f>'[3]Sunflower Meal Exports'!F$243/1.10231</f>
        <v>8.3600075840734464E-2</v>
      </c>
      <c r="CP31" s="141">
        <f>'[3]Sunflower Meal Exports'!G$243/1.10231</f>
        <v>0.81090073563698051</v>
      </c>
      <c r="CQ31" s="141">
        <f>'[3]Sunflower Meal Exports'!H$243/1.10231</f>
        <v>1.9567017750904918</v>
      </c>
      <c r="CR31" s="141">
        <f>'[3]Sunflower Meal Exports'!I$243/1.10231</f>
        <v>1.4241012919233251</v>
      </c>
      <c r="CS31" s="141">
        <f>'[3]Sunflower Meal Exports'!J$243/1.10231</f>
        <v>2.1652019642387352</v>
      </c>
      <c r="CT31" s="141">
        <f>'[3]Sunflower Meal Exports'!K$243/1.10231</f>
        <v>1.7111015522856547</v>
      </c>
      <c r="CU31" s="141">
        <f>'[3]Sunflower Meal Exports'!L$243/1.10231</f>
        <v>0.23060020919704985</v>
      </c>
      <c r="CV31" s="141">
        <f>'[3]Sunflower Meal Exports'!M$243/1.10231</f>
        <v>0.30330027514945895</v>
      </c>
      <c r="CW31" s="141">
        <f>'[3]Sunflower Meal Exports'!N$243/1.10231</f>
        <v>1.668801513911695</v>
      </c>
      <c r="CX31" s="141">
        <f>'[3]Sunflower Meal Exports'!O$243/1.10231</f>
        <v>3.9998036285618381</v>
      </c>
      <c r="CY31" s="141">
        <f>'[3]Sunflower Meal Exports'!P$243/1.10231</f>
        <v>2.3161021011330751</v>
      </c>
      <c r="CZ31" s="141">
        <f>'[3]Sunflower Meal Exports'!Q$243/1.10231</f>
        <v>2.3982021756130312</v>
      </c>
      <c r="DA31" s="141">
        <f>'[3]Sunflower Meal Exports'!R$243/1.10231</f>
        <v>2.4098021861363867</v>
      </c>
      <c r="DB31" s="141">
        <f>'[3]Sunflower Meal Exports'!S$243/1.10231</f>
        <v>2.0478018577351196</v>
      </c>
      <c r="DC31" s="141">
        <f>'[3]Sunflower Meal Exports'!T$243/1.10231</f>
        <v>3.1108028220736452</v>
      </c>
      <c r="DD31" s="141">
        <f>'[3]Sunflower Meal Exports'!U$243/1.10231</f>
        <v>5.2883047974707669</v>
      </c>
      <c r="DE31" s="141">
        <f>'[3]Sunflower Meal Exports'!V$243/1.10231</f>
        <v>4.3268039252116015</v>
      </c>
      <c r="DF31" s="141">
        <f>'[3]Sunflower Meal Exports'!W$243/1.10231</f>
        <v>4.3694039638577173</v>
      </c>
      <c r="DG31" s="141">
        <f>'[3]Sunflower Meal Exports'!X$243/1.10231</f>
        <v>3.780303429434551</v>
      </c>
      <c r="DH31" s="141">
        <f>'[3]Sunflower Meal Exports'!Y$243/1.10231</f>
        <v>3.6317650101514105</v>
      </c>
      <c r="DI31" s="141">
        <f>'[3]Sunflower Meal Exports'!Z$243/1.10231</f>
        <v>3.0510430000000004</v>
      </c>
      <c r="DJ31" s="141">
        <f>'[3]Sunflower Meal Exports'!AA$243/1.10231</f>
        <v>14.267371000000001</v>
      </c>
      <c r="DK31" s="141">
        <f>'[3]Sunflower Meal Exports'!AB$243/1.10231</f>
        <v>20.139444000000001</v>
      </c>
      <c r="DL31" s="141">
        <f>'[3]Sunflower Meal Exports'!AC$243/1.10231</f>
        <v>27.249604881167734</v>
      </c>
      <c r="DM31" s="143">
        <v>25</v>
      </c>
      <c r="DN31" s="141">
        <f t="shared" si="10"/>
        <v>0</v>
      </c>
      <c r="DO31" s="141">
        <f t="shared" si="10"/>
        <v>0.57500052163184601</v>
      </c>
      <c r="DP31" s="141">
        <f t="shared" si="10"/>
        <v>0.45160040968511578</v>
      </c>
      <c r="DQ31" s="141">
        <f t="shared" si="10"/>
        <v>0.30060027270005724</v>
      </c>
      <c r="DR31" s="141">
        <f t="shared" si="10"/>
        <v>8.3600075840734464E-2</v>
      </c>
      <c r="DS31" s="141">
        <f t="shared" si="10"/>
        <v>0.81090073563698051</v>
      </c>
      <c r="DT31" s="141">
        <f t="shared" si="10"/>
        <v>1.9567017750904918</v>
      </c>
      <c r="DU31" s="141">
        <f t="shared" si="10"/>
        <v>1.4241012919233251</v>
      </c>
      <c r="DV31" s="141">
        <f t="shared" si="10"/>
        <v>2.1652019642387352</v>
      </c>
      <c r="DW31" s="141">
        <f t="shared" si="10"/>
        <v>1.7111015522856547</v>
      </c>
      <c r="DX31" s="141">
        <f t="shared" si="10"/>
        <v>0.23060020919704985</v>
      </c>
      <c r="DY31" s="141">
        <f t="shared" si="12"/>
        <v>0.30330027514945895</v>
      </c>
      <c r="DZ31" s="141">
        <f t="shared" si="12"/>
        <v>1.668801513911695</v>
      </c>
      <c r="EA31" s="141">
        <f t="shared" si="12"/>
        <v>3.9998036285618381</v>
      </c>
      <c r="EB31" s="141">
        <f t="shared" si="12"/>
        <v>2.3161021011330751</v>
      </c>
      <c r="EC31" s="141">
        <f t="shared" si="12"/>
        <v>2.3982021756130312</v>
      </c>
      <c r="ED31" s="141">
        <f t="shared" si="12"/>
        <v>2.4118021861363865</v>
      </c>
      <c r="EE31" s="141">
        <f t="shared" si="12"/>
        <v>2.0528018577351195</v>
      </c>
      <c r="EF31" s="141">
        <f t="shared" si="12"/>
        <v>3.120802822073645</v>
      </c>
      <c r="EG31" s="141">
        <f t="shared" si="12"/>
        <v>5.3283047974707669</v>
      </c>
      <c r="EH31" s="141">
        <f t="shared" si="12"/>
        <v>4.3378039252116016</v>
      </c>
      <c r="EI31" s="141">
        <f t="shared" si="12"/>
        <v>4.3754039638577176</v>
      </c>
      <c r="EJ31" s="141">
        <f t="shared" si="12"/>
        <v>3.897303429434551</v>
      </c>
      <c r="EK31" s="141">
        <f t="shared" si="12"/>
        <v>4.8397650101514103</v>
      </c>
      <c r="EL31" s="141">
        <f t="shared" si="12"/>
        <v>3.0510430000000004</v>
      </c>
      <c r="EM31" s="141">
        <f t="shared" si="12"/>
        <v>14.267371000000001</v>
      </c>
      <c r="EN31" s="141">
        <f t="shared" si="13"/>
        <v>20.139444000000001</v>
      </c>
      <c r="EO31" s="141">
        <f t="shared" si="13"/>
        <v>27.249604881167734</v>
      </c>
      <c r="EP31" s="145">
        <f>'Canada Sun Complex'!AD24</f>
        <v>25</v>
      </c>
      <c r="EQ31" s="145">
        <f>'Canada Sun Complex'!AE24</f>
        <v>25</v>
      </c>
      <c r="ES31" s="141">
        <f t="shared" si="11"/>
        <v>0</v>
      </c>
      <c r="ET31" s="141">
        <f t="shared" si="11"/>
        <v>0</v>
      </c>
    </row>
    <row r="32" spans="1:150">
      <c r="A32" s="137" t="s">
        <v>163</v>
      </c>
      <c r="B32" s="146">
        <f>'[2]EU Sun Meal Exports'!B$245</f>
        <v>0</v>
      </c>
      <c r="C32" s="146">
        <f>'[2]EU Sun Meal Exports'!C$245</f>
        <v>0</v>
      </c>
      <c r="D32" s="146">
        <f>'[2]EU Sun Meal Exports'!D$245</f>
        <v>0</v>
      </c>
      <c r="E32" s="146">
        <f>'[2]EU Sun Meal Exports'!E$245</f>
        <v>0</v>
      </c>
      <c r="F32" s="146">
        <f>'[2]EU Sun Meal Exports'!F$245</f>
        <v>0</v>
      </c>
      <c r="G32" s="146">
        <f>'[2]EU Sun Meal Exports'!G$245</f>
        <v>0</v>
      </c>
      <c r="H32" s="146">
        <f>'[2]EU Sun Meal Exports'!H$245</f>
        <v>0</v>
      </c>
      <c r="I32" s="146">
        <f>'[2]EU Sun Meal Exports'!I$245</f>
        <v>0</v>
      </c>
      <c r="J32" s="146">
        <f>'[2]EU Sun Meal Exports'!J$245</f>
        <v>0</v>
      </c>
      <c r="K32" s="146">
        <f>'[2]EU Sun Meal Exports'!K$245</f>
        <v>0</v>
      </c>
      <c r="L32" s="146">
        <f>'[2]EU Sun Meal Exports'!L$245</f>
        <v>0</v>
      </c>
      <c r="M32" s="146">
        <f>'[2]EU Sun Meal Exports'!M$245</f>
        <v>0</v>
      </c>
      <c r="N32" s="146">
        <f>'[2]EU Sun Meal Exports'!N$245</f>
        <v>0</v>
      </c>
      <c r="O32" s="146">
        <f>'[2]EU Sun Meal Exports'!O$245</f>
        <v>0</v>
      </c>
      <c r="P32" s="141">
        <f>'[2]EU Sun Meal Exports'!P$245</f>
        <v>0</v>
      </c>
      <c r="Q32" s="141">
        <f>'[2]EU Sun Meal Exports'!Q$245</f>
        <v>0</v>
      </c>
      <c r="R32" s="141">
        <f>'[2]EU Sun Meal Exports'!R$245</f>
        <v>0</v>
      </c>
      <c r="S32" s="141">
        <f>'[2]EU Sun Meal Exports'!S$245</f>
        <v>0</v>
      </c>
      <c r="T32" s="141">
        <f>'[2]EU Sun Meal Exports'!T$245</f>
        <v>0</v>
      </c>
      <c r="U32" s="141">
        <f>'[2]EU Sun Meal Exports'!U$245</f>
        <v>0</v>
      </c>
      <c r="V32" s="141">
        <f>'[2]EU Sun Meal Exports'!V$245</f>
        <v>0</v>
      </c>
      <c r="W32" s="141">
        <f>'[2]EU Sun Meal Exports'!W$245</f>
        <v>0</v>
      </c>
      <c r="X32" s="141">
        <f>'[2]EU Sun Meal Exports'!X$245</f>
        <v>0</v>
      </c>
      <c r="Y32" s="141">
        <f>'[2]EU Sun Meal Exports'!Y$245</f>
        <v>0</v>
      </c>
      <c r="Z32" s="141">
        <f>'[2]EU Sun Meal Exports'!Z$245</f>
        <v>0</v>
      </c>
      <c r="AA32" s="141">
        <f>'[2]EU Sun Meal Exports'!AA$245</f>
        <v>0</v>
      </c>
      <c r="AB32" s="141">
        <f>'[2]EU Sun Meal Exports'!AB$245</f>
        <v>0</v>
      </c>
      <c r="AC32" s="141">
        <f>'[2]EU Sun Meal Exports'!AC$245</f>
        <v>0</v>
      </c>
      <c r="AD32" s="143">
        <f>'[2]EU Sun Meal Exports'!AD$245</f>
        <v>0</v>
      </c>
      <c r="AE32" s="141">
        <f>'[2]Ukraine Sun Meal Exports'!B$245</f>
        <v>0</v>
      </c>
      <c r="AF32" s="141">
        <f>'[2]Ukraine Sun Meal Exports'!C$245</f>
        <v>0</v>
      </c>
      <c r="AG32" s="141">
        <f>'[2]Ukraine Sun Meal Exports'!D$245</f>
        <v>0</v>
      </c>
      <c r="AH32" s="141">
        <f>'[2]Ukraine Sun Meal Exports'!E$245</f>
        <v>0</v>
      </c>
      <c r="AI32" s="141">
        <f>'[2]Ukraine Sun Meal Exports'!F$245</f>
        <v>0</v>
      </c>
      <c r="AJ32" s="141">
        <f>'[2]Ukraine Sun Meal Exports'!G$245</f>
        <v>0</v>
      </c>
      <c r="AK32" s="141">
        <f>'[2]Ukraine Sun Meal Exports'!H$245</f>
        <v>0</v>
      </c>
      <c r="AL32" s="141">
        <f>'[2]Ukraine Sun Meal Exports'!I$245</f>
        <v>0</v>
      </c>
      <c r="AM32" s="141">
        <f>'[2]Ukraine Sun Meal Exports'!J$245</f>
        <v>0</v>
      </c>
      <c r="AN32" s="141">
        <f>'[2]Ukraine Sun Meal Exports'!K$245</f>
        <v>0</v>
      </c>
      <c r="AO32" s="141">
        <f>'[2]Ukraine Sun Meal Exports'!L$245</f>
        <v>0</v>
      </c>
      <c r="AP32" s="141">
        <f>'[2]Ukraine Sun Meal Exports'!M$245</f>
        <v>0</v>
      </c>
      <c r="AQ32" s="141">
        <f>'[2]Ukraine Sun Meal Exports'!N$245</f>
        <v>0</v>
      </c>
      <c r="AR32" s="141">
        <f>'[2]Ukraine Sun Meal Exports'!O$245</f>
        <v>0</v>
      </c>
      <c r="AS32" s="141">
        <f>'[2]Ukraine Sun Meal Exports'!P$245</f>
        <v>0</v>
      </c>
      <c r="AT32" s="141">
        <f>'[2]Ukraine Sun Meal Exports'!Q$245</f>
        <v>0</v>
      </c>
      <c r="AU32" s="141">
        <f>'[2]Ukraine Sun Meal Exports'!R$245</f>
        <v>0</v>
      </c>
      <c r="AV32" s="141">
        <f>'[2]Ukraine Sun Meal Exports'!S$245</f>
        <v>0</v>
      </c>
      <c r="AW32" s="141">
        <f>'[2]Ukraine Sun Meal Exports'!T$245</f>
        <v>0</v>
      </c>
      <c r="AX32" s="141">
        <f>'[2]Ukraine Sun Meal Exports'!U$245</f>
        <v>0</v>
      </c>
      <c r="AY32" s="141">
        <f>'[2]Ukraine Sun Meal Exports'!V$245</f>
        <v>0</v>
      </c>
      <c r="AZ32" s="141">
        <f>'[2]Ukraine Sun Meal Exports'!W$245</f>
        <v>0</v>
      </c>
      <c r="BA32" s="141">
        <f>'[2]Ukraine Sun Meal Exports'!X$245</f>
        <v>0</v>
      </c>
      <c r="BB32" s="141">
        <f>'[2]Ukraine Sun Meal Exports'!Y$245</f>
        <v>0</v>
      </c>
      <c r="BC32" s="141">
        <f>'[2]Ukraine Sun Meal Exports'!Z$245</f>
        <v>0</v>
      </c>
      <c r="BD32" s="141">
        <f>'[2]Ukraine Sun Meal Exports'!AA$245</f>
        <v>0</v>
      </c>
      <c r="BE32" s="141">
        <f>'[2]Ukraine Sun Meal Exports'!AB$245</f>
        <v>0</v>
      </c>
      <c r="BF32" s="141">
        <f>'[2]Ukraine Sun Meal Exports'!AC$245</f>
        <v>0</v>
      </c>
      <c r="BG32" s="143">
        <f>'[2]Ukraine Sun Meal Exports'!AD$245</f>
        <v>0</v>
      </c>
      <c r="BH32" s="141">
        <f>'[2]Russia Sun Meal Exports'!B$245</f>
        <v>0</v>
      </c>
      <c r="BI32" s="141">
        <f>'[2]Russia Sun Meal Exports'!C$245</f>
        <v>0</v>
      </c>
      <c r="BJ32" s="141">
        <f>'[2]Russia Sun Meal Exports'!D$245</f>
        <v>0</v>
      </c>
      <c r="BK32" s="141">
        <f>'[2]Russia Sun Meal Exports'!E$245</f>
        <v>0</v>
      </c>
      <c r="BL32" s="141">
        <f>'[2]Russia Sun Meal Exports'!F$245</f>
        <v>0</v>
      </c>
      <c r="BM32" s="141">
        <f>'[2]Russia Sun Meal Exports'!G$245</f>
        <v>0</v>
      </c>
      <c r="BN32" s="141">
        <f>'[2]Russia Sun Meal Exports'!H$245</f>
        <v>0</v>
      </c>
      <c r="BO32" s="141">
        <f>'[2]Russia Sun Meal Exports'!I$245</f>
        <v>0</v>
      </c>
      <c r="BP32" s="141">
        <f>'[2]Russia Sun Meal Exports'!J$245</f>
        <v>0</v>
      </c>
      <c r="BQ32" s="141">
        <f>'[2]Russia Sun Meal Exports'!K$245</f>
        <v>0</v>
      </c>
      <c r="BR32" s="141">
        <f>'[2]Russia Sun Meal Exports'!L$245</f>
        <v>0</v>
      </c>
      <c r="BS32" s="141">
        <f>'[2]Russia Sun Meal Exports'!M$245</f>
        <v>0</v>
      </c>
      <c r="BT32" s="141">
        <f>'[2]Russia Sun Meal Exports'!N$245</f>
        <v>0</v>
      </c>
      <c r="BU32" s="141">
        <f>'[2]Russia Sun Meal Exports'!O$245</f>
        <v>0</v>
      </c>
      <c r="BV32" s="141">
        <f>'[2]Russia Sun Meal Exports'!P$245</f>
        <v>0</v>
      </c>
      <c r="BW32" s="141">
        <f>'[2]Russia Sun Meal Exports'!Q$245</f>
        <v>0</v>
      </c>
      <c r="BX32" s="141">
        <f>'[2]Russia Sun Meal Exports'!R$245</f>
        <v>0</v>
      </c>
      <c r="BY32" s="141">
        <f>'[2]Russia Sun Meal Exports'!S$245</f>
        <v>0</v>
      </c>
      <c r="BZ32" s="141">
        <f>'[2]Russia Sun Meal Exports'!T$245</f>
        <v>0</v>
      </c>
      <c r="CA32" s="141">
        <f>'[2]Russia Sun Meal Exports'!U$245</f>
        <v>0</v>
      </c>
      <c r="CB32" s="141">
        <f>'[2]Russia Sun Meal Exports'!V$245</f>
        <v>0</v>
      </c>
      <c r="CC32" s="141">
        <f>'[2]Russia Sun Meal Exports'!W$245</f>
        <v>0</v>
      </c>
      <c r="CD32" s="141">
        <f>'[2]Russia Sun Meal Exports'!X$245</f>
        <v>0</v>
      </c>
      <c r="CE32" s="141">
        <f>'[2]Russia Sun Meal Exports'!Y$245</f>
        <v>0</v>
      </c>
      <c r="CF32" s="141">
        <f>'[2]Russia Sun Meal Exports'!Z$245</f>
        <v>0</v>
      </c>
      <c r="CG32" s="147">
        <f>'[2]Russia Sun Meal Exports'!AA$245</f>
        <v>0</v>
      </c>
      <c r="CH32" s="141">
        <f>'[2]Russia Sun Meal Exports'!AB$245</f>
        <v>0</v>
      </c>
      <c r="CI32" s="141">
        <f>'[2]Russia Sun Meal Exports'!AC$245</f>
        <v>0</v>
      </c>
      <c r="CJ32" s="143">
        <f>'[2]Russia Sun Meal Exports'!AD$245</f>
        <v>0</v>
      </c>
      <c r="CK32" s="141">
        <f>'[3]Sunflower Meal Exports'!B$245/1.10231</f>
        <v>0</v>
      </c>
      <c r="CL32" s="141">
        <f>'[3]Sunflower Meal Exports'!C$245/1.10231</f>
        <v>0</v>
      </c>
      <c r="CM32" s="141">
        <f>'[3]Sunflower Meal Exports'!D$245/1.10231</f>
        <v>0</v>
      </c>
      <c r="CN32" s="141">
        <f>'[3]Sunflower Meal Exports'!E$245/1.10231</f>
        <v>0</v>
      </c>
      <c r="CO32" s="141">
        <f>'[3]Sunflower Meal Exports'!F$245/1.10231</f>
        <v>0</v>
      </c>
      <c r="CP32" s="141">
        <f>'[3]Sunflower Meal Exports'!G$245/1.10231</f>
        <v>0</v>
      </c>
      <c r="CQ32" s="141">
        <f>'[3]Sunflower Meal Exports'!H$245/1.10231</f>
        <v>0</v>
      </c>
      <c r="CR32" s="141">
        <f>'[3]Sunflower Meal Exports'!I$245/1.10231</f>
        <v>0</v>
      </c>
      <c r="CS32" s="141">
        <f>'[3]Sunflower Meal Exports'!J$245/1.10231</f>
        <v>0</v>
      </c>
      <c r="CT32" s="141">
        <f>'[3]Sunflower Meal Exports'!K$245/1.10231</f>
        <v>1.0100009162576773E-2</v>
      </c>
      <c r="CU32" s="141">
        <f>'[3]Sunflower Meal Exports'!L$245/1.10231</f>
        <v>0</v>
      </c>
      <c r="CV32" s="141">
        <f>'[3]Sunflower Meal Exports'!M$245/1.10231</f>
        <v>0</v>
      </c>
      <c r="CW32" s="141">
        <f>'[3]Sunflower Meal Exports'!N$245/1.10231</f>
        <v>0</v>
      </c>
      <c r="CX32" s="141">
        <f>'[3]Sunflower Meal Exports'!O$245/1.10231</f>
        <v>0</v>
      </c>
      <c r="CY32" s="141">
        <f>'[3]Sunflower Meal Exports'!P$245/1.10231</f>
        <v>0</v>
      </c>
      <c r="CZ32" s="141">
        <f>'[3]Sunflower Meal Exports'!Q$245/1.10231</f>
        <v>0</v>
      </c>
      <c r="DA32" s="141">
        <f>'[3]Sunflower Meal Exports'!R$245/1.10231</f>
        <v>0</v>
      </c>
      <c r="DB32" s="141">
        <f>'[3]Sunflower Meal Exports'!S$245/1.10231</f>
        <v>0</v>
      </c>
      <c r="DC32" s="141">
        <f>'[3]Sunflower Meal Exports'!T$245/1.10231</f>
        <v>0</v>
      </c>
      <c r="DD32" s="141">
        <f>'[3]Sunflower Meal Exports'!U$245/1.10231</f>
        <v>0</v>
      </c>
      <c r="DE32" s="141">
        <f>'[3]Sunflower Meal Exports'!V$245/1.10231</f>
        <v>0</v>
      </c>
      <c r="DF32" s="141">
        <f>'[3]Sunflower Meal Exports'!W$245/1.10231</f>
        <v>0</v>
      </c>
      <c r="DG32" s="141">
        <f>'[3]Sunflower Meal Exports'!X$245/1.10231</f>
        <v>0</v>
      </c>
      <c r="DH32" s="141">
        <f>'[3]Sunflower Meal Exports'!Y$245/1.10231</f>
        <v>0</v>
      </c>
      <c r="DI32" s="141">
        <f>'[3]Sunflower Meal Exports'!Z$245/1.10231</f>
        <v>0</v>
      </c>
      <c r="DJ32" s="141">
        <f>'[3]Sunflower Meal Exports'!AA$245/1.10231</f>
        <v>0</v>
      </c>
      <c r="DK32" s="141">
        <f>'[3]Sunflower Meal Exports'!AB$245/1.10231</f>
        <v>0</v>
      </c>
      <c r="DL32" s="141">
        <f>'[3]Sunflower Meal Exports'!AC$245/1.10231</f>
        <v>0</v>
      </c>
      <c r="DM32" s="143">
        <f>'[3]Sunflower Meal Exports'!AD$245/1.10231</f>
        <v>0</v>
      </c>
      <c r="DN32" s="141">
        <f t="shared" si="10"/>
        <v>0</v>
      </c>
      <c r="DO32" s="141">
        <f t="shared" si="10"/>
        <v>0</v>
      </c>
      <c r="DP32" s="141">
        <f t="shared" si="10"/>
        <v>0</v>
      </c>
      <c r="DQ32" s="141">
        <f t="shared" si="10"/>
        <v>0</v>
      </c>
      <c r="DR32" s="141">
        <f t="shared" si="10"/>
        <v>0</v>
      </c>
      <c r="DS32" s="141">
        <f t="shared" si="10"/>
        <v>0</v>
      </c>
      <c r="DT32" s="141">
        <f t="shared" si="10"/>
        <v>0</v>
      </c>
      <c r="DU32" s="141">
        <f t="shared" si="10"/>
        <v>0</v>
      </c>
      <c r="DV32" s="141">
        <f t="shared" si="10"/>
        <v>0</v>
      </c>
      <c r="DW32" s="141">
        <f t="shared" si="10"/>
        <v>1.0100009162576773E-2</v>
      </c>
      <c r="DX32" s="141">
        <f t="shared" si="10"/>
        <v>0</v>
      </c>
      <c r="DY32" s="141">
        <f t="shared" si="12"/>
        <v>0</v>
      </c>
      <c r="DZ32" s="141">
        <f t="shared" si="12"/>
        <v>0</v>
      </c>
      <c r="EA32" s="141">
        <f t="shared" si="12"/>
        <v>0</v>
      </c>
      <c r="EB32" s="141">
        <f t="shared" si="12"/>
        <v>0</v>
      </c>
      <c r="EC32" s="141">
        <f t="shared" si="12"/>
        <v>0</v>
      </c>
      <c r="ED32" s="141">
        <f t="shared" si="12"/>
        <v>0</v>
      </c>
      <c r="EE32" s="141">
        <f t="shared" si="12"/>
        <v>0</v>
      </c>
      <c r="EF32" s="141">
        <f t="shared" si="12"/>
        <v>0</v>
      </c>
      <c r="EG32" s="141">
        <f t="shared" si="12"/>
        <v>0</v>
      </c>
      <c r="EH32" s="141">
        <f t="shared" si="12"/>
        <v>0</v>
      </c>
      <c r="EI32" s="141">
        <f t="shared" si="12"/>
        <v>0</v>
      </c>
      <c r="EJ32" s="141">
        <f t="shared" si="12"/>
        <v>0</v>
      </c>
      <c r="EK32" s="141">
        <f t="shared" si="12"/>
        <v>0</v>
      </c>
      <c r="EL32" s="141">
        <f t="shared" si="12"/>
        <v>0</v>
      </c>
      <c r="EM32" s="141">
        <f t="shared" si="12"/>
        <v>0</v>
      </c>
      <c r="EN32" s="141">
        <f t="shared" si="13"/>
        <v>0</v>
      </c>
      <c r="EO32" s="141">
        <f t="shared" si="13"/>
        <v>0</v>
      </c>
      <c r="EP32" s="145">
        <f t="shared" si="13"/>
        <v>0</v>
      </c>
      <c r="EQ32" s="145">
        <v>0</v>
      </c>
      <c r="ES32" s="141">
        <f t="shared" si="11"/>
        <v>0</v>
      </c>
      <c r="ET32" s="141">
        <f t="shared" si="11"/>
        <v>0</v>
      </c>
    </row>
    <row r="33" spans="1:150">
      <c r="A33" s="148" t="s">
        <v>164</v>
      </c>
      <c r="B33" s="146">
        <f>'[2]EU Sun Meal Exports'!B$246</f>
        <v>0</v>
      </c>
      <c r="C33" s="146">
        <f>'[2]EU Sun Meal Exports'!C$246</f>
        <v>0</v>
      </c>
      <c r="D33" s="146">
        <f>'[2]EU Sun Meal Exports'!D$246</f>
        <v>0</v>
      </c>
      <c r="E33" s="146">
        <f>'[2]EU Sun Meal Exports'!E$246</f>
        <v>0</v>
      </c>
      <c r="F33" s="146">
        <f>'[2]EU Sun Meal Exports'!F$246</f>
        <v>0</v>
      </c>
      <c r="G33" s="146">
        <f>'[2]EU Sun Meal Exports'!G$246</f>
        <v>0</v>
      </c>
      <c r="H33" s="146">
        <f>'[2]EU Sun Meal Exports'!H$246</f>
        <v>0</v>
      </c>
      <c r="I33" s="146">
        <f>'[2]EU Sun Meal Exports'!I$246</f>
        <v>0</v>
      </c>
      <c r="J33" s="146">
        <f>'[2]EU Sun Meal Exports'!J$246</f>
        <v>0</v>
      </c>
      <c r="K33" s="146">
        <f>'[2]EU Sun Meal Exports'!K$246</f>
        <v>0</v>
      </c>
      <c r="L33" s="146">
        <f>'[2]EU Sun Meal Exports'!L$246</f>
        <v>0</v>
      </c>
      <c r="M33" s="146">
        <f>'[2]EU Sun Meal Exports'!M$246</f>
        <v>0</v>
      </c>
      <c r="N33" s="146">
        <f>'[2]EU Sun Meal Exports'!N$246</f>
        <v>0</v>
      </c>
      <c r="O33" s="146">
        <f>'[2]EU Sun Meal Exports'!O$246</f>
        <v>0</v>
      </c>
      <c r="P33" s="141">
        <f>'[2]EU Sun Meal Exports'!P$246</f>
        <v>0</v>
      </c>
      <c r="Q33" s="141">
        <f>'[2]EU Sun Meal Exports'!Q$246</f>
        <v>0</v>
      </c>
      <c r="R33" s="141">
        <f>'[2]EU Sun Meal Exports'!R$246</f>
        <v>0</v>
      </c>
      <c r="S33" s="141">
        <f>'[2]EU Sun Meal Exports'!S$246</f>
        <v>0</v>
      </c>
      <c r="T33" s="141">
        <f>'[2]EU Sun Meal Exports'!T$246</f>
        <v>0</v>
      </c>
      <c r="U33" s="141">
        <f>'[2]EU Sun Meal Exports'!U$246</f>
        <v>0</v>
      </c>
      <c r="V33" s="141">
        <f>'[2]EU Sun Meal Exports'!V$246</f>
        <v>0</v>
      </c>
      <c r="W33" s="141">
        <f>'[2]EU Sun Meal Exports'!W$246</f>
        <v>0</v>
      </c>
      <c r="X33" s="141">
        <f>'[2]EU Sun Meal Exports'!X$246</f>
        <v>0</v>
      </c>
      <c r="Y33" s="141">
        <f>'[2]EU Sun Meal Exports'!Y$246</f>
        <v>0</v>
      </c>
      <c r="Z33" s="141">
        <f>'[2]EU Sun Meal Exports'!Z$246</f>
        <v>0</v>
      </c>
      <c r="AA33" s="141">
        <f>'[2]EU Sun Meal Exports'!AA$246</f>
        <v>0</v>
      </c>
      <c r="AB33" s="141">
        <f>'[2]EU Sun Meal Exports'!AB$246</f>
        <v>0</v>
      </c>
      <c r="AC33" s="141">
        <f>'[2]EU Sun Meal Exports'!AC$246</f>
        <v>0</v>
      </c>
      <c r="AD33" s="143">
        <f>'[2]EU Sun Meal Exports'!AD$246</f>
        <v>0</v>
      </c>
      <c r="AE33" s="141">
        <f>'[2]Ukraine Sun Meal Exports'!B$246</f>
        <v>0</v>
      </c>
      <c r="AF33" s="141">
        <f>'[2]Ukraine Sun Meal Exports'!C$246</f>
        <v>0</v>
      </c>
      <c r="AG33" s="141">
        <f>'[2]Ukraine Sun Meal Exports'!D$246</f>
        <v>0</v>
      </c>
      <c r="AH33" s="141">
        <f>'[2]Ukraine Sun Meal Exports'!E$246</f>
        <v>0</v>
      </c>
      <c r="AI33" s="141">
        <f>'[2]Ukraine Sun Meal Exports'!F$246</f>
        <v>0</v>
      </c>
      <c r="AJ33" s="141">
        <f>'[2]Ukraine Sun Meal Exports'!G$246</f>
        <v>0</v>
      </c>
      <c r="AK33" s="141">
        <f>'[2]Ukraine Sun Meal Exports'!H$246</f>
        <v>0</v>
      </c>
      <c r="AL33" s="141">
        <f>'[2]Ukraine Sun Meal Exports'!I$246</f>
        <v>0</v>
      </c>
      <c r="AM33" s="141">
        <f>'[2]Ukraine Sun Meal Exports'!J$246</f>
        <v>0</v>
      </c>
      <c r="AN33" s="141">
        <f>'[2]Ukraine Sun Meal Exports'!K$246</f>
        <v>0</v>
      </c>
      <c r="AO33" s="141">
        <f>'[2]Ukraine Sun Meal Exports'!L$246</f>
        <v>0</v>
      </c>
      <c r="AP33" s="141">
        <f>'[2]Ukraine Sun Meal Exports'!M$246</f>
        <v>0</v>
      </c>
      <c r="AQ33" s="141">
        <f>'[2]Ukraine Sun Meal Exports'!N$246</f>
        <v>0</v>
      </c>
      <c r="AR33" s="141">
        <f>'[2]Ukraine Sun Meal Exports'!O$246</f>
        <v>0</v>
      </c>
      <c r="AS33" s="141">
        <f>'[2]Ukraine Sun Meal Exports'!P$246</f>
        <v>0</v>
      </c>
      <c r="AT33" s="141">
        <f>'[2]Ukraine Sun Meal Exports'!Q$246</f>
        <v>0</v>
      </c>
      <c r="AU33" s="141">
        <f>'[2]Ukraine Sun Meal Exports'!R$246</f>
        <v>0</v>
      </c>
      <c r="AV33" s="141">
        <f>'[2]Ukraine Sun Meal Exports'!S$246</f>
        <v>0</v>
      </c>
      <c r="AW33" s="141">
        <f>'[2]Ukraine Sun Meal Exports'!T$246</f>
        <v>0</v>
      </c>
      <c r="AX33" s="141">
        <f>'[2]Ukraine Sun Meal Exports'!U$246</f>
        <v>0</v>
      </c>
      <c r="AY33" s="141">
        <f>'[2]Ukraine Sun Meal Exports'!V$246</f>
        <v>0</v>
      </c>
      <c r="AZ33" s="141">
        <f>'[2]Ukraine Sun Meal Exports'!W$246</f>
        <v>0</v>
      </c>
      <c r="BA33" s="141">
        <f>'[2]Ukraine Sun Meal Exports'!X$246</f>
        <v>0</v>
      </c>
      <c r="BB33" s="141">
        <f>'[2]Ukraine Sun Meal Exports'!Y$246</f>
        <v>0</v>
      </c>
      <c r="BC33" s="141">
        <f>'[2]Ukraine Sun Meal Exports'!Z$246</f>
        <v>0</v>
      </c>
      <c r="BD33" s="141">
        <f>'[2]Ukraine Sun Meal Exports'!AA$246</f>
        <v>0</v>
      </c>
      <c r="BE33" s="141">
        <f>'[2]Ukraine Sun Meal Exports'!AB$246</f>
        <v>0</v>
      </c>
      <c r="BF33" s="141">
        <f>'[2]Ukraine Sun Meal Exports'!AC$246</f>
        <v>0</v>
      </c>
      <c r="BG33" s="143">
        <f>'[2]Ukraine Sun Meal Exports'!AD$246</f>
        <v>0</v>
      </c>
      <c r="BH33" s="141">
        <f>'[2]Russia Sun Meal Exports'!B$246</f>
        <v>0</v>
      </c>
      <c r="BI33" s="141">
        <f>'[2]Russia Sun Meal Exports'!C$246</f>
        <v>0</v>
      </c>
      <c r="BJ33" s="141">
        <f>'[2]Russia Sun Meal Exports'!D$246</f>
        <v>0</v>
      </c>
      <c r="BK33" s="141">
        <f>'[2]Russia Sun Meal Exports'!E$246</f>
        <v>0</v>
      </c>
      <c r="BL33" s="141">
        <f>'[2]Russia Sun Meal Exports'!F$246</f>
        <v>0</v>
      </c>
      <c r="BM33" s="141">
        <f>'[2]Russia Sun Meal Exports'!G$246</f>
        <v>0</v>
      </c>
      <c r="BN33" s="141">
        <f>'[2]Russia Sun Meal Exports'!H$246</f>
        <v>0</v>
      </c>
      <c r="BO33" s="141">
        <f>'[2]Russia Sun Meal Exports'!I$246</f>
        <v>0</v>
      </c>
      <c r="BP33" s="141">
        <f>'[2]Russia Sun Meal Exports'!J$246</f>
        <v>0</v>
      </c>
      <c r="BQ33" s="141">
        <f>'[2]Russia Sun Meal Exports'!K$246</f>
        <v>0</v>
      </c>
      <c r="BR33" s="141">
        <f>'[2]Russia Sun Meal Exports'!L$246</f>
        <v>0</v>
      </c>
      <c r="BS33" s="141">
        <f>'[2]Russia Sun Meal Exports'!M$246</f>
        <v>0</v>
      </c>
      <c r="BT33" s="141">
        <f>'[2]Russia Sun Meal Exports'!N$246</f>
        <v>0</v>
      </c>
      <c r="BU33" s="141">
        <f>'[2]Russia Sun Meal Exports'!O$246</f>
        <v>0</v>
      </c>
      <c r="BV33" s="141">
        <f>'[2]Russia Sun Meal Exports'!P$246</f>
        <v>0</v>
      </c>
      <c r="BW33" s="141">
        <f>'[2]Russia Sun Meal Exports'!Q$246</f>
        <v>0</v>
      </c>
      <c r="BX33" s="141">
        <f>'[2]Russia Sun Meal Exports'!R$246</f>
        <v>0</v>
      </c>
      <c r="BY33" s="141">
        <f>'[2]Russia Sun Meal Exports'!S$246</f>
        <v>0</v>
      </c>
      <c r="BZ33" s="141">
        <f>'[2]Russia Sun Meal Exports'!T$246</f>
        <v>0</v>
      </c>
      <c r="CA33" s="141">
        <f>'[2]Russia Sun Meal Exports'!U$246</f>
        <v>0</v>
      </c>
      <c r="CB33" s="141">
        <f>'[2]Russia Sun Meal Exports'!V$246</f>
        <v>0</v>
      </c>
      <c r="CC33" s="141">
        <f>'[2]Russia Sun Meal Exports'!W$246</f>
        <v>0</v>
      </c>
      <c r="CD33" s="141">
        <f>'[2]Russia Sun Meal Exports'!X$246</f>
        <v>0</v>
      </c>
      <c r="CE33" s="141">
        <f>'[2]Russia Sun Meal Exports'!Y$246</f>
        <v>0</v>
      </c>
      <c r="CF33" s="141">
        <f>'[2]Russia Sun Meal Exports'!Z$246</f>
        <v>0</v>
      </c>
      <c r="CG33" s="147">
        <f>'[2]Russia Sun Meal Exports'!AA$246</f>
        <v>0</v>
      </c>
      <c r="CH33" s="141">
        <f>'[2]Russia Sun Meal Exports'!AB$246</f>
        <v>0</v>
      </c>
      <c r="CI33" s="141">
        <f>'[2]Russia Sun Meal Exports'!AC$246</f>
        <v>0</v>
      </c>
      <c r="CJ33" s="143">
        <f>'[2]Russia Sun Meal Exports'!AD$246</f>
        <v>0</v>
      </c>
      <c r="CK33" s="141">
        <f>'[3]Sunflower Meal Exports'!B$246/1.10231</f>
        <v>0</v>
      </c>
      <c r="CL33" s="141">
        <f>'[3]Sunflower Meal Exports'!C$246/1.10231</f>
        <v>0</v>
      </c>
      <c r="CM33" s="141">
        <f>'[3]Sunflower Meal Exports'!D$246/1.10231</f>
        <v>0</v>
      </c>
      <c r="CN33" s="141">
        <f>'[3]Sunflower Meal Exports'!E$246/1.10231</f>
        <v>0</v>
      </c>
      <c r="CO33" s="141">
        <f>'[3]Sunflower Meal Exports'!F$246/1.10231</f>
        <v>0</v>
      </c>
      <c r="CP33" s="141">
        <f>'[3]Sunflower Meal Exports'!G$246/1.10231</f>
        <v>3.2000029029946211E-2</v>
      </c>
      <c r="CQ33" s="141">
        <f>'[3]Sunflower Meal Exports'!H$246/1.10231</f>
        <v>0</v>
      </c>
      <c r="CR33" s="141">
        <f>'[3]Sunflower Meal Exports'!I$246/1.10231</f>
        <v>0</v>
      </c>
      <c r="CS33" s="141">
        <f>'[3]Sunflower Meal Exports'!J$246/1.10231</f>
        <v>0</v>
      </c>
      <c r="CT33" s="141">
        <f>'[3]Sunflower Meal Exports'!K$246/1.10231</f>
        <v>0</v>
      </c>
      <c r="CU33" s="141">
        <f>'[3]Sunflower Meal Exports'!L$246/1.10231</f>
        <v>0</v>
      </c>
      <c r="CV33" s="141">
        <f>'[3]Sunflower Meal Exports'!M$246/1.10231</f>
        <v>0</v>
      </c>
      <c r="CW33" s="141">
        <f>'[3]Sunflower Meal Exports'!N$246/1.10231</f>
        <v>0</v>
      </c>
      <c r="CX33" s="141">
        <f>'[3]Sunflower Meal Exports'!O$246/1.10231</f>
        <v>0</v>
      </c>
      <c r="CY33" s="141">
        <f>'[3]Sunflower Meal Exports'!P$246/1.10231</f>
        <v>0</v>
      </c>
      <c r="CZ33" s="141">
        <f>'[3]Sunflower Meal Exports'!Q$246/1.10231</f>
        <v>0</v>
      </c>
      <c r="DA33" s="141">
        <f>'[3]Sunflower Meal Exports'!R$246/1.10231</f>
        <v>0</v>
      </c>
      <c r="DB33" s="141">
        <f>'[3]Sunflower Meal Exports'!S$246/1.10231</f>
        <v>0</v>
      </c>
      <c r="DC33" s="141">
        <f>'[3]Sunflower Meal Exports'!T$246/1.10231</f>
        <v>0</v>
      </c>
      <c r="DD33" s="141">
        <f>'[3]Sunflower Meal Exports'!U$246/1.10231</f>
        <v>0</v>
      </c>
      <c r="DE33" s="141">
        <f>'[3]Sunflower Meal Exports'!V$246/1.10231</f>
        <v>0</v>
      </c>
      <c r="DF33" s="141">
        <f>'[3]Sunflower Meal Exports'!W$246/1.10231</f>
        <v>0</v>
      </c>
      <c r="DG33" s="141">
        <f>'[3]Sunflower Meal Exports'!X$246/1.10231</f>
        <v>0</v>
      </c>
      <c r="DH33" s="141">
        <f>'[3]Sunflower Meal Exports'!Y$246/1.10231</f>
        <v>0</v>
      </c>
      <c r="DI33" s="141">
        <f>'[3]Sunflower Meal Exports'!Z$246/1.10231</f>
        <v>0</v>
      </c>
      <c r="DJ33" s="141">
        <f>'[3]Sunflower Meal Exports'!AA$246/1.10231</f>
        <v>0</v>
      </c>
      <c r="DK33" s="141">
        <f>'[3]Sunflower Meal Exports'!AB$246/1.10231</f>
        <v>0</v>
      </c>
      <c r="DL33" s="141">
        <f>'[3]Sunflower Meal Exports'!AC$246/1.10231</f>
        <v>0</v>
      </c>
      <c r="DM33" s="143">
        <f>'[3]Sunflower Meal Exports'!AD$246/1.10231</f>
        <v>0</v>
      </c>
      <c r="DN33" s="141">
        <f t="shared" si="10"/>
        <v>0</v>
      </c>
      <c r="DO33" s="141">
        <f t="shared" si="10"/>
        <v>0</v>
      </c>
      <c r="DP33" s="141">
        <f t="shared" si="10"/>
        <v>0</v>
      </c>
      <c r="DQ33" s="141">
        <f t="shared" si="10"/>
        <v>0</v>
      </c>
      <c r="DR33" s="141">
        <f t="shared" si="10"/>
        <v>0</v>
      </c>
      <c r="DS33" s="141">
        <f t="shared" si="10"/>
        <v>3.2000029029946211E-2</v>
      </c>
      <c r="DT33" s="141">
        <f t="shared" si="10"/>
        <v>0</v>
      </c>
      <c r="DU33" s="141">
        <f t="shared" si="10"/>
        <v>0</v>
      </c>
      <c r="DV33" s="141">
        <f t="shared" si="10"/>
        <v>0</v>
      </c>
      <c r="DW33" s="141">
        <f t="shared" si="10"/>
        <v>0</v>
      </c>
      <c r="DX33" s="141">
        <f t="shared" si="10"/>
        <v>0</v>
      </c>
      <c r="DY33" s="141">
        <f t="shared" si="12"/>
        <v>0</v>
      </c>
      <c r="DZ33" s="141">
        <f t="shared" si="12"/>
        <v>0</v>
      </c>
      <c r="EA33" s="141">
        <f t="shared" si="12"/>
        <v>0</v>
      </c>
      <c r="EB33" s="141">
        <f t="shared" si="12"/>
        <v>0</v>
      </c>
      <c r="EC33" s="141">
        <f t="shared" si="12"/>
        <v>0</v>
      </c>
      <c r="ED33" s="141">
        <f t="shared" si="12"/>
        <v>0</v>
      </c>
      <c r="EE33" s="141">
        <f t="shared" si="12"/>
        <v>0</v>
      </c>
      <c r="EF33" s="141">
        <f t="shared" si="12"/>
        <v>0</v>
      </c>
      <c r="EG33" s="141">
        <f t="shared" si="12"/>
        <v>0</v>
      </c>
      <c r="EH33" s="141">
        <f t="shared" si="12"/>
        <v>0</v>
      </c>
      <c r="EI33" s="141">
        <f t="shared" si="12"/>
        <v>0</v>
      </c>
      <c r="EJ33" s="141">
        <f t="shared" si="12"/>
        <v>0</v>
      </c>
      <c r="EK33" s="141">
        <f t="shared" si="12"/>
        <v>0</v>
      </c>
      <c r="EL33" s="141">
        <f t="shared" si="12"/>
        <v>0</v>
      </c>
      <c r="EM33" s="141">
        <f t="shared" si="12"/>
        <v>0</v>
      </c>
      <c r="EN33" s="141">
        <f t="shared" si="13"/>
        <v>0</v>
      </c>
      <c r="EO33" s="141">
        <f t="shared" si="13"/>
        <v>0</v>
      </c>
      <c r="EP33" s="145">
        <f t="shared" si="13"/>
        <v>0</v>
      </c>
      <c r="EQ33" s="145">
        <v>0</v>
      </c>
      <c r="ES33" s="141">
        <f t="shared" si="11"/>
        <v>0</v>
      </c>
      <c r="ET33" s="141">
        <f t="shared" si="11"/>
        <v>0</v>
      </c>
    </row>
    <row r="34" spans="1:150">
      <c r="A34" s="148" t="s">
        <v>165</v>
      </c>
      <c r="B34" s="146">
        <f>'[2]EU Sun Meal Exports'!B$248</f>
        <v>0</v>
      </c>
      <c r="C34" s="146">
        <f>'[2]EU Sun Meal Exports'!C$248</f>
        <v>0</v>
      </c>
      <c r="D34" s="146">
        <f>'[2]EU Sun Meal Exports'!D$248</f>
        <v>0</v>
      </c>
      <c r="E34" s="146">
        <f>'[2]EU Sun Meal Exports'!E$248</f>
        <v>0</v>
      </c>
      <c r="F34" s="146">
        <f>'[2]EU Sun Meal Exports'!F$248</f>
        <v>0</v>
      </c>
      <c r="G34" s="146">
        <f>'[2]EU Sun Meal Exports'!G$248</f>
        <v>0</v>
      </c>
      <c r="H34" s="146">
        <f>'[2]EU Sun Meal Exports'!H$248</f>
        <v>0</v>
      </c>
      <c r="I34" s="146">
        <f>'[2]EU Sun Meal Exports'!I$248</f>
        <v>0</v>
      </c>
      <c r="J34" s="146">
        <f>'[2]EU Sun Meal Exports'!J$248</f>
        <v>0</v>
      </c>
      <c r="K34" s="146">
        <f>'[2]EU Sun Meal Exports'!K$248</f>
        <v>0</v>
      </c>
      <c r="L34" s="146">
        <f>'[2]EU Sun Meal Exports'!L$248</f>
        <v>0</v>
      </c>
      <c r="M34" s="146">
        <f>'[2]EU Sun Meal Exports'!M$248</f>
        <v>0</v>
      </c>
      <c r="N34" s="146">
        <f>'[2]EU Sun Meal Exports'!N$248</f>
        <v>0</v>
      </c>
      <c r="O34" s="146">
        <f>'[2]EU Sun Meal Exports'!O$248</f>
        <v>0</v>
      </c>
      <c r="P34" s="141">
        <f>'[2]EU Sun Meal Exports'!P$248</f>
        <v>0</v>
      </c>
      <c r="Q34" s="141">
        <f>'[2]EU Sun Meal Exports'!Q$248</f>
        <v>0</v>
      </c>
      <c r="R34" s="141">
        <f>'[2]EU Sun Meal Exports'!R$248</f>
        <v>0</v>
      </c>
      <c r="S34" s="141">
        <f>'[2]EU Sun Meal Exports'!S$248</f>
        <v>0</v>
      </c>
      <c r="T34" s="141">
        <f>'[2]EU Sun Meal Exports'!T$248</f>
        <v>0</v>
      </c>
      <c r="U34" s="141">
        <f>'[2]EU Sun Meal Exports'!U$248</f>
        <v>0</v>
      </c>
      <c r="V34" s="141">
        <f>'[2]EU Sun Meal Exports'!V$248</f>
        <v>0</v>
      </c>
      <c r="W34" s="141">
        <f>'[2]EU Sun Meal Exports'!W$248</f>
        <v>0.11799999999999999</v>
      </c>
      <c r="X34" s="141">
        <f>'[2]EU Sun Meal Exports'!X$248</f>
        <v>0</v>
      </c>
      <c r="Y34" s="141">
        <f>'[2]EU Sun Meal Exports'!Y$248</f>
        <v>0</v>
      </c>
      <c r="Z34" s="141">
        <f>'[2]EU Sun Meal Exports'!Z$248</f>
        <v>0</v>
      </c>
      <c r="AA34" s="141">
        <f>'[2]EU Sun Meal Exports'!AA$248</f>
        <v>0</v>
      </c>
      <c r="AB34" s="141">
        <f>'[2]EU Sun Meal Exports'!AB$248</f>
        <v>0.05</v>
      </c>
      <c r="AC34" s="141">
        <f>'[2]EU Sun Meal Exports'!AC$248</f>
        <v>0</v>
      </c>
      <c r="AD34" s="143">
        <f>'[2]EU Sun Meal Exports'!AD$248</f>
        <v>0</v>
      </c>
      <c r="AE34" s="141">
        <f>'[2]Ukraine Sun Meal Exports'!B$248</f>
        <v>0</v>
      </c>
      <c r="AF34" s="141">
        <f>'[2]Ukraine Sun Meal Exports'!C$248</f>
        <v>0</v>
      </c>
      <c r="AG34" s="141">
        <f>'[2]Ukraine Sun Meal Exports'!D$248</f>
        <v>0</v>
      </c>
      <c r="AH34" s="141">
        <f>'[2]Ukraine Sun Meal Exports'!E$248</f>
        <v>0</v>
      </c>
      <c r="AI34" s="141">
        <f>'[2]Ukraine Sun Meal Exports'!F$248</f>
        <v>0</v>
      </c>
      <c r="AJ34" s="141">
        <f>'[2]Ukraine Sun Meal Exports'!G$248</f>
        <v>0</v>
      </c>
      <c r="AK34" s="141">
        <f>'[2]Ukraine Sun Meal Exports'!H$248</f>
        <v>0</v>
      </c>
      <c r="AL34" s="141">
        <f>'[2]Ukraine Sun Meal Exports'!I$248</f>
        <v>0</v>
      </c>
      <c r="AM34" s="141">
        <f>'[2]Ukraine Sun Meal Exports'!J$248</f>
        <v>0</v>
      </c>
      <c r="AN34" s="141">
        <f>'[2]Ukraine Sun Meal Exports'!K$248</f>
        <v>0</v>
      </c>
      <c r="AO34" s="141">
        <f>'[2]Ukraine Sun Meal Exports'!L$248</f>
        <v>0</v>
      </c>
      <c r="AP34" s="141">
        <f>'[2]Ukraine Sun Meal Exports'!M$248</f>
        <v>0</v>
      </c>
      <c r="AQ34" s="141">
        <f>'[2]Ukraine Sun Meal Exports'!N$248</f>
        <v>0</v>
      </c>
      <c r="AR34" s="141">
        <f>'[2]Ukraine Sun Meal Exports'!O$248</f>
        <v>0</v>
      </c>
      <c r="AS34" s="141">
        <f>'[2]Ukraine Sun Meal Exports'!P$248</f>
        <v>0</v>
      </c>
      <c r="AT34" s="141">
        <f>'[2]Ukraine Sun Meal Exports'!Q$248</f>
        <v>0</v>
      </c>
      <c r="AU34" s="141">
        <f>'[2]Ukraine Sun Meal Exports'!R$248</f>
        <v>0</v>
      </c>
      <c r="AV34" s="141">
        <f>'[2]Ukraine Sun Meal Exports'!S$248</f>
        <v>0</v>
      </c>
      <c r="AW34" s="141">
        <f>'[2]Ukraine Sun Meal Exports'!T$248</f>
        <v>0</v>
      </c>
      <c r="AX34" s="141">
        <f>'[2]Ukraine Sun Meal Exports'!U$248</f>
        <v>0</v>
      </c>
      <c r="AY34" s="141">
        <f>'[2]Ukraine Sun Meal Exports'!V$248</f>
        <v>0</v>
      </c>
      <c r="AZ34" s="141">
        <f>'[2]Ukraine Sun Meal Exports'!W$248</f>
        <v>0</v>
      </c>
      <c r="BA34" s="141">
        <f>'[2]Ukraine Sun Meal Exports'!X$248</f>
        <v>0</v>
      </c>
      <c r="BB34" s="141">
        <f>'[2]Ukraine Sun Meal Exports'!Y$248</f>
        <v>0</v>
      </c>
      <c r="BC34" s="141">
        <f>'[2]Ukraine Sun Meal Exports'!Z$248</f>
        <v>0</v>
      </c>
      <c r="BD34" s="141">
        <f>'[2]Ukraine Sun Meal Exports'!AA$248</f>
        <v>0</v>
      </c>
      <c r="BE34" s="141">
        <f>'[2]Ukraine Sun Meal Exports'!AB$248</f>
        <v>0</v>
      </c>
      <c r="BF34" s="141">
        <f>'[2]Ukraine Sun Meal Exports'!AC$248</f>
        <v>0</v>
      </c>
      <c r="BG34" s="143">
        <f>'[2]Ukraine Sun Meal Exports'!AD$248</f>
        <v>0</v>
      </c>
      <c r="BH34" s="141">
        <f>'[2]Russia Sun Meal Exports'!B$248</f>
        <v>0</v>
      </c>
      <c r="BI34" s="141">
        <f>'[2]Russia Sun Meal Exports'!C$248</f>
        <v>0</v>
      </c>
      <c r="BJ34" s="141">
        <f>'[2]Russia Sun Meal Exports'!D$248</f>
        <v>0</v>
      </c>
      <c r="BK34" s="141">
        <f>'[2]Russia Sun Meal Exports'!E$248</f>
        <v>0</v>
      </c>
      <c r="BL34" s="141">
        <f>'[2]Russia Sun Meal Exports'!F$248</f>
        <v>0</v>
      </c>
      <c r="BM34" s="141">
        <f>'[2]Russia Sun Meal Exports'!G$248</f>
        <v>0</v>
      </c>
      <c r="BN34" s="141">
        <f>'[2]Russia Sun Meal Exports'!H$248</f>
        <v>0</v>
      </c>
      <c r="BO34" s="141">
        <f>'[2]Russia Sun Meal Exports'!I$248</f>
        <v>0</v>
      </c>
      <c r="BP34" s="141">
        <f>'[2]Russia Sun Meal Exports'!J$248</f>
        <v>0</v>
      </c>
      <c r="BQ34" s="141">
        <f>'[2]Russia Sun Meal Exports'!K$248</f>
        <v>0</v>
      </c>
      <c r="BR34" s="141">
        <f>'[2]Russia Sun Meal Exports'!L$248</f>
        <v>0</v>
      </c>
      <c r="BS34" s="141">
        <f>'[2]Russia Sun Meal Exports'!M$248</f>
        <v>0</v>
      </c>
      <c r="BT34" s="141">
        <f>'[2]Russia Sun Meal Exports'!N$248</f>
        <v>0</v>
      </c>
      <c r="BU34" s="141">
        <f>'[2]Russia Sun Meal Exports'!O$248</f>
        <v>0</v>
      </c>
      <c r="BV34" s="141">
        <f>'[2]Russia Sun Meal Exports'!P$248</f>
        <v>0</v>
      </c>
      <c r="BW34" s="141">
        <f>'[2]Russia Sun Meal Exports'!Q$248</f>
        <v>0</v>
      </c>
      <c r="BX34" s="141">
        <f>'[2]Russia Sun Meal Exports'!R$248</f>
        <v>0</v>
      </c>
      <c r="BY34" s="141">
        <f>'[2]Russia Sun Meal Exports'!S$248</f>
        <v>0</v>
      </c>
      <c r="BZ34" s="141">
        <f>'[2]Russia Sun Meal Exports'!T$248</f>
        <v>0</v>
      </c>
      <c r="CA34" s="141">
        <f>'[2]Russia Sun Meal Exports'!U$248</f>
        <v>0</v>
      </c>
      <c r="CB34" s="141">
        <f>'[2]Russia Sun Meal Exports'!V$248</f>
        <v>0</v>
      </c>
      <c r="CC34" s="141">
        <f>'[2]Russia Sun Meal Exports'!W$248</f>
        <v>0</v>
      </c>
      <c r="CD34" s="141">
        <f>'[2]Russia Sun Meal Exports'!X$248</f>
        <v>0</v>
      </c>
      <c r="CE34" s="141">
        <f>'[2]Russia Sun Meal Exports'!Y$248</f>
        <v>0</v>
      </c>
      <c r="CF34" s="141">
        <f>'[2]Russia Sun Meal Exports'!Z$248</f>
        <v>0</v>
      </c>
      <c r="CG34" s="147">
        <f>'[2]Russia Sun Meal Exports'!AA$248</f>
        <v>0</v>
      </c>
      <c r="CH34" s="141">
        <f>'[2]Russia Sun Meal Exports'!AB$248</f>
        <v>0</v>
      </c>
      <c r="CI34" s="141">
        <f>'[2]Russia Sun Meal Exports'!AC$248</f>
        <v>0</v>
      </c>
      <c r="CJ34" s="143">
        <f>'[2]Russia Sun Meal Exports'!AD$248</f>
        <v>0</v>
      </c>
      <c r="CK34" s="141">
        <f>'[3]Sunflower Meal Exports'!B$248/1.10231</f>
        <v>0</v>
      </c>
      <c r="CL34" s="141">
        <f>'[3]Sunflower Meal Exports'!C$248/1.10231</f>
        <v>0</v>
      </c>
      <c r="CM34" s="141">
        <f>'[3]Sunflower Meal Exports'!D$248/1.10231</f>
        <v>0</v>
      </c>
      <c r="CN34" s="141">
        <f>'[3]Sunflower Meal Exports'!E$248/1.10231</f>
        <v>0</v>
      </c>
      <c r="CO34" s="141">
        <f>'[3]Sunflower Meal Exports'!F$248/1.10231</f>
        <v>0</v>
      </c>
      <c r="CP34" s="141">
        <f>'[3]Sunflower Meal Exports'!G$248/1.10231</f>
        <v>0</v>
      </c>
      <c r="CQ34" s="141">
        <f>'[3]Sunflower Meal Exports'!H$248/1.10231</f>
        <v>0</v>
      </c>
      <c r="CR34" s="141">
        <f>'[3]Sunflower Meal Exports'!I$248/1.10231</f>
        <v>0</v>
      </c>
      <c r="CS34" s="141">
        <f>'[3]Sunflower Meal Exports'!J$248/1.10231</f>
        <v>0</v>
      </c>
      <c r="CT34" s="141">
        <f>'[3]Sunflower Meal Exports'!K$248/1.10231</f>
        <v>0</v>
      </c>
      <c r="CU34" s="141">
        <f>'[3]Sunflower Meal Exports'!L$248/1.10231</f>
        <v>0</v>
      </c>
      <c r="CV34" s="141">
        <f>'[3]Sunflower Meal Exports'!M$248/1.10231</f>
        <v>0</v>
      </c>
      <c r="CW34" s="141">
        <f>'[3]Sunflower Meal Exports'!N$248/1.10231</f>
        <v>0</v>
      </c>
      <c r="CX34" s="141">
        <f>'[3]Sunflower Meal Exports'!O$248/1.10231</f>
        <v>0</v>
      </c>
      <c r="CY34" s="141">
        <f>'[3]Sunflower Meal Exports'!P$248/1.10231</f>
        <v>0</v>
      </c>
      <c r="CZ34" s="141">
        <f>'[3]Sunflower Meal Exports'!Q$248/1.10231</f>
        <v>0</v>
      </c>
      <c r="DA34" s="141">
        <f>'[3]Sunflower Meal Exports'!R$248/1.10231</f>
        <v>0</v>
      </c>
      <c r="DB34" s="141">
        <f>'[3]Sunflower Meal Exports'!S$248/1.10231</f>
        <v>0</v>
      </c>
      <c r="DC34" s="141">
        <f>'[3]Sunflower Meal Exports'!T$248/1.10231</f>
        <v>0</v>
      </c>
      <c r="DD34" s="141">
        <f>'[3]Sunflower Meal Exports'!U$248/1.10231</f>
        <v>0</v>
      </c>
      <c r="DE34" s="141">
        <f>'[3]Sunflower Meal Exports'!V$248/1.10231</f>
        <v>0</v>
      </c>
      <c r="DF34" s="141">
        <f>'[3]Sunflower Meal Exports'!W$248/1.10231</f>
        <v>0</v>
      </c>
      <c r="DG34" s="141">
        <f>'[3]Sunflower Meal Exports'!X$248/1.10231</f>
        <v>0</v>
      </c>
      <c r="DH34" s="141">
        <f>'[3]Sunflower Meal Exports'!Y$248/1.10231</f>
        <v>0</v>
      </c>
      <c r="DI34" s="141">
        <f>'[3]Sunflower Meal Exports'!Z$248/1.10231</f>
        <v>0</v>
      </c>
      <c r="DJ34" s="141">
        <f>'[3]Sunflower Meal Exports'!AA$248/1.10231</f>
        <v>0</v>
      </c>
      <c r="DK34" s="141">
        <f>'[3]Sunflower Meal Exports'!AB$248/1.10231</f>
        <v>0</v>
      </c>
      <c r="DL34" s="141">
        <f>'[3]Sunflower Meal Exports'!AC$248/1.10231</f>
        <v>0</v>
      </c>
      <c r="DM34" s="143">
        <f>'[3]Sunflower Meal Exports'!AD$248/1.10231</f>
        <v>0</v>
      </c>
      <c r="DN34" s="141">
        <f t="shared" si="10"/>
        <v>0</v>
      </c>
      <c r="DO34" s="141">
        <f t="shared" si="10"/>
        <v>0</v>
      </c>
      <c r="DP34" s="141">
        <f t="shared" si="10"/>
        <v>0</v>
      </c>
      <c r="DQ34" s="141">
        <f t="shared" si="10"/>
        <v>0</v>
      </c>
      <c r="DR34" s="141">
        <f t="shared" si="10"/>
        <v>0</v>
      </c>
      <c r="DS34" s="141">
        <f t="shared" si="10"/>
        <v>0</v>
      </c>
      <c r="DT34" s="141">
        <f t="shared" si="10"/>
        <v>0</v>
      </c>
      <c r="DU34" s="141">
        <f t="shared" si="10"/>
        <v>0</v>
      </c>
      <c r="DV34" s="141">
        <f t="shared" si="10"/>
        <v>0</v>
      </c>
      <c r="DW34" s="141">
        <f t="shared" si="10"/>
        <v>0</v>
      </c>
      <c r="DX34" s="141">
        <f t="shared" si="10"/>
        <v>0</v>
      </c>
      <c r="DY34" s="141">
        <f t="shared" si="12"/>
        <v>0</v>
      </c>
      <c r="DZ34" s="141">
        <f t="shared" si="12"/>
        <v>0</v>
      </c>
      <c r="EA34" s="141">
        <f t="shared" si="12"/>
        <v>0</v>
      </c>
      <c r="EB34" s="141">
        <f t="shared" si="12"/>
        <v>0</v>
      </c>
      <c r="EC34" s="141">
        <f t="shared" si="12"/>
        <v>0</v>
      </c>
      <c r="ED34" s="141">
        <f t="shared" si="12"/>
        <v>0</v>
      </c>
      <c r="EE34" s="141">
        <f t="shared" si="12"/>
        <v>0</v>
      </c>
      <c r="EF34" s="141">
        <f t="shared" si="12"/>
        <v>0</v>
      </c>
      <c r="EG34" s="141">
        <f t="shared" si="12"/>
        <v>0</v>
      </c>
      <c r="EH34" s="141">
        <f t="shared" si="12"/>
        <v>0</v>
      </c>
      <c r="EI34" s="141">
        <f t="shared" si="12"/>
        <v>0.11799999999999999</v>
      </c>
      <c r="EJ34" s="141">
        <f t="shared" si="12"/>
        <v>0</v>
      </c>
      <c r="EK34" s="141">
        <f t="shared" si="12"/>
        <v>0</v>
      </c>
      <c r="EL34" s="141">
        <f t="shared" si="12"/>
        <v>0</v>
      </c>
      <c r="EM34" s="141">
        <f t="shared" si="12"/>
        <v>0</v>
      </c>
      <c r="EN34" s="141">
        <f t="shared" si="13"/>
        <v>0.05</v>
      </c>
      <c r="EO34" s="141">
        <f t="shared" si="13"/>
        <v>0</v>
      </c>
      <c r="EP34" s="145">
        <f t="shared" si="13"/>
        <v>0</v>
      </c>
      <c r="EQ34" s="145">
        <v>0</v>
      </c>
      <c r="ES34" s="141">
        <f t="shared" si="11"/>
        <v>0</v>
      </c>
      <c r="ET34" s="141">
        <f t="shared" si="11"/>
        <v>0</v>
      </c>
    </row>
    <row r="35" spans="1:150">
      <c r="A35" s="137" t="s">
        <v>166</v>
      </c>
      <c r="B35" s="146">
        <f>'[2]EU Sun Meal Exports'!B$250</f>
        <v>0</v>
      </c>
      <c r="C35" s="146">
        <f>'[2]EU Sun Meal Exports'!C$250</f>
        <v>0</v>
      </c>
      <c r="D35" s="146">
        <f>'[2]EU Sun Meal Exports'!D$250</f>
        <v>0</v>
      </c>
      <c r="E35" s="146">
        <f>'[2]EU Sun Meal Exports'!E$250</f>
        <v>0</v>
      </c>
      <c r="F35" s="146">
        <f>'[2]EU Sun Meal Exports'!F$250</f>
        <v>0</v>
      </c>
      <c r="G35" s="146">
        <f>'[2]EU Sun Meal Exports'!G$250</f>
        <v>0</v>
      </c>
      <c r="H35" s="146">
        <f>'[2]EU Sun Meal Exports'!H$250</f>
        <v>0</v>
      </c>
      <c r="I35" s="146">
        <f>'[2]EU Sun Meal Exports'!I$250</f>
        <v>0</v>
      </c>
      <c r="J35" s="146">
        <f>'[2]EU Sun Meal Exports'!J$250</f>
        <v>0</v>
      </c>
      <c r="K35" s="146">
        <f>'[2]EU Sun Meal Exports'!K$250</f>
        <v>0</v>
      </c>
      <c r="L35" s="146">
        <f>'[2]EU Sun Meal Exports'!L$250</f>
        <v>0</v>
      </c>
      <c r="M35" s="146">
        <f>'[2]EU Sun Meal Exports'!M$250</f>
        <v>0</v>
      </c>
      <c r="N35" s="146">
        <f>'[2]EU Sun Meal Exports'!N$250</f>
        <v>0</v>
      </c>
      <c r="O35" s="146">
        <f>'[2]EU Sun Meal Exports'!O$250</f>
        <v>0</v>
      </c>
      <c r="P35" s="141">
        <f>'[2]EU Sun Meal Exports'!P$250</f>
        <v>0</v>
      </c>
      <c r="Q35" s="141">
        <f>'[2]EU Sun Meal Exports'!Q$250</f>
        <v>0</v>
      </c>
      <c r="R35" s="141">
        <f>'[2]EU Sun Meal Exports'!R$250</f>
        <v>0</v>
      </c>
      <c r="S35" s="141">
        <f>'[2]EU Sun Meal Exports'!S$250</f>
        <v>0</v>
      </c>
      <c r="T35" s="141">
        <f>'[2]EU Sun Meal Exports'!T$250</f>
        <v>0</v>
      </c>
      <c r="U35" s="141">
        <f>'[2]EU Sun Meal Exports'!U$250</f>
        <v>0</v>
      </c>
      <c r="V35" s="141">
        <f>'[2]EU Sun Meal Exports'!V$250</f>
        <v>0</v>
      </c>
      <c r="W35" s="141">
        <f>'[2]EU Sun Meal Exports'!W$250</f>
        <v>0</v>
      </c>
      <c r="X35" s="141">
        <f>'[2]EU Sun Meal Exports'!X$250</f>
        <v>0</v>
      </c>
      <c r="Y35" s="141">
        <f>'[2]EU Sun Meal Exports'!Y$250</f>
        <v>0</v>
      </c>
      <c r="Z35" s="141">
        <f>'[2]EU Sun Meal Exports'!Z$250</f>
        <v>0</v>
      </c>
      <c r="AA35" s="141">
        <f>'[2]EU Sun Meal Exports'!AA$250</f>
        <v>0</v>
      </c>
      <c r="AB35" s="141">
        <f>'[2]EU Sun Meal Exports'!AB$250</f>
        <v>0</v>
      </c>
      <c r="AC35" s="141">
        <f>'[2]EU Sun Meal Exports'!AC$250</f>
        <v>0</v>
      </c>
      <c r="AD35" s="143">
        <f>'[2]EU Sun Meal Exports'!AD$250</f>
        <v>0</v>
      </c>
      <c r="AE35" s="141">
        <f>'[2]Ukraine Sun Meal Exports'!B$250</f>
        <v>0</v>
      </c>
      <c r="AF35" s="141">
        <f>'[2]Ukraine Sun Meal Exports'!C$250</f>
        <v>0</v>
      </c>
      <c r="AG35" s="141">
        <f>'[2]Ukraine Sun Meal Exports'!D$250</f>
        <v>0</v>
      </c>
      <c r="AH35" s="141">
        <f>'[2]Ukraine Sun Meal Exports'!E$250</f>
        <v>0</v>
      </c>
      <c r="AI35" s="141">
        <f>'[2]Ukraine Sun Meal Exports'!F$250</f>
        <v>0</v>
      </c>
      <c r="AJ35" s="141">
        <f>'[2]Ukraine Sun Meal Exports'!G$250</f>
        <v>0</v>
      </c>
      <c r="AK35" s="141">
        <f>'[2]Ukraine Sun Meal Exports'!H$250</f>
        <v>0</v>
      </c>
      <c r="AL35" s="141">
        <f>'[2]Ukraine Sun Meal Exports'!I$250</f>
        <v>0</v>
      </c>
      <c r="AM35" s="141">
        <f>'[2]Ukraine Sun Meal Exports'!J$250</f>
        <v>0</v>
      </c>
      <c r="AN35" s="141">
        <f>'[2]Ukraine Sun Meal Exports'!K$250</f>
        <v>0</v>
      </c>
      <c r="AO35" s="141">
        <f>'[2]Ukraine Sun Meal Exports'!L$250</f>
        <v>0</v>
      </c>
      <c r="AP35" s="141">
        <f>'[2]Ukraine Sun Meal Exports'!M$250</f>
        <v>0</v>
      </c>
      <c r="AQ35" s="141">
        <f>'[2]Ukraine Sun Meal Exports'!N$250</f>
        <v>0</v>
      </c>
      <c r="AR35" s="141">
        <f>'[2]Ukraine Sun Meal Exports'!O$250</f>
        <v>0</v>
      </c>
      <c r="AS35" s="141">
        <f>'[2]Ukraine Sun Meal Exports'!P$250</f>
        <v>0</v>
      </c>
      <c r="AT35" s="141">
        <f>'[2]Ukraine Sun Meal Exports'!Q$250</f>
        <v>0</v>
      </c>
      <c r="AU35" s="141">
        <f>'[2]Ukraine Sun Meal Exports'!R$250</f>
        <v>0</v>
      </c>
      <c r="AV35" s="141">
        <f>'[2]Ukraine Sun Meal Exports'!S$250</f>
        <v>0</v>
      </c>
      <c r="AW35" s="141">
        <f>'[2]Ukraine Sun Meal Exports'!T$250</f>
        <v>0</v>
      </c>
      <c r="AX35" s="141">
        <f>'[2]Ukraine Sun Meal Exports'!U$250</f>
        <v>0</v>
      </c>
      <c r="AY35" s="141">
        <f>'[2]Ukraine Sun Meal Exports'!V$250</f>
        <v>0</v>
      </c>
      <c r="AZ35" s="141">
        <f>'[2]Ukraine Sun Meal Exports'!W$250</f>
        <v>0</v>
      </c>
      <c r="BA35" s="141">
        <f>'[2]Ukraine Sun Meal Exports'!X$250</f>
        <v>0</v>
      </c>
      <c r="BB35" s="141">
        <f>'[2]Ukraine Sun Meal Exports'!Y$250</f>
        <v>0</v>
      </c>
      <c r="BC35" s="141">
        <f>'[2]Ukraine Sun Meal Exports'!Z$250</f>
        <v>0</v>
      </c>
      <c r="BD35" s="141">
        <f>'[2]Ukraine Sun Meal Exports'!AA$250</f>
        <v>0</v>
      </c>
      <c r="BE35" s="141">
        <f>'[2]Ukraine Sun Meal Exports'!AB$250</f>
        <v>0</v>
      </c>
      <c r="BF35" s="141">
        <f>'[2]Ukraine Sun Meal Exports'!AC$250</f>
        <v>0</v>
      </c>
      <c r="BG35" s="143">
        <f>'[2]Ukraine Sun Meal Exports'!AD$250</f>
        <v>0</v>
      </c>
      <c r="BH35" s="141">
        <f>'[2]Russia Sun Meal Exports'!B$250</f>
        <v>0</v>
      </c>
      <c r="BI35" s="141">
        <f>'[2]Russia Sun Meal Exports'!C$250</f>
        <v>0</v>
      </c>
      <c r="BJ35" s="141">
        <f>'[2]Russia Sun Meal Exports'!D$250</f>
        <v>0</v>
      </c>
      <c r="BK35" s="141">
        <f>'[2]Russia Sun Meal Exports'!E$250</f>
        <v>0</v>
      </c>
      <c r="BL35" s="141">
        <f>'[2]Russia Sun Meal Exports'!F$250</f>
        <v>0</v>
      </c>
      <c r="BM35" s="141">
        <f>'[2]Russia Sun Meal Exports'!G$250</f>
        <v>0</v>
      </c>
      <c r="BN35" s="141">
        <f>'[2]Russia Sun Meal Exports'!H$250</f>
        <v>0</v>
      </c>
      <c r="BO35" s="141">
        <f>'[2]Russia Sun Meal Exports'!I$250</f>
        <v>0</v>
      </c>
      <c r="BP35" s="141">
        <f>'[2]Russia Sun Meal Exports'!J$250</f>
        <v>0</v>
      </c>
      <c r="BQ35" s="141">
        <f>'[2]Russia Sun Meal Exports'!K$250</f>
        <v>0</v>
      </c>
      <c r="BR35" s="141">
        <f>'[2]Russia Sun Meal Exports'!L$250</f>
        <v>0</v>
      </c>
      <c r="BS35" s="141">
        <f>'[2]Russia Sun Meal Exports'!M$250</f>
        <v>0</v>
      </c>
      <c r="BT35" s="141">
        <f>'[2]Russia Sun Meal Exports'!N$250</f>
        <v>0</v>
      </c>
      <c r="BU35" s="141">
        <f>'[2]Russia Sun Meal Exports'!O$250</f>
        <v>0</v>
      </c>
      <c r="BV35" s="141">
        <f>'[2]Russia Sun Meal Exports'!P$250</f>
        <v>0</v>
      </c>
      <c r="BW35" s="141">
        <f>'[2]Russia Sun Meal Exports'!Q$250</f>
        <v>0</v>
      </c>
      <c r="BX35" s="141">
        <f>'[2]Russia Sun Meal Exports'!R$250</f>
        <v>0</v>
      </c>
      <c r="BY35" s="141">
        <f>'[2]Russia Sun Meal Exports'!S$250</f>
        <v>0</v>
      </c>
      <c r="BZ35" s="141">
        <f>'[2]Russia Sun Meal Exports'!T$250</f>
        <v>0</v>
      </c>
      <c r="CA35" s="141">
        <f>'[2]Russia Sun Meal Exports'!U$250</f>
        <v>0</v>
      </c>
      <c r="CB35" s="141">
        <f>'[2]Russia Sun Meal Exports'!V$250</f>
        <v>0</v>
      </c>
      <c r="CC35" s="141">
        <f>'[2]Russia Sun Meal Exports'!W$250</f>
        <v>0</v>
      </c>
      <c r="CD35" s="141">
        <f>'[2]Russia Sun Meal Exports'!X$250</f>
        <v>0</v>
      </c>
      <c r="CE35" s="141">
        <f>'[2]Russia Sun Meal Exports'!Y$250</f>
        <v>0</v>
      </c>
      <c r="CF35" s="141">
        <f>'[2]Russia Sun Meal Exports'!Z$250</f>
        <v>0</v>
      </c>
      <c r="CG35" s="141">
        <f>'[2]Russia Sun Meal Exports'!AA$250</f>
        <v>0</v>
      </c>
      <c r="CH35" s="141">
        <f>'[2]Russia Sun Meal Exports'!AB$250</f>
        <v>0</v>
      </c>
      <c r="CI35" s="141">
        <f>'[2]Russia Sun Meal Exports'!AC$250</f>
        <v>0</v>
      </c>
      <c r="CJ35" s="143">
        <f>'[2]Russia Sun Meal Exports'!AD$250</f>
        <v>0</v>
      </c>
      <c r="CK35" s="141">
        <f>'[3]Sunflower Meal Exports'!B$250/1.10231</f>
        <v>0</v>
      </c>
      <c r="CL35" s="141">
        <f>'[3]Sunflower Meal Exports'!C$250/1.10231</f>
        <v>0</v>
      </c>
      <c r="CM35" s="141">
        <f>'[3]Sunflower Meal Exports'!D$250/1.10231</f>
        <v>0</v>
      </c>
      <c r="CN35" s="141">
        <f>'[3]Sunflower Meal Exports'!E$250/1.10231</f>
        <v>0</v>
      </c>
      <c r="CO35" s="141">
        <f>'[3]Sunflower Meal Exports'!F$250/1.10231</f>
        <v>0</v>
      </c>
      <c r="CP35" s="141">
        <f>'[3]Sunflower Meal Exports'!G$250/1.10231</f>
        <v>0</v>
      </c>
      <c r="CQ35" s="141">
        <f>'[3]Sunflower Meal Exports'!H$250/1.10231</f>
        <v>0</v>
      </c>
      <c r="CR35" s="141">
        <f>'[3]Sunflower Meal Exports'!I$250/1.10231</f>
        <v>0</v>
      </c>
      <c r="CS35" s="141">
        <f>'[3]Sunflower Meal Exports'!J$250/1.10231</f>
        <v>0</v>
      </c>
      <c r="CT35" s="141">
        <f>'[3]Sunflower Meal Exports'!K$250/1.10231</f>
        <v>0</v>
      </c>
      <c r="CU35" s="141">
        <f>'[3]Sunflower Meal Exports'!L$250/1.10231</f>
        <v>0</v>
      </c>
      <c r="CV35" s="141">
        <f>'[3]Sunflower Meal Exports'!M$250/1.10231</f>
        <v>0</v>
      </c>
      <c r="CW35" s="141">
        <f>'[3]Sunflower Meal Exports'!N$250/1.10231</f>
        <v>0</v>
      </c>
      <c r="CX35" s="141">
        <f>'[3]Sunflower Meal Exports'!O$250/1.10231</f>
        <v>0</v>
      </c>
      <c r="CY35" s="141">
        <f>'[3]Sunflower Meal Exports'!P$250/1.10231</f>
        <v>0</v>
      </c>
      <c r="CZ35" s="141">
        <f>'[3]Sunflower Meal Exports'!Q$250/1.10231</f>
        <v>0</v>
      </c>
      <c r="DA35" s="141">
        <f>'[3]Sunflower Meal Exports'!R$250/1.10231</f>
        <v>0</v>
      </c>
      <c r="DB35" s="141">
        <f>'[3]Sunflower Meal Exports'!S$250/1.10231</f>
        <v>0</v>
      </c>
      <c r="DC35" s="141">
        <f>'[3]Sunflower Meal Exports'!T$250/1.10231</f>
        <v>0</v>
      </c>
      <c r="DD35" s="141">
        <f>'[3]Sunflower Meal Exports'!U$250/1.10231</f>
        <v>3.7700034200905376E-2</v>
      </c>
      <c r="DE35" s="141">
        <f>'[3]Sunflower Meal Exports'!V$250/1.10231</f>
        <v>0</v>
      </c>
      <c r="DF35" s="141">
        <f>'[3]Sunflower Meal Exports'!W$250/1.10231</f>
        <v>0</v>
      </c>
      <c r="DG35" s="141">
        <f>'[3]Sunflower Meal Exports'!X$250/1.10231</f>
        <v>0</v>
      </c>
      <c r="DH35" s="141">
        <f>'[3]Sunflower Meal Exports'!Y$250/1.10231</f>
        <v>0</v>
      </c>
      <c r="DI35" s="141">
        <f>'[3]Sunflower Meal Exports'!Z$250/1.10231</f>
        <v>0</v>
      </c>
      <c r="DJ35" s="141">
        <f>'[3]Sunflower Meal Exports'!AA$250/1.10231</f>
        <v>0</v>
      </c>
      <c r="DK35" s="141">
        <f>'[3]Sunflower Meal Exports'!AB$250/1.10231</f>
        <v>0</v>
      </c>
      <c r="DL35" s="141">
        <f>'[3]Sunflower Meal Exports'!AC$250/1.10231</f>
        <v>0</v>
      </c>
      <c r="DM35" s="143">
        <f>'[3]Sunflower Meal Exports'!AD$250/1.10231</f>
        <v>0</v>
      </c>
      <c r="DN35" s="141">
        <f t="shared" si="10"/>
        <v>0</v>
      </c>
      <c r="DO35" s="141">
        <f t="shared" si="10"/>
        <v>0</v>
      </c>
      <c r="DP35" s="141">
        <f t="shared" si="10"/>
        <v>0</v>
      </c>
      <c r="DQ35" s="141">
        <f t="shared" si="10"/>
        <v>0</v>
      </c>
      <c r="DR35" s="141">
        <f t="shared" si="10"/>
        <v>0</v>
      </c>
      <c r="DS35" s="141">
        <f t="shared" si="10"/>
        <v>0</v>
      </c>
      <c r="DT35" s="141">
        <f t="shared" si="10"/>
        <v>0</v>
      </c>
      <c r="DU35" s="141">
        <f t="shared" si="10"/>
        <v>0</v>
      </c>
      <c r="DV35" s="141">
        <f t="shared" si="10"/>
        <v>0</v>
      </c>
      <c r="DW35" s="141">
        <f t="shared" si="10"/>
        <v>0</v>
      </c>
      <c r="DX35" s="141">
        <f t="shared" si="10"/>
        <v>0</v>
      </c>
      <c r="DY35" s="141">
        <f t="shared" si="12"/>
        <v>0</v>
      </c>
      <c r="DZ35" s="141">
        <f t="shared" si="12"/>
        <v>0</v>
      </c>
      <c r="EA35" s="141">
        <f t="shared" si="12"/>
        <v>0</v>
      </c>
      <c r="EB35" s="141">
        <f t="shared" si="12"/>
        <v>0</v>
      </c>
      <c r="EC35" s="141">
        <f t="shared" si="12"/>
        <v>0</v>
      </c>
      <c r="ED35" s="141">
        <f t="shared" si="12"/>
        <v>0</v>
      </c>
      <c r="EE35" s="141">
        <f t="shared" si="12"/>
        <v>0</v>
      </c>
      <c r="EF35" s="141">
        <f t="shared" si="12"/>
        <v>0</v>
      </c>
      <c r="EG35" s="141">
        <f t="shared" si="12"/>
        <v>3.7700034200905376E-2</v>
      </c>
      <c r="EH35" s="141">
        <f t="shared" si="12"/>
        <v>0</v>
      </c>
      <c r="EI35" s="141">
        <f t="shared" si="12"/>
        <v>0</v>
      </c>
      <c r="EJ35" s="141">
        <f t="shared" si="12"/>
        <v>0</v>
      </c>
      <c r="EK35" s="141">
        <f t="shared" si="12"/>
        <v>0</v>
      </c>
      <c r="EL35" s="141">
        <f t="shared" si="12"/>
        <v>0</v>
      </c>
      <c r="EM35" s="141">
        <f t="shared" si="12"/>
        <v>0</v>
      </c>
      <c r="EN35" s="141">
        <f t="shared" si="13"/>
        <v>0</v>
      </c>
      <c r="EO35" s="141">
        <f t="shared" si="13"/>
        <v>0</v>
      </c>
      <c r="EP35" s="145">
        <f t="shared" si="13"/>
        <v>0</v>
      </c>
      <c r="EQ35" s="145">
        <v>0</v>
      </c>
      <c r="ES35" s="141">
        <f t="shared" si="11"/>
        <v>0</v>
      </c>
      <c r="ET35" s="141">
        <f t="shared" si="11"/>
        <v>0</v>
      </c>
    </row>
    <row r="36" spans="1:150">
      <c r="A36" s="149" t="s">
        <v>167</v>
      </c>
      <c r="B36" s="146">
        <f>'[2]EU Sun Meal Exports'!B$266</f>
        <v>0</v>
      </c>
      <c r="C36" s="146">
        <f>'[2]EU Sun Meal Exports'!C$266</f>
        <v>0</v>
      </c>
      <c r="D36" s="146">
        <f>'[2]EU Sun Meal Exports'!D$266</f>
        <v>0</v>
      </c>
      <c r="E36" s="146">
        <f>'[2]EU Sun Meal Exports'!E$266</f>
        <v>0</v>
      </c>
      <c r="F36" s="146">
        <f>'[2]EU Sun Meal Exports'!F$266</f>
        <v>0</v>
      </c>
      <c r="G36" s="146">
        <f>'[2]EU Sun Meal Exports'!G$266</f>
        <v>0</v>
      </c>
      <c r="H36" s="146">
        <f>'[2]EU Sun Meal Exports'!H$266</f>
        <v>0</v>
      </c>
      <c r="I36" s="146">
        <f>'[2]EU Sun Meal Exports'!I$266</f>
        <v>0</v>
      </c>
      <c r="J36" s="146">
        <f>'[2]EU Sun Meal Exports'!J$266</f>
        <v>0</v>
      </c>
      <c r="K36" s="146">
        <f>'[2]EU Sun Meal Exports'!K$266</f>
        <v>0</v>
      </c>
      <c r="L36" s="146">
        <f>'[2]EU Sun Meal Exports'!L$266</f>
        <v>0</v>
      </c>
      <c r="M36" s="146">
        <f>'[2]EU Sun Meal Exports'!M$266</f>
        <v>0</v>
      </c>
      <c r="N36" s="146">
        <f>'[2]EU Sun Meal Exports'!N$266</f>
        <v>0</v>
      </c>
      <c r="O36" s="146">
        <f>'[2]EU Sun Meal Exports'!O$266</f>
        <v>0</v>
      </c>
      <c r="P36" s="141">
        <f>'[2]EU Sun Meal Exports'!P$266</f>
        <v>0</v>
      </c>
      <c r="Q36" s="141">
        <f>'[2]EU Sun Meal Exports'!Q$266</f>
        <v>0</v>
      </c>
      <c r="R36" s="141">
        <f>'[2]EU Sun Meal Exports'!R$266</f>
        <v>0</v>
      </c>
      <c r="S36" s="141">
        <f>'[2]EU Sun Meal Exports'!S$266</f>
        <v>0</v>
      </c>
      <c r="T36" s="141">
        <f>'[2]EU Sun Meal Exports'!T$266</f>
        <v>0</v>
      </c>
      <c r="U36" s="141">
        <f>'[2]EU Sun Meal Exports'!U$266</f>
        <v>0</v>
      </c>
      <c r="V36" s="141">
        <f>'[2]EU Sun Meal Exports'!V$266</f>
        <v>0</v>
      </c>
      <c r="W36" s="141">
        <f>'[2]EU Sun Meal Exports'!W$266</f>
        <v>0</v>
      </c>
      <c r="X36" s="141">
        <f>'[2]EU Sun Meal Exports'!X$266</f>
        <v>0</v>
      </c>
      <c r="Y36" s="141">
        <f>'[2]EU Sun Meal Exports'!Y$266</f>
        <v>0</v>
      </c>
      <c r="Z36" s="141">
        <f>'[2]EU Sun Meal Exports'!Z$266</f>
        <v>0</v>
      </c>
      <c r="AA36" s="141">
        <f>'[2]EU Sun Meal Exports'!AA$266</f>
        <v>0</v>
      </c>
      <c r="AB36" s="141">
        <f>'[2]EU Sun Meal Exports'!AB$266</f>
        <v>0</v>
      </c>
      <c r="AC36" s="141">
        <f>'[2]EU Sun Meal Exports'!AC$266</f>
        <v>0</v>
      </c>
      <c r="AD36" s="143">
        <f>'[2]EU Sun Meal Exports'!AD$266</f>
        <v>0</v>
      </c>
      <c r="AE36" s="141">
        <f>'[2]Ukraine Sun Meal Exports'!B$266</f>
        <v>0</v>
      </c>
      <c r="AF36" s="141">
        <f>'[2]Ukraine Sun Meal Exports'!C$266</f>
        <v>0</v>
      </c>
      <c r="AG36" s="141">
        <f>'[2]Ukraine Sun Meal Exports'!D$266</f>
        <v>0</v>
      </c>
      <c r="AH36" s="141">
        <f>'[2]Ukraine Sun Meal Exports'!E$266</f>
        <v>0</v>
      </c>
      <c r="AI36" s="141">
        <f>'[2]Ukraine Sun Meal Exports'!F$266</f>
        <v>0</v>
      </c>
      <c r="AJ36" s="141">
        <f>'[2]Ukraine Sun Meal Exports'!G$266</f>
        <v>0</v>
      </c>
      <c r="AK36" s="141">
        <f>'[2]Ukraine Sun Meal Exports'!H$266</f>
        <v>0</v>
      </c>
      <c r="AL36" s="141">
        <f>'[2]Ukraine Sun Meal Exports'!I$266</f>
        <v>0</v>
      </c>
      <c r="AM36" s="141">
        <f>'[2]Ukraine Sun Meal Exports'!J$266</f>
        <v>0</v>
      </c>
      <c r="AN36" s="141">
        <f>'[2]Ukraine Sun Meal Exports'!K$266</f>
        <v>0</v>
      </c>
      <c r="AO36" s="141">
        <f>'[2]Ukraine Sun Meal Exports'!L$266</f>
        <v>0</v>
      </c>
      <c r="AP36" s="141">
        <f>'[2]Ukraine Sun Meal Exports'!M$266</f>
        <v>0</v>
      </c>
      <c r="AQ36" s="141">
        <f>'[2]Ukraine Sun Meal Exports'!N$266</f>
        <v>0</v>
      </c>
      <c r="AR36" s="141">
        <f>'[2]Ukraine Sun Meal Exports'!O$266</f>
        <v>0</v>
      </c>
      <c r="AS36" s="141">
        <f>'[2]Ukraine Sun Meal Exports'!P$266</f>
        <v>0</v>
      </c>
      <c r="AT36" s="141">
        <f>'[2]Ukraine Sun Meal Exports'!Q$266</f>
        <v>0</v>
      </c>
      <c r="AU36" s="141">
        <f>'[2]Ukraine Sun Meal Exports'!R$266</f>
        <v>0</v>
      </c>
      <c r="AV36" s="141">
        <f>'[2]Ukraine Sun Meal Exports'!S$266</f>
        <v>0</v>
      </c>
      <c r="AW36" s="141">
        <f>'[2]Ukraine Sun Meal Exports'!T$266</f>
        <v>0</v>
      </c>
      <c r="AX36" s="141">
        <f>'[2]Ukraine Sun Meal Exports'!U$266</f>
        <v>0</v>
      </c>
      <c r="AY36" s="141">
        <f>'[2]Ukraine Sun Meal Exports'!V$266</f>
        <v>0</v>
      </c>
      <c r="AZ36" s="141">
        <f>'[2]Ukraine Sun Meal Exports'!W$266</f>
        <v>0</v>
      </c>
      <c r="BA36" s="141">
        <f>'[2]Ukraine Sun Meal Exports'!X$266</f>
        <v>0</v>
      </c>
      <c r="BB36" s="141">
        <f>'[2]Ukraine Sun Meal Exports'!Y$266</f>
        <v>0</v>
      </c>
      <c r="BC36" s="141">
        <f>'[2]Ukraine Sun Meal Exports'!Z$266</f>
        <v>0</v>
      </c>
      <c r="BD36" s="141">
        <f>'[2]Ukraine Sun Meal Exports'!AA$266</f>
        <v>0</v>
      </c>
      <c r="BE36" s="141">
        <f>'[2]Ukraine Sun Meal Exports'!AB$266</f>
        <v>0</v>
      </c>
      <c r="BF36" s="141">
        <f>'[2]Ukraine Sun Meal Exports'!AC$266</f>
        <v>0</v>
      </c>
      <c r="BG36" s="143">
        <f>'[2]Ukraine Sun Meal Exports'!AD$266</f>
        <v>0</v>
      </c>
      <c r="BH36" s="141">
        <f>'[2]Russia Sun Meal Exports'!B$266</f>
        <v>0</v>
      </c>
      <c r="BI36" s="141">
        <f>'[2]Russia Sun Meal Exports'!C$266</f>
        <v>0</v>
      </c>
      <c r="BJ36" s="141">
        <f>'[2]Russia Sun Meal Exports'!D$266</f>
        <v>0</v>
      </c>
      <c r="BK36" s="141">
        <f>'[2]Russia Sun Meal Exports'!E$266</f>
        <v>0</v>
      </c>
      <c r="BL36" s="141">
        <f>'[2]Russia Sun Meal Exports'!F$266</f>
        <v>0</v>
      </c>
      <c r="BM36" s="141">
        <f>'[2]Russia Sun Meal Exports'!G$266</f>
        <v>0</v>
      </c>
      <c r="BN36" s="141">
        <f>'[2]Russia Sun Meal Exports'!H$266</f>
        <v>0</v>
      </c>
      <c r="BO36" s="141">
        <f>'[2]Russia Sun Meal Exports'!I$266</f>
        <v>0</v>
      </c>
      <c r="BP36" s="141">
        <f>'[2]Russia Sun Meal Exports'!J$266</f>
        <v>0</v>
      </c>
      <c r="BQ36" s="141">
        <f>'[2]Russia Sun Meal Exports'!K$266</f>
        <v>0</v>
      </c>
      <c r="BR36" s="141">
        <f>'[2]Russia Sun Meal Exports'!L$266</f>
        <v>0</v>
      </c>
      <c r="BS36" s="141">
        <f>'[2]Russia Sun Meal Exports'!M$266</f>
        <v>0</v>
      </c>
      <c r="BT36" s="141">
        <f>'[2]Russia Sun Meal Exports'!N$266</f>
        <v>0</v>
      </c>
      <c r="BU36" s="141">
        <f>'[2]Russia Sun Meal Exports'!O$266</f>
        <v>0</v>
      </c>
      <c r="BV36" s="141">
        <f>'[2]Russia Sun Meal Exports'!P$266</f>
        <v>0</v>
      </c>
      <c r="BW36" s="141">
        <f>'[2]Russia Sun Meal Exports'!Q$266</f>
        <v>0</v>
      </c>
      <c r="BX36" s="141">
        <f>'[2]Russia Sun Meal Exports'!R$266</f>
        <v>0</v>
      </c>
      <c r="BY36" s="141">
        <f>'[2]Russia Sun Meal Exports'!S$266</f>
        <v>0</v>
      </c>
      <c r="BZ36" s="141">
        <f>'[2]Russia Sun Meal Exports'!T$266</f>
        <v>0</v>
      </c>
      <c r="CA36" s="141">
        <f>'[2]Russia Sun Meal Exports'!U$266</f>
        <v>0</v>
      </c>
      <c r="CB36" s="141">
        <f>'[2]Russia Sun Meal Exports'!V$266</f>
        <v>0</v>
      </c>
      <c r="CC36" s="141">
        <f>'[2]Russia Sun Meal Exports'!W$266</f>
        <v>0</v>
      </c>
      <c r="CD36" s="141">
        <f>'[2]Russia Sun Meal Exports'!X$266</f>
        <v>0</v>
      </c>
      <c r="CE36" s="141">
        <f>'[2]Russia Sun Meal Exports'!Y$266</f>
        <v>0</v>
      </c>
      <c r="CF36" s="141">
        <f>'[2]Russia Sun Meal Exports'!Z$266</f>
        <v>0</v>
      </c>
      <c r="CG36" s="141">
        <f>'[2]Russia Sun Meal Exports'!AA$266</f>
        <v>0</v>
      </c>
      <c r="CH36" s="141">
        <f>'[2]Russia Sun Meal Exports'!AB$266</f>
        <v>0</v>
      </c>
      <c r="CI36" s="141">
        <f>'[2]Russia Sun Meal Exports'!AC$266</f>
        <v>0</v>
      </c>
      <c r="CJ36" s="143">
        <f>'[2]Russia Sun Meal Exports'!AD$266</f>
        <v>0</v>
      </c>
      <c r="CK36" s="141">
        <f>'[3]Sunflower Meal Exports'!B$266/1.10231</f>
        <v>6.7325061076285273</v>
      </c>
      <c r="CL36" s="141">
        <f>'[3]Sunflower Meal Exports'!C$266/1.10231</f>
        <v>25.237222894829955</v>
      </c>
      <c r="CM36" s="141">
        <f>'[3]Sunflower Meal Exports'!D$266/1.10231</f>
        <v>1.7336015726973355</v>
      </c>
      <c r="CN36" s="141">
        <f>'[3]Sunflower Meal Exports'!E$266/1.10231</f>
        <v>2.9413026683056493</v>
      </c>
      <c r="CO36" s="141">
        <f>'[3]Sunflower Meal Exports'!F$266/1.10231</f>
        <v>2.3749021544756013</v>
      </c>
      <c r="CP36" s="141">
        <f>'[3]Sunflower Meal Exports'!G$266/1.10231</f>
        <v>11.076810048715878</v>
      </c>
      <c r="CQ36" s="141">
        <f>'[3]Sunflower Meal Exports'!H$266/1.10231</f>
        <v>3.9207035568034398</v>
      </c>
      <c r="CR36" s="141">
        <f>'[3]Sunflower Meal Exports'!I$266/1.10231</f>
        <v>2.7309024774337534</v>
      </c>
      <c r="CS36" s="141">
        <f>'[3]Sunflower Meal Exports'!J$266/1.10231</f>
        <v>2.4509022234217235</v>
      </c>
      <c r="CT36" s="141">
        <f>'[3]Sunflower Meal Exports'!K$266/1.10231</f>
        <v>1.3706012433888835</v>
      </c>
      <c r="CU36" s="141">
        <f>'[3]Sunflower Meal Exports'!L$266/1.10231</f>
        <v>1.4539013189574623</v>
      </c>
      <c r="CV36" s="141">
        <f>'[3]Sunflower Meal Exports'!M$266/1.10231</f>
        <v>2.4917022604349053</v>
      </c>
      <c r="CW36" s="141">
        <f>'[3]Sunflower Meal Exports'!N$266/1.10231</f>
        <v>4.3632039582331661</v>
      </c>
      <c r="CX36" s="141">
        <f>'[3]Sunflower Meal Exports'!O$266/1.10231</f>
        <v>6.5263059205668101</v>
      </c>
      <c r="CY36" s="141">
        <f>'[3]Sunflower Meal Exports'!P$266/1.10231</f>
        <v>10.01050908138364</v>
      </c>
      <c r="CZ36" s="141">
        <f>'[3]Sunflower Meal Exports'!Q$266/1.10231</f>
        <v>4.6633042304796302</v>
      </c>
      <c r="DA36" s="141">
        <f>'[3]Sunflower Meal Exports'!R$266/1.10231</f>
        <v>3.1419028502871247</v>
      </c>
      <c r="DB36" s="141">
        <f>'[3]Sunflower Meal Exports'!S$266/1.10231</f>
        <v>0.82530074870045644</v>
      </c>
      <c r="DC36" s="141">
        <f>'[3]Sunflower Meal Exports'!T$266/1.10231</f>
        <v>3.8400034835935452E-2</v>
      </c>
      <c r="DD36" s="141">
        <f>'[3]Sunflower Meal Exports'!U$266/1.10231</f>
        <v>1.7700016057188996E-2</v>
      </c>
      <c r="DE36" s="141">
        <f>'[3]Sunflower Meal Exports'!V$266/1.10231</f>
        <v>0</v>
      </c>
      <c r="DF36" s="141">
        <f>'[3]Sunflower Meal Exports'!W$266/1.10231</f>
        <v>0</v>
      </c>
      <c r="DG36" s="141">
        <f>'[3]Sunflower Meal Exports'!X$266/1.10231</f>
        <v>1.0702009708702636</v>
      </c>
      <c r="DH36" s="141">
        <f>'[3]Sunflower Meal Exports'!Y$266/1.10231</f>
        <v>0.30020027233718288</v>
      </c>
      <c r="DI36" s="141">
        <f>'[3]Sunflower Meal Exports'!Z$266/1.10231</f>
        <v>3.5426000000000006E-2</v>
      </c>
      <c r="DJ36" s="141">
        <f>'[3]Sunflower Meal Exports'!AA$266/1.10231</f>
        <v>0</v>
      </c>
      <c r="DK36" s="141">
        <f>'[3]Sunflower Meal Exports'!AB$266/1.10231</f>
        <v>0</v>
      </c>
      <c r="DL36" s="141">
        <f>'[3]Sunflower Meal Exports'!AC$266/1.10231</f>
        <v>0.66315283359490529</v>
      </c>
      <c r="DM36" s="143">
        <f>'[3]Sunflower Meal Exports'!AD$266/1.10231</f>
        <v>0</v>
      </c>
      <c r="DN36" s="141">
        <f t="shared" si="10"/>
        <v>6.7325061076285273</v>
      </c>
      <c r="DO36" s="141">
        <f t="shared" si="10"/>
        <v>25.237222894829955</v>
      </c>
      <c r="DP36" s="141">
        <f t="shared" si="10"/>
        <v>1.7336015726973355</v>
      </c>
      <c r="DQ36" s="141">
        <f t="shared" si="10"/>
        <v>2.9413026683056493</v>
      </c>
      <c r="DR36" s="141">
        <f t="shared" si="10"/>
        <v>2.3749021544756013</v>
      </c>
      <c r="DS36" s="141">
        <f t="shared" ref="DS36:EH72" si="14">SUM(G36,AJ36,BM36,CP36)</f>
        <v>11.076810048715878</v>
      </c>
      <c r="DT36" s="141">
        <f t="shared" si="14"/>
        <v>3.9207035568034398</v>
      </c>
      <c r="DU36" s="141">
        <f t="shared" si="14"/>
        <v>2.7309024774337534</v>
      </c>
      <c r="DV36" s="141">
        <f t="shared" si="14"/>
        <v>2.4509022234217235</v>
      </c>
      <c r="DW36" s="141">
        <f t="shared" si="14"/>
        <v>1.3706012433888835</v>
      </c>
      <c r="DX36" s="141">
        <f t="shared" si="14"/>
        <v>1.4539013189574623</v>
      </c>
      <c r="DY36" s="141">
        <f t="shared" si="12"/>
        <v>2.4917022604349053</v>
      </c>
      <c r="DZ36" s="141">
        <f t="shared" si="12"/>
        <v>4.3632039582331661</v>
      </c>
      <c r="EA36" s="141">
        <f t="shared" si="12"/>
        <v>6.5263059205668101</v>
      </c>
      <c r="EB36" s="141">
        <f t="shared" si="12"/>
        <v>10.01050908138364</v>
      </c>
      <c r="EC36" s="141">
        <f t="shared" si="12"/>
        <v>4.6633042304796302</v>
      </c>
      <c r="ED36" s="141">
        <f t="shared" si="12"/>
        <v>3.1419028502871247</v>
      </c>
      <c r="EE36" s="141">
        <f t="shared" si="12"/>
        <v>0.82530074870045644</v>
      </c>
      <c r="EF36" s="141">
        <f t="shared" si="12"/>
        <v>3.8400034835935452E-2</v>
      </c>
      <c r="EG36" s="141">
        <f t="shared" si="12"/>
        <v>1.7700016057188996E-2</v>
      </c>
      <c r="EH36" s="141">
        <f t="shared" si="12"/>
        <v>0</v>
      </c>
      <c r="EI36" s="141">
        <f t="shared" si="12"/>
        <v>0</v>
      </c>
      <c r="EJ36" s="141">
        <f t="shared" si="12"/>
        <v>1.0702009708702636</v>
      </c>
      <c r="EK36" s="141">
        <f t="shared" si="12"/>
        <v>0.30020027233718288</v>
      </c>
      <c r="EL36" s="141">
        <f t="shared" si="12"/>
        <v>3.5426000000000006E-2</v>
      </c>
      <c r="EM36" s="141">
        <f t="shared" ref="EM36:EM71" si="15">SUM(AA36,BD36,CG36,DJ36)</f>
        <v>0</v>
      </c>
      <c r="EN36" s="141">
        <f t="shared" si="13"/>
        <v>0</v>
      </c>
      <c r="EO36" s="141">
        <f t="shared" si="13"/>
        <v>0.66315283359490529</v>
      </c>
      <c r="EP36" s="145">
        <f t="shared" si="13"/>
        <v>0</v>
      </c>
      <c r="EQ36" s="145">
        <v>0</v>
      </c>
      <c r="ES36" s="141">
        <f t="shared" si="11"/>
        <v>0</v>
      </c>
      <c r="ET36" s="141">
        <f t="shared" si="11"/>
        <v>0</v>
      </c>
    </row>
    <row r="37" spans="1:150">
      <c r="A37" s="148" t="s">
        <v>168</v>
      </c>
      <c r="B37" s="146">
        <f>'[2]EU Sun Meal Exports'!B$274</f>
        <v>0</v>
      </c>
      <c r="C37" s="146">
        <f>'[2]EU Sun Meal Exports'!C$274</f>
        <v>0</v>
      </c>
      <c r="D37" s="146">
        <f>'[2]EU Sun Meal Exports'!D$274</f>
        <v>0</v>
      </c>
      <c r="E37" s="146">
        <f>'[2]EU Sun Meal Exports'!E$274</f>
        <v>0</v>
      </c>
      <c r="F37" s="146">
        <f>'[2]EU Sun Meal Exports'!F$274</f>
        <v>0</v>
      </c>
      <c r="G37" s="146">
        <f>'[2]EU Sun Meal Exports'!G$274</f>
        <v>0</v>
      </c>
      <c r="H37" s="146">
        <f>'[2]EU Sun Meal Exports'!H$274</f>
        <v>0</v>
      </c>
      <c r="I37" s="146">
        <f>'[2]EU Sun Meal Exports'!I$274</f>
        <v>0</v>
      </c>
      <c r="J37" s="146">
        <f>'[2]EU Sun Meal Exports'!J$274</f>
        <v>0</v>
      </c>
      <c r="K37" s="146">
        <f>'[2]EU Sun Meal Exports'!K$274</f>
        <v>0</v>
      </c>
      <c r="L37" s="146">
        <f>'[2]EU Sun Meal Exports'!L$274</f>
        <v>0</v>
      </c>
      <c r="M37" s="146">
        <f>'[2]EU Sun Meal Exports'!M$274</f>
        <v>0</v>
      </c>
      <c r="N37" s="146">
        <f>'[2]EU Sun Meal Exports'!N$274</f>
        <v>0</v>
      </c>
      <c r="O37" s="146">
        <f>'[2]EU Sun Meal Exports'!O$274</f>
        <v>0</v>
      </c>
      <c r="P37" s="141">
        <f>'[2]EU Sun Meal Exports'!P$274</f>
        <v>0</v>
      </c>
      <c r="Q37" s="141">
        <f>'[2]EU Sun Meal Exports'!Q$274</f>
        <v>0</v>
      </c>
      <c r="R37" s="141">
        <f>'[2]EU Sun Meal Exports'!R$274</f>
        <v>0</v>
      </c>
      <c r="S37" s="141">
        <f>'[2]EU Sun Meal Exports'!S$274</f>
        <v>0</v>
      </c>
      <c r="T37" s="141">
        <f>'[2]EU Sun Meal Exports'!T$274</f>
        <v>0</v>
      </c>
      <c r="U37" s="141">
        <f>'[2]EU Sun Meal Exports'!U$274</f>
        <v>0</v>
      </c>
      <c r="V37" s="141">
        <f>'[2]EU Sun Meal Exports'!V$274</f>
        <v>0</v>
      </c>
      <c r="W37" s="141">
        <f>'[2]EU Sun Meal Exports'!W$274</f>
        <v>0</v>
      </c>
      <c r="X37" s="141">
        <f>'[2]EU Sun Meal Exports'!X$274</f>
        <v>0</v>
      </c>
      <c r="Y37" s="141">
        <f>'[2]EU Sun Meal Exports'!Y$274</f>
        <v>0</v>
      </c>
      <c r="Z37" s="141">
        <f>'[2]EU Sun Meal Exports'!Z$274</f>
        <v>0</v>
      </c>
      <c r="AA37" s="141">
        <f>'[2]EU Sun Meal Exports'!AA$274</f>
        <v>0</v>
      </c>
      <c r="AB37" s="141">
        <f>'[2]EU Sun Meal Exports'!AB$274</f>
        <v>0</v>
      </c>
      <c r="AC37" s="141">
        <f>'[2]EU Sun Meal Exports'!AC$274</f>
        <v>0</v>
      </c>
      <c r="AD37" s="143">
        <f>'[2]EU Sun Meal Exports'!AD$274</f>
        <v>0</v>
      </c>
      <c r="AE37" s="141">
        <f>'[2]Ukraine Sun Meal Exports'!B$274</f>
        <v>0</v>
      </c>
      <c r="AF37" s="141">
        <f>'[2]Ukraine Sun Meal Exports'!C$274</f>
        <v>0</v>
      </c>
      <c r="AG37" s="141">
        <f>'[2]Ukraine Sun Meal Exports'!D$274</f>
        <v>0</v>
      </c>
      <c r="AH37" s="141">
        <f>'[2]Ukraine Sun Meal Exports'!E$274</f>
        <v>0</v>
      </c>
      <c r="AI37" s="141">
        <f>'[2]Ukraine Sun Meal Exports'!F$274</f>
        <v>0</v>
      </c>
      <c r="AJ37" s="141">
        <f>'[2]Ukraine Sun Meal Exports'!G$274</f>
        <v>0</v>
      </c>
      <c r="AK37" s="141">
        <f>'[2]Ukraine Sun Meal Exports'!H$274</f>
        <v>0</v>
      </c>
      <c r="AL37" s="141">
        <f>'[2]Ukraine Sun Meal Exports'!I$274</f>
        <v>0</v>
      </c>
      <c r="AM37" s="141">
        <f>'[2]Ukraine Sun Meal Exports'!J$274</f>
        <v>0</v>
      </c>
      <c r="AN37" s="141">
        <f>'[2]Ukraine Sun Meal Exports'!K$274</f>
        <v>0</v>
      </c>
      <c r="AO37" s="141">
        <f>'[2]Ukraine Sun Meal Exports'!L$274</f>
        <v>0</v>
      </c>
      <c r="AP37" s="141">
        <f>'[2]Ukraine Sun Meal Exports'!M$274</f>
        <v>0</v>
      </c>
      <c r="AQ37" s="141">
        <f>'[2]Ukraine Sun Meal Exports'!N$274</f>
        <v>0</v>
      </c>
      <c r="AR37" s="141">
        <f>'[2]Ukraine Sun Meal Exports'!O$274</f>
        <v>0</v>
      </c>
      <c r="AS37" s="141">
        <f>'[2]Ukraine Sun Meal Exports'!P$274</f>
        <v>0</v>
      </c>
      <c r="AT37" s="141">
        <f>'[2]Ukraine Sun Meal Exports'!Q$274</f>
        <v>0</v>
      </c>
      <c r="AU37" s="141">
        <f>'[2]Ukraine Sun Meal Exports'!R$274</f>
        <v>0</v>
      </c>
      <c r="AV37" s="141">
        <f>'[2]Ukraine Sun Meal Exports'!S$274</f>
        <v>0</v>
      </c>
      <c r="AW37" s="141">
        <f>'[2]Ukraine Sun Meal Exports'!T$274</f>
        <v>0</v>
      </c>
      <c r="AX37" s="141">
        <f>'[2]Ukraine Sun Meal Exports'!U$274</f>
        <v>0</v>
      </c>
      <c r="AY37" s="141">
        <f>'[2]Ukraine Sun Meal Exports'!V$274</f>
        <v>0</v>
      </c>
      <c r="AZ37" s="141">
        <f>'[2]Ukraine Sun Meal Exports'!W$274</f>
        <v>0</v>
      </c>
      <c r="BA37" s="141">
        <f>'[2]Ukraine Sun Meal Exports'!X$274</f>
        <v>0</v>
      </c>
      <c r="BB37" s="141">
        <f>'[2]Ukraine Sun Meal Exports'!Y$274</f>
        <v>0</v>
      </c>
      <c r="BC37" s="141">
        <f>'[2]Ukraine Sun Meal Exports'!Z$274</f>
        <v>0</v>
      </c>
      <c r="BD37" s="141">
        <f>'[2]Ukraine Sun Meal Exports'!AA$274</f>
        <v>0</v>
      </c>
      <c r="BE37" s="141">
        <f>'[2]Ukraine Sun Meal Exports'!AB$274</f>
        <v>0</v>
      </c>
      <c r="BF37" s="141">
        <f>'[2]Ukraine Sun Meal Exports'!AC$274</f>
        <v>0</v>
      </c>
      <c r="BG37" s="143">
        <f>'[2]Ukraine Sun Meal Exports'!AD$274</f>
        <v>0</v>
      </c>
      <c r="BH37" s="141">
        <f>'[2]Russia Sun Meal Exports'!B$274</f>
        <v>0</v>
      </c>
      <c r="BI37" s="141">
        <f>'[2]Russia Sun Meal Exports'!C$274</f>
        <v>0</v>
      </c>
      <c r="BJ37" s="141">
        <f>'[2]Russia Sun Meal Exports'!D$274</f>
        <v>0</v>
      </c>
      <c r="BK37" s="141">
        <f>'[2]Russia Sun Meal Exports'!E$274</f>
        <v>0</v>
      </c>
      <c r="BL37" s="141">
        <f>'[2]Russia Sun Meal Exports'!F$274</f>
        <v>0</v>
      </c>
      <c r="BM37" s="141">
        <f>'[2]Russia Sun Meal Exports'!G$274</f>
        <v>0</v>
      </c>
      <c r="BN37" s="141">
        <f>'[2]Russia Sun Meal Exports'!H$274</f>
        <v>0</v>
      </c>
      <c r="BO37" s="141">
        <f>'[2]Russia Sun Meal Exports'!I$274</f>
        <v>0</v>
      </c>
      <c r="BP37" s="141">
        <f>'[2]Russia Sun Meal Exports'!J$274</f>
        <v>0</v>
      </c>
      <c r="BQ37" s="141">
        <f>'[2]Russia Sun Meal Exports'!K$274</f>
        <v>0</v>
      </c>
      <c r="BR37" s="141">
        <f>'[2]Russia Sun Meal Exports'!L$274</f>
        <v>0</v>
      </c>
      <c r="BS37" s="141">
        <f>'[2]Russia Sun Meal Exports'!M$274</f>
        <v>0</v>
      </c>
      <c r="BT37" s="141">
        <f>'[2]Russia Sun Meal Exports'!N$274</f>
        <v>0</v>
      </c>
      <c r="BU37" s="141">
        <f>'[2]Russia Sun Meal Exports'!O$274</f>
        <v>0</v>
      </c>
      <c r="BV37" s="141">
        <f>'[2]Russia Sun Meal Exports'!P$274</f>
        <v>0</v>
      </c>
      <c r="BW37" s="141">
        <f>'[2]Russia Sun Meal Exports'!Q$274</f>
        <v>0</v>
      </c>
      <c r="BX37" s="141">
        <f>'[2]Russia Sun Meal Exports'!R$274</f>
        <v>0</v>
      </c>
      <c r="BY37" s="141">
        <f>'[2]Russia Sun Meal Exports'!S$274</f>
        <v>0</v>
      </c>
      <c r="BZ37" s="141">
        <f>'[2]Russia Sun Meal Exports'!T$274</f>
        <v>0</v>
      </c>
      <c r="CA37" s="141">
        <f>'[2]Russia Sun Meal Exports'!U$274</f>
        <v>0</v>
      </c>
      <c r="CB37" s="141">
        <f>'[2]Russia Sun Meal Exports'!V$274</f>
        <v>0</v>
      </c>
      <c r="CC37" s="141">
        <f>'[2]Russia Sun Meal Exports'!W$274</f>
        <v>0</v>
      </c>
      <c r="CD37" s="141">
        <f>'[2]Russia Sun Meal Exports'!X$274</f>
        <v>0</v>
      </c>
      <c r="CE37" s="141">
        <f>'[2]Russia Sun Meal Exports'!Y$274</f>
        <v>0</v>
      </c>
      <c r="CF37" s="141">
        <f>'[2]Russia Sun Meal Exports'!Z$274</f>
        <v>0</v>
      </c>
      <c r="CG37" s="141">
        <f>'[2]Russia Sun Meal Exports'!AA$274</f>
        <v>0</v>
      </c>
      <c r="CH37" s="141">
        <f>'[2]Russia Sun Meal Exports'!AB$274</f>
        <v>0</v>
      </c>
      <c r="CI37" s="141">
        <f>'[2]Russia Sun Meal Exports'!AC$274</f>
        <v>0</v>
      </c>
      <c r="CJ37" s="143">
        <f>'[2]Russia Sun Meal Exports'!AD$274</f>
        <v>0</v>
      </c>
      <c r="CK37" s="141">
        <f>'[3]Sunflower Meal Exports'!B$274/1.10231</f>
        <v>0</v>
      </c>
      <c r="CL37" s="141">
        <f>'[3]Sunflower Meal Exports'!C$274/1.10231</f>
        <v>0</v>
      </c>
      <c r="CM37" s="141">
        <f>'[3]Sunflower Meal Exports'!D$274/1.10231</f>
        <v>0</v>
      </c>
      <c r="CN37" s="141">
        <f>'[3]Sunflower Meal Exports'!E$274/1.10231</f>
        <v>0</v>
      </c>
      <c r="CO37" s="141">
        <f>'[3]Sunflower Meal Exports'!F$274/1.10231</f>
        <v>0</v>
      </c>
      <c r="CP37" s="141">
        <f>'[3]Sunflower Meal Exports'!G$274/1.10231</f>
        <v>0</v>
      </c>
      <c r="CQ37" s="141">
        <f>'[3]Sunflower Meal Exports'!H$274/1.10231</f>
        <v>0</v>
      </c>
      <c r="CR37" s="141">
        <f>'[3]Sunflower Meal Exports'!I$274/1.10231</f>
        <v>0</v>
      </c>
      <c r="CS37" s="141">
        <f>'[3]Sunflower Meal Exports'!J$274/1.10231</f>
        <v>0</v>
      </c>
      <c r="CT37" s="141">
        <f>'[3]Sunflower Meal Exports'!K$274/1.10231</f>
        <v>0</v>
      </c>
      <c r="CU37" s="141">
        <f>'[3]Sunflower Meal Exports'!L$274/1.10231</f>
        <v>0</v>
      </c>
      <c r="CV37" s="141">
        <f>'[3]Sunflower Meal Exports'!M$274/1.10231</f>
        <v>0</v>
      </c>
      <c r="CW37" s="141">
        <f>'[3]Sunflower Meal Exports'!N$274/1.10231</f>
        <v>0</v>
      </c>
      <c r="CX37" s="141">
        <f>'[3]Sunflower Meal Exports'!O$274/1.10231</f>
        <v>0</v>
      </c>
      <c r="CY37" s="141">
        <f>'[3]Sunflower Meal Exports'!P$274/1.10231</f>
        <v>0</v>
      </c>
      <c r="CZ37" s="141">
        <f>'[3]Sunflower Meal Exports'!Q$274/1.10231</f>
        <v>0</v>
      </c>
      <c r="DA37" s="141">
        <f>'[3]Sunflower Meal Exports'!R$274/1.10231</f>
        <v>0</v>
      </c>
      <c r="DB37" s="141">
        <f>'[3]Sunflower Meal Exports'!S$274/1.10231</f>
        <v>0</v>
      </c>
      <c r="DC37" s="141">
        <f>'[3]Sunflower Meal Exports'!T$274/1.10231</f>
        <v>0</v>
      </c>
      <c r="DD37" s="141">
        <f>'[3]Sunflower Meal Exports'!U$274/1.10231</f>
        <v>0</v>
      </c>
      <c r="DE37" s="141">
        <f>'[3]Sunflower Meal Exports'!V$274/1.10231</f>
        <v>0</v>
      </c>
      <c r="DF37" s="141">
        <f>'[3]Sunflower Meal Exports'!W$274/1.10231</f>
        <v>0</v>
      </c>
      <c r="DG37" s="141">
        <f>'[3]Sunflower Meal Exports'!X$274/1.10231</f>
        <v>0</v>
      </c>
      <c r="DH37" s="141">
        <f>'[3]Sunflower Meal Exports'!Y$274/1.10231</f>
        <v>0</v>
      </c>
      <c r="DI37" s="141">
        <f>'[3]Sunflower Meal Exports'!Z$274/1.10231</f>
        <v>0</v>
      </c>
      <c r="DJ37" s="141">
        <f>'[3]Sunflower Meal Exports'!AA$274/1.10231</f>
        <v>0</v>
      </c>
      <c r="DK37" s="141">
        <f>'[3]Sunflower Meal Exports'!AB$274/1.10231</f>
        <v>0</v>
      </c>
      <c r="DL37" s="141">
        <f>'[3]Sunflower Meal Exports'!AC$274/1.10231</f>
        <v>0</v>
      </c>
      <c r="DM37" s="143">
        <f>'[3]Sunflower Meal Exports'!AD$274/1.10231</f>
        <v>0</v>
      </c>
      <c r="DN37" s="141">
        <f t="shared" ref="DN37:DR73" si="16">SUM(B37,AE37,BH37,CK37)</f>
        <v>0</v>
      </c>
      <c r="DO37" s="141">
        <f t="shared" si="16"/>
        <v>0</v>
      </c>
      <c r="DP37" s="141">
        <f t="shared" si="16"/>
        <v>0</v>
      </c>
      <c r="DQ37" s="141">
        <f t="shared" si="16"/>
        <v>0</v>
      </c>
      <c r="DR37" s="141">
        <f t="shared" si="16"/>
        <v>0</v>
      </c>
      <c r="DS37" s="141">
        <f t="shared" si="14"/>
        <v>0</v>
      </c>
      <c r="DT37" s="141">
        <f t="shared" si="14"/>
        <v>0</v>
      </c>
      <c r="DU37" s="141">
        <f t="shared" si="14"/>
        <v>0</v>
      </c>
      <c r="DV37" s="141">
        <f t="shared" si="14"/>
        <v>0</v>
      </c>
      <c r="DW37" s="141">
        <f t="shared" si="14"/>
        <v>0</v>
      </c>
      <c r="DX37" s="141">
        <f t="shared" si="14"/>
        <v>0</v>
      </c>
      <c r="DY37" s="141">
        <f t="shared" si="14"/>
        <v>0</v>
      </c>
      <c r="DZ37" s="141">
        <f t="shared" si="14"/>
        <v>0</v>
      </c>
      <c r="EA37" s="141">
        <f t="shared" si="14"/>
        <v>0</v>
      </c>
      <c r="EB37" s="141">
        <f t="shared" si="14"/>
        <v>0</v>
      </c>
      <c r="EC37" s="141">
        <f t="shared" si="14"/>
        <v>0</v>
      </c>
      <c r="ED37" s="141">
        <f t="shared" si="14"/>
        <v>0</v>
      </c>
      <c r="EE37" s="141">
        <f t="shared" si="14"/>
        <v>0</v>
      </c>
      <c r="EF37" s="141">
        <f t="shared" si="14"/>
        <v>0</v>
      </c>
      <c r="EG37" s="141">
        <f t="shared" si="14"/>
        <v>0</v>
      </c>
      <c r="EH37" s="141">
        <f t="shared" si="14"/>
        <v>0</v>
      </c>
      <c r="EI37" s="141">
        <f t="shared" ref="EI37:EL73" si="17">SUM(W37,AZ37,CC37,DF37)</f>
        <v>0</v>
      </c>
      <c r="EJ37" s="141">
        <f t="shared" si="17"/>
        <v>0</v>
      </c>
      <c r="EK37" s="141">
        <f t="shared" si="17"/>
        <v>0</v>
      </c>
      <c r="EL37" s="141">
        <f t="shared" si="17"/>
        <v>0</v>
      </c>
      <c r="EM37" s="141">
        <f t="shared" si="15"/>
        <v>0</v>
      </c>
      <c r="EN37" s="141">
        <f t="shared" si="13"/>
        <v>0</v>
      </c>
      <c r="EO37" s="141">
        <f t="shared" si="13"/>
        <v>0</v>
      </c>
      <c r="EP37" s="145">
        <f t="shared" si="13"/>
        <v>0</v>
      </c>
      <c r="EQ37" s="145">
        <v>0</v>
      </c>
      <c r="ES37" s="141">
        <f t="shared" si="11"/>
        <v>0</v>
      </c>
      <c r="ET37" s="141">
        <f t="shared" si="11"/>
        <v>0</v>
      </c>
    </row>
    <row r="38" spans="1:150">
      <c r="A38" s="148" t="s">
        <v>169</v>
      </c>
      <c r="B38" s="146">
        <f>'[2]EU Sun Meal Exports'!B$284</f>
        <v>0</v>
      </c>
      <c r="C38" s="146">
        <f>'[2]EU Sun Meal Exports'!C$284</f>
        <v>0</v>
      </c>
      <c r="D38" s="146">
        <f>'[2]EU Sun Meal Exports'!D$284</f>
        <v>0</v>
      </c>
      <c r="E38" s="146">
        <f>'[2]EU Sun Meal Exports'!E$284</f>
        <v>1.65</v>
      </c>
      <c r="F38" s="146">
        <f>'[2]EU Sun Meal Exports'!F$284</f>
        <v>0</v>
      </c>
      <c r="G38" s="146">
        <f>'[2]EU Sun Meal Exports'!G$284</f>
        <v>0</v>
      </c>
      <c r="H38" s="146">
        <f>'[2]EU Sun Meal Exports'!H$284</f>
        <v>0</v>
      </c>
      <c r="I38" s="146">
        <f>'[2]EU Sun Meal Exports'!I$284</f>
        <v>1.2999999999999999E-2</v>
      </c>
      <c r="J38" s="146">
        <f>'[2]EU Sun Meal Exports'!J$284</f>
        <v>0</v>
      </c>
      <c r="K38" s="146">
        <f>'[2]EU Sun Meal Exports'!K$284</f>
        <v>0</v>
      </c>
      <c r="L38" s="146">
        <f>'[2]EU Sun Meal Exports'!L$284</f>
        <v>0.14499999999999999</v>
      </c>
      <c r="M38" s="146">
        <f>'[2]EU Sun Meal Exports'!M$284</f>
        <v>0</v>
      </c>
      <c r="N38" s="146">
        <f>'[2]EU Sun Meal Exports'!N$284</f>
        <v>0</v>
      </c>
      <c r="O38" s="146">
        <f>'[2]EU Sun Meal Exports'!O$284</f>
        <v>0</v>
      </c>
      <c r="P38" s="141">
        <f>'[2]EU Sun Meal Exports'!P$284</f>
        <v>1.6E-2</v>
      </c>
      <c r="Q38" s="141">
        <f>'[2]EU Sun Meal Exports'!Q$284</f>
        <v>0.20400000000000001</v>
      </c>
      <c r="R38" s="141">
        <f>'[2]EU Sun Meal Exports'!R$284</f>
        <v>0</v>
      </c>
      <c r="S38" s="141">
        <f>'[2]EU Sun Meal Exports'!S$284</f>
        <v>0.02</v>
      </c>
      <c r="T38" s="141">
        <f>'[2]EU Sun Meal Exports'!T$284</f>
        <v>4.056</v>
      </c>
      <c r="U38" s="141">
        <f>'[2]EU Sun Meal Exports'!U$284</f>
        <v>3.899</v>
      </c>
      <c r="V38" s="141">
        <f>'[2]EU Sun Meal Exports'!V$284</f>
        <v>4.9349999999999996</v>
      </c>
      <c r="W38" s="141">
        <f>'[2]EU Sun Meal Exports'!W$284</f>
        <v>2.9819999999999998</v>
      </c>
      <c r="X38" s="141">
        <f>'[2]EU Sun Meal Exports'!X$284</f>
        <v>8.7000000000000022E-2</v>
      </c>
      <c r="Y38" s="141">
        <f>'[2]EU Sun Meal Exports'!Y$284</f>
        <v>0.4</v>
      </c>
      <c r="Z38" s="141">
        <f>'[2]EU Sun Meal Exports'!Z$284</f>
        <v>0.153</v>
      </c>
      <c r="AA38" s="141">
        <f>'[2]EU Sun Meal Exports'!AA$284</f>
        <v>0.22499999999999998</v>
      </c>
      <c r="AB38" s="141">
        <f>'[2]EU Sun Meal Exports'!AB$284</f>
        <v>4.4000000000000004E-2</v>
      </c>
      <c r="AC38" s="141">
        <f>'[2]EU Sun Meal Exports'!AC$284</f>
        <v>7.0999999999999994E-2</v>
      </c>
      <c r="AD38" s="143">
        <f>'[2]EU Sun Meal Exports'!AD$284</f>
        <v>4.6000000000000006E-2</v>
      </c>
      <c r="AE38" s="141">
        <f>'[2]Ukraine Sun Meal Exports'!B$284</f>
        <v>0</v>
      </c>
      <c r="AF38" s="141">
        <f>'[2]Ukraine Sun Meal Exports'!C$284</f>
        <v>0</v>
      </c>
      <c r="AG38" s="141">
        <f>'[2]Ukraine Sun Meal Exports'!D$284</f>
        <v>0</v>
      </c>
      <c r="AH38" s="141">
        <f>'[2]Ukraine Sun Meal Exports'!E$284</f>
        <v>0</v>
      </c>
      <c r="AI38" s="141">
        <f>'[2]Ukraine Sun Meal Exports'!F$284</f>
        <v>0</v>
      </c>
      <c r="AJ38" s="141">
        <f>'[2]Ukraine Sun Meal Exports'!G$284</f>
        <v>0</v>
      </c>
      <c r="AK38" s="141">
        <f>'[2]Ukraine Sun Meal Exports'!H$284</f>
        <v>0</v>
      </c>
      <c r="AL38" s="141">
        <f>'[2]Ukraine Sun Meal Exports'!I$284</f>
        <v>0</v>
      </c>
      <c r="AM38" s="141">
        <f>'[2]Ukraine Sun Meal Exports'!J$284</f>
        <v>0</v>
      </c>
      <c r="AN38" s="141">
        <f>'[2]Ukraine Sun Meal Exports'!K$284</f>
        <v>0</v>
      </c>
      <c r="AO38" s="141">
        <f>'[2]Ukraine Sun Meal Exports'!L$284</f>
        <v>0</v>
      </c>
      <c r="AP38" s="141">
        <f>'[2]Ukraine Sun Meal Exports'!M$284</f>
        <v>0</v>
      </c>
      <c r="AQ38" s="141">
        <f>'[2]Ukraine Sun Meal Exports'!N$284</f>
        <v>0</v>
      </c>
      <c r="AR38" s="141">
        <f>'[2]Ukraine Sun Meal Exports'!O$284</f>
        <v>0</v>
      </c>
      <c r="AS38" s="141">
        <f>'[2]Ukraine Sun Meal Exports'!P$284</f>
        <v>0</v>
      </c>
      <c r="AT38" s="141">
        <f>'[2]Ukraine Sun Meal Exports'!Q$284</f>
        <v>0</v>
      </c>
      <c r="AU38" s="141">
        <f>'[2]Ukraine Sun Meal Exports'!R$284</f>
        <v>0</v>
      </c>
      <c r="AV38" s="141">
        <f>'[2]Ukraine Sun Meal Exports'!S$284</f>
        <v>0</v>
      </c>
      <c r="AW38" s="141">
        <f>'[2]Ukraine Sun Meal Exports'!T$284</f>
        <v>0</v>
      </c>
      <c r="AX38" s="141">
        <f>'[2]Ukraine Sun Meal Exports'!U$284</f>
        <v>0</v>
      </c>
      <c r="AY38" s="141">
        <f>'[2]Ukraine Sun Meal Exports'!V$284</f>
        <v>0</v>
      </c>
      <c r="AZ38" s="141">
        <f>'[2]Ukraine Sun Meal Exports'!W$284</f>
        <v>0</v>
      </c>
      <c r="BA38" s="141">
        <f>'[2]Ukraine Sun Meal Exports'!X$284</f>
        <v>2.8000000000000001E-2</v>
      </c>
      <c r="BB38" s="141">
        <f>'[2]Ukraine Sun Meal Exports'!Y$284</f>
        <v>0</v>
      </c>
      <c r="BC38" s="141">
        <f>'[2]Ukraine Sun Meal Exports'!Z$284</f>
        <v>0</v>
      </c>
      <c r="BD38" s="141">
        <f>'[2]Ukraine Sun Meal Exports'!AA$284</f>
        <v>0</v>
      </c>
      <c r="BE38" s="141">
        <f>'[2]Ukraine Sun Meal Exports'!AB$284</f>
        <v>0</v>
      </c>
      <c r="BF38" s="141">
        <f>'[2]Ukraine Sun Meal Exports'!AC$284</f>
        <v>0</v>
      </c>
      <c r="BG38" s="143">
        <f>'[2]Ukraine Sun Meal Exports'!AD$284</f>
        <v>0.40799999999999997</v>
      </c>
      <c r="BH38" s="141">
        <f>'[2]Russia Sun Meal Exports'!B$284</f>
        <v>0</v>
      </c>
      <c r="BI38" s="141">
        <f>'[2]Russia Sun Meal Exports'!C$284</f>
        <v>0</v>
      </c>
      <c r="BJ38" s="141">
        <f>'[2]Russia Sun Meal Exports'!D$284</f>
        <v>0</v>
      </c>
      <c r="BK38" s="141">
        <f>'[2]Russia Sun Meal Exports'!E$284</f>
        <v>0</v>
      </c>
      <c r="BL38" s="141">
        <f>'[2]Russia Sun Meal Exports'!F$284</f>
        <v>0</v>
      </c>
      <c r="BM38" s="141">
        <f>'[2]Russia Sun Meal Exports'!G$284</f>
        <v>0</v>
      </c>
      <c r="BN38" s="141">
        <f>'[2]Russia Sun Meal Exports'!H$284</f>
        <v>0</v>
      </c>
      <c r="BO38" s="141">
        <f>'[2]Russia Sun Meal Exports'!I$284</f>
        <v>0</v>
      </c>
      <c r="BP38" s="141">
        <f>'[2]Russia Sun Meal Exports'!J$284</f>
        <v>0</v>
      </c>
      <c r="BQ38" s="141">
        <f>'[2]Russia Sun Meal Exports'!K$284</f>
        <v>0</v>
      </c>
      <c r="BR38" s="141">
        <f>'[2]Russia Sun Meal Exports'!L$284</f>
        <v>0</v>
      </c>
      <c r="BS38" s="141">
        <f>'[2]Russia Sun Meal Exports'!M$284</f>
        <v>0</v>
      </c>
      <c r="BT38" s="141">
        <f>'[2]Russia Sun Meal Exports'!N$284</f>
        <v>0</v>
      </c>
      <c r="BU38" s="141">
        <f>'[2]Russia Sun Meal Exports'!O$284</f>
        <v>0</v>
      </c>
      <c r="BV38" s="141">
        <f>'[2]Russia Sun Meal Exports'!P$284</f>
        <v>0</v>
      </c>
      <c r="BW38" s="141">
        <f>'[2]Russia Sun Meal Exports'!Q$284</f>
        <v>0</v>
      </c>
      <c r="BX38" s="141">
        <f>'[2]Russia Sun Meal Exports'!R$284</f>
        <v>0</v>
      </c>
      <c r="BY38" s="141">
        <f>'[2]Russia Sun Meal Exports'!S$284</f>
        <v>0</v>
      </c>
      <c r="BZ38" s="141">
        <f>'[2]Russia Sun Meal Exports'!T$284</f>
        <v>0</v>
      </c>
      <c r="CA38" s="141">
        <f>'[2]Russia Sun Meal Exports'!U$284</f>
        <v>0</v>
      </c>
      <c r="CB38" s="141">
        <f>'[2]Russia Sun Meal Exports'!V$284</f>
        <v>0</v>
      </c>
      <c r="CC38" s="141">
        <f>'[2]Russia Sun Meal Exports'!W$284</f>
        <v>0</v>
      </c>
      <c r="CD38" s="141">
        <f>'[2]Russia Sun Meal Exports'!X$284</f>
        <v>0</v>
      </c>
      <c r="CE38" s="141">
        <f>'[2]Russia Sun Meal Exports'!Y$284</f>
        <v>0.98899999999999999</v>
      </c>
      <c r="CF38" s="141">
        <f>'[2]Russia Sun Meal Exports'!Z$284</f>
        <v>0</v>
      </c>
      <c r="CG38" s="141">
        <f>'[2]Russia Sun Meal Exports'!AA$284</f>
        <v>0</v>
      </c>
      <c r="CH38" s="141">
        <f>'[2]Russia Sun Meal Exports'!AB$284</f>
        <v>0</v>
      </c>
      <c r="CI38" s="141">
        <f>'[2]Russia Sun Meal Exports'!AC$284</f>
        <v>0</v>
      </c>
      <c r="CJ38" s="143">
        <f>'[2]Russia Sun Meal Exports'!AD$284</f>
        <v>0</v>
      </c>
      <c r="CK38" s="150" t="s">
        <v>135</v>
      </c>
      <c r="CL38" s="150" t="s">
        <v>135</v>
      </c>
      <c r="CM38" s="150" t="s">
        <v>135</v>
      </c>
      <c r="CN38" s="150" t="s">
        <v>135</v>
      </c>
      <c r="CO38" s="150" t="s">
        <v>135</v>
      </c>
      <c r="CP38" s="150" t="s">
        <v>135</v>
      </c>
      <c r="CQ38" s="150" t="s">
        <v>135</v>
      </c>
      <c r="CR38" s="150" t="s">
        <v>135</v>
      </c>
      <c r="CS38" s="150" t="s">
        <v>135</v>
      </c>
      <c r="CT38" s="150" t="s">
        <v>135</v>
      </c>
      <c r="CU38" s="150" t="s">
        <v>135</v>
      </c>
      <c r="CV38" s="150" t="s">
        <v>135</v>
      </c>
      <c r="CW38" s="150" t="s">
        <v>135</v>
      </c>
      <c r="CX38" s="150" t="s">
        <v>135</v>
      </c>
      <c r="CY38" s="150" t="s">
        <v>135</v>
      </c>
      <c r="CZ38" s="150" t="s">
        <v>135</v>
      </c>
      <c r="DA38" s="150" t="s">
        <v>135</v>
      </c>
      <c r="DB38" s="150" t="s">
        <v>135</v>
      </c>
      <c r="DC38" s="150" t="s">
        <v>135</v>
      </c>
      <c r="DD38" s="150" t="s">
        <v>135</v>
      </c>
      <c r="DE38" s="150" t="s">
        <v>135</v>
      </c>
      <c r="DF38" s="150" t="s">
        <v>135</v>
      </c>
      <c r="DG38" s="150" t="s">
        <v>135</v>
      </c>
      <c r="DH38" s="150" t="s">
        <v>135</v>
      </c>
      <c r="DI38" s="150" t="s">
        <v>135</v>
      </c>
      <c r="DJ38" s="150" t="s">
        <v>135</v>
      </c>
      <c r="DK38" s="150" t="s">
        <v>135</v>
      </c>
      <c r="DL38" s="150" t="s">
        <v>135</v>
      </c>
      <c r="DM38" s="152" t="s">
        <v>135</v>
      </c>
      <c r="DN38" s="141">
        <f t="shared" si="16"/>
        <v>0</v>
      </c>
      <c r="DO38" s="141">
        <f t="shared" si="16"/>
        <v>0</v>
      </c>
      <c r="DP38" s="141">
        <f t="shared" si="16"/>
        <v>0</v>
      </c>
      <c r="DQ38" s="141">
        <f t="shared" si="16"/>
        <v>1.65</v>
      </c>
      <c r="DR38" s="141">
        <f t="shared" si="16"/>
        <v>0</v>
      </c>
      <c r="DS38" s="141">
        <f t="shared" si="14"/>
        <v>0</v>
      </c>
      <c r="DT38" s="141">
        <f t="shared" si="14"/>
        <v>0</v>
      </c>
      <c r="DU38" s="141">
        <f t="shared" si="14"/>
        <v>1.2999999999999999E-2</v>
      </c>
      <c r="DV38" s="141">
        <f t="shared" si="14"/>
        <v>0</v>
      </c>
      <c r="DW38" s="141">
        <f t="shared" si="14"/>
        <v>0</v>
      </c>
      <c r="DX38" s="141">
        <f t="shared" si="14"/>
        <v>0.14499999999999999</v>
      </c>
      <c r="DY38" s="141">
        <f t="shared" si="14"/>
        <v>0</v>
      </c>
      <c r="DZ38" s="141">
        <f t="shared" si="14"/>
        <v>0</v>
      </c>
      <c r="EA38" s="141">
        <f t="shared" si="14"/>
        <v>0</v>
      </c>
      <c r="EB38" s="141">
        <f t="shared" si="14"/>
        <v>1.6E-2</v>
      </c>
      <c r="EC38" s="141">
        <f t="shared" si="14"/>
        <v>0.20400000000000001</v>
      </c>
      <c r="ED38" s="141">
        <f t="shared" si="14"/>
        <v>0</v>
      </c>
      <c r="EE38" s="141">
        <f t="shared" si="14"/>
        <v>0.02</v>
      </c>
      <c r="EF38" s="141">
        <f t="shared" si="14"/>
        <v>4.056</v>
      </c>
      <c r="EG38" s="141">
        <f t="shared" si="14"/>
        <v>3.899</v>
      </c>
      <c r="EH38" s="141">
        <f t="shared" si="14"/>
        <v>4.9349999999999996</v>
      </c>
      <c r="EI38" s="141">
        <f t="shared" si="17"/>
        <v>2.9819999999999998</v>
      </c>
      <c r="EJ38" s="141">
        <f t="shared" si="17"/>
        <v>0.11500000000000002</v>
      </c>
      <c r="EK38" s="141">
        <f t="shared" si="17"/>
        <v>1.389</v>
      </c>
      <c r="EL38" s="141">
        <f t="shared" si="17"/>
        <v>0.153</v>
      </c>
      <c r="EM38" s="141">
        <f t="shared" si="15"/>
        <v>0.22499999999999998</v>
      </c>
      <c r="EN38" s="141">
        <f t="shared" si="13"/>
        <v>4.4000000000000004E-2</v>
      </c>
      <c r="EO38" s="141">
        <f t="shared" si="13"/>
        <v>7.0999999999999994E-2</v>
      </c>
      <c r="EP38" s="145">
        <f>'[4]Sun Complex'!BK$24-3</f>
        <v>12.220715590600001</v>
      </c>
      <c r="EQ38" s="145">
        <f>'[4]Sun Complex'!BL$24</f>
        <v>14.370999999999999</v>
      </c>
      <c r="ES38" s="141">
        <f>SUM(BF38+CI38+AC38)-EO38</f>
        <v>0</v>
      </c>
      <c r="ET38" s="141">
        <f>SUM(BG38+CJ38+AD38)-EP38</f>
        <v>-11.7667155906</v>
      </c>
    </row>
    <row r="39" spans="1:150">
      <c r="A39" s="148" t="s">
        <v>170</v>
      </c>
      <c r="B39" s="146">
        <f>'[2]EU Sun Meal Exports'!B$286</f>
        <v>0</v>
      </c>
      <c r="C39" s="146">
        <f>'[2]EU Sun Meal Exports'!C$286</f>
        <v>0</v>
      </c>
      <c r="D39" s="146">
        <f>'[2]EU Sun Meal Exports'!D$286</f>
        <v>0</v>
      </c>
      <c r="E39" s="146">
        <f>'[2]EU Sun Meal Exports'!E$286</f>
        <v>0</v>
      </c>
      <c r="F39" s="146">
        <f>'[2]EU Sun Meal Exports'!F$286</f>
        <v>0</v>
      </c>
      <c r="G39" s="146">
        <f>'[2]EU Sun Meal Exports'!G$286</f>
        <v>0</v>
      </c>
      <c r="H39" s="146">
        <f>'[2]EU Sun Meal Exports'!H$286</f>
        <v>0</v>
      </c>
      <c r="I39" s="146">
        <f>'[2]EU Sun Meal Exports'!I$286</f>
        <v>0</v>
      </c>
      <c r="J39" s="146">
        <f>'[2]EU Sun Meal Exports'!J$286</f>
        <v>0</v>
      </c>
      <c r="K39" s="146">
        <f>'[2]EU Sun Meal Exports'!K$286</f>
        <v>0</v>
      </c>
      <c r="L39" s="146">
        <f>'[2]EU Sun Meal Exports'!L$286</f>
        <v>0</v>
      </c>
      <c r="M39" s="146">
        <f>'[2]EU Sun Meal Exports'!M$286</f>
        <v>0</v>
      </c>
      <c r="N39" s="146">
        <f>'[2]EU Sun Meal Exports'!N$286</f>
        <v>0</v>
      </c>
      <c r="O39" s="146">
        <f>'[2]EU Sun Meal Exports'!O$286</f>
        <v>0</v>
      </c>
      <c r="P39" s="141">
        <f>'[2]EU Sun Meal Exports'!P$286</f>
        <v>0</v>
      </c>
      <c r="Q39" s="141">
        <f>'[2]EU Sun Meal Exports'!Q$286</f>
        <v>0</v>
      </c>
      <c r="R39" s="141">
        <f>'[2]EU Sun Meal Exports'!R$286</f>
        <v>0</v>
      </c>
      <c r="S39" s="141">
        <f>'[2]EU Sun Meal Exports'!S$286</f>
        <v>0</v>
      </c>
      <c r="T39" s="141">
        <f>'[2]EU Sun Meal Exports'!T$286</f>
        <v>0</v>
      </c>
      <c r="U39" s="141">
        <f>'[2]EU Sun Meal Exports'!U$286</f>
        <v>0</v>
      </c>
      <c r="V39" s="141">
        <f>'[2]EU Sun Meal Exports'!V$286</f>
        <v>0</v>
      </c>
      <c r="W39" s="141">
        <f>'[2]EU Sun Meal Exports'!W$286</f>
        <v>0</v>
      </c>
      <c r="X39" s="141">
        <f>'[2]EU Sun Meal Exports'!X$286</f>
        <v>0</v>
      </c>
      <c r="Y39" s="141">
        <f>'[2]EU Sun Meal Exports'!Y$286</f>
        <v>0</v>
      </c>
      <c r="Z39" s="141">
        <f>'[2]EU Sun Meal Exports'!Z$286</f>
        <v>0</v>
      </c>
      <c r="AA39" s="141">
        <f>'[2]EU Sun Meal Exports'!AA$286</f>
        <v>0</v>
      </c>
      <c r="AB39" s="141">
        <f>'[2]EU Sun Meal Exports'!AB$286</f>
        <v>0</v>
      </c>
      <c r="AC39" s="141">
        <f>'[2]EU Sun Meal Exports'!AC$286</f>
        <v>0</v>
      </c>
      <c r="AD39" s="143">
        <f>'[2]EU Sun Meal Exports'!AD$286</f>
        <v>0</v>
      </c>
      <c r="AE39" s="141">
        <f>'[2]Ukraine Sun Meal Exports'!B$286</f>
        <v>0</v>
      </c>
      <c r="AF39" s="141">
        <f>'[2]Ukraine Sun Meal Exports'!C$286</f>
        <v>0</v>
      </c>
      <c r="AG39" s="141">
        <f>'[2]Ukraine Sun Meal Exports'!D$286</f>
        <v>0</v>
      </c>
      <c r="AH39" s="141">
        <f>'[2]Ukraine Sun Meal Exports'!E$286</f>
        <v>0</v>
      </c>
      <c r="AI39" s="141">
        <f>'[2]Ukraine Sun Meal Exports'!F$286</f>
        <v>0</v>
      </c>
      <c r="AJ39" s="141">
        <f>'[2]Ukraine Sun Meal Exports'!G$286</f>
        <v>0</v>
      </c>
      <c r="AK39" s="141">
        <f>'[2]Ukraine Sun Meal Exports'!H$286</f>
        <v>0</v>
      </c>
      <c r="AL39" s="141">
        <f>'[2]Ukraine Sun Meal Exports'!I$286</f>
        <v>0</v>
      </c>
      <c r="AM39" s="141">
        <f>'[2]Ukraine Sun Meal Exports'!J$286</f>
        <v>0</v>
      </c>
      <c r="AN39" s="141">
        <f>'[2]Ukraine Sun Meal Exports'!K$286</f>
        <v>0</v>
      </c>
      <c r="AO39" s="141">
        <f>'[2]Ukraine Sun Meal Exports'!L$286</f>
        <v>0</v>
      </c>
      <c r="AP39" s="141">
        <f>'[2]Ukraine Sun Meal Exports'!M$286</f>
        <v>0</v>
      </c>
      <c r="AQ39" s="141">
        <f>'[2]Ukraine Sun Meal Exports'!N$286</f>
        <v>0</v>
      </c>
      <c r="AR39" s="141">
        <f>'[2]Ukraine Sun Meal Exports'!O$286</f>
        <v>0</v>
      </c>
      <c r="AS39" s="141">
        <f>'[2]Ukraine Sun Meal Exports'!P$286</f>
        <v>0</v>
      </c>
      <c r="AT39" s="141">
        <f>'[2]Ukraine Sun Meal Exports'!Q$286</f>
        <v>0</v>
      </c>
      <c r="AU39" s="141">
        <f>'[2]Ukraine Sun Meal Exports'!R$286</f>
        <v>0</v>
      </c>
      <c r="AV39" s="141">
        <f>'[2]Ukraine Sun Meal Exports'!S$286</f>
        <v>0</v>
      </c>
      <c r="AW39" s="141">
        <f>'[2]Ukraine Sun Meal Exports'!T$286</f>
        <v>0</v>
      </c>
      <c r="AX39" s="141">
        <f>'[2]Ukraine Sun Meal Exports'!U$286</f>
        <v>0</v>
      </c>
      <c r="AY39" s="141">
        <f>'[2]Ukraine Sun Meal Exports'!V$286</f>
        <v>0</v>
      </c>
      <c r="AZ39" s="141">
        <f>'[2]Ukraine Sun Meal Exports'!W$286</f>
        <v>0</v>
      </c>
      <c r="BA39" s="141">
        <f>'[2]Ukraine Sun Meal Exports'!X$286</f>
        <v>0</v>
      </c>
      <c r="BB39" s="141">
        <f>'[2]Ukraine Sun Meal Exports'!Y$286</f>
        <v>0</v>
      </c>
      <c r="BC39" s="141">
        <f>'[2]Ukraine Sun Meal Exports'!Z$286</f>
        <v>0</v>
      </c>
      <c r="BD39" s="141">
        <f>'[2]Ukraine Sun Meal Exports'!AA$286</f>
        <v>0</v>
      </c>
      <c r="BE39" s="141">
        <f>'[2]Ukraine Sun Meal Exports'!AB$286</f>
        <v>0</v>
      </c>
      <c r="BF39" s="141">
        <f>'[2]Ukraine Sun Meal Exports'!AC$286</f>
        <v>0</v>
      </c>
      <c r="BG39" s="143">
        <f>'[2]Ukraine Sun Meal Exports'!AD$286</f>
        <v>0</v>
      </c>
      <c r="BH39" s="141">
        <f>'[2]Russia Sun Meal Exports'!B$286</f>
        <v>0</v>
      </c>
      <c r="BI39" s="141">
        <f>'[2]Russia Sun Meal Exports'!C$286</f>
        <v>0</v>
      </c>
      <c r="BJ39" s="141">
        <f>'[2]Russia Sun Meal Exports'!D$286</f>
        <v>0</v>
      </c>
      <c r="BK39" s="141">
        <f>'[2]Russia Sun Meal Exports'!E$286</f>
        <v>0</v>
      </c>
      <c r="BL39" s="141">
        <f>'[2]Russia Sun Meal Exports'!F$286</f>
        <v>0</v>
      </c>
      <c r="BM39" s="141">
        <f>'[2]Russia Sun Meal Exports'!G$286</f>
        <v>0</v>
      </c>
      <c r="BN39" s="141">
        <f>'[2]Russia Sun Meal Exports'!H$286</f>
        <v>0</v>
      </c>
      <c r="BO39" s="141">
        <f>'[2]Russia Sun Meal Exports'!I$286</f>
        <v>0</v>
      </c>
      <c r="BP39" s="141">
        <f>'[2]Russia Sun Meal Exports'!J$286</f>
        <v>0</v>
      </c>
      <c r="BQ39" s="141">
        <f>'[2]Russia Sun Meal Exports'!K$286</f>
        <v>0</v>
      </c>
      <c r="BR39" s="141">
        <f>'[2]Russia Sun Meal Exports'!L$286</f>
        <v>0</v>
      </c>
      <c r="BS39" s="141">
        <f>'[2]Russia Sun Meal Exports'!M$286</f>
        <v>0</v>
      </c>
      <c r="BT39" s="141">
        <f>'[2]Russia Sun Meal Exports'!N$286</f>
        <v>0</v>
      </c>
      <c r="BU39" s="141">
        <f>'[2]Russia Sun Meal Exports'!O$286</f>
        <v>0</v>
      </c>
      <c r="BV39" s="141">
        <f>'[2]Russia Sun Meal Exports'!P$286</f>
        <v>0</v>
      </c>
      <c r="BW39" s="141">
        <f>'[2]Russia Sun Meal Exports'!Q$286</f>
        <v>0</v>
      </c>
      <c r="BX39" s="141">
        <f>'[2]Russia Sun Meal Exports'!R$286</f>
        <v>0</v>
      </c>
      <c r="BY39" s="141">
        <f>'[2]Russia Sun Meal Exports'!S$286</f>
        <v>0</v>
      </c>
      <c r="BZ39" s="141">
        <f>'[2]Russia Sun Meal Exports'!T$286</f>
        <v>0</v>
      </c>
      <c r="CA39" s="141">
        <f>'[2]Russia Sun Meal Exports'!U$286</f>
        <v>0</v>
      </c>
      <c r="CB39" s="141">
        <f>'[2]Russia Sun Meal Exports'!V$286</f>
        <v>0</v>
      </c>
      <c r="CC39" s="141">
        <f>'[2]Russia Sun Meal Exports'!W$286</f>
        <v>0</v>
      </c>
      <c r="CD39" s="141">
        <f>'[2]Russia Sun Meal Exports'!X$286</f>
        <v>0</v>
      </c>
      <c r="CE39" s="141">
        <f>'[2]Russia Sun Meal Exports'!Y$286</f>
        <v>0</v>
      </c>
      <c r="CF39" s="141">
        <f>'[2]Russia Sun Meal Exports'!Z$286</f>
        <v>0</v>
      </c>
      <c r="CG39" s="141">
        <f>'[2]Russia Sun Meal Exports'!AA$286</f>
        <v>0</v>
      </c>
      <c r="CH39" s="141">
        <f>'[2]Russia Sun Meal Exports'!AB$286</f>
        <v>0</v>
      </c>
      <c r="CI39" s="141">
        <f>'[2]Russia Sun Meal Exports'!AC$286</f>
        <v>0</v>
      </c>
      <c r="CJ39" s="143">
        <f>'[2]Russia Sun Meal Exports'!AD$286</f>
        <v>0</v>
      </c>
      <c r="CK39" s="141">
        <f>'[3]Sunflower Meal Exports'!B$286/1.10231</f>
        <v>0</v>
      </c>
      <c r="CL39" s="141">
        <f>'[3]Sunflower Meal Exports'!C$286/1.10231</f>
        <v>3.8400034835935452E-2</v>
      </c>
      <c r="CM39" s="141">
        <f>'[3]Sunflower Meal Exports'!D$286/1.10231</f>
        <v>0</v>
      </c>
      <c r="CN39" s="141">
        <f>'[3]Sunflower Meal Exports'!E$286/1.10231</f>
        <v>0</v>
      </c>
      <c r="CO39" s="141">
        <f>'[3]Sunflower Meal Exports'!F$286/1.10231</f>
        <v>0</v>
      </c>
      <c r="CP39" s="141">
        <f>'[3]Sunflower Meal Exports'!G$286/1.10231</f>
        <v>0</v>
      </c>
      <c r="CQ39" s="141">
        <f>'[3]Sunflower Meal Exports'!H$286/1.10231</f>
        <v>0</v>
      </c>
      <c r="CR39" s="141">
        <f>'[3]Sunflower Meal Exports'!I$286/1.10231</f>
        <v>0</v>
      </c>
      <c r="CS39" s="141">
        <f>'[3]Sunflower Meal Exports'!J$286/1.10231</f>
        <v>0</v>
      </c>
      <c r="CT39" s="141">
        <f>'[3]Sunflower Meal Exports'!K$286/1.10231</f>
        <v>0</v>
      </c>
      <c r="CU39" s="141">
        <f>'[3]Sunflower Meal Exports'!L$286/1.10231</f>
        <v>0</v>
      </c>
      <c r="CV39" s="141">
        <f>'[3]Sunflower Meal Exports'!M$286/1.10231</f>
        <v>0</v>
      </c>
      <c r="CW39" s="141">
        <f>'[3]Sunflower Meal Exports'!N$286/1.10231</f>
        <v>0</v>
      </c>
      <c r="CX39" s="141">
        <f>'[3]Sunflower Meal Exports'!O$286/1.10231</f>
        <v>0</v>
      </c>
      <c r="CY39" s="141">
        <f>'[3]Sunflower Meal Exports'!P$286/1.10231</f>
        <v>0</v>
      </c>
      <c r="CZ39" s="141">
        <f>'[3]Sunflower Meal Exports'!Q$286/1.10231</f>
        <v>0</v>
      </c>
      <c r="DA39" s="141">
        <f>'[3]Sunflower Meal Exports'!R$286/1.10231</f>
        <v>0</v>
      </c>
      <c r="DB39" s="141">
        <f>'[3]Sunflower Meal Exports'!S$286/1.10231</f>
        <v>0</v>
      </c>
      <c r="DC39" s="141">
        <f>'[3]Sunflower Meal Exports'!T$286/1.10231</f>
        <v>0</v>
      </c>
      <c r="DD39" s="141">
        <f>'[3]Sunflower Meal Exports'!U$286/1.10231</f>
        <v>0</v>
      </c>
      <c r="DE39" s="141">
        <f>'[3]Sunflower Meal Exports'!V$286/1.10231</f>
        <v>0</v>
      </c>
      <c r="DF39" s="141">
        <f>'[3]Sunflower Meal Exports'!W$286/1.10231</f>
        <v>0</v>
      </c>
      <c r="DG39" s="141">
        <f>'[3]Sunflower Meal Exports'!X$286/1.10231</f>
        <v>1.1771010678484275</v>
      </c>
      <c r="DH39" s="141">
        <f>'[3]Sunflower Meal Exports'!Y$286/1.10231</f>
        <v>0</v>
      </c>
      <c r="DI39" s="141">
        <f>'[3]Sunflower Meal Exports'!Z$286/1.10231</f>
        <v>0</v>
      </c>
      <c r="DJ39" s="141">
        <f>'[3]Sunflower Meal Exports'!AA$286/1.10231</f>
        <v>0</v>
      </c>
      <c r="DK39" s="141">
        <f>'[3]Sunflower Meal Exports'!AB$286/1.10231</f>
        <v>0</v>
      </c>
      <c r="DL39" s="141">
        <f>'[3]Sunflower Meal Exports'!AC$286/1.10231</f>
        <v>0</v>
      </c>
      <c r="DM39" s="143">
        <f>'[3]Sunflower Meal Exports'!AD$286/1.10231</f>
        <v>0</v>
      </c>
      <c r="DN39" s="141">
        <f t="shared" si="16"/>
        <v>0</v>
      </c>
      <c r="DO39" s="141">
        <f t="shared" si="16"/>
        <v>3.8400034835935452E-2</v>
      </c>
      <c r="DP39" s="141">
        <f t="shared" si="16"/>
        <v>0</v>
      </c>
      <c r="DQ39" s="141">
        <f t="shared" si="16"/>
        <v>0</v>
      </c>
      <c r="DR39" s="141">
        <f t="shared" si="16"/>
        <v>0</v>
      </c>
      <c r="DS39" s="141">
        <f t="shared" si="14"/>
        <v>0</v>
      </c>
      <c r="DT39" s="141">
        <f t="shared" si="14"/>
        <v>0</v>
      </c>
      <c r="DU39" s="141">
        <f t="shared" si="14"/>
        <v>0</v>
      </c>
      <c r="DV39" s="141">
        <f t="shared" si="14"/>
        <v>0</v>
      </c>
      <c r="DW39" s="141">
        <f t="shared" si="14"/>
        <v>0</v>
      </c>
      <c r="DX39" s="141">
        <f t="shared" si="14"/>
        <v>0</v>
      </c>
      <c r="DY39" s="141">
        <f t="shared" si="14"/>
        <v>0</v>
      </c>
      <c r="DZ39" s="141">
        <f t="shared" si="14"/>
        <v>0</v>
      </c>
      <c r="EA39" s="141">
        <f t="shared" si="14"/>
        <v>0</v>
      </c>
      <c r="EB39" s="141">
        <f t="shared" si="14"/>
        <v>0</v>
      </c>
      <c r="EC39" s="141">
        <f t="shared" si="14"/>
        <v>0</v>
      </c>
      <c r="ED39" s="141">
        <f t="shared" si="14"/>
        <v>0</v>
      </c>
      <c r="EE39" s="141">
        <f t="shared" si="14"/>
        <v>0</v>
      </c>
      <c r="EF39" s="141">
        <f t="shared" si="14"/>
        <v>0</v>
      </c>
      <c r="EG39" s="141">
        <f t="shared" si="14"/>
        <v>0</v>
      </c>
      <c r="EH39" s="141">
        <f t="shared" si="14"/>
        <v>0</v>
      </c>
      <c r="EI39" s="141">
        <f t="shared" si="17"/>
        <v>0</v>
      </c>
      <c r="EJ39" s="141">
        <f t="shared" si="17"/>
        <v>1.1771010678484275</v>
      </c>
      <c r="EK39" s="141">
        <f t="shared" si="17"/>
        <v>0</v>
      </c>
      <c r="EL39" s="141">
        <f t="shared" si="17"/>
        <v>0</v>
      </c>
      <c r="EM39" s="141">
        <f t="shared" si="15"/>
        <v>0</v>
      </c>
      <c r="EN39" s="141">
        <f t="shared" si="13"/>
        <v>0</v>
      </c>
      <c r="EO39" s="141">
        <f t="shared" si="13"/>
        <v>0</v>
      </c>
      <c r="EP39" s="145">
        <f t="shared" si="13"/>
        <v>0</v>
      </c>
      <c r="EQ39" s="145">
        <v>0</v>
      </c>
      <c r="ES39" s="141">
        <f>SUM(BF39+CI39+DL39+AC39)-EO39</f>
        <v>0</v>
      </c>
      <c r="ET39" s="141">
        <f>SUM(BG39+CJ39+DM39+AD39)-EP39</f>
        <v>0</v>
      </c>
    </row>
    <row r="40" spans="1:150" ht="15.75" thickBot="1">
      <c r="A40" s="137" t="s">
        <v>171</v>
      </c>
      <c r="B40" s="146">
        <f>'[2]EU Sun Meal Exports'!B$231-SUM(B29:B39)</f>
        <v>0</v>
      </c>
      <c r="C40" s="146">
        <f>'[2]EU Sun Meal Exports'!C$231-SUM(C29:C39)</f>
        <v>0</v>
      </c>
      <c r="D40" s="146">
        <f>'[2]EU Sun Meal Exports'!D$231-SUM(D29:D39)</f>
        <v>0</v>
      </c>
      <c r="E40" s="146">
        <f>'[2]EU Sun Meal Exports'!E$231-SUM(E29:E39)</f>
        <v>0</v>
      </c>
      <c r="F40" s="146">
        <f>'[2]EU Sun Meal Exports'!F$231-SUM(F29:F39)</f>
        <v>0</v>
      </c>
      <c r="G40" s="146">
        <f>'[2]EU Sun Meal Exports'!G$231-SUM(G29:G39)</f>
        <v>0</v>
      </c>
      <c r="H40" s="146">
        <f>'[2]EU Sun Meal Exports'!H$231-SUM(H29:H39)</f>
        <v>0</v>
      </c>
      <c r="I40" s="146">
        <f>'[2]EU Sun Meal Exports'!I$231-SUM(I29:I39)</f>
        <v>2E-3</v>
      </c>
      <c r="J40" s="146">
        <f>'[2]EU Sun Meal Exports'!J$231-SUM(J29:J39)</f>
        <v>8.7999999999999995E-2</v>
      </c>
      <c r="K40" s="146">
        <f>'[2]EU Sun Meal Exports'!K$231-SUM(K29:K39)</f>
        <v>0</v>
      </c>
      <c r="L40" s="146">
        <f>'[2]EU Sun Meal Exports'!L$231-SUM(L29:L39)</f>
        <v>2.3999999999999994E-2</v>
      </c>
      <c r="M40" s="146">
        <f>'[2]EU Sun Meal Exports'!M$231-SUM(M29:M39)</f>
        <v>0</v>
      </c>
      <c r="N40" s="146">
        <f>'[2]EU Sun Meal Exports'!N$231-SUM(N29:N39)</f>
        <v>2.4E-2</v>
      </c>
      <c r="O40" s="146">
        <f>'[2]EU Sun Meal Exports'!O$231-SUM(O29:O39)</f>
        <v>0</v>
      </c>
      <c r="P40" s="141">
        <f>'[2]EU Sun Meal Exports'!P$231-SUM(P29:P39)</f>
        <v>2.5000000000000001E-2</v>
      </c>
      <c r="Q40" s="141">
        <f>'[2]EU Sun Meal Exports'!Q$231-SUM(Q29:Q39)</f>
        <v>1.585</v>
      </c>
      <c r="R40" s="141">
        <f>'[2]EU Sun Meal Exports'!R$231-SUM(R29:R39)</f>
        <v>0</v>
      </c>
      <c r="S40" s="141">
        <f>'[2]EU Sun Meal Exports'!S$231-SUM(S29:S39)</f>
        <v>0</v>
      </c>
      <c r="T40" s="141">
        <f>'[2]EU Sun Meal Exports'!T$231-SUM(T29:T39)</f>
        <v>0</v>
      </c>
      <c r="U40" s="141">
        <f>'[2]EU Sun Meal Exports'!U$231-SUM(U29:U39)</f>
        <v>0</v>
      </c>
      <c r="V40" s="141">
        <f>'[2]EU Sun Meal Exports'!V$231-SUM(V29:V39)</f>
        <v>0</v>
      </c>
      <c r="W40" s="141">
        <f>'[2]EU Sun Meal Exports'!W$231-SUM(W29:W39)</f>
        <v>0</v>
      </c>
      <c r="X40" s="141">
        <f>'[2]EU Sun Meal Exports'!X$231-SUM(X29:X39)</f>
        <v>0</v>
      </c>
      <c r="Y40" s="141">
        <f>'[2]EU Sun Meal Exports'!Y$231-SUM(Y29:Y39)</f>
        <v>0</v>
      </c>
      <c r="Z40" s="141">
        <f>'[2]EU Sun Meal Exports'!Z$231-SUM(Z29:Z39)</f>
        <v>0</v>
      </c>
      <c r="AA40" s="141">
        <f>'[2]EU Sun Meal Exports'!AA$231-SUM(AA29:AA39)</f>
        <v>0</v>
      </c>
      <c r="AB40" s="141">
        <f>'[2]EU Sun Meal Exports'!AB$231-SUM(AB29:AB39)</f>
        <v>0</v>
      </c>
      <c r="AC40" s="141">
        <f>'[2]EU Sun Meal Exports'!AC$231-SUM(AC29:AC39)</f>
        <v>0</v>
      </c>
      <c r="AD40" s="143">
        <f>'[2]EU Sun Meal Exports'!AD$231-SUM(AD29:AD39)</f>
        <v>2.0999999999999998E-2</v>
      </c>
      <c r="AE40" s="141">
        <f>'[2]Ukraine Sun Meal Exports'!B$231-SUM(AE29:AE39)</f>
        <v>0</v>
      </c>
      <c r="AF40" s="141">
        <f>'[2]Ukraine Sun Meal Exports'!C$231-SUM(AF29:AF39)</f>
        <v>0</v>
      </c>
      <c r="AG40" s="141">
        <f>'[2]Ukraine Sun Meal Exports'!D$231-SUM(AG29:AG39)</f>
        <v>0</v>
      </c>
      <c r="AH40" s="141">
        <f>'[2]Ukraine Sun Meal Exports'!E$231-SUM(AH29:AH39)</f>
        <v>0</v>
      </c>
      <c r="AI40" s="141">
        <f>'[2]Ukraine Sun Meal Exports'!F$231-SUM(AI29:AI39)</f>
        <v>0</v>
      </c>
      <c r="AJ40" s="141">
        <f>'[2]Ukraine Sun Meal Exports'!G$231-SUM(AJ29:AJ39)</f>
        <v>0</v>
      </c>
      <c r="AK40" s="141">
        <f>'[2]Ukraine Sun Meal Exports'!H$231-SUM(AK29:AK39)</f>
        <v>0</v>
      </c>
      <c r="AL40" s="141">
        <f>'[2]Ukraine Sun Meal Exports'!I$231-SUM(AL29:AL39)</f>
        <v>0</v>
      </c>
      <c r="AM40" s="141">
        <f>'[2]Ukraine Sun Meal Exports'!J$231-SUM(AM29:AM39)</f>
        <v>0</v>
      </c>
      <c r="AN40" s="141">
        <f>'[2]Ukraine Sun Meal Exports'!K$231-SUM(AN29:AN39)</f>
        <v>0</v>
      </c>
      <c r="AO40" s="141">
        <f>'[2]Ukraine Sun Meal Exports'!L$231-SUM(AO29:AO39)</f>
        <v>7.9749999999999996</v>
      </c>
      <c r="AP40" s="141">
        <f>'[2]Ukraine Sun Meal Exports'!M$231-SUM(AP29:AP39)</f>
        <v>0</v>
      </c>
      <c r="AQ40" s="141">
        <f>'[2]Ukraine Sun Meal Exports'!N$231-SUM(AQ29:AQ39)</f>
        <v>0</v>
      </c>
      <c r="AR40" s="141">
        <f>'[2]Ukraine Sun Meal Exports'!O$231-SUM(AR29:AR39)</f>
        <v>0</v>
      </c>
      <c r="AS40" s="141">
        <f>'[2]Ukraine Sun Meal Exports'!P$231-SUM(AS29:AS39)</f>
        <v>0</v>
      </c>
      <c r="AT40" s="141">
        <f>'[2]Ukraine Sun Meal Exports'!Q$231-SUM(AT29:AT39)</f>
        <v>0</v>
      </c>
      <c r="AU40" s="141">
        <f>'[2]Ukraine Sun Meal Exports'!R$231-SUM(AU29:AU39)</f>
        <v>0</v>
      </c>
      <c r="AV40" s="141">
        <f>'[2]Ukraine Sun Meal Exports'!S$231-SUM(AV29:AV39)</f>
        <v>0</v>
      </c>
      <c r="AW40" s="141">
        <f>'[2]Ukraine Sun Meal Exports'!T$231-SUM(AW29:AW39)</f>
        <v>0</v>
      </c>
      <c r="AX40" s="141">
        <f>'[2]Ukraine Sun Meal Exports'!U$231-SUM(AX29:AX39)</f>
        <v>0</v>
      </c>
      <c r="AY40" s="141">
        <f>'[2]Ukraine Sun Meal Exports'!V$231-SUM(AY29:AY39)</f>
        <v>0</v>
      </c>
      <c r="AZ40" s="141">
        <f>'[2]Ukraine Sun Meal Exports'!W$231-SUM(AZ29:AZ39)</f>
        <v>0</v>
      </c>
      <c r="BA40" s="141">
        <f>'[2]Ukraine Sun Meal Exports'!X$231-SUM(BA29:BA39)</f>
        <v>1.9979999999999998</v>
      </c>
      <c r="BB40" s="141">
        <f>'[2]Ukraine Sun Meal Exports'!Y$231-SUM(BB29:BB39)</f>
        <v>0</v>
      </c>
      <c r="BC40" s="141">
        <f>'[2]Ukraine Sun Meal Exports'!Z$231-SUM(BC29:BC39)</f>
        <v>0</v>
      </c>
      <c r="BD40" s="141">
        <f>'[2]Ukraine Sun Meal Exports'!AA$231-SUM(BD29:BD39)</f>
        <v>0.314</v>
      </c>
      <c r="BE40" s="141">
        <f>'[2]Ukraine Sun Meal Exports'!AB$231-SUM(BE29:BE39)</f>
        <v>0</v>
      </c>
      <c r="BF40" s="141">
        <f>'[2]Ukraine Sun Meal Exports'!AC$231-SUM(BF29:BF39)</f>
        <v>0</v>
      </c>
      <c r="BG40" s="143">
        <f>'[2]Ukraine Sun Meal Exports'!AD$231-SUM(BG29:BG39)</f>
        <v>0</v>
      </c>
      <c r="BH40" s="141">
        <f>'[2]Russia Sun Meal Exports'!B$231-SUM(BH29:BH39)</f>
        <v>0</v>
      </c>
      <c r="BI40" s="141">
        <f>'[2]Russia Sun Meal Exports'!C$231-SUM(BI29:BI39)</f>
        <v>0</v>
      </c>
      <c r="BJ40" s="141">
        <f>'[2]Russia Sun Meal Exports'!D$231-SUM(BJ29:BJ39)</f>
        <v>0</v>
      </c>
      <c r="BK40" s="141">
        <f>'[2]Russia Sun Meal Exports'!E$231-SUM(BK29:BK39)</f>
        <v>0</v>
      </c>
      <c r="BL40" s="141">
        <f>'[2]Russia Sun Meal Exports'!F$231-SUM(BL29:BL39)</f>
        <v>0</v>
      </c>
      <c r="BM40" s="141">
        <f>'[2]Russia Sun Meal Exports'!G$231-SUM(BM29:BM39)</f>
        <v>0</v>
      </c>
      <c r="BN40" s="141">
        <f>'[2]Russia Sun Meal Exports'!H$231-SUM(BN29:BN39)</f>
        <v>0</v>
      </c>
      <c r="BO40" s="141">
        <f>'[2]Russia Sun Meal Exports'!I$231-SUM(BO29:BO39)</f>
        <v>0</v>
      </c>
      <c r="BP40" s="141">
        <f>'[2]Russia Sun Meal Exports'!J$231-SUM(BP29:BP39)</f>
        <v>0</v>
      </c>
      <c r="BQ40" s="141">
        <f>'[2]Russia Sun Meal Exports'!K$231-SUM(BQ29:BQ39)</f>
        <v>0</v>
      </c>
      <c r="BR40" s="141">
        <f>'[2]Russia Sun Meal Exports'!L$231-SUM(BR29:BR39)</f>
        <v>0</v>
      </c>
      <c r="BS40" s="141">
        <f>'[2]Russia Sun Meal Exports'!M$231-SUM(BS29:BS39)</f>
        <v>0</v>
      </c>
      <c r="BT40" s="141">
        <f>'[2]Russia Sun Meal Exports'!N$231-SUM(BT29:BT39)</f>
        <v>0</v>
      </c>
      <c r="BU40" s="141">
        <f>'[2]Russia Sun Meal Exports'!O$231-SUM(BU29:BU39)</f>
        <v>0</v>
      </c>
      <c r="BV40" s="141">
        <f>'[2]Russia Sun Meal Exports'!P$231-SUM(BV29:BV39)</f>
        <v>0</v>
      </c>
      <c r="BW40" s="141">
        <f>'[2]Russia Sun Meal Exports'!Q$231-SUM(BW29:BW39)</f>
        <v>0</v>
      </c>
      <c r="BX40" s="141">
        <f>'[2]Russia Sun Meal Exports'!R$231-SUM(BX29:BX39)</f>
        <v>0</v>
      </c>
      <c r="BY40" s="141">
        <f>'[2]Russia Sun Meal Exports'!S$231-SUM(BY29:BY39)</f>
        <v>0</v>
      </c>
      <c r="BZ40" s="141">
        <f>'[2]Russia Sun Meal Exports'!T$231-SUM(BZ29:BZ39)</f>
        <v>0</v>
      </c>
      <c r="CA40" s="141">
        <f>'[2]Russia Sun Meal Exports'!U$231-SUM(CA29:CA39)</f>
        <v>0</v>
      </c>
      <c r="CB40" s="141">
        <f>'[2]Russia Sun Meal Exports'!V$231-SUM(CB29:CB39)</f>
        <v>3.1480000000000001</v>
      </c>
      <c r="CC40" s="141">
        <f>'[2]Russia Sun Meal Exports'!W$231-SUM(CC29:CC39)</f>
        <v>0</v>
      </c>
      <c r="CD40" s="141">
        <f>'[2]Russia Sun Meal Exports'!X$231-SUM(CD29:CD39)</f>
        <v>0</v>
      </c>
      <c r="CE40" s="141">
        <f>'[2]Russia Sun Meal Exports'!Y$231-SUM(CE29:CE39)</f>
        <v>0</v>
      </c>
      <c r="CF40" s="141">
        <f>'[2]Russia Sun Meal Exports'!Z$231-SUM(CF29:CF39)</f>
        <v>0</v>
      </c>
      <c r="CG40" s="141">
        <f>'[2]Russia Sun Meal Exports'!AA$231-SUM(CG29:CG39)</f>
        <v>0</v>
      </c>
      <c r="CH40" s="141">
        <f>'[2]Russia Sun Meal Exports'!AB$231-SUM(CH29:CH39)</f>
        <v>0</v>
      </c>
      <c r="CI40" s="141">
        <f>'[2]Russia Sun Meal Exports'!AC$231-SUM(CI29:CI39)</f>
        <v>0</v>
      </c>
      <c r="CJ40" s="143">
        <f>'[2]Russia Sun Meal Exports'!AD$231-SUM(CJ29:CJ39)</f>
        <v>0</v>
      </c>
      <c r="CK40" s="141">
        <f>('[3]Sunflower Meal Exports'!B$231/1.10231)-SUM(CK29:CK39)</f>
        <v>8.1000073482044854E-3</v>
      </c>
      <c r="CL40" s="141">
        <f>('[3]Sunflower Meal Exports'!C$231/1.10231)-SUM(CL29:CL39)</f>
        <v>3.6000032658687786E-2</v>
      </c>
      <c r="CM40" s="141">
        <f>('[3]Sunflower Meal Exports'!D$231/1.10231)-SUM(CM29:CM39)</f>
        <v>0</v>
      </c>
      <c r="CN40" s="141">
        <f>('[3]Sunflower Meal Exports'!E$231/1.10231)-SUM(CN29:CN39)</f>
        <v>0</v>
      </c>
      <c r="CO40" s="141">
        <f>('[3]Sunflower Meal Exports'!F$231/1.10231)-SUM(CO29:CO39)</f>
        <v>1.5500014061380352E-2</v>
      </c>
      <c r="CP40" s="141">
        <f>('[3]Sunflower Meal Exports'!G$231/1.10231)-SUM(CP29:CP39)</f>
        <v>6.4100058150609485E-2</v>
      </c>
      <c r="CQ40" s="141">
        <f>('[3]Sunflower Meal Exports'!H$231/1.10231)-SUM(CQ29:CQ39)</f>
        <v>6.1600055882646387E-2</v>
      </c>
      <c r="CR40" s="141">
        <f>('[3]Sunflower Meal Exports'!I$231/1.10231)-SUM(CR29:CR39)</f>
        <v>0</v>
      </c>
      <c r="CS40" s="141">
        <f>('[3]Sunflower Meal Exports'!J$231/1.10231)-SUM(CS29:CS39)</f>
        <v>0</v>
      </c>
      <c r="CT40" s="141">
        <f>('[3]Sunflower Meal Exports'!K$231/1.10231)-SUM(CT29:CT39)</f>
        <v>0</v>
      </c>
      <c r="CU40" s="141">
        <f>('[3]Sunflower Meal Exports'!L$231/1.10231)-SUM(CU29:CU39)</f>
        <v>7.8000070760491091E-3</v>
      </c>
      <c r="CV40" s="141">
        <f>('[3]Sunflower Meal Exports'!M$231/1.10231)-SUM(CV29:CV39)</f>
        <v>0</v>
      </c>
      <c r="CW40" s="141">
        <f>('[3]Sunflower Meal Exports'!N$231/1.10231)-SUM(CW29:CW39)</f>
        <v>0</v>
      </c>
      <c r="CX40" s="141">
        <f>('[3]Sunflower Meal Exports'!O$231/1.10231)-SUM(CX29:CX39)</f>
        <v>8.0900073391331873E-2</v>
      </c>
      <c r="CY40" s="141">
        <f>('[3]Sunflower Meal Exports'!P$231/1.10231)-SUM(CY29:CY39)</f>
        <v>8.9500081193129688E-2</v>
      </c>
      <c r="CZ40" s="141">
        <f>('[3]Sunflower Meal Exports'!Q$231/1.10231)-SUM(CZ29:CZ39)</f>
        <v>7.3400066587439028E-2</v>
      </c>
      <c r="DA40" s="141">
        <f>('[3]Sunflower Meal Exports'!R$231/1.10231)-SUM(DA29:DA39)</f>
        <v>0</v>
      </c>
      <c r="DB40" s="141">
        <f>('[3]Sunflower Meal Exports'!S$231/1.10231)-SUM(DB29:DB39)</f>
        <v>0</v>
      </c>
      <c r="DC40" s="141">
        <f>('[3]Sunflower Meal Exports'!T$231/1.10231)-SUM(DC29:DC39)</f>
        <v>0</v>
      </c>
      <c r="DD40" s="141">
        <f>('[3]Sunflower Meal Exports'!U$231/1.10231)-SUM(DD29:DD39)</f>
        <v>0</v>
      </c>
      <c r="DE40" s="141">
        <f>('[3]Sunflower Meal Exports'!V$231/1.10231)-SUM(DE29:DE39)</f>
        <v>0</v>
      </c>
      <c r="DF40" s="141">
        <f>('[3]Sunflower Meal Exports'!W$231/1.10231)-SUM(DF29:DF39)</f>
        <v>0</v>
      </c>
      <c r="DG40" s="141">
        <f>('[3]Sunflower Meal Exports'!X$231/1.10231)-SUM(DG29:DG39)</f>
        <v>0</v>
      </c>
      <c r="DH40" s="141">
        <f>('[3]Sunflower Meal Exports'!Y$231/1.10231)-SUM(DH29:DH39)</f>
        <v>0</v>
      </c>
      <c r="DI40" s="141">
        <f>('[3]Sunflower Meal Exports'!Z$231/1.10231)-SUM(DI29:DI39)</f>
        <v>3.7765999999999966E-2</v>
      </c>
      <c r="DJ40" s="141">
        <f>('[3]Sunflower Meal Exports'!AA$231/1.10231)-SUM(DJ29:DJ39)</f>
        <v>0</v>
      </c>
      <c r="DK40" s="141">
        <f>('[3]Sunflower Meal Exports'!AB$231/1.10231)-SUM(DK29:DK39)</f>
        <v>4.6165999999999485E-2</v>
      </c>
      <c r="DL40" s="141">
        <f>('[3]Sunflower Meal Exports'!AC$231/1.10231)-SUM(DL29:DL39)</f>
        <v>0</v>
      </c>
      <c r="DM40" s="143">
        <v>0</v>
      </c>
      <c r="DN40" s="141">
        <f t="shared" si="16"/>
        <v>8.1000073482044854E-3</v>
      </c>
      <c r="DO40" s="141">
        <f t="shared" si="16"/>
        <v>3.6000032658687786E-2</v>
      </c>
      <c r="DP40" s="141">
        <f t="shared" si="16"/>
        <v>0</v>
      </c>
      <c r="DQ40" s="141">
        <f t="shared" si="16"/>
        <v>0</v>
      </c>
      <c r="DR40" s="141">
        <f t="shared" si="16"/>
        <v>1.5500014061380352E-2</v>
      </c>
      <c r="DS40" s="141">
        <f t="shared" si="14"/>
        <v>6.4100058150609485E-2</v>
      </c>
      <c r="DT40" s="141">
        <f t="shared" si="14"/>
        <v>6.1600055882646387E-2</v>
      </c>
      <c r="DU40" s="141">
        <f t="shared" si="14"/>
        <v>2E-3</v>
      </c>
      <c r="DV40" s="141">
        <f t="shared" si="14"/>
        <v>8.7999999999999995E-2</v>
      </c>
      <c r="DW40" s="141">
        <f t="shared" si="14"/>
        <v>0</v>
      </c>
      <c r="DX40" s="141">
        <f t="shared" si="14"/>
        <v>8.0068000070760483</v>
      </c>
      <c r="DY40" s="141">
        <f t="shared" si="14"/>
        <v>0</v>
      </c>
      <c r="DZ40" s="141">
        <f t="shared" si="14"/>
        <v>2.4E-2</v>
      </c>
      <c r="EA40" s="141">
        <f t="shared" si="14"/>
        <v>8.0900073391331873E-2</v>
      </c>
      <c r="EB40" s="141">
        <f t="shared" si="14"/>
        <v>0.11450008119312968</v>
      </c>
      <c r="EC40" s="141">
        <f t="shared" si="14"/>
        <v>1.658400066587439</v>
      </c>
      <c r="ED40" s="141">
        <f t="shared" si="14"/>
        <v>0</v>
      </c>
      <c r="EE40" s="141">
        <f t="shared" si="14"/>
        <v>0</v>
      </c>
      <c r="EF40" s="141">
        <f t="shared" si="14"/>
        <v>0</v>
      </c>
      <c r="EG40" s="141">
        <f t="shared" si="14"/>
        <v>0</v>
      </c>
      <c r="EH40" s="141">
        <f t="shared" si="14"/>
        <v>3.1480000000000001</v>
      </c>
      <c r="EI40" s="141">
        <f t="shared" si="17"/>
        <v>0</v>
      </c>
      <c r="EJ40" s="141">
        <f t="shared" si="17"/>
        <v>1.9979999999999998</v>
      </c>
      <c r="EK40" s="141">
        <f t="shared" si="17"/>
        <v>0</v>
      </c>
      <c r="EL40" s="141">
        <f t="shared" si="17"/>
        <v>3.7765999999999966E-2</v>
      </c>
      <c r="EM40" s="141">
        <f t="shared" si="15"/>
        <v>0.314</v>
      </c>
      <c r="EN40" s="141">
        <f t="shared" si="13"/>
        <v>4.6165999999999485E-2</v>
      </c>
      <c r="EO40" s="141">
        <f t="shared" si="13"/>
        <v>0</v>
      </c>
      <c r="EP40" s="145">
        <f t="shared" si="13"/>
        <v>2.0999999999999998E-2</v>
      </c>
      <c r="EQ40" s="145">
        <v>0</v>
      </c>
      <c r="ES40" s="141">
        <f>SUM(BF40+CI40+DL40+AC40)-EO40</f>
        <v>0</v>
      </c>
      <c r="ET40" s="141">
        <f>SUM(BG40+CJ40+DM40+AD40)-EP40</f>
        <v>0</v>
      </c>
    </row>
    <row r="41" spans="1:150" s="163" customFormat="1" ht="15.75" thickBot="1">
      <c r="A41" s="156" t="s">
        <v>172</v>
      </c>
      <c r="B41" s="157">
        <f>SUM(B4:B40)</f>
        <v>0</v>
      </c>
      <c r="C41" s="158">
        <f t="shared" ref="C41:Z41" si="18">SUM(C4:C40)</f>
        <v>0</v>
      </c>
      <c r="D41" s="158">
        <f t="shared" si="18"/>
        <v>0</v>
      </c>
      <c r="E41" s="158">
        <f t="shared" si="18"/>
        <v>13.022</v>
      </c>
      <c r="F41" s="158">
        <f t="shared" si="18"/>
        <v>4.2160000000000002</v>
      </c>
      <c r="G41" s="158">
        <f t="shared" si="18"/>
        <v>101.86499999999999</v>
      </c>
      <c r="H41" s="158">
        <f t="shared" si="18"/>
        <v>108.41600000000001</v>
      </c>
      <c r="I41" s="158">
        <f t="shared" si="18"/>
        <v>93.494000000000014</v>
      </c>
      <c r="J41" s="158">
        <f t="shared" si="18"/>
        <v>40.892999999999994</v>
      </c>
      <c r="K41" s="158">
        <f t="shared" si="18"/>
        <v>45.916000000000004</v>
      </c>
      <c r="L41" s="158">
        <f t="shared" si="18"/>
        <v>79.529000000000011</v>
      </c>
      <c r="M41" s="158">
        <f t="shared" si="18"/>
        <v>153.48400000000001</v>
      </c>
      <c r="N41" s="158">
        <f t="shared" si="18"/>
        <v>166.47399999999999</v>
      </c>
      <c r="O41" s="158">
        <f t="shared" si="18"/>
        <v>131.57099999999997</v>
      </c>
      <c r="P41" s="159">
        <f t="shared" si="18"/>
        <v>38.912999999999997</v>
      </c>
      <c r="Q41" s="159">
        <f t="shared" si="18"/>
        <v>72.933999999999983</v>
      </c>
      <c r="R41" s="159">
        <f t="shared" si="18"/>
        <v>76.873999999999995</v>
      </c>
      <c r="S41" s="159">
        <f t="shared" si="18"/>
        <v>125.288</v>
      </c>
      <c r="T41" s="159">
        <f t="shared" si="18"/>
        <v>121.79900000000001</v>
      </c>
      <c r="U41" s="159">
        <f t="shared" si="18"/>
        <v>122.93</v>
      </c>
      <c r="V41" s="159">
        <f t="shared" si="18"/>
        <v>173.09399999999999</v>
      </c>
      <c r="W41" s="159">
        <f t="shared" si="18"/>
        <v>302.39300000000003</v>
      </c>
      <c r="X41" s="159">
        <f t="shared" si="18"/>
        <v>215.13900000000004</v>
      </c>
      <c r="Y41" s="159">
        <f t="shared" si="18"/>
        <v>274.79199999999997</v>
      </c>
      <c r="Z41" s="159">
        <f t="shared" si="18"/>
        <v>405.86800000000005</v>
      </c>
      <c r="AA41" s="159">
        <f>SUM(AA4:AA40)</f>
        <v>387.69</v>
      </c>
      <c r="AB41" s="159">
        <f t="shared" ref="AB41:AC41" si="19">SUM(AB4:AB40)</f>
        <v>402.91500000000008</v>
      </c>
      <c r="AC41" s="159">
        <f t="shared" si="19"/>
        <v>575.44600000000003</v>
      </c>
      <c r="AD41" s="160">
        <f>SUM(AD4:AD40)</f>
        <v>1040.796</v>
      </c>
      <c r="AE41" s="159">
        <f>SUM(AE4:AE40)</f>
        <v>0</v>
      </c>
      <c r="AF41" s="159">
        <f t="shared" ref="AF41:BG41" si="20">SUM(AF4:AF40)</f>
        <v>0</v>
      </c>
      <c r="AG41" s="159">
        <f t="shared" si="20"/>
        <v>0</v>
      </c>
      <c r="AH41" s="159">
        <f t="shared" si="20"/>
        <v>0</v>
      </c>
      <c r="AI41" s="159">
        <f t="shared" si="20"/>
        <v>0</v>
      </c>
      <c r="AJ41" s="159">
        <f t="shared" si="20"/>
        <v>0</v>
      </c>
      <c r="AK41" s="159">
        <f t="shared" si="20"/>
        <v>0</v>
      </c>
      <c r="AL41" s="159">
        <f t="shared" si="20"/>
        <v>0</v>
      </c>
      <c r="AM41" s="159">
        <f>SUM(AM4:AM40)</f>
        <v>383.14300000000003</v>
      </c>
      <c r="AN41" s="159">
        <f t="shared" si="20"/>
        <v>845.23300000000006</v>
      </c>
      <c r="AO41" s="159">
        <f t="shared" si="20"/>
        <v>1090.8199999999997</v>
      </c>
      <c r="AP41" s="159">
        <f t="shared" si="20"/>
        <v>868.5139999999999</v>
      </c>
      <c r="AQ41" s="159">
        <f t="shared" si="20"/>
        <v>1341.6370000000002</v>
      </c>
      <c r="AR41" s="159">
        <f t="shared" si="20"/>
        <v>1509.6309999999999</v>
      </c>
      <c r="AS41" s="159">
        <f t="shared" si="20"/>
        <v>1244.4650000000001</v>
      </c>
      <c r="AT41" s="159">
        <f t="shared" si="20"/>
        <v>2268.2300000000005</v>
      </c>
      <c r="AU41" s="159">
        <f t="shared" si="20"/>
        <v>2515.6999999999989</v>
      </c>
      <c r="AV41" s="159">
        <f t="shared" si="20"/>
        <v>2969.5260000000003</v>
      </c>
      <c r="AW41" s="159">
        <f t="shared" si="20"/>
        <v>3924.1499999999987</v>
      </c>
      <c r="AX41" s="159">
        <f t="shared" si="20"/>
        <v>2971.1550000000002</v>
      </c>
      <c r="AY41" s="159">
        <f t="shared" si="20"/>
        <v>3687.9879999999998</v>
      </c>
      <c r="AZ41" s="159">
        <f t="shared" si="20"/>
        <v>3351.6949999999997</v>
      </c>
      <c r="BA41" s="159">
        <f t="shared" si="20"/>
        <v>3845.5350000000008</v>
      </c>
      <c r="BB41" s="159">
        <f t="shared" si="20"/>
        <v>4826.7909999999993</v>
      </c>
      <c r="BC41" s="159">
        <f t="shared" si="20"/>
        <v>4175.9149999999991</v>
      </c>
      <c r="BD41" s="159">
        <f t="shared" si="20"/>
        <v>4787.9060000000018</v>
      </c>
      <c r="BE41" s="159">
        <f t="shared" si="20"/>
        <v>5164.8510000000006</v>
      </c>
      <c r="BF41" s="159">
        <f t="shared" si="20"/>
        <v>4365.4340000000002</v>
      </c>
      <c r="BG41" s="160">
        <f t="shared" si="20"/>
        <v>4269.349000000002</v>
      </c>
      <c r="BH41" s="159">
        <f>SUM(BH4:BH40)</f>
        <v>0</v>
      </c>
      <c r="BI41" s="159">
        <f t="shared" ref="BI41:CH41" si="21">SUM(BI4:BI40)</f>
        <v>0</v>
      </c>
      <c r="BJ41" s="159">
        <f t="shared" si="21"/>
        <v>0</v>
      </c>
      <c r="BK41" s="159">
        <f t="shared" si="21"/>
        <v>4.364166</v>
      </c>
      <c r="BL41" s="159">
        <f t="shared" si="21"/>
        <v>14.610063999999998</v>
      </c>
      <c r="BM41" s="159">
        <f t="shared" si="21"/>
        <v>9.5451639999999998</v>
      </c>
      <c r="BN41" s="159">
        <f t="shared" si="21"/>
        <v>136.86111600000001</v>
      </c>
      <c r="BO41" s="159">
        <f t="shared" si="21"/>
        <v>203.14096500000002</v>
      </c>
      <c r="BP41" s="159">
        <f t="shared" si="21"/>
        <v>96.670280000000005</v>
      </c>
      <c r="BQ41" s="159">
        <f t="shared" si="21"/>
        <v>168.89969499999998</v>
      </c>
      <c r="BR41" s="159">
        <f t="shared" si="21"/>
        <v>537.27383200000008</v>
      </c>
      <c r="BS41" s="159">
        <f t="shared" si="21"/>
        <v>494.27901800000001</v>
      </c>
      <c r="BT41" s="159">
        <f t="shared" si="21"/>
        <v>809.29</v>
      </c>
      <c r="BU41" s="159">
        <f t="shared" si="21"/>
        <v>886.54400000000032</v>
      </c>
      <c r="BV41" s="159">
        <f t="shared" si="21"/>
        <v>645.15499999999997</v>
      </c>
      <c r="BW41" s="159">
        <f t="shared" si="21"/>
        <v>971.71299999999985</v>
      </c>
      <c r="BX41" s="159">
        <f t="shared" si="21"/>
        <v>674.5</v>
      </c>
      <c r="BY41" s="159">
        <f t="shared" si="21"/>
        <v>572.49900000000002</v>
      </c>
      <c r="BZ41" s="159">
        <f t="shared" si="21"/>
        <v>1718.8399999999997</v>
      </c>
      <c r="CA41" s="159">
        <f t="shared" si="21"/>
        <v>1380.0000000000002</v>
      </c>
      <c r="CB41" s="159">
        <f t="shared" si="21"/>
        <v>1712.249</v>
      </c>
      <c r="CC41" s="159">
        <f t="shared" si="21"/>
        <v>1294.4410000000003</v>
      </c>
      <c r="CD41" s="159">
        <f t="shared" si="21"/>
        <v>1257.3309999999999</v>
      </c>
      <c r="CE41" s="159">
        <f t="shared" si="21"/>
        <v>1260.6959999999997</v>
      </c>
      <c r="CF41" s="159">
        <f t="shared" si="21"/>
        <v>1187.0739999999998</v>
      </c>
      <c r="CG41" s="159">
        <f t="shared" si="21"/>
        <v>1595.4659999999999</v>
      </c>
      <c r="CH41" s="159">
        <f t="shared" si="21"/>
        <v>1993.704</v>
      </c>
      <c r="CI41" s="159">
        <f>SUM(CI4:CI40)</f>
        <v>1742.1879999999999</v>
      </c>
      <c r="CJ41" s="160">
        <f t="shared" ref="CJ41" si="22">SUM(CJ4:CJ40)</f>
        <v>1146.8930000000003</v>
      </c>
      <c r="CK41" s="159">
        <f>SUM(CK4:CK40)</f>
        <v>37.097133653963049</v>
      </c>
      <c r="CL41" s="159">
        <f t="shared" ref="CL41:DM41" si="23">SUM(CL4:CL40)</f>
        <v>88.530480313523427</v>
      </c>
      <c r="CM41" s="159">
        <f t="shared" si="23"/>
        <v>24.843622537761615</v>
      </c>
      <c r="CN41" s="159">
        <f t="shared" si="23"/>
        <v>20.986119038292319</v>
      </c>
      <c r="CO41" s="159">
        <f t="shared" si="23"/>
        <v>12.886211690177902</v>
      </c>
      <c r="CP41" s="159">
        <f t="shared" si="23"/>
        <v>41.220937395015916</v>
      </c>
      <c r="CQ41" s="159">
        <f t="shared" si="23"/>
        <v>20.810518878990486</v>
      </c>
      <c r="CR41" s="159">
        <f t="shared" si="23"/>
        <v>8.10880735618837</v>
      </c>
      <c r="CS41" s="159">
        <f t="shared" si="23"/>
        <v>25.660923279204589</v>
      </c>
      <c r="CT41" s="159">
        <f t="shared" si="23"/>
        <v>3.1126028237065801</v>
      </c>
      <c r="CU41" s="159">
        <f t="shared" si="23"/>
        <v>11.976010864457368</v>
      </c>
      <c r="CV41" s="159">
        <f t="shared" si="23"/>
        <v>3.1174028280610724</v>
      </c>
      <c r="CW41" s="159">
        <f t="shared" si="23"/>
        <v>6.0532054913772004</v>
      </c>
      <c r="CX41" s="159">
        <f t="shared" si="23"/>
        <v>13.313812078090555</v>
      </c>
      <c r="CY41" s="159">
        <f t="shared" si="23"/>
        <v>16.60521506400196</v>
      </c>
      <c r="CZ41" s="159">
        <f t="shared" si="23"/>
        <v>7.1349064726801004</v>
      </c>
      <c r="DA41" s="159">
        <f t="shared" si="23"/>
        <v>6.0706055071622327</v>
      </c>
      <c r="DB41" s="159">
        <f t="shared" si="23"/>
        <v>2.8731026064355758</v>
      </c>
      <c r="DC41" s="159">
        <f t="shared" si="23"/>
        <v>3.1513028588146708</v>
      </c>
      <c r="DD41" s="159">
        <f t="shared" si="23"/>
        <v>19.401017600312077</v>
      </c>
      <c r="DE41" s="159">
        <f t="shared" si="23"/>
        <v>7.7117069959448798</v>
      </c>
      <c r="DF41" s="159">
        <f t="shared" si="23"/>
        <v>7.4324067425678804</v>
      </c>
      <c r="DG41" s="159">
        <f t="shared" si="23"/>
        <v>11.773110680389367</v>
      </c>
      <c r="DH41" s="159">
        <f t="shared" si="23"/>
        <v>4.7549717557674356</v>
      </c>
      <c r="DI41" s="159">
        <f t="shared" si="23"/>
        <v>5.8683330000000016</v>
      </c>
      <c r="DJ41" s="159">
        <f t="shared" si="23"/>
        <v>15.412781000000001</v>
      </c>
      <c r="DK41" s="159">
        <f t="shared" si="23"/>
        <v>20.283922</v>
      </c>
      <c r="DL41" s="159">
        <f t="shared" si="23"/>
        <v>28.331696714762643</v>
      </c>
      <c r="DM41" s="160">
        <f t="shared" si="23"/>
        <v>25</v>
      </c>
      <c r="DN41" s="161">
        <f t="shared" si="16"/>
        <v>37.097133653963049</v>
      </c>
      <c r="DO41" s="161">
        <f t="shared" si="16"/>
        <v>88.530480313523427</v>
      </c>
      <c r="DP41" s="161">
        <f t="shared" si="16"/>
        <v>24.843622537761615</v>
      </c>
      <c r="DQ41" s="161">
        <f t="shared" si="16"/>
        <v>38.372285038292318</v>
      </c>
      <c r="DR41" s="161">
        <f t="shared" si="16"/>
        <v>31.712275690177901</v>
      </c>
      <c r="DS41" s="161">
        <f t="shared" si="14"/>
        <v>152.63110139501592</v>
      </c>
      <c r="DT41" s="161">
        <f t="shared" si="14"/>
        <v>266.08763487899051</v>
      </c>
      <c r="DU41" s="161">
        <f t="shared" si="14"/>
        <v>304.7437723561884</v>
      </c>
      <c r="DV41" s="161">
        <f t="shared" si="14"/>
        <v>546.36720327920455</v>
      </c>
      <c r="DW41" s="161">
        <f t="shared" si="14"/>
        <v>1063.1612978237067</v>
      </c>
      <c r="DX41" s="161">
        <f t="shared" si="14"/>
        <v>1719.5988428644571</v>
      </c>
      <c r="DY41" s="161">
        <f t="shared" si="14"/>
        <v>1519.3944208280611</v>
      </c>
      <c r="DZ41" s="161">
        <f t="shared" si="14"/>
        <v>2323.4542054913773</v>
      </c>
      <c r="EA41" s="161">
        <f t="shared" si="14"/>
        <v>2541.0598120780905</v>
      </c>
      <c r="EB41" s="161">
        <f t="shared" si="14"/>
        <v>1945.138215064002</v>
      </c>
      <c r="EC41" s="161">
        <f t="shared" si="14"/>
        <v>3320.0119064726805</v>
      </c>
      <c r="ED41" s="161">
        <f t="shared" si="14"/>
        <v>3273.144605507161</v>
      </c>
      <c r="EE41" s="161">
        <f t="shared" si="14"/>
        <v>3670.1861026064357</v>
      </c>
      <c r="EF41" s="161">
        <f t="shared" si="14"/>
        <v>5767.9403028588131</v>
      </c>
      <c r="EG41" s="161">
        <f t="shared" si="14"/>
        <v>4493.4860176003122</v>
      </c>
      <c r="EH41" s="161">
        <f t="shared" si="14"/>
        <v>5581.0427069959451</v>
      </c>
      <c r="EI41" s="161">
        <f t="shared" si="17"/>
        <v>4955.9614067425682</v>
      </c>
      <c r="EJ41" s="161">
        <f t="shared" si="17"/>
        <v>5329.7781106803905</v>
      </c>
      <c r="EK41" s="161">
        <f t="shared" si="17"/>
        <v>6367.0339717557672</v>
      </c>
      <c r="EL41" s="161">
        <f t="shared" ref="EL41:EO41" si="24">SUM(EL4:EL40)</f>
        <v>5774.7253330000003</v>
      </c>
      <c r="EM41" s="161">
        <f t="shared" si="24"/>
        <v>6786.474780999999</v>
      </c>
      <c r="EN41" s="161">
        <f t="shared" si="24"/>
        <v>7581.7539219999999</v>
      </c>
      <c r="EO41" s="161">
        <f t="shared" si="24"/>
        <v>6711.3996967147623</v>
      </c>
      <c r="EP41" s="161">
        <f>SUM(EP4:EP40)</f>
        <v>2469.0085485906006</v>
      </c>
      <c r="EQ41" s="161">
        <f>SUM(EQ4:EQ40)</f>
        <v>6480.0366270000004</v>
      </c>
    </row>
    <row r="42" spans="1:150" s="138" customFormat="1" ht="12.75">
      <c r="A42" s="164" t="s">
        <v>19</v>
      </c>
    </row>
    <row r="43" spans="1:150" s="138" customFormat="1" ht="12.75">
      <c r="A43" s="164" t="s">
        <v>173</v>
      </c>
      <c r="X43" s="165"/>
      <c r="Y43" s="165"/>
      <c r="Z43" s="165"/>
      <c r="AA43" s="165"/>
      <c r="AB43" s="165"/>
    </row>
    <row r="44" spans="1:150" s="138" customFormat="1" ht="12.75">
      <c r="AC44" s="165">
        <f>SUM('EU Sun Complex'!AC156)</f>
        <v>697.01012300000002</v>
      </c>
      <c r="AD44" s="165">
        <f>SUM('EU Sun Complex'!AD156)</f>
        <v>996.655393</v>
      </c>
      <c r="AE44" s="165">
        <f>SUM('EU Sun Complex'!AE156)</f>
        <v>1003.885774</v>
      </c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>
        <f>SUM('EU Sun Complex'!AE156)</f>
        <v>1003.885774</v>
      </c>
      <c r="BF44" s="165">
        <f>'Ukraine Sun Complex'!AC155</f>
        <v>4365.4340000000011</v>
      </c>
      <c r="BG44" s="165">
        <f>'Ukraine Sun Complex'!AD155</f>
        <v>3518.5489999999995</v>
      </c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65"/>
      <c r="CF44" s="165"/>
      <c r="CG44" s="165">
        <f>'Ukraine Sun Complex'!AE155</f>
        <v>3907.8189999999995</v>
      </c>
      <c r="CI44" s="165">
        <f>'Russia Sun Complex'!AC156</f>
        <v>1744.2589999999998</v>
      </c>
      <c r="CJ44" s="165">
        <f>'Russia Sun Complex'!AD156</f>
        <v>1500</v>
      </c>
      <c r="CL44" s="165"/>
      <c r="CM44" s="165"/>
      <c r="CN44" s="165"/>
      <c r="CO44" s="165"/>
      <c r="CP44" s="165"/>
      <c r="CQ44" s="165"/>
      <c r="CR44" s="165"/>
      <c r="CS44" s="165"/>
      <c r="CT44" s="165"/>
      <c r="CU44" s="165"/>
      <c r="CV44" s="165"/>
      <c r="CW44" s="165"/>
      <c r="CX44" s="165"/>
      <c r="CY44" s="165"/>
      <c r="CZ44" s="165"/>
      <c r="DA44" s="165"/>
      <c r="DB44" s="165"/>
      <c r="DC44" s="165"/>
      <c r="DD44" s="165"/>
      <c r="DE44" s="165"/>
      <c r="DF44" s="165"/>
      <c r="DG44" s="165"/>
      <c r="DH44" s="165"/>
      <c r="DI44" s="165">
        <f>'Russia Sun Complex'!AD156</f>
        <v>1500</v>
      </c>
      <c r="DJ44" s="165">
        <f>'Russia Sun Complex'!AE156</f>
        <v>400</v>
      </c>
      <c r="DL44" s="165">
        <f>'[4]Sun Complex'!BJ$171</f>
        <v>31.230312605650003</v>
      </c>
      <c r="DM44" s="165">
        <f>'[4]Sun Complex'!BK$171</f>
        <v>30.966632357260007</v>
      </c>
      <c r="DO44" s="165"/>
      <c r="DP44" s="165"/>
      <c r="DQ44" s="165"/>
      <c r="DR44" s="165"/>
      <c r="DS44" s="165"/>
      <c r="DT44" s="165"/>
      <c r="DU44" s="165"/>
      <c r="DV44" s="165"/>
      <c r="DW44" s="165"/>
      <c r="DX44" s="165"/>
      <c r="DY44" s="165"/>
      <c r="DZ44" s="165"/>
      <c r="EA44" s="165"/>
      <c r="EB44" s="165"/>
      <c r="EC44" s="165"/>
      <c r="ED44" s="165"/>
      <c r="EE44" s="165"/>
      <c r="EF44" s="165"/>
      <c r="EG44" s="165"/>
      <c r="EH44" s="165"/>
      <c r="EI44" s="165"/>
      <c r="EJ44" s="165"/>
      <c r="EK44" s="165"/>
      <c r="EL44" s="165"/>
      <c r="EM44" s="165">
        <f>'[4]Sun Complex'!BL$171</f>
        <v>18.735808806640001</v>
      </c>
      <c r="EN44" s="165">
        <f>'[4]Sun Complex'!BL$171</f>
        <v>18.735808806640001</v>
      </c>
      <c r="EO44" s="165">
        <f>DL44+CI44+BF44+AC44</f>
        <v>6837.9334356056506</v>
      </c>
      <c r="EP44" s="165">
        <f>DM44+CJ44+BG44+AD44</f>
        <v>6046.1710253572592</v>
      </c>
      <c r="EQ44" s="165">
        <f>EN44+DJ44+CG44+BD44</f>
        <v>5330.4405828066401</v>
      </c>
    </row>
    <row r="45" spans="1:150" s="138" customFormat="1" ht="12.75">
      <c r="AC45" s="166">
        <f>AC44-AC41</f>
        <v>121.564123</v>
      </c>
      <c r="AD45" s="166">
        <f>AD44-AD41</f>
        <v>-44.140607000000045</v>
      </c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>
        <f>BF44-BF41</f>
        <v>0</v>
      </c>
      <c r="BG45" s="166">
        <f>BG44-BG41</f>
        <v>-750.80000000000246</v>
      </c>
      <c r="BH45" s="166"/>
      <c r="BI45" s="166"/>
      <c r="BJ45" s="166"/>
      <c r="BK45" s="166"/>
      <c r="BL45" s="166"/>
      <c r="BM45" s="166"/>
      <c r="BN45" s="166"/>
      <c r="BO45" s="166"/>
      <c r="BP45" s="166"/>
      <c r="BQ45" s="166"/>
      <c r="BR45" s="166"/>
      <c r="BS45" s="166"/>
      <c r="BT45" s="166"/>
      <c r="BU45" s="166"/>
      <c r="BV45" s="166"/>
      <c r="BW45" s="166"/>
      <c r="BX45" s="166"/>
      <c r="BY45" s="166"/>
      <c r="BZ45" s="166"/>
      <c r="CA45" s="166"/>
      <c r="CB45" s="166"/>
      <c r="CC45" s="166"/>
      <c r="CD45" s="166"/>
      <c r="CE45" s="166"/>
      <c r="CF45" s="166"/>
      <c r="CG45" s="166"/>
      <c r="CH45" s="166"/>
      <c r="CI45" s="166">
        <f>CI44-CI41</f>
        <v>2.0709999999999127</v>
      </c>
      <c r="CJ45" s="166">
        <f>CJ44-CJ41</f>
        <v>353.10699999999974</v>
      </c>
      <c r="CK45" s="166"/>
      <c r="CL45" s="166"/>
      <c r="CM45" s="166"/>
      <c r="CN45" s="166"/>
      <c r="CO45" s="166"/>
      <c r="CP45" s="166"/>
      <c r="CQ45" s="166"/>
      <c r="CR45" s="166"/>
      <c r="CS45" s="166"/>
      <c r="CT45" s="166"/>
      <c r="CU45" s="166"/>
      <c r="CV45" s="166"/>
      <c r="CW45" s="166"/>
      <c r="CX45" s="166"/>
      <c r="CY45" s="166"/>
      <c r="CZ45" s="166"/>
      <c r="DA45" s="166"/>
      <c r="DB45" s="166"/>
      <c r="DC45" s="166"/>
      <c r="DD45" s="166"/>
      <c r="DE45" s="166"/>
      <c r="DF45" s="166"/>
      <c r="DG45" s="166"/>
      <c r="DH45" s="166"/>
      <c r="DI45" s="166"/>
      <c r="DJ45" s="166"/>
      <c r="DK45" s="166"/>
      <c r="DL45" s="166">
        <f>DL44-DL41</f>
        <v>2.8986158908873598</v>
      </c>
      <c r="DM45" s="166">
        <f>DM44-DM41</f>
        <v>5.9666323572600071</v>
      </c>
      <c r="DN45" s="166"/>
      <c r="DO45" s="166"/>
      <c r="DP45" s="166"/>
      <c r="DQ45" s="166"/>
      <c r="DR45" s="166"/>
      <c r="DS45" s="166"/>
      <c r="DT45" s="166"/>
      <c r="DU45" s="166"/>
      <c r="DV45" s="166"/>
      <c r="DW45" s="166"/>
      <c r="DX45" s="166"/>
      <c r="DY45" s="166"/>
      <c r="DZ45" s="166"/>
      <c r="EA45" s="166"/>
      <c r="EB45" s="166"/>
      <c r="EC45" s="166"/>
      <c r="ED45" s="166"/>
      <c r="EE45" s="166"/>
      <c r="EF45" s="166"/>
      <c r="EG45" s="166"/>
      <c r="EH45" s="166"/>
      <c r="EI45" s="166"/>
      <c r="EJ45" s="166"/>
      <c r="EK45" s="166"/>
      <c r="EL45" s="166"/>
      <c r="EM45" s="166"/>
      <c r="EN45" s="166"/>
      <c r="EO45" s="166">
        <f>EO44-EO41</f>
        <v>126.53373889088834</v>
      </c>
      <c r="EP45" s="166">
        <f>EP44-EP41</f>
        <v>3577.1624767666585</v>
      </c>
      <c r="EQ45" s="166">
        <f>EQ44-EQ41</f>
        <v>-1149.5960441933603</v>
      </c>
    </row>
    <row r="46" spans="1:150" s="138" customFormat="1" ht="12.75"/>
    <row r="47" spans="1:150" s="138" customFormat="1" ht="12.75"/>
    <row r="48" spans="1:150" s="138" customFormat="1" ht="12.75"/>
  </sheetData>
  <pageMargins left="0.25" right="0.25" top="0.75" bottom="0.75" header="0.3" footer="0.3"/>
  <pageSetup scale="63" orientation="landscape" r:id="rId1"/>
  <headerFooter>
    <oddHeader>&amp;L&amp;G&amp;C&amp;"Arial,Bold"&amp;20SUNFLOWER MEAL TRADE MATRIX</oddHeader>
    <oddFooter>&amp;L&amp;D&amp;C&amp;P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C678-52DB-468D-8E3E-873E75357646}">
  <sheetPr>
    <pageSetUpPr fitToPage="1"/>
  </sheetPr>
  <dimension ref="A1:EU15340"/>
  <sheetViews>
    <sheetView zoomScale="85" zoomScaleNormal="85" workbookViewId="0">
      <pane xSplit="1" ySplit="3" topLeftCell="AA4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18.140625" customWidth="1"/>
    <col min="2" max="25" width="8.85546875" hidden="1" customWidth="1"/>
    <col min="26" max="26" width="0" hidden="1" customWidth="1"/>
    <col min="31" max="54" width="8.85546875" hidden="1" customWidth="1"/>
    <col min="55" max="55" width="0" hidden="1" customWidth="1"/>
    <col min="60" max="83" width="8.85546875" hidden="1" customWidth="1"/>
    <col min="84" max="84" width="0" hidden="1" customWidth="1"/>
    <col min="89" max="111" width="8.85546875" hidden="1" customWidth="1"/>
    <col min="112" max="112" width="8.85546875" style="198" hidden="1" customWidth="1"/>
    <col min="113" max="113" width="0" hidden="1" customWidth="1"/>
    <col min="118" max="141" width="8.85546875" hidden="1" customWidth="1"/>
    <col min="142" max="142" width="0" hidden="1" customWidth="1"/>
  </cols>
  <sheetData>
    <row r="1" spans="1:151" ht="15.75">
      <c r="A1" s="99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70"/>
      <c r="AC1" s="17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114"/>
      <c r="BF1" s="114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114"/>
      <c r="CI1" s="114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114"/>
      <c r="DL1" s="114"/>
      <c r="DM1" s="114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114"/>
      <c r="EO1" s="2"/>
      <c r="EP1" s="2"/>
      <c r="EQ1" s="114"/>
    </row>
    <row r="2" spans="1:151" ht="15.75" thickBot="1">
      <c r="A2" s="172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C2" s="174" t="s">
        <v>125</v>
      </c>
      <c r="AD2" s="175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16"/>
      <c r="BF2" s="116"/>
      <c r="BG2" s="176" t="s">
        <v>126</v>
      </c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G2" s="173"/>
      <c r="CH2" s="116"/>
      <c r="CI2" s="116"/>
      <c r="CJ2" s="177" t="s">
        <v>127</v>
      </c>
      <c r="CK2" s="173"/>
      <c r="CL2" s="173"/>
      <c r="CM2" s="173"/>
      <c r="CN2" s="173"/>
      <c r="CO2" s="173"/>
      <c r="CP2" s="173"/>
      <c r="CQ2" s="173"/>
      <c r="CR2" s="173"/>
      <c r="CS2" s="173"/>
      <c r="CT2" s="173"/>
      <c r="CU2" s="173"/>
      <c r="CV2" s="173"/>
      <c r="CW2" s="173"/>
      <c r="CX2" s="173"/>
      <c r="CY2" s="173"/>
      <c r="CZ2" s="173"/>
      <c r="DA2" s="173"/>
      <c r="DB2" s="173"/>
      <c r="DC2" s="173"/>
      <c r="DD2" s="173"/>
      <c r="DE2" s="173"/>
      <c r="DF2" s="173"/>
      <c r="DG2" s="173"/>
      <c r="DH2" s="178"/>
      <c r="DI2" s="173"/>
      <c r="DJ2" s="123"/>
      <c r="DK2" s="116"/>
      <c r="DL2" s="174" t="s">
        <v>128</v>
      </c>
      <c r="DM2" s="116"/>
      <c r="DN2" s="173"/>
      <c r="DO2" s="173"/>
      <c r="DP2" s="173"/>
      <c r="DQ2" s="173"/>
      <c r="DR2" s="173"/>
      <c r="DS2" s="173"/>
      <c r="DT2" s="173"/>
      <c r="DU2" s="173"/>
      <c r="DV2" s="173"/>
      <c r="DW2" s="173"/>
      <c r="DX2" s="173"/>
      <c r="DY2" s="173"/>
      <c r="DZ2" s="173"/>
      <c r="EA2" s="173"/>
      <c r="EB2" s="173"/>
      <c r="EC2" s="173"/>
      <c r="ED2" s="173"/>
      <c r="EE2" s="173"/>
      <c r="EF2" s="173"/>
      <c r="EG2" s="173"/>
      <c r="EH2" s="173"/>
      <c r="EI2" s="173"/>
      <c r="EJ2" s="173"/>
      <c r="EK2" s="173"/>
      <c r="EL2" s="173"/>
      <c r="EM2" s="179"/>
      <c r="EN2" s="116"/>
      <c r="EO2" s="173"/>
      <c r="EP2" s="180" t="s">
        <v>50</v>
      </c>
      <c r="EQ2" s="116"/>
    </row>
    <row r="3" spans="1:151" ht="15.75" thickBot="1">
      <c r="A3" s="181"/>
      <c r="B3" s="182" t="s">
        <v>175</v>
      </c>
      <c r="C3" s="182" t="s">
        <v>176</v>
      </c>
      <c r="D3" s="182" t="s">
        <v>177</v>
      </c>
      <c r="E3" s="182" t="s">
        <v>178</v>
      </c>
      <c r="F3" s="182" t="s">
        <v>179</v>
      </c>
      <c r="G3" s="182" t="s">
        <v>180</v>
      </c>
      <c r="H3" s="182" t="s">
        <v>181</v>
      </c>
      <c r="I3" s="182" t="s">
        <v>182</v>
      </c>
      <c r="J3" s="182" t="s">
        <v>183</v>
      </c>
      <c r="K3" s="182" t="s">
        <v>184</v>
      </c>
      <c r="L3" s="183" t="s">
        <v>185</v>
      </c>
      <c r="M3" s="183" t="s">
        <v>186</v>
      </c>
      <c r="N3" s="183" t="s">
        <v>187</v>
      </c>
      <c r="O3" s="183" t="s">
        <v>188</v>
      </c>
      <c r="P3" s="183" t="s">
        <v>189</v>
      </c>
      <c r="Q3" s="183" t="s">
        <v>190</v>
      </c>
      <c r="R3" s="183" t="s">
        <v>191</v>
      </c>
      <c r="S3" s="183" t="s">
        <v>192</v>
      </c>
      <c r="T3" s="183" t="s">
        <v>193</v>
      </c>
      <c r="U3" s="183" t="s">
        <v>194</v>
      </c>
      <c r="V3" s="183" t="s">
        <v>204</v>
      </c>
      <c r="W3" s="183" t="s">
        <v>195</v>
      </c>
      <c r="X3" s="183" t="s">
        <v>196</v>
      </c>
      <c r="Y3" s="183" t="s">
        <v>197</v>
      </c>
      <c r="Z3" s="183" t="s">
        <v>198</v>
      </c>
      <c r="AA3" s="183" t="s">
        <v>199</v>
      </c>
      <c r="AB3" s="183" t="s">
        <v>200</v>
      </c>
      <c r="AC3" s="183" t="s">
        <v>201</v>
      </c>
      <c r="AD3" s="184" t="s">
        <v>132</v>
      </c>
      <c r="AE3" s="182" t="str">
        <f t="shared" ref="AE3:BF3" si="0">B3</f>
        <v xml:space="preserve">1993/94 </v>
      </c>
      <c r="AF3" s="182" t="str">
        <f t="shared" si="0"/>
        <v xml:space="preserve">1994/95 </v>
      </c>
      <c r="AG3" s="182" t="str">
        <f t="shared" si="0"/>
        <v xml:space="preserve">1995/96 </v>
      </c>
      <c r="AH3" s="182" t="str">
        <f t="shared" si="0"/>
        <v xml:space="preserve">1996/97 </v>
      </c>
      <c r="AI3" s="182" t="str">
        <f t="shared" si="0"/>
        <v xml:space="preserve">1997/98 </v>
      </c>
      <c r="AJ3" s="182" t="str">
        <f t="shared" si="0"/>
        <v xml:space="preserve">1998/99 </v>
      </c>
      <c r="AK3" s="182" t="str">
        <f t="shared" si="0"/>
        <v xml:space="preserve">1999/00 </v>
      </c>
      <c r="AL3" s="182" t="str">
        <f t="shared" si="0"/>
        <v xml:space="preserve">2000/01 </v>
      </c>
      <c r="AM3" s="182" t="str">
        <f t="shared" si="0"/>
        <v xml:space="preserve">2001/02 </v>
      </c>
      <c r="AN3" s="182" t="str">
        <f t="shared" si="0"/>
        <v xml:space="preserve">2002/03 </v>
      </c>
      <c r="AO3" s="182" t="str">
        <f t="shared" si="0"/>
        <v xml:space="preserve">2003/04 </v>
      </c>
      <c r="AP3" s="182" t="str">
        <f t="shared" si="0"/>
        <v xml:space="preserve">2004/05 </v>
      </c>
      <c r="AQ3" s="182" t="str">
        <f t="shared" si="0"/>
        <v xml:space="preserve">2005/06 </v>
      </c>
      <c r="AR3" s="182" t="str">
        <f t="shared" si="0"/>
        <v xml:space="preserve">2006/07 </v>
      </c>
      <c r="AS3" s="182" t="str">
        <f t="shared" si="0"/>
        <v xml:space="preserve">2007/08 </v>
      </c>
      <c r="AT3" s="182" t="str">
        <f t="shared" si="0"/>
        <v xml:space="preserve">2008/09 </v>
      </c>
      <c r="AU3" s="182" t="str">
        <f t="shared" si="0"/>
        <v xml:space="preserve">2009/10 </v>
      </c>
      <c r="AV3" s="182" t="str">
        <f t="shared" si="0"/>
        <v xml:space="preserve">2010/11 </v>
      </c>
      <c r="AW3" s="182" t="str">
        <f t="shared" si="0"/>
        <v xml:space="preserve">2011/12 </v>
      </c>
      <c r="AX3" s="182" t="str">
        <f t="shared" si="0"/>
        <v xml:space="preserve">2012/13 </v>
      </c>
      <c r="AY3" s="182" t="str">
        <f t="shared" si="0"/>
        <v xml:space="preserve">2013/14 </v>
      </c>
      <c r="AZ3" s="182" t="str">
        <f t="shared" si="0"/>
        <v xml:space="preserve">2014/15 </v>
      </c>
      <c r="BA3" s="182" t="str">
        <f t="shared" si="0"/>
        <v xml:space="preserve">2015/16 </v>
      </c>
      <c r="BB3" s="182" t="str">
        <f t="shared" si="0"/>
        <v xml:space="preserve">2016/17 </v>
      </c>
      <c r="BC3" s="182" t="str">
        <f t="shared" si="0"/>
        <v xml:space="preserve">2017/18 </v>
      </c>
      <c r="BD3" s="182" t="str">
        <f t="shared" si="0"/>
        <v xml:space="preserve">2018/19 </v>
      </c>
      <c r="BE3" s="182" t="str">
        <f t="shared" si="0"/>
        <v xml:space="preserve">2019/20 </v>
      </c>
      <c r="BF3" s="182" t="str">
        <f t="shared" si="0"/>
        <v xml:space="preserve">2020/21 </v>
      </c>
      <c r="BG3" s="184" t="s">
        <v>132</v>
      </c>
      <c r="BH3" s="182" t="str">
        <f t="shared" ref="BH3:CI3" si="1">B3</f>
        <v xml:space="preserve">1993/94 </v>
      </c>
      <c r="BI3" s="182" t="str">
        <f t="shared" si="1"/>
        <v xml:space="preserve">1994/95 </v>
      </c>
      <c r="BJ3" s="182" t="str">
        <f t="shared" si="1"/>
        <v xml:space="preserve">1995/96 </v>
      </c>
      <c r="BK3" s="182" t="str">
        <f t="shared" si="1"/>
        <v xml:space="preserve">1996/97 </v>
      </c>
      <c r="BL3" s="182" t="str">
        <f t="shared" si="1"/>
        <v xml:space="preserve">1997/98 </v>
      </c>
      <c r="BM3" s="182" t="str">
        <f t="shared" si="1"/>
        <v xml:space="preserve">1998/99 </v>
      </c>
      <c r="BN3" s="182" t="str">
        <f t="shared" si="1"/>
        <v xml:space="preserve">1999/00 </v>
      </c>
      <c r="BO3" s="182" t="str">
        <f t="shared" si="1"/>
        <v xml:space="preserve">2000/01 </v>
      </c>
      <c r="BP3" s="182" t="str">
        <f t="shared" si="1"/>
        <v xml:space="preserve">2001/02 </v>
      </c>
      <c r="BQ3" s="182" t="str">
        <f t="shared" si="1"/>
        <v xml:space="preserve">2002/03 </v>
      </c>
      <c r="BR3" s="182" t="str">
        <f t="shared" si="1"/>
        <v xml:space="preserve">2003/04 </v>
      </c>
      <c r="BS3" s="182" t="str">
        <f t="shared" si="1"/>
        <v xml:space="preserve">2004/05 </v>
      </c>
      <c r="BT3" s="182" t="str">
        <f t="shared" si="1"/>
        <v xml:space="preserve">2005/06 </v>
      </c>
      <c r="BU3" s="182" t="str">
        <f t="shared" si="1"/>
        <v xml:space="preserve">2006/07 </v>
      </c>
      <c r="BV3" s="182" t="str">
        <f t="shared" si="1"/>
        <v xml:space="preserve">2007/08 </v>
      </c>
      <c r="BW3" s="182" t="str">
        <f t="shared" si="1"/>
        <v xml:space="preserve">2008/09 </v>
      </c>
      <c r="BX3" s="182" t="str">
        <f t="shared" si="1"/>
        <v xml:space="preserve">2009/10 </v>
      </c>
      <c r="BY3" s="182" t="str">
        <f t="shared" si="1"/>
        <v xml:space="preserve">2010/11 </v>
      </c>
      <c r="BZ3" s="182" t="str">
        <f t="shared" si="1"/>
        <v xml:space="preserve">2011/12 </v>
      </c>
      <c r="CA3" s="182" t="str">
        <f t="shared" si="1"/>
        <v xml:space="preserve">2012/13 </v>
      </c>
      <c r="CB3" s="182" t="str">
        <f t="shared" si="1"/>
        <v xml:space="preserve">2013/14 </v>
      </c>
      <c r="CC3" s="182" t="str">
        <f t="shared" si="1"/>
        <v xml:space="preserve">2014/15 </v>
      </c>
      <c r="CD3" s="182" t="str">
        <f t="shared" si="1"/>
        <v xml:space="preserve">2015/16 </v>
      </c>
      <c r="CE3" s="182" t="str">
        <f t="shared" si="1"/>
        <v xml:space="preserve">2016/17 </v>
      </c>
      <c r="CF3" s="182" t="str">
        <f t="shared" si="1"/>
        <v xml:space="preserve">2017/18 </v>
      </c>
      <c r="CG3" s="182" t="str">
        <f t="shared" si="1"/>
        <v xml:space="preserve">2018/19 </v>
      </c>
      <c r="CH3" s="182" t="str">
        <f t="shared" si="1"/>
        <v xml:space="preserve">2019/20 </v>
      </c>
      <c r="CI3" s="182" t="str">
        <f t="shared" si="1"/>
        <v xml:space="preserve">2020/21 </v>
      </c>
      <c r="CJ3" s="184" t="s">
        <v>132</v>
      </c>
      <c r="CK3" s="182" t="s">
        <v>84</v>
      </c>
      <c r="CL3" s="182" t="s">
        <v>56</v>
      </c>
      <c r="CM3" s="182" t="s">
        <v>57</v>
      </c>
      <c r="CN3" s="182" t="s">
        <v>58</v>
      </c>
      <c r="CO3" s="182" t="s">
        <v>59</v>
      </c>
      <c r="CP3" s="182" t="s">
        <v>60</v>
      </c>
      <c r="CQ3" s="182" t="s">
        <v>61</v>
      </c>
      <c r="CR3" s="182" t="s">
        <v>62</v>
      </c>
      <c r="CS3" s="182" t="s">
        <v>63</v>
      </c>
      <c r="CT3" s="182" t="s">
        <v>64</v>
      </c>
      <c r="CU3" s="183" t="s">
        <v>65</v>
      </c>
      <c r="CV3" s="183" t="s">
        <v>66</v>
      </c>
      <c r="CW3" s="183" t="s">
        <v>67</v>
      </c>
      <c r="CX3" s="183" t="s">
        <v>68</v>
      </c>
      <c r="CY3" s="183" t="s">
        <v>69</v>
      </c>
      <c r="CZ3" s="183" t="s">
        <v>70</v>
      </c>
      <c r="DA3" s="183" t="s">
        <v>71</v>
      </c>
      <c r="DB3" s="183" t="s">
        <v>72</v>
      </c>
      <c r="DC3" s="183" t="s">
        <v>73</v>
      </c>
      <c r="DD3" s="183" t="s">
        <v>74</v>
      </c>
      <c r="DE3" s="183" t="s">
        <v>75</v>
      </c>
      <c r="DF3" s="183" t="s">
        <v>76</v>
      </c>
      <c r="DG3" s="183" t="s">
        <v>77</v>
      </c>
      <c r="DH3" s="183" t="s">
        <v>78</v>
      </c>
      <c r="DI3" s="183" t="s">
        <v>79</v>
      </c>
      <c r="DJ3" s="185" t="s">
        <v>80</v>
      </c>
      <c r="DK3" s="183" t="s">
        <v>81</v>
      </c>
      <c r="DL3" s="183" t="s">
        <v>82</v>
      </c>
      <c r="DM3" s="184" t="s">
        <v>132</v>
      </c>
      <c r="DN3" s="182" t="str">
        <f t="shared" ref="DN3:EO3" si="2">B3</f>
        <v xml:space="preserve">1993/94 </v>
      </c>
      <c r="DO3" s="182" t="str">
        <f t="shared" si="2"/>
        <v xml:space="preserve">1994/95 </v>
      </c>
      <c r="DP3" s="182" t="str">
        <f t="shared" si="2"/>
        <v xml:space="preserve">1995/96 </v>
      </c>
      <c r="DQ3" s="182" t="str">
        <f t="shared" si="2"/>
        <v xml:space="preserve">1996/97 </v>
      </c>
      <c r="DR3" s="182" t="str">
        <f t="shared" si="2"/>
        <v xml:space="preserve">1997/98 </v>
      </c>
      <c r="DS3" s="182" t="str">
        <f t="shared" si="2"/>
        <v xml:space="preserve">1998/99 </v>
      </c>
      <c r="DT3" s="182" t="str">
        <f t="shared" si="2"/>
        <v xml:space="preserve">1999/00 </v>
      </c>
      <c r="DU3" s="182" t="str">
        <f t="shared" si="2"/>
        <v xml:space="preserve">2000/01 </v>
      </c>
      <c r="DV3" s="182" t="str">
        <f t="shared" si="2"/>
        <v xml:space="preserve">2001/02 </v>
      </c>
      <c r="DW3" s="182" t="str">
        <f t="shared" si="2"/>
        <v xml:space="preserve">2002/03 </v>
      </c>
      <c r="DX3" s="182" t="str">
        <f t="shared" si="2"/>
        <v xml:space="preserve">2003/04 </v>
      </c>
      <c r="DY3" s="182" t="str">
        <f t="shared" si="2"/>
        <v xml:space="preserve">2004/05 </v>
      </c>
      <c r="DZ3" s="182" t="str">
        <f t="shared" si="2"/>
        <v xml:space="preserve">2005/06 </v>
      </c>
      <c r="EA3" s="182" t="str">
        <f t="shared" si="2"/>
        <v xml:space="preserve">2006/07 </v>
      </c>
      <c r="EB3" s="182" t="str">
        <f t="shared" si="2"/>
        <v xml:space="preserve">2007/08 </v>
      </c>
      <c r="EC3" s="182" t="str">
        <f t="shared" si="2"/>
        <v xml:space="preserve">2008/09 </v>
      </c>
      <c r="ED3" s="182" t="str">
        <f t="shared" si="2"/>
        <v xml:space="preserve">2009/10 </v>
      </c>
      <c r="EE3" s="182" t="str">
        <f t="shared" si="2"/>
        <v xml:space="preserve">2010/11 </v>
      </c>
      <c r="EF3" s="182" t="str">
        <f t="shared" si="2"/>
        <v xml:space="preserve">2011/12 </v>
      </c>
      <c r="EG3" s="182" t="str">
        <f t="shared" si="2"/>
        <v xml:space="preserve">2012/13 </v>
      </c>
      <c r="EH3" s="182" t="str">
        <f t="shared" si="2"/>
        <v xml:space="preserve">2013/14 </v>
      </c>
      <c r="EI3" s="182" t="str">
        <f t="shared" si="2"/>
        <v xml:space="preserve">2014/15 </v>
      </c>
      <c r="EJ3" s="182" t="str">
        <f t="shared" si="2"/>
        <v xml:space="preserve">2015/16 </v>
      </c>
      <c r="EK3" s="182" t="str">
        <f t="shared" si="2"/>
        <v xml:space="preserve">2016/17 </v>
      </c>
      <c r="EL3" s="182" t="str">
        <f t="shared" si="2"/>
        <v xml:space="preserve">2017/18 </v>
      </c>
      <c r="EM3" s="182" t="str">
        <f t="shared" si="2"/>
        <v xml:space="preserve">2018/19 </v>
      </c>
      <c r="EN3" s="182" t="str">
        <f t="shared" si="2"/>
        <v xml:space="preserve">2019/20 </v>
      </c>
      <c r="EO3" s="182" t="str">
        <f t="shared" si="2"/>
        <v xml:space="preserve">2020/21 </v>
      </c>
      <c r="EP3" s="182" t="s">
        <v>132</v>
      </c>
      <c r="EQ3" s="182" t="s">
        <v>133</v>
      </c>
      <c r="ES3" s="186" t="str">
        <f>EO3</f>
        <v xml:space="preserve">2020/21 </v>
      </c>
      <c r="ET3" s="186" t="str">
        <f>EP3</f>
        <v xml:space="preserve">2021/22 </v>
      </c>
      <c r="EU3" s="186" t="str">
        <f>EQ3</f>
        <v xml:space="preserve">2022/23 </v>
      </c>
    </row>
    <row r="4" spans="1:151">
      <c r="A4" s="187" t="s">
        <v>134</v>
      </c>
      <c r="B4" s="188" t="s">
        <v>135</v>
      </c>
      <c r="C4" s="188" t="s">
        <v>135</v>
      </c>
      <c r="D4" s="188" t="s">
        <v>135</v>
      </c>
      <c r="E4" s="188" t="s">
        <v>135</v>
      </c>
      <c r="F4" s="188" t="s">
        <v>135</v>
      </c>
      <c r="G4" s="188" t="s">
        <v>135</v>
      </c>
      <c r="H4" s="188" t="s">
        <v>135</v>
      </c>
      <c r="I4" s="188" t="s">
        <v>135</v>
      </c>
      <c r="J4" s="188" t="s">
        <v>135</v>
      </c>
      <c r="K4" s="188" t="s">
        <v>135</v>
      </c>
      <c r="L4" s="188" t="s">
        <v>135</v>
      </c>
      <c r="M4" s="188" t="s">
        <v>135</v>
      </c>
      <c r="N4" s="188" t="s">
        <v>135</v>
      </c>
      <c r="O4" s="188" t="s">
        <v>135</v>
      </c>
      <c r="P4" s="188" t="s">
        <v>135</v>
      </c>
      <c r="Q4" s="188" t="s">
        <v>135</v>
      </c>
      <c r="R4" s="188" t="s">
        <v>135</v>
      </c>
      <c r="S4" s="188" t="s">
        <v>135</v>
      </c>
      <c r="T4" s="188" t="s">
        <v>135</v>
      </c>
      <c r="U4" s="188" t="s">
        <v>135</v>
      </c>
      <c r="V4" s="188" t="s">
        <v>135</v>
      </c>
      <c r="W4" s="188" t="s">
        <v>135</v>
      </c>
      <c r="X4" s="188" t="s">
        <v>135</v>
      </c>
      <c r="Y4" s="188" t="s">
        <v>135</v>
      </c>
      <c r="Z4" s="188" t="s">
        <v>135</v>
      </c>
      <c r="AA4" s="189" t="s">
        <v>135</v>
      </c>
      <c r="AB4" s="189" t="s">
        <v>135</v>
      </c>
      <c r="AC4" s="189" t="s">
        <v>135</v>
      </c>
      <c r="AD4" s="190" t="s">
        <v>135</v>
      </c>
      <c r="AE4" s="141">
        <f>'[2]Ukraine Sun Oil Exports'!B$4</f>
        <v>0</v>
      </c>
      <c r="AF4" s="141">
        <f>'[2]Ukraine Sun Oil Exports'!C$4</f>
        <v>1.7</v>
      </c>
      <c r="AG4" s="141">
        <f>'[2]Ukraine Sun Oil Exports'!D$4</f>
        <v>10.100000000000001</v>
      </c>
      <c r="AH4" s="141">
        <f>'[2]Ukraine Sun Oil Exports'!E$4</f>
        <v>8</v>
      </c>
      <c r="AI4" s="141">
        <f>'[2]Ukraine Sun Oil Exports'!F$4</f>
        <v>18.5</v>
      </c>
      <c r="AJ4" s="141">
        <f>'[2]Ukraine Sun Oil Exports'!G$4</f>
        <v>25</v>
      </c>
      <c r="AK4" s="141">
        <f>'[2]Ukraine Sun Oil Exports'!H$4</f>
        <v>97</v>
      </c>
      <c r="AL4" s="141">
        <f>'[2]Ukraine Sun Oil Exports'!I$4</f>
        <v>137</v>
      </c>
      <c r="AM4" s="141">
        <f>'[2]Ukraine Sun Oil Exports'!J$4</f>
        <v>165.36007499999997</v>
      </c>
      <c r="AN4" s="141">
        <f>'[2]Ukraine Sun Oil Exports'!K$4</f>
        <v>274.75200000000001</v>
      </c>
      <c r="AO4" s="141">
        <f>'[2]Ukraine Sun Oil Exports'!L$4</f>
        <v>361.78199999999998</v>
      </c>
      <c r="AP4" s="141">
        <f>'[2]Ukraine Sun Oil Exports'!M$4</f>
        <v>259.69899999999996</v>
      </c>
      <c r="AQ4" s="141">
        <f>'[2]Ukraine Sun Oil Exports'!N$4</f>
        <v>773.20500000000004</v>
      </c>
      <c r="AR4" s="141">
        <f>'[2]Ukraine Sun Oil Exports'!O$4</f>
        <v>910.57300000000009</v>
      </c>
      <c r="AS4" s="141">
        <f>'[2]Ukraine Sun Oil Exports'!P$4</f>
        <v>649.90800000000002</v>
      </c>
      <c r="AT4" s="141">
        <f>'[2]Ukraine Sun Oil Exports'!Q$4</f>
        <v>632.23900000000003</v>
      </c>
      <c r="AU4" s="141">
        <f>'[2]Ukraine Sun Oil Exports'!R$4</f>
        <v>702.01600000000008</v>
      </c>
      <c r="AV4" s="141">
        <f>'[2]Ukraine Sun Oil Exports'!S$4</f>
        <v>614.78500000000008</v>
      </c>
      <c r="AW4" s="141">
        <f>'[2]Ukraine Sun Oil Exports'!T$4</f>
        <v>573.14499999999998</v>
      </c>
      <c r="AX4" s="141">
        <f>'[2]Ukraine Sun Oil Exports'!U$4</f>
        <v>513.76900000000001</v>
      </c>
      <c r="AY4" s="141">
        <f>'[2]Ukraine Sun Oil Exports'!V$4</f>
        <v>711.44499999999994</v>
      </c>
      <c r="AZ4" s="141">
        <f>'[2]Ukraine Sun Oil Exports'!W$4</f>
        <v>587.89499999999998</v>
      </c>
      <c r="BA4" s="141">
        <f>'[2]Ukraine Sun Oil Exports'!X$4</f>
        <v>1385.9010000000001</v>
      </c>
      <c r="BB4" s="141">
        <f>'[2]Ukraine Sun Oil Exports'!Y$4</f>
        <v>1710.7615379999995</v>
      </c>
      <c r="BC4" s="141">
        <f>'[2]Ukraine Sun Oil Exports'!Z$4</f>
        <v>1291.8806880000002</v>
      </c>
      <c r="BD4" s="141">
        <f>'[2]Ukraine Sun Oil Exports'!AA$4</f>
        <v>1833.7583139999997</v>
      </c>
      <c r="BE4" s="141">
        <f>'[2]Ukraine Sun Oil Exports'!AB$4</f>
        <v>2164.0545040000006</v>
      </c>
      <c r="BF4" s="141">
        <f>'[2]Ukraine Sun Oil Exports'!AC$4</f>
        <v>1563.839858</v>
      </c>
      <c r="BG4" s="191">
        <f>'[2]Ukraine Sun Oil Exports'!AD$4</f>
        <v>2014.1000000000001</v>
      </c>
      <c r="BH4" s="141">
        <f>'[2]Russia Sun Oil Exports'!B$4</f>
        <v>0</v>
      </c>
      <c r="BI4" s="141">
        <f>'[2]Russia Sun Oil Exports'!C$4</f>
        <v>0</v>
      </c>
      <c r="BJ4" s="141">
        <f>'[2]Russia Sun Oil Exports'!D$4</f>
        <v>0</v>
      </c>
      <c r="BK4" s="141">
        <f>'[2]Russia Sun Oil Exports'!E$4</f>
        <v>0.92208299999999999</v>
      </c>
      <c r="BL4" s="141">
        <f>'[2]Russia Sun Oil Exports'!F$4</f>
        <v>1.7131379999999998</v>
      </c>
      <c r="BM4" s="141">
        <f>'[2]Russia Sun Oil Exports'!G$4</f>
        <v>1.244658</v>
      </c>
      <c r="BN4" s="141">
        <f>'[2]Russia Sun Oil Exports'!H$4</f>
        <v>9.4766359999999992</v>
      </c>
      <c r="BO4" s="141">
        <f>'[2]Russia Sun Oil Exports'!I$4</f>
        <v>10.063794999999997</v>
      </c>
      <c r="BP4" s="141">
        <f>'[2]Russia Sun Oil Exports'!J$4</f>
        <v>8.0185770000000005</v>
      </c>
      <c r="BQ4" s="141">
        <f>'[2]Russia Sun Oil Exports'!K$4</f>
        <v>37.719968000000001</v>
      </c>
      <c r="BR4" s="141">
        <f>'[2]Russia Sun Oil Exports'!L$4</f>
        <v>38.864387000000008</v>
      </c>
      <c r="BS4" s="141">
        <f>'[2]Russia Sun Oil Exports'!M$4</f>
        <v>102.61515800000001</v>
      </c>
      <c r="BT4" s="141">
        <f>'[2]Russia Sun Oil Exports'!N$4</f>
        <v>263.85399999999998</v>
      </c>
      <c r="BU4" s="141">
        <f>'[2]Russia Sun Oil Exports'!O$4</f>
        <v>275.52799999999996</v>
      </c>
      <c r="BV4" s="141">
        <f>'[2]Russia Sun Oil Exports'!P$4</f>
        <v>134.55500000000001</v>
      </c>
      <c r="BW4" s="141">
        <f>'[2]Russia Sun Oil Exports'!Q$4</f>
        <v>254.49900000000002</v>
      </c>
      <c r="BX4" s="141">
        <f>'[2]Russia Sun Oil Exports'!R$4</f>
        <v>89.867000000000004</v>
      </c>
      <c r="BY4" s="141">
        <f>'[2]Russia Sun Oil Exports'!S$4</f>
        <v>20.358999999999998</v>
      </c>
      <c r="BZ4" s="141">
        <f>'[2]Russia Sun Oil Exports'!T$4</f>
        <v>224.16800000000001</v>
      </c>
      <c r="CA4" s="141">
        <f>'[2]Russia Sun Oil Exports'!U$4</f>
        <v>187.30599999999995</v>
      </c>
      <c r="CB4" s="141">
        <f>'[2]Russia Sun Oil Exports'!V$4</f>
        <v>83.947999999999993</v>
      </c>
      <c r="CC4" s="141">
        <f>'[2]Russia Sun Oil Exports'!W$4</f>
        <v>24.285000000000004</v>
      </c>
      <c r="CD4" s="141">
        <f>'[2]Russia Sun Oil Exports'!X$4</f>
        <v>22.183</v>
      </c>
      <c r="CE4" s="141">
        <f>'[2]Russia Sun Oil Exports'!Y$4</f>
        <v>3.7446770000000003</v>
      </c>
      <c r="CF4" s="141">
        <f>'[2]Russia Sun Oil Exports'!Z$4</f>
        <v>8.9521799999999985</v>
      </c>
      <c r="CG4" s="141">
        <f>'[2]Russia Sun Oil Exports'!AA$4</f>
        <v>18.442654000000001</v>
      </c>
      <c r="CH4" s="141">
        <f>'[2]Russia Sun Oil Exports'!AB$4</f>
        <v>20.032988000000003</v>
      </c>
      <c r="CI4" s="141">
        <f>'[2]Russia Sun Oil Exports'!AC$4</f>
        <v>22.629480999999998</v>
      </c>
      <c r="CJ4" s="191">
        <f>'[2]Russia Sun Oil Exports'!AD$4</f>
        <v>88.99624399999999</v>
      </c>
      <c r="CK4" s="141">
        <f>'[3]Sunflower Oil Exports'!B$4/2204.622*1000</f>
        <v>4.7172000000000001</v>
      </c>
      <c r="CL4" s="141">
        <f>'[3]Sunflower Oil Exports'!C$4/2204.622*1000</f>
        <v>31.509900000000002</v>
      </c>
      <c r="CM4" s="141">
        <f>'[3]Sunflower Oil Exports'!D$4/2204.622*1000</f>
        <v>38.575300000000006</v>
      </c>
      <c r="CN4" s="141">
        <f>'[3]Sunflower Oil Exports'!E$4/2204.622*1000</f>
        <v>7.9948000000000015</v>
      </c>
      <c r="CO4" s="141">
        <f>'[3]Sunflower Oil Exports'!F$4/2204.622*1000</f>
        <v>11.7597</v>
      </c>
      <c r="CP4" s="141">
        <f>'[3]Sunflower Oil Exports'!G$4/2204.622*1000</f>
        <v>1.8826000000000001</v>
      </c>
      <c r="CQ4" s="141">
        <f>'[3]Sunflower Oil Exports'!H$4/2204.622*1000</f>
        <v>2.7811000000000003</v>
      </c>
      <c r="CR4" s="141">
        <f>'[3]Sunflower Oil Exports'!I$4/2204.622*1000</f>
        <v>63.415400000000012</v>
      </c>
      <c r="CS4" s="141">
        <f>'[3]Sunflower Oil Exports'!J$4/2204.622*1000</f>
        <v>27.465100000000007</v>
      </c>
      <c r="CT4" s="141">
        <f>'[3]Sunflower Oil Exports'!K$4/2204.622*1000</f>
        <v>8.0799999999999997E-2</v>
      </c>
      <c r="CU4" s="141">
        <f>'[3]Sunflower Oil Exports'!L$4/2204.622*1000</f>
        <v>3.2337000000000007</v>
      </c>
      <c r="CV4" s="141">
        <f>'[3]Sunflower Oil Exports'!M$4/2204.622*1000</f>
        <v>4.7823000000000002</v>
      </c>
      <c r="CW4" s="141">
        <f>'[3]Sunflower Oil Exports'!N$4/2204.622*1000</f>
        <v>13.835800000000003</v>
      </c>
      <c r="CX4" s="141">
        <f>'[3]Sunflower Oil Exports'!O$4/2204.622*1000</f>
        <v>9.7491000000000003</v>
      </c>
      <c r="CY4" s="141">
        <f>'[3]Sunflower Oil Exports'!P$4/2204.622*1000</f>
        <v>2.3082000000000003</v>
      </c>
      <c r="CZ4" s="141">
        <f>'[3]Sunflower Oil Exports'!Q$4/2204.622*1000</f>
        <v>0.28190000000000004</v>
      </c>
      <c r="DA4" s="141">
        <f>'[3]Sunflower Oil Exports'!R$4/2204.622*1000</f>
        <v>0.32799999999999996</v>
      </c>
      <c r="DB4" s="141">
        <f>'[3]Sunflower Oil Exports'!S$4/2204.622*1000</f>
        <v>0.46610000000000007</v>
      </c>
      <c r="DC4" s="141">
        <f>'[3]Sunflower Oil Exports'!T$4/2204.622*1000</f>
        <v>1.0339</v>
      </c>
      <c r="DD4" s="141">
        <f>'[3]Sunflower Oil Exports'!U$4/2204.622*1000</f>
        <v>0.10720000000000002</v>
      </c>
      <c r="DE4" s="141">
        <f>'[3]Sunflower Oil Exports'!V$4/2204.622*1000</f>
        <v>8.5827000000000009</v>
      </c>
      <c r="DF4" s="141">
        <f>'[3]Sunflower Oil Exports'!W$4/2204.622*1000</f>
        <v>0.30370000000000003</v>
      </c>
      <c r="DG4" s="141">
        <f>'[3]Sunflower Oil Exports'!X$4/2204.622*1000</f>
        <v>0.61140000000000005</v>
      </c>
      <c r="DH4" s="141">
        <f>'[3]Sunflower Oil Exports'!Y$4/2204.622*1000</f>
        <v>1.4716851527019144</v>
      </c>
      <c r="DI4" s="141">
        <f>'[3]Sunflower Oil Exports'!Z$4/2204.622*1000</f>
        <v>1.450350684262427</v>
      </c>
      <c r="DJ4" s="141">
        <f>'[3]Sunflower Oil Exports'!AA$4/2204.622*1000</f>
        <v>5.0142504511430985</v>
      </c>
      <c r="DK4" s="141">
        <f>'[3]Sunflower Oil Exports'!AB$4/2204.622*1000</f>
        <v>6.550919057099132</v>
      </c>
      <c r="DL4" s="141">
        <f>'[3]Sunflower Oil Exports'!AC$4/2204.622*1000</f>
        <v>1.1553197003749396</v>
      </c>
      <c r="DM4" s="141">
        <v>6.2</v>
      </c>
      <c r="DN4" s="141">
        <f t="shared" ref="DN4:EC40" si="3">SUM(B4,AE4,BH4,CK4)</f>
        <v>4.7172000000000001</v>
      </c>
      <c r="DO4" s="141">
        <f t="shared" si="3"/>
        <v>33.209900000000005</v>
      </c>
      <c r="DP4" s="141">
        <f t="shared" si="3"/>
        <v>48.675300000000007</v>
      </c>
      <c r="DQ4" s="141">
        <f t="shared" si="3"/>
        <v>16.916883000000002</v>
      </c>
      <c r="DR4" s="141">
        <f t="shared" si="3"/>
        <v>31.972838000000003</v>
      </c>
      <c r="DS4" s="141">
        <f t="shared" si="3"/>
        <v>28.127258000000001</v>
      </c>
      <c r="DT4" s="141">
        <f t="shared" si="3"/>
        <v>109.25773599999999</v>
      </c>
      <c r="DU4" s="141">
        <f t="shared" si="3"/>
        <v>210.479195</v>
      </c>
      <c r="DV4" s="141">
        <f t="shared" si="3"/>
        <v>200.84375199999997</v>
      </c>
      <c r="DW4" s="141">
        <f t="shared" si="3"/>
        <v>312.55276800000001</v>
      </c>
      <c r="DX4" s="141">
        <f t="shared" si="3"/>
        <v>403.880087</v>
      </c>
      <c r="DY4" s="141">
        <f t="shared" si="3"/>
        <v>367.09645799999998</v>
      </c>
      <c r="DZ4" s="141">
        <f t="shared" si="3"/>
        <v>1050.8948</v>
      </c>
      <c r="EA4" s="141">
        <f t="shared" si="3"/>
        <v>1195.8501000000001</v>
      </c>
      <c r="EB4" s="141">
        <f t="shared" si="3"/>
        <v>786.77120000000002</v>
      </c>
      <c r="EC4" s="141">
        <f t="shared" si="3"/>
        <v>887.01990000000001</v>
      </c>
      <c r="ED4" s="141">
        <f t="shared" ref="ED4:EP40" si="4">SUM(R4,AU4,BX4,DA4)</f>
        <v>792.21100000000001</v>
      </c>
      <c r="EE4" s="141">
        <f t="shared" si="4"/>
        <v>635.6101000000001</v>
      </c>
      <c r="EF4" s="141">
        <f t="shared" si="4"/>
        <v>798.34690000000001</v>
      </c>
      <c r="EG4" s="141">
        <f t="shared" si="4"/>
        <v>701.18219999999997</v>
      </c>
      <c r="EH4" s="141">
        <f t="shared" si="4"/>
        <v>803.97569999999996</v>
      </c>
      <c r="EI4" s="141">
        <f t="shared" si="4"/>
        <v>612.4837</v>
      </c>
      <c r="EJ4" s="141">
        <f t="shared" si="4"/>
        <v>1408.6954000000001</v>
      </c>
      <c r="EK4" s="141">
        <f t="shared" si="4"/>
        <v>1715.9779001527013</v>
      </c>
      <c r="EL4" s="141">
        <f t="shared" si="4"/>
        <v>1302.2832186842627</v>
      </c>
      <c r="EM4" s="192">
        <f t="shared" si="4"/>
        <v>1857.2152184511428</v>
      </c>
      <c r="EN4" s="141">
        <f t="shared" si="4"/>
        <v>2190.6384110570998</v>
      </c>
      <c r="EO4" s="141">
        <f t="shared" si="4"/>
        <v>1587.624658700375</v>
      </c>
      <c r="EP4" s="145">
        <f>'EU Sun Complex'!AD34-122</f>
        <v>1981.9279609999994</v>
      </c>
      <c r="EQ4" s="145">
        <f>'EU Sun Complex'!AE34-150</f>
        <v>1947.5039350000002</v>
      </c>
      <c r="ES4" s="145">
        <f>EO4-SUM(DL4,CI4,BF4)</f>
        <v>0</v>
      </c>
      <c r="ET4" s="145">
        <f>SUM(DM4,CJ4,BG4)-EP4</f>
        <v>127.3682830000007</v>
      </c>
      <c r="EU4" s="145"/>
    </row>
    <row r="5" spans="1:151">
      <c r="A5" s="187" t="s">
        <v>136</v>
      </c>
      <c r="B5" s="141">
        <f>'[2]EU Sun Oil Exports'!B$37</f>
        <v>0</v>
      </c>
      <c r="C5" s="141">
        <f>'[2]EU Sun Oil Exports'!C$37</f>
        <v>0</v>
      </c>
      <c r="D5" s="141">
        <f>'[2]EU Sun Oil Exports'!D$37</f>
        <v>0</v>
      </c>
      <c r="E5" s="141">
        <f>'[2]EU Sun Oil Exports'!E$37</f>
        <v>28.120999999999999</v>
      </c>
      <c r="F5" s="141">
        <f>'[2]EU Sun Oil Exports'!F$37</f>
        <v>36.421999999999997</v>
      </c>
      <c r="G5" s="141">
        <f>'[2]EU Sun Oil Exports'!G$37</f>
        <v>60.03</v>
      </c>
      <c r="H5" s="141">
        <f>'[2]EU Sun Oil Exports'!H$37</f>
        <v>80.913999999999987</v>
      </c>
      <c r="I5" s="141">
        <f>'[2]EU Sun Oil Exports'!I$37</f>
        <v>78.929000000000002</v>
      </c>
      <c r="J5" s="141">
        <f>'[2]EU Sun Oil Exports'!J$37</f>
        <v>54.257999999999996</v>
      </c>
      <c r="K5" s="141">
        <f>'[2]EU Sun Oil Exports'!K$37</f>
        <v>93.13</v>
      </c>
      <c r="L5" s="141">
        <f>'[2]EU Sun Oil Exports'!L$37</f>
        <v>89.910000000000011</v>
      </c>
      <c r="M5" s="141">
        <f>'[2]EU Sun Oil Exports'!M$37</f>
        <v>60.037999999999997</v>
      </c>
      <c r="N5" s="141">
        <f>'[2]EU Sun Oil Exports'!N$37</f>
        <v>59.685999999999993</v>
      </c>
      <c r="O5" s="141">
        <f>'[2]EU Sun Oil Exports'!O$37</f>
        <v>88.640000000000015</v>
      </c>
      <c r="P5" s="141">
        <f>'[2]EU Sun Oil Exports'!P$37</f>
        <v>77.802000000000007</v>
      </c>
      <c r="Q5" s="141">
        <f>'[2]EU Sun Oil Exports'!Q$37</f>
        <v>75.13900000000001</v>
      </c>
      <c r="R5" s="141">
        <f>'[2]EU Sun Oil Exports'!R$37</f>
        <v>83.400999999999996</v>
      </c>
      <c r="S5" s="141">
        <f>'[2]EU Sun Oil Exports'!S$37</f>
        <v>103.82700000000003</v>
      </c>
      <c r="T5" s="141">
        <f>'[2]EU Sun Oil Exports'!T$37</f>
        <v>102.215</v>
      </c>
      <c r="U5" s="141">
        <f>'[2]EU Sun Oil Exports'!U$37</f>
        <v>106.241</v>
      </c>
      <c r="V5" s="141">
        <f>'[2]EU Sun Oil Exports'!V$37</f>
        <v>118.41900000000001</v>
      </c>
      <c r="W5" s="141">
        <f>'[2]EU Sun Oil Exports'!W$37</f>
        <v>121.345</v>
      </c>
      <c r="X5" s="141">
        <f>'[2]EU Sun Oil Exports'!X$37</f>
        <v>108.851</v>
      </c>
      <c r="Y5" s="141">
        <f>'[2]EU Sun Oil Exports'!Y$37</f>
        <v>91.260000000000019</v>
      </c>
      <c r="Z5" s="141">
        <f>'[2]EU Sun Oil Exports'!Z$37</f>
        <v>116.19100000000002</v>
      </c>
      <c r="AA5" s="141">
        <f>'[2]EU Sun Oil Exports'!AA$37</f>
        <v>92.907000000000011</v>
      </c>
      <c r="AB5" s="141">
        <f>'[2]EU Sun Oil Exports'!AB$37</f>
        <v>113.32399999999998</v>
      </c>
      <c r="AC5" s="141">
        <f>'[2]EU Sun Oil Exports'!AC$37</f>
        <v>97.094000000000008</v>
      </c>
      <c r="AD5" s="143">
        <f>'[2]EU Sun Oil Exports'!AD$37+127</f>
        <v>198.526229</v>
      </c>
      <c r="AE5" s="141">
        <f>'[2]Ukraine Sun Oil Exports'!B$37</f>
        <v>0</v>
      </c>
      <c r="AF5" s="141">
        <f>'[2]Ukraine Sun Oil Exports'!C$37</f>
        <v>0</v>
      </c>
      <c r="AG5" s="141">
        <f>'[2]Ukraine Sun Oil Exports'!D$37</f>
        <v>0</v>
      </c>
      <c r="AH5" s="141">
        <f>'[2]Ukraine Sun Oil Exports'!E$37</f>
        <v>0</v>
      </c>
      <c r="AI5" s="141">
        <f>'[2]Ukraine Sun Oil Exports'!F$37</f>
        <v>0</v>
      </c>
      <c r="AJ5" s="141">
        <f>'[2]Ukraine Sun Oil Exports'!G$37</f>
        <v>5</v>
      </c>
      <c r="AK5" s="141">
        <f>'[2]Ukraine Sun Oil Exports'!H$37</f>
        <v>3</v>
      </c>
      <c r="AL5" s="141">
        <f>'[2]Ukraine Sun Oil Exports'!I$37</f>
        <v>14</v>
      </c>
      <c r="AM5" s="141">
        <f>'[2]Ukraine Sun Oil Exports'!J$37</f>
        <v>89.417851999999996</v>
      </c>
      <c r="AN5" s="141">
        <f>'[2]Ukraine Sun Oil Exports'!K$37</f>
        <v>312.28700000000003</v>
      </c>
      <c r="AO5" s="141">
        <f>'[2]Ukraine Sun Oil Exports'!L$37</f>
        <v>249.21699999999993</v>
      </c>
      <c r="AP5" s="141">
        <f>'[2]Ukraine Sun Oil Exports'!M$37</f>
        <v>91.62700000000001</v>
      </c>
      <c r="AQ5" s="141">
        <f>'[2]Ukraine Sun Oil Exports'!N$37</f>
        <v>49.457000000000008</v>
      </c>
      <c r="AR5" s="141">
        <f>'[2]Ukraine Sun Oil Exports'!O$37</f>
        <v>10.821000000000002</v>
      </c>
      <c r="AS5" s="141">
        <f>'[2]Ukraine Sun Oil Exports'!P$37</f>
        <v>24.396000000000001</v>
      </c>
      <c r="AT5" s="141">
        <f>'[2]Ukraine Sun Oil Exports'!Q$37</f>
        <v>8.8179999999999996</v>
      </c>
      <c r="AU5" s="141">
        <f>'[2]Ukraine Sun Oil Exports'!R$37</f>
        <v>15.945</v>
      </c>
      <c r="AV5" s="141">
        <f>'[2]Ukraine Sun Oil Exports'!S$37</f>
        <v>14.144</v>
      </c>
      <c r="AW5" s="141">
        <f>'[2]Ukraine Sun Oil Exports'!T$37</f>
        <v>8.7779999999999987</v>
      </c>
      <c r="AX5" s="141">
        <f>'[2]Ukraine Sun Oil Exports'!U$37</f>
        <v>23.085999999999999</v>
      </c>
      <c r="AY5" s="141">
        <f>'[2]Ukraine Sun Oil Exports'!V$37</f>
        <v>14.995999999999999</v>
      </c>
      <c r="AZ5" s="141">
        <f>'[2]Ukraine Sun Oil Exports'!W$37</f>
        <v>8.4479999999999986</v>
      </c>
      <c r="BA5" s="141">
        <f>'[2]Ukraine Sun Oil Exports'!X$37</f>
        <v>8.5129999999999999</v>
      </c>
      <c r="BB5" s="141">
        <f>'[2]Ukraine Sun Oil Exports'!Y$37</f>
        <v>28.373045000000001</v>
      </c>
      <c r="BC5" s="141">
        <f>'[2]Ukraine Sun Oil Exports'!Z$37</f>
        <v>8.8994159999999987</v>
      </c>
      <c r="BD5" s="141">
        <f>'[2]Ukraine Sun Oil Exports'!AA$37</f>
        <v>8.2756050000000005</v>
      </c>
      <c r="BE5" s="141">
        <f>'[2]Ukraine Sun Oil Exports'!AB$37</f>
        <v>19.587924999999998</v>
      </c>
      <c r="BF5" s="141">
        <f>'[2]Ukraine Sun Oil Exports'!AC$37</f>
        <v>28.457414999999997</v>
      </c>
      <c r="BG5" s="143">
        <f>'[2]Ukraine Sun Oil Exports'!AD$37</f>
        <v>33.113</v>
      </c>
      <c r="BH5" s="141">
        <f>'[2]Russia Sun Oil Exports'!B$37</f>
        <v>0</v>
      </c>
      <c r="BI5" s="141">
        <f>'[2]Russia Sun Oil Exports'!C$37</f>
        <v>0</v>
      </c>
      <c r="BJ5" s="141">
        <f>'[2]Russia Sun Oil Exports'!D$37</f>
        <v>0</v>
      </c>
      <c r="BK5" s="141">
        <f>'[2]Russia Sun Oil Exports'!E$37</f>
        <v>0</v>
      </c>
      <c r="BL5" s="141">
        <f>'[2]Russia Sun Oil Exports'!F$37</f>
        <v>0</v>
      </c>
      <c r="BM5" s="141">
        <f>'[2]Russia Sun Oil Exports'!G$37</f>
        <v>2.1069999999999999E-3</v>
      </c>
      <c r="BN5" s="141">
        <f>'[2]Russia Sun Oil Exports'!H$37</f>
        <v>3.6343169999999998</v>
      </c>
      <c r="BO5" s="141">
        <f>'[2]Russia Sun Oil Exports'!I$37</f>
        <v>5.3725269999999998</v>
      </c>
      <c r="BP5" s="141">
        <f>'[2]Russia Sun Oil Exports'!J$37</f>
        <v>2.2530760000000001</v>
      </c>
      <c r="BQ5" s="141">
        <f>'[2]Russia Sun Oil Exports'!K$37</f>
        <v>1.567636</v>
      </c>
      <c r="BR5" s="141">
        <f>'[2]Russia Sun Oil Exports'!L$37</f>
        <v>5.0603360000000004</v>
      </c>
      <c r="BS5" s="141">
        <f>'[2]Russia Sun Oil Exports'!M$37</f>
        <v>3.5369999999999999</v>
      </c>
      <c r="BT5" s="141">
        <f>'[2]Russia Sun Oil Exports'!N$37</f>
        <v>9.7449999999999974</v>
      </c>
      <c r="BU5" s="141">
        <f>'[2]Russia Sun Oil Exports'!O$37</f>
        <v>18.513999999999999</v>
      </c>
      <c r="BV5" s="141">
        <f>'[2]Russia Sun Oil Exports'!P$37</f>
        <v>5.7440000000000007</v>
      </c>
      <c r="BW5" s="141">
        <f>'[2]Russia Sun Oil Exports'!Q$37</f>
        <v>9.0990000000000002</v>
      </c>
      <c r="BX5" s="141">
        <f>'[2]Russia Sun Oil Exports'!R$37</f>
        <v>4.0070000000000006</v>
      </c>
      <c r="BY5" s="141">
        <f>'[2]Russia Sun Oil Exports'!S$37</f>
        <v>4.0000000000000001E-3</v>
      </c>
      <c r="BZ5" s="141">
        <f>'[2]Russia Sun Oil Exports'!T$37</f>
        <v>0</v>
      </c>
      <c r="CA5" s="141">
        <f>'[2]Russia Sun Oil Exports'!U$37</f>
        <v>1.9289999999999998</v>
      </c>
      <c r="CB5" s="141">
        <f>'[2]Russia Sun Oil Exports'!V$37</f>
        <v>3.4450000000000003</v>
      </c>
      <c r="CC5" s="141">
        <f>'[2]Russia Sun Oil Exports'!W$37</f>
        <v>0.80700000000000005</v>
      </c>
      <c r="CD5" s="141">
        <f>'[2]Russia Sun Oil Exports'!X$37</f>
        <v>7.6129999999999995</v>
      </c>
      <c r="CE5" s="141">
        <f>'[2]Russia Sun Oil Exports'!Y$37</f>
        <v>16.087108000000001</v>
      </c>
      <c r="CF5" s="141">
        <f>'[2]Russia Sun Oil Exports'!Z$37</f>
        <v>17.497313000000002</v>
      </c>
      <c r="CG5" s="147">
        <f>'[2]Russia Sun Oil Exports'!AA$37</f>
        <v>8.4119899999999994</v>
      </c>
      <c r="CH5" s="141">
        <f>'[2]Russia Sun Oil Exports'!AB$37</f>
        <v>21.054562000000001</v>
      </c>
      <c r="CI5" s="141">
        <f>'[2]Russia Sun Oil Exports'!AC$37</f>
        <v>11.263733999999999</v>
      </c>
      <c r="CJ5" s="143">
        <f>'[2]Russia Sun Oil Exports'!AD$37-2</f>
        <v>2.6215799999999998</v>
      </c>
      <c r="CK5" s="141">
        <f>'[3]Sunflower Oil Exports'!B$37/2204.622*1000</f>
        <v>3.5005000000000006</v>
      </c>
      <c r="CL5" s="141">
        <f>'[3]Sunflower Oil Exports'!C$37/2204.622*1000</f>
        <v>7.4932000000000007</v>
      </c>
      <c r="CM5" s="141">
        <f>'[3]Sunflower Oil Exports'!D$37/2204.622*1000</f>
        <v>0</v>
      </c>
      <c r="CN5" s="141">
        <f>'[3]Sunflower Oil Exports'!E$37/2204.622*1000</f>
        <v>0</v>
      </c>
      <c r="CO5" s="141">
        <f>'[3]Sunflower Oil Exports'!F$37/2204.622*1000</f>
        <v>3</v>
      </c>
      <c r="CP5" s="141">
        <f>'[3]Sunflower Oil Exports'!G$37/2204.622*1000</f>
        <v>3.7000000000000002E-3</v>
      </c>
      <c r="CQ5" s="141">
        <f>'[3]Sunflower Oil Exports'!H$37/2204.622*1000</f>
        <v>3.3764000000000003</v>
      </c>
      <c r="CR5" s="141">
        <f>'[3]Sunflower Oil Exports'!I$37/2204.622*1000</f>
        <v>1.7938000000000001</v>
      </c>
      <c r="CS5" s="141">
        <f>'[3]Sunflower Oil Exports'!J$37/2204.622*1000</f>
        <v>7.1999000000000004</v>
      </c>
      <c r="CT5" s="141">
        <f>'[3]Sunflower Oil Exports'!K$37/2204.622*1000</f>
        <v>1.7500000000000002E-2</v>
      </c>
      <c r="CU5" s="141">
        <f>'[3]Sunflower Oil Exports'!L$37/2204.622*1000</f>
        <v>0</v>
      </c>
      <c r="CV5" s="141">
        <f>'[3]Sunflower Oil Exports'!M$37/2204.622*1000</f>
        <v>0</v>
      </c>
      <c r="CW5" s="141">
        <f>'[3]Sunflower Oil Exports'!N$37/2204.622*1000</f>
        <v>0</v>
      </c>
      <c r="CX5" s="141">
        <f>'[3]Sunflower Oil Exports'!O$37/2204.622*1000</f>
        <v>0</v>
      </c>
      <c r="CY5" s="141">
        <f>'[3]Sunflower Oil Exports'!P$37/2204.622*1000</f>
        <v>0</v>
      </c>
      <c r="CZ5" s="141">
        <f>'[3]Sunflower Oil Exports'!Q$37/2204.622*1000</f>
        <v>0</v>
      </c>
      <c r="DA5" s="141">
        <f>'[3]Sunflower Oil Exports'!R$37/2204.622*1000</f>
        <v>0.25769999999999998</v>
      </c>
      <c r="DB5" s="141">
        <f>'[3]Sunflower Oil Exports'!S$37/2204.622*1000</f>
        <v>0</v>
      </c>
      <c r="DC5" s="141">
        <f>'[3]Sunflower Oil Exports'!T$37/2204.622*1000</f>
        <v>9.6000000000000009E-3</v>
      </c>
      <c r="DD5" s="141">
        <f>'[3]Sunflower Oil Exports'!U$37/2204.622*1000</f>
        <v>0.10630000000000001</v>
      </c>
      <c r="DE5" s="141">
        <f>'[3]Sunflower Oil Exports'!V$37/2204.622*1000</f>
        <v>0.1376</v>
      </c>
      <c r="DF5" s="141">
        <f>'[3]Sunflower Oil Exports'!W$37/2204.622*1000</f>
        <v>0</v>
      </c>
      <c r="DG5" s="141">
        <f>'[3]Sunflower Oil Exports'!X$37/2204.622*1000</f>
        <v>0</v>
      </c>
      <c r="DH5" s="141">
        <f>'[3]Sunflower Oil Exports'!Y$37/2204.622*1000</f>
        <v>2.1598980405711277E-2</v>
      </c>
      <c r="DI5" s="141">
        <f>'[3]Sunflower Oil Exports'!Z$37/2204.622*1000</f>
        <v>7.7739929475438424E-3</v>
      </c>
      <c r="DJ5" s="141">
        <f>'[3]Sunflower Oil Exports'!AA$37/2204.622*1000</f>
        <v>4.063996313200177E-3</v>
      </c>
      <c r="DK5" s="141">
        <f>'[3]Sunflower Oil Exports'!AB$37/2204.622*1000</f>
        <v>3.7999965526970157E-3</v>
      </c>
      <c r="DL5" s="141">
        <f>'[3]Sunflower Oil Exports'!AC$37/2204.622*1000</f>
        <v>0</v>
      </c>
      <c r="DM5" s="143">
        <f>'[3]Sunflower Oil Exports'!AD$37/2204.622*1000</f>
        <v>0</v>
      </c>
      <c r="DN5" s="141">
        <f t="shared" si="3"/>
        <v>3.5005000000000006</v>
      </c>
      <c r="DO5" s="141">
        <f t="shared" si="3"/>
        <v>7.4932000000000007</v>
      </c>
      <c r="DP5" s="141">
        <f t="shared" si="3"/>
        <v>0</v>
      </c>
      <c r="DQ5" s="141">
        <f t="shared" si="3"/>
        <v>28.120999999999999</v>
      </c>
      <c r="DR5" s="141">
        <f t="shared" si="3"/>
        <v>39.421999999999997</v>
      </c>
      <c r="DS5" s="141">
        <f t="shared" si="3"/>
        <v>65.035806999999991</v>
      </c>
      <c r="DT5" s="141">
        <f t="shared" si="3"/>
        <v>90.924716999999987</v>
      </c>
      <c r="DU5" s="141">
        <f t="shared" si="3"/>
        <v>100.09532700000001</v>
      </c>
      <c r="DV5" s="141">
        <f t="shared" si="3"/>
        <v>153.128828</v>
      </c>
      <c r="DW5" s="141">
        <f t="shared" si="3"/>
        <v>407.00213600000001</v>
      </c>
      <c r="DX5" s="141">
        <f t="shared" si="3"/>
        <v>344.18733599999996</v>
      </c>
      <c r="DY5" s="141">
        <f t="shared" si="3"/>
        <v>155.20200000000003</v>
      </c>
      <c r="DZ5" s="141">
        <f t="shared" si="3"/>
        <v>118.88800000000001</v>
      </c>
      <c r="EA5" s="141">
        <f t="shared" si="3"/>
        <v>117.97500000000001</v>
      </c>
      <c r="EB5" s="141">
        <f t="shared" si="3"/>
        <v>107.94200000000001</v>
      </c>
      <c r="EC5" s="141">
        <f t="shared" si="3"/>
        <v>93.056000000000012</v>
      </c>
      <c r="ED5" s="141">
        <f t="shared" si="4"/>
        <v>103.61070000000001</v>
      </c>
      <c r="EE5" s="141">
        <f t="shared" si="4"/>
        <v>117.97500000000004</v>
      </c>
      <c r="EF5" s="141">
        <f t="shared" si="4"/>
        <v>111.0026</v>
      </c>
      <c r="EG5" s="141">
        <f t="shared" si="4"/>
        <v>131.3623</v>
      </c>
      <c r="EH5" s="141">
        <f t="shared" si="4"/>
        <v>136.99760000000001</v>
      </c>
      <c r="EI5" s="141">
        <f t="shared" si="4"/>
        <v>130.6</v>
      </c>
      <c r="EJ5" s="141">
        <f t="shared" si="4"/>
        <v>124.977</v>
      </c>
      <c r="EK5" s="141">
        <f t="shared" si="4"/>
        <v>135.74175198040575</v>
      </c>
      <c r="EL5" s="141">
        <f t="shared" si="4"/>
        <v>142.59550299294756</v>
      </c>
      <c r="EM5" s="147">
        <f t="shared" si="4"/>
        <v>109.59865899631322</v>
      </c>
      <c r="EN5" s="141">
        <f t="shared" si="4"/>
        <v>153.97028699655269</v>
      </c>
      <c r="EO5" s="141">
        <f t="shared" si="4"/>
        <v>136.81514900000002</v>
      </c>
      <c r="EP5" s="145">
        <f>SUM(AD5,BG5,CJ5,DM5)</f>
        <v>234.26080899999999</v>
      </c>
      <c r="EQ5" s="145">
        <v>150</v>
      </c>
      <c r="ES5" s="145">
        <f t="shared" ref="ES5:ES40" si="5">EO5-SUM(DL5,CI5,BF5,AC5)</f>
        <v>0</v>
      </c>
      <c r="ET5" s="145">
        <f>SUM(DM5,CJ5,BG5,AD5)-EP5</f>
        <v>0</v>
      </c>
      <c r="EU5" s="145"/>
    </row>
    <row r="6" spans="1:151">
      <c r="A6" s="187" t="s">
        <v>137</v>
      </c>
      <c r="B6" s="141">
        <f>'[2]EU Sun Oil Exports'!B$59</f>
        <v>0</v>
      </c>
      <c r="C6" s="141">
        <f>'[2]EU Sun Oil Exports'!C$59</f>
        <v>0</v>
      </c>
      <c r="D6" s="141">
        <f>'[2]EU Sun Oil Exports'!D$59</f>
        <v>0</v>
      </c>
      <c r="E6" s="141">
        <f>'[2]EU Sun Oil Exports'!E$59</f>
        <v>48.885000000000005</v>
      </c>
      <c r="F6" s="141">
        <f>'[2]EU Sun Oil Exports'!F$59</f>
        <v>61.776999999999994</v>
      </c>
      <c r="G6" s="141">
        <f>'[2]EU Sun Oil Exports'!G$59</f>
        <v>48.945</v>
      </c>
      <c r="H6" s="141">
        <f>'[2]EU Sun Oil Exports'!H$59</f>
        <v>11.293999999999997</v>
      </c>
      <c r="I6" s="141">
        <f>'[2]EU Sun Oil Exports'!I$59</f>
        <v>6.4769999999999994</v>
      </c>
      <c r="J6" s="141">
        <f>'[2]EU Sun Oil Exports'!J$59</f>
        <v>7.6470000000000002</v>
      </c>
      <c r="K6" s="141">
        <f>'[2]EU Sun Oil Exports'!K$59</f>
        <v>17.484000000000002</v>
      </c>
      <c r="L6" s="141">
        <f>'[2]EU Sun Oil Exports'!L$59</f>
        <v>35.004999999999995</v>
      </c>
      <c r="M6" s="141">
        <f>'[2]EU Sun Oil Exports'!M$59</f>
        <v>15.735999999999999</v>
      </c>
      <c r="N6" s="141">
        <f>'[2]EU Sun Oil Exports'!N$59</f>
        <v>9.4069999999999983</v>
      </c>
      <c r="O6" s="141">
        <f>'[2]EU Sun Oil Exports'!O$59</f>
        <v>3.032</v>
      </c>
      <c r="P6" s="141">
        <f>'[2]EU Sun Oil Exports'!P$59</f>
        <v>2.2029999999999998</v>
      </c>
      <c r="Q6" s="141">
        <f>'[2]EU Sun Oil Exports'!Q$59</f>
        <v>2.0599999999999992</v>
      </c>
      <c r="R6" s="141">
        <f>'[2]EU Sun Oil Exports'!R$59</f>
        <v>0.70900000000000007</v>
      </c>
      <c r="S6" s="141">
        <f>'[2]EU Sun Oil Exports'!S$59</f>
        <v>0.49900000000000005</v>
      </c>
      <c r="T6" s="141">
        <f>'[2]EU Sun Oil Exports'!T$59</f>
        <v>0.8590000000000001</v>
      </c>
      <c r="U6" s="141">
        <f>'[2]EU Sun Oil Exports'!U$59</f>
        <v>0.63300000000000001</v>
      </c>
      <c r="V6" s="141">
        <f>'[2]EU Sun Oil Exports'!V$59</f>
        <v>0.504</v>
      </c>
      <c r="W6" s="141">
        <f>'[2]EU Sun Oil Exports'!W$59</f>
        <v>1</v>
      </c>
      <c r="X6" s="141">
        <f>'[2]EU Sun Oil Exports'!X$59</f>
        <v>0.53900000000000003</v>
      </c>
      <c r="Y6" s="141">
        <f>'[2]EU Sun Oil Exports'!Y$59</f>
        <v>0.57799999999999996</v>
      </c>
      <c r="Z6" s="141">
        <f>'[2]EU Sun Oil Exports'!Z$59</f>
        <v>0.88600000000000012</v>
      </c>
      <c r="AA6" s="141">
        <f>'[2]EU Sun Oil Exports'!AA$59</f>
        <v>0.82899999999999996</v>
      </c>
      <c r="AB6" s="141">
        <f>'[2]EU Sun Oil Exports'!AB$59</f>
        <v>0.6180000000000001</v>
      </c>
      <c r="AC6" s="141">
        <f>'[2]EU Sun Oil Exports'!AC$59</f>
        <v>1.7640000000000002</v>
      </c>
      <c r="AD6" s="143">
        <f>'[2]EU Sun Oil Exports'!AD$59</f>
        <v>0.9820000000000001</v>
      </c>
      <c r="AE6" s="141">
        <f>'[2]Ukraine Sun Oil Exports'!B$59</f>
        <v>0</v>
      </c>
      <c r="AF6" s="141">
        <f>'[2]Ukraine Sun Oil Exports'!C$59</f>
        <v>69.399999999999991</v>
      </c>
      <c r="AG6" s="141">
        <f>'[2]Ukraine Sun Oil Exports'!D$59</f>
        <v>114.7</v>
      </c>
      <c r="AH6" s="141">
        <f>'[2]Ukraine Sun Oil Exports'!E$59</f>
        <v>47.5</v>
      </c>
      <c r="AI6" s="141">
        <f>'[2]Ukraine Sun Oil Exports'!F$59</f>
        <v>109.5</v>
      </c>
      <c r="AJ6" s="141">
        <f>'[2]Ukraine Sun Oil Exports'!G$59</f>
        <v>109</v>
      </c>
      <c r="AK6" s="141">
        <f>'[2]Ukraine Sun Oil Exports'!H$59</f>
        <v>170</v>
      </c>
      <c r="AL6" s="141">
        <f>'[2]Ukraine Sun Oil Exports'!I$59</f>
        <v>154</v>
      </c>
      <c r="AM6" s="141">
        <f>'[2]Ukraine Sun Oil Exports'!J$59</f>
        <v>139.52919590000005</v>
      </c>
      <c r="AN6" s="141">
        <f>'[2]Ukraine Sun Oil Exports'!K$59</f>
        <v>190.18100000000001</v>
      </c>
      <c r="AO6" s="141">
        <f>'[2]Ukraine Sun Oil Exports'!L$59</f>
        <v>148.52399999999997</v>
      </c>
      <c r="AP6" s="141">
        <f>'[2]Ukraine Sun Oil Exports'!M$59</f>
        <v>148.29299999999998</v>
      </c>
      <c r="AQ6" s="141">
        <f>'[2]Ukraine Sun Oil Exports'!N$59</f>
        <v>174.78699999999998</v>
      </c>
      <c r="AR6" s="141">
        <f>'[2]Ukraine Sun Oil Exports'!O$59</f>
        <v>218.99299999999999</v>
      </c>
      <c r="AS6" s="141">
        <f>'[2]Ukraine Sun Oil Exports'!P$59</f>
        <v>218.23099999999997</v>
      </c>
      <c r="AT6" s="141">
        <f>'[2]Ukraine Sun Oil Exports'!Q$59</f>
        <v>182.512</v>
      </c>
      <c r="AU6" s="141">
        <f>'[2]Ukraine Sun Oil Exports'!R$59</f>
        <v>258.26300000000003</v>
      </c>
      <c r="AV6" s="141">
        <f>'[2]Ukraine Sun Oil Exports'!S$59</f>
        <v>375.68299999999994</v>
      </c>
      <c r="AW6" s="141">
        <f>'[2]Ukraine Sun Oil Exports'!T$59</f>
        <v>151.43299999999999</v>
      </c>
      <c r="AX6" s="141">
        <f>'[2]Ukraine Sun Oil Exports'!U$59</f>
        <v>158.22199999999998</v>
      </c>
      <c r="AY6" s="141">
        <f>'[2]Ukraine Sun Oil Exports'!V$59</f>
        <v>110.794</v>
      </c>
      <c r="AZ6" s="141">
        <f>'[2]Ukraine Sun Oil Exports'!W$59</f>
        <v>77.605999999999995</v>
      </c>
      <c r="BA6" s="141">
        <f>'[2]Ukraine Sun Oil Exports'!X$59</f>
        <v>66.325999999999993</v>
      </c>
      <c r="BB6" s="141">
        <f>'[2]Ukraine Sun Oil Exports'!Y$59</f>
        <v>43.234694999999995</v>
      </c>
      <c r="BC6" s="141">
        <f>'[2]Ukraine Sun Oil Exports'!Z$59</f>
        <v>36.620531000000007</v>
      </c>
      <c r="BD6" s="141">
        <f>'[2]Ukraine Sun Oil Exports'!AA$59</f>
        <v>30.722424999999994</v>
      </c>
      <c r="BE6" s="141">
        <f>'[2]Ukraine Sun Oil Exports'!AB$59</f>
        <v>26.466594000000004</v>
      </c>
      <c r="BF6" s="141">
        <f>'[2]Ukraine Sun Oil Exports'!AC$59</f>
        <v>22.497758999999999</v>
      </c>
      <c r="BG6" s="141">
        <f>'[2]Ukraine Sun Oil Exports'!AD$59</f>
        <v>32.191000000000003</v>
      </c>
      <c r="BH6" s="141">
        <f>'[2]Russia Sun Oil Exports'!B$59</f>
        <v>0</v>
      </c>
      <c r="BI6" s="141">
        <f>'[2]Russia Sun Oil Exports'!C$59</f>
        <v>0</v>
      </c>
      <c r="BJ6" s="141">
        <f>'[2]Russia Sun Oil Exports'!D$59</f>
        <v>0</v>
      </c>
      <c r="BK6" s="141">
        <f>'[2]Russia Sun Oil Exports'!E$59</f>
        <v>12.066392</v>
      </c>
      <c r="BL6" s="141">
        <f>'[2]Russia Sun Oil Exports'!F$59</f>
        <v>20.226381999999997</v>
      </c>
      <c r="BM6" s="141">
        <f>'[2]Russia Sun Oil Exports'!G$59</f>
        <v>11.810479000000001</v>
      </c>
      <c r="BN6" s="141">
        <f>'[2]Russia Sun Oil Exports'!H$59</f>
        <v>48.03305300000001</v>
      </c>
      <c r="BO6" s="141">
        <f>'[2]Russia Sun Oil Exports'!I$59</f>
        <v>55.390698000000008</v>
      </c>
      <c r="BP6" s="141">
        <f>'[2]Russia Sun Oil Exports'!J$59</f>
        <v>22.382241999999998</v>
      </c>
      <c r="BQ6" s="141">
        <f>'[2]Russia Sun Oil Exports'!K$59</f>
        <v>32.472595999999996</v>
      </c>
      <c r="BR6" s="141">
        <f>'[2]Russia Sun Oil Exports'!L$59</f>
        <v>25.567262999999997</v>
      </c>
      <c r="BS6" s="141">
        <f>'[2]Russia Sun Oil Exports'!M$59</f>
        <v>32.120533000000002</v>
      </c>
      <c r="BT6" s="141">
        <f>'[2]Russia Sun Oil Exports'!N$59</f>
        <v>65.733999999999995</v>
      </c>
      <c r="BU6" s="141">
        <f>'[2]Russia Sun Oil Exports'!O$59</f>
        <v>68.051000000000002</v>
      </c>
      <c r="BV6" s="141">
        <f>'[2]Russia Sun Oil Exports'!P$59</f>
        <v>106.48599999999999</v>
      </c>
      <c r="BW6" s="141">
        <f>'[2]Russia Sun Oil Exports'!Q$59</f>
        <v>155.36599999999999</v>
      </c>
      <c r="BX6" s="141">
        <f>'[2]Russia Sun Oil Exports'!R$59</f>
        <v>172.03299999999999</v>
      </c>
      <c r="BY6" s="141">
        <f>'[2]Russia Sun Oil Exports'!S$59</f>
        <v>103.72999999999999</v>
      </c>
      <c r="BZ6" s="141">
        <f>'[2]Russia Sun Oil Exports'!T$59</f>
        <v>198.922</v>
      </c>
      <c r="CA6" s="141">
        <f>'[2]Russia Sun Oil Exports'!U$59</f>
        <v>277.67599999999999</v>
      </c>
      <c r="CB6" s="141">
        <f>'[2]Russia Sun Oil Exports'!V$59</f>
        <v>415.22199999999992</v>
      </c>
      <c r="CC6" s="141">
        <f>'[2]Russia Sun Oil Exports'!W$59</f>
        <v>455.75200000000001</v>
      </c>
      <c r="CD6" s="141">
        <f>'[2]Russia Sun Oil Exports'!X$59</f>
        <v>499.11800000000005</v>
      </c>
      <c r="CE6" s="141">
        <f>'[2]Russia Sun Oil Exports'!Y$59</f>
        <v>381.30119200000001</v>
      </c>
      <c r="CF6" s="141">
        <f>'[2]Russia Sun Oil Exports'!Z$59</f>
        <v>523.79797900000005</v>
      </c>
      <c r="CG6" s="147">
        <f>'[2]Russia Sun Oil Exports'!AA$59</f>
        <v>623.25894899999992</v>
      </c>
      <c r="CH6" s="141">
        <f>'[2]Russia Sun Oil Exports'!AB$59</f>
        <v>651.61561499999993</v>
      </c>
      <c r="CI6" s="141">
        <f>'[2]Russia Sun Oil Exports'!AC$59</f>
        <v>572.66913599999998</v>
      </c>
      <c r="CJ6" s="143">
        <f>'[2]Russia Sun Oil Exports'!AD$59+280</f>
        <v>536.85327800000005</v>
      </c>
      <c r="CK6" s="141">
        <f>'[3]Sunflower Oil Exports'!B$59/2204.622*1000</f>
        <v>0</v>
      </c>
      <c r="CL6" s="141">
        <f>'[3]Sunflower Oil Exports'!C$59/2204.622*1000</f>
        <v>5.9799999999999999E-2</v>
      </c>
      <c r="CM6" s="141">
        <f>'[3]Sunflower Oil Exports'!D$59/2204.622*1000</f>
        <v>6.0300000000000006E-2</v>
      </c>
      <c r="CN6" s="141">
        <f>'[3]Sunflower Oil Exports'!E$59/2204.622*1000</f>
        <v>0.70509999999999995</v>
      </c>
      <c r="CO6" s="141">
        <f>'[3]Sunflower Oil Exports'!F$59/2204.622*1000</f>
        <v>2.8200000000000003E-2</v>
      </c>
      <c r="CP6" s="141">
        <f>'[3]Sunflower Oil Exports'!G$59/2204.622*1000</f>
        <v>26.500000000000004</v>
      </c>
      <c r="CQ6" s="141">
        <f>'[3]Sunflower Oil Exports'!H$59/2204.622*1000</f>
        <v>0.99980000000000013</v>
      </c>
      <c r="CR6" s="141">
        <f>'[3]Sunflower Oil Exports'!I$59/2204.622*1000</f>
        <v>0.84870000000000012</v>
      </c>
      <c r="CS6" s="141">
        <f>'[3]Sunflower Oil Exports'!J$59/2204.622*1000</f>
        <v>0</v>
      </c>
      <c r="CT6" s="141">
        <f>'[3]Sunflower Oil Exports'!K$59/2204.622*1000</f>
        <v>0</v>
      </c>
      <c r="CU6" s="141">
        <f>'[3]Sunflower Oil Exports'!L$59/2204.622*1000</f>
        <v>0</v>
      </c>
      <c r="CV6" s="141">
        <f>'[3]Sunflower Oil Exports'!M$59/2204.622*1000</f>
        <v>0</v>
      </c>
      <c r="CW6" s="141">
        <f>'[3]Sunflower Oil Exports'!N$59/2204.622*1000</f>
        <v>0</v>
      </c>
      <c r="CX6" s="141">
        <f>'[3]Sunflower Oil Exports'!O$59/2204.622*1000</f>
        <v>0</v>
      </c>
      <c r="CY6" s="141">
        <f>'[3]Sunflower Oil Exports'!P$59/2204.622*1000</f>
        <v>0</v>
      </c>
      <c r="CZ6" s="141">
        <f>'[3]Sunflower Oil Exports'!Q$59/2204.622*1000</f>
        <v>0</v>
      </c>
      <c r="DA6" s="141">
        <f>'[3]Sunflower Oil Exports'!R$59/2204.622*1000</f>
        <v>0</v>
      </c>
      <c r="DB6" s="141">
        <f>'[3]Sunflower Oil Exports'!S$59/2204.622*1000</f>
        <v>0</v>
      </c>
      <c r="DC6" s="141">
        <f>'[3]Sunflower Oil Exports'!T$59/2204.622*1000</f>
        <v>0</v>
      </c>
      <c r="DD6" s="141">
        <f>'[3]Sunflower Oil Exports'!U$59/2204.622*1000</f>
        <v>0.05</v>
      </c>
      <c r="DE6" s="141">
        <f>'[3]Sunflower Oil Exports'!V$59/2204.622*1000</f>
        <v>5.0300000000000004E-2</v>
      </c>
      <c r="DF6" s="141">
        <f>'[3]Sunflower Oil Exports'!W$59/2204.622*1000</f>
        <v>4.200000000000001E-2</v>
      </c>
      <c r="DG6" s="141">
        <f>'[3]Sunflower Oil Exports'!X$59/2204.622*1000</f>
        <v>0</v>
      </c>
      <c r="DH6" s="141">
        <f>'[3]Sunflower Oil Exports'!Y$59/2204.622*1000</f>
        <v>3.0000000000000006E-2</v>
      </c>
      <c r="DI6" s="141">
        <f>'[3]Sunflower Oil Exports'!Z$59/2204.622*1000</f>
        <v>4.0031963683570253E-2</v>
      </c>
      <c r="DJ6" s="141">
        <f>'[3]Sunflower Oil Exports'!AA$59/2204.622*1000</f>
        <v>0</v>
      </c>
      <c r="DK6" s="141">
        <f>'[3]Sunflower Oil Exports'!AB$59/2204.622*1000</f>
        <v>6.2265943513219055E-2</v>
      </c>
      <c r="DL6" s="141">
        <f>'[3]Sunflower Oil Exports'!AC$59/2204.622*1000</f>
        <v>2.0015981841785126E-2</v>
      </c>
      <c r="DM6" s="143">
        <f>'[3]Sunflower Oil Exports'!AD$59/2204.622*1000</f>
        <v>0</v>
      </c>
      <c r="DN6" s="141">
        <f t="shared" si="3"/>
        <v>0</v>
      </c>
      <c r="DO6" s="141">
        <f t="shared" si="3"/>
        <v>69.459799999999987</v>
      </c>
      <c r="DP6" s="141">
        <f t="shared" si="3"/>
        <v>114.7603</v>
      </c>
      <c r="DQ6" s="141">
        <f t="shared" si="3"/>
        <v>109.156492</v>
      </c>
      <c r="DR6" s="141">
        <f t="shared" si="3"/>
        <v>191.53158199999999</v>
      </c>
      <c r="DS6" s="141">
        <f t="shared" si="3"/>
        <v>196.25547899999998</v>
      </c>
      <c r="DT6" s="141">
        <f t="shared" si="3"/>
        <v>230.32685299999997</v>
      </c>
      <c r="DU6" s="141">
        <f t="shared" si="3"/>
        <v>216.71639800000003</v>
      </c>
      <c r="DV6" s="141">
        <f t="shared" si="3"/>
        <v>169.55843790000003</v>
      </c>
      <c r="DW6" s="141">
        <f t="shared" si="3"/>
        <v>240.13759600000003</v>
      </c>
      <c r="DX6" s="141">
        <f t="shared" si="3"/>
        <v>209.09626299999996</v>
      </c>
      <c r="DY6" s="141">
        <f t="shared" si="3"/>
        <v>196.14953299999996</v>
      </c>
      <c r="DZ6" s="141">
        <f t="shared" si="3"/>
        <v>249.928</v>
      </c>
      <c r="EA6" s="141">
        <f t="shared" si="3"/>
        <v>290.07600000000002</v>
      </c>
      <c r="EB6" s="141">
        <f t="shared" si="3"/>
        <v>326.91999999999996</v>
      </c>
      <c r="EC6" s="141">
        <f t="shared" si="3"/>
        <v>339.93799999999999</v>
      </c>
      <c r="ED6" s="141">
        <f t="shared" si="4"/>
        <v>431.005</v>
      </c>
      <c r="EE6" s="141">
        <f t="shared" si="4"/>
        <v>479.91199999999992</v>
      </c>
      <c r="EF6" s="141">
        <f t="shared" si="4"/>
        <v>351.214</v>
      </c>
      <c r="EG6" s="141">
        <f t="shared" si="4"/>
        <v>436.58099999999996</v>
      </c>
      <c r="EH6" s="141">
        <f t="shared" si="4"/>
        <v>526.57029999999997</v>
      </c>
      <c r="EI6" s="141">
        <f t="shared" si="4"/>
        <v>534.4</v>
      </c>
      <c r="EJ6" s="141">
        <f t="shared" si="4"/>
        <v>565.98300000000006</v>
      </c>
      <c r="EK6" s="141">
        <f t="shared" si="4"/>
        <v>425.14388700000001</v>
      </c>
      <c r="EL6" s="141">
        <f t="shared" si="4"/>
        <v>561.34454196368358</v>
      </c>
      <c r="EM6" s="147">
        <f t="shared" si="4"/>
        <v>654.81037399999991</v>
      </c>
      <c r="EN6" s="141">
        <f t="shared" si="4"/>
        <v>678.76247494351321</v>
      </c>
      <c r="EO6" s="141">
        <f t="shared" si="4"/>
        <v>596.95091098184173</v>
      </c>
      <c r="EP6" s="145">
        <f>SUM(AD6,BG6,CJ6,DM6)</f>
        <v>570.02627800000005</v>
      </c>
      <c r="EQ6" s="145">
        <v>650</v>
      </c>
      <c r="ES6" s="145">
        <f t="shared" si="5"/>
        <v>0</v>
      </c>
      <c r="ET6" s="145">
        <f t="shared" ref="ET6:ET40" si="6">SUM(DM6,CJ6,BG6,AD6)-EP6</f>
        <v>0</v>
      </c>
      <c r="EU6" s="145"/>
    </row>
    <row r="7" spans="1:151">
      <c r="A7" s="187" t="s">
        <v>138</v>
      </c>
      <c r="B7" s="141">
        <f>'[2]EU Sun Oil Exports'!B$88</f>
        <v>0</v>
      </c>
      <c r="C7" s="141">
        <f>'[2]EU Sun Oil Exports'!C$88</f>
        <v>0</v>
      </c>
      <c r="D7" s="141">
        <f>'[2]EU Sun Oil Exports'!D$88</f>
        <v>0</v>
      </c>
      <c r="E7" s="141">
        <f>'[2]EU Sun Oil Exports'!E$88</f>
        <v>2.3579999999999997</v>
      </c>
      <c r="F7" s="141">
        <f>'[2]EU Sun Oil Exports'!F$88</f>
        <v>1.9E-2</v>
      </c>
      <c r="G7" s="141">
        <f>'[2]EU Sun Oil Exports'!G$88</f>
        <v>0</v>
      </c>
      <c r="H7" s="141">
        <f>'[2]EU Sun Oil Exports'!H$88</f>
        <v>4.0000000000000001E-3</v>
      </c>
      <c r="I7" s="141">
        <f>'[2]EU Sun Oil Exports'!I$88</f>
        <v>0</v>
      </c>
      <c r="J7" s="141">
        <f>'[2]EU Sun Oil Exports'!J$88</f>
        <v>1E-3</v>
      </c>
      <c r="K7" s="141">
        <f>'[2]EU Sun Oil Exports'!K$88</f>
        <v>1.2E-2</v>
      </c>
      <c r="L7" s="141">
        <f>'[2]EU Sun Oil Exports'!L$88</f>
        <v>8.4000000000000019E-2</v>
      </c>
      <c r="M7" s="141">
        <f>'[2]EU Sun Oil Exports'!M$88</f>
        <v>0.17399999999999999</v>
      </c>
      <c r="N7" s="141">
        <f>'[2]EU Sun Oil Exports'!N$88</f>
        <v>0.37600000000000006</v>
      </c>
      <c r="O7" s="141">
        <f>'[2]EU Sun Oil Exports'!O$88</f>
        <v>3.4000000000000002E-2</v>
      </c>
      <c r="P7" s="141">
        <f>'[2]EU Sun Oil Exports'!P$88</f>
        <v>5.5000000000000007E-2</v>
      </c>
      <c r="Q7" s="141">
        <f>'[2]EU Sun Oil Exports'!Q$88</f>
        <v>0.20700000000000002</v>
      </c>
      <c r="R7" s="141">
        <f>'[2]EU Sun Oil Exports'!R$88</f>
        <v>1.6859999999999999</v>
      </c>
      <c r="S7" s="141">
        <f>'[2]EU Sun Oil Exports'!S$88</f>
        <v>3.3730000000000007</v>
      </c>
      <c r="T7" s="141">
        <f>'[2]EU Sun Oil Exports'!T$88</f>
        <v>1.34</v>
      </c>
      <c r="U7" s="141">
        <f>'[2]EU Sun Oil Exports'!U$88</f>
        <v>1.462</v>
      </c>
      <c r="V7" s="141">
        <f>'[2]EU Sun Oil Exports'!V$88</f>
        <v>3.5949999999999998</v>
      </c>
      <c r="W7" s="141">
        <f>'[2]EU Sun Oil Exports'!W$88</f>
        <v>4.9740000000000002</v>
      </c>
      <c r="X7" s="141">
        <f>'[2]EU Sun Oil Exports'!X$88</f>
        <v>6.573999999999999</v>
      </c>
      <c r="Y7" s="141">
        <f>'[2]EU Sun Oil Exports'!Y$88</f>
        <v>5.4380000000000006</v>
      </c>
      <c r="Z7" s="141">
        <f>'[2]EU Sun Oil Exports'!Z$88</f>
        <v>4.3330000000000002</v>
      </c>
      <c r="AA7" s="141">
        <f>'[2]EU Sun Oil Exports'!AA$88</f>
        <v>7.2249999999999996</v>
      </c>
      <c r="AB7" s="141">
        <f>'[2]EU Sun Oil Exports'!AB$88</f>
        <v>9.5620000000000012</v>
      </c>
      <c r="AC7" s="141">
        <f>'[2]EU Sun Oil Exports'!AC$88</f>
        <v>10.839</v>
      </c>
      <c r="AD7" s="143">
        <f>'[2]EU Sun Oil Exports'!AD$88+7</f>
        <v>8.9544300000000003</v>
      </c>
      <c r="AE7" s="141">
        <f>'[2]Ukraine Sun Oil Exports'!B$88</f>
        <v>0</v>
      </c>
      <c r="AF7" s="141">
        <f>'[2]Ukraine Sun Oil Exports'!C$88</f>
        <v>0</v>
      </c>
      <c r="AG7" s="141">
        <f>'[2]Ukraine Sun Oil Exports'!D$88</f>
        <v>0</v>
      </c>
      <c r="AH7" s="141">
        <f>'[2]Ukraine Sun Oil Exports'!E$88</f>
        <v>0</v>
      </c>
      <c r="AI7" s="141">
        <f>'[2]Ukraine Sun Oil Exports'!F$88</f>
        <v>0</v>
      </c>
      <c r="AJ7" s="141">
        <f>'[2]Ukraine Sun Oil Exports'!G$88</f>
        <v>0</v>
      </c>
      <c r="AK7" s="141">
        <f>'[2]Ukraine Sun Oil Exports'!H$88</f>
        <v>0</v>
      </c>
      <c r="AL7" s="141">
        <f>'[2]Ukraine Sun Oil Exports'!I$88</f>
        <v>0</v>
      </c>
      <c r="AM7" s="141">
        <f>'[2]Ukraine Sun Oil Exports'!J$88</f>
        <v>0</v>
      </c>
      <c r="AN7" s="141">
        <f>'[2]Ukraine Sun Oil Exports'!K$88</f>
        <v>0</v>
      </c>
      <c r="AO7" s="141">
        <f>'[2]Ukraine Sun Oil Exports'!L$88</f>
        <v>0</v>
      </c>
      <c r="AP7" s="141">
        <f>'[2]Ukraine Sun Oil Exports'!M$88</f>
        <v>0</v>
      </c>
      <c r="AQ7" s="141">
        <f>'[2]Ukraine Sun Oil Exports'!N$88</f>
        <v>0</v>
      </c>
      <c r="AR7" s="141">
        <f>'[2]Ukraine Sun Oil Exports'!O$88</f>
        <v>0</v>
      </c>
      <c r="AS7" s="141">
        <f>'[2]Ukraine Sun Oil Exports'!P$88</f>
        <v>0</v>
      </c>
      <c r="AT7" s="141">
        <f>'[2]Ukraine Sun Oil Exports'!Q$88</f>
        <v>7.9000000000000001E-2</v>
      </c>
      <c r="AU7" s="141">
        <f>'[2]Ukraine Sun Oil Exports'!R$88</f>
        <v>36.212000000000003</v>
      </c>
      <c r="AV7" s="141">
        <f>'[2]Ukraine Sun Oil Exports'!S$88</f>
        <v>12.704000000000001</v>
      </c>
      <c r="AW7" s="141">
        <f>'[2]Ukraine Sun Oil Exports'!T$88</f>
        <v>94.818000000000012</v>
      </c>
      <c r="AX7" s="141">
        <f>'[2]Ukraine Sun Oil Exports'!U$88</f>
        <v>290.72000000000003</v>
      </c>
      <c r="AY7" s="141">
        <f>'[2]Ukraine Sun Oil Exports'!V$88</f>
        <v>500.76999999999992</v>
      </c>
      <c r="AZ7" s="141">
        <f>'[2]Ukraine Sun Oil Exports'!W$88</f>
        <v>466.61400000000003</v>
      </c>
      <c r="BA7" s="141">
        <f>'[2]Ukraine Sun Oil Exports'!X$88</f>
        <v>627.16300000000001</v>
      </c>
      <c r="BB7" s="141">
        <f>'[2]Ukraine Sun Oil Exports'!Y$88</f>
        <v>632.48590299999978</v>
      </c>
      <c r="BC7" s="141">
        <f>'[2]Ukraine Sun Oil Exports'!Z$88</f>
        <v>425.91852999999992</v>
      </c>
      <c r="BD7" s="141">
        <f>'[2]Ukraine Sun Oil Exports'!AA$88</f>
        <v>810.16551900000002</v>
      </c>
      <c r="BE7" s="141">
        <f>'[2]Ukraine Sun Oil Exports'!AB$88</f>
        <v>1062.8663529999999</v>
      </c>
      <c r="BF7" s="141">
        <f>'[2]Ukraine Sun Oil Exports'!AC$88</f>
        <v>977.20782699999995</v>
      </c>
      <c r="BG7" s="141">
        <f>'[2]Ukraine Sun Oil Exports'!AD$88+407.1</f>
        <v>782.39900000000011</v>
      </c>
      <c r="BH7" s="141">
        <f>'[2]Russia Sun Oil Exports'!B$88</f>
        <v>0</v>
      </c>
      <c r="BI7" s="141">
        <f>'[2]Russia Sun Oil Exports'!C$88</f>
        <v>0</v>
      </c>
      <c r="BJ7" s="141">
        <f>'[2]Russia Sun Oil Exports'!D$88</f>
        <v>0</v>
      </c>
      <c r="BK7" s="141">
        <f>'[2]Russia Sun Oil Exports'!E$88</f>
        <v>0</v>
      </c>
      <c r="BL7" s="141">
        <f>'[2]Russia Sun Oil Exports'!F$88</f>
        <v>0</v>
      </c>
      <c r="BM7" s="141">
        <f>'[2]Russia Sun Oil Exports'!G$88</f>
        <v>0</v>
      </c>
      <c r="BN7" s="141">
        <f>'[2]Russia Sun Oil Exports'!H$88</f>
        <v>0</v>
      </c>
      <c r="BO7" s="141">
        <f>'[2]Russia Sun Oil Exports'!I$88</f>
        <v>1.5E-5</v>
      </c>
      <c r="BP7" s="141">
        <f>'[2]Russia Sun Oil Exports'!J$88</f>
        <v>0</v>
      </c>
      <c r="BQ7" s="141">
        <f>'[2]Russia Sun Oil Exports'!K$88</f>
        <v>0</v>
      </c>
      <c r="BR7" s="141">
        <f>'[2]Russia Sun Oil Exports'!L$88</f>
        <v>0</v>
      </c>
      <c r="BS7" s="141">
        <f>'[2]Russia Sun Oil Exports'!M$88</f>
        <v>0</v>
      </c>
      <c r="BT7" s="141">
        <f>'[2]Russia Sun Oil Exports'!N$88</f>
        <v>0</v>
      </c>
      <c r="BU7" s="141">
        <f>'[2]Russia Sun Oil Exports'!O$88</f>
        <v>0</v>
      </c>
      <c r="BV7" s="141">
        <f>'[2]Russia Sun Oil Exports'!P$88</f>
        <v>0</v>
      </c>
      <c r="BW7" s="141">
        <f>'[2]Russia Sun Oil Exports'!Q$88</f>
        <v>0</v>
      </c>
      <c r="BX7" s="141">
        <f>'[2]Russia Sun Oil Exports'!R$88</f>
        <v>0</v>
      </c>
      <c r="BY7" s="141">
        <f>'[2]Russia Sun Oil Exports'!S$88</f>
        <v>0</v>
      </c>
      <c r="BZ7" s="141">
        <f>'[2]Russia Sun Oil Exports'!T$88</f>
        <v>1.4E-2</v>
      </c>
      <c r="CA7" s="141">
        <f>'[2]Russia Sun Oil Exports'!U$88</f>
        <v>2.2169999999999996</v>
      </c>
      <c r="CB7" s="141">
        <f>'[2]Russia Sun Oil Exports'!V$88</f>
        <v>5.8719999999999999</v>
      </c>
      <c r="CC7" s="141">
        <f>'[2]Russia Sun Oil Exports'!W$88</f>
        <v>23.163999999999998</v>
      </c>
      <c r="CD7" s="141">
        <f>'[2]Russia Sun Oil Exports'!X$88</f>
        <v>134.48100000000002</v>
      </c>
      <c r="CE7" s="141">
        <f>'[2]Russia Sun Oil Exports'!Y$88</f>
        <v>126.514944</v>
      </c>
      <c r="CF7" s="141">
        <f>'[2]Russia Sun Oil Exports'!Z$88</f>
        <v>210.17816999999999</v>
      </c>
      <c r="CG7" s="147">
        <f>'[2]Russia Sun Oil Exports'!AA$88</f>
        <v>279.627093</v>
      </c>
      <c r="CH7" s="141">
        <f>'[2]Russia Sun Oil Exports'!AB$88</f>
        <v>741.88362700000005</v>
      </c>
      <c r="CI7" s="141">
        <f>'[2]Russia Sun Oil Exports'!AC$88</f>
        <v>421.78782500000005</v>
      </c>
      <c r="CJ7" s="143">
        <f>'[2]Russia Sun Oil Exports'!AD$88+150.8</f>
        <v>259.60874200000001</v>
      </c>
      <c r="CK7" s="141">
        <f>'[3]Sunflower Oil Exports'!B$88/2204.622*1000</f>
        <v>0</v>
      </c>
      <c r="CL7" s="141">
        <f>'[3]Sunflower Oil Exports'!C$88/2204.622*1000</f>
        <v>0</v>
      </c>
      <c r="CM7" s="141">
        <f>'[3]Sunflower Oil Exports'!D$88/2204.622*1000</f>
        <v>0</v>
      </c>
      <c r="CN7" s="141">
        <f>'[3]Sunflower Oil Exports'!E$88/2204.622*1000</f>
        <v>0</v>
      </c>
      <c r="CO7" s="141">
        <f>'[3]Sunflower Oil Exports'!F$88/2204.622*1000</f>
        <v>0</v>
      </c>
      <c r="CP7" s="141">
        <f>'[3]Sunflower Oil Exports'!G$88/2204.622*1000</f>
        <v>0</v>
      </c>
      <c r="CQ7" s="141">
        <f>'[3]Sunflower Oil Exports'!H$88/2204.622*1000</f>
        <v>0</v>
      </c>
      <c r="CR7" s="141">
        <f>'[3]Sunflower Oil Exports'!I$88/2204.622*1000</f>
        <v>0</v>
      </c>
      <c r="CS7" s="141">
        <f>'[3]Sunflower Oil Exports'!J$88/2204.622*1000</f>
        <v>0</v>
      </c>
      <c r="CT7" s="141">
        <f>'[3]Sunflower Oil Exports'!K$88/2204.622*1000</f>
        <v>8.0000000000000015E-4</v>
      </c>
      <c r="CU7" s="141">
        <f>'[3]Sunflower Oil Exports'!L$88/2204.622*1000</f>
        <v>0</v>
      </c>
      <c r="CV7" s="141">
        <f>'[3]Sunflower Oil Exports'!M$88/2204.622*1000</f>
        <v>6.0000000000000006E-4</v>
      </c>
      <c r="CW7" s="141">
        <f>'[3]Sunflower Oil Exports'!N$88/2204.622*1000</f>
        <v>0</v>
      </c>
      <c r="CX7" s="141">
        <f>'[3]Sunflower Oil Exports'!O$88/2204.622*1000</f>
        <v>9.11E-2</v>
      </c>
      <c r="CY7" s="141">
        <f>'[3]Sunflower Oil Exports'!P$88/2204.622*1000</f>
        <v>5.1900000000000009E-2</v>
      </c>
      <c r="CZ7" s="141">
        <f>'[3]Sunflower Oil Exports'!Q$88/2204.622*1000</f>
        <v>5.9500000000000011E-2</v>
      </c>
      <c r="DA7" s="141">
        <f>'[3]Sunflower Oil Exports'!R$88/2204.622*1000</f>
        <v>8.6700000000000013E-2</v>
      </c>
      <c r="DB7" s="141">
        <f>'[3]Sunflower Oil Exports'!S$88/2204.622*1000</f>
        <v>0.14000000000000001</v>
      </c>
      <c r="DC7" s="141">
        <f>'[3]Sunflower Oil Exports'!T$88/2204.622*1000</f>
        <v>0.37980000000000008</v>
      </c>
      <c r="DD7" s="141">
        <f>'[3]Sunflower Oil Exports'!U$88/2204.622*1000</f>
        <v>0.39740000000000009</v>
      </c>
      <c r="DE7" s="141">
        <f>'[3]Sunflower Oil Exports'!V$88/2204.622*1000</f>
        <v>0.51659999999999995</v>
      </c>
      <c r="DF7" s="141">
        <f>'[3]Sunflower Oil Exports'!W$88/2204.622*1000</f>
        <v>0.2253</v>
      </c>
      <c r="DG7" s="141">
        <f>'[3]Sunflower Oil Exports'!X$88/2204.622*1000</f>
        <v>0.47339999999999999</v>
      </c>
      <c r="DH7" s="141">
        <f>'[3]Sunflower Oil Exports'!Y$88/2204.622*1000</f>
        <v>0.45227293688441828</v>
      </c>
      <c r="DI7" s="141">
        <f>'[3]Sunflower Oil Exports'!Z$88/2204.622*1000</f>
        <v>0.16051285438501478</v>
      </c>
      <c r="DJ7" s="141">
        <f>'[3]Sunflower Oil Exports'!AA$88/2204.622*1000</f>
        <v>0.20466081433461158</v>
      </c>
      <c r="DK7" s="141">
        <f>'[3]Sunflower Oil Exports'!AB$88/2204.622*1000</f>
        <v>0.38963864652534541</v>
      </c>
      <c r="DL7" s="141">
        <f>'[3]Sunflower Oil Exports'!AC$88/2204.622*1000</f>
        <v>0.68318017355356142</v>
      </c>
      <c r="DM7" s="143">
        <f>'[3]Sunflower Oil Exports'!AD$88/2204.622*1000</f>
        <v>0</v>
      </c>
      <c r="DN7" s="141">
        <f t="shared" si="3"/>
        <v>0</v>
      </c>
      <c r="DO7" s="141">
        <f t="shared" si="3"/>
        <v>0</v>
      </c>
      <c r="DP7" s="141">
        <f t="shared" si="3"/>
        <v>0</v>
      </c>
      <c r="DQ7" s="141">
        <f t="shared" si="3"/>
        <v>2.3579999999999997</v>
      </c>
      <c r="DR7" s="141">
        <f t="shared" si="3"/>
        <v>1.9E-2</v>
      </c>
      <c r="DS7" s="141">
        <f t="shared" si="3"/>
        <v>0</v>
      </c>
      <c r="DT7" s="141">
        <f t="shared" si="3"/>
        <v>4.0000000000000001E-3</v>
      </c>
      <c r="DU7" s="141">
        <f t="shared" si="3"/>
        <v>1.5E-5</v>
      </c>
      <c r="DV7" s="141">
        <f t="shared" si="3"/>
        <v>1E-3</v>
      </c>
      <c r="DW7" s="141">
        <f t="shared" si="3"/>
        <v>1.2800000000000001E-2</v>
      </c>
      <c r="DX7" s="141">
        <f t="shared" si="3"/>
        <v>8.4000000000000019E-2</v>
      </c>
      <c r="DY7" s="141">
        <f t="shared" si="3"/>
        <v>0.17459999999999998</v>
      </c>
      <c r="DZ7" s="141">
        <f t="shared" si="3"/>
        <v>0.37600000000000006</v>
      </c>
      <c r="EA7" s="141">
        <f t="shared" si="3"/>
        <v>0.12509999999999999</v>
      </c>
      <c r="EB7" s="141">
        <f t="shared" si="3"/>
        <v>0.10690000000000002</v>
      </c>
      <c r="EC7" s="141">
        <f t="shared" si="3"/>
        <v>0.34550000000000003</v>
      </c>
      <c r="ED7" s="141">
        <f t="shared" si="4"/>
        <v>37.984700000000004</v>
      </c>
      <c r="EE7" s="141">
        <f t="shared" si="4"/>
        <v>16.217000000000002</v>
      </c>
      <c r="EF7" s="141">
        <f t="shared" si="4"/>
        <v>96.551800000000014</v>
      </c>
      <c r="EG7" s="141">
        <f t="shared" si="4"/>
        <v>294.79640000000001</v>
      </c>
      <c r="EH7" s="141">
        <f t="shared" si="4"/>
        <v>510.75359999999995</v>
      </c>
      <c r="EI7" s="141">
        <f t="shared" si="4"/>
        <v>494.97730000000001</v>
      </c>
      <c r="EJ7" s="141">
        <f t="shared" si="4"/>
        <v>768.69139999999993</v>
      </c>
      <c r="EK7" s="141">
        <f t="shared" si="4"/>
        <v>764.89111993688425</v>
      </c>
      <c r="EL7" s="141">
        <f t="shared" si="4"/>
        <v>640.59021285438496</v>
      </c>
      <c r="EM7" s="147">
        <f t="shared" si="4"/>
        <v>1097.2222728143347</v>
      </c>
      <c r="EN7" s="141">
        <f t="shared" si="4"/>
        <v>1814.7016186465253</v>
      </c>
      <c r="EO7" s="141">
        <f t="shared" si="4"/>
        <v>1410.5178321735536</v>
      </c>
      <c r="EP7" s="145">
        <f>'China Sun Complex'!AD34</f>
        <v>475</v>
      </c>
      <c r="EQ7" s="145">
        <f>'China Sun Complex'!AE34</f>
        <v>1850</v>
      </c>
      <c r="ES7" s="145">
        <f t="shared" si="5"/>
        <v>0</v>
      </c>
      <c r="ET7" s="145">
        <f t="shared" si="6"/>
        <v>575.96217200000024</v>
      </c>
      <c r="EU7" s="145"/>
    </row>
    <row r="8" spans="1:151">
      <c r="A8" s="187" t="s">
        <v>205</v>
      </c>
      <c r="B8" s="141">
        <f>'[2]EU Sun Oil Exports'!B$102</f>
        <v>0</v>
      </c>
      <c r="C8" s="141">
        <f>'[2]EU Sun Oil Exports'!C$102</f>
        <v>0</v>
      </c>
      <c r="D8" s="141">
        <f>'[2]EU Sun Oil Exports'!D$102</f>
        <v>0</v>
      </c>
      <c r="E8" s="141">
        <f>'[2]EU Sun Oil Exports'!E$102</f>
        <v>25.686</v>
      </c>
      <c r="F8" s="141">
        <f>'[2]EU Sun Oil Exports'!F$102</f>
        <v>10.205</v>
      </c>
      <c r="G8" s="141">
        <f>'[2]EU Sun Oil Exports'!G$102</f>
        <v>10.972999999999999</v>
      </c>
      <c r="H8" s="141">
        <f>'[2]EU Sun Oil Exports'!H$102</f>
        <v>1.7000000000000001E-2</v>
      </c>
      <c r="I8" s="141">
        <f>'[2]EU Sun Oil Exports'!I$102</f>
        <v>8.7000000000000008E-2</v>
      </c>
      <c r="J8" s="141">
        <f>'[2]EU Sun Oil Exports'!J$102</f>
        <v>6.0000000000000001E-3</v>
      </c>
      <c r="K8" s="141">
        <f>'[2]EU Sun Oil Exports'!K$102</f>
        <v>2.3E-2</v>
      </c>
      <c r="L8" s="141">
        <f>'[2]EU Sun Oil Exports'!L$102</f>
        <v>3.1E-2</v>
      </c>
      <c r="M8" s="141">
        <f>'[2]EU Sun Oil Exports'!M$102</f>
        <v>2.3999999999999997E-2</v>
      </c>
      <c r="N8" s="141">
        <f>'[2]EU Sun Oil Exports'!N$102</f>
        <v>3.5999999999999997E-2</v>
      </c>
      <c r="O8" s="141">
        <f>'[2]EU Sun Oil Exports'!O$102</f>
        <v>0.14799999999999999</v>
      </c>
      <c r="P8" s="141">
        <f>'[2]EU Sun Oil Exports'!P$102</f>
        <v>0.14100000000000001</v>
      </c>
      <c r="Q8" s="141">
        <f>'[2]EU Sun Oil Exports'!Q$102</f>
        <v>6.7000000000000004E-2</v>
      </c>
      <c r="R8" s="141">
        <f>'[2]EU Sun Oil Exports'!R$102</f>
        <v>0.156</v>
      </c>
      <c r="S8" s="141">
        <f>'[2]EU Sun Oil Exports'!S$102</f>
        <v>2.2000000000000002E-2</v>
      </c>
      <c r="T8" s="141">
        <f>'[2]EU Sun Oil Exports'!T$102</f>
        <v>0.19900000000000001</v>
      </c>
      <c r="U8" s="141">
        <f>'[2]EU Sun Oil Exports'!U$102</f>
        <v>0.14000000000000001</v>
      </c>
      <c r="V8" s="141">
        <f>'[2]EU Sun Oil Exports'!V$102</f>
        <v>2.8000000000000004E-2</v>
      </c>
      <c r="W8" s="141">
        <f>'[2]EU Sun Oil Exports'!W$102</f>
        <v>3.1869999999999994</v>
      </c>
      <c r="X8" s="141">
        <f>'[2]EU Sun Oil Exports'!X$102</f>
        <v>0.16299999999999998</v>
      </c>
      <c r="Y8" s="141">
        <f>'[2]EU Sun Oil Exports'!Y$102</f>
        <v>0.15500000000000003</v>
      </c>
      <c r="Z8" s="141">
        <f>'[2]EU Sun Oil Exports'!Z$102</f>
        <v>0.13700000000000001</v>
      </c>
      <c r="AA8" s="141">
        <f>'[2]EU Sun Oil Exports'!AA$102</f>
        <v>0.13500000000000004</v>
      </c>
      <c r="AB8" s="141">
        <f>'[2]EU Sun Oil Exports'!AB$102</f>
        <v>30.087</v>
      </c>
      <c r="AC8" s="141">
        <f>'[2]EU Sun Oil Exports'!AC$102</f>
        <v>17.82</v>
      </c>
      <c r="AD8" s="143">
        <f>'[2]EU Sun Oil Exports'!AD$102</f>
        <v>49.219389</v>
      </c>
      <c r="AE8" s="141">
        <f>'[2]Ukraine Sun Oil Exports'!B$102</f>
        <v>0</v>
      </c>
      <c r="AF8" s="141">
        <f>'[2]Ukraine Sun Oil Exports'!C$102</f>
        <v>0</v>
      </c>
      <c r="AG8" s="141">
        <f>'[2]Ukraine Sun Oil Exports'!D$102</f>
        <v>0</v>
      </c>
      <c r="AH8" s="141">
        <f>'[2]Ukraine Sun Oil Exports'!E$102</f>
        <v>0</v>
      </c>
      <c r="AI8" s="141">
        <f>'[2]Ukraine Sun Oil Exports'!F$102</f>
        <v>2.5</v>
      </c>
      <c r="AJ8" s="141">
        <f>'[2]Ukraine Sun Oil Exports'!G$102</f>
        <v>19</v>
      </c>
      <c r="AK8" s="141">
        <f>'[2]Ukraine Sun Oil Exports'!H$102</f>
        <v>17</v>
      </c>
      <c r="AL8" s="141">
        <f>'[2]Ukraine Sun Oil Exports'!I$102</f>
        <v>35</v>
      </c>
      <c r="AM8" s="141">
        <f>'[2]Ukraine Sun Oil Exports'!J$102</f>
        <v>0</v>
      </c>
      <c r="AN8" s="141">
        <f>'[2]Ukraine Sun Oil Exports'!K$102</f>
        <v>0</v>
      </c>
      <c r="AO8" s="141">
        <f>'[2]Ukraine Sun Oil Exports'!L$102</f>
        <v>0</v>
      </c>
      <c r="AP8" s="141">
        <f>'[2]Ukraine Sun Oil Exports'!M$102</f>
        <v>0</v>
      </c>
      <c r="AQ8" s="141">
        <f>'[2]Ukraine Sun Oil Exports'!N$102</f>
        <v>0</v>
      </c>
      <c r="AR8" s="141">
        <f>'[2]Ukraine Sun Oil Exports'!O$102</f>
        <v>53.184999999999995</v>
      </c>
      <c r="AS8" s="141">
        <f>'[2]Ukraine Sun Oil Exports'!P$102</f>
        <v>0</v>
      </c>
      <c r="AT8" s="141">
        <f>'[2]Ukraine Sun Oil Exports'!Q$102</f>
        <v>472.32899999999995</v>
      </c>
      <c r="AU8" s="141">
        <f>'[2]Ukraine Sun Oil Exports'!R$102</f>
        <v>565.81200000000001</v>
      </c>
      <c r="AV8" s="141">
        <f>'[2]Ukraine Sun Oil Exports'!S$102</f>
        <v>744.60299999999984</v>
      </c>
      <c r="AW8" s="141">
        <f>'[2]Ukraine Sun Oil Exports'!T$102</f>
        <v>1167.8610000000001</v>
      </c>
      <c r="AX8" s="141">
        <f>'[2]Ukraine Sun Oil Exports'!U$102</f>
        <v>925.90499999999997</v>
      </c>
      <c r="AY8" s="141">
        <f>'[2]Ukraine Sun Oil Exports'!V$102</f>
        <v>1594.5250000000001</v>
      </c>
      <c r="AZ8" s="141">
        <f>'[2]Ukraine Sun Oil Exports'!W$102</f>
        <v>1481.855</v>
      </c>
      <c r="BA8" s="141">
        <f>'[2]Ukraine Sun Oil Exports'!X$102</f>
        <v>1431.9349999999997</v>
      </c>
      <c r="BB8" s="141">
        <f>'[2]Ukraine Sun Oil Exports'!Y$102</f>
        <v>2047.3992430000001</v>
      </c>
      <c r="BC8" s="141">
        <f>'[2]Ukraine Sun Oil Exports'!Z$102</f>
        <v>2452.0814289999998</v>
      </c>
      <c r="BD8" s="141">
        <f>'[2]Ukraine Sun Oil Exports'!AA$102</f>
        <v>2187.2600839999996</v>
      </c>
      <c r="BE8" s="141">
        <f>'[2]Ukraine Sun Oil Exports'!AB$102</f>
        <v>1883.7230569999997</v>
      </c>
      <c r="BF8" s="141">
        <f>'[2]Ukraine Sun Oil Exports'!AC$102</f>
        <v>1570.301471</v>
      </c>
      <c r="BG8" s="141">
        <f>'[2]Ukraine Sun Oil Exports'!AD$102+480</f>
        <v>1527.296</v>
      </c>
      <c r="BH8" s="141">
        <f>'[2]Russia Sun Oil Exports'!B$102</f>
        <v>0</v>
      </c>
      <c r="BI8" s="141">
        <f>'[2]Russia Sun Oil Exports'!C$102</f>
        <v>0</v>
      </c>
      <c r="BJ8" s="141">
        <f>'[2]Russia Sun Oil Exports'!D$102</f>
        <v>0</v>
      </c>
      <c r="BK8" s="141">
        <f>'[2]Russia Sun Oil Exports'!E$102</f>
        <v>0</v>
      </c>
      <c r="BL8" s="141">
        <f>'[2]Russia Sun Oil Exports'!F$102</f>
        <v>0</v>
      </c>
      <c r="BM8" s="141">
        <f>'[2]Russia Sun Oil Exports'!G$102</f>
        <v>1.9588499999999998</v>
      </c>
      <c r="BN8" s="141">
        <f>'[2]Russia Sun Oil Exports'!H$102</f>
        <v>0</v>
      </c>
      <c r="BO8" s="141">
        <f>'[2]Russia Sun Oil Exports'!I$102</f>
        <v>0</v>
      </c>
      <c r="BP8" s="141">
        <f>'[2]Russia Sun Oil Exports'!J$102</f>
        <v>0</v>
      </c>
      <c r="BQ8" s="141">
        <f>'[2]Russia Sun Oil Exports'!K$102</f>
        <v>0</v>
      </c>
      <c r="BR8" s="141">
        <f>'[2]Russia Sun Oil Exports'!L$102</f>
        <v>0</v>
      </c>
      <c r="BS8" s="141">
        <f>'[2]Russia Sun Oil Exports'!M$102</f>
        <v>0</v>
      </c>
      <c r="BT8" s="141">
        <f>'[2]Russia Sun Oil Exports'!N$102</f>
        <v>0</v>
      </c>
      <c r="BU8" s="141">
        <f>'[2]Russia Sun Oil Exports'!O$102</f>
        <v>37.514000000000003</v>
      </c>
      <c r="BV8" s="141">
        <f>'[2]Russia Sun Oil Exports'!P$102</f>
        <v>0</v>
      </c>
      <c r="BW8" s="141">
        <f>'[2]Russia Sun Oil Exports'!Q$102</f>
        <v>60.337000000000003</v>
      </c>
      <c r="BX8" s="141">
        <f>'[2]Russia Sun Oil Exports'!R$102</f>
        <v>26.496000000000002</v>
      </c>
      <c r="BY8" s="141">
        <f>'[2]Russia Sun Oil Exports'!S$102</f>
        <v>0</v>
      </c>
      <c r="BZ8" s="141">
        <f>'[2]Russia Sun Oil Exports'!T$102</f>
        <v>22.936</v>
      </c>
      <c r="CA8" s="141">
        <f>'[2]Russia Sun Oil Exports'!U$102</f>
        <v>0</v>
      </c>
      <c r="CB8" s="141">
        <f>'[2]Russia Sun Oil Exports'!V$102</f>
        <v>0</v>
      </c>
      <c r="CC8" s="141">
        <f>'[2]Russia Sun Oil Exports'!W$102</f>
        <v>0.248</v>
      </c>
      <c r="CD8" s="141">
        <f>'[2]Russia Sun Oil Exports'!X$102</f>
        <v>0.217</v>
      </c>
      <c r="CE8" s="141">
        <f>'[2]Russia Sun Oil Exports'!Y$102</f>
        <v>28.196404000000001</v>
      </c>
      <c r="CF8" s="141">
        <f>'[2]Russia Sun Oil Exports'!Z$102</f>
        <v>18.281071000000001</v>
      </c>
      <c r="CG8" s="147">
        <f>'[2]Russia Sun Oil Exports'!AA$102</f>
        <v>142.43678</v>
      </c>
      <c r="CH8" s="141">
        <f>'[2]Russia Sun Oil Exports'!AB$102</f>
        <v>482.73724399999998</v>
      </c>
      <c r="CI8" s="141">
        <f>'[2]Russia Sun Oil Exports'!AC$102</f>
        <v>261.878602</v>
      </c>
      <c r="CJ8" s="143">
        <f>'[2]Russia Sun Oil Exports'!AD$102+50</f>
        <v>380.23236099999997</v>
      </c>
      <c r="CK8" s="141">
        <f>'[3]Sunflower Oil Exports'!B$102/2204.622*1000</f>
        <v>0</v>
      </c>
      <c r="CL8" s="141">
        <f>'[3]Sunflower Oil Exports'!C$102/2204.622*1000</f>
        <v>0</v>
      </c>
      <c r="CM8" s="141">
        <f>'[3]Sunflower Oil Exports'!D$102/2204.622*1000</f>
        <v>0</v>
      </c>
      <c r="CN8" s="141">
        <f>'[3]Sunflower Oil Exports'!E$102/2204.622*1000</f>
        <v>0</v>
      </c>
      <c r="CO8" s="141">
        <f>'[3]Sunflower Oil Exports'!F$102/2204.622*1000</f>
        <v>4.9992000000000001</v>
      </c>
      <c r="CP8" s="141">
        <f>'[3]Sunflower Oil Exports'!G$102/2204.622*1000</f>
        <v>20.997000000000007</v>
      </c>
      <c r="CQ8" s="141">
        <f>'[3]Sunflower Oil Exports'!H$102/2204.622*1000</f>
        <v>0</v>
      </c>
      <c r="CR8" s="141">
        <f>'[3]Sunflower Oil Exports'!I$102/2204.622*1000</f>
        <v>0</v>
      </c>
      <c r="CS8" s="141">
        <f>'[3]Sunflower Oil Exports'!J$102/2204.622*1000</f>
        <v>0.75170000000000015</v>
      </c>
      <c r="CT8" s="141">
        <f>'[3]Sunflower Oil Exports'!K$102/2204.622*1000</f>
        <v>0</v>
      </c>
      <c r="CU8" s="141">
        <f>'[3]Sunflower Oil Exports'!L$102/2204.622*1000</f>
        <v>0</v>
      </c>
      <c r="CV8" s="141">
        <f>'[3]Sunflower Oil Exports'!M$102/2204.622*1000</f>
        <v>0</v>
      </c>
      <c r="CW8" s="141">
        <f>'[3]Sunflower Oil Exports'!N$102/2204.622*1000</f>
        <v>0</v>
      </c>
      <c r="CX8" s="141">
        <f>'[3]Sunflower Oil Exports'!O$102/2204.622*1000</f>
        <v>0</v>
      </c>
      <c r="CY8" s="141">
        <f>'[3]Sunflower Oil Exports'!P$102/2204.622*1000</f>
        <v>0</v>
      </c>
      <c r="CZ8" s="141">
        <f>'[3]Sunflower Oil Exports'!Q$102/2204.622*1000</f>
        <v>0</v>
      </c>
      <c r="DA8" s="141">
        <f>'[3]Sunflower Oil Exports'!R$102/2204.622*1000</f>
        <v>11.768200000000002</v>
      </c>
      <c r="DB8" s="141">
        <f>'[3]Sunflower Oil Exports'!S$102/2204.622*1000</f>
        <v>0</v>
      </c>
      <c r="DC8" s="141">
        <f>'[3]Sunflower Oil Exports'!T$102/2204.622*1000</f>
        <v>1.1000000000000001E-3</v>
      </c>
      <c r="DD8" s="141">
        <f>'[3]Sunflower Oil Exports'!U$102/2204.622*1000</f>
        <v>6.7000000000000002E-3</v>
      </c>
      <c r="DE8" s="141">
        <f>'[3]Sunflower Oil Exports'!V$102/2204.622*1000</f>
        <v>8.3000000000000001E-3</v>
      </c>
      <c r="DF8" s="141">
        <f>'[3]Sunflower Oil Exports'!W$102/2204.622*1000</f>
        <v>0</v>
      </c>
      <c r="DG8" s="141">
        <f>'[3]Sunflower Oil Exports'!X$102/2204.622*1000</f>
        <v>4.1799999999999997E-2</v>
      </c>
      <c r="DH8" s="141">
        <f>'[3]Sunflower Oil Exports'!Y$102/2204.622*1000</f>
        <v>0</v>
      </c>
      <c r="DI8" s="141">
        <f>'[3]Sunflower Oil Exports'!Z$102/2204.622*1000</f>
        <v>2.5290327056973938</v>
      </c>
      <c r="DJ8" s="141">
        <f>'[3]Sunflower Oil Exports'!AA$102/2204.622*1000</f>
        <v>0.87491120629296104</v>
      </c>
      <c r="DK8" s="141">
        <f>'[3]Sunflower Oil Exports'!AB$102/2204.622*1000</f>
        <v>0.36446666936100608</v>
      </c>
      <c r="DL8" s="141">
        <f>'[3]Sunflower Oil Exports'!AC$102/2204.622*1000</f>
        <v>0.42391235800967247</v>
      </c>
      <c r="DM8" s="143">
        <f>'[3]Sunflower Oil Exports'!AD$102/2204.622*1000</f>
        <v>0</v>
      </c>
      <c r="DN8" s="141">
        <f t="shared" si="3"/>
        <v>0</v>
      </c>
      <c r="DO8" s="141">
        <f t="shared" si="3"/>
        <v>0</v>
      </c>
      <c r="DP8" s="141">
        <f t="shared" si="3"/>
        <v>0</v>
      </c>
      <c r="DQ8" s="141">
        <f t="shared" si="3"/>
        <v>25.686</v>
      </c>
      <c r="DR8" s="141">
        <f t="shared" si="3"/>
        <v>17.7042</v>
      </c>
      <c r="DS8" s="141">
        <f t="shared" si="3"/>
        <v>52.928850000000004</v>
      </c>
      <c r="DT8" s="141">
        <f t="shared" si="3"/>
        <v>17.016999999999999</v>
      </c>
      <c r="DU8" s="141">
        <f t="shared" si="3"/>
        <v>35.087000000000003</v>
      </c>
      <c r="DV8" s="141">
        <f t="shared" si="3"/>
        <v>0.75770000000000015</v>
      </c>
      <c r="DW8" s="141">
        <f t="shared" si="3"/>
        <v>2.3E-2</v>
      </c>
      <c r="DX8" s="141">
        <f t="shared" si="3"/>
        <v>3.1E-2</v>
      </c>
      <c r="DY8" s="141">
        <f t="shared" si="3"/>
        <v>2.3999999999999997E-2</v>
      </c>
      <c r="DZ8" s="141">
        <f t="shared" si="3"/>
        <v>3.5999999999999997E-2</v>
      </c>
      <c r="EA8" s="141">
        <f t="shared" si="3"/>
        <v>90.847000000000008</v>
      </c>
      <c r="EB8" s="141">
        <f t="shared" si="3"/>
        <v>0.14100000000000001</v>
      </c>
      <c r="EC8" s="141">
        <f t="shared" si="3"/>
        <v>532.73299999999995</v>
      </c>
      <c r="ED8" s="141">
        <f t="shared" si="4"/>
        <v>604.23219999999992</v>
      </c>
      <c r="EE8" s="141">
        <f t="shared" si="4"/>
        <v>744.62499999999989</v>
      </c>
      <c r="EF8" s="141">
        <f t="shared" si="4"/>
        <v>1190.9971</v>
      </c>
      <c r="EG8" s="141">
        <f t="shared" si="4"/>
        <v>926.05169999999998</v>
      </c>
      <c r="EH8" s="141">
        <f t="shared" si="4"/>
        <v>1594.5613000000001</v>
      </c>
      <c r="EI8" s="141">
        <f t="shared" si="4"/>
        <v>1485.29</v>
      </c>
      <c r="EJ8" s="141">
        <f t="shared" si="4"/>
        <v>1432.3567999999998</v>
      </c>
      <c r="EK8" s="141">
        <f t="shared" si="4"/>
        <v>2075.7506469999998</v>
      </c>
      <c r="EL8" s="141">
        <f t="shared" si="4"/>
        <v>2473.0285327056972</v>
      </c>
      <c r="EM8" s="147">
        <f t="shared" si="4"/>
        <v>2330.7067752062926</v>
      </c>
      <c r="EN8" s="141">
        <f t="shared" si="4"/>
        <v>2396.9117676693604</v>
      </c>
      <c r="EO8" s="141">
        <f t="shared" si="4"/>
        <v>1850.4239853580095</v>
      </c>
      <c r="EP8" s="145">
        <f>'India Sun Complex'!AD34-100</f>
        <v>2311</v>
      </c>
      <c r="EQ8" s="145">
        <f>'India Sun Complex'!AE34-100</f>
        <v>2313</v>
      </c>
      <c r="ES8" s="145">
        <f t="shared" si="5"/>
        <v>0</v>
      </c>
      <c r="ET8" s="145">
        <f t="shared" si="6"/>
        <v>-354.25224999999978</v>
      </c>
      <c r="EU8" s="145"/>
    </row>
    <row r="9" spans="1:151">
      <c r="A9" s="193" t="s">
        <v>139</v>
      </c>
      <c r="B9" s="141">
        <f>'[2]EU Sun Oil Exports'!B$103</f>
        <v>0</v>
      </c>
      <c r="C9" s="141">
        <f>'[2]EU Sun Oil Exports'!C$103</f>
        <v>0</v>
      </c>
      <c r="D9" s="141">
        <f>'[2]EU Sun Oil Exports'!D$103</f>
        <v>0</v>
      </c>
      <c r="E9" s="141">
        <f>'[2]EU Sun Oil Exports'!E$103</f>
        <v>3.6000000000000004E-2</v>
      </c>
      <c r="F9" s="141">
        <f>'[2]EU Sun Oil Exports'!F$103</f>
        <v>3.6000000000000004E-2</v>
      </c>
      <c r="G9" s="141">
        <f>'[2]EU Sun Oil Exports'!G$103</f>
        <v>3.6000000000000004E-2</v>
      </c>
      <c r="H9" s="141">
        <f>'[2]EU Sun Oil Exports'!H$103</f>
        <v>7.0999999999999994E-2</v>
      </c>
      <c r="I9" s="141">
        <f>'[2]EU Sun Oil Exports'!I$103</f>
        <v>8.1000000000000003E-2</v>
      </c>
      <c r="J9" s="141">
        <f>'[2]EU Sun Oil Exports'!J$103</f>
        <v>4.1000000000000002E-2</v>
      </c>
      <c r="K9" s="141">
        <f>'[2]EU Sun Oil Exports'!K$103</f>
        <v>9.1000000000000011E-2</v>
      </c>
      <c r="L9" s="141">
        <f>'[2]EU Sun Oil Exports'!L$103</f>
        <v>3.8999999999999993E-2</v>
      </c>
      <c r="M9" s="141">
        <f>'[2]EU Sun Oil Exports'!M$103</f>
        <v>7.8000000000000014E-2</v>
      </c>
      <c r="N9" s="141">
        <f>'[2]EU Sun Oil Exports'!N$103</f>
        <v>0.15300000000000002</v>
      </c>
      <c r="O9" s="141">
        <f>'[2]EU Sun Oil Exports'!O$103</f>
        <v>6.6000000000000017E-2</v>
      </c>
      <c r="P9" s="141">
        <f>'[2]EU Sun Oil Exports'!P$103</f>
        <v>0.26100000000000001</v>
      </c>
      <c r="Q9" s="141">
        <f>'[2]EU Sun Oil Exports'!Q$103</f>
        <v>0.154</v>
      </c>
      <c r="R9" s="141">
        <f>'[2]EU Sun Oil Exports'!R$103</f>
        <v>0.18600000000000003</v>
      </c>
      <c r="S9" s="141">
        <f>'[2]EU Sun Oil Exports'!S$103</f>
        <v>0.20300000000000001</v>
      </c>
      <c r="T9" s="141">
        <f>'[2]EU Sun Oil Exports'!T$103</f>
        <v>0.64499999999999991</v>
      </c>
      <c r="U9" s="141">
        <f>'[2]EU Sun Oil Exports'!U$103</f>
        <v>0.45400000000000007</v>
      </c>
      <c r="V9" s="141">
        <f>'[2]EU Sun Oil Exports'!V$103</f>
        <v>1.135</v>
      </c>
      <c r="W9" s="141">
        <f>'[2]EU Sun Oil Exports'!W$103</f>
        <v>1.4999999999999998</v>
      </c>
      <c r="X9" s="141">
        <f>'[2]EU Sun Oil Exports'!X$103</f>
        <v>1.9239999999999999</v>
      </c>
      <c r="Y9" s="141">
        <f>'[2]EU Sun Oil Exports'!Y$103</f>
        <v>1.0679999999999998</v>
      </c>
      <c r="Z9" s="141">
        <f>'[2]EU Sun Oil Exports'!Z$103</f>
        <v>2.3830000000000005</v>
      </c>
      <c r="AA9" s="141">
        <f>'[2]EU Sun Oil Exports'!AA$103</f>
        <v>3.0199999999999996</v>
      </c>
      <c r="AB9" s="141">
        <f>'[2]EU Sun Oil Exports'!AB$103</f>
        <v>3.1030000000000002</v>
      </c>
      <c r="AC9" s="141">
        <f>'[2]EU Sun Oil Exports'!AC$103</f>
        <v>2.8779999999999997</v>
      </c>
      <c r="AD9" s="143">
        <f>'[2]EU Sun Oil Exports'!AD$103</f>
        <v>1.8729999999999998</v>
      </c>
      <c r="AE9" s="141">
        <f>'[2]Ukraine Sun Oil Exports'!B$103</f>
        <v>0</v>
      </c>
      <c r="AF9" s="141">
        <f>'[2]Ukraine Sun Oil Exports'!C$103</f>
        <v>0</v>
      </c>
      <c r="AG9" s="141">
        <f>'[2]Ukraine Sun Oil Exports'!D$103</f>
        <v>0</v>
      </c>
      <c r="AH9" s="141">
        <f>'[2]Ukraine Sun Oil Exports'!E$103</f>
        <v>0</v>
      </c>
      <c r="AI9" s="141">
        <f>'[2]Ukraine Sun Oil Exports'!F$103</f>
        <v>0</v>
      </c>
      <c r="AJ9" s="141">
        <f>'[2]Ukraine Sun Oil Exports'!G$103</f>
        <v>0</v>
      </c>
      <c r="AK9" s="141">
        <f>'[2]Ukraine Sun Oil Exports'!H$103</f>
        <v>0</v>
      </c>
      <c r="AL9" s="141">
        <f>'[2]Ukraine Sun Oil Exports'!I$103</f>
        <v>0</v>
      </c>
      <c r="AM9" s="141">
        <f>'[2]Ukraine Sun Oil Exports'!J$103</f>
        <v>0</v>
      </c>
      <c r="AN9" s="141">
        <f>'[2]Ukraine Sun Oil Exports'!K$103</f>
        <v>0</v>
      </c>
      <c r="AO9" s="141">
        <f>'[2]Ukraine Sun Oil Exports'!L$103</f>
        <v>0</v>
      </c>
      <c r="AP9" s="141">
        <f>'[2]Ukraine Sun Oil Exports'!M$103</f>
        <v>0</v>
      </c>
      <c r="AQ9" s="141">
        <f>'[2]Ukraine Sun Oil Exports'!N$103</f>
        <v>0</v>
      </c>
      <c r="AR9" s="141">
        <f>'[2]Ukraine Sun Oil Exports'!O$103</f>
        <v>0</v>
      </c>
      <c r="AS9" s="141">
        <f>'[2]Ukraine Sun Oil Exports'!P$103</f>
        <v>0</v>
      </c>
      <c r="AT9" s="141">
        <f>'[2]Ukraine Sun Oil Exports'!Q$103</f>
        <v>0</v>
      </c>
      <c r="AU9" s="141">
        <f>'[2]Ukraine Sun Oil Exports'!R$103</f>
        <v>0</v>
      </c>
      <c r="AV9" s="141">
        <f>'[2]Ukraine Sun Oil Exports'!S$103</f>
        <v>0</v>
      </c>
      <c r="AW9" s="141">
        <f>'[2]Ukraine Sun Oil Exports'!T$103</f>
        <v>0</v>
      </c>
      <c r="AX9" s="141">
        <f>'[2]Ukraine Sun Oil Exports'!U$103</f>
        <v>0</v>
      </c>
      <c r="AY9" s="141">
        <f>'[2]Ukraine Sun Oil Exports'!V$103</f>
        <v>0</v>
      </c>
      <c r="AZ9" s="141">
        <f>'[2]Ukraine Sun Oil Exports'!W$103</f>
        <v>0</v>
      </c>
      <c r="BA9" s="141">
        <f>'[2]Ukraine Sun Oil Exports'!X$103</f>
        <v>0</v>
      </c>
      <c r="BB9" s="141">
        <f>'[2]Ukraine Sun Oil Exports'!Y$103</f>
        <v>0.26270000000000004</v>
      </c>
      <c r="BC9" s="141">
        <f>'[2]Ukraine Sun Oil Exports'!Z$103</f>
        <v>0.79504200000000003</v>
      </c>
      <c r="BD9" s="141">
        <f>'[2]Ukraine Sun Oil Exports'!AA$103</f>
        <v>1.00136</v>
      </c>
      <c r="BE9" s="141">
        <f>'[2]Ukraine Sun Oil Exports'!AB$103</f>
        <v>0.91755999999999993</v>
      </c>
      <c r="BF9" s="141">
        <f>'[2]Ukraine Sun Oil Exports'!AC$103</f>
        <v>0.35241999999999996</v>
      </c>
      <c r="BG9" s="143">
        <f>'[2]Ukraine Sun Oil Exports'!AD$103</f>
        <v>2.1999999999999999E-2</v>
      </c>
      <c r="BH9" s="141">
        <f>'[2]Russia Sun Oil Exports'!B$103</f>
        <v>0</v>
      </c>
      <c r="BI9" s="141">
        <f>'[2]Russia Sun Oil Exports'!C$103</f>
        <v>0</v>
      </c>
      <c r="BJ9" s="141">
        <f>'[2]Russia Sun Oil Exports'!D$103</f>
        <v>0</v>
      </c>
      <c r="BK9" s="141">
        <f>'[2]Russia Sun Oil Exports'!E$103</f>
        <v>0</v>
      </c>
      <c r="BL9" s="141">
        <f>'[2]Russia Sun Oil Exports'!F$103</f>
        <v>0</v>
      </c>
      <c r="BM9" s="141">
        <f>'[2]Russia Sun Oil Exports'!G$103</f>
        <v>0</v>
      </c>
      <c r="BN9" s="141">
        <f>'[2]Russia Sun Oil Exports'!H$103</f>
        <v>0</v>
      </c>
      <c r="BO9" s="141">
        <f>'[2]Russia Sun Oil Exports'!I$103</f>
        <v>0</v>
      </c>
      <c r="BP9" s="141">
        <f>'[2]Russia Sun Oil Exports'!J$103</f>
        <v>0</v>
      </c>
      <c r="BQ9" s="141">
        <f>'[2]Russia Sun Oil Exports'!K$103</f>
        <v>0</v>
      </c>
      <c r="BR9" s="141">
        <f>'[2]Russia Sun Oil Exports'!L$103</f>
        <v>0</v>
      </c>
      <c r="BS9" s="141">
        <f>'[2]Russia Sun Oil Exports'!M$103</f>
        <v>0</v>
      </c>
      <c r="BT9" s="141">
        <f>'[2]Russia Sun Oil Exports'!N$103</f>
        <v>0</v>
      </c>
      <c r="BU9" s="141">
        <f>'[2]Russia Sun Oil Exports'!O$103</f>
        <v>0</v>
      </c>
      <c r="BV9" s="141">
        <f>'[2]Russia Sun Oil Exports'!P$103</f>
        <v>0</v>
      </c>
      <c r="BW9" s="141">
        <f>'[2]Russia Sun Oil Exports'!Q$103</f>
        <v>0</v>
      </c>
      <c r="BX9" s="141">
        <f>'[2]Russia Sun Oil Exports'!R$103</f>
        <v>0</v>
      </c>
      <c r="BY9" s="141">
        <f>'[2]Russia Sun Oil Exports'!S$103</f>
        <v>0</v>
      </c>
      <c r="BZ9" s="141">
        <f>'[2]Russia Sun Oil Exports'!T$103</f>
        <v>0</v>
      </c>
      <c r="CA9" s="141">
        <f>'[2]Russia Sun Oil Exports'!U$103</f>
        <v>0</v>
      </c>
      <c r="CB9" s="141">
        <f>'[2]Russia Sun Oil Exports'!V$103</f>
        <v>0</v>
      </c>
      <c r="CC9" s="141">
        <f>'[2]Russia Sun Oil Exports'!W$103</f>
        <v>0</v>
      </c>
      <c r="CD9" s="141">
        <f>'[2]Russia Sun Oil Exports'!X$103</f>
        <v>0</v>
      </c>
      <c r="CE9" s="141">
        <f>'[2]Russia Sun Oil Exports'!Y$103</f>
        <v>4.2720000000000001E-2</v>
      </c>
      <c r="CF9" s="141">
        <f>'[2]Russia Sun Oil Exports'!Z$103</f>
        <v>0</v>
      </c>
      <c r="CG9" s="147">
        <f>'[2]Russia Sun Oil Exports'!AA$103</f>
        <v>0</v>
      </c>
      <c r="CH9" s="141">
        <f>'[2]Russia Sun Oil Exports'!AB$103</f>
        <v>0</v>
      </c>
      <c r="CI9" s="141">
        <f>'[2]Russia Sun Oil Exports'!AC$103</f>
        <v>2.5458999999999999E-2</v>
      </c>
      <c r="CJ9" s="143">
        <f>'[2]Russia Sun Oil Exports'!AD$103</f>
        <v>0.63778000000000001</v>
      </c>
      <c r="CK9" s="141">
        <f>'[3]Sunflower Oil Exports'!B$103/2204.622*1000</f>
        <v>3.9000000000000007E-3</v>
      </c>
      <c r="CL9" s="141">
        <f>'[3]Sunflower Oil Exports'!C$103/2204.622*1000</f>
        <v>0</v>
      </c>
      <c r="CM9" s="141">
        <f>'[3]Sunflower Oil Exports'!D$103/2204.622*1000</f>
        <v>0</v>
      </c>
      <c r="CN9" s="141">
        <f>'[3]Sunflower Oil Exports'!E$103/2204.622*1000</f>
        <v>0</v>
      </c>
      <c r="CO9" s="141">
        <f>'[3]Sunflower Oil Exports'!F$103/2204.622*1000</f>
        <v>0</v>
      </c>
      <c r="CP9" s="141">
        <f>'[3]Sunflower Oil Exports'!G$103/2204.622*1000</f>
        <v>0</v>
      </c>
      <c r="CQ9" s="141">
        <f>'[3]Sunflower Oil Exports'!H$103/2204.622*1000</f>
        <v>0</v>
      </c>
      <c r="CR9" s="141">
        <f>'[3]Sunflower Oil Exports'!I$103/2204.622*1000</f>
        <v>0</v>
      </c>
      <c r="CS9" s="141">
        <f>'[3]Sunflower Oil Exports'!J$103/2204.622*1000</f>
        <v>2.5000000000000001E-3</v>
      </c>
      <c r="CT9" s="141">
        <f>'[3]Sunflower Oil Exports'!K$103/2204.622*1000</f>
        <v>0</v>
      </c>
      <c r="CU9" s="141">
        <f>'[3]Sunflower Oil Exports'!L$103/2204.622*1000</f>
        <v>2.0000000000000005E-3</v>
      </c>
      <c r="CV9" s="141">
        <f>'[3]Sunflower Oil Exports'!M$103/2204.622*1000</f>
        <v>0</v>
      </c>
      <c r="CW9" s="141">
        <f>'[3]Sunflower Oil Exports'!N$103/2204.622*1000</f>
        <v>0</v>
      </c>
      <c r="CX9" s="141">
        <f>'[3]Sunflower Oil Exports'!O$103/2204.622*1000</f>
        <v>0</v>
      </c>
      <c r="CY9" s="141">
        <f>'[3]Sunflower Oil Exports'!P$103/2204.622*1000</f>
        <v>0</v>
      </c>
      <c r="CZ9" s="141">
        <f>'[3]Sunflower Oil Exports'!Q$103/2204.622*1000</f>
        <v>0</v>
      </c>
      <c r="DA9" s="141">
        <f>'[3]Sunflower Oil Exports'!R$103/2204.622*1000</f>
        <v>0</v>
      </c>
      <c r="DB9" s="141">
        <f>'[3]Sunflower Oil Exports'!S$103/2204.622*1000</f>
        <v>1.04E-2</v>
      </c>
      <c r="DC9" s="141">
        <f>'[3]Sunflower Oil Exports'!T$103/2204.622*1000</f>
        <v>3.7200000000000004E-2</v>
      </c>
      <c r="DD9" s="141">
        <f>'[3]Sunflower Oil Exports'!U$103/2204.622*1000</f>
        <v>1.1000000000000001E-3</v>
      </c>
      <c r="DE9" s="141">
        <f>'[3]Sunflower Oil Exports'!V$103/2204.622*1000</f>
        <v>2.3100000000000002E-2</v>
      </c>
      <c r="DF9" s="141">
        <f>'[3]Sunflower Oil Exports'!W$103/2204.622*1000</f>
        <v>4.6400000000000004E-2</v>
      </c>
      <c r="DG9" s="141">
        <f>'[3]Sunflower Oil Exports'!X$103/2204.622*1000</f>
        <v>3.7900000000000003E-2</v>
      </c>
      <c r="DH9" s="141">
        <f>'[3]Sunflower Oil Exports'!Y$103/2204.622*1000</f>
        <v>5.6903990289491807E-2</v>
      </c>
      <c r="DI9" s="141">
        <f>'[3]Sunflower Oil Exports'!Z$103/2204.622*1000</f>
        <v>2.9741973018503853E-2</v>
      </c>
      <c r="DJ9" s="141">
        <f>'[3]Sunflower Oil Exports'!AA$103/2204.622*1000</f>
        <v>7.9823927584864895E-2</v>
      </c>
      <c r="DK9" s="141">
        <f>'[3]Sunflower Oil Exports'!AB$103/2204.622*1000</f>
        <v>9.5666913212333018E-2</v>
      </c>
      <c r="DL9" s="141">
        <f>'[3]Sunflower Oil Exports'!AC$103/2204.622*1000</f>
        <v>0.18812690048452754</v>
      </c>
      <c r="DM9" s="143">
        <f>'[3]Sunflower Oil Exports'!AD$103/2204.622*1000</f>
        <v>0</v>
      </c>
      <c r="DN9" s="141">
        <f t="shared" si="3"/>
        <v>3.9000000000000007E-3</v>
      </c>
      <c r="DO9" s="141">
        <f t="shared" si="3"/>
        <v>0</v>
      </c>
      <c r="DP9" s="141">
        <f t="shared" si="3"/>
        <v>0</v>
      </c>
      <c r="DQ9" s="141">
        <f t="shared" si="3"/>
        <v>3.6000000000000004E-2</v>
      </c>
      <c r="DR9" s="141">
        <f t="shared" si="3"/>
        <v>3.6000000000000004E-2</v>
      </c>
      <c r="DS9" s="141">
        <f t="shared" si="3"/>
        <v>3.6000000000000004E-2</v>
      </c>
      <c r="DT9" s="141">
        <f t="shared" si="3"/>
        <v>7.0999999999999994E-2</v>
      </c>
      <c r="DU9" s="141">
        <f t="shared" si="3"/>
        <v>8.1000000000000003E-2</v>
      </c>
      <c r="DV9" s="141">
        <f t="shared" si="3"/>
        <v>4.3500000000000004E-2</v>
      </c>
      <c r="DW9" s="141">
        <f t="shared" si="3"/>
        <v>9.1000000000000011E-2</v>
      </c>
      <c r="DX9" s="141">
        <f t="shared" si="3"/>
        <v>4.0999999999999995E-2</v>
      </c>
      <c r="DY9" s="141">
        <f t="shared" si="3"/>
        <v>7.8000000000000014E-2</v>
      </c>
      <c r="DZ9" s="141">
        <f t="shared" si="3"/>
        <v>0.15300000000000002</v>
      </c>
      <c r="EA9" s="141">
        <f t="shared" si="3"/>
        <v>6.6000000000000017E-2</v>
      </c>
      <c r="EB9" s="141">
        <f t="shared" si="3"/>
        <v>0.26100000000000001</v>
      </c>
      <c r="EC9" s="141">
        <f t="shared" si="3"/>
        <v>0.154</v>
      </c>
      <c r="ED9" s="141">
        <f t="shared" si="4"/>
        <v>0.18600000000000003</v>
      </c>
      <c r="EE9" s="141">
        <f t="shared" si="4"/>
        <v>0.21340000000000001</v>
      </c>
      <c r="EF9" s="141">
        <f t="shared" si="4"/>
        <v>0.68219999999999992</v>
      </c>
      <c r="EG9" s="141">
        <f t="shared" si="4"/>
        <v>0.45510000000000006</v>
      </c>
      <c r="EH9" s="141">
        <f t="shared" si="4"/>
        <v>1.1580999999999999</v>
      </c>
      <c r="EI9" s="141">
        <f t="shared" si="4"/>
        <v>1.5463999999999998</v>
      </c>
      <c r="EJ9" s="141">
        <f t="shared" si="4"/>
        <v>1.9619</v>
      </c>
      <c r="EK9" s="141">
        <f t="shared" si="4"/>
        <v>1.4303239902894918</v>
      </c>
      <c r="EL9" s="141">
        <f t="shared" si="4"/>
        <v>3.2077839730185045</v>
      </c>
      <c r="EM9" s="147">
        <f t="shared" si="4"/>
        <v>4.1011839275848647</v>
      </c>
      <c r="EN9" s="141">
        <f t="shared" si="4"/>
        <v>4.1162269132123326</v>
      </c>
      <c r="EO9" s="141">
        <f>SUM(AC9,BF9,CI9,DL9)</f>
        <v>3.4440059004845271</v>
      </c>
      <c r="EP9" s="145">
        <f t="shared" ref="EP9:EP20" si="7">SUM(AD9,BG9,CJ9,DM9)</f>
        <v>2.5327799999999998</v>
      </c>
      <c r="EQ9" s="145">
        <v>5</v>
      </c>
      <c r="ES9" s="145">
        <f t="shared" si="5"/>
        <v>0</v>
      </c>
      <c r="ET9" s="145">
        <f t="shared" si="6"/>
        <v>0</v>
      </c>
      <c r="EU9" s="145"/>
    </row>
    <row r="10" spans="1:151">
      <c r="A10" s="193" t="s">
        <v>140</v>
      </c>
      <c r="B10" s="141">
        <f>'[2]EU Sun Oil Exports'!B$104</f>
        <v>0</v>
      </c>
      <c r="C10" s="141">
        <f>'[2]EU Sun Oil Exports'!C$104</f>
        <v>0</v>
      </c>
      <c r="D10" s="141">
        <f>'[2]EU Sun Oil Exports'!D$104</f>
        <v>0</v>
      </c>
      <c r="E10" s="141">
        <f>'[2]EU Sun Oil Exports'!E$104</f>
        <v>0</v>
      </c>
      <c r="F10" s="141">
        <f>'[2]EU Sun Oil Exports'!F$104</f>
        <v>0</v>
      </c>
      <c r="G10" s="141">
        <f>'[2]EU Sun Oil Exports'!G$104</f>
        <v>0</v>
      </c>
      <c r="H10" s="141">
        <f>'[2]EU Sun Oil Exports'!H$104</f>
        <v>2.5999999999999999E-2</v>
      </c>
      <c r="I10" s="141">
        <f>'[2]EU Sun Oil Exports'!I$104</f>
        <v>3.5999999999999997E-2</v>
      </c>
      <c r="J10" s="141">
        <f>'[2]EU Sun Oil Exports'!J$104</f>
        <v>3.7999999999999999E-2</v>
      </c>
      <c r="K10" s="141">
        <f>'[2]EU Sun Oil Exports'!K$104</f>
        <v>5.6999999999999995E-2</v>
      </c>
      <c r="L10" s="141">
        <f>'[2]EU Sun Oil Exports'!L$104</f>
        <v>4.0000000000000001E-3</v>
      </c>
      <c r="M10" s="141">
        <f>'[2]EU Sun Oil Exports'!M$104</f>
        <v>1.3000000000000001E-2</v>
      </c>
      <c r="N10" s="141">
        <f>'[2]EU Sun Oil Exports'!N$104</f>
        <v>0.15000000000000002</v>
      </c>
      <c r="O10" s="141">
        <f>'[2]EU Sun Oil Exports'!O$104</f>
        <v>0.58699999999999997</v>
      </c>
      <c r="P10" s="141">
        <f>'[2]EU Sun Oil Exports'!P$104</f>
        <v>0.01</v>
      </c>
      <c r="Q10" s="141">
        <f>'[2]EU Sun Oil Exports'!Q$104</f>
        <v>0.84</v>
      </c>
      <c r="R10" s="141">
        <f>'[2]EU Sun Oil Exports'!R$104</f>
        <v>4.0000000000000001E-3</v>
      </c>
      <c r="S10" s="141">
        <f>'[2]EU Sun Oil Exports'!S$104</f>
        <v>9.0000000000000011E-3</v>
      </c>
      <c r="T10" s="141">
        <f>'[2]EU Sun Oil Exports'!T$104</f>
        <v>1.0639999999999998</v>
      </c>
      <c r="U10" s="141">
        <f>'[2]EU Sun Oil Exports'!U$104</f>
        <v>2E-3</v>
      </c>
      <c r="V10" s="141">
        <f>'[2]EU Sun Oil Exports'!V$104</f>
        <v>4.9000000000000002E-2</v>
      </c>
      <c r="W10" s="141">
        <f>'[2]EU Sun Oil Exports'!W$104</f>
        <v>0.15099999999999997</v>
      </c>
      <c r="X10" s="141">
        <f>'[2]EU Sun Oil Exports'!X$104</f>
        <v>9.8000000000000004E-2</v>
      </c>
      <c r="Y10" s="141">
        <f>'[2]EU Sun Oil Exports'!Y$104</f>
        <v>3.7000000000000005E-2</v>
      </c>
      <c r="Z10" s="141">
        <f>'[2]EU Sun Oil Exports'!Z$104</f>
        <v>14.024000000000001</v>
      </c>
      <c r="AA10" s="141">
        <f>'[2]EU Sun Oil Exports'!AA$104</f>
        <v>5.8809999999999993</v>
      </c>
      <c r="AB10" s="141">
        <f>'[2]EU Sun Oil Exports'!AB$104</f>
        <v>5.0000000000000001E-3</v>
      </c>
      <c r="AC10" s="141">
        <f>'[2]EU Sun Oil Exports'!AC$104</f>
        <v>0</v>
      </c>
      <c r="AD10" s="143">
        <f>'[2]EU Sun Oil Exports'!AD$104</f>
        <v>18.849000000000004</v>
      </c>
      <c r="AE10" s="141">
        <f>'[2]Ukraine Sun Oil Exports'!B$104</f>
        <v>0</v>
      </c>
      <c r="AF10" s="141">
        <f>'[2]Ukraine Sun Oil Exports'!C$104</f>
        <v>0</v>
      </c>
      <c r="AG10" s="141">
        <f>'[2]Ukraine Sun Oil Exports'!D$104</f>
        <v>0</v>
      </c>
      <c r="AH10" s="141">
        <f>'[2]Ukraine Sun Oil Exports'!E$104</f>
        <v>0</v>
      </c>
      <c r="AI10" s="141">
        <f>'[2]Ukraine Sun Oil Exports'!F$104</f>
        <v>0</v>
      </c>
      <c r="AJ10" s="141">
        <f>'[2]Ukraine Sun Oil Exports'!G$104</f>
        <v>0</v>
      </c>
      <c r="AK10" s="141">
        <f>'[2]Ukraine Sun Oil Exports'!H$104</f>
        <v>0</v>
      </c>
      <c r="AL10" s="141">
        <f>'[2]Ukraine Sun Oil Exports'!I$104</f>
        <v>0</v>
      </c>
      <c r="AM10" s="141">
        <f>'[2]Ukraine Sun Oil Exports'!J$104</f>
        <v>0</v>
      </c>
      <c r="AN10" s="141">
        <f>'[2]Ukraine Sun Oil Exports'!K$104</f>
        <v>1.95</v>
      </c>
      <c r="AO10" s="141">
        <f>'[2]Ukraine Sun Oil Exports'!L$104</f>
        <v>0</v>
      </c>
      <c r="AP10" s="141">
        <f>'[2]Ukraine Sun Oil Exports'!M$104</f>
        <v>32.308999999999997</v>
      </c>
      <c r="AQ10" s="141">
        <f>'[2]Ukraine Sun Oil Exports'!N$104</f>
        <v>85.098000000000013</v>
      </c>
      <c r="AR10" s="141">
        <f>'[2]Ukraine Sun Oil Exports'!O$104</f>
        <v>123.736</v>
      </c>
      <c r="AS10" s="141">
        <f>'[2]Ukraine Sun Oil Exports'!P$104</f>
        <v>13</v>
      </c>
      <c r="AT10" s="141">
        <f>'[2]Ukraine Sun Oil Exports'!Q$104</f>
        <v>121.599</v>
      </c>
      <c r="AU10" s="141">
        <f>'[2]Ukraine Sun Oil Exports'!R$104</f>
        <v>112.91100000000002</v>
      </c>
      <c r="AV10" s="141">
        <f>'[2]Ukraine Sun Oil Exports'!S$104</f>
        <v>33.584000000000003</v>
      </c>
      <c r="AW10" s="141">
        <f>'[2]Ukraine Sun Oil Exports'!T$104</f>
        <v>233.39400000000001</v>
      </c>
      <c r="AX10" s="141">
        <f>'[2]Ukraine Sun Oil Exports'!U$104</f>
        <v>160.49</v>
      </c>
      <c r="AY10" s="141">
        <f>'[2]Ukraine Sun Oil Exports'!V$104</f>
        <v>260.346</v>
      </c>
      <c r="AZ10" s="141">
        <f>'[2]Ukraine Sun Oil Exports'!W$104</f>
        <v>259.99099999999999</v>
      </c>
      <c r="BA10" s="141">
        <f>'[2]Ukraine Sun Oil Exports'!X$104</f>
        <v>167.05799999999999</v>
      </c>
      <c r="BB10" s="141">
        <f>'[2]Ukraine Sun Oil Exports'!Y$104</f>
        <v>337.23199999999997</v>
      </c>
      <c r="BC10" s="141">
        <f>'[2]Ukraine Sun Oil Exports'!Z$104</f>
        <v>143.79351</v>
      </c>
      <c r="BD10" s="141">
        <f>'[2]Ukraine Sun Oil Exports'!AA$104</f>
        <v>41.928061</v>
      </c>
      <c r="BE10" s="141">
        <f>'[2]Ukraine Sun Oil Exports'!AB$104</f>
        <v>30</v>
      </c>
      <c r="BF10" s="141">
        <f>'[2]Ukraine Sun Oil Exports'!AC$104</f>
        <v>32.099999999999994</v>
      </c>
      <c r="BG10" s="141">
        <f>'[2]Ukraine Sun Oil Exports'!AD$104</f>
        <v>47.903999999999996</v>
      </c>
      <c r="BH10" s="141">
        <f>'[2]Russia Sun Oil Exports'!B$104</f>
        <v>0</v>
      </c>
      <c r="BI10" s="141">
        <f>'[2]Russia Sun Oil Exports'!C$104</f>
        <v>0</v>
      </c>
      <c r="BJ10" s="141">
        <f>'[2]Russia Sun Oil Exports'!D$104</f>
        <v>0</v>
      </c>
      <c r="BK10" s="141">
        <f>'[2]Russia Sun Oil Exports'!E$104</f>
        <v>0</v>
      </c>
      <c r="BL10" s="141">
        <f>'[2]Russia Sun Oil Exports'!F$104</f>
        <v>0</v>
      </c>
      <c r="BM10" s="141">
        <f>'[2]Russia Sun Oil Exports'!G$104</f>
        <v>0</v>
      </c>
      <c r="BN10" s="141">
        <f>'[2]Russia Sun Oil Exports'!H$104</f>
        <v>0</v>
      </c>
      <c r="BO10" s="141">
        <f>'[2]Russia Sun Oil Exports'!I$104</f>
        <v>0</v>
      </c>
      <c r="BP10" s="141">
        <f>'[2]Russia Sun Oil Exports'!J$104</f>
        <v>0</v>
      </c>
      <c r="BQ10" s="141">
        <f>'[2]Russia Sun Oil Exports'!K$104</f>
        <v>0</v>
      </c>
      <c r="BR10" s="141">
        <f>'[2]Russia Sun Oil Exports'!L$104</f>
        <v>0</v>
      </c>
      <c r="BS10" s="141">
        <f>'[2]Russia Sun Oil Exports'!M$104</f>
        <v>0</v>
      </c>
      <c r="BT10" s="141">
        <f>'[2]Russia Sun Oil Exports'!N$104</f>
        <v>15.655999999999999</v>
      </c>
      <c r="BU10" s="141">
        <f>'[2]Russia Sun Oil Exports'!O$104</f>
        <v>80.28</v>
      </c>
      <c r="BV10" s="141">
        <f>'[2]Russia Sun Oil Exports'!P$104</f>
        <v>3.0070000000000001</v>
      </c>
      <c r="BW10" s="141">
        <f>'[2]Russia Sun Oil Exports'!Q$104</f>
        <v>35.704000000000001</v>
      </c>
      <c r="BX10" s="141">
        <f>'[2]Russia Sun Oil Exports'!R$104</f>
        <v>26.044999999999998</v>
      </c>
      <c r="BY10" s="141">
        <f>'[2]Russia Sun Oil Exports'!S$104</f>
        <v>0</v>
      </c>
      <c r="BZ10" s="141">
        <f>'[2]Russia Sun Oil Exports'!T$104</f>
        <v>26.411000000000001</v>
      </c>
      <c r="CA10" s="141">
        <f>'[2]Russia Sun Oil Exports'!U$104</f>
        <v>18.820999999999998</v>
      </c>
      <c r="CB10" s="141">
        <f>'[2]Russia Sun Oil Exports'!V$104</f>
        <v>58.946999999999996</v>
      </c>
      <c r="CC10" s="141">
        <f>'[2]Russia Sun Oil Exports'!W$104</f>
        <v>41.298999999999999</v>
      </c>
      <c r="CD10" s="141">
        <f>'[2]Russia Sun Oil Exports'!X$104</f>
        <v>53.03</v>
      </c>
      <c r="CE10" s="141">
        <f>'[2]Russia Sun Oil Exports'!Y$104</f>
        <v>208.85631800000002</v>
      </c>
      <c r="CF10" s="141">
        <f>'[2]Russia Sun Oil Exports'!Z$104</f>
        <v>220.26260100000002</v>
      </c>
      <c r="CG10" s="147">
        <f>'[2]Russia Sun Oil Exports'!AA$104</f>
        <v>640.44982200000004</v>
      </c>
      <c r="CH10" s="141">
        <f>'[2]Russia Sun Oil Exports'!AB$104</f>
        <v>0</v>
      </c>
      <c r="CI10" s="141">
        <f>'[2]Russia Sun Oil Exports'!AC$104</f>
        <v>0</v>
      </c>
      <c r="CJ10" s="143">
        <f>'[2]Russia Sun Oil Exports'!AD$104</f>
        <v>0</v>
      </c>
      <c r="CK10" s="141">
        <f>'[3]Sunflower Oil Exports'!B$104/2204.622*1000</f>
        <v>0.19090000000000004</v>
      </c>
      <c r="CL10" s="141">
        <f>'[3]Sunflower Oil Exports'!C$104/2204.622*1000</f>
        <v>35</v>
      </c>
      <c r="CM10" s="141">
        <f>'[3]Sunflower Oil Exports'!D$104/2204.622*1000</f>
        <v>0</v>
      </c>
      <c r="CN10" s="141">
        <f>'[3]Sunflower Oil Exports'!E$104/2204.622*1000</f>
        <v>0</v>
      </c>
      <c r="CO10" s="141">
        <f>'[3]Sunflower Oil Exports'!F$104/2204.622*1000</f>
        <v>0</v>
      </c>
      <c r="CP10" s="141">
        <f>'[3]Sunflower Oil Exports'!G$104/2204.622*1000</f>
        <v>0</v>
      </c>
      <c r="CQ10" s="141">
        <f>'[3]Sunflower Oil Exports'!H$104/2204.622*1000</f>
        <v>0</v>
      </c>
      <c r="CR10" s="141">
        <f>'[3]Sunflower Oil Exports'!I$104/2204.622*1000</f>
        <v>0</v>
      </c>
      <c r="CS10" s="141">
        <f>'[3]Sunflower Oil Exports'!J$104/2204.622*1000</f>
        <v>0</v>
      </c>
      <c r="CT10" s="141">
        <f>'[3]Sunflower Oil Exports'!K$104/2204.622*1000</f>
        <v>0</v>
      </c>
      <c r="CU10" s="141">
        <f>'[3]Sunflower Oil Exports'!L$104/2204.622*1000</f>
        <v>0</v>
      </c>
      <c r="CV10" s="141">
        <f>'[3]Sunflower Oil Exports'!M$104/2204.622*1000</f>
        <v>0</v>
      </c>
      <c r="CW10" s="141">
        <f>'[3]Sunflower Oil Exports'!N$104/2204.622*1000</f>
        <v>0</v>
      </c>
      <c r="CX10" s="141">
        <f>'[3]Sunflower Oil Exports'!O$104/2204.622*1000</f>
        <v>0</v>
      </c>
      <c r="CY10" s="141">
        <f>'[3]Sunflower Oil Exports'!P$104/2204.622*1000</f>
        <v>0</v>
      </c>
      <c r="CZ10" s="141">
        <f>'[3]Sunflower Oil Exports'!Q$104/2204.622*1000</f>
        <v>0</v>
      </c>
      <c r="DA10" s="141">
        <f>'[3]Sunflower Oil Exports'!R$104/2204.622*1000</f>
        <v>0</v>
      </c>
      <c r="DB10" s="141">
        <f>'[3]Sunflower Oil Exports'!S$104/2204.622*1000</f>
        <v>0</v>
      </c>
      <c r="DC10" s="141">
        <f>'[3]Sunflower Oil Exports'!T$104/2204.622*1000</f>
        <v>0</v>
      </c>
      <c r="DD10" s="141">
        <f>'[3]Sunflower Oil Exports'!U$104/2204.622*1000</f>
        <v>0</v>
      </c>
      <c r="DE10" s="141">
        <f>'[3]Sunflower Oil Exports'!V$104/2204.622*1000</f>
        <v>0</v>
      </c>
      <c r="DF10" s="141">
        <f>'[3]Sunflower Oil Exports'!W$104/2204.622*1000</f>
        <v>0</v>
      </c>
      <c r="DG10" s="141">
        <f>'[3]Sunflower Oil Exports'!X$104/2204.622*1000</f>
        <v>0</v>
      </c>
      <c r="DH10" s="141">
        <f>'[3]Sunflower Oil Exports'!Y$104/2204.622*1000</f>
        <v>0</v>
      </c>
      <c r="DI10" s="141">
        <f>'[3]Sunflower Oil Exports'!Z$104/2204.622*1000</f>
        <v>0</v>
      </c>
      <c r="DJ10" s="141">
        <f>'[3]Sunflower Oil Exports'!AA$104/2204.622*1000</f>
        <v>0</v>
      </c>
      <c r="DK10" s="141">
        <f>'[3]Sunflower Oil Exports'!AB$104/2204.622*1000</f>
        <v>0</v>
      </c>
      <c r="DL10" s="141">
        <f>'[3]Sunflower Oil Exports'!AC$104/2204.622*1000</f>
        <v>0</v>
      </c>
      <c r="DM10" s="143">
        <f>'[3]Sunflower Oil Exports'!AD$104/2204.622*1000</f>
        <v>0</v>
      </c>
      <c r="DN10" s="141">
        <f t="shared" si="3"/>
        <v>0.19090000000000004</v>
      </c>
      <c r="DO10" s="141">
        <f t="shared" si="3"/>
        <v>35</v>
      </c>
      <c r="DP10" s="141">
        <f t="shared" si="3"/>
        <v>0</v>
      </c>
      <c r="DQ10" s="141">
        <f t="shared" si="3"/>
        <v>0</v>
      </c>
      <c r="DR10" s="141">
        <f t="shared" si="3"/>
        <v>0</v>
      </c>
      <c r="DS10" s="141">
        <f t="shared" si="3"/>
        <v>0</v>
      </c>
      <c r="DT10" s="141">
        <f t="shared" si="3"/>
        <v>2.5999999999999999E-2</v>
      </c>
      <c r="DU10" s="141">
        <f t="shared" si="3"/>
        <v>3.5999999999999997E-2</v>
      </c>
      <c r="DV10" s="141">
        <f t="shared" si="3"/>
        <v>3.7999999999999999E-2</v>
      </c>
      <c r="DW10" s="141">
        <f t="shared" si="3"/>
        <v>2.0070000000000001</v>
      </c>
      <c r="DX10" s="141">
        <f t="shared" si="3"/>
        <v>4.0000000000000001E-3</v>
      </c>
      <c r="DY10" s="141">
        <f t="shared" si="3"/>
        <v>32.321999999999996</v>
      </c>
      <c r="DZ10" s="141">
        <f t="shared" si="3"/>
        <v>100.90400000000002</v>
      </c>
      <c r="EA10" s="141">
        <f t="shared" si="3"/>
        <v>204.60300000000001</v>
      </c>
      <c r="EB10" s="141">
        <f t="shared" si="3"/>
        <v>16.016999999999999</v>
      </c>
      <c r="EC10" s="141">
        <f t="shared" si="3"/>
        <v>158.143</v>
      </c>
      <c r="ED10" s="141">
        <f t="shared" si="4"/>
        <v>138.96</v>
      </c>
      <c r="EE10" s="141">
        <f t="shared" si="4"/>
        <v>33.593000000000004</v>
      </c>
      <c r="EF10" s="141">
        <f t="shared" si="4"/>
        <v>260.86900000000003</v>
      </c>
      <c r="EG10" s="141">
        <f t="shared" si="4"/>
        <v>179.31300000000002</v>
      </c>
      <c r="EH10" s="141">
        <f t="shared" si="4"/>
        <v>319.34199999999998</v>
      </c>
      <c r="EI10" s="141">
        <f t="shared" si="4"/>
        <v>301.44099999999997</v>
      </c>
      <c r="EJ10" s="141">
        <f t="shared" si="4"/>
        <v>220.18600000000001</v>
      </c>
      <c r="EK10" s="141">
        <f t="shared" si="4"/>
        <v>546.12531799999999</v>
      </c>
      <c r="EL10" s="141">
        <f t="shared" si="4"/>
        <v>378.08011099999999</v>
      </c>
      <c r="EM10" s="147">
        <f t="shared" si="4"/>
        <v>688.25888300000008</v>
      </c>
      <c r="EN10" s="141">
        <f t="shared" si="4"/>
        <v>30.004999999999999</v>
      </c>
      <c r="EO10" s="141">
        <f>SUM(AC10,BF10,CI10,DL10)</f>
        <v>32.099999999999994</v>
      </c>
      <c r="EP10" s="145">
        <f t="shared" si="7"/>
        <v>66.753</v>
      </c>
      <c r="EQ10" s="145">
        <v>50</v>
      </c>
      <c r="ES10" s="145">
        <f t="shared" si="5"/>
        <v>0</v>
      </c>
      <c r="ET10" s="145">
        <f t="shared" si="6"/>
        <v>0</v>
      </c>
      <c r="EU10" s="145"/>
    </row>
    <row r="11" spans="1:151">
      <c r="A11" s="193" t="s">
        <v>141</v>
      </c>
      <c r="B11" s="141">
        <f>'[2]EU Sun Oil Exports'!B$107</f>
        <v>0</v>
      </c>
      <c r="C11" s="141">
        <f>'[2]EU Sun Oil Exports'!C$107</f>
        <v>0</v>
      </c>
      <c r="D11" s="141">
        <f>'[2]EU Sun Oil Exports'!D$107</f>
        <v>0</v>
      </c>
      <c r="E11" s="141">
        <f>'[2]EU Sun Oil Exports'!E$107</f>
        <v>2.4440000000000004</v>
      </c>
      <c r="F11" s="141">
        <f>'[2]EU Sun Oil Exports'!F$107</f>
        <v>0.29600000000000004</v>
      </c>
      <c r="G11" s="141">
        <f>'[2]EU Sun Oil Exports'!G$107</f>
        <v>0.29300000000000004</v>
      </c>
      <c r="H11" s="141">
        <f>'[2]EU Sun Oil Exports'!H$107</f>
        <v>0.88400000000000001</v>
      </c>
      <c r="I11" s="141">
        <f>'[2]EU Sun Oil Exports'!I$107</f>
        <v>1.448</v>
      </c>
      <c r="J11" s="141">
        <f>'[2]EU Sun Oil Exports'!J$107</f>
        <v>0.58199999999999985</v>
      </c>
      <c r="K11" s="141">
        <f>'[2]EU Sun Oil Exports'!K$107</f>
        <v>2.0249999999999999</v>
      </c>
      <c r="L11" s="141">
        <f>'[2]EU Sun Oil Exports'!L$107</f>
        <v>0.16200000000000003</v>
      </c>
      <c r="M11" s="141">
        <f>'[2]EU Sun Oil Exports'!M$107</f>
        <v>0.253</v>
      </c>
      <c r="N11" s="141">
        <f>'[2]EU Sun Oil Exports'!N$107</f>
        <v>0.57400000000000007</v>
      </c>
      <c r="O11" s="141">
        <f>'[2]EU Sun Oil Exports'!O$107</f>
        <v>0.67800000000000005</v>
      </c>
      <c r="P11" s="141">
        <f>'[2]EU Sun Oil Exports'!P$107</f>
        <v>0.81200000000000028</v>
      </c>
      <c r="Q11" s="141">
        <f>'[2]EU Sun Oil Exports'!Q$107</f>
        <v>1.8110000000000002</v>
      </c>
      <c r="R11" s="141">
        <f>'[2]EU Sun Oil Exports'!R$107</f>
        <v>2.7490000000000001</v>
      </c>
      <c r="S11" s="141">
        <f>'[2]EU Sun Oil Exports'!S$107</f>
        <v>2.3270000000000004</v>
      </c>
      <c r="T11" s="141">
        <f>'[2]EU Sun Oil Exports'!T$107</f>
        <v>3.7839999999999998</v>
      </c>
      <c r="U11" s="141">
        <f>'[2]EU Sun Oil Exports'!U$107</f>
        <v>3.9549999999999996</v>
      </c>
      <c r="V11" s="141">
        <f>'[2]EU Sun Oil Exports'!V$107</f>
        <v>5.3640000000000017</v>
      </c>
      <c r="W11" s="141">
        <f>'[2]EU Sun Oil Exports'!W$107</f>
        <v>7.4090000000000007</v>
      </c>
      <c r="X11" s="141">
        <f>'[2]EU Sun Oil Exports'!X$107</f>
        <v>6.9030000000000005</v>
      </c>
      <c r="Y11" s="141">
        <f>'[2]EU Sun Oil Exports'!Y$107</f>
        <v>6.6769999999999996</v>
      </c>
      <c r="Z11" s="141">
        <f>'[2]EU Sun Oil Exports'!Z$107</f>
        <v>7.2969999999999997</v>
      </c>
      <c r="AA11" s="141">
        <f>'[2]EU Sun Oil Exports'!AA$107</f>
        <v>8.1110000000000007</v>
      </c>
      <c r="AB11" s="141">
        <f>'[2]EU Sun Oil Exports'!AB$107</f>
        <v>9.1690000000000005</v>
      </c>
      <c r="AC11" s="141">
        <f>'[2]EU Sun Oil Exports'!AC$107</f>
        <v>10.470000000000002</v>
      </c>
      <c r="AD11" s="143">
        <f>'[2]EU Sun Oil Exports'!AD$107</f>
        <v>10.392813</v>
      </c>
      <c r="AE11" s="141">
        <f>'[2]Ukraine Sun Oil Exports'!B$107</f>
        <v>0</v>
      </c>
      <c r="AF11" s="141">
        <f>'[2]Ukraine Sun Oil Exports'!C$107</f>
        <v>0</v>
      </c>
      <c r="AG11" s="141">
        <f>'[2]Ukraine Sun Oil Exports'!D$107</f>
        <v>0</v>
      </c>
      <c r="AH11" s="141">
        <f>'[2]Ukraine Sun Oil Exports'!E$107</f>
        <v>0</v>
      </c>
      <c r="AI11" s="141">
        <f>'[2]Ukraine Sun Oil Exports'!F$107</f>
        <v>0</v>
      </c>
      <c r="AJ11" s="141">
        <f>'[2]Ukraine Sun Oil Exports'!G$107</f>
        <v>0</v>
      </c>
      <c r="AK11" s="141">
        <f>'[2]Ukraine Sun Oil Exports'!H$107</f>
        <v>0</v>
      </c>
      <c r="AL11" s="141">
        <f>'[2]Ukraine Sun Oil Exports'!I$107</f>
        <v>0</v>
      </c>
      <c r="AM11" s="141">
        <f>'[2]Ukraine Sun Oil Exports'!J$107</f>
        <v>2.2762150000000002E-2</v>
      </c>
      <c r="AN11" s="141">
        <f>'[2]Ukraine Sun Oil Exports'!K$107</f>
        <v>1.3999999999999999E-2</v>
      </c>
      <c r="AO11" s="141">
        <f>'[2]Ukraine Sun Oil Exports'!L$107</f>
        <v>4.2999999999999997E-2</v>
      </c>
      <c r="AP11" s="141">
        <f>'[2]Ukraine Sun Oil Exports'!M$107</f>
        <v>4.8999999999999995E-2</v>
      </c>
      <c r="AQ11" s="141">
        <f>'[2]Ukraine Sun Oil Exports'!N$107</f>
        <v>1.1000000000000001E-2</v>
      </c>
      <c r="AR11" s="141">
        <f>'[2]Ukraine Sun Oil Exports'!O$107</f>
        <v>4.7329999999999997</v>
      </c>
      <c r="AS11" s="141">
        <f>'[2]Ukraine Sun Oil Exports'!P$107</f>
        <v>2.1259999999999999</v>
      </c>
      <c r="AT11" s="141">
        <f>'[2]Ukraine Sun Oil Exports'!Q$107</f>
        <v>2.5349999999999997</v>
      </c>
      <c r="AU11" s="141">
        <f>'[2]Ukraine Sun Oil Exports'!R$107</f>
        <v>3.8699999999999997</v>
      </c>
      <c r="AV11" s="141">
        <f>'[2]Ukraine Sun Oil Exports'!S$107</f>
        <v>5.2509999999999994</v>
      </c>
      <c r="AW11" s="141">
        <f>'[2]Ukraine Sun Oil Exports'!T$107</f>
        <v>6.512999999999999</v>
      </c>
      <c r="AX11" s="141">
        <f>'[2]Ukraine Sun Oil Exports'!U$107</f>
        <v>7.1109999999999998</v>
      </c>
      <c r="AY11" s="141">
        <f>'[2]Ukraine Sun Oil Exports'!V$107</f>
        <v>6.7040000000000006</v>
      </c>
      <c r="AZ11" s="141">
        <f>'[2]Ukraine Sun Oil Exports'!W$107</f>
        <v>5.76</v>
      </c>
      <c r="BA11" s="141">
        <f>'[2]Ukraine Sun Oil Exports'!X$107</f>
        <v>3.8409999999999997</v>
      </c>
      <c r="BB11" s="141">
        <f>'[2]Ukraine Sun Oil Exports'!Y$107</f>
        <v>10.204736</v>
      </c>
      <c r="BC11" s="141">
        <f>'[2]Ukraine Sun Oil Exports'!Z$107</f>
        <v>10.229556999999998</v>
      </c>
      <c r="BD11" s="141">
        <f>'[2]Ukraine Sun Oil Exports'!AA$107</f>
        <v>24.312587000000001</v>
      </c>
      <c r="BE11" s="141">
        <f>'[2]Ukraine Sun Oil Exports'!AB$107</f>
        <v>22.120822</v>
      </c>
      <c r="BF11" s="141">
        <f>'[2]Ukraine Sun Oil Exports'!AC$107</f>
        <v>17.578556000000003</v>
      </c>
      <c r="BG11" s="141">
        <f>'[2]Ukraine Sun Oil Exports'!AD$107</f>
        <v>23.836999999999996</v>
      </c>
      <c r="BH11" s="141">
        <f>'[2]Russia Sun Oil Exports'!B$107</f>
        <v>0</v>
      </c>
      <c r="BI11" s="141">
        <f>'[2]Russia Sun Oil Exports'!C$107</f>
        <v>0</v>
      </c>
      <c r="BJ11" s="141">
        <f>'[2]Russia Sun Oil Exports'!D$107</f>
        <v>0</v>
      </c>
      <c r="BK11" s="141">
        <f>'[2]Russia Sun Oil Exports'!E$107</f>
        <v>0</v>
      </c>
      <c r="BL11" s="141">
        <f>'[2]Russia Sun Oil Exports'!F$107</f>
        <v>0</v>
      </c>
      <c r="BM11" s="141">
        <f>'[2]Russia Sun Oil Exports'!G$107</f>
        <v>2.5652000000000001E-2</v>
      </c>
      <c r="BN11" s="141">
        <f>'[2]Russia Sun Oil Exports'!H$107</f>
        <v>1.728E-2</v>
      </c>
      <c r="BO11" s="141">
        <f>'[2]Russia Sun Oil Exports'!I$107</f>
        <v>0.78155600000000003</v>
      </c>
      <c r="BP11" s="141">
        <f>'[2]Russia Sun Oil Exports'!J$107</f>
        <v>9.725000000000001E-3</v>
      </c>
      <c r="BQ11" s="141">
        <f>'[2]Russia Sun Oil Exports'!K$107</f>
        <v>7.0479999999999996E-3</v>
      </c>
      <c r="BR11" s="141">
        <f>'[2]Russia Sun Oil Exports'!L$107</f>
        <v>5.9192000000000002E-2</v>
      </c>
      <c r="BS11" s="141">
        <f>'[2]Russia Sun Oil Exports'!M$107</f>
        <v>2.0599999999999996</v>
      </c>
      <c r="BT11" s="141">
        <f>'[2]Russia Sun Oil Exports'!N$107</f>
        <v>3.3839999999999999</v>
      </c>
      <c r="BU11" s="141">
        <f>'[2]Russia Sun Oil Exports'!O$107</f>
        <v>1.5579999999999998</v>
      </c>
      <c r="BV11" s="141">
        <f>'[2]Russia Sun Oil Exports'!P$107</f>
        <v>8.4999999999999992E-2</v>
      </c>
      <c r="BW11" s="141">
        <f>'[2]Russia Sun Oil Exports'!Q$107</f>
        <v>0.29700000000000004</v>
      </c>
      <c r="BX11" s="141">
        <f>'[2]Russia Sun Oil Exports'!R$107</f>
        <v>0.39299999999999996</v>
      </c>
      <c r="BY11" s="141">
        <f>'[2]Russia Sun Oil Exports'!S$107</f>
        <v>0.19400000000000001</v>
      </c>
      <c r="BZ11" s="141">
        <f>'[2]Russia Sun Oil Exports'!T$107</f>
        <v>1.65</v>
      </c>
      <c r="CA11" s="141">
        <f>'[2]Russia Sun Oil Exports'!U$107</f>
        <v>2.6280000000000001</v>
      </c>
      <c r="CB11" s="141">
        <f>'[2]Russia Sun Oil Exports'!V$107</f>
        <v>4.7269999999999994</v>
      </c>
      <c r="CC11" s="141">
        <f>'[2]Russia Sun Oil Exports'!W$107</f>
        <v>3.2370000000000001</v>
      </c>
      <c r="CD11" s="141">
        <f>'[2]Russia Sun Oil Exports'!X$107</f>
        <v>3.0219999999999994</v>
      </c>
      <c r="CE11" s="141">
        <f>'[2]Russia Sun Oil Exports'!Y$107</f>
        <v>3.1866690000000002</v>
      </c>
      <c r="CF11" s="141">
        <f>'[2]Russia Sun Oil Exports'!Z$107</f>
        <v>7.2126049999999999</v>
      </c>
      <c r="CG11" s="147">
        <f>'[2]Russia Sun Oil Exports'!AA$107</f>
        <v>7.1391219999999995</v>
      </c>
      <c r="CH11" s="141">
        <f>'[2]Russia Sun Oil Exports'!AB$107</f>
        <v>13.687138999999998</v>
      </c>
      <c r="CI11" s="141">
        <f>'[2]Russia Sun Oil Exports'!AC$107</f>
        <v>7.3816100000000011</v>
      </c>
      <c r="CJ11" s="143">
        <f>'[2]Russia Sun Oil Exports'!AD$107</f>
        <v>8.0997749999999993</v>
      </c>
      <c r="CK11" s="141">
        <f>'[3]Sunflower Oil Exports'!B$107/2204.622*1000</f>
        <v>0</v>
      </c>
      <c r="CL11" s="141">
        <f>'[3]Sunflower Oil Exports'!C$107/2204.622*1000</f>
        <v>5.2854000000000001</v>
      </c>
      <c r="CM11" s="141">
        <f>'[3]Sunflower Oil Exports'!D$107/2204.622*1000</f>
        <v>0.26250000000000001</v>
      </c>
      <c r="CN11" s="141">
        <f>'[3]Sunflower Oil Exports'!E$107/2204.622*1000</f>
        <v>0</v>
      </c>
      <c r="CO11" s="141">
        <f>'[3]Sunflower Oil Exports'!F$107/2204.622*1000</f>
        <v>1.6380000000000003</v>
      </c>
      <c r="CP11" s="141">
        <f>'[3]Sunflower Oil Exports'!G$107/2204.622*1000</f>
        <v>0</v>
      </c>
      <c r="CQ11" s="141">
        <f>'[3]Sunflower Oil Exports'!H$107/2204.622*1000</f>
        <v>0</v>
      </c>
      <c r="CR11" s="141">
        <f>'[3]Sunflower Oil Exports'!I$107/2204.622*1000</f>
        <v>0</v>
      </c>
      <c r="CS11" s="141">
        <f>'[3]Sunflower Oil Exports'!J$107/2204.622*1000</f>
        <v>0</v>
      </c>
      <c r="CT11" s="141">
        <f>'[3]Sunflower Oil Exports'!K$107/2204.622*1000</f>
        <v>0</v>
      </c>
      <c r="CU11" s="141">
        <f>'[3]Sunflower Oil Exports'!L$107/2204.622*1000</f>
        <v>0</v>
      </c>
      <c r="CV11" s="141">
        <f>'[3]Sunflower Oil Exports'!M$107/2204.622*1000</f>
        <v>0</v>
      </c>
      <c r="CW11" s="141">
        <f>'[3]Sunflower Oil Exports'!N$107/2204.622*1000</f>
        <v>0</v>
      </c>
      <c r="CX11" s="141">
        <f>'[3]Sunflower Oil Exports'!O$107/2204.622*1000</f>
        <v>0</v>
      </c>
      <c r="CY11" s="141">
        <f>'[3]Sunflower Oil Exports'!P$107/2204.622*1000</f>
        <v>0</v>
      </c>
      <c r="CZ11" s="141">
        <f>'[3]Sunflower Oil Exports'!Q$107/2204.622*1000</f>
        <v>0</v>
      </c>
      <c r="DA11" s="141">
        <f>'[3]Sunflower Oil Exports'!R$107/2204.622*1000</f>
        <v>0</v>
      </c>
      <c r="DB11" s="141">
        <f>'[3]Sunflower Oil Exports'!S$107/2204.622*1000</f>
        <v>3.8000000000000004E-3</v>
      </c>
      <c r="DC11" s="141">
        <f>'[3]Sunflower Oil Exports'!T$107/2204.622*1000</f>
        <v>0</v>
      </c>
      <c r="DD11" s="141">
        <f>'[3]Sunflower Oil Exports'!U$107/2204.622*1000</f>
        <v>0</v>
      </c>
      <c r="DE11" s="141">
        <f>'[3]Sunflower Oil Exports'!V$107/2204.622*1000</f>
        <v>0</v>
      </c>
      <c r="DF11" s="141">
        <f>'[3]Sunflower Oil Exports'!W$107/2204.622*1000</f>
        <v>0</v>
      </c>
      <c r="DG11" s="141">
        <f>'[3]Sunflower Oil Exports'!X$107/2204.622*1000</f>
        <v>0</v>
      </c>
      <c r="DH11" s="141">
        <f>'[3]Sunflower Oil Exports'!Y$107/2204.622*1000</f>
        <v>0</v>
      </c>
      <c r="DI11" s="141">
        <f>'[3]Sunflower Oil Exports'!Z$107/2204.622*1000</f>
        <v>7.4949932006484572E-3</v>
      </c>
      <c r="DJ11" s="141">
        <f>'[3]Sunflower Oil Exports'!AA$107/2204.622*1000</f>
        <v>0</v>
      </c>
      <c r="DK11" s="141">
        <f>'[3]Sunflower Oil Exports'!AB$107/2204.622*1000</f>
        <v>0</v>
      </c>
      <c r="DL11" s="141">
        <f>'[3]Sunflower Oil Exports'!AC$107/2204.622*1000</f>
        <v>0</v>
      </c>
      <c r="DM11" s="143">
        <f>'[3]Sunflower Oil Exports'!AD$107/2204.622*1000</f>
        <v>0</v>
      </c>
      <c r="DN11" s="141">
        <f t="shared" si="3"/>
        <v>0</v>
      </c>
      <c r="DO11" s="141">
        <f t="shared" si="3"/>
        <v>5.2854000000000001</v>
      </c>
      <c r="DP11" s="141">
        <f t="shared" si="3"/>
        <v>0.26250000000000001</v>
      </c>
      <c r="DQ11" s="141">
        <f t="shared" si="3"/>
        <v>2.4440000000000004</v>
      </c>
      <c r="DR11" s="141">
        <f t="shared" si="3"/>
        <v>1.9340000000000004</v>
      </c>
      <c r="DS11" s="141">
        <f t="shared" si="3"/>
        <v>0.31865200000000005</v>
      </c>
      <c r="DT11" s="141">
        <f t="shared" si="3"/>
        <v>0.90127999999999997</v>
      </c>
      <c r="DU11" s="141">
        <f t="shared" si="3"/>
        <v>2.2295560000000001</v>
      </c>
      <c r="DV11" s="141">
        <f t="shared" si="3"/>
        <v>0.61448714999999987</v>
      </c>
      <c r="DW11" s="141">
        <f t="shared" si="3"/>
        <v>2.0460479999999999</v>
      </c>
      <c r="DX11" s="141">
        <f t="shared" si="3"/>
        <v>0.26419200000000004</v>
      </c>
      <c r="DY11" s="141">
        <f t="shared" si="3"/>
        <v>2.3619999999999997</v>
      </c>
      <c r="DZ11" s="141">
        <f t="shared" si="3"/>
        <v>3.9689999999999999</v>
      </c>
      <c r="EA11" s="141">
        <f t="shared" si="3"/>
        <v>6.9689999999999994</v>
      </c>
      <c r="EB11" s="141">
        <f t="shared" si="3"/>
        <v>3.0230000000000001</v>
      </c>
      <c r="EC11" s="141">
        <f t="shared" si="3"/>
        <v>4.6429999999999998</v>
      </c>
      <c r="ED11" s="141">
        <f t="shared" si="4"/>
        <v>7.0119999999999996</v>
      </c>
      <c r="EE11" s="141">
        <f t="shared" si="4"/>
        <v>7.7757999999999994</v>
      </c>
      <c r="EF11" s="141">
        <f t="shared" si="4"/>
        <v>11.946999999999999</v>
      </c>
      <c r="EG11" s="141">
        <f t="shared" si="4"/>
        <v>13.693999999999999</v>
      </c>
      <c r="EH11" s="141">
        <f t="shared" si="4"/>
        <v>16.795000000000002</v>
      </c>
      <c r="EI11" s="141">
        <f t="shared" si="4"/>
        <v>16.405999999999999</v>
      </c>
      <c r="EJ11" s="141">
        <f t="shared" si="4"/>
        <v>13.765999999999998</v>
      </c>
      <c r="EK11" s="141">
        <f t="shared" si="4"/>
        <v>20.068404999999998</v>
      </c>
      <c r="EL11" s="141">
        <f t="shared" si="4"/>
        <v>24.746656993200645</v>
      </c>
      <c r="EM11" s="147">
        <f t="shared" si="4"/>
        <v>39.562708999999998</v>
      </c>
      <c r="EN11" s="141">
        <f t="shared" si="4"/>
        <v>44.976961000000003</v>
      </c>
      <c r="EO11" s="141">
        <f t="shared" si="4"/>
        <v>35.430166000000007</v>
      </c>
      <c r="EP11" s="145">
        <f t="shared" si="7"/>
        <v>42.329587999999994</v>
      </c>
      <c r="EQ11" s="145">
        <v>40</v>
      </c>
      <c r="ES11" s="145">
        <f t="shared" si="5"/>
        <v>0</v>
      </c>
      <c r="ET11" s="145">
        <f t="shared" si="6"/>
        <v>0</v>
      </c>
      <c r="EU11" s="145"/>
    </row>
    <row r="12" spans="1:151">
      <c r="A12" s="193" t="s">
        <v>142</v>
      </c>
      <c r="B12" s="141">
        <f>'[2]EU Sun Oil Exports'!B$108</f>
        <v>0</v>
      </c>
      <c r="C12" s="141">
        <f>'[2]EU Sun Oil Exports'!C$108</f>
        <v>0</v>
      </c>
      <c r="D12" s="141">
        <f>'[2]EU Sun Oil Exports'!D$108</f>
        <v>0</v>
      </c>
      <c r="E12" s="141">
        <f>'[2]EU Sun Oil Exports'!E$108</f>
        <v>0.15400000000000003</v>
      </c>
      <c r="F12" s="141">
        <f>'[2]EU Sun Oil Exports'!F$108</f>
        <v>0.13600000000000001</v>
      </c>
      <c r="G12" s="141">
        <f>'[2]EU Sun Oil Exports'!G$108</f>
        <v>0.873</v>
      </c>
      <c r="H12" s="141">
        <f>'[2]EU Sun Oil Exports'!H$108</f>
        <v>1.5009999999999999</v>
      </c>
      <c r="I12" s="141">
        <f>'[2]EU Sun Oil Exports'!I$108</f>
        <v>1.8129999999999995</v>
      </c>
      <c r="J12" s="141">
        <f>'[2]EU Sun Oil Exports'!J$108</f>
        <v>3.0039999999999991</v>
      </c>
      <c r="K12" s="141">
        <f>'[2]EU Sun Oil Exports'!K$108</f>
        <v>3.3350000000000004</v>
      </c>
      <c r="L12" s="141">
        <f>'[2]EU Sun Oil Exports'!L$108</f>
        <v>3.4529999999999994</v>
      </c>
      <c r="M12" s="141">
        <f>'[2]EU Sun Oil Exports'!M$108</f>
        <v>3.0599999999999996</v>
      </c>
      <c r="N12" s="141">
        <f>'[2]EU Sun Oil Exports'!N$108</f>
        <v>1.155</v>
      </c>
      <c r="O12" s="141">
        <f>'[2]EU Sun Oil Exports'!O$108</f>
        <v>2.294</v>
      </c>
      <c r="P12" s="141">
        <f>'[2]EU Sun Oil Exports'!P$108</f>
        <v>1.5199999999999996</v>
      </c>
      <c r="Q12" s="141">
        <f>'[2]EU Sun Oil Exports'!Q$108</f>
        <v>1.3519999999999999</v>
      </c>
      <c r="R12" s="141">
        <f>'[2]EU Sun Oil Exports'!R$108</f>
        <v>1.8900000000000001</v>
      </c>
      <c r="S12" s="141">
        <f>'[2]EU Sun Oil Exports'!S$108</f>
        <v>1.8359999999999999</v>
      </c>
      <c r="T12" s="141">
        <f>'[2]EU Sun Oil Exports'!T$108</f>
        <v>3.0030000000000001</v>
      </c>
      <c r="U12" s="141">
        <f>'[2]EU Sun Oil Exports'!U$108</f>
        <v>2.0709999999999997</v>
      </c>
      <c r="V12" s="141">
        <f>'[2]EU Sun Oil Exports'!V$108</f>
        <v>2.3099999999999996</v>
      </c>
      <c r="W12" s="141">
        <f>'[2]EU Sun Oil Exports'!W$108</f>
        <v>4.7509999999999994</v>
      </c>
      <c r="X12" s="141">
        <f>'[2]EU Sun Oil Exports'!X$108</f>
        <v>5.6640000000000006</v>
      </c>
      <c r="Y12" s="141">
        <f>'[2]EU Sun Oil Exports'!Y$108</f>
        <v>9.2349999999999994</v>
      </c>
      <c r="Z12" s="141">
        <f>'[2]EU Sun Oil Exports'!Z$108</f>
        <v>11.91</v>
      </c>
      <c r="AA12" s="141">
        <f>'[2]EU Sun Oil Exports'!AA$108</f>
        <v>20.279</v>
      </c>
      <c r="AB12" s="141">
        <f>'[2]EU Sun Oil Exports'!AB$108</f>
        <v>16.452000000000002</v>
      </c>
      <c r="AC12" s="141">
        <f>'[2]EU Sun Oil Exports'!AC$108</f>
        <v>9.1339999999999986</v>
      </c>
      <c r="AD12" s="143">
        <f>'[2]EU Sun Oil Exports'!AD$108</f>
        <v>8.1890000000000001</v>
      </c>
      <c r="AE12" s="141">
        <f>'[2]Ukraine Sun Oil Exports'!B$108</f>
        <v>0</v>
      </c>
      <c r="AF12" s="141">
        <f>'[2]Ukraine Sun Oil Exports'!C$108</f>
        <v>0</v>
      </c>
      <c r="AG12" s="141">
        <f>'[2]Ukraine Sun Oil Exports'!D$108</f>
        <v>0</v>
      </c>
      <c r="AH12" s="141">
        <f>'[2]Ukraine Sun Oil Exports'!E$108</f>
        <v>0</v>
      </c>
      <c r="AI12" s="141">
        <f>'[2]Ukraine Sun Oil Exports'!F$108</f>
        <v>0</v>
      </c>
      <c r="AJ12" s="141">
        <f>'[2]Ukraine Sun Oil Exports'!G$108</f>
        <v>0</v>
      </c>
      <c r="AK12" s="141">
        <f>'[2]Ukraine Sun Oil Exports'!H$108</f>
        <v>0</v>
      </c>
      <c r="AL12" s="141">
        <f>'[2]Ukraine Sun Oil Exports'!I$108</f>
        <v>0</v>
      </c>
      <c r="AM12" s="141">
        <f>'[2]Ukraine Sun Oil Exports'!J$108</f>
        <v>0</v>
      </c>
      <c r="AN12" s="141">
        <f>'[2]Ukraine Sun Oil Exports'!K$108</f>
        <v>0</v>
      </c>
      <c r="AO12" s="141">
        <f>'[2]Ukraine Sun Oil Exports'!L$108</f>
        <v>0</v>
      </c>
      <c r="AP12" s="141">
        <f>'[2]Ukraine Sun Oil Exports'!M$108</f>
        <v>0</v>
      </c>
      <c r="AQ12" s="141">
        <f>'[2]Ukraine Sun Oil Exports'!N$108</f>
        <v>0</v>
      </c>
      <c r="AR12" s="141">
        <f>'[2]Ukraine Sun Oil Exports'!O$108</f>
        <v>0</v>
      </c>
      <c r="AS12" s="141">
        <f>'[2]Ukraine Sun Oil Exports'!P$108</f>
        <v>0</v>
      </c>
      <c r="AT12" s="141">
        <f>'[2]Ukraine Sun Oil Exports'!Q$108</f>
        <v>0</v>
      </c>
      <c r="AU12" s="141">
        <f>'[2]Ukraine Sun Oil Exports'!R$108</f>
        <v>0</v>
      </c>
      <c r="AV12" s="141">
        <f>'[2]Ukraine Sun Oil Exports'!S$108</f>
        <v>0</v>
      </c>
      <c r="AW12" s="141">
        <f>'[2]Ukraine Sun Oil Exports'!T$108</f>
        <v>0</v>
      </c>
      <c r="AX12" s="141">
        <f>'[2]Ukraine Sun Oil Exports'!U$108</f>
        <v>0.64600000000000002</v>
      </c>
      <c r="AY12" s="141">
        <f>'[2]Ukraine Sun Oil Exports'!V$108</f>
        <v>0.38800000000000001</v>
      </c>
      <c r="AZ12" s="141">
        <f>'[2]Ukraine Sun Oil Exports'!W$108</f>
        <v>0</v>
      </c>
      <c r="BA12" s="141">
        <f>'[2]Ukraine Sun Oil Exports'!X$108</f>
        <v>0</v>
      </c>
      <c r="BB12" s="141">
        <f>'[2]Ukraine Sun Oil Exports'!Y$108</f>
        <v>0.151445</v>
      </c>
      <c r="BC12" s="141">
        <f>'[2]Ukraine Sun Oil Exports'!Z$108</f>
        <v>0.28353899999999999</v>
      </c>
      <c r="BD12" s="141">
        <f>'[2]Ukraine Sun Oil Exports'!AA$108</f>
        <v>2.1113159999999995</v>
      </c>
      <c r="BE12" s="141">
        <f>'[2]Ukraine Sun Oil Exports'!AB$108</f>
        <v>5.0581900000000006</v>
      </c>
      <c r="BF12" s="141">
        <f>'[2]Ukraine Sun Oil Exports'!AC$108</f>
        <v>3.5452339999999998</v>
      </c>
      <c r="BG12" s="141">
        <f>'[2]Ukraine Sun Oil Exports'!AD$108</f>
        <v>1.8450000000000002</v>
      </c>
      <c r="BH12" s="141">
        <f>'[2]Russia Sun Oil Exports'!B$108</f>
        <v>0</v>
      </c>
      <c r="BI12" s="141">
        <f>'[2]Russia Sun Oil Exports'!C$108</f>
        <v>0</v>
      </c>
      <c r="BJ12" s="141">
        <f>'[2]Russia Sun Oil Exports'!D$108</f>
        <v>0</v>
      </c>
      <c r="BK12" s="141">
        <f>'[2]Russia Sun Oil Exports'!E$108</f>
        <v>0</v>
      </c>
      <c r="BL12" s="141">
        <f>'[2]Russia Sun Oil Exports'!F$108</f>
        <v>0</v>
      </c>
      <c r="BM12" s="141">
        <f>'[2]Russia Sun Oil Exports'!G$108</f>
        <v>0</v>
      </c>
      <c r="BN12" s="141">
        <f>'[2]Russia Sun Oil Exports'!H$108</f>
        <v>0</v>
      </c>
      <c r="BO12" s="141">
        <f>'[2]Russia Sun Oil Exports'!I$108</f>
        <v>0</v>
      </c>
      <c r="BP12" s="141">
        <f>'[2]Russia Sun Oil Exports'!J$108</f>
        <v>0</v>
      </c>
      <c r="BQ12" s="141">
        <f>'[2]Russia Sun Oil Exports'!K$108</f>
        <v>0</v>
      </c>
      <c r="BR12" s="141">
        <f>'[2]Russia Sun Oil Exports'!L$108</f>
        <v>0</v>
      </c>
      <c r="BS12" s="141">
        <f>'[2]Russia Sun Oil Exports'!M$108</f>
        <v>0</v>
      </c>
      <c r="BT12" s="141">
        <f>'[2]Russia Sun Oil Exports'!N$108</f>
        <v>0</v>
      </c>
      <c r="BU12" s="141">
        <f>'[2]Russia Sun Oil Exports'!O$108</f>
        <v>1.4999999999999999E-2</v>
      </c>
      <c r="BV12" s="141">
        <f>'[2]Russia Sun Oil Exports'!P$108</f>
        <v>0</v>
      </c>
      <c r="BW12" s="141">
        <f>'[2]Russia Sun Oil Exports'!Q$108</f>
        <v>0</v>
      </c>
      <c r="BX12" s="141">
        <f>'[2]Russia Sun Oil Exports'!R$108</f>
        <v>0</v>
      </c>
      <c r="BY12" s="141">
        <f>'[2]Russia Sun Oil Exports'!S$108</f>
        <v>0</v>
      </c>
      <c r="BZ12" s="141">
        <f>'[2]Russia Sun Oil Exports'!T$108</f>
        <v>0</v>
      </c>
      <c r="CA12" s="141">
        <f>'[2]Russia Sun Oil Exports'!U$108</f>
        <v>5.1999999999999998E-2</v>
      </c>
      <c r="CB12" s="141">
        <f>'[2]Russia Sun Oil Exports'!V$108</f>
        <v>4.2999999999999997E-2</v>
      </c>
      <c r="CC12" s="141">
        <f>'[2]Russia Sun Oil Exports'!W$108</f>
        <v>0</v>
      </c>
      <c r="CD12" s="141">
        <f>'[2]Russia Sun Oil Exports'!X$108</f>
        <v>4.0000000000000001E-3</v>
      </c>
      <c r="CE12" s="141">
        <f>'[2]Russia Sun Oil Exports'!Y$108</f>
        <v>8.3900000000000001E-4</v>
      </c>
      <c r="CF12" s="141">
        <f>'[2]Russia Sun Oil Exports'!Z$108</f>
        <v>2.9E-5</v>
      </c>
      <c r="CG12" s="147">
        <f>'[2]Russia Sun Oil Exports'!AA$108</f>
        <v>0.105</v>
      </c>
      <c r="CH12" s="141">
        <f>'[2]Russia Sun Oil Exports'!AB$108</f>
        <v>1.1744490000000001</v>
      </c>
      <c r="CI12" s="141">
        <f>'[2]Russia Sun Oil Exports'!AC$108</f>
        <v>3.596282</v>
      </c>
      <c r="CJ12" s="143">
        <f>'[2]Russia Sun Oil Exports'!AD$108</f>
        <v>5.7219319999999998</v>
      </c>
      <c r="CK12" s="141">
        <f>'[3]Sunflower Oil Exports'!B$108/2204.622*1000</f>
        <v>6.2819000000000003</v>
      </c>
      <c r="CL12" s="141">
        <f>'[3]Sunflower Oil Exports'!C$108/2204.622*1000</f>
        <v>1.964</v>
      </c>
      <c r="CM12" s="141">
        <f>'[3]Sunflower Oil Exports'!D$108/2204.622*1000</f>
        <v>2.1169999999999995</v>
      </c>
      <c r="CN12" s="141">
        <f>'[3]Sunflower Oil Exports'!E$108/2204.622*1000</f>
        <v>2.3701000000000003</v>
      </c>
      <c r="CO12" s="141">
        <f>'[3]Sunflower Oil Exports'!F$108/2204.622*1000</f>
        <v>2.4521999999999999</v>
      </c>
      <c r="CP12" s="141">
        <f>'[3]Sunflower Oil Exports'!G$108/2204.622*1000</f>
        <v>4.5960000000000001</v>
      </c>
      <c r="CQ12" s="141">
        <f>'[3]Sunflower Oil Exports'!H$108/2204.622*1000</f>
        <v>6.5815000000000001</v>
      </c>
      <c r="CR12" s="141">
        <f>'[3]Sunflower Oil Exports'!I$108/2204.622*1000</f>
        <v>5.4565000000000001</v>
      </c>
      <c r="CS12" s="141">
        <f>'[3]Sunflower Oil Exports'!J$108/2204.622*1000</f>
        <v>6.1429000000000009</v>
      </c>
      <c r="CT12" s="141">
        <f>'[3]Sunflower Oil Exports'!K$108/2204.622*1000</f>
        <v>10.227199999999998</v>
      </c>
      <c r="CU12" s="141">
        <f>'[3]Sunflower Oil Exports'!L$108/2204.622*1000</f>
        <v>3.5698000000000003</v>
      </c>
      <c r="CV12" s="141">
        <f>'[3]Sunflower Oil Exports'!M$108/2204.622*1000</f>
        <v>3.2142000000000004</v>
      </c>
      <c r="CW12" s="141">
        <f>'[3]Sunflower Oil Exports'!N$108/2204.622*1000</f>
        <v>2.3715999999999999</v>
      </c>
      <c r="CX12" s="141">
        <f>'[3]Sunflower Oil Exports'!O$108/2204.622*1000</f>
        <v>4.8117999999999999</v>
      </c>
      <c r="CY12" s="141">
        <f>'[3]Sunflower Oil Exports'!P$108/2204.622*1000</f>
        <v>4.5831000000000008</v>
      </c>
      <c r="CZ12" s="141">
        <f>'[3]Sunflower Oil Exports'!Q$108/2204.622*1000</f>
        <v>8.1148999999999987</v>
      </c>
      <c r="DA12" s="141">
        <f>'[3]Sunflower Oil Exports'!R$108/2204.622*1000</f>
        <v>4.1414</v>
      </c>
      <c r="DB12" s="141">
        <f>'[3]Sunflower Oil Exports'!S$108/2204.622*1000</f>
        <v>3.9807000000000001</v>
      </c>
      <c r="DC12" s="141">
        <f>'[3]Sunflower Oil Exports'!T$108/2204.622*1000</f>
        <v>0.90780000000000005</v>
      </c>
      <c r="DD12" s="141">
        <f>'[3]Sunflower Oil Exports'!U$108/2204.622*1000</f>
        <v>1.1065</v>
      </c>
      <c r="DE12" s="141">
        <f>'[3]Sunflower Oil Exports'!V$108/2204.622*1000</f>
        <v>2.0261</v>
      </c>
      <c r="DF12" s="141">
        <f>'[3]Sunflower Oil Exports'!W$108/2204.622*1000</f>
        <v>4.3081999999999994</v>
      </c>
      <c r="DG12" s="141">
        <f>'[3]Sunflower Oil Exports'!X$108/2204.622*1000</f>
        <v>4.426000000000001</v>
      </c>
      <c r="DH12" s="141">
        <f>'[3]Sunflower Oil Exports'!Y$108/2204.622*1000</f>
        <v>4.4661391730736621</v>
      </c>
      <c r="DI12" s="141">
        <f>'[3]Sunflower Oil Exports'!Z$108/2204.622*1000</f>
        <v>5.6284298939682174</v>
      </c>
      <c r="DJ12" s="141">
        <f>'[3]Sunflower Oil Exports'!AA$108/2204.622*1000</f>
        <v>8.3377684360947164</v>
      </c>
      <c r="DK12" s="141">
        <f>'[3]Sunflower Oil Exports'!AB$108/2204.622*1000</f>
        <v>4.7957706493448766</v>
      </c>
      <c r="DL12" s="141">
        <f>'[3]Sunflower Oil Exports'!AC$108/2204.622*1000</f>
        <v>3.5841834187175858</v>
      </c>
      <c r="DM12" s="143">
        <v>7</v>
      </c>
      <c r="DN12" s="141">
        <f t="shared" si="3"/>
        <v>6.2819000000000003</v>
      </c>
      <c r="DO12" s="141">
        <f t="shared" si="3"/>
        <v>1.964</v>
      </c>
      <c r="DP12" s="141">
        <f t="shared" si="3"/>
        <v>2.1169999999999995</v>
      </c>
      <c r="DQ12" s="141">
        <f t="shared" si="3"/>
        <v>2.5241000000000002</v>
      </c>
      <c r="DR12" s="141">
        <f t="shared" si="3"/>
        <v>2.5882000000000001</v>
      </c>
      <c r="DS12" s="141">
        <f t="shared" si="3"/>
        <v>5.4690000000000003</v>
      </c>
      <c r="DT12" s="141">
        <f t="shared" si="3"/>
        <v>8.0824999999999996</v>
      </c>
      <c r="DU12" s="141">
        <f t="shared" si="3"/>
        <v>7.2694999999999999</v>
      </c>
      <c r="DV12" s="141">
        <f t="shared" si="3"/>
        <v>9.1469000000000005</v>
      </c>
      <c r="DW12" s="141">
        <f t="shared" si="3"/>
        <v>13.562199999999999</v>
      </c>
      <c r="DX12" s="141">
        <f t="shared" si="3"/>
        <v>7.0228000000000002</v>
      </c>
      <c r="DY12" s="141">
        <f t="shared" si="3"/>
        <v>6.2742000000000004</v>
      </c>
      <c r="DZ12" s="141">
        <f t="shared" si="3"/>
        <v>3.5266000000000002</v>
      </c>
      <c r="EA12" s="141">
        <f t="shared" si="3"/>
        <v>7.1208</v>
      </c>
      <c r="EB12" s="141">
        <f t="shared" si="3"/>
        <v>6.1031000000000004</v>
      </c>
      <c r="EC12" s="141">
        <f t="shared" si="3"/>
        <v>9.466899999999999</v>
      </c>
      <c r="ED12" s="141">
        <f t="shared" si="4"/>
        <v>6.0313999999999997</v>
      </c>
      <c r="EE12" s="141">
        <f t="shared" si="4"/>
        <v>5.8167</v>
      </c>
      <c r="EF12" s="141">
        <f t="shared" si="4"/>
        <v>3.9108000000000001</v>
      </c>
      <c r="EG12" s="141">
        <f t="shared" si="4"/>
        <v>3.8754999999999997</v>
      </c>
      <c r="EH12" s="141">
        <f t="shared" si="4"/>
        <v>4.7670999999999992</v>
      </c>
      <c r="EI12" s="141">
        <f t="shared" si="4"/>
        <v>9.0591999999999988</v>
      </c>
      <c r="EJ12" s="141">
        <f t="shared" si="4"/>
        <v>10.094000000000001</v>
      </c>
      <c r="EK12" s="141">
        <f t="shared" si="4"/>
        <v>13.853423173073661</v>
      </c>
      <c r="EL12" s="141">
        <f t="shared" si="4"/>
        <v>17.821997893968216</v>
      </c>
      <c r="EM12" s="147">
        <f t="shared" si="4"/>
        <v>30.833084436094715</v>
      </c>
      <c r="EN12" s="141">
        <f t="shared" si="4"/>
        <v>27.480409649344878</v>
      </c>
      <c r="EO12" s="141">
        <f t="shared" si="4"/>
        <v>19.859699418717582</v>
      </c>
      <c r="EP12" s="145">
        <f t="shared" si="7"/>
        <v>22.755932000000001</v>
      </c>
      <c r="EQ12" s="145">
        <v>25</v>
      </c>
      <c r="ES12" s="145">
        <f t="shared" si="5"/>
        <v>0</v>
      </c>
      <c r="ET12" s="145">
        <f t="shared" si="6"/>
        <v>0</v>
      </c>
      <c r="EU12" s="145"/>
    </row>
    <row r="13" spans="1:151">
      <c r="A13" s="187" t="s">
        <v>143</v>
      </c>
      <c r="B13" s="141">
        <f>'[2]EU Sun Oil Exports'!B$109</f>
        <v>0</v>
      </c>
      <c r="C13" s="141">
        <f>'[2]EU Sun Oil Exports'!C$109</f>
        <v>0</v>
      </c>
      <c r="D13" s="141">
        <f>'[2]EU Sun Oil Exports'!D$109</f>
        <v>0</v>
      </c>
      <c r="E13" s="141">
        <f>'[2]EU Sun Oil Exports'!E$109</f>
        <v>0.35500000000000004</v>
      </c>
      <c r="F13" s="141">
        <f>'[2]EU Sun Oil Exports'!F$109</f>
        <v>1.0139999999999998</v>
      </c>
      <c r="G13" s="141">
        <f>'[2]EU Sun Oil Exports'!G$109</f>
        <v>0.249</v>
      </c>
      <c r="H13" s="141">
        <f>'[2]EU Sun Oil Exports'!H$109</f>
        <v>7.3490000000000002</v>
      </c>
      <c r="I13" s="141">
        <f>'[2]EU Sun Oil Exports'!I$109</f>
        <v>0.54200000000000004</v>
      </c>
      <c r="J13" s="141">
        <f>'[2]EU Sun Oil Exports'!J$109</f>
        <v>0.43700000000000006</v>
      </c>
      <c r="K13" s="141">
        <f>'[2]EU Sun Oil Exports'!K$109</f>
        <v>1.0920000000000001</v>
      </c>
      <c r="L13" s="141">
        <f>'[2]EU Sun Oil Exports'!L$109</f>
        <v>2.5999999999999999E-2</v>
      </c>
      <c r="M13" s="141">
        <f>'[2]EU Sun Oil Exports'!M$109</f>
        <v>4.0759999999999996</v>
      </c>
      <c r="N13" s="141">
        <f>'[2]EU Sun Oil Exports'!N$109</f>
        <v>2.5999999999999999E-2</v>
      </c>
      <c r="O13" s="141">
        <f>'[2]EU Sun Oil Exports'!O$109</f>
        <v>4.5999999999999999E-2</v>
      </c>
      <c r="P13" s="141">
        <f>'[2]EU Sun Oil Exports'!P$109</f>
        <v>3.5000000000000003E-2</v>
      </c>
      <c r="Q13" s="141">
        <f>'[2]EU Sun Oil Exports'!Q$109</f>
        <v>2.1999999999999999E-2</v>
      </c>
      <c r="R13" s="141">
        <f>'[2]EU Sun Oil Exports'!R$109</f>
        <v>2.3E-2</v>
      </c>
      <c r="S13" s="141">
        <f>'[2]EU Sun Oil Exports'!S$109</f>
        <v>3.8000000000000006E-2</v>
      </c>
      <c r="T13" s="141">
        <f>'[2]EU Sun Oil Exports'!T$109</f>
        <v>8.4999999999999992E-2</v>
      </c>
      <c r="U13" s="141">
        <f>'[2]EU Sun Oil Exports'!U$109</f>
        <v>0.32199999999999995</v>
      </c>
      <c r="V13" s="141">
        <f>'[2]EU Sun Oil Exports'!V$109</f>
        <v>0.98399999999999999</v>
      </c>
      <c r="W13" s="141">
        <f>'[2]EU Sun Oil Exports'!W$109</f>
        <v>1.419</v>
      </c>
      <c r="X13" s="141">
        <f>'[2]EU Sun Oil Exports'!X$109</f>
        <v>1.143</v>
      </c>
      <c r="Y13" s="141">
        <f>'[2]EU Sun Oil Exports'!Y$109</f>
        <v>2.141</v>
      </c>
      <c r="Z13" s="141">
        <f>'[2]EU Sun Oil Exports'!Z$109</f>
        <v>1.175</v>
      </c>
      <c r="AA13" s="141">
        <f>'[2]EU Sun Oil Exports'!AA$109</f>
        <v>0.76299999999999979</v>
      </c>
      <c r="AB13" s="141">
        <f>'[2]EU Sun Oil Exports'!AB$109</f>
        <v>1.288</v>
      </c>
      <c r="AC13" s="141">
        <f>'[2]EU Sun Oil Exports'!AC$109</f>
        <v>7.3000000000000009E-2</v>
      </c>
      <c r="AD13" s="143">
        <f>'[2]EU Sun Oil Exports'!AD$109</f>
        <v>0.52</v>
      </c>
      <c r="AE13" s="141">
        <f>'[2]Ukraine Sun Oil Exports'!B$109</f>
        <v>0</v>
      </c>
      <c r="AF13" s="141">
        <f>'[2]Ukraine Sun Oil Exports'!C$109</f>
        <v>0</v>
      </c>
      <c r="AG13" s="141">
        <f>'[2]Ukraine Sun Oil Exports'!D$109</f>
        <v>0</v>
      </c>
      <c r="AH13" s="141">
        <f>'[2]Ukraine Sun Oil Exports'!E$109</f>
        <v>0</v>
      </c>
      <c r="AI13" s="141">
        <f>'[2]Ukraine Sun Oil Exports'!F$109</f>
        <v>0</v>
      </c>
      <c r="AJ13" s="141">
        <f>'[2]Ukraine Sun Oil Exports'!G$109</f>
        <v>0</v>
      </c>
      <c r="AK13" s="141">
        <f>'[2]Ukraine Sun Oil Exports'!H$109</f>
        <v>0</v>
      </c>
      <c r="AL13" s="141">
        <f>'[2]Ukraine Sun Oil Exports'!I$109</f>
        <v>0</v>
      </c>
      <c r="AM13" s="141">
        <f>'[2]Ukraine Sun Oil Exports'!J$109</f>
        <v>0</v>
      </c>
      <c r="AN13" s="141">
        <f>'[2]Ukraine Sun Oil Exports'!K$109</f>
        <v>2.65</v>
      </c>
      <c r="AO13" s="141">
        <f>'[2]Ukraine Sun Oil Exports'!L$109</f>
        <v>1</v>
      </c>
      <c r="AP13" s="141">
        <f>'[2]Ukraine Sun Oil Exports'!M$109</f>
        <v>5.75</v>
      </c>
      <c r="AQ13" s="141">
        <f>'[2]Ukraine Sun Oil Exports'!N$109</f>
        <v>14.5</v>
      </c>
      <c r="AR13" s="141">
        <f>'[2]Ukraine Sun Oil Exports'!O$109</f>
        <v>0.5</v>
      </c>
      <c r="AS13" s="141">
        <f>'[2]Ukraine Sun Oil Exports'!P$109</f>
        <v>7.0870000000000006</v>
      </c>
      <c r="AT13" s="141">
        <f>'[2]Ukraine Sun Oil Exports'!Q$109</f>
        <v>3.4750000000000001</v>
      </c>
      <c r="AU13" s="141">
        <f>'[2]Ukraine Sun Oil Exports'!R$109</f>
        <v>1.992</v>
      </c>
      <c r="AV13" s="141">
        <f>'[2]Ukraine Sun Oil Exports'!S$109</f>
        <v>4.8499999999999996</v>
      </c>
      <c r="AW13" s="141">
        <f>'[2]Ukraine Sun Oil Exports'!T$109</f>
        <v>1.2490000000000001</v>
      </c>
      <c r="AX13" s="141">
        <f>'[2]Ukraine Sun Oil Exports'!U$109</f>
        <v>3.2560000000000002</v>
      </c>
      <c r="AY13" s="141">
        <f>'[2]Ukraine Sun Oil Exports'!V$109</f>
        <v>14.42</v>
      </c>
      <c r="AZ13" s="141">
        <f>'[2]Ukraine Sun Oil Exports'!W$109</f>
        <v>30.048999999999996</v>
      </c>
      <c r="BA13" s="141">
        <f>'[2]Ukraine Sun Oil Exports'!X$109</f>
        <v>20.215000000000003</v>
      </c>
      <c r="BB13" s="141">
        <f>'[2]Ukraine Sun Oil Exports'!Y$109</f>
        <v>23.989755999999996</v>
      </c>
      <c r="BC13" s="141">
        <f>'[2]Ukraine Sun Oil Exports'!Z$109</f>
        <v>32.821981000000001</v>
      </c>
      <c r="BD13" s="141">
        <f>'[2]Ukraine Sun Oil Exports'!AA$109</f>
        <v>43.429839000000001</v>
      </c>
      <c r="BE13" s="141">
        <f>'[2]Ukraine Sun Oil Exports'!AB$109</f>
        <v>38.822535999999999</v>
      </c>
      <c r="BF13" s="141">
        <f>'[2]Ukraine Sun Oil Exports'!AC$109</f>
        <v>23.719291000000002</v>
      </c>
      <c r="BG13" s="141">
        <f>'[2]Ukraine Sun Oil Exports'!AD$109</f>
        <v>20.274000000000001</v>
      </c>
      <c r="BH13" s="141">
        <f>'[2]Russia Sun Oil Exports'!B$109</f>
        <v>0</v>
      </c>
      <c r="BI13" s="141">
        <f>'[2]Russia Sun Oil Exports'!C$109</f>
        <v>0</v>
      </c>
      <c r="BJ13" s="141">
        <f>'[2]Russia Sun Oil Exports'!D$109</f>
        <v>0</v>
      </c>
      <c r="BK13" s="141">
        <f>'[2]Russia Sun Oil Exports'!E$109</f>
        <v>0</v>
      </c>
      <c r="BL13" s="141">
        <f>'[2]Russia Sun Oil Exports'!F$109</f>
        <v>0</v>
      </c>
      <c r="BM13" s="141">
        <f>'[2]Russia Sun Oil Exports'!G$109</f>
        <v>0</v>
      </c>
      <c r="BN13" s="141">
        <f>'[2]Russia Sun Oil Exports'!H$109</f>
        <v>0</v>
      </c>
      <c r="BO13" s="141">
        <f>'[2]Russia Sun Oil Exports'!I$109</f>
        <v>0</v>
      </c>
      <c r="BP13" s="141">
        <f>'[2]Russia Sun Oil Exports'!J$109</f>
        <v>0</v>
      </c>
      <c r="BQ13" s="141">
        <f>'[2]Russia Sun Oil Exports'!K$109</f>
        <v>0</v>
      </c>
      <c r="BR13" s="141">
        <f>'[2]Russia Sun Oil Exports'!L$109</f>
        <v>0</v>
      </c>
      <c r="BS13" s="141">
        <f>'[2]Russia Sun Oil Exports'!M$109</f>
        <v>2.992</v>
      </c>
      <c r="BT13" s="141">
        <f>'[2]Russia Sun Oil Exports'!N$109</f>
        <v>3.0720000000000001</v>
      </c>
      <c r="BU13" s="141">
        <f>'[2]Russia Sun Oil Exports'!O$109</f>
        <v>3.71</v>
      </c>
      <c r="BV13" s="141">
        <f>'[2]Russia Sun Oil Exports'!P$109</f>
        <v>3.7210000000000001</v>
      </c>
      <c r="BW13" s="141">
        <f>'[2]Russia Sun Oil Exports'!Q$109</f>
        <v>3.9729999999999999</v>
      </c>
      <c r="BX13" s="141">
        <f>'[2]Russia Sun Oil Exports'!R$109</f>
        <v>0</v>
      </c>
      <c r="BY13" s="141">
        <f>'[2]Russia Sun Oil Exports'!S$109</f>
        <v>0</v>
      </c>
      <c r="BZ13" s="141">
        <f>'[2]Russia Sun Oil Exports'!T$109</f>
        <v>1E-3</v>
      </c>
      <c r="CA13" s="141">
        <f>'[2]Russia Sun Oil Exports'!U$109</f>
        <v>0</v>
      </c>
      <c r="CB13" s="141">
        <f>'[2]Russia Sun Oil Exports'!V$109</f>
        <v>1.6679999999999999</v>
      </c>
      <c r="CC13" s="141">
        <f>'[2]Russia Sun Oil Exports'!W$109</f>
        <v>0.67799999999999994</v>
      </c>
      <c r="CD13" s="141">
        <f>'[2]Russia Sun Oil Exports'!X$109</f>
        <v>0.24099999999999999</v>
      </c>
      <c r="CE13" s="141">
        <f>'[2]Russia Sun Oil Exports'!Y$109</f>
        <v>0.10936700000000001</v>
      </c>
      <c r="CF13" s="141">
        <f>'[2]Russia Sun Oil Exports'!Z$109</f>
        <v>1.5786140000000002</v>
      </c>
      <c r="CG13" s="147">
        <f>'[2]Russia Sun Oil Exports'!AA$109</f>
        <v>0.43401000000000001</v>
      </c>
      <c r="CH13" s="141">
        <f>'[2]Russia Sun Oil Exports'!AB$109</f>
        <v>8.5299589999999998</v>
      </c>
      <c r="CI13" s="141">
        <f>'[2]Russia Sun Oil Exports'!AC$109</f>
        <v>3.2468319999999999</v>
      </c>
      <c r="CJ13" s="143">
        <f>'[2]Russia Sun Oil Exports'!AD$109</f>
        <v>7.5504799999999994</v>
      </c>
      <c r="CK13" s="141">
        <f>'[3]Sunflower Oil Exports'!B$109/2204.622*1000</f>
        <v>0</v>
      </c>
      <c r="CL13" s="141">
        <f>'[3]Sunflower Oil Exports'!C$109/2204.622*1000</f>
        <v>0</v>
      </c>
      <c r="CM13" s="141">
        <f>'[3]Sunflower Oil Exports'!D$109/2204.622*1000</f>
        <v>1.3143</v>
      </c>
      <c r="CN13" s="141">
        <f>'[3]Sunflower Oil Exports'!E$109/2204.622*1000</f>
        <v>0</v>
      </c>
      <c r="CO13" s="141">
        <f>'[3]Sunflower Oil Exports'!F$109/2204.622*1000</f>
        <v>1.7090000000000003</v>
      </c>
      <c r="CP13" s="141">
        <f>'[3]Sunflower Oil Exports'!G$109/2204.622*1000</f>
        <v>6.2700000000000014</v>
      </c>
      <c r="CQ13" s="141">
        <f>'[3]Sunflower Oil Exports'!H$109/2204.622*1000</f>
        <v>3.8000000000000004E-3</v>
      </c>
      <c r="CR13" s="141">
        <f>'[3]Sunflower Oil Exports'!I$109/2204.622*1000</f>
        <v>3.7971000000000008</v>
      </c>
      <c r="CS13" s="141">
        <f>'[3]Sunflower Oil Exports'!J$109/2204.622*1000</f>
        <v>4.8891</v>
      </c>
      <c r="CT13" s="141">
        <f>'[3]Sunflower Oil Exports'!K$109/2204.622*1000</f>
        <v>0.99970000000000003</v>
      </c>
      <c r="CU13" s="141">
        <f>'[3]Sunflower Oil Exports'!L$109/2204.622*1000</f>
        <v>1.0186000000000002</v>
      </c>
      <c r="CV13" s="141">
        <f>'[3]Sunflower Oil Exports'!M$109/2204.622*1000</f>
        <v>0</v>
      </c>
      <c r="CW13" s="141">
        <f>'[3]Sunflower Oil Exports'!N$109/2204.622*1000</f>
        <v>0</v>
      </c>
      <c r="CX13" s="141">
        <f>'[3]Sunflower Oil Exports'!O$109/2204.622*1000</f>
        <v>0</v>
      </c>
      <c r="CY13" s="141">
        <f>'[3]Sunflower Oil Exports'!P$109/2204.622*1000</f>
        <v>0</v>
      </c>
      <c r="CZ13" s="141">
        <f>'[3]Sunflower Oil Exports'!Q$109/2204.622*1000</f>
        <v>0.44360000000000011</v>
      </c>
      <c r="DA13" s="141">
        <f>'[3]Sunflower Oil Exports'!R$109/2204.622*1000</f>
        <v>0</v>
      </c>
      <c r="DB13" s="141">
        <f>'[3]Sunflower Oil Exports'!S$109/2204.622*1000</f>
        <v>0</v>
      </c>
      <c r="DC13" s="141">
        <f>'[3]Sunflower Oil Exports'!T$109/2204.622*1000</f>
        <v>0</v>
      </c>
      <c r="DD13" s="141">
        <f>'[3]Sunflower Oil Exports'!U$109/2204.622*1000</f>
        <v>0</v>
      </c>
      <c r="DE13" s="141">
        <f>'[3]Sunflower Oil Exports'!V$109/2204.622*1000</f>
        <v>0</v>
      </c>
      <c r="DF13" s="141">
        <f>'[3]Sunflower Oil Exports'!W$109/2204.622*1000</f>
        <v>0</v>
      </c>
      <c r="DG13" s="141">
        <f>'[3]Sunflower Oil Exports'!X$109/2204.622*1000</f>
        <v>0</v>
      </c>
      <c r="DH13" s="141">
        <f>'[3]Sunflower Oil Exports'!Y$109/2204.622*1000</f>
        <v>6.2974962646657806E-2</v>
      </c>
      <c r="DI13" s="141">
        <f>'[3]Sunflower Oil Exports'!Z$109/2204.622*1000</f>
        <v>1.6303985209255828E-2</v>
      </c>
      <c r="DJ13" s="141">
        <f>'[3]Sunflower Oil Exports'!AA$109/2204.622*1000</f>
        <v>1.5495985942261306E-2</v>
      </c>
      <c r="DK13" s="141">
        <f>'[3]Sunflower Oil Exports'!AB$109/2204.622*1000</f>
        <v>2.5446976914863414E-2</v>
      </c>
      <c r="DL13" s="141">
        <f>'[3]Sunflower Oil Exports'!AC$109/2204.622*1000</f>
        <v>4.7385957012131795E-2</v>
      </c>
      <c r="DM13" s="143">
        <f>'[3]Sunflower Oil Exports'!AD$109/2204.622*1000</f>
        <v>0</v>
      </c>
      <c r="DN13" s="141">
        <f t="shared" si="3"/>
        <v>0</v>
      </c>
      <c r="DO13" s="141">
        <f t="shared" si="3"/>
        <v>0</v>
      </c>
      <c r="DP13" s="141">
        <f t="shared" si="3"/>
        <v>1.3143</v>
      </c>
      <c r="DQ13" s="141">
        <f t="shared" si="3"/>
        <v>0.35500000000000004</v>
      </c>
      <c r="DR13" s="141">
        <f t="shared" si="3"/>
        <v>2.7229999999999999</v>
      </c>
      <c r="DS13" s="141">
        <f t="shared" si="3"/>
        <v>6.519000000000001</v>
      </c>
      <c r="DT13" s="141">
        <f t="shared" si="3"/>
        <v>7.3528000000000002</v>
      </c>
      <c r="DU13" s="141">
        <f t="shared" si="3"/>
        <v>4.3391000000000011</v>
      </c>
      <c r="DV13" s="141">
        <f t="shared" si="3"/>
        <v>5.3261000000000003</v>
      </c>
      <c r="DW13" s="141">
        <f t="shared" si="3"/>
        <v>4.7416999999999998</v>
      </c>
      <c r="DX13" s="141">
        <f t="shared" si="3"/>
        <v>2.0446</v>
      </c>
      <c r="DY13" s="141">
        <f t="shared" si="3"/>
        <v>12.818000000000001</v>
      </c>
      <c r="DZ13" s="141">
        <f t="shared" si="3"/>
        <v>17.597999999999999</v>
      </c>
      <c r="EA13" s="141">
        <f t="shared" si="3"/>
        <v>4.2560000000000002</v>
      </c>
      <c r="EB13" s="141">
        <f t="shared" si="3"/>
        <v>10.843</v>
      </c>
      <c r="EC13" s="141">
        <f t="shared" si="3"/>
        <v>7.9135999999999997</v>
      </c>
      <c r="ED13" s="141">
        <f t="shared" si="4"/>
        <v>2.0150000000000001</v>
      </c>
      <c r="EE13" s="141">
        <f t="shared" si="4"/>
        <v>4.8879999999999999</v>
      </c>
      <c r="EF13" s="141">
        <f t="shared" si="4"/>
        <v>1.335</v>
      </c>
      <c r="EG13" s="141">
        <f t="shared" si="4"/>
        <v>3.5780000000000003</v>
      </c>
      <c r="EH13" s="141">
        <f t="shared" si="4"/>
        <v>17.071999999999999</v>
      </c>
      <c r="EI13" s="141">
        <f t="shared" si="4"/>
        <v>32.145999999999994</v>
      </c>
      <c r="EJ13" s="141">
        <f t="shared" si="4"/>
        <v>21.599000000000004</v>
      </c>
      <c r="EK13" s="141">
        <f t="shared" si="4"/>
        <v>26.303097962646653</v>
      </c>
      <c r="EL13" s="141">
        <f t="shared" si="4"/>
        <v>35.591898985209255</v>
      </c>
      <c r="EM13" s="147">
        <f t="shared" si="4"/>
        <v>44.642344985942259</v>
      </c>
      <c r="EN13" s="141">
        <f t="shared" si="4"/>
        <v>48.665941976914858</v>
      </c>
      <c r="EO13" s="141">
        <f t="shared" si="4"/>
        <v>27.086508957012136</v>
      </c>
      <c r="EP13" s="145">
        <f t="shared" si="7"/>
        <v>28.344480000000001</v>
      </c>
      <c r="EQ13" s="145">
        <v>40</v>
      </c>
      <c r="ES13" s="145">
        <f t="shared" si="5"/>
        <v>0</v>
      </c>
      <c r="ET13" s="145">
        <f t="shared" si="6"/>
        <v>0</v>
      </c>
      <c r="EU13" s="145"/>
    </row>
    <row r="14" spans="1:151">
      <c r="A14" s="187" t="s">
        <v>144</v>
      </c>
      <c r="B14" s="141">
        <f>'[2]EU Sun Oil Exports'!B$117</f>
        <v>0</v>
      </c>
      <c r="C14" s="141">
        <f>'[2]EU Sun Oil Exports'!C$117</f>
        <v>0</v>
      </c>
      <c r="D14" s="141">
        <f>'[2]EU Sun Oil Exports'!D$117</f>
        <v>0</v>
      </c>
      <c r="E14" s="141">
        <f>'[2]EU Sun Oil Exports'!E$117</f>
        <v>1.4929999999999999</v>
      </c>
      <c r="F14" s="141">
        <f>'[2]EU Sun Oil Exports'!F$117</f>
        <v>3.0000000000000009E-2</v>
      </c>
      <c r="G14" s="141">
        <f>'[2]EU Sun Oil Exports'!G$117</f>
        <v>0.224</v>
      </c>
      <c r="H14" s="141">
        <f>'[2]EU Sun Oil Exports'!H$117</f>
        <v>0.11799999999999999</v>
      </c>
      <c r="I14" s="141">
        <f>'[2]EU Sun Oil Exports'!I$117</f>
        <v>0.20300000000000001</v>
      </c>
      <c r="J14" s="141">
        <f>'[2]EU Sun Oil Exports'!J$117</f>
        <v>0.18</v>
      </c>
      <c r="K14" s="141">
        <f>'[2]EU Sun Oil Exports'!K$117</f>
        <v>2.1139999999999999</v>
      </c>
      <c r="L14" s="141">
        <f>'[2]EU Sun Oil Exports'!L$117</f>
        <v>5.1000000000000004E-2</v>
      </c>
      <c r="M14" s="141">
        <f>'[2]EU Sun Oil Exports'!M$117</f>
        <v>0.23900000000000002</v>
      </c>
      <c r="N14" s="141">
        <f>'[2]EU Sun Oil Exports'!N$117</f>
        <v>1.232</v>
      </c>
      <c r="O14" s="141">
        <f>'[2]EU Sun Oil Exports'!O$117</f>
        <v>0.63200000000000012</v>
      </c>
      <c r="P14" s="141">
        <f>'[2]EU Sun Oil Exports'!P$117</f>
        <v>0.51400000000000001</v>
      </c>
      <c r="Q14" s="141">
        <f>'[2]EU Sun Oil Exports'!Q$117</f>
        <v>0.41399999999999998</v>
      </c>
      <c r="R14" s="141">
        <f>'[2]EU Sun Oil Exports'!R$117</f>
        <v>2.234</v>
      </c>
      <c r="S14" s="141">
        <f>'[2]EU Sun Oil Exports'!S$117</f>
        <v>1.47</v>
      </c>
      <c r="T14" s="141">
        <f>'[2]EU Sun Oil Exports'!T$117</f>
        <v>0.40100000000000002</v>
      </c>
      <c r="U14" s="141">
        <f>'[2]EU Sun Oil Exports'!U$117</f>
        <v>1.099</v>
      </c>
      <c r="V14" s="141">
        <f>'[2]EU Sun Oil Exports'!V$117</f>
        <v>0.67500000000000016</v>
      </c>
      <c r="W14" s="141">
        <f>'[2]EU Sun Oil Exports'!W$117</f>
        <v>1.5349999999999997</v>
      </c>
      <c r="X14" s="141">
        <f>'[2]EU Sun Oil Exports'!X$117</f>
        <v>2.7770000000000006</v>
      </c>
      <c r="Y14" s="141">
        <f>'[2]EU Sun Oil Exports'!Y$117</f>
        <v>3.5670000000000002</v>
      </c>
      <c r="Z14" s="141">
        <f>'[2]EU Sun Oil Exports'!Z$117</f>
        <v>2.669</v>
      </c>
      <c r="AA14" s="141">
        <f>'[2]EU Sun Oil Exports'!AA$117</f>
        <v>5.2200000000000006</v>
      </c>
      <c r="AB14" s="141">
        <f>'[2]EU Sun Oil Exports'!AB$117</f>
        <v>5.383</v>
      </c>
      <c r="AC14" s="141">
        <f>'[2]EU Sun Oil Exports'!AC$117</f>
        <v>17.164000000000001</v>
      </c>
      <c r="AD14" s="143">
        <f>'[2]EU Sun Oil Exports'!AD$117</f>
        <v>14.952182000000002</v>
      </c>
      <c r="AE14" s="141">
        <f>'[2]Ukraine Sun Oil Exports'!B$117</f>
        <v>0</v>
      </c>
      <c r="AF14" s="141">
        <f>'[2]Ukraine Sun Oil Exports'!C$117</f>
        <v>0</v>
      </c>
      <c r="AG14" s="141">
        <f>'[2]Ukraine Sun Oil Exports'!D$117</f>
        <v>0</v>
      </c>
      <c r="AH14" s="141">
        <f>'[2]Ukraine Sun Oil Exports'!E$117</f>
        <v>0</v>
      </c>
      <c r="AI14" s="141">
        <f>'[2]Ukraine Sun Oil Exports'!F$117</f>
        <v>0</v>
      </c>
      <c r="AJ14" s="141">
        <f>'[2]Ukraine Sun Oil Exports'!G$117</f>
        <v>0</v>
      </c>
      <c r="AK14" s="141">
        <f>'[2]Ukraine Sun Oil Exports'!H$117</f>
        <v>0</v>
      </c>
      <c r="AL14" s="141">
        <f>'[2]Ukraine Sun Oil Exports'!I$117</f>
        <v>0</v>
      </c>
      <c r="AM14" s="141">
        <f>'[2]Ukraine Sun Oil Exports'!J$117</f>
        <v>0</v>
      </c>
      <c r="AN14" s="141">
        <f>'[2]Ukraine Sun Oil Exports'!K$117</f>
        <v>0</v>
      </c>
      <c r="AO14" s="141">
        <f>'[2]Ukraine Sun Oil Exports'!L$117</f>
        <v>0</v>
      </c>
      <c r="AP14" s="141">
        <f>'[2]Ukraine Sun Oil Exports'!M$117</f>
        <v>0</v>
      </c>
      <c r="AQ14" s="141">
        <f>'[2]Ukraine Sun Oil Exports'!N$117</f>
        <v>0</v>
      </c>
      <c r="AR14" s="141">
        <f>'[2]Ukraine Sun Oil Exports'!O$117</f>
        <v>0</v>
      </c>
      <c r="AS14" s="141">
        <f>'[2]Ukraine Sun Oil Exports'!P$117</f>
        <v>0</v>
      </c>
      <c r="AT14" s="141">
        <f>'[2]Ukraine Sun Oil Exports'!Q$117</f>
        <v>20.262999999999998</v>
      </c>
      <c r="AU14" s="141">
        <f>'[2]Ukraine Sun Oil Exports'!R$117</f>
        <v>4.3999999999999997E-2</v>
      </c>
      <c r="AV14" s="141">
        <f>'[2]Ukraine Sun Oil Exports'!S$117</f>
        <v>7</v>
      </c>
      <c r="AW14" s="141">
        <f>'[2]Ukraine Sun Oil Exports'!T$117</f>
        <v>13.971999999999998</v>
      </c>
      <c r="AX14" s="141">
        <f>'[2]Ukraine Sun Oil Exports'!U$117</f>
        <v>52.420000000000009</v>
      </c>
      <c r="AY14" s="141">
        <f>'[2]Ukraine Sun Oil Exports'!V$117</f>
        <v>89.311999999999998</v>
      </c>
      <c r="AZ14" s="141">
        <f>'[2]Ukraine Sun Oil Exports'!W$117</f>
        <v>116.276</v>
      </c>
      <c r="BA14" s="141">
        <f>'[2]Ukraine Sun Oil Exports'!X$117</f>
        <v>124.58299999999998</v>
      </c>
      <c r="BB14" s="141">
        <f>'[2]Ukraine Sun Oil Exports'!Y$117</f>
        <v>117.61648900000002</v>
      </c>
      <c r="BC14" s="141">
        <f>'[2]Ukraine Sun Oil Exports'!Z$117</f>
        <v>88.282176000000007</v>
      </c>
      <c r="BD14" s="141">
        <f>'[2]Ukraine Sun Oil Exports'!AA$117</f>
        <v>70.667346000000009</v>
      </c>
      <c r="BE14" s="141">
        <f>'[2]Ukraine Sun Oil Exports'!AB$117</f>
        <v>88.005199000000019</v>
      </c>
      <c r="BF14" s="141">
        <f>'[2]Ukraine Sun Oil Exports'!AC$117</f>
        <v>83.112189999999984</v>
      </c>
      <c r="BG14" s="141">
        <f>'[2]Ukraine Sun Oil Exports'!AD$117+18</f>
        <v>85.03</v>
      </c>
      <c r="BH14" s="141">
        <f>'[2]Russia Sun Oil Exports'!B$117</f>
        <v>0</v>
      </c>
      <c r="BI14" s="141">
        <f>'[2]Russia Sun Oil Exports'!C$117</f>
        <v>0</v>
      </c>
      <c r="BJ14" s="141">
        <f>'[2]Russia Sun Oil Exports'!D$117</f>
        <v>0</v>
      </c>
      <c r="BK14" s="141">
        <f>'[2]Russia Sun Oil Exports'!E$117</f>
        <v>0</v>
      </c>
      <c r="BL14" s="141">
        <f>'[2]Russia Sun Oil Exports'!F$117</f>
        <v>0</v>
      </c>
      <c r="BM14" s="141">
        <f>'[2]Russia Sun Oil Exports'!G$117</f>
        <v>0</v>
      </c>
      <c r="BN14" s="141">
        <f>'[2]Russia Sun Oil Exports'!H$117</f>
        <v>0</v>
      </c>
      <c r="BO14" s="141">
        <f>'[2]Russia Sun Oil Exports'!I$117</f>
        <v>0</v>
      </c>
      <c r="BP14" s="141">
        <f>'[2]Russia Sun Oil Exports'!J$117</f>
        <v>0</v>
      </c>
      <c r="BQ14" s="141">
        <f>'[2]Russia Sun Oil Exports'!K$117</f>
        <v>0</v>
      </c>
      <c r="BR14" s="141">
        <f>'[2]Russia Sun Oil Exports'!L$117</f>
        <v>0</v>
      </c>
      <c r="BS14" s="141">
        <f>'[2]Russia Sun Oil Exports'!M$117</f>
        <v>0</v>
      </c>
      <c r="BT14" s="141">
        <f>'[2]Russia Sun Oil Exports'!N$117</f>
        <v>0</v>
      </c>
      <c r="BU14" s="141">
        <f>'[2]Russia Sun Oil Exports'!O$117</f>
        <v>0</v>
      </c>
      <c r="BV14" s="141">
        <f>'[2]Russia Sun Oil Exports'!P$117</f>
        <v>0</v>
      </c>
      <c r="BW14" s="141">
        <f>'[2]Russia Sun Oil Exports'!Q$117</f>
        <v>0</v>
      </c>
      <c r="BX14" s="141">
        <f>'[2]Russia Sun Oil Exports'!R$117</f>
        <v>0</v>
      </c>
      <c r="BY14" s="141">
        <f>'[2]Russia Sun Oil Exports'!S$117</f>
        <v>0</v>
      </c>
      <c r="BZ14" s="141">
        <f>'[2]Russia Sun Oil Exports'!T$117</f>
        <v>0.17599999999999999</v>
      </c>
      <c r="CA14" s="141">
        <f>'[2]Russia Sun Oil Exports'!U$117</f>
        <v>0</v>
      </c>
      <c r="CB14" s="141">
        <f>'[2]Russia Sun Oil Exports'!V$117</f>
        <v>0</v>
      </c>
      <c r="CC14" s="141">
        <f>'[2]Russia Sun Oil Exports'!W$117</f>
        <v>0.58599999999999997</v>
      </c>
      <c r="CD14" s="141">
        <f>'[2]Russia Sun Oil Exports'!X$117</f>
        <v>3.6779999999999999</v>
      </c>
      <c r="CE14" s="141">
        <f>'[2]Russia Sun Oil Exports'!Y$117</f>
        <v>10.883320000000001</v>
      </c>
      <c r="CF14" s="141">
        <f>'[2]Russia Sun Oil Exports'!Z$117</f>
        <v>4.95749</v>
      </c>
      <c r="CG14" s="147">
        <f>'[2]Russia Sun Oil Exports'!AA$117</f>
        <v>9.39297</v>
      </c>
      <c r="CH14" s="141">
        <f>'[2]Russia Sun Oil Exports'!AB$117</f>
        <v>27.417209999999997</v>
      </c>
      <c r="CI14" s="141">
        <f>'[2]Russia Sun Oil Exports'!AC$117</f>
        <v>20.650969</v>
      </c>
      <c r="CJ14" s="143">
        <f>'[2]Russia Sun Oil Exports'!AD$117</f>
        <v>11.13672</v>
      </c>
      <c r="CK14" s="141">
        <f>'[3]Sunflower Oil Exports'!B$117/2204.622*1000</f>
        <v>0</v>
      </c>
      <c r="CL14" s="141">
        <f>'[3]Sunflower Oil Exports'!C$117/2204.622*1000</f>
        <v>2.9838000000000005</v>
      </c>
      <c r="CM14" s="141">
        <f>'[3]Sunflower Oil Exports'!D$117/2204.622*1000</f>
        <v>0</v>
      </c>
      <c r="CN14" s="141">
        <f>'[3]Sunflower Oil Exports'!E$117/2204.622*1000</f>
        <v>0</v>
      </c>
      <c r="CO14" s="141">
        <f>'[3]Sunflower Oil Exports'!F$117/2204.622*1000</f>
        <v>2.6000000000000003E-3</v>
      </c>
      <c r="CP14" s="141">
        <f>'[3]Sunflower Oil Exports'!G$117/2204.622*1000</f>
        <v>1.4970999999999999</v>
      </c>
      <c r="CQ14" s="141">
        <f>'[3]Sunflower Oil Exports'!H$117/2204.622*1000</f>
        <v>0</v>
      </c>
      <c r="CR14" s="141">
        <f>'[3]Sunflower Oil Exports'!I$117/2204.622*1000</f>
        <v>2.4000000000000002E-3</v>
      </c>
      <c r="CS14" s="141">
        <f>'[3]Sunflower Oil Exports'!J$117/2204.622*1000</f>
        <v>2.0480000000000005</v>
      </c>
      <c r="CT14" s="141">
        <f>'[3]Sunflower Oil Exports'!K$117/2204.622*1000</f>
        <v>0</v>
      </c>
      <c r="CU14" s="141">
        <f>'[3]Sunflower Oil Exports'!L$117/2204.622*1000</f>
        <v>0</v>
      </c>
      <c r="CV14" s="141">
        <f>'[3]Sunflower Oil Exports'!M$117/2204.622*1000</f>
        <v>0</v>
      </c>
      <c r="CW14" s="141">
        <f>'[3]Sunflower Oil Exports'!N$117/2204.622*1000</f>
        <v>0</v>
      </c>
      <c r="CX14" s="141">
        <f>'[3]Sunflower Oil Exports'!O$117/2204.622*1000</f>
        <v>0.11500000000000002</v>
      </c>
      <c r="CY14" s="141">
        <f>'[3]Sunflower Oil Exports'!P$117/2204.622*1000</f>
        <v>0</v>
      </c>
      <c r="CZ14" s="141">
        <f>'[3]Sunflower Oil Exports'!Q$117/2204.622*1000</f>
        <v>0</v>
      </c>
      <c r="DA14" s="141">
        <f>'[3]Sunflower Oil Exports'!R$117/2204.622*1000</f>
        <v>0</v>
      </c>
      <c r="DB14" s="141">
        <f>'[3]Sunflower Oil Exports'!S$117/2204.622*1000</f>
        <v>0</v>
      </c>
      <c r="DC14" s="141">
        <f>'[3]Sunflower Oil Exports'!T$117/2204.622*1000</f>
        <v>2.1499999999999998E-2</v>
      </c>
      <c r="DD14" s="141">
        <f>'[3]Sunflower Oil Exports'!U$117/2204.622*1000</f>
        <v>1.3299999999999999E-2</v>
      </c>
      <c r="DE14" s="141">
        <f>'[3]Sunflower Oil Exports'!V$117/2204.622*1000</f>
        <v>4.4000000000000003E-3</v>
      </c>
      <c r="DF14" s="141">
        <f>'[3]Sunflower Oil Exports'!W$117/2204.622*1000</f>
        <v>0</v>
      </c>
      <c r="DG14" s="141">
        <f>'[3]Sunflower Oil Exports'!X$117/2204.622*1000</f>
        <v>5.5999999999999999E-3</v>
      </c>
      <c r="DH14" s="141">
        <f>'[3]Sunflower Oil Exports'!Y$117/2204.622*1000</f>
        <v>0</v>
      </c>
      <c r="DI14" s="141">
        <f>'[3]Sunflower Oil Exports'!Z$117/2204.622*1000</f>
        <v>2.0826351106629621</v>
      </c>
      <c r="DJ14" s="141">
        <f>'[3]Sunflower Oil Exports'!AA$117/2204.622*1000</f>
        <v>6.720875902916692</v>
      </c>
      <c r="DK14" s="141">
        <f>'[3]Sunflower Oil Exports'!AB$117/2204.622*1000</f>
        <v>0.51864652949122358</v>
      </c>
      <c r="DL14" s="141">
        <f>'[3]Sunflower Oil Exports'!AC$117/2204.622*1000</f>
        <v>2.8212759653128745</v>
      </c>
      <c r="DM14" s="143">
        <v>5</v>
      </c>
      <c r="DN14" s="141">
        <f t="shared" si="3"/>
        <v>0</v>
      </c>
      <c r="DO14" s="141">
        <f t="shared" si="3"/>
        <v>2.9838000000000005</v>
      </c>
      <c r="DP14" s="141">
        <f t="shared" si="3"/>
        <v>0</v>
      </c>
      <c r="DQ14" s="141">
        <f t="shared" si="3"/>
        <v>1.4929999999999999</v>
      </c>
      <c r="DR14" s="141">
        <f t="shared" si="3"/>
        <v>3.2600000000000011E-2</v>
      </c>
      <c r="DS14" s="141">
        <f t="shared" si="3"/>
        <v>1.7210999999999999</v>
      </c>
      <c r="DT14" s="141">
        <f t="shared" si="3"/>
        <v>0.11799999999999999</v>
      </c>
      <c r="DU14" s="141">
        <f t="shared" si="3"/>
        <v>0.20540000000000003</v>
      </c>
      <c r="DV14" s="141">
        <f t="shared" si="3"/>
        <v>2.2280000000000006</v>
      </c>
      <c r="DW14" s="141">
        <f t="shared" si="3"/>
        <v>2.1139999999999999</v>
      </c>
      <c r="DX14" s="141">
        <f t="shared" si="3"/>
        <v>5.1000000000000004E-2</v>
      </c>
      <c r="DY14" s="141">
        <f t="shared" si="3"/>
        <v>0.23900000000000002</v>
      </c>
      <c r="DZ14" s="141">
        <f t="shared" si="3"/>
        <v>1.232</v>
      </c>
      <c r="EA14" s="141">
        <f t="shared" si="3"/>
        <v>0.74700000000000011</v>
      </c>
      <c r="EB14" s="141">
        <f t="shared" si="3"/>
        <v>0.51400000000000001</v>
      </c>
      <c r="EC14" s="141">
        <f t="shared" si="3"/>
        <v>20.677</v>
      </c>
      <c r="ED14" s="141">
        <f t="shared" si="4"/>
        <v>2.278</v>
      </c>
      <c r="EE14" s="141">
        <f t="shared" si="4"/>
        <v>8.4700000000000006</v>
      </c>
      <c r="EF14" s="141">
        <f t="shared" si="4"/>
        <v>14.570499999999997</v>
      </c>
      <c r="EG14" s="141">
        <f t="shared" si="4"/>
        <v>53.532300000000006</v>
      </c>
      <c r="EH14" s="141">
        <f t="shared" si="4"/>
        <v>89.991399999999999</v>
      </c>
      <c r="EI14" s="141">
        <f t="shared" si="4"/>
        <v>118.39699999999999</v>
      </c>
      <c r="EJ14" s="141">
        <f t="shared" si="4"/>
        <v>131.04359999999997</v>
      </c>
      <c r="EK14" s="141">
        <f t="shared" si="4"/>
        <v>132.06680900000001</v>
      </c>
      <c r="EL14" s="141">
        <f t="shared" si="4"/>
        <v>97.991301110662974</v>
      </c>
      <c r="EM14" s="147">
        <f t="shared" si="4"/>
        <v>92.001191902916702</v>
      </c>
      <c r="EN14" s="141">
        <f t="shared" si="4"/>
        <v>121.32405552949123</v>
      </c>
      <c r="EO14" s="141">
        <f t="shared" si="4"/>
        <v>123.74843496531287</v>
      </c>
      <c r="EP14" s="145">
        <f t="shared" si="7"/>
        <v>116.11890200000001</v>
      </c>
      <c r="EQ14" s="145">
        <v>130</v>
      </c>
      <c r="ES14" s="145">
        <f t="shared" si="5"/>
        <v>0</v>
      </c>
      <c r="ET14" s="145">
        <f t="shared" si="6"/>
        <v>0</v>
      </c>
      <c r="EU14" s="145"/>
    </row>
    <row r="15" spans="1:151">
      <c r="A15" s="193" t="s">
        <v>145</v>
      </c>
      <c r="B15" s="141">
        <f>'[2]EU Sun Oil Exports'!B$136</f>
        <v>0</v>
      </c>
      <c r="C15" s="141">
        <f>'[2]EU Sun Oil Exports'!C$136</f>
        <v>0</v>
      </c>
      <c r="D15" s="141">
        <f>'[2]EU Sun Oil Exports'!D$136</f>
        <v>0</v>
      </c>
      <c r="E15" s="141">
        <f>'[2]EU Sun Oil Exports'!E$136</f>
        <v>2E-3</v>
      </c>
      <c r="F15" s="141">
        <f>'[2]EU Sun Oil Exports'!F$136</f>
        <v>0.02</v>
      </c>
      <c r="G15" s="141">
        <f>'[2]EU Sun Oil Exports'!G$136</f>
        <v>0</v>
      </c>
      <c r="H15" s="141">
        <f>'[2]EU Sun Oil Exports'!H$136</f>
        <v>0</v>
      </c>
      <c r="I15" s="141">
        <f>'[2]EU Sun Oil Exports'!I$136</f>
        <v>6.0000000000000001E-3</v>
      </c>
      <c r="J15" s="141">
        <f>'[2]EU Sun Oil Exports'!J$136</f>
        <v>1E-3</v>
      </c>
      <c r="K15" s="141">
        <f>'[2]EU Sun Oil Exports'!K$136</f>
        <v>4.0000000000000001E-3</v>
      </c>
      <c r="L15" s="141">
        <f>'[2]EU Sun Oil Exports'!L$136</f>
        <v>2E-3</v>
      </c>
      <c r="M15" s="141">
        <f>'[2]EU Sun Oil Exports'!M$136</f>
        <v>7.0000000000000001E-3</v>
      </c>
      <c r="N15" s="141">
        <f>'[2]EU Sun Oil Exports'!N$136</f>
        <v>0</v>
      </c>
      <c r="O15" s="141">
        <f>'[2]EU Sun Oil Exports'!O$136</f>
        <v>3.1E-2</v>
      </c>
      <c r="P15" s="141">
        <f>'[2]EU Sun Oil Exports'!P$136</f>
        <v>0.59299999999999997</v>
      </c>
      <c r="Q15" s="141">
        <f>'[2]EU Sun Oil Exports'!Q$136</f>
        <v>0.11799999999999999</v>
      </c>
      <c r="R15" s="141">
        <f>'[2]EU Sun Oil Exports'!R$136</f>
        <v>0.69100000000000006</v>
      </c>
      <c r="S15" s="141">
        <f>'[2]EU Sun Oil Exports'!S$136</f>
        <v>1.111</v>
      </c>
      <c r="T15" s="141">
        <f>'[2]EU Sun Oil Exports'!T$136</f>
        <v>1.726</v>
      </c>
      <c r="U15" s="141">
        <f>'[2]EU Sun Oil Exports'!U$136</f>
        <v>1.2729999999999999</v>
      </c>
      <c r="V15" s="141">
        <f>'[2]EU Sun Oil Exports'!V$136</f>
        <v>0.76400000000000012</v>
      </c>
      <c r="W15" s="141">
        <f>'[2]EU Sun Oil Exports'!W$136</f>
        <v>1.089</v>
      </c>
      <c r="X15" s="141">
        <f>'[2]EU Sun Oil Exports'!X$136</f>
        <v>0.84200000000000008</v>
      </c>
      <c r="Y15" s="141">
        <f>'[2]EU Sun Oil Exports'!Y$136</f>
        <v>0.44600000000000006</v>
      </c>
      <c r="Z15" s="141">
        <f>'[2]EU Sun Oil Exports'!Z$136</f>
        <v>0.56700000000000017</v>
      </c>
      <c r="AA15" s="141">
        <f>'[2]EU Sun Oil Exports'!AA$136</f>
        <v>1.2239999999999998</v>
      </c>
      <c r="AB15" s="141">
        <f>'[2]EU Sun Oil Exports'!AB$136</f>
        <v>2.738</v>
      </c>
      <c r="AC15" s="141">
        <f>'[2]EU Sun Oil Exports'!AC$136</f>
        <v>0.93400000000000016</v>
      </c>
      <c r="AD15" s="143">
        <f>'[2]EU Sun Oil Exports'!AD$136</f>
        <v>2.3510000000000004</v>
      </c>
      <c r="AE15" s="141">
        <f>'[2]Ukraine Sun Oil Exports'!B$136</f>
        <v>0</v>
      </c>
      <c r="AF15" s="141">
        <f>'[2]Ukraine Sun Oil Exports'!C$136</f>
        <v>0</v>
      </c>
      <c r="AG15" s="141">
        <f>'[2]Ukraine Sun Oil Exports'!D$136</f>
        <v>0</v>
      </c>
      <c r="AH15" s="141">
        <f>'[2]Ukraine Sun Oil Exports'!E$136</f>
        <v>0</v>
      </c>
      <c r="AI15" s="141">
        <f>'[2]Ukraine Sun Oil Exports'!F$136</f>
        <v>0</v>
      </c>
      <c r="AJ15" s="141">
        <f>'[2]Ukraine Sun Oil Exports'!G$136</f>
        <v>0</v>
      </c>
      <c r="AK15" s="141">
        <f>'[2]Ukraine Sun Oil Exports'!H$136</f>
        <v>0</v>
      </c>
      <c r="AL15" s="141">
        <f>'[2]Ukraine Sun Oil Exports'!I$136</f>
        <v>0</v>
      </c>
      <c r="AM15" s="141">
        <f>'[2]Ukraine Sun Oil Exports'!J$136</f>
        <v>0</v>
      </c>
      <c r="AN15" s="141">
        <f>'[2]Ukraine Sun Oil Exports'!K$136</f>
        <v>0</v>
      </c>
      <c r="AO15" s="141">
        <f>'[2]Ukraine Sun Oil Exports'!L$136</f>
        <v>0</v>
      </c>
      <c r="AP15" s="141">
        <f>'[2]Ukraine Sun Oil Exports'!M$136</f>
        <v>0</v>
      </c>
      <c r="AQ15" s="141">
        <f>'[2]Ukraine Sun Oil Exports'!N$136</f>
        <v>0</v>
      </c>
      <c r="AR15" s="141">
        <f>'[2]Ukraine Sun Oil Exports'!O$136</f>
        <v>0</v>
      </c>
      <c r="AS15" s="141">
        <f>'[2]Ukraine Sun Oil Exports'!P$136</f>
        <v>0</v>
      </c>
      <c r="AT15" s="141">
        <f>'[2]Ukraine Sun Oil Exports'!Q$136</f>
        <v>0</v>
      </c>
      <c r="AU15" s="141">
        <f>'[2]Ukraine Sun Oil Exports'!R$136</f>
        <v>0</v>
      </c>
      <c r="AV15" s="141">
        <f>'[2]Ukraine Sun Oil Exports'!S$136</f>
        <v>0</v>
      </c>
      <c r="AW15" s="141">
        <f>'[2]Ukraine Sun Oil Exports'!T$136</f>
        <v>0</v>
      </c>
      <c r="AX15" s="141">
        <f>'[2]Ukraine Sun Oil Exports'!U$136</f>
        <v>0</v>
      </c>
      <c r="AY15" s="141">
        <f>'[2]Ukraine Sun Oil Exports'!V$136</f>
        <v>0</v>
      </c>
      <c r="AZ15" s="141">
        <f>'[2]Ukraine Sun Oil Exports'!W$136</f>
        <v>2.5999999999999999E-2</v>
      </c>
      <c r="BA15" s="141">
        <f>'[2]Ukraine Sun Oil Exports'!X$136</f>
        <v>0</v>
      </c>
      <c r="BB15" s="141">
        <f>'[2]Ukraine Sun Oil Exports'!Y$136</f>
        <v>0.33260200000000001</v>
      </c>
      <c r="BC15" s="141">
        <f>'[2]Ukraine Sun Oil Exports'!Z$136</f>
        <v>1.634498</v>
      </c>
      <c r="BD15" s="141">
        <f>'[2]Ukraine Sun Oil Exports'!AA$136</f>
        <v>3.9312890000000005</v>
      </c>
      <c r="BE15" s="141">
        <f>'[2]Ukraine Sun Oil Exports'!AB$136</f>
        <v>3.0718039999999998</v>
      </c>
      <c r="BF15" s="141">
        <f>'[2]Ukraine Sun Oil Exports'!AC$136</f>
        <v>2.4419819999999999</v>
      </c>
      <c r="BG15" s="141">
        <f>'[2]Ukraine Sun Oil Exports'!AD$136</f>
        <v>1.5179999999999998</v>
      </c>
      <c r="BH15" s="141">
        <f>'[2]Russia Sun Oil Exports'!B$136</f>
        <v>0</v>
      </c>
      <c r="BI15" s="141">
        <f>'[2]Russia Sun Oil Exports'!C$136</f>
        <v>0</v>
      </c>
      <c r="BJ15" s="141">
        <f>'[2]Russia Sun Oil Exports'!D$136</f>
        <v>0</v>
      </c>
      <c r="BK15" s="141">
        <f>'[2]Russia Sun Oil Exports'!E$136</f>
        <v>0</v>
      </c>
      <c r="BL15" s="141">
        <f>'[2]Russia Sun Oil Exports'!F$136</f>
        <v>0</v>
      </c>
      <c r="BM15" s="141">
        <f>'[2]Russia Sun Oil Exports'!G$136</f>
        <v>0</v>
      </c>
      <c r="BN15" s="141">
        <f>'[2]Russia Sun Oil Exports'!H$136</f>
        <v>0</v>
      </c>
      <c r="BO15" s="141">
        <f>'[2]Russia Sun Oil Exports'!I$136</f>
        <v>0</v>
      </c>
      <c r="BP15" s="141">
        <f>'[2]Russia Sun Oil Exports'!J$136</f>
        <v>0</v>
      </c>
      <c r="BQ15" s="141">
        <f>'[2]Russia Sun Oil Exports'!K$136</f>
        <v>0</v>
      </c>
      <c r="BR15" s="141">
        <f>'[2]Russia Sun Oil Exports'!L$136</f>
        <v>0</v>
      </c>
      <c r="BS15" s="141">
        <f>'[2]Russia Sun Oil Exports'!M$136</f>
        <v>0</v>
      </c>
      <c r="BT15" s="141">
        <f>'[2]Russia Sun Oil Exports'!N$136</f>
        <v>0</v>
      </c>
      <c r="BU15" s="141">
        <f>'[2]Russia Sun Oil Exports'!O$136</f>
        <v>0</v>
      </c>
      <c r="BV15" s="141">
        <f>'[2]Russia Sun Oil Exports'!P$136</f>
        <v>0</v>
      </c>
      <c r="BW15" s="141">
        <f>'[2]Russia Sun Oil Exports'!Q$136</f>
        <v>0</v>
      </c>
      <c r="BX15" s="141">
        <f>'[2]Russia Sun Oil Exports'!R$136</f>
        <v>0</v>
      </c>
      <c r="BY15" s="141">
        <f>'[2]Russia Sun Oil Exports'!S$136</f>
        <v>0</v>
      </c>
      <c r="BZ15" s="141">
        <f>'[2]Russia Sun Oil Exports'!T$136</f>
        <v>0</v>
      </c>
      <c r="CA15" s="141">
        <f>'[2]Russia Sun Oil Exports'!U$136</f>
        <v>0</v>
      </c>
      <c r="CB15" s="141">
        <f>'[2]Russia Sun Oil Exports'!V$136</f>
        <v>0</v>
      </c>
      <c r="CC15" s="141">
        <f>'[2]Russia Sun Oil Exports'!W$136</f>
        <v>0</v>
      </c>
      <c r="CD15" s="141">
        <f>'[2]Russia Sun Oil Exports'!X$136</f>
        <v>0</v>
      </c>
      <c r="CE15" s="141">
        <f>'[2]Russia Sun Oil Exports'!Y$136</f>
        <v>0</v>
      </c>
      <c r="CF15" s="141">
        <f>'[2]Russia Sun Oil Exports'!Z$136</f>
        <v>0</v>
      </c>
      <c r="CG15" s="147">
        <f>'[2]Russia Sun Oil Exports'!AA$136</f>
        <v>0</v>
      </c>
      <c r="CH15" s="141">
        <f>'[2]Russia Sun Oil Exports'!AB$136</f>
        <v>0</v>
      </c>
      <c r="CI15" s="141">
        <f>'[2]Russia Sun Oil Exports'!AC$136</f>
        <v>0</v>
      </c>
      <c r="CJ15" s="143">
        <f>'[2]Russia Sun Oil Exports'!AD$136</f>
        <v>2E-3</v>
      </c>
      <c r="CK15" s="141">
        <f>'[3]Sunflower Oil Exports'!B$136/2204.622*1000</f>
        <v>0</v>
      </c>
      <c r="CL15" s="141">
        <f>'[3]Sunflower Oil Exports'!C$136/2204.622*1000</f>
        <v>0</v>
      </c>
      <c r="CM15" s="141">
        <f>'[3]Sunflower Oil Exports'!D$136/2204.622*1000</f>
        <v>2.5000000000000001E-3</v>
      </c>
      <c r="CN15" s="141">
        <f>'[3]Sunflower Oil Exports'!E$136/2204.622*1000</f>
        <v>2.5000000000000001E-3</v>
      </c>
      <c r="CO15" s="141">
        <f>'[3]Sunflower Oil Exports'!F$136/2204.622*1000</f>
        <v>0</v>
      </c>
      <c r="CP15" s="141">
        <f>'[3]Sunflower Oil Exports'!G$136/2204.622*1000</f>
        <v>1.3400000000000002E-2</v>
      </c>
      <c r="CQ15" s="141">
        <f>'[3]Sunflower Oil Exports'!H$136/2204.622*1000</f>
        <v>0</v>
      </c>
      <c r="CR15" s="141">
        <f>'[3]Sunflower Oil Exports'!I$136/2204.622*1000</f>
        <v>0</v>
      </c>
      <c r="CS15" s="141">
        <f>'[3]Sunflower Oil Exports'!J$136/2204.622*1000</f>
        <v>0</v>
      </c>
      <c r="CT15" s="141">
        <f>'[3]Sunflower Oil Exports'!K$136/2204.622*1000</f>
        <v>0</v>
      </c>
      <c r="CU15" s="141">
        <f>'[3]Sunflower Oil Exports'!L$136/2204.622*1000</f>
        <v>0</v>
      </c>
      <c r="CV15" s="141">
        <f>'[3]Sunflower Oil Exports'!M$136/2204.622*1000</f>
        <v>1.7000000000000001E-3</v>
      </c>
      <c r="CW15" s="141">
        <f>'[3]Sunflower Oil Exports'!N$136/2204.622*1000</f>
        <v>0</v>
      </c>
      <c r="CX15" s="141">
        <f>'[3]Sunflower Oil Exports'!O$136/2204.622*1000</f>
        <v>0.30820000000000008</v>
      </c>
      <c r="CY15" s="141">
        <f>'[3]Sunflower Oil Exports'!P$136/2204.622*1000</f>
        <v>7.9700000000000007E-2</v>
      </c>
      <c r="CZ15" s="141">
        <f>'[3]Sunflower Oil Exports'!Q$136/2204.622*1000</f>
        <v>0</v>
      </c>
      <c r="DA15" s="141">
        <f>'[3]Sunflower Oil Exports'!R$136/2204.622*1000</f>
        <v>0</v>
      </c>
      <c r="DB15" s="141">
        <f>'[3]Sunflower Oil Exports'!S$136/2204.622*1000</f>
        <v>8.7000000000000011E-3</v>
      </c>
      <c r="DC15" s="141">
        <f>'[3]Sunflower Oil Exports'!T$136/2204.622*1000</f>
        <v>0</v>
      </c>
      <c r="DD15" s="141">
        <f>'[3]Sunflower Oil Exports'!U$136/2204.622*1000</f>
        <v>0</v>
      </c>
      <c r="DE15" s="141">
        <f>'[3]Sunflower Oil Exports'!V$136/2204.622*1000</f>
        <v>0</v>
      </c>
      <c r="DF15" s="141">
        <f>'[3]Sunflower Oil Exports'!W$136/2204.622*1000</f>
        <v>0</v>
      </c>
      <c r="DG15" s="141">
        <f>'[3]Sunflower Oil Exports'!X$136/2204.622*1000</f>
        <v>0</v>
      </c>
      <c r="DH15" s="141">
        <f>'[3]Sunflower Oil Exports'!Y$136/2204.622*1000</f>
        <v>0</v>
      </c>
      <c r="DI15" s="141">
        <f>'[3]Sunflower Oil Exports'!Z$136/2204.622*1000</f>
        <v>1.758498404715185E-2</v>
      </c>
      <c r="DJ15" s="141">
        <f>'[3]Sunflower Oil Exports'!AA$136/2204.622*1000</f>
        <v>0.47907056539397685</v>
      </c>
      <c r="DK15" s="141">
        <f>'[3]Sunflower Oil Exports'!AB$136/2204.622*1000</f>
        <v>0.21979380060618101</v>
      </c>
      <c r="DL15" s="141">
        <f>'[3]Sunflower Oil Exports'!AC$136/2204.622*1000</f>
        <v>4.6942287612116726E-3</v>
      </c>
      <c r="DM15" s="143">
        <f>'[3]Sunflower Oil Exports'!AD$136/2204.622*1000</f>
        <v>0</v>
      </c>
      <c r="DN15" s="141">
        <f t="shared" si="3"/>
        <v>0</v>
      </c>
      <c r="DO15" s="141">
        <f t="shared" si="3"/>
        <v>0</v>
      </c>
      <c r="DP15" s="141">
        <f t="shared" si="3"/>
        <v>2.5000000000000001E-3</v>
      </c>
      <c r="DQ15" s="141">
        <f t="shared" si="3"/>
        <v>4.5000000000000005E-3</v>
      </c>
      <c r="DR15" s="141">
        <f t="shared" si="3"/>
        <v>0.02</v>
      </c>
      <c r="DS15" s="141">
        <f t="shared" si="3"/>
        <v>1.3400000000000002E-2</v>
      </c>
      <c r="DT15" s="141">
        <f t="shared" si="3"/>
        <v>0</v>
      </c>
      <c r="DU15" s="141">
        <f t="shared" si="3"/>
        <v>6.0000000000000001E-3</v>
      </c>
      <c r="DV15" s="141">
        <f t="shared" si="3"/>
        <v>1E-3</v>
      </c>
      <c r="DW15" s="141">
        <f t="shared" si="3"/>
        <v>4.0000000000000001E-3</v>
      </c>
      <c r="DX15" s="141">
        <f t="shared" si="3"/>
        <v>2E-3</v>
      </c>
      <c r="DY15" s="141">
        <f t="shared" si="3"/>
        <v>8.6999999999999994E-3</v>
      </c>
      <c r="DZ15" s="141">
        <f t="shared" si="3"/>
        <v>0</v>
      </c>
      <c r="EA15" s="141">
        <f t="shared" si="3"/>
        <v>0.33920000000000006</v>
      </c>
      <c r="EB15" s="141">
        <f t="shared" si="3"/>
        <v>0.67269999999999996</v>
      </c>
      <c r="EC15" s="141">
        <f t="shared" si="3"/>
        <v>0.11799999999999999</v>
      </c>
      <c r="ED15" s="141">
        <f t="shared" si="4"/>
        <v>0.69100000000000006</v>
      </c>
      <c r="EE15" s="141">
        <f t="shared" si="4"/>
        <v>1.1196999999999999</v>
      </c>
      <c r="EF15" s="141">
        <f t="shared" si="4"/>
        <v>1.726</v>
      </c>
      <c r="EG15" s="141">
        <f t="shared" si="4"/>
        <v>1.2729999999999999</v>
      </c>
      <c r="EH15" s="141">
        <f t="shared" si="4"/>
        <v>0.76400000000000012</v>
      </c>
      <c r="EI15" s="141">
        <f t="shared" si="4"/>
        <v>1.115</v>
      </c>
      <c r="EJ15" s="141">
        <f t="shared" si="4"/>
        <v>0.84200000000000008</v>
      </c>
      <c r="EK15" s="141">
        <f t="shared" si="4"/>
        <v>0.77860200000000002</v>
      </c>
      <c r="EL15" s="141">
        <f t="shared" si="4"/>
        <v>2.219082984047152</v>
      </c>
      <c r="EM15" s="147">
        <f t="shared" si="4"/>
        <v>5.6343595653939769</v>
      </c>
      <c r="EN15" s="141">
        <f t="shared" si="4"/>
        <v>6.0295978006061803</v>
      </c>
      <c r="EO15" s="141">
        <f t="shared" si="4"/>
        <v>3.3806762287612115</v>
      </c>
      <c r="EP15" s="145">
        <f t="shared" si="7"/>
        <v>3.871</v>
      </c>
      <c r="EQ15" s="145">
        <v>5</v>
      </c>
      <c r="ES15" s="145">
        <f t="shared" si="5"/>
        <v>0</v>
      </c>
      <c r="ET15" s="145">
        <f t="shared" si="6"/>
        <v>0</v>
      </c>
      <c r="EU15" s="145"/>
    </row>
    <row r="16" spans="1:151">
      <c r="A16" s="187" t="s">
        <v>146</v>
      </c>
      <c r="B16" s="141">
        <f>'[2]EU Sun Oil Exports'!B$140</f>
        <v>0</v>
      </c>
      <c r="C16" s="141">
        <f>'[2]EU Sun Oil Exports'!C$140</f>
        <v>0</v>
      </c>
      <c r="D16" s="141">
        <f>'[2]EU Sun Oil Exports'!D$140</f>
        <v>0</v>
      </c>
      <c r="E16" s="141">
        <f>'[2]EU Sun Oil Exports'!E$140</f>
        <v>0.10600000000000001</v>
      </c>
      <c r="F16" s="141">
        <f>'[2]EU Sun Oil Exports'!F$140</f>
        <v>0.27400000000000002</v>
      </c>
      <c r="G16" s="141">
        <f>'[2]EU Sun Oil Exports'!G$140</f>
        <v>0.20600000000000002</v>
      </c>
      <c r="H16" s="141">
        <f>'[2]EU Sun Oil Exports'!H$140</f>
        <v>2.3890000000000002</v>
      </c>
      <c r="I16" s="141">
        <f>'[2]EU Sun Oil Exports'!I$140</f>
        <v>1.577</v>
      </c>
      <c r="J16" s="141">
        <f>'[2]EU Sun Oil Exports'!J$140</f>
        <v>0.24</v>
      </c>
      <c r="K16" s="141">
        <f>'[2]EU Sun Oil Exports'!K$140</f>
        <v>0.125</v>
      </c>
      <c r="L16" s="141">
        <f>'[2]EU Sun Oil Exports'!L$140</f>
        <v>0.10900000000000001</v>
      </c>
      <c r="M16" s="141">
        <f>'[2]EU Sun Oil Exports'!M$140</f>
        <v>5.1889999999999983</v>
      </c>
      <c r="N16" s="141">
        <f>'[2]EU Sun Oil Exports'!N$140</f>
        <v>0.47400000000000003</v>
      </c>
      <c r="O16" s="141">
        <f>'[2]EU Sun Oil Exports'!O$140</f>
        <v>0.71499999999999997</v>
      </c>
      <c r="P16" s="141">
        <f>'[2]EU Sun Oil Exports'!P$140</f>
        <v>1.3210000000000002</v>
      </c>
      <c r="Q16" s="141">
        <f>'[2]EU Sun Oil Exports'!Q$140</f>
        <v>1.4990000000000001</v>
      </c>
      <c r="R16" s="141">
        <f>'[2]EU Sun Oil Exports'!R$140</f>
        <v>1.8239999999999998</v>
      </c>
      <c r="S16" s="141">
        <f>'[2]EU Sun Oil Exports'!S$140</f>
        <v>2.7160000000000002</v>
      </c>
      <c r="T16" s="141">
        <f>'[2]EU Sun Oil Exports'!T$140</f>
        <v>2.1100000000000003</v>
      </c>
      <c r="U16" s="141">
        <f>'[2]EU Sun Oil Exports'!U$140</f>
        <v>1.7909999999999999</v>
      </c>
      <c r="V16" s="141">
        <f>'[2]EU Sun Oil Exports'!V$140</f>
        <v>1.9810000000000003</v>
      </c>
      <c r="W16" s="141">
        <f>'[2]EU Sun Oil Exports'!W$140</f>
        <v>1.3610000000000002</v>
      </c>
      <c r="X16" s="141">
        <f>'[2]EU Sun Oil Exports'!X$140</f>
        <v>1.2769999999999997</v>
      </c>
      <c r="Y16" s="141">
        <f>'[2]EU Sun Oil Exports'!Y$140</f>
        <v>1.77</v>
      </c>
      <c r="Z16" s="141">
        <f>'[2]EU Sun Oil Exports'!Z$140</f>
        <v>1.7870000000000001</v>
      </c>
      <c r="AA16" s="141">
        <f>'[2]EU Sun Oil Exports'!AA$140</f>
        <v>0.83900000000000019</v>
      </c>
      <c r="AB16" s="141">
        <f>'[2]EU Sun Oil Exports'!AB$140</f>
        <v>0.81300000000000006</v>
      </c>
      <c r="AC16" s="141">
        <f>'[2]EU Sun Oil Exports'!AC$140</f>
        <v>6.7430000000000003</v>
      </c>
      <c r="AD16" s="143">
        <f>'[2]EU Sun Oil Exports'!AD$140</f>
        <v>0.222</v>
      </c>
      <c r="AE16" s="141">
        <f>'[2]Ukraine Sun Oil Exports'!B$140</f>
        <v>0</v>
      </c>
      <c r="AF16" s="141">
        <f>'[2]Ukraine Sun Oil Exports'!C$140</f>
        <v>0</v>
      </c>
      <c r="AG16" s="141">
        <f>'[2]Ukraine Sun Oil Exports'!D$140</f>
        <v>0</v>
      </c>
      <c r="AH16" s="141">
        <f>'[2]Ukraine Sun Oil Exports'!E$140</f>
        <v>0</v>
      </c>
      <c r="AI16" s="141">
        <f>'[2]Ukraine Sun Oil Exports'!F$140</f>
        <v>0</v>
      </c>
      <c r="AJ16" s="141">
        <f>'[2]Ukraine Sun Oil Exports'!G$140</f>
        <v>0</v>
      </c>
      <c r="AK16" s="141">
        <f>'[2]Ukraine Sun Oil Exports'!H$140</f>
        <v>0</v>
      </c>
      <c r="AL16" s="141">
        <f>'[2]Ukraine Sun Oil Exports'!I$140</f>
        <v>0</v>
      </c>
      <c r="AM16" s="141">
        <f>'[2]Ukraine Sun Oil Exports'!J$140</f>
        <v>0</v>
      </c>
      <c r="AN16" s="141">
        <f>'[2]Ukraine Sun Oil Exports'!K$140</f>
        <v>3.778</v>
      </c>
      <c r="AO16" s="141">
        <f>'[2]Ukraine Sun Oil Exports'!L$140</f>
        <v>2</v>
      </c>
      <c r="AP16" s="141">
        <f>'[2]Ukraine Sun Oil Exports'!M$140</f>
        <v>24.372999999999998</v>
      </c>
      <c r="AQ16" s="141">
        <f>'[2]Ukraine Sun Oil Exports'!N$140</f>
        <v>37.912999999999997</v>
      </c>
      <c r="AR16" s="141">
        <f>'[2]Ukraine Sun Oil Exports'!O$140</f>
        <v>37.286999999999999</v>
      </c>
      <c r="AS16" s="141">
        <f>'[2]Ukraine Sun Oil Exports'!P$140</f>
        <v>30.073</v>
      </c>
      <c r="AT16" s="141">
        <f>'[2]Ukraine Sun Oil Exports'!Q$140</f>
        <v>41.029000000000003</v>
      </c>
      <c r="AU16" s="141">
        <f>'[2]Ukraine Sun Oil Exports'!R$140</f>
        <v>36.183999999999997</v>
      </c>
      <c r="AV16" s="141">
        <f>'[2]Ukraine Sun Oil Exports'!S$140</f>
        <v>61.733999999999995</v>
      </c>
      <c r="AW16" s="141">
        <f>'[2]Ukraine Sun Oil Exports'!T$140</f>
        <v>57.996999999999993</v>
      </c>
      <c r="AX16" s="141">
        <f>'[2]Ukraine Sun Oil Exports'!U$140</f>
        <v>69.361999999999995</v>
      </c>
      <c r="AY16" s="141">
        <f>'[2]Ukraine Sun Oil Exports'!V$140</f>
        <v>72.058999999999997</v>
      </c>
      <c r="AZ16" s="141">
        <f>'[2]Ukraine Sun Oil Exports'!W$140</f>
        <v>72.460999999999999</v>
      </c>
      <c r="BA16" s="141">
        <f>'[2]Ukraine Sun Oil Exports'!X$140</f>
        <v>66.272999999999996</v>
      </c>
      <c r="BB16" s="141">
        <f>'[2]Ukraine Sun Oil Exports'!Y$140</f>
        <v>58.466434000000007</v>
      </c>
      <c r="BC16" s="141">
        <f>'[2]Ukraine Sun Oil Exports'!Z$140</f>
        <v>42.945352</v>
      </c>
      <c r="BD16" s="141">
        <f>'[2]Ukraine Sun Oil Exports'!AA$140</f>
        <v>34.030669000000003</v>
      </c>
      <c r="BE16" s="141">
        <f>'[2]Ukraine Sun Oil Exports'!AB$140</f>
        <v>80.482318000000006</v>
      </c>
      <c r="BF16" s="141">
        <f>'[2]Ukraine Sun Oil Exports'!AC$140</f>
        <v>81.294623000000001</v>
      </c>
      <c r="BG16" s="141">
        <f>'[2]Ukraine Sun Oil Exports'!AD$140</f>
        <v>56.031999999999989</v>
      </c>
      <c r="BH16" s="141">
        <f>'[2]Russia Sun Oil Exports'!B$140</f>
        <v>0</v>
      </c>
      <c r="BI16" s="141">
        <f>'[2]Russia Sun Oil Exports'!C$140</f>
        <v>0</v>
      </c>
      <c r="BJ16" s="141">
        <f>'[2]Russia Sun Oil Exports'!D$140</f>
        <v>0</v>
      </c>
      <c r="BK16" s="141">
        <f>'[2]Russia Sun Oil Exports'!E$140</f>
        <v>0</v>
      </c>
      <c r="BL16" s="141">
        <f>'[2]Russia Sun Oil Exports'!F$140</f>
        <v>0</v>
      </c>
      <c r="BM16" s="141">
        <f>'[2]Russia Sun Oil Exports'!G$140</f>
        <v>0</v>
      </c>
      <c r="BN16" s="141">
        <f>'[2]Russia Sun Oil Exports'!H$140</f>
        <v>0</v>
      </c>
      <c r="BO16" s="141">
        <f>'[2]Russia Sun Oil Exports'!I$140</f>
        <v>0</v>
      </c>
      <c r="BP16" s="141">
        <f>'[2]Russia Sun Oil Exports'!J$140</f>
        <v>0</v>
      </c>
      <c r="BQ16" s="141">
        <f>'[2]Russia Sun Oil Exports'!K$140</f>
        <v>0</v>
      </c>
      <c r="BR16" s="141">
        <f>'[2]Russia Sun Oil Exports'!L$140</f>
        <v>1.2184170000000001</v>
      </c>
      <c r="BS16" s="141">
        <f>'[2]Russia Sun Oil Exports'!M$140</f>
        <v>0</v>
      </c>
      <c r="BT16" s="141">
        <f>'[2]Russia Sun Oil Exports'!N$140</f>
        <v>0</v>
      </c>
      <c r="BU16" s="141">
        <f>'[2]Russia Sun Oil Exports'!O$140</f>
        <v>0</v>
      </c>
      <c r="BV16" s="141">
        <f>'[2]Russia Sun Oil Exports'!P$140</f>
        <v>0</v>
      </c>
      <c r="BW16" s="141">
        <f>'[2]Russia Sun Oil Exports'!Q$140</f>
        <v>3.1309999999999998</v>
      </c>
      <c r="BX16" s="141">
        <f>'[2]Russia Sun Oil Exports'!R$140</f>
        <v>6.9729999999999999</v>
      </c>
      <c r="BY16" s="141">
        <f>'[2]Russia Sun Oil Exports'!S$140</f>
        <v>11.010999999999999</v>
      </c>
      <c r="BZ16" s="141">
        <f>'[2]Russia Sun Oil Exports'!T$140</f>
        <v>35.453000000000003</v>
      </c>
      <c r="CA16" s="141">
        <f>'[2]Russia Sun Oil Exports'!U$140</f>
        <v>12.295</v>
      </c>
      <c r="CB16" s="141">
        <f>'[2]Russia Sun Oil Exports'!V$140</f>
        <v>27.616</v>
      </c>
      <c r="CC16" s="141">
        <f>'[2]Russia Sun Oil Exports'!W$140</f>
        <v>35.528999999999996</v>
      </c>
      <c r="CD16" s="141">
        <f>'[2]Russia Sun Oil Exports'!X$140</f>
        <v>55.324999999999996</v>
      </c>
      <c r="CE16" s="141">
        <f>'[2]Russia Sun Oil Exports'!Y$140</f>
        <v>56</v>
      </c>
      <c r="CF16" s="141">
        <f>'[2]Russia Sun Oil Exports'!Z$140</f>
        <v>88.958779000000007</v>
      </c>
      <c r="CG16" s="147">
        <f>'[2]Russia Sun Oil Exports'!AA$140</f>
        <v>68.797201999999999</v>
      </c>
      <c r="CH16" s="141">
        <f>'[2]Russia Sun Oil Exports'!AB$140</f>
        <v>48</v>
      </c>
      <c r="CI16" s="141">
        <f>'[2]Russia Sun Oil Exports'!AC$140</f>
        <v>55.158000000000001</v>
      </c>
      <c r="CJ16" s="143">
        <f>'[2]Russia Sun Oil Exports'!AD$140</f>
        <v>51.881266999999994</v>
      </c>
      <c r="CK16" s="141">
        <f>'[3]Sunflower Oil Exports'!B$140/2204.622*1000</f>
        <v>1.7500000000000002E-2</v>
      </c>
      <c r="CL16" s="141">
        <f>'[3]Sunflower Oil Exports'!C$140/2204.622*1000</f>
        <v>0.61670000000000014</v>
      </c>
      <c r="CM16" s="141">
        <f>'[3]Sunflower Oil Exports'!D$140/2204.622*1000</f>
        <v>6.5000000000000006E-3</v>
      </c>
      <c r="CN16" s="141">
        <f>'[3]Sunflower Oil Exports'!E$140/2204.622*1000</f>
        <v>9.4999999999999998E-3</v>
      </c>
      <c r="CO16" s="141">
        <f>'[3]Sunflower Oil Exports'!F$140/2204.622*1000</f>
        <v>1.4400000000000001E-2</v>
      </c>
      <c r="CP16" s="141">
        <f>'[3]Sunflower Oil Exports'!G$140/2204.622*1000</f>
        <v>2.0095000000000001</v>
      </c>
      <c r="CQ16" s="141">
        <f>'[3]Sunflower Oil Exports'!H$140/2204.622*1000</f>
        <v>0.87300000000000011</v>
      </c>
      <c r="CR16" s="141">
        <f>'[3]Sunflower Oil Exports'!I$140/2204.622*1000</f>
        <v>2.9382000000000001</v>
      </c>
      <c r="CS16" s="141">
        <f>'[3]Sunflower Oil Exports'!J$140/2204.622*1000</f>
        <v>6.571200000000001</v>
      </c>
      <c r="CT16" s="141">
        <f>'[3]Sunflower Oil Exports'!K$140/2204.622*1000</f>
        <v>3.6000000000000005</v>
      </c>
      <c r="CU16" s="141">
        <f>'[3]Sunflower Oil Exports'!L$140/2204.622*1000</f>
        <v>0</v>
      </c>
      <c r="CV16" s="141">
        <f>'[3]Sunflower Oil Exports'!M$140/2204.622*1000</f>
        <v>0</v>
      </c>
      <c r="CW16" s="141">
        <f>'[3]Sunflower Oil Exports'!N$140/2204.622*1000</f>
        <v>0</v>
      </c>
      <c r="CX16" s="141">
        <f>'[3]Sunflower Oil Exports'!O$140/2204.622*1000</f>
        <v>0</v>
      </c>
      <c r="CY16" s="141">
        <f>'[3]Sunflower Oil Exports'!P$140/2204.622*1000</f>
        <v>0</v>
      </c>
      <c r="CZ16" s="141">
        <f>'[3]Sunflower Oil Exports'!Q$140/2204.622*1000</f>
        <v>0</v>
      </c>
      <c r="DA16" s="141">
        <f>'[3]Sunflower Oil Exports'!R$140/2204.622*1000</f>
        <v>2.4996</v>
      </c>
      <c r="DB16" s="141">
        <f>'[3]Sunflower Oil Exports'!S$140/2204.622*1000</f>
        <v>0</v>
      </c>
      <c r="DC16" s="141">
        <f>'[3]Sunflower Oil Exports'!T$140/2204.622*1000</f>
        <v>6.4000000000000003E-3</v>
      </c>
      <c r="DD16" s="141">
        <f>'[3]Sunflower Oil Exports'!U$140/2204.622*1000</f>
        <v>0</v>
      </c>
      <c r="DE16" s="141">
        <f>'[3]Sunflower Oil Exports'!V$140/2204.622*1000</f>
        <v>9.1000000000000004E-3</v>
      </c>
      <c r="DF16" s="141">
        <f>'[3]Sunflower Oil Exports'!W$140/2204.622*1000</f>
        <v>0</v>
      </c>
      <c r="DG16" s="141">
        <f>'[3]Sunflower Oil Exports'!X$140/2204.622*1000</f>
        <v>0</v>
      </c>
      <c r="DH16" s="141">
        <f>'[3]Sunflower Oil Exports'!Y$140/2204.622*1000</f>
        <v>0</v>
      </c>
      <c r="DI16" s="141">
        <f>'[3]Sunflower Oil Exports'!Z$140/2204.622*1000</f>
        <v>9.2999915631795385E-4</v>
      </c>
      <c r="DJ16" s="141">
        <f>'[3]Sunflower Oil Exports'!AA$140/2204.622*1000</f>
        <v>0</v>
      </c>
      <c r="DK16" s="141">
        <f>'[3]Sunflower Oil Exports'!AB$140/2204.622*1000</f>
        <v>0</v>
      </c>
      <c r="DL16" s="141">
        <f>'[3]Sunflower Oil Exports'!AC$140/2204.622*1000</f>
        <v>0</v>
      </c>
      <c r="DM16" s="143">
        <f>'[3]Sunflower Oil Exports'!AD$140/2204.622*1000</f>
        <v>0</v>
      </c>
      <c r="DN16" s="141">
        <f t="shared" si="3"/>
        <v>1.7500000000000002E-2</v>
      </c>
      <c r="DO16" s="141">
        <f t="shared" si="3"/>
        <v>0.61670000000000014</v>
      </c>
      <c r="DP16" s="141">
        <f t="shared" si="3"/>
        <v>6.5000000000000006E-3</v>
      </c>
      <c r="DQ16" s="141">
        <f t="shared" si="3"/>
        <v>0.11550000000000001</v>
      </c>
      <c r="DR16" s="141">
        <f t="shared" si="3"/>
        <v>0.28840000000000005</v>
      </c>
      <c r="DS16" s="141">
        <f t="shared" si="3"/>
        <v>2.2155</v>
      </c>
      <c r="DT16" s="141">
        <f t="shared" si="3"/>
        <v>3.2620000000000005</v>
      </c>
      <c r="DU16" s="141">
        <f t="shared" si="3"/>
        <v>4.5152000000000001</v>
      </c>
      <c r="DV16" s="141">
        <f t="shared" si="3"/>
        <v>6.8112000000000013</v>
      </c>
      <c r="DW16" s="141">
        <f t="shared" si="3"/>
        <v>7.5030000000000001</v>
      </c>
      <c r="DX16" s="141">
        <f t="shared" si="3"/>
        <v>3.3274170000000001</v>
      </c>
      <c r="DY16" s="141">
        <f t="shared" si="3"/>
        <v>29.561999999999998</v>
      </c>
      <c r="DZ16" s="141">
        <f t="shared" si="3"/>
        <v>38.386999999999993</v>
      </c>
      <c r="EA16" s="141">
        <f t="shared" si="3"/>
        <v>38.002000000000002</v>
      </c>
      <c r="EB16" s="141">
        <f t="shared" si="3"/>
        <v>31.394000000000002</v>
      </c>
      <c r="EC16" s="141">
        <f t="shared" si="3"/>
        <v>45.659000000000006</v>
      </c>
      <c r="ED16" s="141">
        <f t="shared" si="4"/>
        <v>47.480599999999995</v>
      </c>
      <c r="EE16" s="141">
        <f t="shared" si="4"/>
        <v>75.460999999999984</v>
      </c>
      <c r="EF16" s="141">
        <f t="shared" si="4"/>
        <v>95.566400000000002</v>
      </c>
      <c r="EG16" s="141">
        <f t="shared" si="4"/>
        <v>83.447999999999993</v>
      </c>
      <c r="EH16" s="141">
        <f t="shared" si="4"/>
        <v>101.6651</v>
      </c>
      <c r="EI16" s="141">
        <f t="shared" si="4"/>
        <v>109.351</v>
      </c>
      <c r="EJ16" s="141">
        <f t="shared" si="4"/>
        <v>122.875</v>
      </c>
      <c r="EK16" s="141">
        <f t="shared" si="4"/>
        <v>116.236434</v>
      </c>
      <c r="EL16" s="141">
        <f t="shared" si="4"/>
        <v>133.69206099915633</v>
      </c>
      <c r="EM16" s="147">
        <f t="shared" si="4"/>
        <v>103.666871</v>
      </c>
      <c r="EN16" s="141">
        <f t="shared" si="4"/>
        <v>129.29531800000001</v>
      </c>
      <c r="EO16" s="141">
        <f t="shared" si="4"/>
        <v>143.19562300000001</v>
      </c>
      <c r="EP16" s="145">
        <f t="shared" si="7"/>
        <v>108.13526699999998</v>
      </c>
      <c r="EQ16" s="145">
        <v>125</v>
      </c>
      <c r="ES16" s="145">
        <f t="shared" si="5"/>
        <v>0</v>
      </c>
      <c r="ET16" s="145">
        <f t="shared" si="6"/>
        <v>0</v>
      </c>
      <c r="EU16" s="145"/>
    </row>
    <row r="17" spans="1:151">
      <c r="A17" s="187" t="s">
        <v>147</v>
      </c>
      <c r="B17" s="141">
        <f>'[2]EU Sun Oil Exports'!B$112</f>
        <v>0</v>
      </c>
      <c r="C17" s="141">
        <f>'[2]EU Sun Oil Exports'!C$112</f>
        <v>0</v>
      </c>
      <c r="D17" s="141">
        <f>'[2]EU Sun Oil Exports'!D$112</f>
        <v>0</v>
      </c>
      <c r="E17" s="141">
        <f>'[2]EU Sun Oil Exports'!E$112</f>
        <v>9.6000000000000002E-2</v>
      </c>
      <c r="F17" s="141">
        <f>'[2]EU Sun Oil Exports'!F$112</f>
        <v>4.1000000000000002E-2</v>
      </c>
      <c r="G17" s="141">
        <f>'[2]EU Sun Oil Exports'!G$112</f>
        <v>3.6999999999999998E-2</v>
      </c>
      <c r="H17" s="141">
        <f>'[2]EU Sun Oil Exports'!H$112</f>
        <v>6.2000000000000006E-2</v>
      </c>
      <c r="I17" s="141">
        <f>'[2]EU Sun Oil Exports'!I$112</f>
        <v>6.5000000000000002E-2</v>
      </c>
      <c r="J17" s="141">
        <f>'[2]EU Sun Oil Exports'!J$112</f>
        <v>0.20799999999999999</v>
      </c>
      <c r="K17" s="141">
        <f>'[2]EU Sun Oil Exports'!K$112</f>
        <v>0.26900000000000002</v>
      </c>
      <c r="L17" s="141">
        <f>'[2]EU Sun Oil Exports'!L$112</f>
        <v>0.215</v>
      </c>
      <c r="M17" s="141">
        <f>'[2]EU Sun Oil Exports'!M$112</f>
        <v>0.751</v>
      </c>
      <c r="N17" s="141">
        <f>'[2]EU Sun Oil Exports'!N$112</f>
        <v>2.484</v>
      </c>
      <c r="O17" s="141">
        <f>'[2]EU Sun Oil Exports'!O$112</f>
        <v>4.5720000000000001</v>
      </c>
      <c r="P17" s="141">
        <f>'[2]EU Sun Oil Exports'!P$112</f>
        <v>3.7439999999999998</v>
      </c>
      <c r="Q17" s="141">
        <f>'[2]EU Sun Oil Exports'!Q$112</f>
        <v>1.4369999999999998</v>
      </c>
      <c r="R17" s="141">
        <f>'[2]EU Sun Oil Exports'!R$112</f>
        <v>5.4870000000000001</v>
      </c>
      <c r="S17" s="141">
        <f>'[2]EU Sun Oil Exports'!S$112</f>
        <v>6.1579999999999995</v>
      </c>
      <c r="T17" s="141">
        <f>'[2]EU Sun Oil Exports'!T$112</f>
        <v>8.6579999999999995</v>
      </c>
      <c r="U17" s="141">
        <f>'[2]EU Sun Oil Exports'!U$112</f>
        <v>8.4539999999999988</v>
      </c>
      <c r="V17" s="141">
        <f>'[2]EU Sun Oil Exports'!V$112</f>
        <v>7.6900000000000013</v>
      </c>
      <c r="W17" s="141">
        <f>'[2]EU Sun Oil Exports'!W$112</f>
        <v>12.071</v>
      </c>
      <c r="X17" s="141">
        <f>'[2]EU Sun Oil Exports'!X$112</f>
        <v>13.249000000000001</v>
      </c>
      <c r="Y17" s="141">
        <f>'[2]EU Sun Oil Exports'!Y$112</f>
        <v>12.856999999999999</v>
      </c>
      <c r="Z17" s="141">
        <f>'[2]EU Sun Oil Exports'!Z$112</f>
        <v>14.152999999999999</v>
      </c>
      <c r="AA17" s="141">
        <f>'[2]EU Sun Oil Exports'!AA$112</f>
        <v>15.341000000000001</v>
      </c>
      <c r="AB17" s="141">
        <f>'[2]EU Sun Oil Exports'!AB$112</f>
        <v>14.138999999999999</v>
      </c>
      <c r="AC17" s="141">
        <f>'[2]EU Sun Oil Exports'!AC$112</f>
        <v>9.7410000000000014</v>
      </c>
      <c r="AD17" s="143">
        <f>'[2]EU Sun Oil Exports'!AD$112</f>
        <v>10.216769999999999</v>
      </c>
      <c r="AE17" s="141">
        <f>'[2]Ukraine Sun Oil Exports'!B$112</f>
        <v>0</v>
      </c>
      <c r="AF17" s="141">
        <f>'[2]Ukraine Sun Oil Exports'!C$112</f>
        <v>0</v>
      </c>
      <c r="AG17" s="141">
        <f>'[2]Ukraine Sun Oil Exports'!D$112</f>
        <v>0</v>
      </c>
      <c r="AH17" s="141">
        <f>'[2]Ukraine Sun Oil Exports'!E$112</f>
        <v>0</v>
      </c>
      <c r="AI17" s="141">
        <f>'[2]Ukraine Sun Oil Exports'!F$112</f>
        <v>0</v>
      </c>
      <c r="AJ17" s="141">
        <f>'[2]Ukraine Sun Oil Exports'!G$112</f>
        <v>0</v>
      </c>
      <c r="AK17" s="141">
        <f>'[2]Ukraine Sun Oil Exports'!H$112</f>
        <v>0</v>
      </c>
      <c r="AL17" s="141">
        <f>'[2]Ukraine Sun Oil Exports'!I$112</f>
        <v>0</v>
      </c>
      <c r="AM17" s="141">
        <f>'[2]Ukraine Sun Oil Exports'!J$112</f>
        <v>0</v>
      </c>
      <c r="AN17" s="141">
        <f>'[2]Ukraine Sun Oil Exports'!K$112</f>
        <v>0</v>
      </c>
      <c r="AO17" s="141">
        <f>'[2]Ukraine Sun Oil Exports'!L$112</f>
        <v>0</v>
      </c>
      <c r="AP17" s="141">
        <f>'[2]Ukraine Sun Oil Exports'!M$112</f>
        <v>0</v>
      </c>
      <c r="AQ17" s="141">
        <f>'[2]Ukraine Sun Oil Exports'!N$112</f>
        <v>2E-3</v>
      </c>
      <c r="AR17" s="141">
        <f>'[2]Ukraine Sun Oil Exports'!O$112</f>
        <v>0.02</v>
      </c>
      <c r="AS17" s="141">
        <f>'[2]Ukraine Sun Oil Exports'!P$112</f>
        <v>0</v>
      </c>
      <c r="AT17" s="141">
        <f>'[2]Ukraine Sun Oil Exports'!Q$112</f>
        <v>0.442</v>
      </c>
      <c r="AU17" s="141">
        <f>'[2]Ukraine Sun Oil Exports'!R$112</f>
        <v>7.6999999999999999E-2</v>
      </c>
      <c r="AV17" s="141">
        <f>'[2]Ukraine Sun Oil Exports'!S$112</f>
        <v>3.0000000000000001E-3</v>
      </c>
      <c r="AW17" s="141">
        <f>'[2]Ukraine Sun Oil Exports'!T$112</f>
        <v>7.1000000000000008E-2</v>
      </c>
      <c r="AX17" s="141">
        <f>'[2]Ukraine Sun Oil Exports'!U$112</f>
        <v>0.11</v>
      </c>
      <c r="AY17" s="141">
        <f>'[2]Ukraine Sun Oil Exports'!V$112</f>
        <v>3.4079999999999999</v>
      </c>
      <c r="AZ17" s="141">
        <f>'[2]Ukraine Sun Oil Exports'!W$112</f>
        <v>1.8129999999999999</v>
      </c>
      <c r="BA17" s="141">
        <f>'[2]Ukraine Sun Oil Exports'!X$112</f>
        <v>1.0420000000000003</v>
      </c>
      <c r="BB17" s="141">
        <f>'[2]Ukraine Sun Oil Exports'!Y$112</f>
        <v>1.2155050000000001</v>
      </c>
      <c r="BC17" s="141">
        <f>'[2]Ukraine Sun Oil Exports'!Z$112</f>
        <v>5.4119999999999999</v>
      </c>
      <c r="BD17" s="141">
        <f>'[2]Ukraine Sun Oil Exports'!AA$112</f>
        <v>8.0810120000000012</v>
      </c>
      <c r="BE17" s="141">
        <f>'[2]Ukraine Sun Oil Exports'!AB$112</f>
        <v>7.8378539999999992</v>
      </c>
      <c r="BF17" s="141">
        <f>'[2]Ukraine Sun Oil Exports'!AC$112</f>
        <v>17.531269999999999</v>
      </c>
      <c r="BG17" s="141">
        <f>'[2]Ukraine Sun Oil Exports'!AD$112</f>
        <v>10.02</v>
      </c>
      <c r="BH17" s="141">
        <f>'[2]Russia Sun Oil Exports'!B$112</f>
        <v>0</v>
      </c>
      <c r="BI17" s="141">
        <f>'[2]Russia Sun Oil Exports'!C$112</f>
        <v>0</v>
      </c>
      <c r="BJ17" s="141">
        <f>'[2]Russia Sun Oil Exports'!D$112</f>
        <v>0</v>
      </c>
      <c r="BK17" s="141">
        <f>'[2]Russia Sun Oil Exports'!E$112</f>
        <v>0</v>
      </c>
      <c r="BL17" s="141">
        <f>'[2]Russia Sun Oil Exports'!F$112</f>
        <v>0</v>
      </c>
      <c r="BM17" s="141">
        <f>'[2]Russia Sun Oil Exports'!G$112</f>
        <v>0</v>
      </c>
      <c r="BN17" s="141">
        <f>'[2]Russia Sun Oil Exports'!H$112</f>
        <v>0</v>
      </c>
      <c r="BO17" s="141">
        <f>'[2]Russia Sun Oil Exports'!I$112</f>
        <v>0</v>
      </c>
      <c r="BP17" s="141">
        <f>'[2]Russia Sun Oil Exports'!J$112</f>
        <v>0</v>
      </c>
      <c r="BQ17" s="141">
        <f>'[2]Russia Sun Oil Exports'!K$112</f>
        <v>0</v>
      </c>
      <c r="BR17" s="141">
        <f>'[2]Russia Sun Oil Exports'!L$112</f>
        <v>2.8736999999999999E-2</v>
      </c>
      <c r="BS17" s="141">
        <f>'[2]Russia Sun Oil Exports'!M$112</f>
        <v>1.4E-2</v>
      </c>
      <c r="BT17" s="141">
        <f>'[2]Russia Sun Oil Exports'!N$112</f>
        <v>4.5999999999999999E-2</v>
      </c>
      <c r="BU17" s="141">
        <f>'[2]Russia Sun Oil Exports'!O$112</f>
        <v>0</v>
      </c>
      <c r="BV17" s="141">
        <f>'[2]Russia Sun Oil Exports'!P$112</f>
        <v>0</v>
      </c>
      <c r="BW17" s="141">
        <f>'[2]Russia Sun Oil Exports'!Q$112</f>
        <v>0.6</v>
      </c>
      <c r="BX17" s="141">
        <f>'[2]Russia Sun Oil Exports'!R$112</f>
        <v>0.55100000000000005</v>
      </c>
      <c r="BY17" s="141">
        <f>'[2]Russia Sun Oil Exports'!S$112</f>
        <v>0</v>
      </c>
      <c r="BZ17" s="141">
        <f>'[2]Russia Sun Oil Exports'!T$112</f>
        <v>0</v>
      </c>
      <c r="CA17" s="141">
        <f>'[2]Russia Sun Oil Exports'!U$112</f>
        <v>0</v>
      </c>
      <c r="CB17" s="141">
        <f>'[2]Russia Sun Oil Exports'!V$112</f>
        <v>0</v>
      </c>
      <c r="CC17" s="141">
        <f>'[2]Russia Sun Oil Exports'!W$112</f>
        <v>7.0000000000000001E-3</v>
      </c>
      <c r="CD17" s="141">
        <f>'[2]Russia Sun Oil Exports'!X$112</f>
        <v>0.60199999999999998</v>
      </c>
      <c r="CE17" s="141">
        <f>'[2]Russia Sun Oil Exports'!Y$112</f>
        <v>0</v>
      </c>
      <c r="CF17" s="141">
        <f>'[2]Russia Sun Oil Exports'!Z$112</f>
        <v>0</v>
      </c>
      <c r="CG17" s="147">
        <f>'[2]Russia Sun Oil Exports'!AA$112</f>
        <v>0.50523299999999993</v>
      </c>
      <c r="CH17" s="141">
        <f>'[2]Russia Sun Oil Exports'!AB$112</f>
        <v>3.3133070000000004</v>
      </c>
      <c r="CI17" s="141">
        <f>'[2]Russia Sun Oil Exports'!AC$112</f>
        <v>2.4880909999999998</v>
      </c>
      <c r="CJ17" s="143">
        <f>'[2]Russia Sun Oil Exports'!AD$112</f>
        <v>2.2707459999999999</v>
      </c>
      <c r="CK17" s="141">
        <f>'[3]Sunflower Oil Exports'!B$112/2204.622*1000</f>
        <v>8.2000000000000007E-3</v>
      </c>
      <c r="CL17" s="141">
        <f>'[3]Sunflower Oil Exports'!C$112/2204.622*1000</f>
        <v>1.9000000000000002E-3</v>
      </c>
      <c r="CM17" s="141">
        <f>'[3]Sunflower Oil Exports'!D$112/2204.622*1000</f>
        <v>9.5599999999999991E-2</v>
      </c>
      <c r="CN17" s="141">
        <f>'[3]Sunflower Oil Exports'!E$112/2204.622*1000</f>
        <v>0.12889999999999996</v>
      </c>
      <c r="CO17" s="141">
        <f>'[3]Sunflower Oil Exports'!F$112/2204.622*1000</f>
        <v>0.13040000000000002</v>
      </c>
      <c r="CP17" s="141">
        <f>'[3]Sunflower Oil Exports'!G$112/2204.622*1000</f>
        <v>0.10060000000000001</v>
      </c>
      <c r="CQ17" s="141">
        <f>'[3]Sunflower Oil Exports'!H$112/2204.622*1000</f>
        <v>0.11500000000000002</v>
      </c>
      <c r="CR17" s="141">
        <f>'[3]Sunflower Oil Exports'!I$112/2204.622*1000</f>
        <v>0.35010000000000002</v>
      </c>
      <c r="CS17" s="141">
        <f>'[3]Sunflower Oil Exports'!J$112/2204.622*1000</f>
        <v>0.30840000000000006</v>
      </c>
      <c r="CT17" s="141">
        <f>'[3]Sunflower Oil Exports'!K$112/2204.622*1000</f>
        <v>0.29580000000000006</v>
      </c>
      <c r="CU17" s="141">
        <f>'[3]Sunflower Oil Exports'!L$112/2204.622*1000</f>
        <v>0.35420000000000007</v>
      </c>
      <c r="CV17" s="141">
        <f>'[3]Sunflower Oil Exports'!M$112/2204.622*1000</f>
        <v>0.158</v>
      </c>
      <c r="CW17" s="141">
        <f>'[3]Sunflower Oil Exports'!N$112/2204.622*1000</f>
        <v>8.1199999999999994E-2</v>
      </c>
      <c r="CX17" s="141">
        <f>'[3]Sunflower Oil Exports'!O$112/2204.622*1000</f>
        <v>0.17150000000000001</v>
      </c>
      <c r="CY17" s="141">
        <f>'[3]Sunflower Oil Exports'!P$112/2204.622*1000</f>
        <v>3.0099999999999998E-2</v>
      </c>
      <c r="CZ17" s="141">
        <f>'[3]Sunflower Oil Exports'!Q$112/2204.622*1000</f>
        <v>3.2000000000000002E-3</v>
      </c>
      <c r="DA17" s="141">
        <f>'[3]Sunflower Oil Exports'!R$112/2204.622*1000</f>
        <v>5.2400000000000002E-2</v>
      </c>
      <c r="DB17" s="141">
        <f>'[3]Sunflower Oil Exports'!S$112/2204.622*1000</f>
        <v>0.11130000000000001</v>
      </c>
      <c r="DC17" s="141">
        <f>'[3]Sunflower Oil Exports'!T$112/2204.622*1000</f>
        <v>3.6200000000000003E-2</v>
      </c>
      <c r="DD17" s="141">
        <f>'[3]Sunflower Oil Exports'!U$112/2204.622*1000</f>
        <v>0.99889999999999979</v>
      </c>
      <c r="DE17" s="141">
        <f>'[3]Sunflower Oil Exports'!V$112/2204.622*1000</f>
        <v>0.9013000000000001</v>
      </c>
      <c r="DF17" s="141">
        <f>'[3]Sunflower Oil Exports'!W$112/2204.622*1000</f>
        <v>6.2299999999999994E-2</v>
      </c>
      <c r="DG17" s="141">
        <f>'[3]Sunflower Oil Exports'!X$112/2204.622*1000</f>
        <v>0.1709</v>
      </c>
      <c r="DH17" s="141">
        <f>'[3]Sunflower Oil Exports'!Y$112/2204.622*1000</f>
        <v>0.21795894079801437</v>
      </c>
      <c r="DI17" s="141">
        <f>'[3]Sunflower Oil Exports'!Z$112/2204.622*1000</f>
        <v>0.34728568494735151</v>
      </c>
      <c r="DJ17" s="141">
        <f>'[3]Sunflower Oil Exports'!AA$112/2204.622*1000</f>
        <v>0.31239071660357193</v>
      </c>
      <c r="DK17" s="141">
        <f>'[3]Sunflower Oil Exports'!AB$112/2204.622*1000</f>
        <v>2.5101497228277685</v>
      </c>
      <c r="DL17" s="141">
        <f>'[3]Sunflower Oil Exports'!AC$112/2204.622*1000</f>
        <v>2.3860468660477854</v>
      </c>
      <c r="DM17" s="143">
        <v>4</v>
      </c>
      <c r="DN17" s="141">
        <f t="shared" si="3"/>
        <v>8.2000000000000007E-3</v>
      </c>
      <c r="DO17" s="141">
        <f t="shared" si="3"/>
        <v>1.9000000000000002E-3</v>
      </c>
      <c r="DP17" s="141">
        <f t="shared" si="3"/>
        <v>9.5599999999999991E-2</v>
      </c>
      <c r="DQ17" s="141">
        <f t="shared" si="3"/>
        <v>0.22489999999999996</v>
      </c>
      <c r="DR17" s="141">
        <f t="shared" si="3"/>
        <v>0.17140000000000002</v>
      </c>
      <c r="DS17" s="141">
        <f t="shared" si="3"/>
        <v>0.1376</v>
      </c>
      <c r="DT17" s="141">
        <f t="shared" si="3"/>
        <v>0.17700000000000002</v>
      </c>
      <c r="DU17" s="141">
        <f t="shared" si="3"/>
        <v>0.41510000000000002</v>
      </c>
      <c r="DV17" s="141">
        <f t="shared" si="3"/>
        <v>0.51640000000000008</v>
      </c>
      <c r="DW17" s="141">
        <f t="shared" si="3"/>
        <v>0.56480000000000008</v>
      </c>
      <c r="DX17" s="141">
        <f t="shared" si="3"/>
        <v>0.59793700000000005</v>
      </c>
      <c r="DY17" s="141">
        <f t="shared" si="3"/>
        <v>0.92300000000000004</v>
      </c>
      <c r="DZ17" s="141">
        <f t="shared" si="3"/>
        <v>2.6131999999999995</v>
      </c>
      <c r="EA17" s="141">
        <f t="shared" si="3"/>
        <v>4.7634999999999996</v>
      </c>
      <c r="EB17" s="141">
        <f t="shared" si="3"/>
        <v>3.7740999999999998</v>
      </c>
      <c r="EC17" s="141">
        <f t="shared" si="3"/>
        <v>2.4821999999999997</v>
      </c>
      <c r="ED17" s="141">
        <f t="shared" si="4"/>
        <v>6.1674000000000007</v>
      </c>
      <c r="EE17" s="141">
        <f t="shared" si="4"/>
        <v>6.2722999999999995</v>
      </c>
      <c r="EF17" s="141">
        <f t="shared" si="4"/>
        <v>8.7651999999999983</v>
      </c>
      <c r="EG17" s="141">
        <f t="shared" si="4"/>
        <v>9.5628999999999973</v>
      </c>
      <c r="EH17" s="141">
        <f t="shared" si="4"/>
        <v>11.999300000000002</v>
      </c>
      <c r="EI17" s="141">
        <f t="shared" si="4"/>
        <v>13.9533</v>
      </c>
      <c r="EJ17" s="141">
        <f t="shared" si="4"/>
        <v>15.0639</v>
      </c>
      <c r="EK17" s="141">
        <f t="shared" si="4"/>
        <v>14.290463940798015</v>
      </c>
      <c r="EL17" s="141">
        <f t="shared" si="4"/>
        <v>19.912285684947349</v>
      </c>
      <c r="EM17" s="147">
        <f t="shared" si="4"/>
        <v>24.239635716603576</v>
      </c>
      <c r="EN17" s="141">
        <f t="shared" si="4"/>
        <v>27.800310722827771</v>
      </c>
      <c r="EO17" s="141">
        <f t="shared" si="4"/>
        <v>32.146407866047788</v>
      </c>
      <c r="EP17" s="145">
        <f t="shared" si="7"/>
        <v>26.507515999999999</v>
      </c>
      <c r="EQ17" s="145">
        <v>40</v>
      </c>
      <c r="ES17" s="145">
        <f t="shared" si="5"/>
        <v>0</v>
      </c>
      <c r="ET17" s="145">
        <f t="shared" si="6"/>
        <v>0</v>
      </c>
      <c r="EU17" s="145"/>
    </row>
    <row r="18" spans="1:151">
      <c r="A18" s="187" t="s">
        <v>148</v>
      </c>
      <c r="B18" s="141">
        <f>'[2]EU Sun Oil Exports'!B$146</f>
        <v>0</v>
      </c>
      <c r="C18" s="141">
        <f>'[2]EU Sun Oil Exports'!C$146</f>
        <v>0</v>
      </c>
      <c r="D18" s="141">
        <f>'[2]EU Sun Oil Exports'!D$146</f>
        <v>0</v>
      </c>
      <c r="E18" s="141">
        <f>'[2]EU Sun Oil Exports'!E$146</f>
        <v>1.3519999999999999</v>
      </c>
      <c r="F18" s="141">
        <f>'[2]EU Sun Oil Exports'!F$146</f>
        <v>0.28700000000000003</v>
      </c>
      <c r="G18" s="141">
        <f>'[2]EU Sun Oil Exports'!G$146</f>
        <v>3.1819999999999999</v>
      </c>
      <c r="H18" s="141">
        <f>'[2]EU Sun Oil Exports'!H$146</f>
        <v>3.6510000000000002</v>
      </c>
      <c r="I18" s="141">
        <f>'[2]EU Sun Oil Exports'!I$146</f>
        <v>2.3600000000000003</v>
      </c>
      <c r="J18" s="141">
        <f>'[2]EU Sun Oil Exports'!J$146</f>
        <v>1.5880000000000001</v>
      </c>
      <c r="K18" s="141">
        <f>'[2]EU Sun Oil Exports'!K$146</f>
        <v>1.3080000000000003</v>
      </c>
      <c r="L18" s="141">
        <f>'[2]EU Sun Oil Exports'!L$146</f>
        <v>0.88400000000000012</v>
      </c>
      <c r="M18" s="141">
        <f>'[2]EU Sun Oil Exports'!M$146</f>
        <v>2.6079999999999997</v>
      </c>
      <c r="N18" s="141">
        <f>'[2]EU Sun Oil Exports'!N$146</f>
        <v>1.056</v>
      </c>
      <c r="O18" s="141">
        <f>'[2]EU Sun Oil Exports'!O$146</f>
        <v>0.51800000000000002</v>
      </c>
      <c r="P18" s="141">
        <f>'[2]EU Sun Oil Exports'!P$146</f>
        <v>0.24399999999999997</v>
      </c>
      <c r="Q18" s="141">
        <f>'[2]EU Sun Oil Exports'!Q$146</f>
        <v>3.1979999999999995</v>
      </c>
      <c r="R18" s="141">
        <f>'[2]EU Sun Oil Exports'!R$146</f>
        <v>0.09</v>
      </c>
      <c r="S18" s="141">
        <f>'[2]EU Sun Oil Exports'!S$146</f>
        <v>7.6999999999999999E-2</v>
      </c>
      <c r="T18" s="141">
        <f>'[2]EU Sun Oil Exports'!T$146</f>
        <v>0.91000000000000014</v>
      </c>
      <c r="U18" s="141">
        <f>'[2]EU Sun Oil Exports'!U$146</f>
        <v>0.20200000000000001</v>
      </c>
      <c r="V18" s="141">
        <f>'[2]EU Sun Oil Exports'!V$146</f>
        <v>1.3590000000000002</v>
      </c>
      <c r="W18" s="141">
        <f>'[2]EU Sun Oil Exports'!W$146</f>
        <v>1.3439999999999999</v>
      </c>
      <c r="X18" s="141">
        <f>'[2]EU Sun Oil Exports'!X$146</f>
        <v>1.5590000000000002</v>
      </c>
      <c r="Y18" s="141">
        <f>'[2]EU Sun Oil Exports'!Y$146</f>
        <v>3.3090000000000002</v>
      </c>
      <c r="Z18" s="141">
        <f>'[2]EU Sun Oil Exports'!Z$146</f>
        <v>3.9420000000000002</v>
      </c>
      <c r="AA18" s="141">
        <f>'[2]EU Sun Oil Exports'!AA$146</f>
        <v>4.3629999999999995</v>
      </c>
      <c r="AB18" s="141">
        <f>'[2]EU Sun Oil Exports'!AB$146</f>
        <v>5.2249999999999996</v>
      </c>
      <c r="AC18" s="141">
        <f>'[2]EU Sun Oil Exports'!AC$146</f>
        <v>3.8260000000000001</v>
      </c>
      <c r="AD18" s="143">
        <f>'[2]EU Sun Oil Exports'!AD$146</f>
        <v>1.3240000000000001</v>
      </c>
      <c r="AE18" s="141">
        <f>'[2]Ukraine Sun Oil Exports'!B$146</f>
        <v>0</v>
      </c>
      <c r="AF18" s="141">
        <f>'[2]Ukraine Sun Oil Exports'!C$146</f>
        <v>0</v>
      </c>
      <c r="AG18" s="141">
        <f>'[2]Ukraine Sun Oil Exports'!D$146</f>
        <v>0</v>
      </c>
      <c r="AH18" s="141">
        <f>'[2]Ukraine Sun Oil Exports'!E$146</f>
        <v>0</v>
      </c>
      <c r="AI18" s="141">
        <f>'[2]Ukraine Sun Oil Exports'!F$146</f>
        <v>0</v>
      </c>
      <c r="AJ18" s="141">
        <f>'[2]Ukraine Sun Oil Exports'!G$146</f>
        <v>0</v>
      </c>
      <c r="AK18" s="141">
        <f>'[2]Ukraine Sun Oil Exports'!H$146</f>
        <v>0</v>
      </c>
      <c r="AL18" s="141">
        <f>'[2]Ukraine Sun Oil Exports'!I$146</f>
        <v>0</v>
      </c>
      <c r="AM18" s="141">
        <f>'[2]Ukraine Sun Oil Exports'!J$146</f>
        <v>0</v>
      </c>
      <c r="AN18" s="141">
        <f>'[2]Ukraine Sun Oil Exports'!K$146</f>
        <v>5.9830000000000005</v>
      </c>
      <c r="AO18" s="141">
        <f>'[2]Ukraine Sun Oil Exports'!L$146</f>
        <v>8.2919999999999998</v>
      </c>
      <c r="AP18" s="141">
        <f>'[2]Ukraine Sun Oil Exports'!M$146</f>
        <v>7.4460000000000006</v>
      </c>
      <c r="AQ18" s="141">
        <f>'[2]Ukraine Sun Oil Exports'!N$146</f>
        <v>25.606999999999999</v>
      </c>
      <c r="AR18" s="141">
        <f>'[2]Ukraine Sun Oil Exports'!O$146</f>
        <v>9.4</v>
      </c>
      <c r="AS18" s="141">
        <f>'[2]Ukraine Sun Oil Exports'!P$146</f>
        <v>24.470000000000002</v>
      </c>
      <c r="AT18" s="141">
        <f>'[2]Ukraine Sun Oil Exports'!Q$146</f>
        <v>46.004000000000005</v>
      </c>
      <c r="AU18" s="141">
        <f>'[2]Ukraine Sun Oil Exports'!R$146</f>
        <v>38.75</v>
      </c>
      <c r="AV18" s="141">
        <f>'[2]Ukraine Sun Oil Exports'!S$146</f>
        <v>66.724999999999994</v>
      </c>
      <c r="AW18" s="141">
        <f>'[2]Ukraine Sun Oil Exports'!T$146</f>
        <v>56.527999999999999</v>
      </c>
      <c r="AX18" s="141">
        <f>'[2]Ukraine Sun Oil Exports'!U$146</f>
        <v>22.061000000000003</v>
      </c>
      <c r="AY18" s="141">
        <f>'[2]Ukraine Sun Oil Exports'!V$146</f>
        <v>35.975000000000001</v>
      </c>
      <c r="AZ18" s="141">
        <f>'[2]Ukraine Sun Oil Exports'!W$146</f>
        <v>16.233000000000001</v>
      </c>
      <c r="BA18" s="141">
        <f>'[2]Ukraine Sun Oil Exports'!X$146</f>
        <v>8.197000000000001</v>
      </c>
      <c r="BB18" s="141">
        <f>'[2]Ukraine Sun Oil Exports'!Y$146</f>
        <v>0.11899999999999999</v>
      </c>
      <c r="BC18" s="141">
        <f>'[2]Ukraine Sun Oil Exports'!Z$146</f>
        <v>0.88371</v>
      </c>
      <c r="BD18" s="141">
        <f>'[2]Ukraine Sun Oil Exports'!AA$146</f>
        <v>1.59856</v>
      </c>
      <c r="BE18" s="141">
        <f>'[2]Ukraine Sun Oil Exports'!AB$146</f>
        <v>0</v>
      </c>
      <c r="BF18" s="141">
        <f>'[2]Ukraine Sun Oil Exports'!AC$146</f>
        <v>0.41799999999999998</v>
      </c>
      <c r="BG18" s="143">
        <f>'[2]Ukraine Sun Oil Exports'!AD$146</f>
        <v>1.9319999999999999</v>
      </c>
      <c r="BH18" s="141">
        <f>'[2]Russia Sun Oil Exports'!B$146</f>
        <v>0</v>
      </c>
      <c r="BI18" s="141">
        <f>'[2]Russia Sun Oil Exports'!C$146</f>
        <v>0</v>
      </c>
      <c r="BJ18" s="141">
        <f>'[2]Russia Sun Oil Exports'!D$146</f>
        <v>0</v>
      </c>
      <c r="BK18" s="141">
        <f>'[2]Russia Sun Oil Exports'!E$146</f>
        <v>0</v>
      </c>
      <c r="BL18" s="141">
        <f>'[2]Russia Sun Oil Exports'!F$146</f>
        <v>0</v>
      </c>
      <c r="BM18" s="141">
        <f>'[2]Russia Sun Oil Exports'!G$146</f>
        <v>0</v>
      </c>
      <c r="BN18" s="141">
        <f>'[2]Russia Sun Oil Exports'!H$146</f>
        <v>0</v>
      </c>
      <c r="BO18" s="141">
        <f>'[2]Russia Sun Oil Exports'!I$146</f>
        <v>1.100363</v>
      </c>
      <c r="BP18" s="141">
        <f>'[2]Russia Sun Oil Exports'!J$146</f>
        <v>0.68219300000000005</v>
      </c>
      <c r="BQ18" s="141">
        <f>'[2]Russia Sun Oil Exports'!K$146</f>
        <v>0</v>
      </c>
      <c r="BR18" s="141">
        <f>'[2]Russia Sun Oil Exports'!L$146</f>
        <v>3.7720980000000002</v>
      </c>
      <c r="BS18" s="141">
        <f>'[2]Russia Sun Oil Exports'!M$146</f>
        <v>7.7001579999999992</v>
      </c>
      <c r="BT18" s="141">
        <f>'[2]Russia Sun Oil Exports'!N$146</f>
        <v>18.380000000000003</v>
      </c>
      <c r="BU18" s="141">
        <f>'[2]Russia Sun Oil Exports'!O$146</f>
        <v>13.105</v>
      </c>
      <c r="BV18" s="141">
        <f>'[2]Russia Sun Oil Exports'!P$146</f>
        <v>10.504999999999999</v>
      </c>
      <c r="BW18" s="141">
        <f>'[2]Russia Sun Oil Exports'!Q$146</f>
        <v>48.116</v>
      </c>
      <c r="BX18" s="141">
        <f>'[2]Russia Sun Oil Exports'!R$146</f>
        <v>2.2280000000000002</v>
      </c>
      <c r="BY18" s="141">
        <f>'[2]Russia Sun Oil Exports'!S$146</f>
        <v>2.3119999999999998</v>
      </c>
      <c r="BZ18" s="141">
        <f>'[2]Russia Sun Oil Exports'!T$146</f>
        <v>8.5730000000000004</v>
      </c>
      <c r="CA18" s="141">
        <f>'[2]Russia Sun Oil Exports'!U$146</f>
        <v>3.149</v>
      </c>
      <c r="CB18" s="141">
        <f>'[2]Russia Sun Oil Exports'!V$146</f>
        <v>4.3849999999999998</v>
      </c>
      <c r="CC18" s="141">
        <f>'[2]Russia Sun Oil Exports'!W$146</f>
        <v>0</v>
      </c>
      <c r="CD18" s="141">
        <f>'[2]Russia Sun Oil Exports'!X$146</f>
        <v>0</v>
      </c>
      <c r="CE18" s="141">
        <f>'[2]Russia Sun Oil Exports'!Y$146</f>
        <v>4.0097659999999999</v>
      </c>
      <c r="CF18" s="141">
        <f>'[2]Russia Sun Oil Exports'!Z$146</f>
        <v>14.258889999999999</v>
      </c>
      <c r="CG18" s="147">
        <f>'[2]Russia Sun Oil Exports'!AA$146</f>
        <v>46.822382999999995</v>
      </c>
      <c r="CH18" s="141">
        <f>'[2]Russia Sun Oil Exports'!AB$146</f>
        <v>0</v>
      </c>
      <c r="CI18" s="141">
        <f>'[2]Russia Sun Oil Exports'!AC$146</f>
        <v>0</v>
      </c>
      <c r="CJ18" s="143">
        <f>'[2]Russia Sun Oil Exports'!AD$146</f>
        <v>0</v>
      </c>
      <c r="CK18" s="141">
        <f>'[3]Sunflower Oil Exports'!B$146/2204.622*1000</f>
        <v>0</v>
      </c>
      <c r="CL18" s="141">
        <f>'[3]Sunflower Oil Exports'!C$146/2204.622*1000</f>
        <v>0</v>
      </c>
      <c r="CM18" s="141">
        <f>'[3]Sunflower Oil Exports'!D$146/2204.622*1000</f>
        <v>7.0700000000000013E-2</v>
      </c>
      <c r="CN18" s="141">
        <f>'[3]Sunflower Oil Exports'!E$146/2204.622*1000</f>
        <v>0.12970000000000001</v>
      </c>
      <c r="CO18" s="141">
        <f>'[3]Sunflower Oil Exports'!F$146/2204.622*1000</f>
        <v>0</v>
      </c>
      <c r="CP18" s="141">
        <f>'[3]Sunflower Oil Exports'!G$146/2204.622*1000</f>
        <v>0</v>
      </c>
      <c r="CQ18" s="141">
        <f>'[3]Sunflower Oil Exports'!H$146/2204.622*1000</f>
        <v>0</v>
      </c>
      <c r="CR18" s="141">
        <f>'[3]Sunflower Oil Exports'!I$146/2204.622*1000</f>
        <v>0</v>
      </c>
      <c r="CS18" s="141">
        <f>'[3]Sunflower Oil Exports'!J$146/2204.622*1000</f>
        <v>4.9999000000000002</v>
      </c>
      <c r="CT18" s="141">
        <f>'[3]Sunflower Oil Exports'!K$146/2204.622*1000</f>
        <v>0</v>
      </c>
      <c r="CU18" s="141">
        <f>'[3]Sunflower Oil Exports'!L$146/2204.622*1000</f>
        <v>0</v>
      </c>
      <c r="CV18" s="141">
        <f>'[3]Sunflower Oil Exports'!M$146/2204.622*1000</f>
        <v>0</v>
      </c>
      <c r="CW18" s="141">
        <f>'[3]Sunflower Oil Exports'!N$146/2204.622*1000</f>
        <v>0</v>
      </c>
      <c r="CX18" s="141">
        <f>'[3]Sunflower Oil Exports'!O$146/2204.622*1000</f>
        <v>0</v>
      </c>
      <c r="CY18" s="141">
        <f>'[3]Sunflower Oil Exports'!P$146/2204.622*1000</f>
        <v>0</v>
      </c>
      <c r="CZ18" s="141">
        <f>'[3]Sunflower Oil Exports'!Q$146/2204.622*1000</f>
        <v>0</v>
      </c>
      <c r="DA18" s="141">
        <f>'[3]Sunflower Oil Exports'!R$146/2204.622*1000</f>
        <v>0</v>
      </c>
      <c r="DB18" s="141">
        <f>'[3]Sunflower Oil Exports'!S$146/2204.622*1000</f>
        <v>0</v>
      </c>
      <c r="DC18" s="141">
        <f>'[3]Sunflower Oil Exports'!T$146/2204.622*1000</f>
        <v>0</v>
      </c>
      <c r="DD18" s="141">
        <f>'[3]Sunflower Oil Exports'!U$146/2204.622*1000</f>
        <v>0</v>
      </c>
      <c r="DE18" s="141">
        <f>'[3]Sunflower Oil Exports'!V$146/2204.622*1000</f>
        <v>0</v>
      </c>
      <c r="DF18" s="141">
        <f>'[3]Sunflower Oil Exports'!W$146/2204.622*1000</f>
        <v>0</v>
      </c>
      <c r="DG18" s="141">
        <f>'[3]Sunflower Oil Exports'!X$146/2204.622*1000</f>
        <v>0</v>
      </c>
      <c r="DH18" s="141">
        <f>'[3]Sunflower Oil Exports'!Y$146/2204.622*1000</f>
        <v>0</v>
      </c>
      <c r="DI18" s="141">
        <f>'[3]Sunflower Oil Exports'!Z$146/2204.622*1000</f>
        <v>0</v>
      </c>
      <c r="DJ18" s="141">
        <f>'[3]Sunflower Oil Exports'!AA$146/2204.622*1000</f>
        <v>0</v>
      </c>
      <c r="DK18" s="141">
        <f>'[3]Sunflower Oil Exports'!AB$146/2204.622*1000</f>
        <v>0</v>
      </c>
      <c r="DL18" s="141">
        <f>'[3]Sunflower Oil Exports'!AC$146/2204.622*1000</f>
        <v>0</v>
      </c>
      <c r="DM18" s="143">
        <f>'[3]Sunflower Oil Exports'!AD$146/2204.622*1000</f>
        <v>0</v>
      </c>
      <c r="DN18" s="141">
        <f t="shared" si="3"/>
        <v>0</v>
      </c>
      <c r="DO18" s="141">
        <f t="shared" si="3"/>
        <v>0</v>
      </c>
      <c r="DP18" s="141">
        <f t="shared" si="3"/>
        <v>7.0700000000000013E-2</v>
      </c>
      <c r="DQ18" s="141">
        <f t="shared" si="3"/>
        <v>1.4816999999999998</v>
      </c>
      <c r="DR18" s="141">
        <f t="shared" si="3"/>
        <v>0.28700000000000003</v>
      </c>
      <c r="DS18" s="141">
        <f t="shared" si="3"/>
        <v>3.1819999999999999</v>
      </c>
      <c r="DT18" s="141">
        <f t="shared" si="3"/>
        <v>3.6510000000000002</v>
      </c>
      <c r="DU18" s="141">
        <f t="shared" si="3"/>
        <v>3.4603630000000001</v>
      </c>
      <c r="DV18" s="141">
        <f t="shared" si="3"/>
        <v>7.2700930000000001</v>
      </c>
      <c r="DW18" s="141">
        <f t="shared" si="3"/>
        <v>7.2910000000000004</v>
      </c>
      <c r="DX18" s="141">
        <f t="shared" si="3"/>
        <v>12.948098</v>
      </c>
      <c r="DY18" s="141">
        <f t="shared" si="3"/>
        <v>17.754158</v>
      </c>
      <c r="DZ18" s="141">
        <f t="shared" si="3"/>
        <v>45.043000000000006</v>
      </c>
      <c r="EA18" s="141">
        <f t="shared" si="3"/>
        <v>23.023000000000003</v>
      </c>
      <c r="EB18" s="141">
        <f t="shared" si="3"/>
        <v>35.219000000000001</v>
      </c>
      <c r="EC18" s="141">
        <f t="shared" si="3"/>
        <v>97.318000000000012</v>
      </c>
      <c r="ED18" s="141">
        <f t="shared" si="4"/>
        <v>41.068000000000005</v>
      </c>
      <c r="EE18" s="141">
        <f t="shared" si="4"/>
        <v>69.11399999999999</v>
      </c>
      <c r="EF18" s="141">
        <f t="shared" si="4"/>
        <v>66.010999999999996</v>
      </c>
      <c r="EG18" s="141">
        <f t="shared" si="4"/>
        <v>25.412000000000006</v>
      </c>
      <c r="EH18" s="141">
        <f t="shared" si="4"/>
        <v>41.719000000000001</v>
      </c>
      <c r="EI18" s="141">
        <f t="shared" si="4"/>
        <v>17.577000000000002</v>
      </c>
      <c r="EJ18" s="141">
        <f t="shared" si="4"/>
        <v>9.7560000000000002</v>
      </c>
      <c r="EK18" s="141">
        <f t="shared" si="4"/>
        <v>7.4377659999999999</v>
      </c>
      <c r="EL18" s="141">
        <f t="shared" si="4"/>
        <v>19.084599999999998</v>
      </c>
      <c r="EM18" s="147">
        <f t="shared" si="4"/>
        <v>52.783942999999994</v>
      </c>
      <c r="EN18" s="141">
        <f t="shared" si="4"/>
        <v>5.2249999999999996</v>
      </c>
      <c r="EO18" s="141">
        <f t="shared" si="4"/>
        <v>4.2439999999999998</v>
      </c>
      <c r="EP18" s="145">
        <f>SUM(AD18,BG18,CJ18,DM18)</f>
        <v>3.2560000000000002</v>
      </c>
      <c r="EQ18" s="145">
        <v>5</v>
      </c>
      <c r="ES18" s="145">
        <f t="shared" si="5"/>
        <v>0</v>
      </c>
      <c r="ET18" s="145">
        <f t="shared" si="6"/>
        <v>0</v>
      </c>
      <c r="EU18" s="145"/>
    </row>
    <row r="19" spans="1:151">
      <c r="A19" s="187" t="s">
        <v>149</v>
      </c>
      <c r="B19" s="141">
        <f>'[2]EU Sun Oil Exports'!B$147</f>
        <v>0</v>
      </c>
      <c r="C19" s="141">
        <f>'[2]EU Sun Oil Exports'!C$147</f>
        <v>0</v>
      </c>
      <c r="D19" s="141">
        <f>'[2]EU Sun Oil Exports'!D$147</f>
        <v>0</v>
      </c>
      <c r="E19" s="141">
        <f>'[2]EU Sun Oil Exports'!E$147</f>
        <v>5.2980000000000009</v>
      </c>
      <c r="F19" s="141">
        <f>'[2]EU Sun Oil Exports'!F$147</f>
        <v>1.5560000000000003</v>
      </c>
      <c r="G19" s="141">
        <f>'[2]EU Sun Oil Exports'!G$147</f>
        <v>2.1909999999999998</v>
      </c>
      <c r="H19" s="141">
        <f>'[2]EU Sun Oil Exports'!H$147</f>
        <v>3.6120000000000001</v>
      </c>
      <c r="I19" s="141">
        <f>'[2]EU Sun Oil Exports'!I$147</f>
        <v>2.5099999999999998</v>
      </c>
      <c r="J19" s="141">
        <f>'[2]EU Sun Oil Exports'!J$147</f>
        <v>0.7360000000000001</v>
      </c>
      <c r="K19" s="141">
        <f>'[2]EU Sun Oil Exports'!K$147</f>
        <v>1.8320000000000001</v>
      </c>
      <c r="L19" s="141">
        <f>'[2]EU Sun Oil Exports'!L$147</f>
        <v>0.34800000000000009</v>
      </c>
      <c r="M19" s="141">
        <f>'[2]EU Sun Oil Exports'!M$147</f>
        <v>0.88200000000000012</v>
      </c>
      <c r="N19" s="141">
        <f>'[2]EU Sun Oil Exports'!N$147</f>
        <v>0.26600000000000001</v>
      </c>
      <c r="O19" s="141">
        <f>'[2]EU Sun Oil Exports'!O$147</f>
        <v>0.36700000000000005</v>
      </c>
      <c r="P19" s="141">
        <f>'[2]EU Sun Oil Exports'!P$147</f>
        <v>0.39900000000000008</v>
      </c>
      <c r="Q19" s="141">
        <f>'[2]EU Sun Oil Exports'!Q$147</f>
        <v>0.20899999999999999</v>
      </c>
      <c r="R19" s="141">
        <f>'[2]EU Sun Oil Exports'!R$147</f>
        <v>0.45800000000000002</v>
      </c>
      <c r="S19" s="141">
        <f>'[2]EU Sun Oil Exports'!S$147</f>
        <v>0.35300000000000004</v>
      </c>
      <c r="T19" s="141">
        <f>'[2]EU Sun Oil Exports'!T$147</f>
        <v>0.45500000000000002</v>
      </c>
      <c r="U19" s="141">
        <f>'[2]EU Sun Oil Exports'!U$147</f>
        <v>0.51899999999999991</v>
      </c>
      <c r="V19" s="141">
        <f>'[2]EU Sun Oil Exports'!V$147</f>
        <v>0.94599999999999984</v>
      </c>
      <c r="W19" s="141">
        <f>'[2]EU Sun Oil Exports'!W$147</f>
        <v>2.7849999999999993</v>
      </c>
      <c r="X19" s="141">
        <f>'[2]EU Sun Oil Exports'!X$147</f>
        <v>3.4929999999999999</v>
      </c>
      <c r="Y19" s="141">
        <f>'[2]EU Sun Oil Exports'!Y$147</f>
        <v>3.8319999999999994</v>
      </c>
      <c r="Z19" s="141">
        <f>'[2]EU Sun Oil Exports'!Z$147</f>
        <v>2.2990000000000004</v>
      </c>
      <c r="AA19" s="141">
        <f>'[2]EU Sun Oil Exports'!AA$147</f>
        <v>1.7659999999999998</v>
      </c>
      <c r="AB19" s="141">
        <f>'[2]EU Sun Oil Exports'!AB$147</f>
        <v>2.3140000000000001</v>
      </c>
      <c r="AC19" s="141">
        <f>'[2]EU Sun Oil Exports'!AC$147</f>
        <v>2.6260000000000003</v>
      </c>
      <c r="AD19" s="143">
        <f>'[2]EU Sun Oil Exports'!AD$147</f>
        <v>2.0501349999999996</v>
      </c>
      <c r="AE19" s="141">
        <f>'[2]Ukraine Sun Oil Exports'!B$147</f>
        <v>0</v>
      </c>
      <c r="AF19" s="141">
        <f>'[2]Ukraine Sun Oil Exports'!C$147</f>
        <v>0</v>
      </c>
      <c r="AG19" s="141">
        <f>'[2]Ukraine Sun Oil Exports'!D$147</f>
        <v>0</v>
      </c>
      <c r="AH19" s="141">
        <f>'[2]Ukraine Sun Oil Exports'!E$147</f>
        <v>0</v>
      </c>
      <c r="AI19" s="141">
        <f>'[2]Ukraine Sun Oil Exports'!F$147</f>
        <v>0</v>
      </c>
      <c r="AJ19" s="141">
        <f>'[2]Ukraine Sun Oil Exports'!G$147</f>
        <v>0</v>
      </c>
      <c r="AK19" s="141">
        <f>'[2]Ukraine Sun Oil Exports'!H$147</f>
        <v>0</v>
      </c>
      <c r="AL19" s="141">
        <f>'[2]Ukraine Sun Oil Exports'!I$147</f>
        <v>0</v>
      </c>
      <c r="AM19" s="141">
        <f>'[2]Ukraine Sun Oil Exports'!J$147</f>
        <v>0</v>
      </c>
      <c r="AN19" s="141">
        <f>'[2]Ukraine Sun Oil Exports'!K$147</f>
        <v>0</v>
      </c>
      <c r="AO19" s="141">
        <f>'[2]Ukraine Sun Oil Exports'!L$147</f>
        <v>0</v>
      </c>
      <c r="AP19" s="141">
        <f>'[2]Ukraine Sun Oil Exports'!M$147</f>
        <v>0</v>
      </c>
      <c r="AQ19" s="141">
        <f>'[2]Ukraine Sun Oil Exports'!N$147</f>
        <v>0</v>
      </c>
      <c r="AR19" s="141">
        <f>'[2]Ukraine Sun Oil Exports'!O$147</f>
        <v>0</v>
      </c>
      <c r="AS19" s="141">
        <f>'[2]Ukraine Sun Oil Exports'!P$147</f>
        <v>0</v>
      </c>
      <c r="AT19" s="141">
        <f>'[2]Ukraine Sun Oil Exports'!Q$147</f>
        <v>0</v>
      </c>
      <c r="AU19" s="141">
        <f>'[2]Ukraine Sun Oil Exports'!R$147</f>
        <v>0</v>
      </c>
      <c r="AV19" s="141">
        <f>'[2]Ukraine Sun Oil Exports'!S$147</f>
        <v>0</v>
      </c>
      <c r="AW19" s="141">
        <f>'[2]Ukraine Sun Oil Exports'!T$147</f>
        <v>0</v>
      </c>
      <c r="AX19" s="141">
        <f>'[2]Ukraine Sun Oil Exports'!U$147</f>
        <v>0</v>
      </c>
      <c r="AY19" s="141">
        <f>'[2]Ukraine Sun Oil Exports'!V$147</f>
        <v>9.5269999999999992</v>
      </c>
      <c r="AZ19" s="141">
        <f>'[2]Ukraine Sun Oil Exports'!W$147</f>
        <v>12.751000000000001</v>
      </c>
      <c r="BA19" s="141">
        <f>'[2]Ukraine Sun Oil Exports'!X$147</f>
        <v>7.988999999999999</v>
      </c>
      <c r="BB19" s="141">
        <f>'[2]Ukraine Sun Oil Exports'!Y$147</f>
        <v>11.615689999999999</v>
      </c>
      <c r="BC19" s="141">
        <f>'[2]Ukraine Sun Oil Exports'!Z$147</f>
        <v>12.592945</v>
      </c>
      <c r="BD19" s="141">
        <f>'[2]Ukraine Sun Oil Exports'!AA$147</f>
        <v>14.581325</v>
      </c>
      <c r="BE19" s="141">
        <f>'[2]Ukraine Sun Oil Exports'!AB$147</f>
        <v>11.200990000000001</v>
      </c>
      <c r="BF19" s="141">
        <f>'[2]Ukraine Sun Oil Exports'!AC$147</f>
        <v>17.437324999999998</v>
      </c>
      <c r="BG19" s="141">
        <f>'[2]Ukraine Sun Oil Exports'!AD$147</f>
        <v>11.831999999999999</v>
      </c>
      <c r="BH19" s="141">
        <f>'[2]Russia Sun Oil Exports'!B$147</f>
        <v>0</v>
      </c>
      <c r="BI19" s="141">
        <f>'[2]Russia Sun Oil Exports'!C$147</f>
        <v>0</v>
      </c>
      <c r="BJ19" s="141">
        <f>'[2]Russia Sun Oil Exports'!D$147</f>
        <v>0</v>
      </c>
      <c r="BK19" s="141">
        <f>'[2]Russia Sun Oil Exports'!E$147</f>
        <v>0</v>
      </c>
      <c r="BL19" s="141">
        <f>'[2]Russia Sun Oil Exports'!F$147</f>
        <v>0</v>
      </c>
      <c r="BM19" s="141">
        <f>'[2]Russia Sun Oil Exports'!G$147</f>
        <v>0</v>
      </c>
      <c r="BN19" s="141">
        <f>'[2]Russia Sun Oil Exports'!H$147</f>
        <v>0</v>
      </c>
      <c r="BO19" s="141">
        <f>'[2]Russia Sun Oil Exports'!I$147</f>
        <v>0</v>
      </c>
      <c r="BP19" s="141">
        <f>'[2]Russia Sun Oil Exports'!J$147</f>
        <v>0</v>
      </c>
      <c r="BQ19" s="141">
        <f>'[2]Russia Sun Oil Exports'!K$147</f>
        <v>0</v>
      </c>
      <c r="BR19" s="141">
        <f>'[2]Russia Sun Oil Exports'!L$147</f>
        <v>0</v>
      </c>
      <c r="BS19" s="141">
        <f>'[2]Russia Sun Oil Exports'!M$147</f>
        <v>0</v>
      </c>
      <c r="BT19" s="141">
        <f>'[2]Russia Sun Oil Exports'!N$147</f>
        <v>0</v>
      </c>
      <c r="BU19" s="141">
        <f>'[2]Russia Sun Oil Exports'!O$147</f>
        <v>0</v>
      </c>
      <c r="BV19" s="141">
        <f>'[2]Russia Sun Oil Exports'!P$147</f>
        <v>0</v>
      </c>
      <c r="BW19" s="141">
        <f>'[2]Russia Sun Oil Exports'!Q$147</f>
        <v>0</v>
      </c>
      <c r="BX19" s="141">
        <f>'[2]Russia Sun Oil Exports'!R$147</f>
        <v>0</v>
      </c>
      <c r="BY19" s="141">
        <f>'[2]Russia Sun Oil Exports'!S$147</f>
        <v>0</v>
      </c>
      <c r="BZ19" s="141">
        <f>'[2]Russia Sun Oil Exports'!T$147</f>
        <v>0</v>
      </c>
      <c r="CA19" s="141">
        <f>'[2]Russia Sun Oil Exports'!U$147</f>
        <v>0</v>
      </c>
      <c r="CB19" s="141">
        <f>'[2]Russia Sun Oil Exports'!V$147</f>
        <v>0</v>
      </c>
      <c r="CC19" s="141">
        <f>'[2]Russia Sun Oil Exports'!W$147</f>
        <v>0</v>
      </c>
      <c r="CD19" s="141">
        <f>'[2]Russia Sun Oil Exports'!X$147</f>
        <v>0</v>
      </c>
      <c r="CE19" s="141">
        <f>'[2]Russia Sun Oil Exports'!Y$147</f>
        <v>1.4345E-2</v>
      </c>
      <c r="CF19" s="141">
        <f>'[2]Russia Sun Oil Exports'!Z$147</f>
        <v>0</v>
      </c>
      <c r="CG19" s="147">
        <f>'[2]Russia Sun Oil Exports'!AA$147</f>
        <v>0</v>
      </c>
      <c r="CH19" s="141">
        <f>'[2]Russia Sun Oil Exports'!AB$147</f>
        <v>0</v>
      </c>
      <c r="CI19" s="141">
        <f>'[2]Russia Sun Oil Exports'!AC$147</f>
        <v>0</v>
      </c>
      <c r="CJ19" s="143">
        <f>'[2]Russia Sun Oil Exports'!AD$147</f>
        <v>0</v>
      </c>
      <c r="CK19" s="141">
        <f>'[3]Sunflower Oil Exports'!B$147/2204.622*1000</f>
        <v>0.2046</v>
      </c>
      <c r="CL19" s="141">
        <f>'[3]Sunflower Oil Exports'!C$147/2204.622*1000</f>
        <v>2.7692000000000001</v>
      </c>
      <c r="CM19" s="141">
        <f>'[3]Sunflower Oil Exports'!D$147/2204.622*1000</f>
        <v>3.6608999999999998</v>
      </c>
      <c r="CN19" s="141">
        <f>'[3]Sunflower Oil Exports'!E$147/2204.622*1000</f>
        <v>6.1058000000000003</v>
      </c>
      <c r="CO19" s="141">
        <f>'[3]Sunflower Oil Exports'!F$147/2204.622*1000</f>
        <v>4.6795000000000009</v>
      </c>
      <c r="CP19" s="141">
        <f>'[3]Sunflower Oil Exports'!G$147/2204.622*1000</f>
        <v>17.150599999999997</v>
      </c>
      <c r="CQ19" s="141">
        <f>'[3]Sunflower Oil Exports'!H$147/2204.622*1000</f>
        <v>15.1767</v>
      </c>
      <c r="CR19" s="141">
        <f>'[3]Sunflower Oil Exports'!I$147/2204.622*1000</f>
        <v>9.9199000000000002</v>
      </c>
      <c r="CS19" s="141">
        <f>'[3]Sunflower Oil Exports'!J$147/2204.622*1000</f>
        <v>13.644800000000002</v>
      </c>
      <c r="CT19" s="141">
        <f>'[3]Sunflower Oil Exports'!K$147/2204.622*1000</f>
        <v>4.2305999999999999</v>
      </c>
      <c r="CU19" s="141">
        <f>'[3]Sunflower Oil Exports'!L$147/2204.622*1000</f>
        <v>0.19450000000000001</v>
      </c>
      <c r="CV19" s="141">
        <f>'[3]Sunflower Oil Exports'!M$147/2204.622*1000</f>
        <v>0.19739999999999999</v>
      </c>
      <c r="CW19" s="141">
        <f>'[3]Sunflower Oil Exports'!N$147/2204.622*1000</f>
        <v>0.26650000000000001</v>
      </c>
      <c r="CX19" s="141">
        <f>'[3]Sunflower Oil Exports'!O$147/2204.622*1000</f>
        <v>0.20110000000000003</v>
      </c>
      <c r="CY19" s="141">
        <f>'[3]Sunflower Oil Exports'!P$147/2204.622*1000</f>
        <v>0.15830000000000002</v>
      </c>
      <c r="CZ19" s="141">
        <f>'[3]Sunflower Oil Exports'!Q$147/2204.622*1000</f>
        <v>0.19850000000000007</v>
      </c>
      <c r="DA19" s="141">
        <f>'[3]Sunflower Oil Exports'!R$147/2204.622*1000</f>
        <v>12.817900000000002</v>
      </c>
      <c r="DB19" s="141">
        <f>'[3]Sunflower Oil Exports'!S$147/2204.622*1000</f>
        <v>0.10340000000000001</v>
      </c>
      <c r="DC19" s="141">
        <f>'[3]Sunflower Oil Exports'!T$147/2204.622*1000</f>
        <v>0.21269999999999997</v>
      </c>
      <c r="DD19" s="141">
        <f>'[3]Sunflower Oil Exports'!U$147/2204.622*1000</f>
        <v>0.1023</v>
      </c>
      <c r="DE19" s="141">
        <f>'[3]Sunflower Oil Exports'!V$147/2204.622*1000</f>
        <v>4.5600000000000009E-2</v>
      </c>
      <c r="DF19" s="141">
        <f>'[3]Sunflower Oil Exports'!W$147/2204.622*1000</f>
        <v>0.5131</v>
      </c>
      <c r="DG19" s="141">
        <f>'[3]Sunflower Oil Exports'!X$147/2204.622*1000</f>
        <v>0.64940000000000009</v>
      </c>
      <c r="DH19" s="141">
        <f>'[3]Sunflower Oil Exports'!Y$147/2204.622*1000</f>
        <v>1.1136907898134014</v>
      </c>
      <c r="DI19" s="141">
        <f>'[3]Sunflower Oil Exports'!Z$147/2204.622*1000</f>
        <v>1.2340358805001492</v>
      </c>
      <c r="DJ19" s="141">
        <f>'[3]Sunflower Oil Exports'!AA$147/2204.622*1000</f>
        <v>1.0957380059620199</v>
      </c>
      <c r="DK19" s="141">
        <f>'[3]Sunflower Oil Exports'!AB$147/2204.622*1000</f>
        <v>0.62806243023066999</v>
      </c>
      <c r="DL19" s="141">
        <f>'[3]Sunflower Oil Exports'!AC$147/2204.622*1000</f>
        <v>0.73566228422831659</v>
      </c>
      <c r="DM19" s="143">
        <f>'[3]Sunflower Oil Exports'!AD$147/2204.622*1000</f>
        <v>0</v>
      </c>
      <c r="DN19" s="141">
        <f t="shared" si="3"/>
        <v>0.2046</v>
      </c>
      <c r="DO19" s="141">
        <f t="shared" si="3"/>
        <v>2.7692000000000001</v>
      </c>
      <c r="DP19" s="141">
        <f t="shared" si="3"/>
        <v>3.6608999999999998</v>
      </c>
      <c r="DQ19" s="141">
        <f t="shared" si="3"/>
        <v>11.4038</v>
      </c>
      <c r="DR19" s="141">
        <f t="shared" si="3"/>
        <v>6.2355000000000009</v>
      </c>
      <c r="DS19" s="141">
        <f t="shared" si="3"/>
        <v>19.341599999999996</v>
      </c>
      <c r="DT19" s="141">
        <f t="shared" si="3"/>
        <v>18.788699999999999</v>
      </c>
      <c r="DU19" s="141">
        <f t="shared" si="3"/>
        <v>12.4299</v>
      </c>
      <c r="DV19" s="141">
        <f t="shared" si="3"/>
        <v>14.380800000000002</v>
      </c>
      <c r="DW19" s="141">
        <f t="shared" si="3"/>
        <v>6.0625999999999998</v>
      </c>
      <c r="DX19" s="141">
        <f t="shared" si="3"/>
        <v>0.54250000000000009</v>
      </c>
      <c r="DY19" s="141">
        <f t="shared" si="3"/>
        <v>1.0794000000000001</v>
      </c>
      <c r="DZ19" s="141">
        <f t="shared" si="3"/>
        <v>0.53249999999999997</v>
      </c>
      <c r="EA19" s="141">
        <f t="shared" si="3"/>
        <v>0.56810000000000005</v>
      </c>
      <c r="EB19" s="141">
        <f t="shared" si="3"/>
        <v>0.55730000000000013</v>
      </c>
      <c r="EC19" s="141">
        <f t="shared" ref="EC19:EE55" si="8">SUM(Q19,AT19,BW19,CZ19)</f>
        <v>0.40750000000000008</v>
      </c>
      <c r="ED19" s="141">
        <f t="shared" si="4"/>
        <v>13.275900000000002</v>
      </c>
      <c r="EE19" s="141">
        <f t="shared" si="4"/>
        <v>0.45640000000000003</v>
      </c>
      <c r="EF19" s="141">
        <f t="shared" si="4"/>
        <v>0.66769999999999996</v>
      </c>
      <c r="EG19" s="141">
        <f t="shared" si="4"/>
        <v>0.62129999999999996</v>
      </c>
      <c r="EH19" s="141">
        <f t="shared" si="4"/>
        <v>10.518599999999999</v>
      </c>
      <c r="EI19" s="141">
        <f t="shared" si="4"/>
        <v>16.049100000000003</v>
      </c>
      <c r="EJ19" s="141">
        <f t="shared" si="4"/>
        <v>12.131399999999999</v>
      </c>
      <c r="EK19" s="141">
        <f t="shared" si="4"/>
        <v>16.575725789813401</v>
      </c>
      <c r="EL19" s="141">
        <f t="shared" si="4"/>
        <v>16.125980880500148</v>
      </c>
      <c r="EM19" s="147">
        <f t="shared" si="4"/>
        <v>17.443063005962017</v>
      </c>
      <c r="EN19" s="141">
        <f t="shared" si="4"/>
        <v>14.143052430230671</v>
      </c>
      <c r="EO19" s="141">
        <f t="shared" si="4"/>
        <v>20.798987284228314</v>
      </c>
      <c r="EP19" s="145">
        <f t="shared" si="7"/>
        <v>13.882134999999998</v>
      </c>
      <c r="EQ19" s="145">
        <v>20</v>
      </c>
      <c r="ES19" s="145">
        <f t="shared" si="5"/>
        <v>0</v>
      </c>
      <c r="ET19" s="145">
        <f t="shared" si="6"/>
        <v>0</v>
      </c>
      <c r="EU19" s="145"/>
    </row>
    <row r="20" spans="1:151">
      <c r="A20" s="193" t="s">
        <v>150</v>
      </c>
      <c r="B20" s="141">
        <f>'[2]EU Sun Oil Exports'!B$148</f>
        <v>0</v>
      </c>
      <c r="C20" s="141">
        <f>'[2]EU Sun Oil Exports'!C$148</f>
        <v>0</v>
      </c>
      <c r="D20" s="141">
        <f>'[2]EU Sun Oil Exports'!D$148</f>
        <v>0</v>
      </c>
      <c r="E20" s="141">
        <f>'[2]EU Sun Oil Exports'!E$148</f>
        <v>0.08</v>
      </c>
      <c r="F20" s="141">
        <f>'[2]EU Sun Oil Exports'!F$148</f>
        <v>5.6000000000000001E-2</v>
      </c>
      <c r="G20" s="141">
        <f>'[2]EU Sun Oil Exports'!G$148</f>
        <v>5.6999999999999995E-2</v>
      </c>
      <c r="H20" s="141">
        <f>'[2]EU Sun Oil Exports'!H$148</f>
        <v>5.7000000000000009E-2</v>
      </c>
      <c r="I20" s="141">
        <f>'[2]EU Sun Oil Exports'!I$148</f>
        <v>7.3999999999999996E-2</v>
      </c>
      <c r="J20" s="141">
        <f>'[2]EU Sun Oil Exports'!J$148</f>
        <v>0.15400000000000003</v>
      </c>
      <c r="K20" s="141">
        <f>'[2]EU Sun Oil Exports'!K$148</f>
        <v>9.2000000000000012E-2</v>
      </c>
      <c r="L20" s="141">
        <f>'[2]EU Sun Oil Exports'!L$148</f>
        <v>0.21</v>
      </c>
      <c r="M20" s="141">
        <f>'[2]EU Sun Oil Exports'!M$148</f>
        <v>0.05</v>
      </c>
      <c r="N20" s="141">
        <f>'[2]EU Sun Oil Exports'!N$148</f>
        <v>0.08</v>
      </c>
      <c r="O20" s="141">
        <f>'[2]EU Sun Oil Exports'!O$148</f>
        <v>7.1000000000000008E-2</v>
      </c>
      <c r="P20" s="141">
        <f>'[2]EU Sun Oil Exports'!P$148</f>
        <v>8.2000000000000003E-2</v>
      </c>
      <c r="Q20" s="141">
        <f>'[2]EU Sun Oil Exports'!Q$148</f>
        <v>0.20000000000000007</v>
      </c>
      <c r="R20" s="141">
        <f>'[2]EU Sun Oil Exports'!R$148</f>
        <v>0.214</v>
      </c>
      <c r="S20" s="141">
        <f>'[2]EU Sun Oil Exports'!S$148</f>
        <v>0.11599999999999999</v>
      </c>
      <c r="T20" s="141">
        <f>'[2]EU Sun Oil Exports'!T$148</f>
        <v>0.30400000000000005</v>
      </c>
      <c r="U20" s="141">
        <f>'[2]EU Sun Oil Exports'!U$148</f>
        <v>0.94900000000000007</v>
      </c>
      <c r="V20" s="141">
        <f>'[2]EU Sun Oil Exports'!V$148</f>
        <v>3.6659999999999999</v>
      </c>
      <c r="W20" s="141">
        <f>'[2]EU Sun Oil Exports'!W$148</f>
        <v>2.1519999999999997</v>
      </c>
      <c r="X20" s="141">
        <f>'[2]EU Sun Oil Exports'!X$148</f>
        <v>0.98</v>
      </c>
      <c r="Y20" s="141">
        <f>'[2]EU Sun Oil Exports'!Y$148</f>
        <v>4.9800000000000004</v>
      </c>
      <c r="Z20" s="141">
        <f>'[2]EU Sun Oil Exports'!Z$148</f>
        <v>2.8740000000000001</v>
      </c>
      <c r="AA20" s="141">
        <f>'[2]EU Sun Oil Exports'!AA$148</f>
        <v>5.3409999999999993</v>
      </c>
      <c r="AB20" s="141">
        <f>'[2]EU Sun Oil Exports'!AB$148</f>
        <v>1.8400000000000003</v>
      </c>
      <c r="AC20" s="141">
        <f>'[2]EU Sun Oil Exports'!AC$148</f>
        <v>1.5020000000000002</v>
      </c>
      <c r="AD20" s="143">
        <f>'[2]EU Sun Oil Exports'!AD$148</f>
        <v>0.64800400000000002</v>
      </c>
      <c r="AE20" s="141">
        <f>'[2]Ukraine Sun Oil Exports'!B$148</f>
        <v>0</v>
      </c>
      <c r="AF20" s="141">
        <f>'[2]Ukraine Sun Oil Exports'!C$148</f>
        <v>0</v>
      </c>
      <c r="AG20" s="141">
        <f>'[2]Ukraine Sun Oil Exports'!D$148</f>
        <v>0</v>
      </c>
      <c r="AH20" s="141">
        <f>'[2]Ukraine Sun Oil Exports'!E$148</f>
        <v>0</v>
      </c>
      <c r="AI20" s="141">
        <f>'[2]Ukraine Sun Oil Exports'!F$148</f>
        <v>0</v>
      </c>
      <c r="AJ20" s="141">
        <f>'[2]Ukraine Sun Oil Exports'!G$148</f>
        <v>0</v>
      </c>
      <c r="AK20" s="141">
        <f>'[2]Ukraine Sun Oil Exports'!H$148</f>
        <v>0</v>
      </c>
      <c r="AL20" s="141">
        <f>'[2]Ukraine Sun Oil Exports'!I$148</f>
        <v>0</v>
      </c>
      <c r="AM20" s="141">
        <f>'[2]Ukraine Sun Oil Exports'!J$148</f>
        <v>0</v>
      </c>
      <c r="AN20" s="141">
        <f>'[2]Ukraine Sun Oil Exports'!K$148</f>
        <v>0</v>
      </c>
      <c r="AO20" s="141">
        <f>'[2]Ukraine Sun Oil Exports'!L$148</f>
        <v>0</v>
      </c>
      <c r="AP20" s="141">
        <f>'[2]Ukraine Sun Oil Exports'!M$148</f>
        <v>0</v>
      </c>
      <c r="AQ20" s="141">
        <f>'[2]Ukraine Sun Oil Exports'!N$148</f>
        <v>0</v>
      </c>
      <c r="AR20" s="141">
        <f>'[2]Ukraine Sun Oil Exports'!O$148</f>
        <v>0</v>
      </c>
      <c r="AS20" s="141">
        <f>'[2]Ukraine Sun Oil Exports'!P$148</f>
        <v>0</v>
      </c>
      <c r="AT20" s="141">
        <f>'[2]Ukraine Sun Oil Exports'!Q$148</f>
        <v>0</v>
      </c>
      <c r="AU20" s="141">
        <f>'[2]Ukraine Sun Oil Exports'!R$148</f>
        <v>0</v>
      </c>
      <c r="AV20" s="141">
        <f>'[2]Ukraine Sun Oil Exports'!S$148</f>
        <v>0</v>
      </c>
      <c r="AW20" s="141">
        <f>'[2]Ukraine Sun Oil Exports'!T$148</f>
        <v>0</v>
      </c>
      <c r="AX20" s="141">
        <f>'[2]Ukraine Sun Oil Exports'!U$148</f>
        <v>0</v>
      </c>
      <c r="AY20" s="141">
        <f>'[2]Ukraine Sun Oil Exports'!V$148</f>
        <v>8.9999999999999993E-3</v>
      </c>
      <c r="AZ20" s="141">
        <f>'[2]Ukraine Sun Oil Exports'!W$148</f>
        <v>0.217</v>
      </c>
      <c r="BA20" s="141">
        <f>'[2]Ukraine Sun Oil Exports'!X$148</f>
        <v>0.52400000000000002</v>
      </c>
      <c r="BB20" s="141">
        <f>'[2]Ukraine Sun Oil Exports'!Y$148</f>
        <v>0.33263999999999999</v>
      </c>
      <c r="BC20" s="141">
        <f>'[2]Ukraine Sun Oil Exports'!Z$148</f>
        <v>0.74690000000000001</v>
      </c>
      <c r="BD20" s="141">
        <f>'[2]Ukraine Sun Oil Exports'!AA$148</f>
        <v>7.4203600000000014</v>
      </c>
      <c r="BE20" s="141">
        <f>'[2]Ukraine Sun Oil Exports'!AB$148</f>
        <v>13.394845</v>
      </c>
      <c r="BF20" s="141">
        <f>'[2]Ukraine Sun Oil Exports'!AC$148</f>
        <v>4.8435150000000009</v>
      </c>
      <c r="BG20" s="141">
        <f>'[2]Ukraine Sun Oil Exports'!AD$148</f>
        <v>6.6369999999999996</v>
      </c>
      <c r="BH20" s="141">
        <f>'[2]Russia Sun Oil Exports'!B$148</f>
        <v>0</v>
      </c>
      <c r="BI20" s="141">
        <f>'[2]Russia Sun Oil Exports'!C$148</f>
        <v>0</v>
      </c>
      <c r="BJ20" s="141">
        <f>'[2]Russia Sun Oil Exports'!D$148</f>
        <v>0</v>
      </c>
      <c r="BK20" s="141">
        <f>'[2]Russia Sun Oil Exports'!E$148</f>
        <v>0</v>
      </c>
      <c r="BL20" s="141">
        <f>'[2]Russia Sun Oil Exports'!F$148</f>
        <v>0</v>
      </c>
      <c r="BM20" s="141">
        <f>'[2]Russia Sun Oil Exports'!G$148</f>
        <v>0</v>
      </c>
      <c r="BN20" s="141">
        <f>'[2]Russia Sun Oil Exports'!H$148</f>
        <v>0</v>
      </c>
      <c r="BO20" s="141">
        <f>'[2]Russia Sun Oil Exports'!I$148</f>
        <v>0</v>
      </c>
      <c r="BP20" s="141">
        <f>'[2]Russia Sun Oil Exports'!J$148</f>
        <v>0</v>
      </c>
      <c r="BQ20" s="141">
        <f>'[2]Russia Sun Oil Exports'!K$148</f>
        <v>0</v>
      </c>
      <c r="BR20" s="141">
        <f>'[2]Russia Sun Oil Exports'!L$148</f>
        <v>0</v>
      </c>
      <c r="BS20" s="141">
        <f>'[2]Russia Sun Oil Exports'!M$148</f>
        <v>0</v>
      </c>
      <c r="BT20" s="141">
        <f>'[2]Russia Sun Oil Exports'!N$148</f>
        <v>0</v>
      </c>
      <c r="BU20" s="141">
        <f>'[2]Russia Sun Oil Exports'!O$148</f>
        <v>0</v>
      </c>
      <c r="BV20" s="141">
        <f>'[2]Russia Sun Oil Exports'!P$148</f>
        <v>0</v>
      </c>
      <c r="BW20" s="141">
        <f>'[2]Russia Sun Oil Exports'!Q$148</f>
        <v>0</v>
      </c>
      <c r="BX20" s="141">
        <f>'[2]Russia Sun Oil Exports'!R$148</f>
        <v>0</v>
      </c>
      <c r="BY20" s="141">
        <f>'[2]Russia Sun Oil Exports'!S$148</f>
        <v>0</v>
      </c>
      <c r="BZ20" s="141">
        <f>'[2]Russia Sun Oil Exports'!T$148</f>
        <v>0</v>
      </c>
      <c r="CA20" s="141">
        <f>'[2]Russia Sun Oil Exports'!U$148</f>
        <v>0</v>
      </c>
      <c r="CB20" s="141">
        <f>'[2]Russia Sun Oil Exports'!V$148</f>
        <v>0</v>
      </c>
      <c r="CC20" s="141">
        <f>'[2]Russia Sun Oil Exports'!W$148</f>
        <v>0</v>
      </c>
      <c r="CD20" s="141">
        <f>'[2]Russia Sun Oil Exports'!X$148</f>
        <v>0</v>
      </c>
      <c r="CE20" s="141">
        <f>'[2]Russia Sun Oil Exports'!Y$148</f>
        <v>0</v>
      </c>
      <c r="CF20" s="141">
        <f>'[2]Russia Sun Oil Exports'!Z$148</f>
        <v>0</v>
      </c>
      <c r="CG20" s="147">
        <f>'[2]Russia Sun Oil Exports'!AA$148</f>
        <v>0</v>
      </c>
      <c r="CH20" s="141">
        <f>'[2]Russia Sun Oil Exports'!AB$148</f>
        <v>0</v>
      </c>
      <c r="CI20" s="141">
        <f>'[2]Russia Sun Oil Exports'!AC$148</f>
        <v>0.26012799999999997</v>
      </c>
      <c r="CJ20" s="143">
        <f>'[2]Russia Sun Oil Exports'!AD$148</f>
        <v>0</v>
      </c>
      <c r="CK20" s="141">
        <f>'[3]Sunflower Oil Exports'!B$148/2204.622*1000</f>
        <v>9.7000000000000003E-3</v>
      </c>
      <c r="CL20" s="141">
        <f>'[3]Sunflower Oil Exports'!C$148/2204.622*1000</f>
        <v>4.5000000000000005E-3</v>
      </c>
      <c r="CM20" s="141">
        <f>'[3]Sunflower Oil Exports'!D$148/2204.622*1000</f>
        <v>4.2000000000000006E-3</v>
      </c>
      <c r="CN20" s="141">
        <f>'[3]Sunflower Oil Exports'!E$148/2204.622*1000</f>
        <v>1.1800000000000001E-2</v>
      </c>
      <c r="CO20" s="141">
        <f>'[3]Sunflower Oil Exports'!F$148/2204.622*1000</f>
        <v>0</v>
      </c>
      <c r="CP20" s="141">
        <f>'[3]Sunflower Oil Exports'!G$148/2204.622*1000</f>
        <v>3.0000000000000003E-4</v>
      </c>
      <c r="CQ20" s="141">
        <f>'[3]Sunflower Oil Exports'!H$148/2204.622*1000</f>
        <v>4.4000000000000003E-3</v>
      </c>
      <c r="CR20" s="141">
        <f>'[3]Sunflower Oil Exports'!I$148/2204.622*1000</f>
        <v>0</v>
      </c>
      <c r="CS20" s="141">
        <f>'[3]Sunflower Oil Exports'!J$148/2204.622*1000</f>
        <v>0</v>
      </c>
      <c r="CT20" s="141">
        <f>'[3]Sunflower Oil Exports'!K$148/2204.622*1000</f>
        <v>0</v>
      </c>
      <c r="CU20" s="141">
        <f>'[3]Sunflower Oil Exports'!L$148/2204.622*1000</f>
        <v>0</v>
      </c>
      <c r="CV20" s="141">
        <f>'[3]Sunflower Oil Exports'!M$148/2204.622*1000</f>
        <v>0</v>
      </c>
      <c r="CW20" s="141">
        <f>'[3]Sunflower Oil Exports'!N$148/2204.622*1000</f>
        <v>0</v>
      </c>
      <c r="CX20" s="141">
        <f>'[3]Sunflower Oil Exports'!O$148/2204.622*1000</f>
        <v>0</v>
      </c>
      <c r="CY20" s="141">
        <f>'[3]Sunflower Oil Exports'!P$148/2204.622*1000</f>
        <v>0</v>
      </c>
      <c r="CZ20" s="141">
        <f>'[3]Sunflower Oil Exports'!Q$148/2204.622*1000</f>
        <v>0</v>
      </c>
      <c r="DA20" s="141">
        <f>'[3]Sunflower Oil Exports'!R$148/2204.622*1000</f>
        <v>0</v>
      </c>
      <c r="DB20" s="141">
        <f>'[3]Sunflower Oil Exports'!S$148/2204.622*1000</f>
        <v>2.2000000000000001E-3</v>
      </c>
      <c r="DC20" s="141">
        <f>'[3]Sunflower Oil Exports'!T$148/2204.622*1000</f>
        <v>1.06E-2</v>
      </c>
      <c r="DD20" s="141">
        <f>'[3]Sunflower Oil Exports'!U$148/2204.622*1000</f>
        <v>0.19429999999999997</v>
      </c>
      <c r="DE20" s="141">
        <f>'[3]Sunflower Oil Exports'!V$148/2204.622*1000</f>
        <v>1.04E-2</v>
      </c>
      <c r="DF20" s="141">
        <f>'[3]Sunflower Oil Exports'!W$148/2204.622*1000</f>
        <v>1.9099999999999999E-2</v>
      </c>
      <c r="DG20" s="141">
        <f>'[3]Sunflower Oil Exports'!X$148/2204.622*1000</f>
        <v>2.5400000000000002E-2</v>
      </c>
      <c r="DH20" s="141">
        <f>'[3]Sunflower Oil Exports'!Y$148/2204.622*1000</f>
        <v>3.5838992525702815E-2</v>
      </c>
      <c r="DI20" s="141">
        <f>'[3]Sunflower Oil Exports'!Z$148/2204.622*1000</f>
        <v>4.476795938714212E-2</v>
      </c>
      <c r="DJ20" s="141">
        <f>'[3]Sunflower Oil Exports'!AA$148/2204.622*1000</f>
        <v>8.5557922383066129E-2</v>
      </c>
      <c r="DK20" s="141">
        <f>'[3]Sunflower Oil Exports'!AB$148/2204.622*1000</f>
        <v>9.2049916493621126E-2</v>
      </c>
      <c r="DL20" s="141">
        <f>'[3]Sunflower Oil Exports'!AC$148/2204.622*1000</f>
        <v>4.6268125973522894E-2</v>
      </c>
      <c r="DM20" s="143">
        <f>'[3]Sunflower Oil Exports'!AD$148/2204.622*1000</f>
        <v>0</v>
      </c>
      <c r="DN20" s="141">
        <f t="shared" ref="DN20:EB56" si="9">SUM(B20,AE20,BH20,CK20)</f>
        <v>9.7000000000000003E-3</v>
      </c>
      <c r="DO20" s="141">
        <f t="shared" si="9"/>
        <v>4.5000000000000005E-3</v>
      </c>
      <c r="DP20" s="141">
        <f t="shared" si="9"/>
        <v>4.2000000000000006E-3</v>
      </c>
      <c r="DQ20" s="141">
        <f t="shared" si="9"/>
        <v>9.1800000000000007E-2</v>
      </c>
      <c r="DR20" s="141">
        <f t="shared" si="9"/>
        <v>5.6000000000000001E-2</v>
      </c>
      <c r="DS20" s="141">
        <f t="shared" si="9"/>
        <v>5.7299999999999997E-2</v>
      </c>
      <c r="DT20" s="141">
        <f t="shared" si="9"/>
        <v>6.140000000000001E-2</v>
      </c>
      <c r="DU20" s="141">
        <f t="shared" si="9"/>
        <v>7.3999999999999996E-2</v>
      </c>
      <c r="DV20" s="141">
        <f t="shared" si="9"/>
        <v>0.15400000000000003</v>
      </c>
      <c r="DW20" s="141">
        <f t="shared" si="9"/>
        <v>9.2000000000000012E-2</v>
      </c>
      <c r="DX20" s="141">
        <f t="shared" si="9"/>
        <v>0.21</v>
      </c>
      <c r="DY20" s="141">
        <f t="shared" si="9"/>
        <v>0.05</v>
      </c>
      <c r="DZ20" s="141">
        <f t="shared" si="9"/>
        <v>0.08</v>
      </c>
      <c r="EA20" s="141">
        <f t="shared" si="9"/>
        <v>7.1000000000000008E-2</v>
      </c>
      <c r="EB20" s="141">
        <f t="shared" si="9"/>
        <v>8.2000000000000003E-2</v>
      </c>
      <c r="EC20" s="141">
        <f t="shared" si="8"/>
        <v>0.20000000000000007</v>
      </c>
      <c r="ED20" s="141">
        <f t="shared" si="4"/>
        <v>0.214</v>
      </c>
      <c r="EE20" s="141">
        <f t="shared" si="4"/>
        <v>0.11819999999999999</v>
      </c>
      <c r="EF20" s="141">
        <f t="shared" si="4"/>
        <v>0.31460000000000005</v>
      </c>
      <c r="EG20" s="141">
        <f t="shared" si="4"/>
        <v>1.1433</v>
      </c>
      <c r="EH20" s="141">
        <f t="shared" si="4"/>
        <v>3.6854</v>
      </c>
      <c r="EI20" s="141">
        <f t="shared" si="4"/>
        <v>2.3880999999999997</v>
      </c>
      <c r="EJ20" s="141">
        <f t="shared" si="4"/>
        <v>1.5294000000000001</v>
      </c>
      <c r="EK20" s="141">
        <f t="shared" si="4"/>
        <v>5.3484789925257026</v>
      </c>
      <c r="EL20" s="141">
        <f t="shared" si="4"/>
        <v>3.6656679593871422</v>
      </c>
      <c r="EM20" s="147">
        <f t="shared" si="4"/>
        <v>12.846917922383065</v>
      </c>
      <c r="EN20" s="141">
        <f t="shared" si="4"/>
        <v>15.326894916493622</v>
      </c>
      <c r="EO20" s="141">
        <f t="shared" si="4"/>
        <v>6.6519111259735233</v>
      </c>
      <c r="EP20" s="145">
        <f t="shared" si="7"/>
        <v>7.2850039999999998</v>
      </c>
      <c r="EQ20" s="145">
        <v>20</v>
      </c>
      <c r="ES20" s="145">
        <f t="shared" si="5"/>
        <v>0</v>
      </c>
      <c r="ET20" s="145">
        <f t="shared" si="6"/>
        <v>0</v>
      </c>
      <c r="EU20" s="145"/>
    </row>
    <row r="21" spans="1:151">
      <c r="A21" s="193" t="s">
        <v>151</v>
      </c>
      <c r="B21" s="141">
        <f>'[2]EU Sun Oil Exports'!B$151</f>
        <v>0</v>
      </c>
      <c r="C21" s="141">
        <f>'[2]EU Sun Oil Exports'!C$151</f>
        <v>0</v>
      </c>
      <c r="D21" s="141">
        <f>'[2]EU Sun Oil Exports'!D$151</f>
        <v>0</v>
      </c>
      <c r="E21" s="141">
        <f>'[2]EU Sun Oil Exports'!E$151</f>
        <v>18.938000000000002</v>
      </c>
      <c r="F21" s="141">
        <f>'[2]EU Sun Oil Exports'!F$151</f>
        <v>17.492999999999999</v>
      </c>
      <c r="G21" s="141">
        <f>'[2]EU Sun Oil Exports'!G$151</f>
        <v>27.25</v>
      </c>
      <c r="H21" s="141">
        <f>'[2]EU Sun Oil Exports'!H$151</f>
        <v>23.536999999999999</v>
      </c>
      <c r="I21" s="141">
        <f>'[2]EU Sun Oil Exports'!I$151</f>
        <v>17.684999999999999</v>
      </c>
      <c r="J21" s="141">
        <f>'[2]EU Sun Oil Exports'!J$151</f>
        <v>4.0699999999999994</v>
      </c>
      <c r="K21" s="141">
        <f>'[2]EU Sun Oil Exports'!K$151</f>
        <v>5.2609999999999992</v>
      </c>
      <c r="L21" s="141">
        <f>'[2]EU Sun Oil Exports'!L$151</f>
        <v>24.808000000000003</v>
      </c>
      <c r="M21" s="141">
        <f>'[2]EU Sun Oil Exports'!M$151</f>
        <v>56.341000000000001</v>
      </c>
      <c r="N21" s="141">
        <f>'[2]EU Sun Oil Exports'!N$151</f>
        <v>24.164000000000001</v>
      </c>
      <c r="O21" s="141">
        <f>'[2]EU Sun Oil Exports'!O$151</f>
        <v>16.861999999999998</v>
      </c>
      <c r="P21" s="141">
        <f>'[2]EU Sun Oil Exports'!P$151</f>
        <v>2.794</v>
      </c>
      <c r="Q21" s="141">
        <f>'[2]EU Sun Oil Exports'!Q$151</f>
        <v>5.5919999999999987</v>
      </c>
      <c r="R21" s="141">
        <f>'[2]EU Sun Oil Exports'!R$151</f>
        <v>0.187</v>
      </c>
      <c r="S21" s="141">
        <f>'[2]EU Sun Oil Exports'!S$151</f>
        <v>0.15300000000000002</v>
      </c>
      <c r="T21" s="141">
        <f>'[2]EU Sun Oil Exports'!T$151</f>
        <v>3.1049999999999995</v>
      </c>
      <c r="U21" s="141">
        <f>'[2]EU Sun Oil Exports'!U$151</f>
        <v>1.1369999999999993</v>
      </c>
      <c r="V21" s="141">
        <f>'[2]EU Sun Oil Exports'!V$151</f>
        <v>7.1910000000000007</v>
      </c>
      <c r="W21" s="141">
        <f>'[2]EU Sun Oil Exports'!W$151</f>
        <v>35.817000000000007</v>
      </c>
      <c r="X21" s="141">
        <f>'[2]EU Sun Oil Exports'!X$151</f>
        <v>5.5789999999999997</v>
      </c>
      <c r="Y21" s="141">
        <f>'[2]EU Sun Oil Exports'!Y$151</f>
        <v>37.937999999999995</v>
      </c>
      <c r="Z21" s="141">
        <f>'[2]EU Sun Oil Exports'!Z$151</f>
        <v>36.863999999999997</v>
      </c>
      <c r="AA21" s="141">
        <f>'[2]EU Sun Oil Exports'!AA$151</f>
        <v>23.368000000000002</v>
      </c>
      <c r="AB21" s="141">
        <f>'[2]EU Sun Oil Exports'!AB$151</f>
        <v>30.071000000000002</v>
      </c>
      <c r="AC21" s="141">
        <f>'[2]EU Sun Oil Exports'!AC$151</f>
        <v>45.625999999999998</v>
      </c>
      <c r="AD21" s="143">
        <f>'[2]EU Sun Oil Exports'!AD$151+20</f>
        <v>40.541959999999996</v>
      </c>
      <c r="AE21" s="141">
        <f>'[2]Ukraine Sun Oil Exports'!B$151</f>
        <v>0</v>
      </c>
      <c r="AF21" s="141">
        <f>'[2]Ukraine Sun Oil Exports'!C$151</f>
        <v>0</v>
      </c>
      <c r="AG21" s="141">
        <f>'[2]Ukraine Sun Oil Exports'!D$151</f>
        <v>0</v>
      </c>
      <c r="AH21" s="141">
        <f>'[2]Ukraine Sun Oil Exports'!E$151</f>
        <v>20</v>
      </c>
      <c r="AI21" s="141">
        <f>'[2]Ukraine Sun Oil Exports'!F$151</f>
        <v>30.5</v>
      </c>
      <c r="AJ21" s="141">
        <f>'[2]Ukraine Sun Oil Exports'!G$151</f>
        <v>24</v>
      </c>
      <c r="AK21" s="141">
        <f>'[2]Ukraine Sun Oil Exports'!H$151</f>
        <v>44</v>
      </c>
      <c r="AL21" s="141">
        <f>'[2]Ukraine Sun Oil Exports'!I$151</f>
        <v>82</v>
      </c>
      <c r="AM21" s="141">
        <f>'[2]Ukraine Sun Oil Exports'!J$151</f>
        <v>23.503933000000004</v>
      </c>
      <c r="AN21" s="141">
        <f>'[2]Ukraine Sun Oil Exports'!K$151</f>
        <v>32.677</v>
      </c>
      <c r="AO21" s="141">
        <f>'[2]Ukraine Sun Oil Exports'!L$151</f>
        <v>13.284999999999998</v>
      </c>
      <c r="AP21" s="141">
        <f>'[2]Ukraine Sun Oil Exports'!M$151</f>
        <v>47.498999999999995</v>
      </c>
      <c r="AQ21" s="141">
        <f>'[2]Ukraine Sun Oil Exports'!N$151</f>
        <v>178.28299999999999</v>
      </c>
      <c r="AR21" s="141">
        <f>'[2]Ukraine Sun Oil Exports'!O$151</f>
        <v>33.11</v>
      </c>
      <c r="AS21" s="141">
        <f>'[2]Ukraine Sun Oil Exports'!P$151</f>
        <v>158.184</v>
      </c>
      <c r="AT21" s="141">
        <f>'[2]Ukraine Sun Oil Exports'!Q$151</f>
        <v>220.79399999999998</v>
      </c>
      <c r="AU21" s="141">
        <f>'[2]Ukraine Sun Oil Exports'!R$151</f>
        <v>127.62499999999997</v>
      </c>
      <c r="AV21" s="141">
        <f>'[2]Ukraine Sun Oil Exports'!S$151</f>
        <v>308.85199999999998</v>
      </c>
      <c r="AW21" s="141">
        <f>'[2]Ukraine Sun Oil Exports'!T$151</f>
        <v>225.62900000000002</v>
      </c>
      <c r="AX21" s="141">
        <f>'[2]Ukraine Sun Oil Exports'!U$151</f>
        <v>294.05199999999996</v>
      </c>
      <c r="AY21" s="141">
        <f>'[2]Ukraine Sun Oil Exports'!V$151</f>
        <v>128.358</v>
      </c>
      <c r="AZ21" s="141">
        <f>'[2]Ukraine Sun Oil Exports'!W$151</f>
        <v>155.53899999999999</v>
      </c>
      <c r="BA21" s="141">
        <f>'[2]Ukraine Sun Oil Exports'!X$151</f>
        <v>190.161</v>
      </c>
      <c r="BB21" s="141">
        <f>'[2]Ukraine Sun Oil Exports'!Y$151</f>
        <v>176.70532600000001</v>
      </c>
      <c r="BC21" s="141">
        <f>'[2]Ukraine Sun Oil Exports'!Z$151</f>
        <v>62.631351000000002</v>
      </c>
      <c r="BD21" s="141">
        <f>'[2]Ukraine Sun Oil Exports'!AA$151</f>
        <v>37.051042000000002</v>
      </c>
      <c r="BE21" s="141">
        <f>'[2]Ukraine Sun Oil Exports'!AB$151</f>
        <v>80.001492999999982</v>
      </c>
      <c r="BF21" s="141">
        <f>'[2]Ukraine Sun Oil Exports'!AC$151</f>
        <v>49.616075000000002</v>
      </c>
      <c r="BG21" s="141">
        <f>'[2]Ukraine Sun Oil Exports'!AD$151</f>
        <v>453.036</v>
      </c>
      <c r="BH21" s="141">
        <f>'[2]Russia Sun Oil Exports'!B$151</f>
        <v>0</v>
      </c>
      <c r="BI21" s="141">
        <f>'[2]Russia Sun Oil Exports'!C$151</f>
        <v>0</v>
      </c>
      <c r="BJ21" s="141">
        <f>'[2]Russia Sun Oil Exports'!D$151</f>
        <v>0</v>
      </c>
      <c r="BK21" s="141">
        <f>'[2]Russia Sun Oil Exports'!E$151</f>
        <v>2.0212110000000001</v>
      </c>
      <c r="BL21" s="141">
        <f>'[2]Russia Sun Oil Exports'!F$151</f>
        <v>1.15215</v>
      </c>
      <c r="BM21" s="141">
        <f>'[2]Russia Sun Oil Exports'!G$151</f>
        <v>4.4355700000000002</v>
      </c>
      <c r="BN21" s="141">
        <f>'[2]Russia Sun Oil Exports'!H$151</f>
        <v>25.324944000000006</v>
      </c>
      <c r="BO21" s="141">
        <f>'[2]Russia Sun Oil Exports'!I$151</f>
        <v>3.0184369999999996</v>
      </c>
      <c r="BP21" s="141">
        <f>'[2]Russia Sun Oil Exports'!J$151</f>
        <v>0.312162</v>
      </c>
      <c r="BQ21" s="141">
        <f>'[2]Russia Sun Oil Exports'!K$151</f>
        <v>9.9821860000000004</v>
      </c>
      <c r="BR21" s="141">
        <f>'[2]Russia Sun Oil Exports'!L$151</f>
        <v>9.5973199999999999</v>
      </c>
      <c r="BS21" s="141">
        <f>'[2]Russia Sun Oil Exports'!M$151</f>
        <v>48.536390000000004</v>
      </c>
      <c r="BT21" s="141">
        <f>'[2]Russia Sun Oil Exports'!N$151</f>
        <v>120.854</v>
      </c>
      <c r="BU21" s="141">
        <f>'[2]Russia Sun Oil Exports'!O$151</f>
        <v>32.694000000000003</v>
      </c>
      <c r="BV21" s="141">
        <f>'[2]Russia Sun Oil Exports'!P$151</f>
        <v>28.544</v>
      </c>
      <c r="BW21" s="141">
        <f>'[2]Russia Sun Oil Exports'!Q$151</f>
        <v>159.61599999999999</v>
      </c>
      <c r="BX21" s="141">
        <f>'[2]Russia Sun Oil Exports'!R$151</f>
        <v>95.582999999999998</v>
      </c>
      <c r="BY21" s="141">
        <f>'[2]Russia Sun Oil Exports'!S$151</f>
        <v>22.375999999999998</v>
      </c>
      <c r="BZ21" s="141">
        <f>'[2]Russia Sun Oil Exports'!T$151</f>
        <v>505.95500000000004</v>
      </c>
      <c r="CA21" s="141">
        <f>'[2]Russia Sun Oil Exports'!U$151</f>
        <v>348.62599999999998</v>
      </c>
      <c r="CB21" s="141">
        <f>'[2]Russia Sun Oil Exports'!V$151</f>
        <v>644.59</v>
      </c>
      <c r="CC21" s="141">
        <f>'[2]Russia Sun Oil Exports'!W$151</f>
        <v>567.73100000000011</v>
      </c>
      <c r="CD21" s="141">
        <f>'[2]Russia Sun Oil Exports'!X$151</f>
        <v>546.18700000000001</v>
      </c>
      <c r="CE21" s="141">
        <f>'[2]Russia Sun Oil Exports'!Y$151</f>
        <v>503.40383200000002</v>
      </c>
      <c r="CF21" s="141">
        <f>'[2]Russia Sun Oil Exports'!Z$151</f>
        <v>378.53263800000002</v>
      </c>
      <c r="CG21" s="147">
        <f>'[2]Russia Sun Oil Exports'!AA$151</f>
        <v>455.41466799999995</v>
      </c>
      <c r="CH21" s="141">
        <f>'[2]Russia Sun Oil Exports'!AB$151</f>
        <v>669.31877699999995</v>
      </c>
      <c r="CI21" s="141">
        <f>'[2]Russia Sun Oil Exports'!AC$151</f>
        <v>767.79106400000001</v>
      </c>
      <c r="CJ21" s="143">
        <f>'[2]Russia Sun Oil Exports'!AD$151</f>
        <v>908.22801900000002</v>
      </c>
      <c r="CK21" s="141">
        <f>'[3]Sunflower Oil Exports'!B$151/2204.622*1000</f>
        <v>29.740000000000002</v>
      </c>
      <c r="CL21" s="141">
        <f>'[3]Sunflower Oil Exports'!C$151/2204.622*1000</f>
        <v>24.207200000000004</v>
      </c>
      <c r="CM21" s="141">
        <f>'[3]Sunflower Oil Exports'!D$151/2204.622*1000</f>
        <v>9.4094000000000015</v>
      </c>
      <c r="CN21" s="141">
        <f>'[3]Sunflower Oil Exports'!E$151/2204.622*1000</f>
        <v>0</v>
      </c>
      <c r="CO21" s="141">
        <f>'[3]Sunflower Oil Exports'!F$151/2204.622*1000</f>
        <v>1.9999000000000002</v>
      </c>
      <c r="CP21" s="141">
        <f>'[3]Sunflower Oil Exports'!G$151/2204.622*1000</f>
        <v>9.198400000000003</v>
      </c>
      <c r="CQ21" s="141">
        <f>'[3]Sunflower Oil Exports'!H$151/2204.622*1000</f>
        <v>0</v>
      </c>
      <c r="CR21" s="141">
        <f>'[3]Sunflower Oil Exports'!I$151/2204.622*1000</f>
        <v>12.574400000000001</v>
      </c>
      <c r="CS21" s="141">
        <f>'[3]Sunflower Oil Exports'!J$151/2204.622*1000</f>
        <v>15.696999999999999</v>
      </c>
      <c r="CT21" s="141">
        <f>'[3]Sunflower Oil Exports'!K$151/2204.622*1000</f>
        <v>0</v>
      </c>
      <c r="CU21" s="141">
        <f>'[3]Sunflower Oil Exports'!L$151/2204.622*1000</f>
        <v>0</v>
      </c>
      <c r="CV21" s="141">
        <f>'[3]Sunflower Oil Exports'!M$151/2204.622*1000</f>
        <v>0</v>
      </c>
      <c r="CW21" s="141">
        <f>'[3]Sunflower Oil Exports'!N$151/2204.622*1000</f>
        <v>0</v>
      </c>
      <c r="CX21" s="141">
        <f>'[3]Sunflower Oil Exports'!O$151/2204.622*1000</f>
        <v>0</v>
      </c>
      <c r="CY21" s="141">
        <f>'[3]Sunflower Oil Exports'!P$151/2204.622*1000</f>
        <v>0</v>
      </c>
      <c r="CZ21" s="141">
        <f>'[3]Sunflower Oil Exports'!Q$151/2204.622*1000</f>
        <v>0</v>
      </c>
      <c r="DA21" s="141">
        <f>'[3]Sunflower Oil Exports'!R$151/2204.622*1000</f>
        <v>0</v>
      </c>
      <c r="DB21" s="141">
        <f>'[3]Sunflower Oil Exports'!S$151/2204.622*1000</f>
        <v>0</v>
      </c>
      <c r="DC21" s="141">
        <f>'[3]Sunflower Oil Exports'!T$151/2204.622*1000</f>
        <v>0</v>
      </c>
      <c r="DD21" s="141">
        <f>'[3]Sunflower Oil Exports'!U$151/2204.622*1000</f>
        <v>0</v>
      </c>
      <c r="DE21" s="141">
        <f>'[3]Sunflower Oil Exports'!V$151/2204.622*1000</f>
        <v>0</v>
      </c>
      <c r="DF21" s="141">
        <f>'[3]Sunflower Oil Exports'!W$151/2204.622*1000</f>
        <v>0</v>
      </c>
      <c r="DG21" s="141">
        <f>'[3]Sunflower Oil Exports'!X$151/2204.622*1000</f>
        <v>0</v>
      </c>
      <c r="DH21" s="141">
        <f>'[3]Sunflower Oil Exports'!Y$151/2204.622*1000</f>
        <v>0</v>
      </c>
      <c r="DI21" s="141">
        <f>'[3]Sunflower Oil Exports'!Z$151/2204.622*1000</f>
        <v>0</v>
      </c>
      <c r="DJ21" s="141">
        <f>'[3]Sunflower Oil Exports'!AA$151/2204.622*1000</f>
        <v>1.8999982763485079E-2</v>
      </c>
      <c r="DK21" s="141">
        <f>'[3]Sunflower Oil Exports'!AB$151/2204.622*1000</f>
        <v>0</v>
      </c>
      <c r="DL21" s="141">
        <f>'[3]Sunflower Oil Exports'!AC$151/2204.622*1000</f>
        <v>0</v>
      </c>
      <c r="DM21" s="143">
        <f>'[3]Sunflower Oil Exports'!AD$151/2204.622*1000</f>
        <v>0</v>
      </c>
      <c r="DN21" s="141">
        <f t="shared" si="9"/>
        <v>29.740000000000002</v>
      </c>
      <c r="DO21" s="141">
        <f t="shared" si="9"/>
        <v>24.207200000000004</v>
      </c>
      <c r="DP21" s="141">
        <f t="shared" si="9"/>
        <v>9.4094000000000015</v>
      </c>
      <c r="DQ21" s="141">
        <f t="shared" si="9"/>
        <v>40.959211000000003</v>
      </c>
      <c r="DR21" s="141">
        <f t="shared" si="9"/>
        <v>51.145049999999998</v>
      </c>
      <c r="DS21" s="141">
        <f t="shared" si="9"/>
        <v>64.883970000000005</v>
      </c>
      <c r="DT21" s="141">
        <f t="shared" si="9"/>
        <v>92.861944000000008</v>
      </c>
      <c r="DU21" s="141">
        <f t="shared" si="9"/>
        <v>115.27783700000001</v>
      </c>
      <c r="DV21" s="141">
        <f t="shared" si="9"/>
        <v>43.583095</v>
      </c>
      <c r="DW21" s="141">
        <f t="shared" si="9"/>
        <v>47.920186000000001</v>
      </c>
      <c r="DX21" s="141">
        <f t="shared" si="9"/>
        <v>47.69032</v>
      </c>
      <c r="DY21" s="141">
        <f t="shared" si="9"/>
        <v>152.37639000000001</v>
      </c>
      <c r="DZ21" s="141">
        <f t="shared" si="9"/>
        <v>323.30099999999999</v>
      </c>
      <c r="EA21" s="141">
        <f t="shared" si="9"/>
        <v>82.665999999999997</v>
      </c>
      <c r="EB21" s="141">
        <f t="shared" si="9"/>
        <v>189.52200000000002</v>
      </c>
      <c r="EC21" s="141">
        <f t="shared" si="8"/>
        <v>386.00199999999995</v>
      </c>
      <c r="ED21" s="141">
        <f t="shared" si="4"/>
        <v>223.39499999999998</v>
      </c>
      <c r="EE21" s="141">
        <f t="shared" si="4"/>
        <v>331.38099999999997</v>
      </c>
      <c r="EF21" s="141">
        <f t="shared" si="4"/>
        <v>734.68900000000008</v>
      </c>
      <c r="EG21" s="141">
        <f t="shared" si="4"/>
        <v>643.81499999999994</v>
      </c>
      <c r="EH21" s="141">
        <f t="shared" si="4"/>
        <v>780.13900000000001</v>
      </c>
      <c r="EI21" s="141">
        <f t="shared" si="4"/>
        <v>759.0870000000001</v>
      </c>
      <c r="EJ21" s="141">
        <f t="shared" si="4"/>
        <v>741.92700000000002</v>
      </c>
      <c r="EK21" s="141">
        <f t="shared" si="4"/>
        <v>718.04715800000008</v>
      </c>
      <c r="EL21" s="141">
        <f t="shared" si="4"/>
        <v>478.02798900000005</v>
      </c>
      <c r="EM21" s="147">
        <f t="shared" si="4"/>
        <v>515.85270998276349</v>
      </c>
      <c r="EN21" s="141">
        <f t="shared" si="4"/>
        <v>779.39126999999996</v>
      </c>
      <c r="EO21" s="141">
        <f t="shared" si="4"/>
        <v>863.03313900000001</v>
      </c>
      <c r="EP21" s="145">
        <f>'Turkey Sun Complex'!AD34-70</f>
        <v>855</v>
      </c>
      <c r="EQ21" s="145">
        <f>'Turkey Sun Complex'!AE34-75</f>
        <v>850</v>
      </c>
      <c r="ES21" s="145">
        <f t="shared" si="5"/>
        <v>0</v>
      </c>
      <c r="ET21" s="145">
        <f t="shared" si="6"/>
        <v>546.80597899999998</v>
      </c>
      <c r="EU21" s="145"/>
    </row>
    <row r="22" spans="1:151">
      <c r="A22" s="193" t="s">
        <v>153</v>
      </c>
      <c r="B22" s="141">
        <f>'[2]EU Sun Oil Exports'!B$74-SUM(B7:B21)</f>
        <v>0</v>
      </c>
      <c r="C22" s="141">
        <f>'[2]EU Sun Oil Exports'!C$74-SUM(C7:C21)</f>
        <v>0</v>
      </c>
      <c r="D22" s="141">
        <f>'[2]EU Sun Oil Exports'!D$74-SUM(D7:D21)</f>
        <v>0</v>
      </c>
      <c r="E22" s="141">
        <f>'[2]EU Sun Oil Exports'!E$74-SUM(E7:E21)</f>
        <v>11.555</v>
      </c>
      <c r="F22" s="141">
        <f>'[2]EU Sun Oil Exports'!F$74-SUM(F7:F21)</f>
        <v>12.594999999999995</v>
      </c>
      <c r="G22" s="141">
        <f>'[2]EU Sun Oil Exports'!G$74-SUM(G7:G21)</f>
        <v>11.711999999999989</v>
      </c>
      <c r="H22" s="141">
        <f>'[2]EU Sun Oil Exports'!H$74-SUM(H7:H21)</f>
        <v>13.495999999999995</v>
      </c>
      <c r="I22" s="141">
        <f>'[2]EU Sun Oil Exports'!I$74-SUM(I7:I21)</f>
        <v>13.160000000000007</v>
      </c>
      <c r="J22" s="141">
        <f>'[2]EU Sun Oil Exports'!J$74-SUM(J7:J21)</f>
        <v>9.2680000000000007</v>
      </c>
      <c r="K22" s="141">
        <f>'[2]EU Sun Oil Exports'!K$74-SUM(K7:K21)</f>
        <v>7.4550000000000018</v>
      </c>
      <c r="L22" s="141">
        <f>'[2]EU Sun Oil Exports'!L$74-SUM(L7:L21)</f>
        <v>15.531999999999996</v>
      </c>
      <c r="M22" s="141">
        <f>'[2]EU Sun Oil Exports'!M$74-SUM(M7:M21)</f>
        <v>10.484999999999999</v>
      </c>
      <c r="N22" s="141">
        <f>'[2]EU Sun Oil Exports'!N$74-SUM(N7:N21)</f>
        <v>12.102000000000004</v>
      </c>
      <c r="O22" s="141">
        <f>'[2]EU Sun Oil Exports'!O$74-SUM(O7:O21)</f>
        <v>9.2500000000000036</v>
      </c>
      <c r="P22" s="141">
        <f>'[2]EU Sun Oil Exports'!P$74-SUM(P7:P21)</f>
        <v>7.737999999999996</v>
      </c>
      <c r="Q22" s="141">
        <f>'[2]EU Sun Oil Exports'!Q$74-SUM(Q7:Q21)</f>
        <v>12.339999999999993</v>
      </c>
      <c r="R22" s="141">
        <f>'[2]EU Sun Oil Exports'!R$74-SUM(R7:R21)</f>
        <v>11.167999999999996</v>
      </c>
      <c r="S22" s="141">
        <f>'[2]EU Sun Oil Exports'!S$74-SUM(S7:S21)</f>
        <v>13.022000000000002</v>
      </c>
      <c r="T22" s="141">
        <f>'[2]EU Sun Oil Exports'!T$74-SUM(T7:T21)</f>
        <v>21.058999999999994</v>
      </c>
      <c r="U22" s="141">
        <f>'[2]EU Sun Oil Exports'!U$74-SUM(U7:U21)</f>
        <v>23.616000000000007</v>
      </c>
      <c r="V22" s="141">
        <f>'[2]EU Sun Oil Exports'!V$74-SUM(V7:V21)</f>
        <v>30.742999999999995</v>
      </c>
      <c r="W22" s="141">
        <f>'[2]EU Sun Oil Exports'!W$74-SUM(W7:W21)</f>
        <v>35.459999999999965</v>
      </c>
      <c r="X22" s="141">
        <f>'[2]EU Sun Oil Exports'!X$74-SUM(X7:X21)</f>
        <v>28.655000000000008</v>
      </c>
      <c r="Y22" s="141">
        <f>'[2]EU Sun Oil Exports'!Y$74-SUM(Y7:Y21)</f>
        <v>25.617999999999995</v>
      </c>
      <c r="Z22" s="141">
        <f>'[2]EU Sun Oil Exports'!Z$74-SUM(Z7:Z21)</f>
        <v>33.308999999999997</v>
      </c>
      <c r="AA22" s="141">
        <f>'[2]EU Sun Oil Exports'!AA$74-SUM(AA7:AA21)</f>
        <v>27.315000000000055</v>
      </c>
      <c r="AB22" s="141">
        <f>'[2]EU Sun Oil Exports'!AB$74-SUM(AB7:AB21)</f>
        <v>22.687999999999988</v>
      </c>
      <c r="AC22" s="141">
        <f>'[2]EU Sun Oil Exports'!AC$74-SUM(AC7:AC21)</f>
        <v>19.412999999999954</v>
      </c>
      <c r="AD22" s="143">
        <v>30</v>
      </c>
      <c r="AE22" s="141">
        <f>'[2]Ukraine Sun Oil Exports'!B$74-SUM(AE7:AE21)</f>
        <v>0</v>
      </c>
      <c r="AF22" s="141">
        <f>'[2]Ukraine Sun Oil Exports'!C$74-SUM(AF7:AF21)</f>
        <v>27</v>
      </c>
      <c r="AG22" s="141">
        <f>'[2]Ukraine Sun Oil Exports'!D$74-SUM(AG7:AG21)</f>
        <v>73</v>
      </c>
      <c r="AH22" s="141">
        <f>'[2]Ukraine Sun Oil Exports'!E$74-SUM(AH7:AH21)</f>
        <v>52</v>
      </c>
      <c r="AI22" s="141">
        <f>'[2]Ukraine Sun Oil Exports'!F$74-SUM(AI7:AI21)</f>
        <v>11.700000000000003</v>
      </c>
      <c r="AJ22" s="141">
        <f>'[2]Ukraine Sun Oil Exports'!G$74-SUM(AJ7:AJ21)</f>
        <v>8</v>
      </c>
      <c r="AK22" s="141">
        <f>'[2]Ukraine Sun Oil Exports'!H$74-SUM(AK7:AK21)</f>
        <v>9.7000000000000028</v>
      </c>
      <c r="AL22" s="141">
        <f>'[2]Ukraine Sun Oil Exports'!I$74-SUM(AL7:AL21)</f>
        <v>2.2999999999999972</v>
      </c>
      <c r="AM22" s="141">
        <f>'[2]Ukraine Sun Oil Exports'!J$74-SUM(AM7:AM21)</f>
        <v>1</v>
      </c>
      <c r="AN22" s="141">
        <f>'[2]Ukraine Sun Oil Exports'!K$74-SUM(AN7:AN21)</f>
        <v>0</v>
      </c>
      <c r="AO22" s="141">
        <f>'[2]Ukraine Sun Oil Exports'!L$74-SUM(AO7:AO21)</f>
        <v>0.71900000000000119</v>
      </c>
      <c r="AP22" s="141">
        <f>'[2]Ukraine Sun Oil Exports'!M$74-SUM(AP7:AP21)</f>
        <v>3.070999999999998</v>
      </c>
      <c r="AQ22" s="141">
        <f>'[2]Ukraine Sun Oil Exports'!N$74-SUM(AQ7:AQ21)</f>
        <v>82.081999999999994</v>
      </c>
      <c r="AR22" s="141">
        <f>'[2]Ukraine Sun Oil Exports'!O$74-SUM(AR7:AR21)</f>
        <v>85.788000000000011</v>
      </c>
      <c r="AS22" s="141">
        <f>'[2]Ukraine Sun Oil Exports'!P$74-SUM(AS7:AS21)</f>
        <v>30.670000000000016</v>
      </c>
      <c r="AT22" s="141">
        <f>'[2]Ukraine Sun Oil Exports'!Q$74-SUM(AT7:AT21)</f>
        <v>54.148999999999887</v>
      </c>
      <c r="AU22" s="141">
        <f>'[2]Ukraine Sun Oil Exports'!R$74-SUM(AU7:AU21)</f>
        <v>77.920999999999935</v>
      </c>
      <c r="AV22" s="141">
        <f>'[2]Ukraine Sun Oil Exports'!S$74-SUM(AV7:AV21)</f>
        <v>59.941000000000031</v>
      </c>
      <c r="AW22" s="141">
        <f>'[2]Ukraine Sun Oil Exports'!T$74-SUM(AW7:AW21)</f>
        <v>109.92100000000005</v>
      </c>
      <c r="AX22" s="141">
        <f>'[2]Ukraine Sun Oil Exports'!U$74-SUM(AX7:AX21)</f>
        <v>97.685999999999922</v>
      </c>
      <c r="AY22" s="141">
        <f>'[2]Ukraine Sun Oil Exports'!V$74-SUM(AY7:AY21)</f>
        <v>183.19400000000041</v>
      </c>
      <c r="AZ22" s="141">
        <f>'[2]Ukraine Sun Oil Exports'!W$74-SUM(AZ7:AZ21)</f>
        <v>158.39999999999964</v>
      </c>
      <c r="BA22" s="141">
        <f>'[2]Ukraine Sun Oil Exports'!X$74-SUM(BA7:BA21)</f>
        <v>223.61900000000014</v>
      </c>
      <c r="BB22" s="141">
        <f>'[2]Ukraine Sun Oil Exports'!Y$74-SUM(BB7:BB21)</f>
        <v>288.31981500000074</v>
      </c>
      <c r="BC22" s="141">
        <f>'[2]Ukraine Sun Oil Exports'!Z$74-SUM(BC7:BC21)</f>
        <v>485.27319500000067</v>
      </c>
      <c r="BD22" s="141">
        <f>'[2]Ukraine Sun Oil Exports'!AA$74-SUM(BD7:BD21)</f>
        <v>658.90701300000001</v>
      </c>
      <c r="BE22" s="141">
        <f>'[2]Ukraine Sun Oil Exports'!AB$74-SUM(BE7:BE21)</f>
        <v>826.05527799999982</v>
      </c>
      <c r="BF22" s="141">
        <f>'[2]Ukraine Sun Oil Exports'!AC$74-SUM(BF7:BF21)</f>
        <v>516.7101560000001</v>
      </c>
      <c r="BG22" s="143">
        <f>915-800</f>
        <v>115</v>
      </c>
      <c r="BH22" s="141">
        <f>'[2]Russia Sun Oil Exports'!B$74-SUM(BH7:BH21)</f>
        <v>0</v>
      </c>
      <c r="BI22" s="141">
        <f>'[2]Russia Sun Oil Exports'!C$74-SUM(BI7:BI21)</f>
        <v>0</v>
      </c>
      <c r="BJ22" s="141">
        <f>'[2]Russia Sun Oil Exports'!D$74-SUM(BJ7:BJ21)</f>
        <v>0</v>
      </c>
      <c r="BK22" s="141">
        <f>'[2]Russia Sun Oil Exports'!E$74-SUM(BK7:BK21)</f>
        <v>0.57634600000000002</v>
      </c>
      <c r="BL22" s="141">
        <f>'[2]Russia Sun Oil Exports'!F$74-SUM(BL7:BL21)</f>
        <v>6.0958000000000068E-2</v>
      </c>
      <c r="BM22" s="141">
        <f>'[2]Russia Sun Oil Exports'!G$74-SUM(BM7:BM21)</f>
        <v>8.7939999999999685E-3</v>
      </c>
      <c r="BN22" s="141">
        <f>'[2]Russia Sun Oil Exports'!H$74-SUM(BN7:BN21)</f>
        <v>0.33547400000000138</v>
      </c>
      <c r="BO22" s="141">
        <f>'[2]Russia Sun Oil Exports'!I$74-SUM(BO7:BO21)</f>
        <v>0.20818300000000001</v>
      </c>
      <c r="BP22" s="141">
        <f>'[2]Russia Sun Oil Exports'!J$74-SUM(BP7:BP21)</f>
        <v>8.3601000000000036E-2</v>
      </c>
      <c r="BQ22" s="141">
        <f>'[2]Russia Sun Oil Exports'!K$74-SUM(BQ7:BQ21)</f>
        <v>4.3389430000000004</v>
      </c>
      <c r="BR22" s="141">
        <f>'[2]Russia Sun Oil Exports'!L$74-SUM(BR7:BR21)</f>
        <v>3.3575349999999986</v>
      </c>
      <c r="BS22" s="141">
        <f>'[2]Russia Sun Oil Exports'!M$74-SUM(BS7:BS21)</f>
        <v>10.234837999999996</v>
      </c>
      <c r="BT22" s="141">
        <f>'[2]Russia Sun Oil Exports'!N$74-SUM(BT7:BT21)</f>
        <v>40.241000000000014</v>
      </c>
      <c r="BU22" s="141">
        <f>'[2]Russia Sun Oil Exports'!O$74-SUM(BU7:BU21)</f>
        <v>18.955000000000041</v>
      </c>
      <c r="BV22" s="141">
        <f>'[2]Russia Sun Oil Exports'!P$74-SUM(BV7:BV21)</f>
        <v>4.9280000000000044</v>
      </c>
      <c r="BW22" s="141">
        <f>'[2]Russia Sun Oil Exports'!Q$74-SUM(BW7:BW21)</f>
        <v>19.759999999999934</v>
      </c>
      <c r="BX22" s="141">
        <f>'[2]Russia Sun Oil Exports'!R$74-SUM(BX7:BX21)</f>
        <v>17.661999999999978</v>
      </c>
      <c r="BY22" s="141">
        <f>'[2]Russia Sun Oil Exports'!S$74-SUM(BY7:BY21)</f>
        <v>14.643000000000001</v>
      </c>
      <c r="BZ22" s="141">
        <f>'[2]Russia Sun Oil Exports'!T$74-SUM(BZ7:BZ21)</f>
        <v>47.277999999999906</v>
      </c>
      <c r="CA22" s="141">
        <f>'[2]Russia Sun Oil Exports'!U$74-SUM(CA7:CA21)</f>
        <v>35.699000000000069</v>
      </c>
      <c r="CB22" s="141">
        <f>'[2]Russia Sun Oil Exports'!V$74-SUM(CB7:CB21)</f>
        <v>83.683999999999969</v>
      </c>
      <c r="CC22" s="141">
        <f>'[2]Russia Sun Oil Exports'!W$74-SUM(CC7:CC21)</f>
        <v>55.049000000000092</v>
      </c>
      <c r="CD22" s="141">
        <f>'[2]Russia Sun Oil Exports'!X$74-SUM(CD7:CD21)</f>
        <v>58.183999999999969</v>
      </c>
      <c r="CE22" s="141">
        <f>'[2]Russia Sun Oil Exports'!Y$74-SUM(CE7:CE21)</f>
        <v>177.3416749999999</v>
      </c>
      <c r="CF22" s="141">
        <f>'[2]Russia Sun Oil Exports'!Z$74-SUM(CF7:CF21)</f>
        <v>194.02841200000023</v>
      </c>
      <c r="CG22" s="147">
        <f>'[2]Russia Sun Oil Exports'!AA$74-SUM(CG7:CG21)</f>
        <v>122.90460699999971</v>
      </c>
      <c r="CH22" s="141">
        <f>'[2]Russia Sun Oil Exports'!AB$74-SUM(CH7:CH21)</f>
        <v>188.92412999999965</v>
      </c>
      <c r="CI22" s="141">
        <f>'[2]Russia Sun Oil Exports'!AC$74-SUM(CI7:CI21)</f>
        <v>217.46572300000025</v>
      </c>
      <c r="CJ22" s="143">
        <f>396.2-296</f>
        <v>100.19999999999999</v>
      </c>
      <c r="CK22" s="141">
        <f>('[3]Sunflower Oil Exports'!B$74/2204.622*1000)-SUM(CK7:CK21)</f>
        <v>0.35000000000000142</v>
      </c>
      <c r="CL22" s="141">
        <f>('[3]Sunflower Oil Exports'!C$74/2204.622*1000)-SUM(CL7:CL21)</f>
        <v>7.2889000000000266</v>
      </c>
      <c r="CM22" s="141">
        <f>('[3]Sunflower Oil Exports'!D$74/2204.622*1000)-SUM(CM7:CM21)</f>
        <v>8.8290000000000006</v>
      </c>
      <c r="CN22" s="141">
        <f>('[3]Sunflower Oil Exports'!E$74/2204.622*1000)-SUM(CN7:CN21)</f>
        <v>30.236900000000013</v>
      </c>
      <c r="CO22" s="141">
        <f>('[3]Sunflower Oil Exports'!F$74/2204.622*1000)-SUM(CO7:CO21)</f>
        <v>4.1746000000000016</v>
      </c>
      <c r="CP22" s="141">
        <f>('[3]Sunflower Oil Exports'!G$74/2204.622*1000)-SUM(CP7:CP21)</f>
        <v>12.655500000000004</v>
      </c>
      <c r="CQ22" s="141">
        <f>('[3]Sunflower Oil Exports'!H$74/2204.622*1000)-SUM(CQ7:CQ21)</f>
        <v>1.4115000000000002</v>
      </c>
      <c r="CR22" s="141">
        <f>('[3]Sunflower Oil Exports'!I$74/2204.622*1000)-SUM(CR7:CR21)</f>
        <v>9.1051000000000002</v>
      </c>
      <c r="CS22" s="141">
        <f>('[3]Sunflower Oil Exports'!J$74/2204.622*1000)-SUM(CS7:CS21)</f>
        <v>6.0625000000000142</v>
      </c>
      <c r="CT22" s="141">
        <f>('[3]Sunflower Oil Exports'!K$74/2204.622*1000)-SUM(CT7:CT21)</f>
        <v>0.59159999999999968</v>
      </c>
      <c r="CU22" s="141">
        <f>('[3]Sunflower Oil Exports'!L$74/2204.622*1000)-SUM(CU7:CU21)</f>
        <v>1.3241000000000005</v>
      </c>
      <c r="CV22" s="141">
        <f>('[3]Sunflower Oil Exports'!M$74/2204.622*1000)-SUM(CV7:CV21)</f>
        <v>2.1469000000000005</v>
      </c>
      <c r="CW22" s="141">
        <f>('[3]Sunflower Oil Exports'!N$74/2204.622*1000)-SUM(CW7:CW21)</f>
        <v>4.186300000000001</v>
      </c>
      <c r="CX22" s="141">
        <f>('[3]Sunflower Oil Exports'!O$74/2204.622*1000)-SUM(CX7:CX21)</f>
        <v>6.0855000000000015</v>
      </c>
      <c r="CY22" s="141">
        <f>('[3]Sunflower Oil Exports'!P$74/2204.622*1000)-SUM(CY7:CY21)</f>
        <v>4.2133000000000003</v>
      </c>
      <c r="CZ22" s="141">
        <f>('[3]Sunflower Oil Exports'!Q$74/2204.622*1000)-SUM(CZ7:CZ21)</f>
        <v>1.9966000000000044</v>
      </c>
      <c r="DA22" s="141">
        <f>('[3]Sunflower Oil Exports'!R$74/2204.622*1000)-SUM(DA7:DA21)</f>
        <v>0.16460000000000363</v>
      </c>
      <c r="DB22" s="141">
        <f>('[3]Sunflower Oil Exports'!S$74/2204.622*1000)-SUM(DB7:DB21)</f>
        <v>0.63910000000000089</v>
      </c>
      <c r="DC22" s="141">
        <f>('[3]Sunflower Oil Exports'!T$74/2204.622*1000)-SUM(DC7:DC21)</f>
        <v>1.4740999999999997</v>
      </c>
      <c r="DD22" s="141">
        <f>('[3]Sunflower Oil Exports'!U$74/2204.622*1000)-SUM(DD7:DD21)</f>
        <v>1.1012000000000004</v>
      </c>
      <c r="DE22" s="141">
        <f>('[3]Sunflower Oil Exports'!V$74/2204.622*1000)-SUM(DE7:DE21)</f>
        <v>2.3835000000000006</v>
      </c>
      <c r="DF22" s="141">
        <f>('[3]Sunflower Oil Exports'!W$74/2204.622*1000)-SUM(DF7:DF21)</f>
        <v>0.5771000000000015</v>
      </c>
      <c r="DG22" s="141">
        <f>('[3]Sunflower Oil Exports'!X$74/2204.622*1000)-SUM(DG7:DG21)</f>
        <v>0.77369999999999983</v>
      </c>
      <c r="DH22" s="141">
        <f>('[3]Sunflower Oil Exports'!Y$74/2204.622*1000)-SUM(DH7:DH21)</f>
        <v>0.71004162012354044</v>
      </c>
      <c r="DI22" s="141">
        <f>('[3]Sunflower Oil Exports'!Z$74/2204.622*1000)-SUM(DI7:DI21)</f>
        <v>3.0487552342124893</v>
      </c>
      <c r="DJ22" s="141">
        <f>('[3]Sunflower Oil Exports'!AA$74/2204.622*1000)-SUM(DJ7:DJ21)</f>
        <v>3.8743204852713937</v>
      </c>
      <c r="DK22" s="141">
        <f>('[3]Sunflower Oil Exports'!AB$74/2204.622*1000)-SUM(DK7:DK21)</f>
        <v>1.1861779239162047</v>
      </c>
      <c r="DL22" s="141">
        <f>('[3]Sunflower Oil Exports'!AC$74/2204.622*1000)-SUM(DL7:DL21)</f>
        <v>2.222667547797311</v>
      </c>
      <c r="DM22" s="143">
        <v>3</v>
      </c>
      <c r="DN22" s="141">
        <f t="shared" si="9"/>
        <v>0.35000000000000142</v>
      </c>
      <c r="DO22" s="141">
        <f t="shared" si="9"/>
        <v>34.288900000000027</v>
      </c>
      <c r="DP22" s="141">
        <f t="shared" si="9"/>
        <v>81.829000000000008</v>
      </c>
      <c r="DQ22" s="141">
        <f t="shared" si="9"/>
        <v>94.368245999999999</v>
      </c>
      <c r="DR22" s="141">
        <f t="shared" si="9"/>
        <v>28.530557999999999</v>
      </c>
      <c r="DS22" s="141">
        <f t="shared" si="9"/>
        <v>32.376293999999994</v>
      </c>
      <c r="DT22" s="141">
        <f t="shared" si="9"/>
        <v>24.942974</v>
      </c>
      <c r="DU22" s="141">
        <f t="shared" si="9"/>
        <v>24.773283000000006</v>
      </c>
      <c r="DV22" s="141">
        <f t="shared" si="9"/>
        <v>16.414101000000016</v>
      </c>
      <c r="DW22" s="141">
        <f t="shared" si="9"/>
        <v>12.385543000000002</v>
      </c>
      <c r="DX22" s="141">
        <f t="shared" si="9"/>
        <v>20.932634999999998</v>
      </c>
      <c r="DY22" s="141">
        <f t="shared" si="9"/>
        <v>25.937737999999996</v>
      </c>
      <c r="DZ22" s="141">
        <f t="shared" si="9"/>
        <v>138.6113</v>
      </c>
      <c r="EA22" s="141">
        <f t="shared" si="9"/>
        <v>120.07850000000005</v>
      </c>
      <c r="EB22" s="141">
        <f t="shared" si="9"/>
        <v>47.549300000000017</v>
      </c>
      <c r="EC22" s="141">
        <f t="shared" si="8"/>
        <v>88.245599999999811</v>
      </c>
      <c r="ED22" s="141">
        <f t="shared" si="4"/>
        <v>106.91559999999991</v>
      </c>
      <c r="EE22" s="141">
        <f t="shared" si="4"/>
        <v>88.245100000000036</v>
      </c>
      <c r="EF22" s="141">
        <f t="shared" si="4"/>
        <v>179.73209999999995</v>
      </c>
      <c r="EG22" s="141">
        <f t="shared" si="4"/>
        <v>158.10220000000001</v>
      </c>
      <c r="EH22" s="141">
        <f t="shared" si="4"/>
        <v>300.00450000000041</v>
      </c>
      <c r="EI22" s="141">
        <f t="shared" si="4"/>
        <v>249.48609999999971</v>
      </c>
      <c r="EJ22" s="141">
        <f t="shared" si="4"/>
        <v>311.2317000000001</v>
      </c>
      <c r="EK22" s="141">
        <f t="shared" si="4"/>
        <v>491.98953162012418</v>
      </c>
      <c r="EL22" s="141">
        <f t="shared" si="4"/>
        <v>715.6593622342134</v>
      </c>
      <c r="EM22" s="147">
        <f t="shared" si="4"/>
        <v>813.00094048527114</v>
      </c>
      <c r="EN22" s="141">
        <f t="shared" si="4"/>
        <v>1038.8535859239155</v>
      </c>
      <c r="EO22" s="141">
        <f t="shared" si="4"/>
        <v>755.81154654779766</v>
      </c>
      <c r="EP22" s="145">
        <f t="shared" si="4"/>
        <v>248.2</v>
      </c>
      <c r="EQ22" s="145">
        <v>1389.8</v>
      </c>
      <c r="ES22" s="145">
        <f t="shared" si="5"/>
        <v>0</v>
      </c>
      <c r="ET22" s="145">
        <f t="shared" si="6"/>
        <v>0</v>
      </c>
      <c r="EU22" s="145"/>
    </row>
    <row r="23" spans="1:151">
      <c r="A23" s="187" t="s">
        <v>154</v>
      </c>
      <c r="B23" s="141">
        <f>'[2]EU Sun Oil Exports'!B$165</f>
        <v>0</v>
      </c>
      <c r="C23" s="141">
        <f>'[2]EU Sun Oil Exports'!C$165</f>
        <v>0</v>
      </c>
      <c r="D23" s="141">
        <f>'[2]EU Sun Oil Exports'!D$165</f>
        <v>0</v>
      </c>
      <c r="E23" s="141">
        <f>'[2]EU Sun Oil Exports'!E$165</f>
        <v>93.222000000000008</v>
      </c>
      <c r="F23" s="141">
        <f>'[2]EU Sun Oil Exports'!F$165</f>
        <v>49.010000000000005</v>
      </c>
      <c r="G23" s="141">
        <f>'[2]EU Sun Oil Exports'!G$165</f>
        <v>80.89800000000001</v>
      </c>
      <c r="H23" s="141">
        <f>'[2]EU Sun Oil Exports'!H$165</f>
        <v>36.762</v>
      </c>
      <c r="I23" s="141">
        <f>'[2]EU Sun Oil Exports'!I$165</f>
        <v>22.7</v>
      </c>
      <c r="J23" s="141">
        <f>'[2]EU Sun Oil Exports'!J$165</f>
        <v>6.0340000000000007</v>
      </c>
      <c r="K23" s="141">
        <f>'[2]EU Sun Oil Exports'!K$165</f>
        <v>6.3920000000000003</v>
      </c>
      <c r="L23" s="141">
        <f>'[2]EU Sun Oil Exports'!L$165</f>
        <v>25.334000000000003</v>
      </c>
      <c r="M23" s="141">
        <f>'[2]EU Sun Oil Exports'!M$165</f>
        <v>2.48</v>
      </c>
      <c r="N23" s="141">
        <f>'[2]EU Sun Oil Exports'!N$165</f>
        <v>0.27100000000000002</v>
      </c>
      <c r="O23" s="141">
        <f>'[2]EU Sun Oil Exports'!O$165</f>
        <v>0.27700000000000002</v>
      </c>
      <c r="P23" s="141">
        <f>'[2]EU Sun Oil Exports'!P$165</f>
        <v>9.1000000000000011E-2</v>
      </c>
      <c r="Q23" s="141">
        <f>'[2]EU Sun Oil Exports'!Q$165</f>
        <v>1.0999999999999999E-2</v>
      </c>
      <c r="R23" s="141">
        <f>'[2]EU Sun Oil Exports'!R$165</f>
        <v>6.1040000000000001</v>
      </c>
      <c r="S23" s="141">
        <f>'[2]EU Sun Oil Exports'!S$165</f>
        <v>0</v>
      </c>
      <c r="T23" s="141">
        <f>'[2]EU Sun Oil Exports'!T$165</f>
        <v>7.5999999999999998E-2</v>
      </c>
      <c r="U23" s="141">
        <f>'[2]EU Sun Oil Exports'!U$165</f>
        <v>1.4999999999999999E-2</v>
      </c>
      <c r="V23" s="141">
        <f>'[2]EU Sun Oil Exports'!V$165</f>
        <v>2.1999999999999999E-2</v>
      </c>
      <c r="W23" s="141">
        <f>'[2]EU Sun Oil Exports'!W$165</f>
        <v>0.02</v>
      </c>
      <c r="X23" s="141">
        <f>'[2]EU Sun Oil Exports'!X$165</f>
        <v>0</v>
      </c>
      <c r="Y23" s="141">
        <f>'[2]EU Sun Oil Exports'!Y$165</f>
        <v>0</v>
      </c>
      <c r="Z23" s="141">
        <f>'[2]EU Sun Oil Exports'!Z$165</f>
        <v>3.028</v>
      </c>
      <c r="AA23" s="141">
        <f>'[2]EU Sun Oil Exports'!AA$165</f>
        <v>6.0000000000000001E-3</v>
      </c>
      <c r="AB23" s="141">
        <f>'[2]EU Sun Oil Exports'!AB$165</f>
        <v>1.704</v>
      </c>
      <c r="AC23" s="141">
        <f>'[2]EU Sun Oil Exports'!AC$165</f>
        <v>4.0000000000000001E-3</v>
      </c>
      <c r="AD23" s="143">
        <f>'[2]EU Sun Oil Exports'!AD$165</f>
        <v>4.0000000000000001E-3</v>
      </c>
      <c r="AE23" s="141">
        <f>'[2]Ukraine Sun Oil Exports'!B$165</f>
        <v>0</v>
      </c>
      <c r="AF23" s="141">
        <f>'[2]Ukraine Sun Oil Exports'!C$165</f>
        <v>2.7</v>
      </c>
      <c r="AG23" s="141">
        <f>'[2]Ukraine Sun Oil Exports'!D$165</f>
        <v>26</v>
      </c>
      <c r="AH23" s="141">
        <f>'[2]Ukraine Sun Oil Exports'!E$165</f>
        <v>16</v>
      </c>
      <c r="AI23" s="141">
        <f>'[2]Ukraine Sun Oil Exports'!F$165</f>
        <v>1.5</v>
      </c>
      <c r="AJ23" s="141">
        <f>'[2]Ukraine Sun Oil Exports'!G$165</f>
        <v>10</v>
      </c>
      <c r="AK23" s="141">
        <f>'[2]Ukraine Sun Oil Exports'!H$165</f>
        <v>53</v>
      </c>
      <c r="AL23" s="141">
        <f>'[2]Ukraine Sun Oil Exports'!I$165</f>
        <v>84</v>
      </c>
      <c r="AM23" s="141">
        <f>'[2]Ukraine Sun Oil Exports'!J$165</f>
        <v>12.35</v>
      </c>
      <c r="AN23" s="141">
        <f>'[2]Ukraine Sun Oil Exports'!K$165</f>
        <v>41.981000000000002</v>
      </c>
      <c r="AO23" s="141">
        <f>'[2]Ukraine Sun Oil Exports'!L$165</f>
        <v>58.067000000000007</v>
      </c>
      <c r="AP23" s="141">
        <f>'[2]Ukraine Sun Oil Exports'!M$165</f>
        <v>9.3659999999999997</v>
      </c>
      <c r="AQ23" s="141">
        <f>'[2]Ukraine Sun Oil Exports'!N$165</f>
        <v>31.669</v>
      </c>
      <c r="AR23" s="141">
        <f>'[2]Ukraine Sun Oil Exports'!O$165</f>
        <v>124.872</v>
      </c>
      <c r="AS23" s="141">
        <f>'[2]Ukraine Sun Oil Exports'!P$165</f>
        <v>14.059999999999999</v>
      </c>
      <c r="AT23" s="141">
        <f>'[2]Ukraine Sun Oil Exports'!Q$165</f>
        <v>106.27499999999998</v>
      </c>
      <c r="AU23" s="141">
        <f>'[2]Ukraine Sun Oil Exports'!R$165</f>
        <v>144.08600000000001</v>
      </c>
      <c r="AV23" s="141">
        <f>'[2]Ukraine Sun Oil Exports'!S$165</f>
        <v>34.351999999999997</v>
      </c>
      <c r="AW23" s="141">
        <f>'[2]Ukraine Sun Oil Exports'!T$165</f>
        <v>220.30100000000002</v>
      </c>
      <c r="AX23" s="141">
        <f>'[2]Ukraine Sun Oil Exports'!U$165</f>
        <v>47.8</v>
      </c>
      <c r="AY23" s="141">
        <f>'[2]Ukraine Sun Oil Exports'!V$165</f>
        <v>99.795999999999978</v>
      </c>
      <c r="AZ23" s="141">
        <f>'[2]Ukraine Sun Oil Exports'!W$165</f>
        <v>66.999999999999986</v>
      </c>
      <c r="BA23" s="141">
        <f>'[2]Ukraine Sun Oil Exports'!X$165</f>
        <v>51.399999999999991</v>
      </c>
      <c r="BB23" s="141">
        <f>'[2]Ukraine Sun Oil Exports'!Y$165</f>
        <v>69.099999999999994</v>
      </c>
      <c r="BC23" s="141">
        <f>'[2]Ukraine Sun Oil Exports'!Z$165</f>
        <v>4.3</v>
      </c>
      <c r="BD23" s="141">
        <f>'[2]Ukraine Sun Oil Exports'!AA$165</f>
        <v>17.373888999999998</v>
      </c>
      <c r="BE23" s="141">
        <f>'[2]Ukraine Sun Oil Exports'!AB$165</f>
        <v>13.25</v>
      </c>
      <c r="BF23" s="141">
        <f>'[2]Ukraine Sun Oil Exports'!AC$165</f>
        <v>2</v>
      </c>
      <c r="BG23" s="143">
        <f>'[2]Ukraine Sun Oil Exports'!AD$165</f>
        <v>6.5</v>
      </c>
      <c r="BH23" s="141">
        <f>'[2]Russia Sun Oil Exports'!B$165</f>
        <v>0</v>
      </c>
      <c r="BI23" s="141">
        <f>'[2]Russia Sun Oil Exports'!C$165</f>
        <v>0</v>
      </c>
      <c r="BJ23" s="141">
        <f>'[2]Russia Sun Oil Exports'!D$165</f>
        <v>0</v>
      </c>
      <c r="BK23" s="141">
        <f>'[2]Russia Sun Oil Exports'!E$165</f>
        <v>0</v>
      </c>
      <c r="BL23" s="141">
        <f>'[2]Russia Sun Oil Exports'!F$165</f>
        <v>0</v>
      </c>
      <c r="BM23" s="141">
        <f>'[2]Russia Sun Oil Exports'!G$165</f>
        <v>2.0497529999999999</v>
      </c>
      <c r="BN23" s="141">
        <f>'[2]Russia Sun Oil Exports'!H$165</f>
        <v>57.4589</v>
      </c>
      <c r="BO23" s="141">
        <f>'[2]Russia Sun Oil Exports'!I$165</f>
        <v>27.691934999999997</v>
      </c>
      <c r="BP23" s="141">
        <f>'[2]Russia Sun Oil Exports'!J$165</f>
        <v>0</v>
      </c>
      <c r="BQ23" s="141">
        <f>'[2]Russia Sun Oil Exports'!K$165</f>
        <v>3.0799609999999999</v>
      </c>
      <c r="BR23" s="141">
        <f>'[2]Russia Sun Oil Exports'!L$165</f>
        <v>39.262954999999998</v>
      </c>
      <c r="BS23" s="141">
        <f>'[2]Russia Sun Oil Exports'!M$165</f>
        <v>0</v>
      </c>
      <c r="BT23" s="141">
        <f>'[2]Russia Sun Oil Exports'!N$165</f>
        <v>18.511000000000003</v>
      </c>
      <c r="BU23" s="141">
        <f>'[2]Russia Sun Oil Exports'!O$165</f>
        <v>30.207999999999998</v>
      </c>
      <c r="BV23" s="141">
        <f>'[2]Russia Sun Oil Exports'!P$165</f>
        <v>0</v>
      </c>
      <c r="BW23" s="141">
        <f>'[2]Russia Sun Oil Exports'!Q$165</f>
        <v>10.028</v>
      </c>
      <c r="BX23" s="141">
        <f>'[2]Russia Sun Oil Exports'!R$165</f>
        <v>5.9859999999999998</v>
      </c>
      <c r="BY23" s="141">
        <f>'[2]Russia Sun Oil Exports'!S$165</f>
        <v>0</v>
      </c>
      <c r="BZ23" s="141">
        <f>'[2]Russia Sun Oil Exports'!T$165</f>
        <v>8.3889999999999993</v>
      </c>
      <c r="CA23" s="141">
        <f>'[2]Russia Sun Oil Exports'!U$165</f>
        <v>0</v>
      </c>
      <c r="CB23" s="141">
        <f>'[2]Russia Sun Oil Exports'!V$165</f>
        <v>0</v>
      </c>
      <c r="CC23" s="141">
        <f>'[2]Russia Sun Oil Exports'!W$165</f>
        <v>0</v>
      </c>
      <c r="CD23" s="141">
        <f>'[2]Russia Sun Oil Exports'!X$165</f>
        <v>2.9249999999999998</v>
      </c>
      <c r="CE23" s="141">
        <f>'[2]Russia Sun Oil Exports'!Y$165</f>
        <v>42.960844999999999</v>
      </c>
      <c r="CF23" s="141">
        <f>'[2]Russia Sun Oil Exports'!Z$165</f>
        <v>39.107903999999998</v>
      </c>
      <c r="CG23" s="147">
        <f>'[2]Russia Sun Oil Exports'!AA$165</f>
        <v>30.384283999999997</v>
      </c>
      <c r="CH23" s="141">
        <f>'[2]Russia Sun Oil Exports'!AB$165</f>
        <v>32.740276999999999</v>
      </c>
      <c r="CI23" s="141">
        <f>'[2]Russia Sun Oil Exports'!AC$165</f>
        <v>23.670932000000001</v>
      </c>
      <c r="CJ23" s="143">
        <f>'[2]Russia Sun Oil Exports'!AD$165</f>
        <v>4.1379999999999999</v>
      </c>
      <c r="CK23" s="141">
        <f>'[3]Sunflower Oil Exports'!B$165/2204.622*1000</f>
        <v>46.195700000000002</v>
      </c>
      <c r="CL23" s="141">
        <f>'[3]Sunflower Oil Exports'!C$165/2204.622*1000</f>
        <v>127.89110000000004</v>
      </c>
      <c r="CM23" s="141">
        <f>'[3]Sunflower Oil Exports'!D$165/2204.622*1000</f>
        <v>67.935500000000019</v>
      </c>
      <c r="CN23" s="141">
        <f>'[3]Sunflower Oil Exports'!E$165/2204.622*1000</f>
        <v>52.931700000000014</v>
      </c>
      <c r="CO23" s="141">
        <f>'[3]Sunflower Oil Exports'!F$165/2204.622*1000</f>
        <v>87.507000000000019</v>
      </c>
      <c r="CP23" s="141">
        <f>'[3]Sunflower Oil Exports'!G$165/2204.622*1000</f>
        <v>26.959400000000006</v>
      </c>
      <c r="CQ23" s="141">
        <f>'[3]Sunflower Oil Exports'!H$165/2204.622*1000</f>
        <v>32.592799999999997</v>
      </c>
      <c r="CR23" s="141">
        <f>'[3]Sunflower Oil Exports'!I$165/2204.622*1000</f>
        <v>62.700299999999999</v>
      </c>
      <c r="CS23" s="141">
        <f>'[3]Sunflower Oil Exports'!J$165/2204.622*1000</f>
        <v>47.896400000000007</v>
      </c>
      <c r="CT23" s="141">
        <f>'[3]Sunflower Oil Exports'!K$165/2204.622*1000</f>
        <v>0</v>
      </c>
      <c r="CU23" s="141">
        <f>'[3]Sunflower Oil Exports'!L$165/2204.622*1000</f>
        <v>12.099299999999998</v>
      </c>
      <c r="CV23" s="141">
        <f>'[3]Sunflower Oil Exports'!M$165/2204.622*1000</f>
        <v>0</v>
      </c>
      <c r="CW23" s="141">
        <f>'[3]Sunflower Oil Exports'!N$165/2204.622*1000</f>
        <v>0</v>
      </c>
      <c r="CX23" s="141">
        <f>'[3]Sunflower Oil Exports'!O$165/2204.622*1000</f>
        <v>0</v>
      </c>
      <c r="CY23" s="141">
        <f>'[3]Sunflower Oil Exports'!P$165/2204.622*1000</f>
        <v>0</v>
      </c>
      <c r="CZ23" s="141">
        <f>'[3]Sunflower Oil Exports'!Q$165/2204.622*1000</f>
        <v>0</v>
      </c>
      <c r="DA23" s="141">
        <f>'[3]Sunflower Oil Exports'!R$165/2204.622*1000</f>
        <v>0</v>
      </c>
      <c r="DB23" s="141">
        <f>'[3]Sunflower Oil Exports'!S$165/2204.622*1000</f>
        <v>0</v>
      </c>
      <c r="DC23" s="141">
        <f>'[3]Sunflower Oil Exports'!T$165/2204.622*1000</f>
        <v>0</v>
      </c>
      <c r="DD23" s="141">
        <f>'[3]Sunflower Oil Exports'!U$165/2204.622*1000</f>
        <v>0</v>
      </c>
      <c r="DE23" s="141">
        <f>'[3]Sunflower Oil Exports'!V$165/2204.622*1000</f>
        <v>0</v>
      </c>
      <c r="DF23" s="141">
        <f>'[3]Sunflower Oil Exports'!W$165/2204.622*1000</f>
        <v>0</v>
      </c>
      <c r="DG23" s="141">
        <f>'[3]Sunflower Oil Exports'!X$165/2204.622*1000</f>
        <v>0</v>
      </c>
      <c r="DH23" s="141">
        <f>'[3]Sunflower Oil Exports'!Y$165/2204.622*1000</f>
        <v>0</v>
      </c>
      <c r="DI23" s="141">
        <f>'[3]Sunflower Oil Exports'!Z$165/2204.622*1000</f>
        <v>0</v>
      </c>
      <c r="DJ23" s="141">
        <f>'[3]Sunflower Oil Exports'!AA$165/2204.622*1000</f>
        <v>0</v>
      </c>
      <c r="DK23" s="141">
        <f>'[3]Sunflower Oil Exports'!AB$165/2204.622*1000</f>
        <v>0</v>
      </c>
      <c r="DL23" s="141">
        <f>'[3]Sunflower Oil Exports'!AC$165/2204.622*1000</f>
        <v>0</v>
      </c>
      <c r="DM23" s="143">
        <f>'[3]Sunflower Oil Exports'!AD$165/2204.622*1000</f>
        <v>0</v>
      </c>
      <c r="DN23" s="141">
        <f t="shared" si="9"/>
        <v>46.195700000000002</v>
      </c>
      <c r="DO23" s="141">
        <f t="shared" si="9"/>
        <v>130.59110000000004</v>
      </c>
      <c r="DP23" s="141">
        <f t="shared" si="9"/>
        <v>93.935500000000019</v>
      </c>
      <c r="DQ23" s="141">
        <f t="shared" si="9"/>
        <v>162.15370000000001</v>
      </c>
      <c r="DR23" s="141">
        <f t="shared" si="9"/>
        <v>138.01700000000002</v>
      </c>
      <c r="DS23" s="141">
        <f t="shared" si="9"/>
        <v>119.90715300000001</v>
      </c>
      <c r="DT23" s="141">
        <f t="shared" si="9"/>
        <v>179.81369999999998</v>
      </c>
      <c r="DU23" s="141">
        <f t="shared" si="9"/>
        <v>197.09223499999999</v>
      </c>
      <c r="DV23" s="141">
        <f t="shared" si="9"/>
        <v>66.280400000000014</v>
      </c>
      <c r="DW23" s="141">
        <f t="shared" si="9"/>
        <v>51.452961000000002</v>
      </c>
      <c r="DX23" s="141">
        <f t="shared" si="9"/>
        <v>134.76325500000002</v>
      </c>
      <c r="DY23" s="141">
        <f t="shared" si="9"/>
        <v>11.846</v>
      </c>
      <c r="DZ23" s="141">
        <f t="shared" si="9"/>
        <v>50.451000000000008</v>
      </c>
      <c r="EA23" s="141">
        <f t="shared" si="9"/>
        <v>155.357</v>
      </c>
      <c r="EB23" s="141">
        <f t="shared" si="9"/>
        <v>14.150999999999998</v>
      </c>
      <c r="EC23" s="141">
        <f t="shared" si="8"/>
        <v>116.31399999999998</v>
      </c>
      <c r="ED23" s="141">
        <f t="shared" si="4"/>
        <v>156.17600000000002</v>
      </c>
      <c r="EE23" s="141">
        <f t="shared" si="4"/>
        <v>34.351999999999997</v>
      </c>
      <c r="EF23" s="141">
        <f t="shared" si="4"/>
        <v>228.76600000000002</v>
      </c>
      <c r="EG23" s="141">
        <f t="shared" si="4"/>
        <v>47.814999999999998</v>
      </c>
      <c r="EH23" s="141">
        <f t="shared" si="4"/>
        <v>99.817999999999984</v>
      </c>
      <c r="EI23" s="141">
        <f t="shared" si="4"/>
        <v>67.019999999999982</v>
      </c>
      <c r="EJ23" s="141">
        <f t="shared" si="4"/>
        <v>54.324999999999989</v>
      </c>
      <c r="EK23" s="141">
        <f t="shared" si="4"/>
        <v>112.060845</v>
      </c>
      <c r="EL23" s="141">
        <f t="shared" si="4"/>
        <v>46.435903999999994</v>
      </c>
      <c r="EM23" s="147">
        <f t="shared" si="4"/>
        <v>47.764173</v>
      </c>
      <c r="EN23" s="141">
        <f t="shared" si="4"/>
        <v>47.694277</v>
      </c>
      <c r="EO23" s="141">
        <f t="shared" si="4"/>
        <v>25.674932000000002</v>
      </c>
      <c r="EP23" s="145">
        <f t="shared" si="4"/>
        <v>10.641999999999999</v>
      </c>
      <c r="EQ23" s="145">
        <v>40</v>
      </c>
      <c r="ES23" s="145">
        <f t="shared" si="5"/>
        <v>0</v>
      </c>
      <c r="ET23" s="145">
        <f t="shared" si="6"/>
        <v>0</v>
      </c>
      <c r="EU23" s="145"/>
    </row>
    <row r="24" spans="1:151">
      <c r="A24" s="193" t="s">
        <v>155</v>
      </c>
      <c r="B24" s="141">
        <f>'[2]EU Sun Oil Exports'!B$184</f>
        <v>0</v>
      </c>
      <c r="C24" s="141">
        <f>'[2]EU Sun Oil Exports'!C$184</f>
        <v>0</v>
      </c>
      <c r="D24" s="141">
        <f>'[2]EU Sun Oil Exports'!D$184</f>
        <v>0</v>
      </c>
      <c r="E24" s="141">
        <f>'[2]EU Sun Oil Exports'!E$184</f>
        <v>21.771999999999998</v>
      </c>
      <c r="F24" s="141">
        <f>'[2]EU Sun Oil Exports'!F$184</f>
        <v>16.114999999999998</v>
      </c>
      <c r="G24" s="141">
        <f>'[2]EU Sun Oil Exports'!G$184</f>
        <v>11.27</v>
      </c>
      <c r="H24" s="141">
        <f>'[2]EU Sun Oil Exports'!H$184</f>
        <v>13.363999999999999</v>
      </c>
      <c r="I24" s="141">
        <f>'[2]EU Sun Oil Exports'!I$184</f>
        <v>4.4790000000000001</v>
      </c>
      <c r="J24" s="141">
        <f>'[2]EU Sun Oil Exports'!J$184</f>
        <v>0.125</v>
      </c>
      <c r="K24" s="141">
        <f>'[2]EU Sun Oil Exports'!K$184</f>
        <v>2.379</v>
      </c>
      <c r="L24" s="141">
        <f>'[2]EU Sun Oil Exports'!L$184</f>
        <v>4.8119999999999994</v>
      </c>
      <c r="M24" s="141">
        <f>'[2]EU Sun Oil Exports'!M$184</f>
        <v>9.0499999999999989</v>
      </c>
      <c r="N24" s="141">
        <f>'[2]EU Sun Oil Exports'!N$184</f>
        <v>0.14400000000000002</v>
      </c>
      <c r="O24" s="141">
        <f>'[2]EU Sun Oil Exports'!O$184</f>
        <v>0.21299999999999999</v>
      </c>
      <c r="P24" s="141">
        <f>'[2]EU Sun Oil Exports'!P$184</f>
        <v>0.14699999999999999</v>
      </c>
      <c r="Q24" s="141">
        <f>'[2]EU Sun Oil Exports'!Q$184</f>
        <v>0.11700000000000001</v>
      </c>
      <c r="R24" s="141">
        <f>'[2]EU Sun Oil Exports'!R$184</f>
        <v>0.313</v>
      </c>
      <c r="S24" s="141">
        <f>'[2]EU Sun Oil Exports'!S$184</f>
        <v>0.31999999999999995</v>
      </c>
      <c r="T24" s="141">
        <f>'[2]EU Sun Oil Exports'!T$184</f>
        <v>0.16700000000000001</v>
      </c>
      <c r="U24" s="141">
        <f>'[2]EU Sun Oil Exports'!U$184</f>
        <v>0.15200000000000002</v>
      </c>
      <c r="V24" s="141">
        <f>'[2]EU Sun Oil Exports'!V$184</f>
        <v>10.561000000000002</v>
      </c>
      <c r="W24" s="141">
        <f>'[2]EU Sun Oil Exports'!W$184</f>
        <v>5.2289999999999992</v>
      </c>
      <c r="X24" s="141">
        <f>'[2]EU Sun Oil Exports'!X$184</f>
        <v>0.44400000000000006</v>
      </c>
      <c r="Y24" s="141">
        <f>'[2]EU Sun Oil Exports'!Y$184</f>
        <v>0.20700000000000002</v>
      </c>
      <c r="Z24" s="141">
        <f>'[2]EU Sun Oil Exports'!Z$184</f>
        <v>0.14600000000000002</v>
      </c>
      <c r="AA24" s="141">
        <f>'[2]EU Sun Oil Exports'!AA$184</f>
        <v>0.3630000000000001</v>
      </c>
      <c r="AB24" s="141">
        <f>'[2]EU Sun Oil Exports'!AB$184</f>
        <v>0.15900000000000003</v>
      </c>
      <c r="AC24" s="141">
        <f>'[2]EU Sun Oil Exports'!AC$184</f>
        <v>15.146999999999998</v>
      </c>
      <c r="AD24" s="143">
        <f>'[2]EU Sun Oil Exports'!AD$184</f>
        <v>3.0679999999999996</v>
      </c>
      <c r="AE24" s="141">
        <f>'[2]Ukraine Sun Oil Exports'!B$184</f>
        <v>0</v>
      </c>
      <c r="AF24" s="141">
        <f>'[2]Ukraine Sun Oil Exports'!C$184</f>
        <v>18</v>
      </c>
      <c r="AG24" s="141">
        <f>'[2]Ukraine Sun Oil Exports'!D$184</f>
        <v>45.1</v>
      </c>
      <c r="AH24" s="141">
        <f>'[2]Ukraine Sun Oil Exports'!E$184</f>
        <v>21</v>
      </c>
      <c r="AI24" s="141">
        <f>'[2]Ukraine Sun Oil Exports'!F$184</f>
        <v>5</v>
      </c>
      <c r="AJ24" s="141">
        <f>'[2]Ukraine Sun Oil Exports'!G$184</f>
        <v>7</v>
      </c>
      <c r="AK24" s="141">
        <f>'[2]Ukraine Sun Oil Exports'!H$184</f>
        <v>36</v>
      </c>
      <c r="AL24" s="141">
        <f>'[2]Ukraine Sun Oil Exports'!I$184</f>
        <v>38</v>
      </c>
      <c r="AM24" s="141">
        <f>'[2]Ukraine Sun Oil Exports'!J$184</f>
        <v>9.1402770000000011</v>
      </c>
      <c r="AN24" s="141">
        <f>'[2]Ukraine Sun Oil Exports'!K$184</f>
        <v>22.849999999999998</v>
      </c>
      <c r="AO24" s="141">
        <f>'[2]Ukraine Sun Oil Exports'!L$184</f>
        <v>43.207000000000001</v>
      </c>
      <c r="AP24" s="141">
        <f>'[2]Ukraine Sun Oil Exports'!M$184</f>
        <v>21.19</v>
      </c>
      <c r="AQ24" s="141">
        <f>'[2]Ukraine Sun Oil Exports'!N$184</f>
        <v>121.72800000000001</v>
      </c>
      <c r="AR24" s="141">
        <f>'[2]Ukraine Sun Oil Exports'!O$184</f>
        <v>192.78399999999999</v>
      </c>
      <c r="AS24" s="141">
        <f>'[2]Ukraine Sun Oil Exports'!P$184</f>
        <v>95.043000000000006</v>
      </c>
      <c r="AT24" s="141">
        <f>'[2]Ukraine Sun Oil Exports'!Q$184</f>
        <v>236.892</v>
      </c>
      <c r="AU24" s="141">
        <f>'[2]Ukraine Sun Oil Exports'!R$184</f>
        <v>356.34700000000004</v>
      </c>
      <c r="AV24" s="141">
        <f>'[2]Ukraine Sun Oil Exports'!S$184</f>
        <v>210.53199999999998</v>
      </c>
      <c r="AW24" s="141">
        <f>'[2]Ukraine Sun Oil Exports'!T$184</f>
        <v>433.57200000000006</v>
      </c>
      <c r="AX24" s="141">
        <f>'[2]Ukraine Sun Oil Exports'!U$184</f>
        <v>354.60299999999995</v>
      </c>
      <c r="AY24" s="141">
        <f>'[2]Ukraine Sun Oil Exports'!V$184</f>
        <v>327.28899999999999</v>
      </c>
      <c r="AZ24" s="141">
        <f>'[2]Ukraine Sun Oil Exports'!W$184</f>
        <v>110.15</v>
      </c>
      <c r="BA24" s="141">
        <f>'[2]Ukraine Sun Oil Exports'!X$184</f>
        <v>116.35500000000002</v>
      </c>
      <c r="BB24" s="141">
        <f>'[2]Ukraine Sun Oil Exports'!Y$184</f>
        <v>183.44318699999999</v>
      </c>
      <c r="BC24" s="141">
        <f>'[2]Ukraine Sun Oil Exports'!Z$184</f>
        <v>71.160304999999994</v>
      </c>
      <c r="BD24" s="141">
        <f>'[2]Ukraine Sun Oil Exports'!AA$184</f>
        <v>50.881381999999988</v>
      </c>
      <c r="BE24" s="141">
        <f>'[2]Ukraine Sun Oil Exports'!AB$184</f>
        <v>126.792017</v>
      </c>
      <c r="BF24" s="141">
        <f>'[2]Ukraine Sun Oil Exports'!AC$184</f>
        <v>48.271765000000002</v>
      </c>
      <c r="BG24" s="141">
        <f>'[2]Ukraine Sun Oil Exports'!AD$184</f>
        <v>51.031000000000006</v>
      </c>
      <c r="BH24" s="141">
        <f>'[2]Russia Sun Oil Exports'!B$184</f>
        <v>0</v>
      </c>
      <c r="BI24" s="141">
        <f>'[2]Russia Sun Oil Exports'!C$184</f>
        <v>0</v>
      </c>
      <c r="BJ24" s="141">
        <f>'[2]Russia Sun Oil Exports'!D$184</f>
        <v>0</v>
      </c>
      <c r="BK24" s="141">
        <f>'[2]Russia Sun Oil Exports'!E$184</f>
        <v>2.8455839999999997</v>
      </c>
      <c r="BL24" s="141">
        <f>'[2]Russia Sun Oil Exports'!F$184</f>
        <v>0</v>
      </c>
      <c r="BM24" s="141">
        <f>'[2]Russia Sun Oil Exports'!G$184</f>
        <v>4.9336539999999998</v>
      </c>
      <c r="BN24" s="141">
        <f>'[2]Russia Sun Oil Exports'!H$184</f>
        <v>48.474984999999997</v>
      </c>
      <c r="BO24" s="141">
        <f>'[2]Russia Sun Oil Exports'!I$184</f>
        <v>20.513190999999999</v>
      </c>
      <c r="BP24" s="141">
        <f>'[2]Russia Sun Oil Exports'!J$184</f>
        <v>3.7708300000000001</v>
      </c>
      <c r="BQ24" s="141">
        <f>'[2]Russia Sun Oil Exports'!K$184</f>
        <v>4.6015230000000003</v>
      </c>
      <c r="BR24" s="141">
        <f>'[2]Russia Sun Oil Exports'!L$184</f>
        <v>8.2824849999999994</v>
      </c>
      <c r="BS24" s="141">
        <f>'[2]Russia Sun Oil Exports'!M$184</f>
        <v>18.026</v>
      </c>
      <c r="BT24" s="141">
        <f>'[2]Russia Sun Oil Exports'!N$184</f>
        <v>50.914000000000001</v>
      </c>
      <c r="BU24" s="141">
        <f>'[2]Russia Sun Oil Exports'!O$184</f>
        <v>102.30199999999999</v>
      </c>
      <c r="BV24" s="141">
        <f>'[2]Russia Sun Oil Exports'!P$184</f>
        <v>29.034999999999997</v>
      </c>
      <c r="BW24" s="141">
        <f>'[2]Russia Sun Oil Exports'!Q$184</f>
        <v>31.096</v>
      </c>
      <c r="BX24" s="141">
        <f>'[2]Russia Sun Oil Exports'!R$184</f>
        <v>36.121000000000002</v>
      </c>
      <c r="BY24" s="141">
        <f>'[2]Russia Sun Oil Exports'!S$184</f>
        <v>16.638000000000002</v>
      </c>
      <c r="BZ24" s="141">
        <f>'[2]Russia Sun Oil Exports'!T$184</f>
        <v>298.91000000000003</v>
      </c>
      <c r="CA24" s="141">
        <f>'[2]Russia Sun Oil Exports'!U$184</f>
        <v>151.92099999999999</v>
      </c>
      <c r="CB24" s="141">
        <f>'[2]Russia Sun Oil Exports'!V$184</f>
        <v>440.78999999999996</v>
      </c>
      <c r="CC24" s="141">
        <f>'[2]Russia Sun Oil Exports'!W$184</f>
        <v>148.84300000000002</v>
      </c>
      <c r="CD24" s="141">
        <f>'[2]Russia Sun Oil Exports'!X$184</f>
        <v>167.82999999999998</v>
      </c>
      <c r="CE24" s="141">
        <f>'[2]Russia Sun Oil Exports'!Y$184</f>
        <v>332.134186</v>
      </c>
      <c r="CF24" s="141">
        <f>'[2]Russia Sun Oil Exports'!Z$184</f>
        <v>431.47783199999998</v>
      </c>
      <c r="CG24" s="147">
        <f>'[2]Russia Sun Oil Exports'!AA$184</f>
        <v>240.40772199999998</v>
      </c>
      <c r="CH24" s="141">
        <f>'[2]Russia Sun Oil Exports'!AB$184</f>
        <v>239.54390700000002</v>
      </c>
      <c r="CI24" s="141">
        <f>'[2]Russia Sun Oil Exports'!AC$184</f>
        <v>127.437591</v>
      </c>
      <c r="CJ24" s="143">
        <f>'[2]Russia Sun Oil Exports'!AD$184</f>
        <v>182.893664</v>
      </c>
      <c r="CK24" s="141">
        <f>'[3]Sunflower Oil Exports'!B$184/2204.622*1000</f>
        <v>0</v>
      </c>
      <c r="CL24" s="141">
        <f>'[3]Sunflower Oil Exports'!C$184/2204.622*1000</f>
        <v>9.6607000000000021</v>
      </c>
      <c r="CM24" s="141">
        <f>'[3]Sunflower Oil Exports'!D$184/2204.622*1000</f>
        <v>26.183600000000002</v>
      </c>
      <c r="CN24" s="141">
        <f>'[3]Sunflower Oil Exports'!E$184/2204.622*1000</f>
        <v>71.24890000000002</v>
      </c>
      <c r="CO24" s="141">
        <f>'[3]Sunflower Oil Exports'!F$184/2204.622*1000</f>
        <v>47.837900000000005</v>
      </c>
      <c r="CP24" s="141">
        <f>'[3]Sunflower Oil Exports'!G$184/2204.622*1000</f>
        <v>11.834099999999999</v>
      </c>
      <c r="CQ24" s="141">
        <f>'[3]Sunflower Oil Exports'!H$184/2204.622*1000</f>
        <v>21.827500000000004</v>
      </c>
      <c r="CR24" s="141">
        <f>'[3]Sunflower Oil Exports'!I$184/2204.622*1000</f>
        <v>5.9236000000000004</v>
      </c>
      <c r="CS24" s="141">
        <f>'[3]Sunflower Oil Exports'!J$184/2204.622*1000</f>
        <v>12.4986</v>
      </c>
      <c r="CT24" s="141">
        <f>'[3]Sunflower Oil Exports'!K$184/2204.622*1000</f>
        <v>2.9999000000000002</v>
      </c>
      <c r="CU24" s="141">
        <f>'[3]Sunflower Oil Exports'!L$184/2204.622*1000</f>
        <v>0</v>
      </c>
      <c r="CV24" s="141">
        <f>'[3]Sunflower Oil Exports'!M$184/2204.622*1000</f>
        <v>0</v>
      </c>
      <c r="CW24" s="141">
        <f>'[3]Sunflower Oil Exports'!N$184/2204.622*1000</f>
        <v>0</v>
      </c>
      <c r="CX24" s="141">
        <f>'[3]Sunflower Oil Exports'!O$184/2204.622*1000</f>
        <v>0</v>
      </c>
      <c r="CY24" s="141">
        <f>'[3]Sunflower Oil Exports'!P$184/2204.622*1000</f>
        <v>0</v>
      </c>
      <c r="CZ24" s="141">
        <f>'[3]Sunflower Oil Exports'!Q$184/2204.622*1000</f>
        <v>0</v>
      </c>
      <c r="DA24" s="141">
        <f>'[3]Sunflower Oil Exports'!R$184/2204.622*1000</f>
        <v>15.499899999999998</v>
      </c>
      <c r="DB24" s="141">
        <f>'[3]Sunflower Oil Exports'!S$184/2204.622*1000</f>
        <v>0</v>
      </c>
      <c r="DC24" s="141">
        <f>'[3]Sunflower Oil Exports'!T$184/2204.622*1000</f>
        <v>0</v>
      </c>
      <c r="DD24" s="141">
        <f>'[3]Sunflower Oil Exports'!U$184/2204.622*1000</f>
        <v>0</v>
      </c>
      <c r="DE24" s="141">
        <f>'[3]Sunflower Oil Exports'!V$184/2204.622*1000</f>
        <v>0</v>
      </c>
      <c r="DF24" s="141">
        <f>'[3]Sunflower Oil Exports'!W$184/2204.622*1000</f>
        <v>0</v>
      </c>
      <c r="DG24" s="141">
        <f>'[3]Sunflower Oil Exports'!X$184/2204.622*1000</f>
        <v>0</v>
      </c>
      <c r="DH24" s="141">
        <f>'[3]Sunflower Oil Exports'!Y$184/2204.622*1000</f>
        <v>1.7000000000000001E-2</v>
      </c>
      <c r="DI24" s="141">
        <f>'[3]Sunflower Oil Exports'!Z$184/2204.622*1000</f>
        <v>0</v>
      </c>
      <c r="DJ24" s="141">
        <f>'[3]Sunflower Oil Exports'!AA$184/2204.622*1000</f>
        <v>1.2729988451535001E-3</v>
      </c>
      <c r="DK24" s="141">
        <f>'[3]Sunflower Oil Exports'!AB$184/2204.622*1000</f>
        <v>0</v>
      </c>
      <c r="DL24" s="141">
        <f>'[3]Sunflower Oil Exports'!AC$184/2204.622*1000</f>
        <v>0</v>
      </c>
      <c r="DM24" s="143">
        <f>'[3]Sunflower Oil Exports'!AD$184/2204.622*1000</f>
        <v>0</v>
      </c>
      <c r="DN24" s="141">
        <f t="shared" si="9"/>
        <v>0</v>
      </c>
      <c r="DO24" s="141">
        <f t="shared" si="9"/>
        <v>27.660700000000002</v>
      </c>
      <c r="DP24" s="141">
        <f t="shared" si="9"/>
        <v>71.283600000000007</v>
      </c>
      <c r="DQ24" s="141">
        <f t="shared" si="9"/>
        <v>116.86648400000001</v>
      </c>
      <c r="DR24" s="141">
        <f t="shared" si="9"/>
        <v>68.9529</v>
      </c>
      <c r="DS24" s="141">
        <f t="shared" si="9"/>
        <v>35.037754</v>
      </c>
      <c r="DT24" s="141">
        <f t="shared" si="9"/>
        <v>119.66648499999999</v>
      </c>
      <c r="DU24" s="141">
        <f t="shared" si="9"/>
        <v>68.915790999999999</v>
      </c>
      <c r="DV24" s="141">
        <f t="shared" si="9"/>
        <v>25.534707000000001</v>
      </c>
      <c r="DW24" s="141">
        <f t="shared" si="9"/>
        <v>32.830422999999996</v>
      </c>
      <c r="DX24" s="141">
        <f t="shared" si="9"/>
        <v>56.301485</v>
      </c>
      <c r="DY24" s="141">
        <f t="shared" si="9"/>
        <v>48.266000000000005</v>
      </c>
      <c r="DZ24" s="141">
        <f t="shared" si="9"/>
        <v>172.786</v>
      </c>
      <c r="EA24" s="141">
        <f t="shared" si="9"/>
        <v>295.29899999999998</v>
      </c>
      <c r="EB24" s="141">
        <f t="shared" si="9"/>
        <v>124.22500000000001</v>
      </c>
      <c r="EC24" s="141">
        <f t="shared" si="8"/>
        <v>268.10499999999996</v>
      </c>
      <c r="ED24" s="141">
        <f t="shared" si="4"/>
        <v>408.28090000000003</v>
      </c>
      <c r="EE24" s="141">
        <f t="shared" si="4"/>
        <v>227.48999999999998</v>
      </c>
      <c r="EF24" s="141">
        <f t="shared" si="4"/>
        <v>732.64900000000011</v>
      </c>
      <c r="EG24" s="141">
        <f t="shared" si="4"/>
        <v>506.67599999999993</v>
      </c>
      <c r="EH24" s="141">
        <f t="shared" si="4"/>
        <v>778.63999999999987</v>
      </c>
      <c r="EI24" s="141">
        <f t="shared" si="4"/>
        <v>264.22200000000004</v>
      </c>
      <c r="EJ24" s="141">
        <f t="shared" si="4"/>
        <v>284.62900000000002</v>
      </c>
      <c r="EK24" s="141">
        <f t="shared" si="4"/>
        <v>515.80137300000001</v>
      </c>
      <c r="EL24" s="141">
        <f t="shared" si="4"/>
        <v>502.78413699999999</v>
      </c>
      <c r="EM24" s="147">
        <f t="shared" si="4"/>
        <v>291.65337699884509</v>
      </c>
      <c r="EN24" s="141">
        <f t="shared" si="4"/>
        <v>366.49492400000003</v>
      </c>
      <c r="EO24" s="141">
        <f t="shared" si="4"/>
        <v>190.85635600000001</v>
      </c>
      <c r="EP24" s="145">
        <f t="shared" si="4"/>
        <v>236.99266399999999</v>
      </c>
      <c r="EQ24" s="145">
        <v>275</v>
      </c>
      <c r="ES24" s="145">
        <f t="shared" si="5"/>
        <v>0</v>
      </c>
      <c r="ET24" s="145">
        <f t="shared" si="6"/>
        <v>0</v>
      </c>
      <c r="EU24" s="145"/>
    </row>
    <row r="25" spans="1:151">
      <c r="A25" s="187" t="s">
        <v>156</v>
      </c>
      <c r="B25" s="141">
        <f>'[2]EU Sun Oil Exports'!B$207</f>
        <v>0</v>
      </c>
      <c r="C25" s="141">
        <f>'[2]EU Sun Oil Exports'!C$207</f>
        <v>0</v>
      </c>
      <c r="D25" s="141">
        <f>'[2]EU Sun Oil Exports'!D$207</f>
        <v>0</v>
      </c>
      <c r="E25" s="141">
        <f>'[2]EU Sun Oil Exports'!E$207</f>
        <v>31.220000000000002</v>
      </c>
      <c r="F25" s="141">
        <f>'[2]EU Sun Oil Exports'!F$207</f>
        <v>24.5</v>
      </c>
      <c r="G25" s="141">
        <f>'[2]EU Sun Oil Exports'!G$207</f>
        <v>5.4139999999999997</v>
      </c>
      <c r="H25" s="141">
        <f>'[2]EU Sun Oil Exports'!H$207</f>
        <v>9.5070000000000014</v>
      </c>
      <c r="I25" s="141">
        <f>'[2]EU Sun Oil Exports'!I$207</f>
        <v>1.4579999999999997</v>
      </c>
      <c r="J25" s="141">
        <f>'[2]EU Sun Oil Exports'!J$207</f>
        <v>0.17899999999999999</v>
      </c>
      <c r="K25" s="141">
        <f>'[2]EU Sun Oil Exports'!K$207</f>
        <v>1.0580000000000001</v>
      </c>
      <c r="L25" s="141">
        <f>'[2]EU Sun Oil Exports'!L$207</f>
        <v>1E-3</v>
      </c>
      <c r="M25" s="141">
        <f>'[2]EU Sun Oil Exports'!M$207</f>
        <v>1E-3</v>
      </c>
      <c r="N25" s="141">
        <f>'[2]EU Sun Oil Exports'!N$207</f>
        <v>1E-3</v>
      </c>
      <c r="O25" s="141">
        <f>'[2]EU Sun Oil Exports'!O$207</f>
        <v>0.155</v>
      </c>
      <c r="P25" s="141">
        <f>'[2]EU Sun Oil Exports'!P$207</f>
        <v>1.1669999999999998</v>
      </c>
      <c r="Q25" s="141">
        <f>'[2]EU Sun Oil Exports'!Q$207</f>
        <v>3.41</v>
      </c>
      <c r="R25" s="141">
        <f>'[2]EU Sun Oil Exports'!R$207</f>
        <v>1.4910000000000001</v>
      </c>
      <c r="S25" s="141">
        <f>'[2]EU Sun Oil Exports'!S$207</f>
        <v>0.62000000000000011</v>
      </c>
      <c r="T25" s="141">
        <f>'[2]EU Sun Oil Exports'!T$207</f>
        <v>1.4829999999999999</v>
      </c>
      <c r="U25" s="141">
        <f>'[2]EU Sun Oil Exports'!U$207</f>
        <v>1.542</v>
      </c>
      <c r="V25" s="141">
        <f>'[2]EU Sun Oil Exports'!V$207</f>
        <v>4.2549999999999999</v>
      </c>
      <c r="W25" s="141">
        <f>'[2]EU Sun Oil Exports'!W$207</f>
        <v>20.001999999999999</v>
      </c>
      <c r="X25" s="141">
        <f>'[2]EU Sun Oil Exports'!X$207</f>
        <v>13.353999999999999</v>
      </c>
      <c r="Y25" s="141">
        <f>'[2]EU Sun Oil Exports'!Y$207</f>
        <v>44.182000000000002</v>
      </c>
      <c r="Z25" s="141">
        <f>'[2]EU Sun Oil Exports'!Z$207</f>
        <v>41.677</v>
      </c>
      <c r="AA25" s="141">
        <f>'[2]EU Sun Oil Exports'!AA$207</f>
        <v>46.234999999999999</v>
      </c>
      <c r="AB25" s="141">
        <f>'[2]EU Sun Oil Exports'!AB$207</f>
        <v>62.338999999999992</v>
      </c>
      <c r="AC25" s="141">
        <f>'[2]EU Sun Oil Exports'!AC$207</f>
        <v>52.027999999999999</v>
      </c>
      <c r="AD25" s="143">
        <f>'[2]EU Sun Oil Exports'!AD$207+23</f>
        <v>50.35</v>
      </c>
      <c r="AE25" s="141">
        <f>'[2]Ukraine Sun Oil Exports'!B$207</f>
        <v>0</v>
      </c>
      <c r="AF25" s="141">
        <f>'[2]Ukraine Sun Oil Exports'!C$207</f>
        <v>0</v>
      </c>
      <c r="AG25" s="141">
        <f>'[2]Ukraine Sun Oil Exports'!D$207</f>
        <v>0</v>
      </c>
      <c r="AH25" s="141">
        <f>'[2]Ukraine Sun Oil Exports'!E$207</f>
        <v>0</v>
      </c>
      <c r="AI25" s="141">
        <f>'[2]Ukraine Sun Oil Exports'!F$207</f>
        <v>0</v>
      </c>
      <c r="AJ25" s="141">
        <f>'[2]Ukraine Sun Oil Exports'!G$207</f>
        <v>0</v>
      </c>
      <c r="AK25" s="141">
        <f>'[2]Ukraine Sun Oil Exports'!H$207</f>
        <v>11</v>
      </c>
      <c r="AL25" s="141">
        <f>'[2]Ukraine Sun Oil Exports'!I$207</f>
        <v>6</v>
      </c>
      <c r="AM25" s="141">
        <f>'[2]Ukraine Sun Oil Exports'!J$207</f>
        <v>0</v>
      </c>
      <c r="AN25" s="141">
        <f>'[2]Ukraine Sun Oil Exports'!K$207</f>
        <v>3</v>
      </c>
      <c r="AO25" s="141">
        <f>'[2]Ukraine Sun Oil Exports'!L$207</f>
        <v>0</v>
      </c>
      <c r="AP25" s="141">
        <f>'[2]Ukraine Sun Oil Exports'!M$207</f>
        <v>4.5999999999999996</v>
      </c>
      <c r="AQ25" s="141">
        <f>'[2]Ukraine Sun Oil Exports'!N$207</f>
        <v>3</v>
      </c>
      <c r="AR25" s="141">
        <f>'[2]Ukraine Sun Oil Exports'!O$207</f>
        <v>6.3</v>
      </c>
      <c r="AS25" s="141">
        <f>'[2]Ukraine Sun Oil Exports'!P$207</f>
        <v>14.542</v>
      </c>
      <c r="AT25" s="141">
        <f>'[2]Ukraine Sun Oil Exports'!Q$207</f>
        <v>4.3</v>
      </c>
      <c r="AU25" s="141">
        <f>'[2]Ukraine Sun Oil Exports'!R$207</f>
        <v>12.3</v>
      </c>
      <c r="AV25" s="141">
        <f>'[2]Ukraine Sun Oil Exports'!S$207</f>
        <v>11.91</v>
      </c>
      <c r="AW25" s="141">
        <f>'[2]Ukraine Sun Oil Exports'!T$207</f>
        <v>4.5</v>
      </c>
      <c r="AX25" s="141">
        <f>'[2]Ukraine Sun Oil Exports'!U$207</f>
        <v>24.45</v>
      </c>
      <c r="AY25" s="141">
        <f>'[2]Ukraine Sun Oil Exports'!V$207</f>
        <v>29.207999999999998</v>
      </c>
      <c r="AZ25" s="141">
        <f>'[2]Ukraine Sun Oil Exports'!W$207</f>
        <v>6.758</v>
      </c>
      <c r="BA25" s="141">
        <f>'[2]Ukraine Sun Oil Exports'!X$207</f>
        <v>19.475999999999999</v>
      </c>
      <c r="BB25" s="141">
        <f>'[2]Ukraine Sun Oil Exports'!Y$207</f>
        <v>25.430000000000003</v>
      </c>
      <c r="BC25" s="141">
        <f>'[2]Ukraine Sun Oil Exports'!Z$207</f>
        <v>2.2000600000000001</v>
      </c>
      <c r="BD25" s="141">
        <f>'[2]Ukraine Sun Oil Exports'!AA$207</f>
        <v>2.70459</v>
      </c>
      <c r="BE25" s="141">
        <f>'[2]Ukraine Sun Oil Exports'!AB$207</f>
        <v>1.1530790000000002</v>
      </c>
      <c r="BF25" s="141">
        <f>'[2]Ukraine Sun Oil Exports'!AC$207</f>
        <v>2.2181199999999999</v>
      </c>
      <c r="BG25" s="143">
        <f>'[2]Ukraine Sun Oil Exports'!AD$207</f>
        <v>7.2</v>
      </c>
      <c r="BH25" s="141">
        <f>'[2]Russia Sun Oil Exports'!B$207</f>
        <v>0</v>
      </c>
      <c r="BI25" s="141">
        <f>'[2]Russia Sun Oil Exports'!C$207</f>
        <v>0</v>
      </c>
      <c r="BJ25" s="141">
        <f>'[2]Russia Sun Oil Exports'!D$207</f>
        <v>0</v>
      </c>
      <c r="BK25" s="141">
        <f>'[2]Russia Sun Oil Exports'!E$207</f>
        <v>0</v>
      </c>
      <c r="BL25" s="141">
        <f>'[2]Russia Sun Oil Exports'!F$207</f>
        <v>0</v>
      </c>
      <c r="BM25" s="141">
        <f>'[2]Russia Sun Oil Exports'!G$207</f>
        <v>0</v>
      </c>
      <c r="BN25" s="141">
        <f>'[2]Russia Sun Oil Exports'!H$207</f>
        <v>0</v>
      </c>
      <c r="BO25" s="141">
        <f>'[2]Russia Sun Oil Exports'!I$207</f>
        <v>0</v>
      </c>
      <c r="BP25" s="141">
        <f>'[2]Russia Sun Oil Exports'!J$207</f>
        <v>0</v>
      </c>
      <c r="BQ25" s="141">
        <f>'[2]Russia Sun Oil Exports'!K$207</f>
        <v>0</v>
      </c>
      <c r="BR25" s="141">
        <f>'[2]Russia Sun Oil Exports'!L$207</f>
        <v>0</v>
      </c>
      <c r="BS25" s="141">
        <f>'[2]Russia Sun Oil Exports'!M$207</f>
        <v>0</v>
      </c>
      <c r="BT25" s="141">
        <f>'[2]Russia Sun Oil Exports'!N$207</f>
        <v>11.417999999999999</v>
      </c>
      <c r="BU25" s="141">
        <f>'[2]Russia Sun Oil Exports'!O$207</f>
        <v>18.298999999999999</v>
      </c>
      <c r="BV25" s="141">
        <f>'[2]Russia Sun Oil Exports'!P$207</f>
        <v>0</v>
      </c>
      <c r="BW25" s="141">
        <f>'[2]Russia Sun Oil Exports'!Q$207</f>
        <v>4.9909999999999997</v>
      </c>
      <c r="BX25" s="141">
        <f>'[2]Russia Sun Oil Exports'!R$207</f>
        <v>0</v>
      </c>
      <c r="BY25" s="141">
        <f>'[2]Russia Sun Oil Exports'!S$207</f>
        <v>0</v>
      </c>
      <c r="BZ25" s="141">
        <f>'[2]Russia Sun Oil Exports'!T$207</f>
        <v>13.672000000000001</v>
      </c>
      <c r="CA25" s="141">
        <f>'[2]Russia Sun Oil Exports'!U$207</f>
        <v>8.6370000000000005</v>
      </c>
      <c r="CB25" s="141">
        <f>'[2]Russia Sun Oil Exports'!V$207</f>
        <v>8.3840000000000003</v>
      </c>
      <c r="CC25" s="141">
        <f>'[2]Russia Sun Oil Exports'!W$207</f>
        <v>5.2629999999999999</v>
      </c>
      <c r="CD25" s="141">
        <f>'[2]Russia Sun Oil Exports'!X$207</f>
        <v>0</v>
      </c>
      <c r="CE25" s="141">
        <f>'[2]Russia Sun Oil Exports'!Y$207</f>
        <v>0</v>
      </c>
      <c r="CF25" s="141">
        <f>'[2]Russia Sun Oil Exports'!Z$207</f>
        <v>0</v>
      </c>
      <c r="CG25" s="147">
        <f>'[2]Russia Sun Oil Exports'!AA$207</f>
        <v>0</v>
      </c>
      <c r="CH25" s="141">
        <f>'[2]Russia Sun Oil Exports'!AB$207</f>
        <v>0</v>
      </c>
      <c r="CI25" s="141">
        <f>'[2]Russia Sun Oil Exports'!AC$207</f>
        <v>0</v>
      </c>
      <c r="CJ25" s="143">
        <f>'[2]Russia Sun Oil Exports'!AD$207</f>
        <v>1.00136</v>
      </c>
      <c r="CK25" s="141">
        <f>'[3]Sunflower Oil Exports'!B$207/2204.622*1000</f>
        <v>0</v>
      </c>
      <c r="CL25" s="141">
        <f>'[3]Sunflower Oil Exports'!C$207/2204.622*1000</f>
        <v>0</v>
      </c>
      <c r="CM25" s="141">
        <f>'[3]Sunflower Oil Exports'!D$207/2204.622*1000</f>
        <v>0</v>
      </c>
      <c r="CN25" s="141">
        <f>'[3]Sunflower Oil Exports'!E$207/2204.622*1000</f>
        <v>0</v>
      </c>
      <c r="CO25" s="141">
        <f>'[3]Sunflower Oil Exports'!F$207/2204.622*1000</f>
        <v>4.4997000000000007</v>
      </c>
      <c r="CP25" s="141">
        <f>'[3]Sunflower Oil Exports'!G$207/2204.622*1000</f>
        <v>0</v>
      </c>
      <c r="CQ25" s="141">
        <f>'[3]Sunflower Oil Exports'!H$207/2204.622*1000</f>
        <v>0</v>
      </c>
      <c r="CR25" s="141">
        <f>'[3]Sunflower Oil Exports'!I$207/2204.622*1000</f>
        <v>0</v>
      </c>
      <c r="CS25" s="141">
        <f>'[3]Sunflower Oil Exports'!J$207/2204.622*1000</f>
        <v>0</v>
      </c>
      <c r="CT25" s="141">
        <f>'[3]Sunflower Oil Exports'!K$207/2204.622*1000</f>
        <v>0</v>
      </c>
      <c r="CU25" s="141">
        <f>'[3]Sunflower Oil Exports'!L$207/2204.622*1000</f>
        <v>0</v>
      </c>
      <c r="CV25" s="141">
        <f>'[3]Sunflower Oil Exports'!M$207/2204.622*1000</f>
        <v>0</v>
      </c>
      <c r="CW25" s="141">
        <f>'[3]Sunflower Oil Exports'!N$207/2204.622*1000</f>
        <v>0</v>
      </c>
      <c r="CX25" s="141">
        <f>'[3]Sunflower Oil Exports'!O$207/2204.622*1000</f>
        <v>0</v>
      </c>
      <c r="CY25" s="141">
        <f>'[3]Sunflower Oil Exports'!P$207/2204.622*1000</f>
        <v>0</v>
      </c>
      <c r="CZ25" s="141">
        <f>'[3]Sunflower Oil Exports'!Q$207/2204.622*1000</f>
        <v>0</v>
      </c>
      <c r="DA25" s="141">
        <f>'[3]Sunflower Oil Exports'!R$207/2204.622*1000</f>
        <v>9.2086000000000006</v>
      </c>
      <c r="DB25" s="141">
        <f>'[3]Sunflower Oil Exports'!S$207/2204.622*1000</f>
        <v>0</v>
      </c>
      <c r="DC25" s="141">
        <f>'[3]Sunflower Oil Exports'!T$207/2204.622*1000</f>
        <v>0</v>
      </c>
      <c r="DD25" s="141">
        <f>'[3]Sunflower Oil Exports'!U$207/2204.622*1000</f>
        <v>0</v>
      </c>
      <c r="DE25" s="141">
        <f>'[3]Sunflower Oil Exports'!V$207/2204.622*1000</f>
        <v>0</v>
      </c>
      <c r="DF25" s="141">
        <f>'[3]Sunflower Oil Exports'!W$207/2204.622*1000</f>
        <v>0</v>
      </c>
      <c r="DG25" s="141">
        <f>'[3]Sunflower Oil Exports'!X$207/2204.622*1000</f>
        <v>0</v>
      </c>
      <c r="DH25" s="141">
        <f>'[3]Sunflower Oil Exports'!Y$207/2204.622*1000</f>
        <v>0</v>
      </c>
      <c r="DI25" s="141">
        <f>'[3]Sunflower Oil Exports'!Z$207/2204.622*1000</f>
        <v>0</v>
      </c>
      <c r="DJ25" s="141">
        <f>'[3]Sunflower Oil Exports'!AA$207/2204.622*1000</f>
        <v>0</v>
      </c>
      <c r="DK25" s="141">
        <f>'[3]Sunflower Oil Exports'!AB$207/2204.622*1000</f>
        <v>0</v>
      </c>
      <c r="DL25" s="141">
        <f>'[3]Sunflower Oil Exports'!AC$207/2204.622*1000</f>
        <v>0</v>
      </c>
      <c r="DM25" s="143">
        <f>'[3]Sunflower Oil Exports'!AD$207/2204.622*1000</f>
        <v>0</v>
      </c>
      <c r="DN25" s="141">
        <f t="shared" si="9"/>
        <v>0</v>
      </c>
      <c r="DO25" s="141">
        <f t="shared" si="9"/>
        <v>0</v>
      </c>
      <c r="DP25" s="141">
        <f t="shared" si="9"/>
        <v>0</v>
      </c>
      <c r="DQ25" s="141">
        <f t="shared" si="9"/>
        <v>31.220000000000002</v>
      </c>
      <c r="DR25" s="141">
        <f t="shared" si="9"/>
        <v>28.999700000000001</v>
      </c>
      <c r="DS25" s="141">
        <f t="shared" si="9"/>
        <v>5.4139999999999997</v>
      </c>
      <c r="DT25" s="141">
        <f t="shared" si="9"/>
        <v>20.507000000000001</v>
      </c>
      <c r="DU25" s="141">
        <f t="shared" si="9"/>
        <v>7.4580000000000002</v>
      </c>
      <c r="DV25" s="141">
        <f t="shared" si="9"/>
        <v>0.17899999999999999</v>
      </c>
      <c r="DW25" s="141">
        <f t="shared" si="9"/>
        <v>4.0579999999999998</v>
      </c>
      <c r="DX25" s="141">
        <f t="shared" si="9"/>
        <v>1E-3</v>
      </c>
      <c r="DY25" s="141">
        <f t="shared" si="9"/>
        <v>4.601</v>
      </c>
      <c r="DZ25" s="141">
        <f t="shared" si="9"/>
        <v>14.418999999999999</v>
      </c>
      <c r="EA25" s="141">
        <f t="shared" si="9"/>
        <v>24.753999999999998</v>
      </c>
      <c r="EB25" s="141">
        <f t="shared" si="9"/>
        <v>15.709</v>
      </c>
      <c r="EC25" s="141">
        <f t="shared" si="8"/>
        <v>12.701000000000001</v>
      </c>
      <c r="ED25" s="141">
        <f t="shared" si="4"/>
        <v>22.999600000000001</v>
      </c>
      <c r="EE25" s="141">
        <f t="shared" si="4"/>
        <v>12.530000000000001</v>
      </c>
      <c r="EF25" s="141">
        <f t="shared" ref="EF25:EP61" si="10">SUM(T25,AW25,BZ25,DC25)</f>
        <v>19.655000000000001</v>
      </c>
      <c r="EG25" s="141">
        <f t="shared" si="10"/>
        <v>34.629000000000005</v>
      </c>
      <c r="EH25" s="141">
        <f t="shared" si="10"/>
        <v>41.847000000000001</v>
      </c>
      <c r="EI25" s="141">
        <f t="shared" si="10"/>
        <v>32.022999999999996</v>
      </c>
      <c r="EJ25" s="141">
        <f t="shared" si="10"/>
        <v>32.83</v>
      </c>
      <c r="EK25" s="141">
        <f t="shared" si="10"/>
        <v>69.612000000000009</v>
      </c>
      <c r="EL25" s="141">
        <f t="shared" si="10"/>
        <v>43.87706</v>
      </c>
      <c r="EM25" s="147">
        <f t="shared" si="10"/>
        <v>48.939590000000003</v>
      </c>
      <c r="EN25" s="141">
        <f t="shared" si="10"/>
        <v>63.49207899999999</v>
      </c>
      <c r="EO25" s="141">
        <f t="shared" si="10"/>
        <v>54.246119999999998</v>
      </c>
      <c r="EP25" s="145">
        <f t="shared" si="10"/>
        <v>58.551360000000003</v>
      </c>
      <c r="EQ25" s="145">
        <v>75</v>
      </c>
      <c r="ES25" s="145">
        <f t="shared" si="5"/>
        <v>0</v>
      </c>
      <c r="ET25" s="145">
        <f t="shared" si="6"/>
        <v>0</v>
      </c>
      <c r="EU25" s="145"/>
    </row>
    <row r="26" spans="1:151">
      <c r="A26" s="187" t="s">
        <v>157</v>
      </c>
      <c r="B26" s="141">
        <f>'[2]EU Sun Oil Exports'!B$219</f>
        <v>0</v>
      </c>
      <c r="C26" s="141">
        <f>'[2]EU Sun Oil Exports'!C$219</f>
        <v>0</v>
      </c>
      <c r="D26" s="141">
        <f>'[2]EU Sun Oil Exports'!D$219</f>
        <v>0</v>
      </c>
      <c r="E26" s="141">
        <f>'[2]EU Sun Oil Exports'!E$219</f>
        <v>0.60499999999999998</v>
      </c>
      <c r="F26" s="141">
        <f>'[2]EU Sun Oil Exports'!F$219</f>
        <v>2E-3</v>
      </c>
      <c r="G26" s="141">
        <f>'[2]EU Sun Oil Exports'!G$219</f>
        <v>2.7000000000000003E-2</v>
      </c>
      <c r="H26" s="141">
        <f>'[2]EU Sun Oil Exports'!H$219</f>
        <v>1E-3</v>
      </c>
      <c r="I26" s="141">
        <f>'[2]EU Sun Oil Exports'!I$219</f>
        <v>8.0000000000000002E-3</v>
      </c>
      <c r="J26" s="141">
        <f>'[2]EU Sun Oil Exports'!J$219</f>
        <v>2E-3</v>
      </c>
      <c r="K26" s="141">
        <f>'[2]EU Sun Oil Exports'!K$219</f>
        <v>2.2000000000000002E-2</v>
      </c>
      <c r="L26" s="141">
        <f>'[2]EU Sun Oil Exports'!L$219</f>
        <v>4.8000000000000001E-2</v>
      </c>
      <c r="M26" s="141">
        <f>'[2]EU Sun Oil Exports'!M$219</f>
        <v>0.16300000000000001</v>
      </c>
      <c r="N26" s="141">
        <f>'[2]EU Sun Oil Exports'!N$219</f>
        <v>0.24299999999999999</v>
      </c>
      <c r="O26" s="141">
        <f>'[2]EU Sun Oil Exports'!O$219</f>
        <v>0.46099999999999997</v>
      </c>
      <c r="P26" s="141">
        <f>'[2]EU Sun Oil Exports'!P$219</f>
        <v>0.60899999999999999</v>
      </c>
      <c r="Q26" s="141">
        <f>'[2]EU Sun Oil Exports'!Q$219</f>
        <v>0.98399999999999999</v>
      </c>
      <c r="R26" s="141">
        <f>'[2]EU Sun Oil Exports'!R$219</f>
        <v>5.3580000000000005</v>
      </c>
      <c r="S26" s="141">
        <f>'[2]EU Sun Oil Exports'!S$219</f>
        <v>0.22499999999999998</v>
      </c>
      <c r="T26" s="141">
        <f>'[2]EU Sun Oil Exports'!T$219</f>
        <v>21.389000000000003</v>
      </c>
      <c r="U26" s="141">
        <f>'[2]EU Sun Oil Exports'!U$219</f>
        <v>52.031999999999996</v>
      </c>
      <c r="V26" s="141">
        <f>'[2]EU Sun Oil Exports'!V$219</f>
        <v>128.018</v>
      </c>
      <c r="W26" s="141">
        <f>'[2]EU Sun Oil Exports'!W$219</f>
        <v>84.26600000000002</v>
      </c>
      <c r="X26" s="141">
        <f>'[2]EU Sun Oil Exports'!X$219</f>
        <v>104.13799999999999</v>
      </c>
      <c r="Y26" s="141">
        <f>'[2]EU Sun Oil Exports'!Y$219</f>
        <v>129.41299999999998</v>
      </c>
      <c r="Z26" s="141">
        <f>'[2]EU Sun Oil Exports'!Z$219</f>
        <v>147.91399999999999</v>
      </c>
      <c r="AA26" s="141">
        <f>'[2]EU Sun Oil Exports'!AA$219</f>
        <v>154.37900000000002</v>
      </c>
      <c r="AB26" s="141">
        <f>'[2]EU Sun Oil Exports'!AB$219</f>
        <v>195.18599999999998</v>
      </c>
      <c r="AC26" s="141">
        <f>'[2]EU Sun Oil Exports'!AC$219</f>
        <v>65.111000000000004</v>
      </c>
      <c r="AD26" s="143">
        <f>'[2]EU Sun Oil Exports'!AD$219+25</f>
        <v>180.06600000000003</v>
      </c>
      <c r="AE26" s="141">
        <f>'[2]Ukraine Sun Oil Exports'!B$219</f>
        <v>0</v>
      </c>
      <c r="AF26" s="141">
        <f>'[2]Ukraine Sun Oil Exports'!C$219</f>
        <v>0</v>
      </c>
      <c r="AG26" s="141">
        <f>'[2]Ukraine Sun Oil Exports'!D$219</f>
        <v>0</v>
      </c>
      <c r="AH26" s="141">
        <f>'[2]Ukraine Sun Oil Exports'!E$219</f>
        <v>0</v>
      </c>
      <c r="AI26" s="141">
        <f>'[2]Ukraine Sun Oil Exports'!F$219</f>
        <v>0</v>
      </c>
      <c r="AJ26" s="141">
        <f>'[2]Ukraine Sun Oil Exports'!G$219</f>
        <v>0</v>
      </c>
      <c r="AK26" s="141">
        <f>'[2]Ukraine Sun Oil Exports'!H$219</f>
        <v>0</v>
      </c>
      <c r="AL26" s="141">
        <f>'[2]Ukraine Sun Oil Exports'!I$219</f>
        <v>0</v>
      </c>
      <c r="AM26" s="141">
        <f>'[2]Ukraine Sun Oil Exports'!J$219</f>
        <v>0</v>
      </c>
      <c r="AN26" s="141">
        <f>'[2]Ukraine Sun Oil Exports'!K$219</f>
        <v>0</v>
      </c>
      <c r="AO26" s="141">
        <f>'[2]Ukraine Sun Oil Exports'!L$219</f>
        <v>0</v>
      </c>
      <c r="AP26" s="141">
        <f>'[2]Ukraine Sun Oil Exports'!M$219</f>
        <v>0</v>
      </c>
      <c r="AQ26" s="141">
        <f>'[2]Ukraine Sun Oil Exports'!N$219</f>
        <v>0</v>
      </c>
      <c r="AR26" s="141">
        <f>'[2]Ukraine Sun Oil Exports'!O$219</f>
        <v>0</v>
      </c>
      <c r="AS26" s="141">
        <f>'[2]Ukraine Sun Oil Exports'!P$219</f>
        <v>0</v>
      </c>
      <c r="AT26" s="141">
        <f>'[2]Ukraine Sun Oil Exports'!Q$219</f>
        <v>0</v>
      </c>
      <c r="AU26" s="141">
        <f>'[2]Ukraine Sun Oil Exports'!R$219</f>
        <v>6.923</v>
      </c>
      <c r="AV26" s="141">
        <f>'[2]Ukraine Sun Oil Exports'!S$219</f>
        <v>29.3</v>
      </c>
      <c r="AW26" s="141">
        <f>'[2]Ukraine Sun Oil Exports'!T$219</f>
        <v>27.538</v>
      </c>
      <c r="AX26" s="141">
        <f>'[2]Ukraine Sun Oil Exports'!U$219</f>
        <v>22.875</v>
      </c>
      <c r="AY26" s="141">
        <f>'[2]Ukraine Sun Oil Exports'!V$219</f>
        <v>19.577999999999999</v>
      </c>
      <c r="AZ26" s="141">
        <f>'[2]Ukraine Sun Oil Exports'!W$219</f>
        <v>5</v>
      </c>
      <c r="BA26" s="141">
        <f>'[2]Ukraine Sun Oil Exports'!X$219</f>
        <v>0.74099999999999999</v>
      </c>
      <c r="BB26" s="141">
        <f>'[2]Ukraine Sun Oil Exports'!Y$219</f>
        <v>0</v>
      </c>
      <c r="BC26" s="141">
        <f>'[2]Ukraine Sun Oil Exports'!Z$219</f>
        <v>0</v>
      </c>
      <c r="BD26" s="141">
        <f>'[2]Ukraine Sun Oil Exports'!AA$219</f>
        <v>0</v>
      </c>
      <c r="BE26" s="141">
        <f>'[2]Ukraine Sun Oil Exports'!AB$219</f>
        <v>0</v>
      </c>
      <c r="BF26" s="141">
        <f>'[2]Ukraine Sun Oil Exports'!AC$219</f>
        <v>0.24</v>
      </c>
      <c r="BG26" s="143">
        <f>'[2]Ukraine Sun Oil Exports'!AD$219</f>
        <v>12</v>
      </c>
      <c r="BH26" s="141">
        <f>'[2]Russia Sun Oil Exports'!B$219</f>
        <v>0</v>
      </c>
      <c r="BI26" s="141">
        <f>'[2]Russia Sun Oil Exports'!C$219</f>
        <v>0</v>
      </c>
      <c r="BJ26" s="141">
        <f>'[2]Russia Sun Oil Exports'!D$219</f>
        <v>0</v>
      </c>
      <c r="BK26" s="141">
        <f>'[2]Russia Sun Oil Exports'!E$219</f>
        <v>0</v>
      </c>
      <c r="BL26" s="141">
        <f>'[2]Russia Sun Oil Exports'!F$219</f>
        <v>0</v>
      </c>
      <c r="BM26" s="141">
        <f>'[2]Russia Sun Oil Exports'!G$219</f>
        <v>0</v>
      </c>
      <c r="BN26" s="141">
        <f>'[2]Russia Sun Oil Exports'!H$219</f>
        <v>0</v>
      </c>
      <c r="BO26" s="141">
        <f>'[2]Russia Sun Oil Exports'!I$219</f>
        <v>0</v>
      </c>
      <c r="BP26" s="141">
        <f>'[2]Russia Sun Oil Exports'!J$219</f>
        <v>0</v>
      </c>
      <c r="BQ26" s="141">
        <f>'[2]Russia Sun Oil Exports'!K$219</f>
        <v>0</v>
      </c>
      <c r="BR26" s="141">
        <f>'[2]Russia Sun Oil Exports'!L$219</f>
        <v>0</v>
      </c>
      <c r="BS26" s="141">
        <f>'[2]Russia Sun Oil Exports'!M$219</f>
        <v>0</v>
      </c>
      <c r="BT26" s="141">
        <f>'[2]Russia Sun Oil Exports'!N$219</f>
        <v>0</v>
      </c>
      <c r="BU26" s="141">
        <f>'[2]Russia Sun Oil Exports'!O$219</f>
        <v>0</v>
      </c>
      <c r="BV26" s="141">
        <f>'[2]Russia Sun Oil Exports'!P$219</f>
        <v>0</v>
      </c>
      <c r="BW26" s="141">
        <f>'[2]Russia Sun Oil Exports'!Q$219</f>
        <v>0</v>
      </c>
      <c r="BX26" s="141">
        <f>'[2]Russia Sun Oil Exports'!R$219</f>
        <v>12.013999999999999</v>
      </c>
      <c r="BY26" s="141">
        <f>'[2]Russia Sun Oil Exports'!S$219</f>
        <v>0</v>
      </c>
      <c r="BZ26" s="141">
        <f>'[2]Russia Sun Oil Exports'!T$219</f>
        <v>0</v>
      </c>
      <c r="CA26" s="141">
        <f>'[2]Russia Sun Oil Exports'!U$219</f>
        <v>0</v>
      </c>
      <c r="CB26" s="141">
        <f>'[2]Russia Sun Oil Exports'!V$219</f>
        <v>0</v>
      </c>
      <c r="CC26" s="141">
        <f>'[2]Russia Sun Oil Exports'!W$219</f>
        <v>0</v>
      </c>
      <c r="CD26" s="141">
        <f>'[2]Russia Sun Oil Exports'!X$219</f>
        <v>0</v>
      </c>
      <c r="CE26" s="141">
        <f>'[2]Russia Sun Oil Exports'!Y$219</f>
        <v>0</v>
      </c>
      <c r="CF26" s="141">
        <f>'[2]Russia Sun Oil Exports'!Z$219</f>
        <v>0</v>
      </c>
      <c r="CG26" s="147">
        <f>'[2]Russia Sun Oil Exports'!AA$219</f>
        <v>0</v>
      </c>
      <c r="CH26" s="141">
        <f>'[2]Russia Sun Oil Exports'!AB$219</f>
        <v>0</v>
      </c>
      <c r="CI26" s="141">
        <f>'[2]Russia Sun Oil Exports'!AC$219</f>
        <v>0</v>
      </c>
      <c r="CJ26" s="143">
        <f>'[2]Russia Sun Oil Exports'!AD$219</f>
        <v>0</v>
      </c>
      <c r="CK26" s="141">
        <f>'[3]Sunflower Oil Exports'!B$219/2204.622*1000</f>
        <v>0</v>
      </c>
      <c r="CL26" s="141">
        <f>'[3]Sunflower Oil Exports'!C$219/2204.622*1000</f>
        <v>0</v>
      </c>
      <c r="CM26" s="141">
        <f>'[3]Sunflower Oil Exports'!D$219/2204.622*1000</f>
        <v>0</v>
      </c>
      <c r="CN26" s="141">
        <f>'[3]Sunflower Oil Exports'!E$219/2204.622*1000</f>
        <v>0</v>
      </c>
      <c r="CO26" s="141">
        <f>'[3]Sunflower Oil Exports'!F$219/2204.622*1000</f>
        <v>0</v>
      </c>
      <c r="CP26" s="141">
        <f>'[3]Sunflower Oil Exports'!G$219/2204.622*1000</f>
        <v>9.3552000000000017</v>
      </c>
      <c r="CQ26" s="141">
        <f>'[3]Sunflower Oil Exports'!H$219/2204.622*1000</f>
        <v>0</v>
      </c>
      <c r="CR26" s="141">
        <f>'[3]Sunflower Oil Exports'!I$219/2204.622*1000</f>
        <v>0</v>
      </c>
      <c r="CS26" s="141">
        <f>'[3]Sunflower Oil Exports'!J$219/2204.622*1000</f>
        <v>0</v>
      </c>
      <c r="CT26" s="141">
        <f>'[3]Sunflower Oil Exports'!K$219/2204.622*1000</f>
        <v>0</v>
      </c>
      <c r="CU26" s="141">
        <f>'[3]Sunflower Oil Exports'!L$219/2204.622*1000</f>
        <v>0</v>
      </c>
      <c r="CV26" s="141">
        <f>'[3]Sunflower Oil Exports'!M$219/2204.622*1000</f>
        <v>0</v>
      </c>
      <c r="CW26" s="141">
        <f>'[3]Sunflower Oil Exports'!N$219/2204.622*1000</f>
        <v>0</v>
      </c>
      <c r="CX26" s="141">
        <f>'[3]Sunflower Oil Exports'!O$219/2204.622*1000</f>
        <v>0</v>
      </c>
      <c r="CY26" s="141">
        <f>'[3]Sunflower Oil Exports'!P$219/2204.622*1000</f>
        <v>0</v>
      </c>
      <c r="CZ26" s="141">
        <f>'[3]Sunflower Oil Exports'!Q$219/2204.622*1000</f>
        <v>0</v>
      </c>
      <c r="DA26" s="141">
        <f>'[3]Sunflower Oil Exports'!R$219/2204.622*1000</f>
        <v>3.8800000000000001E-2</v>
      </c>
      <c r="DB26" s="141">
        <f>'[3]Sunflower Oil Exports'!S$219/2204.622*1000</f>
        <v>9.9999000000000002</v>
      </c>
      <c r="DC26" s="141">
        <f>'[3]Sunflower Oil Exports'!T$219/2204.622*1000</f>
        <v>0</v>
      </c>
      <c r="DD26" s="141">
        <f>'[3]Sunflower Oil Exports'!U$219/2204.622*1000</f>
        <v>0</v>
      </c>
      <c r="DE26" s="141">
        <f>'[3]Sunflower Oil Exports'!V$219/2204.622*1000</f>
        <v>0</v>
      </c>
      <c r="DF26" s="141">
        <f>'[3]Sunflower Oil Exports'!W$219/2204.622*1000</f>
        <v>0</v>
      </c>
      <c r="DG26" s="141">
        <f>'[3]Sunflower Oil Exports'!X$219/2204.622*1000</f>
        <v>2.1000000000000003E-3</v>
      </c>
      <c r="DH26" s="141">
        <f>'[3]Sunflower Oil Exports'!Y$219/2204.622*1000</f>
        <v>0</v>
      </c>
      <c r="DI26" s="141">
        <f>'[3]Sunflower Oil Exports'!Z$219/2204.622*1000</f>
        <v>0</v>
      </c>
      <c r="DJ26" s="141">
        <f>'[3]Sunflower Oil Exports'!AA$219/2204.622*1000</f>
        <v>0</v>
      </c>
      <c r="DK26" s="141">
        <f>'[3]Sunflower Oil Exports'!AB$219/2204.622*1000</f>
        <v>0</v>
      </c>
      <c r="DL26" s="141">
        <f>'[3]Sunflower Oil Exports'!AC$219/2204.622*1000</f>
        <v>0</v>
      </c>
      <c r="DM26" s="143">
        <f>'[3]Sunflower Oil Exports'!AD$219/2204.622*1000</f>
        <v>0</v>
      </c>
      <c r="DN26" s="141">
        <f t="shared" si="9"/>
        <v>0</v>
      </c>
      <c r="DO26" s="141">
        <f t="shared" si="9"/>
        <v>0</v>
      </c>
      <c r="DP26" s="141">
        <f t="shared" si="9"/>
        <v>0</v>
      </c>
      <c r="DQ26" s="141">
        <f t="shared" si="9"/>
        <v>0.60499999999999998</v>
      </c>
      <c r="DR26" s="141">
        <f t="shared" si="9"/>
        <v>2E-3</v>
      </c>
      <c r="DS26" s="141">
        <f t="shared" si="9"/>
        <v>9.382200000000001</v>
      </c>
      <c r="DT26" s="141">
        <f t="shared" si="9"/>
        <v>1E-3</v>
      </c>
      <c r="DU26" s="141">
        <f t="shared" si="9"/>
        <v>8.0000000000000002E-3</v>
      </c>
      <c r="DV26" s="141">
        <f t="shared" si="9"/>
        <v>2E-3</v>
      </c>
      <c r="DW26" s="141">
        <f t="shared" si="9"/>
        <v>2.2000000000000002E-2</v>
      </c>
      <c r="DX26" s="141">
        <f t="shared" si="9"/>
        <v>4.8000000000000001E-2</v>
      </c>
      <c r="DY26" s="141">
        <f t="shared" si="9"/>
        <v>0.16300000000000001</v>
      </c>
      <c r="DZ26" s="141">
        <f t="shared" si="9"/>
        <v>0.24299999999999999</v>
      </c>
      <c r="EA26" s="141">
        <f t="shared" si="9"/>
        <v>0.46099999999999997</v>
      </c>
      <c r="EB26" s="141">
        <f t="shared" si="9"/>
        <v>0.60899999999999999</v>
      </c>
      <c r="EC26" s="141">
        <f t="shared" si="8"/>
        <v>0.98399999999999999</v>
      </c>
      <c r="ED26" s="141">
        <f t="shared" si="8"/>
        <v>24.3338</v>
      </c>
      <c r="EE26" s="141">
        <f t="shared" si="8"/>
        <v>39.524900000000002</v>
      </c>
      <c r="EF26" s="141">
        <f t="shared" si="10"/>
        <v>48.927000000000007</v>
      </c>
      <c r="EG26" s="141">
        <f t="shared" si="10"/>
        <v>74.906999999999996</v>
      </c>
      <c r="EH26" s="141">
        <f t="shared" si="10"/>
        <v>147.596</v>
      </c>
      <c r="EI26" s="141">
        <f t="shared" si="10"/>
        <v>89.26600000000002</v>
      </c>
      <c r="EJ26" s="141">
        <f t="shared" si="10"/>
        <v>104.88109999999999</v>
      </c>
      <c r="EK26" s="141">
        <f t="shared" si="10"/>
        <v>129.41299999999998</v>
      </c>
      <c r="EL26" s="141">
        <f t="shared" si="10"/>
        <v>147.91399999999999</v>
      </c>
      <c r="EM26" s="147">
        <f t="shared" si="10"/>
        <v>154.37900000000002</v>
      </c>
      <c r="EN26" s="141">
        <f t="shared" si="10"/>
        <v>195.18599999999998</v>
      </c>
      <c r="EO26" s="141">
        <f t="shared" si="10"/>
        <v>65.350999999999999</v>
      </c>
      <c r="EP26" s="145">
        <f t="shared" si="10"/>
        <v>192.06600000000003</v>
      </c>
      <c r="EQ26" s="145">
        <v>100</v>
      </c>
      <c r="ES26" s="145">
        <f t="shared" si="5"/>
        <v>0</v>
      </c>
      <c r="ET26" s="145">
        <f t="shared" si="6"/>
        <v>0</v>
      </c>
      <c r="EU26" s="145"/>
    </row>
    <row r="27" spans="1:151">
      <c r="A27" s="187" t="s">
        <v>158</v>
      </c>
      <c r="B27" s="141">
        <f>'[2]EU Sun Oil Exports'!B$225</f>
        <v>0</v>
      </c>
      <c r="C27" s="141">
        <f>'[2]EU Sun Oil Exports'!C$225</f>
        <v>0</v>
      </c>
      <c r="D27" s="141">
        <f>'[2]EU Sun Oil Exports'!D$225</f>
        <v>0</v>
      </c>
      <c r="E27" s="141">
        <f>'[2]EU Sun Oil Exports'!E$225</f>
        <v>6.4000000000000001E-2</v>
      </c>
      <c r="F27" s="141">
        <f>'[2]EU Sun Oil Exports'!F$225</f>
        <v>3.2000000000000001E-2</v>
      </c>
      <c r="G27" s="141">
        <f>'[2]EU Sun Oil Exports'!G$225</f>
        <v>2.1000000000000001E-2</v>
      </c>
      <c r="H27" s="141">
        <f>'[2]EU Sun Oil Exports'!H$225</f>
        <v>3.6000000000000004E-2</v>
      </c>
      <c r="I27" s="141">
        <f>'[2]EU Sun Oil Exports'!I$225</f>
        <v>6.2000000000000006E-2</v>
      </c>
      <c r="J27" s="141">
        <f>'[2]EU Sun Oil Exports'!J$225</f>
        <v>0.08</v>
      </c>
      <c r="K27" s="141">
        <f>'[2]EU Sun Oil Exports'!K$225</f>
        <v>9.7000000000000003E-2</v>
      </c>
      <c r="L27" s="141">
        <f>'[2]EU Sun Oil Exports'!L$225</f>
        <v>1.4849999999999999</v>
      </c>
      <c r="M27" s="141">
        <f>'[2]EU Sun Oil Exports'!M$225</f>
        <v>0.18100000000000002</v>
      </c>
      <c r="N27" s="141">
        <f>'[2]EU Sun Oil Exports'!N$225</f>
        <v>6.9000000000000006E-2</v>
      </c>
      <c r="O27" s="141">
        <f>'[2]EU Sun Oil Exports'!O$225</f>
        <v>0.16400000000000001</v>
      </c>
      <c r="P27" s="141">
        <f>'[2]EU Sun Oil Exports'!P$225</f>
        <v>1.0899999999999996</v>
      </c>
      <c r="Q27" s="141">
        <f>'[2]EU Sun Oil Exports'!Q$225</f>
        <v>1.0820000000000001</v>
      </c>
      <c r="R27" s="141">
        <f>'[2]EU Sun Oil Exports'!R$225</f>
        <v>1.9249999999999996</v>
      </c>
      <c r="S27" s="141">
        <f>'[2]EU Sun Oil Exports'!S$225</f>
        <v>2.2739999999999996</v>
      </c>
      <c r="T27" s="141">
        <f>'[2]EU Sun Oil Exports'!T$225</f>
        <v>0.68600000000000017</v>
      </c>
      <c r="U27" s="141">
        <f>'[2]EU Sun Oil Exports'!U$225</f>
        <v>0.23100000000000001</v>
      </c>
      <c r="V27" s="141">
        <f>'[2]EU Sun Oil Exports'!V$225</f>
        <v>0.33600000000000008</v>
      </c>
      <c r="W27" s="141">
        <f>'[2]EU Sun Oil Exports'!W$225</f>
        <v>0.184</v>
      </c>
      <c r="X27" s="141">
        <f>'[2]EU Sun Oil Exports'!X$225</f>
        <v>9.9999999999999992E-2</v>
      </c>
      <c r="Y27" s="141">
        <f>'[2]EU Sun Oil Exports'!Y$225</f>
        <v>6.9000000000000006E-2</v>
      </c>
      <c r="Z27" s="141">
        <f>'[2]EU Sun Oil Exports'!Z$225</f>
        <v>0.39600000000000002</v>
      </c>
      <c r="AA27" s="141">
        <f>'[2]EU Sun Oil Exports'!AA$225</f>
        <v>0.02</v>
      </c>
      <c r="AB27" s="141">
        <f>'[2]EU Sun Oil Exports'!AB$225</f>
        <v>7.9000000000000015E-2</v>
      </c>
      <c r="AC27" s="141">
        <f>'[2]EU Sun Oil Exports'!AC$225</f>
        <v>0.13400000000000001</v>
      </c>
      <c r="AD27" s="143">
        <f>'[2]EU Sun Oil Exports'!AD$225</f>
        <v>1.6789200000000002</v>
      </c>
      <c r="AE27" s="141">
        <f>'[2]Ukraine Sun Oil Exports'!B$225</f>
        <v>0</v>
      </c>
      <c r="AF27" s="141">
        <f>'[2]Ukraine Sun Oil Exports'!C$225</f>
        <v>0</v>
      </c>
      <c r="AG27" s="141">
        <f>'[2]Ukraine Sun Oil Exports'!D$225</f>
        <v>0</v>
      </c>
      <c r="AH27" s="141">
        <f>'[2]Ukraine Sun Oil Exports'!E$225</f>
        <v>0</v>
      </c>
      <c r="AI27" s="141">
        <f>'[2]Ukraine Sun Oil Exports'!F$225</f>
        <v>0</v>
      </c>
      <c r="AJ27" s="141">
        <f>'[2]Ukraine Sun Oil Exports'!G$225</f>
        <v>0</v>
      </c>
      <c r="AK27" s="141">
        <f>'[2]Ukraine Sun Oil Exports'!H$225</f>
        <v>0</v>
      </c>
      <c r="AL27" s="141">
        <f>'[2]Ukraine Sun Oil Exports'!I$225</f>
        <v>0</v>
      </c>
      <c r="AM27" s="141">
        <f>'[2]Ukraine Sun Oil Exports'!J$225</f>
        <v>0</v>
      </c>
      <c r="AN27" s="141">
        <f>'[2]Ukraine Sun Oil Exports'!K$225</f>
        <v>0</v>
      </c>
      <c r="AO27" s="141">
        <f>'[2]Ukraine Sun Oil Exports'!L$225</f>
        <v>0</v>
      </c>
      <c r="AP27" s="141">
        <f>'[2]Ukraine Sun Oil Exports'!M$225</f>
        <v>0</v>
      </c>
      <c r="AQ27" s="141">
        <f>'[2]Ukraine Sun Oil Exports'!N$225</f>
        <v>3.0369999999999999</v>
      </c>
      <c r="AR27" s="141">
        <f>'[2]Ukraine Sun Oil Exports'!O$225</f>
        <v>3</v>
      </c>
      <c r="AS27" s="141">
        <f>'[2]Ukraine Sun Oil Exports'!P$225</f>
        <v>0.5</v>
      </c>
      <c r="AT27" s="141">
        <f>'[2]Ukraine Sun Oil Exports'!Q$225</f>
        <v>7.7469999999999999</v>
      </c>
      <c r="AU27" s="141">
        <f>'[2]Ukraine Sun Oil Exports'!R$225</f>
        <v>9.86</v>
      </c>
      <c r="AV27" s="141">
        <f>'[2]Ukraine Sun Oil Exports'!S$225</f>
        <v>2.0150000000000001</v>
      </c>
      <c r="AW27" s="141">
        <f>'[2]Ukraine Sun Oil Exports'!T$225</f>
        <v>4.92</v>
      </c>
      <c r="AX27" s="141">
        <f>'[2]Ukraine Sun Oil Exports'!U$225</f>
        <v>2</v>
      </c>
      <c r="AY27" s="141">
        <f>'[2]Ukraine Sun Oil Exports'!V$225</f>
        <v>14.8</v>
      </c>
      <c r="AZ27" s="141">
        <f>'[2]Ukraine Sun Oil Exports'!W$225</f>
        <v>8.5</v>
      </c>
      <c r="BA27" s="141">
        <f>'[2]Ukraine Sun Oil Exports'!X$225</f>
        <v>9.0180000000000007</v>
      </c>
      <c r="BB27" s="141">
        <f>'[2]Ukraine Sun Oil Exports'!Y$225</f>
        <v>10.96</v>
      </c>
      <c r="BC27" s="141">
        <f>'[2]Ukraine Sun Oil Exports'!Z$225</f>
        <v>2.3716999999999998E-2</v>
      </c>
      <c r="BD27" s="141">
        <f>'[2]Ukraine Sun Oil Exports'!AA$225</f>
        <v>0</v>
      </c>
      <c r="BE27" s="141">
        <f>'[2]Ukraine Sun Oil Exports'!AB$225</f>
        <v>0</v>
      </c>
      <c r="BF27" s="141">
        <f>'[2]Ukraine Sun Oil Exports'!AC$225</f>
        <v>0</v>
      </c>
      <c r="BG27" s="143">
        <f>'[2]Ukraine Sun Oil Exports'!AD$225</f>
        <v>17.567</v>
      </c>
      <c r="BH27" s="141">
        <f>'[2]Russia Sun Oil Exports'!B$225</f>
        <v>0</v>
      </c>
      <c r="BI27" s="141">
        <f>'[2]Russia Sun Oil Exports'!C$225</f>
        <v>0</v>
      </c>
      <c r="BJ27" s="141">
        <f>'[2]Russia Sun Oil Exports'!D$225</f>
        <v>0</v>
      </c>
      <c r="BK27" s="141">
        <f>'[2]Russia Sun Oil Exports'!E$225</f>
        <v>0</v>
      </c>
      <c r="BL27" s="141">
        <f>'[2]Russia Sun Oil Exports'!F$225</f>
        <v>0</v>
      </c>
      <c r="BM27" s="141">
        <f>'[2]Russia Sun Oil Exports'!G$225</f>
        <v>0</v>
      </c>
      <c r="BN27" s="141">
        <f>'[2]Russia Sun Oil Exports'!H$225</f>
        <v>5.7108499999999998</v>
      </c>
      <c r="BO27" s="141">
        <f>'[2]Russia Sun Oil Exports'!I$225</f>
        <v>0</v>
      </c>
      <c r="BP27" s="141">
        <f>'[2]Russia Sun Oil Exports'!J$225</f>
        <v>0</v>
      </c>
      <c r="BQ27" s="141">
        <f>'[2]Russia Sun Oil Exports'!K$225</f>
        <v>0</v>
      </c>
      <c r="BR27" s="141">
        <f>'[2]Russia Sun Oil Exports'!L$225</f>
        <v>0</v>
      </c>
      <c r="BS27" s="141">
        <f>'[2]Russia Sun Oil Exports'!M$225</f>
        <v>0</v>
      </c>
      <c r="BT27" s="141">
        <f>'[2]Russia Sun Oil Exports'!N$225</f>
        <v>3.8580000000000001</v>
      </c>
      <c r="BU27" s="141">
        <f>'[2]Russia Sun Oil Exports'!O$225</f>
        <v>0</v>
      </c>
      <c r="BV27" s="141">
        <f>'[2]Russia Sun Oil Exports'!P$225</f>
        <v>0</v>
      </c>
      <c r="BW27" s="141">
        <f>'[2]Russia Sun Oil Exports'!Q$225</f>
        <v>2.0999999999999996</v>
      </c>
      <c r="BX27" s="141">
        <f>'[2]Russia Sun Oil Exports'!R$225</f>
        <v>0</v>
      </c>
      <c r="BY27" s="141">
        <f>'[2]Russia Sun Oil Exports'!S$225</f>
        <v>0</v>
      </c>
      <c r="BZ27" s="141">
        <f>'[2]Russia Sun Oil Exports'!T$225</f>
        <v>2.601</v>
      </c>
      <c r="CA27" s="141">
        <f>'[2]Russia Sun Oil Exports'!U$225</f>
        <v>1.0009999999999999</v>
      </c>
      <c r="CB27" s="141">
        <f>'[2]Russia Sun Oil Exports'!V$225</f>
        <v>0</v>
      </c>
      <c r="CC27" s="141">
        <f>'[2]Russia Sun Oil Exports'!W$225</f>
        <v>0</v>
      </c>
      <c r="CD27" s="141">
        <f>'[2]Russia Sun Oil Exports'!X$225</f>
        <v>2</v>
      </c>
      <c r="CE27" s="141">
        <f>'[2]Russia Sun Oil Exports'!Y$225</f>
        <v>12.875</v>
      </c>
      <c r="CF27" s="141">
        <f>'[2]Russia Sun Oil Exports'!Z$225</f>
        <v>0</v>
      </c>
      <c r="CG27" s="147">
        <f>'[2]Russia Sun Oil Exports'!AA$225</f>
        <v>0</v>
      </c>
      <c r="CH27" s="141">
        <f>'[2]Russia Sun Oil Exports'!AB$225</f>
        <v>0.51060000000000005</v>
      </c>
      <c r="CI27" s="141">
        <f>'[2]Russia Sun Oil Exports'!AC$225</f>
        <v>0</v>
      </c>
      <c r="CJ27" s="143">
        <f>'[2]Russia Sun Oil Exports'!AD$225</f>
        <v>0.5</v>
      </c>
      <c r="CK27" s="141">
        <f>'[3]Sunflower Oil Exports'!B$225/2204.622*1000</f>
        <v>0</v>
      </c>
      <c r="CL27" s="141">
        <f>'[3]Sunflower Oil Exports'!C$225/2204.622*1000</f>
        <v>0</v>
      </c>
      <c r="CM27" s="141">
        <f>'[3]Sunflower Oil Exports'!D$225/2204.622*1000</f>
        <v>0</v>
      </c>
      <c r="CN27" s="141">
        <f>'[3]Sunflower Oil Exports'!E$225/2204.622*1000</f>
        <v>0</v>
      </c>
      <c r="CO27" s="141">
        <f>'[3]Sunflower Oil Exports'!F$225/2204.622*1000</f>
        <v>0</v>
      </c>
      <c r="CP27" s="141">
        <f>'[3]Sunflower Oil Exports'!G$225/2204.622*1000</f>
        <v>0</v>
      </c>
      <c r="CQ27" s="141">
        <f>'[3]Sunflower Oil Exports'!H$225/2204.622*1000</f>
        <v>0</v>
      </c>
      <c r="CR27" s="141">
        <f>'[3]Sunflower Oil Exports'!I$225/2204.622*1000</f>
        <v>0</v>
      </c>
      <c r="CS27" s="141">
        <f>'[3]Sunflower Oil Exports'!J$225/2204.622*1000</f>
        <v>0</v>
      </c>
      <c r="CT27" s="141">
        <f>'[3]Sunflower Oil Exports'!K$225/2204.622*1000</f>
        <v>0</v>
      </c>
      <c r="CU27" s="141">
        <f>'[3]Sunflower Oil Exports'!L$225/2204.622*1000</f>
        <v>0</v>
      </c>
      <c r="CV27" s="141">
        <f>'[3]Sunflower Oil Exports'!M$225/2204.622*1000</f>
        <v>0</v>
      </c>
      <c r="CW27" s="141">
        <f>'[3]Sunflower Oil Exports'!N$225/2204.622*1000</f>
        <v>0</v>
      </c>
      <c r="CX27" s="141">
        <f>'[3]Sunflower Oil Exports'!O$225/2204.622*1000</f>
        <v>0</v>
      </c>
      <c r="CY27" s="141">
        <f>'[3]Sunflower Oil Exports'!P$225/2204.622*1000</f>
        <v>0</v>
      </c>
      <c r="CZ27" s="141">
        <f>'[3]Sunflower Oil Exports'!Q$225/2204.622*1000</f>
        <v>0</v>
      </c>
      <c r="DA27" s="141">
        <f>'[3]Sunflower Oil Exports'!R$225/2204.622*1000</f>
        <v>1.7996000000000003</v>
      </c>
      <c r="DB27" s="141">
        <f>'[3]Sunflower Oil Exports'!S$225/2204.622*1000</f>
        <v>0</v>
      </c>
      <c r="DC27" s="141">
        <f>'[3]Sunflower Oil Exports'!T$225/2204.622*1000</f>
        <v>0</v>
      </c>
      <c r="DD27" s="141">
        <f>'[3]Sunflower Oil Exports'!U$225/2204.622*1000</f>
        <v>0</v>
      </c>
      <c r="DE27" s="141">
        <f>'[3]Sunflower Oil Exports'!V$225/2204.622*1000</f>
        <v>0</v>
      </c>
      <c r="DF27" s="141">
        <f>'[3]Sunflower Oil Exports'!W$225/2204.622*1000</f>
        <v>0</v>
      </c>
      <c r="DG27" s="141">
        <f>'[3]Sunflower Oil Exports'!X$225/2204.622*1000</f>
        <v>0</v>
      </c>
      <c r="DH27" s="141">
        <f>'[3]Sunflower Oil Exports'!Y$225/2204.622*1000</f>
        <v>0</v>
      </c>
      <c r="DI27" s="141">
        <f>'[3]Sunflower Oil Exports'!Z$225/2204.622*1000</f>
        <v>0</v>
      </c>
      <c r="DJ27" s="141">
        <f>'[3]Sunflower Oil Exports'!AA$225/2204.622*1000</f>
        <v>0</v>
      </c>
      <c r="DK27" s="141">
        <f>'[3]Sunflower Oil Exports'!AB$225/2204.622*1000</f>
        <v>0</v>
      </c>
      <c r="DL27" s="141">
        <f>'[3]Sunflower Oil Exports'!AC$225/2204.622*1000</f>
        <v>0</v>
      </c>
      <c r="DM27" s="143">
        <f>'[3]Sunflower Oil Exports'!AD$225/2204.622*1000</f>
        <v>0</v>
      </c>
      <c r="DN27" s="141">
        <f t="shared" si="9"/>
        <v>0</v>
      </c>
      <c r="DO27" s="141">
        <f t="shared" si="9"/>
        <v>0</v>
      </c>
      <c r="DP27" s="141">
        <f t="shared" si="9"/>
        <v>0</v>
      </c>
      <c r="DQ27" s="141">
        <f t="shared" si="9"/>
        <v>6.4000000000000001E-2</v>
      </c>
      <c r="DR27" s="141">
        <f t="shared" si="9"/>
        <v>3.2000000000000001E-2</v>
      </c>
      <c r="DS27" s="141">
        <f t="shared" si="9"/>
        <v>2.1000000000000001E-2</v>
      </c>
      <c r="DT27" s="141">
        <f t="shared" si="9"/>
        <v>5.7468499999999993</v>
      </c>
      <c r="DU27" s="141">
        <f t="shared" si="9"/>
        <v>6.2000000000000006E-2</v>
      </c>
      <c r="DV27" s="141">
        <f t="shared" si="9"/>
        <v>0.08</v>
      </c>
      <c r="DW27" s="141">
        <f t="shared" si="9"/>
        <v>9.7000000000000003E-2</v>
      </c>
      <c r="DX27" s="141">
        <f t="shared" si="9"/>
        <v>1.4849999999999999</v>
      </c>
      <c r="DY27" s="141">
        <f t="shared" si="9"/>
        <v>0.18100000000000002</v>
      </c>
      <c r="DZ27" s="141">
        <f t="shared" si="9"/>
        <v>6.9640000000000004</v>
      </c>
      <c r="EA27" s="141">
        <f t="shared" si="9"/>
        <v>3.1640000000000001</v>
      </c>
      <c r="EB27" s="141">
        <f t="shared" si="9"/>
        <v>1.5899999999999996</v>
      </c>
      <c r="EC27" s="141">
        <f t="shared" si="8"/>
        <v>10.929</v>
      </c>
      <c r="ED27" s="141">
        <f t="shared" si="8"/>
        <v>13.584599999999998</v>
      </c>
      <c r="EE27" s="141">
        <f t="shared" si="8"/>
        <v>4.2889999999999997</v>
      </c>
      <c r="EF27" s="141">
        <f t="shared" si="10"/>
        <v>8.2070000000000007</v>
      </c>
      <c r="EG27" s="141">
        <f t="shared" si="10"/>
        <v>3.2319999999999998</v>
      </c>
      <c r="EH27" s="141">
        <f t="shared" si="10"/>
        <v>15.136000000000001</v>
      </c>
      <c r="EI27" s="141">
        <f t="shared" si="10"/>
        <v>8.6839999999999993</v>
      </c>
      <c r="EJ27" s="141">
        <f t="shared" si="10"/>
        <v>11.118</v>
      </c>
      <c r="EK27" s="141">
        <f t="shared" si="10"/>
        <v>23.904000000000003</v>
      </c>
      <c r="EL27" s="141">
        <f t="shared" si="10"/>
        <v>0.41971700000000001</v>
      </c>
      <c r="EM27" s="147">
        <f t="shared" si="10"/>
        <v>0.02</v>
      </c>
      <c r="EN27" s="141">
        <f t="shared" si="10"/>
        <v>0.58960000000000012</v>
      </c>
      <c r="EO27" s="141">
        <f t="shared" si="10"/>
        <v>0.13400000000000001</v>
      </c>
      <c r="EP27" s="145">
        <f t="shared" si="10"/>
        <v>19.745920000000002</v>
      </c>
      <c r="EQ27" s="145">
        <v>0</v>
      </c>
      <c r="ES27" s="145">
        <f t="shared" si="5"/>
        <v>0</v>
      </c>
      <c r="ET27" s="145">
        <f t="shared" si="6"/>
        <v>0</v>
      </c>
      <c r="EU27" s="145"/>
    </row>
    <row r="28" spans="1:151">
      <c r="A28" s="187" t="s">
        <v>159</v>
      </c>
      <c r="B28" s="141">
        <f>'[2]EU Sun Oil Exports'!B$164-SUM(B23:B27)</f>
        <v>0</v>
      </c>
      <c r="C28" s="141">
        <f>'[2]EU Sun Oil Exports'!C$164-SUM(C23:C27)</f>
        <v>0</v>
      </c>
      <c r="D28" s="141">
        <f>'[2]EU Sun Oil Exports'!D$164-SUM(D23:D27)</f>
        <v>0</v>
      </c>
      <c r="E28" s="141">
        <f>'[2]EU Sun Oil Exports'!E$164-SUM(E23:E27)</f>
        <v>12.861000000000047</v>
      </c>
      <c r="F28" s="141">
        <f>'[2]EU Sun Oil Exports'!F$164-SUM(F23:F27)</f>
        <v>15.980000000000032</v>
      </c>
      <c r="G28" s="141">
        <f>'[2]EU Sun Oil Exports'!G$164-SUM(G23:G27)</f>
        <v>12.153000000000006</v>
      </c>
      <c r="H28" s="141">
        <f>'[2]EU Sun Oil Exports'!H$164-SUM(H23:H27)</f>
        <v>7.9950000000000117</v>
      </c>
      <c r="I28" s="141">
        <f>'[2]EU Sun Oil Exports'!I$164-SUM(I23:I27)</f>
        <v>9.2930000000000028</v>
      </c>
      <c r="J28" s="141">
        <f>'[2]EU Sun Oil Exports'!J$164-SUM(J23:J27)</f>
        <v>7.4279999999999946</v>
      </c>
      <c r="K28" s="141">
        <f>'[2]EU Sun Oil Exports'!K$164-SUM(K23:K27)</f>
        <v>7.2319999999999993</v>
      </c>
      <c r="L28" s="141">
        <f>'[2]EU Sun Oil Exports'!L$164-SUM(L23:L27)</f>
        <v>9.8430000000000106</v>
      </c>
      <c r="M28" s="141">
        <f>'[2]EU Sun Oil Exports'!M$164-SUM(M23:M27)</f>
        <v>5.3190000000000008</v>
      </c>
      <c r="N28" s="141">
        <f>'[2]EU Sun Oil Exports'!N$164-SUM(N23:N27)</f>
        <v>5.1949999999999976</v>
      </c>
      <c r="O28" s="141">
        <f>'[2]EU Sun Oil Exports'!O$164-SUM(O23:O27)</f>
        <v>3.3179999999999987</v>
      </c>
      <c r="P28" s="141">
        <f>'[2]EU Sun Oil Exports'!P$164-SUM(P23:P27)</f>
        <v>3.1879999999999997</v>
      </c>
      <c r="Q28" s="141">
        <f>'[2]EU Sun Oil Exports'!Q$164-SUM(Q23:Q27)</f>
        <v>5.9420000000000028</v>
      </c>
      <c r="R28" s="141">
        <f>'[2]EU Sun Oil Exports'!R$164-SUM(R23:R27)</f>
        <v>10.057000000000006</v>
      </c>
      <c r="S28" s="141">
        <f>'[2]EU Sun Oil Exports'!S$164-SUM(S23:S27)</f>
        <v>9.3090000000000011</v>
      </c>
      <c r="T28" s="141">
        <f>'[2]EU Sun Oil Exports'!T$164-SUM(T23:T27)</f>
        <v>10.426999999999992</v>
      </c>
      <c r="U28" s="141">
        <f>'[2]EU Sun Oil Exports'!U$164-SUM(U23:U27)</f>
        <v>10.54999999999999</v>
      </c>
      <c r="V28" s="141">
        <f>'[2]EU Sun Oil Exports'!V$164-SUM(V23:V27)</f>
        <v>13.907000000000011</v>
      </c>
      <c r="W28" s="141">
        <f>'[2]EU Sun Oil Exports'!W$164-SUM(W23:W27)</f>
        <v>18.112999999999985</v>
      </c>
      <c r="X28" s="141">
        <f>'[2]EU Sun Oil Exports'!X$164-SUM(X23:X27)</f>
        <v>16.234999999999999</v>
      </c>
      <c r="Y28" s="141">
        <f>'[2]EU Sun Oil Exports'!Y$164-SUM(Y23:Y27)</f>
        <v>32.773000000000025</v>
      </c>
      <c r="Z28" s="141">
        <f>'[2]EU Sun Oil Exports'!Z$164-SUM(Z23:Z27)</f>
        <v>25.333000000000027</v>
      </c>
      <c r="AA28" s="141">
        <f>'[2]EU Sun Oil Exports'!AA$164-SUM(AA23:AA27)</f>
        <v>14.108000000000004</v>
      </c>
      <c r="AB28" s="141">
        <f>'[2]EU Sun Oil Exports'!AB$164-SUM(AB23:AB27)</f>
        <v>20.105000000000018</v>
      </c>
      <c r="AC28" s="141">
        <f>'[2]EU Sun Oil Exports'!AC$164-SUM(AC23:AC27)</f>
        <v>25.637</v>
      </c>
      <c r="AD28" s="143">
        <v>20</v>
      </c>
      <c r="AE28" s="141">
        <f>'[2]Ukraine Sun Oil Exports'!B$164-SUM(AE23:AE27)</f>
        <v>0</v>
      </c>
      <c r="AF28" s="141">
        <f>'[2]Ukraine Sun Oil Exports'!C$164-SUM(AF23:AF27)</f>
        <v>0</v>
      </c>
      <c r="AG28" s="141">
        <f>'[2]Ukraine Sun Oil Exports'!D$164-SUM(AG23:AG27)</f>
        <v>0</v>
      </c>
      <c r="AH28" s="141">
        <f>'[2]Ukraine Sun Oil Exports'!E$164-SUM(AH23:AH27)</f>
        <v>0</v>
      </c>
      <c r="AI28" s="141">
        <f>'[2]Ukraine Sun Oil Exports'!F$164-SUM(AI23:AI27)</f>
        <v>0</v>
      </c>
      <c r="AJ28" s="141">
        <f>'[2]Ukraine Sun Oil Exports'!G$164-SUM(AJ23:AJ27)</f>
        <v>0</v>
      </c>
      <c r="AK28" s="141">
        <f>'[2]Ukraine Sun Oil Exports'!H$164-SUM(AK23:AK27)</f>
        <v>0</v>
      </c>
      <c r="AL28" s="141">
        <f>'[2]Ukraine Sun Oil Exports'!I$164-SUM(AL23:AL27)</f>
        <v>0</v>
      </c>
      <c r="AM28" s="141">
        <f>'[2]Ukraine Sun Oil Exports'!J$164-SUM(AM23:AM27)</f>
        <v>2.3999999999999986</v>
      </c>
      <c r="AN28" s="141">
        <f>'[2]Ukraine Sun Oil Exports'!K$164-SUM(AN23:AN27)</f>
        <v>0</v>
      </c>
      <c r="AO28" s="141">
        <f>'[2]Ukraine Sun Oil Exports'!L$164-SUM(AO23:AO27)</f>
        <v>1.0000000000047748E-3</v>
      </c>
      <c r="AP28" s="141">
        <f>'[2]Ukraine Sun Oil Exports'!M$164-SUM(AP23:AP27)</f>
        <v>0</v>
      </c>
      <c r="AQ28" s="141">
        <f>'[2]Ukraine Sun Oil Exports'!N$164-SUM(AQ23:AQ27)</f>
        <v>5.4989999999999952</v>
      </c>
      <c r="AR28" s="141">
        <f>'[2]Ukraine Sun Oil Exports'!O$164-SUM(AR23:AR27)</f>
        <v>10.95999999999998</v>
      </c>
      <c r="AS28" s="141">
        <f>'[2]Ukraine Sun Oil Exports'!P$164-SUM(AS23:AS27)</f>
        <v>12.907000000000011</v>
      </c>
      <c r="AT28" s="141">
        <f>'[2]Ukraine Sun Oil Exports'!Q$164-SUM(AT23:AT27)</f>
        <v>13.982000000000028</v>
      </c>
      <c r="AU28" s="141">
        <f>'[2]Ukraine Sun Oil Exports'!R$164-SUM(AU23:AU27)</f>
        <v>42.86099999999999</v>
      </c>
      <c r="AV28" s="141">
        <f>'[2]Ukraine Sun Oil Exports'!S$164-SUM(AV23:AV27)</f>
        <v>47.99799999999999</v>
      </c>
      <c r="AW28" s="141">
        <f>'[2]Ukraine Sun Oil Exports'!T$164-SUM(AW23:AW27)</f>
        <v>53.277000000000044</v>
      </c>
      <c r="AX28" s="141">
        <f>'[2]Ukraine Sun Oil Exports'!U$164-SUM(AX23:AX27)</f>
        <v>16.80299999999994</v>
      </c>
      <c r="AY28" s="141">
        <f>'[2]Ukraine Sun Oil Exports'!V$164-SUM(AY23:AY27)</f>
        <v>88.588999999999999</v>
      </c>
      <c r="AZ28" s="141">
        <f>'[2]Ukraine Sun Oil Exports'!W$164-SUM(AZ23:AZ27)</f>
        <v>78.368000000000023</v>
      </c>
      <c r="BA28" s="141">
        <f>'[2]Ukraine Sun Oil Exports'!X$164-SUM(BA23:BA27)</f>
        <v>61.568000000000097</v>
      </c>
      <c r="BB28" s="141">
        <f>'[2]Ukraine Sun Oil Exports'!Y$164-SUM(BB23:BB27)</f>
        <v>73.501887999999951</v>
      </c>
      <c r="BC28" s="141">
        <f>'[2]Ukraine Sun Oil Exports'!Z$164-SUM(BC23:BC27)</f>
        <v>96.044939999999997</v>
      </c>
      <c r="BD28" s="141">
        <f>'[2]Ukraine Sun Oil Exports'!AA$164-SUM(BD23:BD27)</f>
        <v>125.343288</v>
      </c>
      <c r="BE28" s="141">
        <f>'[2]Ukraine Sun Oil Exports'!AB$164-SUM(BE23:BE27)</f>
        <v>234.26782000000003</v>
      </c>
      <c r="BF28" s="141">
        <f>'[2]Ukraine Sun Oil Exports'!AC$164-SUM(BF23:BF27)</f>
        <v>129.78133600000004</v>
      </c>
      <c r="BG28" s="141">
        <f>'[2]Ukraine Sun Oil Exports'!AD$164-SUM(BG23:BG27)</f>
        <v>75.398030000000034</v>
      </c>
      <c r="BH28" s="141">
        <f>'[2]Russia Sun Oil Exports'!B$164-SUM(BH23:BH27)</f>
        <v>0</v>
      </c>
      <c r="BI28" s="141">
        <f>'[2]Russia Sun Oil Exports'!C$164-SUM(BI23:BI27)</f>
        <v>0</v>
      </c>
      <c r="BJ28" s="141">
        <f>'[2]Russia Sun Oil Exports'!D$164-SUM(BJ23:BJ27)</f>
        <v>0</v>
      </c>
      <c r="BK28" s="141">
        <f>'[2]Russia Sun Oil Exports'!E$164-SUM(BK23:BK27)</f>
        <v>0</v>
      </c>
      <c r="BL28" s="141">
        <f>'[2]Russia Sun Oil Exports'!F$164-SUM(BL23:BL27)</f>
        <v>0</v>
      </c>
      <c r="BM28" s="141">
        <f>'[2]Russia Sun Oil Exports'!G$164-SUM(BM23:BM27)</f>
        <v>0</v>
      </c>
      <c r="BN28" s="141">
        <f>'[2]Russia Sun Oil Exports'!H$164-SUM(BN23:BN27)</f>
        <v>0</v>
      </c>
      <c r="BO28" s="141">
        <f>'[2]Russia Sun Oil Exports'!I$164-SUM(BO23:BO27)</f>
        <v>2.5000000007935341E-5</v>
      </c>
      <c r="BP28" s="141">
        <f>'[2]Russia Sun Oil Exports'!J$164-SUM(BP23:BP27)</f>
        <v>7.0600000000009544E-4</v>
      </c>
      <c r="BQ28" s="141">
        <f>'[2]Russia Sun Oil Exports'!K$164-SUM(BQ23:BQ27)</f>
        <v>5.7799999999996743E-4</v>
      </c>
      <c r="BR28" s="141">
        <f>'[2]Russia Sun Oil Exports'!L$164-SUM(BR23:BR27)</f>
        <v>1.9179999999963115E-3</v>
      </c>
      <c r="BS28" s="141">
        <f>'[2]Russia Sun Oil Exports'!M$164-SUM(BS23:BS27)</f>
        <v>0</v>
      </c>
      <c r="BT28" s="141">
        <f>'[2]Russia Sun Oil Exports'!N$164-SUM(BT23:BT27)</f>
        <v>2.0379999999999825</v>
      </c>
      <c r="BU28" s="141">
        <f>'[2]Russia Sun Oil Exports'!O$164-SUM(BU23:BU27)</f>
        <v>0.11199999999999477</v>
      </c>
      <c r="BV28" s="141">
        <f>'[2]Russia Sun Oil Exports'!P$164-SUM(BV23:BV27)</f>
        <v>0.28900000000000148</v>
      </c>
      <c r="BW28" s="141">
        <f>'[2]Russia Sun Oil Exports'!Q$164-SUM(BW23:BW27)</f>
        <v>0.68800000000000239</v>
      </c>
      <c r="BX28" s="141">
        <f>'[2]Russia Sun Oil Exports'!R$164-SUM(BX23:BX27)</f>
        <v>5.7670000000000101</v>
      </c>
      <c r="BY28" s="141">
        <f>'[2]Russia Sun Oil Exports'!S$164-SUM(BY23:BY27)</f>
        <v>1</v>
      </c>
      <c r="BZ28" s="141">
        <f>'[2]Russia Sun Oil Exports'!T$164-SUM(BZ23:BZ27)</f>
        <v>31.500999999999976</v>
      </c>
      <c r="CA28" s="141">
        <f>'[2]Russia Sun Oil Exports'!U$164-SUM(CA23:CA27)</f>
        <v>0.117999999999995</v>
      </c>
      <c r="CB28" s="141">
        <f>'[2]Russia Sun Oil Exports'!V$164-SUM(CB23:CB27)</f>
        <v>27.909999999999968</v>
      </c>
      <c r="CC28" s="141">
        <f>'[2]Russia Sun Oil Exports'!W$164-SUM(CC23:CC27)</f>
        <v>51.735999999999962</v>
      </c>
      <c r="CD28" s="141">
        <f>'[2]Russia Sun Oil Exports'!X$164-SUM(CD23:CD27)</f>
        <v>53.385999999999967</v>
      </c>
      <c r="CE28" s="141">
        <f>'[2]Russia Sun Oil Exports'!Y$164-SUM(CE23:CE27)</f>
        <v>91.677899000000025</v>
      </c>
      <c r="CF28" s="141">
        <f>'[2]Russia Sun Oil Exports'!Z$164-SUM(CF23:CF27)</f>
        <v>98.180614999999875</v>
      </c>
      <c r="CG28" s="147">
        <f>'[2]Russia Sun Oil Exports'!AA$164-SUM(CG23:CG27)</f>
        <v>74.177259000000049</v>
      </c>
      <c r="CH28" s="141">
        <f>'[2]Russia Sun Oil Exports'!AB$164-SUM(CH23:CH27)</f>
        <v>93.674808000000098</v>
      </c>
      <c r="CI28" s="141">
        <f>'[2]Russia Sun Oil Exports'!AC$164-SUM(CI23:CI27)</f>
        <v>79.274614000000042</v>
      </c>
      <c r="CJ28" s="143">
        <f>'[2]Russia Sun Oil Exports'!AD$164-SUM(CJ23:CJ27)</f>
        <v>82.317363</v>
      </c>
      <c r="CK28" s="141">
        <f>('[3]Sunflower Oil Exports'!B$164/2204.622*1000)-SUM(CK23:CK27)</f>
        <v>0</v>
      </c>
      <c r="CL28" s="141">
        <f>('[3]Sunflower Oil Exports'!C$164/2204.622*1000)-SUM(CL23:CL27)</f>
        <v>0</v>
      </c>
      <c r="CM28" s="141">
        <f>('[3]Sunflower Oil Exports'!D$164/2204.622*1000)-SUM(CM23:CM27)</f>
        <v>0</v>
      </c>
      <c r="CN28" s="141">
        <f>('[3]Sunflower Oil Exports'!E$164/2204.622*1000)-SUM(CN23:CN27)</f>
        <v>0</v>
      </c>
      <c r="CO28" s="141">
        <f>('[3]Sunflower Oil Exports'!F$164/2204.622*1000)-SUM(CO23:CO27)</f>
        <v>0.44950000000002888</v>
      </c>
      <c r="CP28" s="141">
        <f>('[3]Sunflower Oil Exports'!G$164/2204.622*1000)-SUM(CP23:CP27)</f>
        <v>0</v>
      </c>
      <c r="CQ28" s="141">
        <f>('[3]Sunflower Oil Exports'!H$164/2204.622*1000)-SUM(CQ23:CQ27)</f>
        <v>0</v>
      </c>
      <c r="CR28" s="141">
        <f>('[3]Sunflower Oil Exports'!I$164/2204.622*1000)-SUM(CR23:CR27)</f>
        <v>0</v>
      </c>
      <c r="CS28" s="141">
        <f>('[3]Sunflower Oil Exports'!J$164/2204.622*1000)-SUM(CS23:CS27)</f>
        <v>4.4992000000000019</v>
      </c>
      <c r="CT28" s="141">
        <f>('[3]Sunflower Oil Exports'!K$164/2204.622*1000)-SUM(CT23:CT27)</f>
        <v>2.6386000000000003</v>
      </c>
      <c r="CU28" s="141">
        <f>('[3]Sunflower Oil Exports'!L$164/2204.622*1000)-SUM(CU23:CU27)</f>
        <v>0</v>
      </c>
      <c r="CV28" s="141">
        <f>('[3]Sunflower Oil Exports'!M$164/2204.622*1000)-SUM(CV23:CV27)</f>
        <v>0</v>
      </c>
      <c r="CW28" s="141">
        <f>('[3]Sunflower Oil Exports'!N$164/2204.622*1000)-SUM(CW23:CW27)</f>
        <v>0</v>
      </c>
      <c r="CX28" s="141">
        <f>('[3]Sunflower Oil Exports'!O$164/2204.622*1000)-SUM(CX23:CX27)</f>
        <v>0</v>
      </c>
      <c r="CY28" s="141">
        <f>('[3]Sunflower Oil Exports'!P$164/2204.622*1000)-SUM(CY23:CY27)</f>
        <v>0</v>
      </c>
      <c r="CZ28" s="141">
        <f>('[3]Sunflower Oil Exports'!Q$164/2204.622*1000)-SUM(CZ23:CZ27)</f>
        <v>0</v>
      </c>
      <c r="DA28" s="141">
        <f>('[3]Sunflower Oil Exports'!R$164/2204.622*1000)-SUM(DA23:DA27)</f>
        <v>0</v>
      </c>
      <c r="DB28" s="141">
        <f>('[3]Sunflower Oil Exports'!S$164/2204.622*1000)-SUM(DB23:DB27)</f>
        <v>8.960000000000079E-2</v>
      </c>
      <c r="DC28" s="141">
        <f>('[3]Sunflower Oil Exports'!T$164/2204.622*1000)-SUM(DC23:DC27)</f>
        <v>0.11110000000000003</v>
      </c>
      <c r="DD28" s="141">
        <f>('[3]Sunflower Oil Exports'!U$164/2204.622*1000)-SUM(DD23:DD27)</f>
        <v>0.10420000000000001</v>
      </c>
      <c r="DE28" s="141">
        <f>('[3]Sunflower Oil Exports'!V$164/2204.622*1000)-SUM(DE23:DE27)</f>
        <v>3.5600000000000007E-2</v>
      </c>
      <c r="DF28" s="141">
        <f>('[3]Sunflower Oil Exports'!W$164/2204.622*1000)-SUM(DF23:DF27)</f>
        <v>0</v>
      </c>
      <c r="DG28" s="141">
        <f>('[3]Sunflower Oil Exports'!X$164/2204.622*1000)-SUM(DG23:DG27)</f>
        <v>7.2700000000000001E-2</v>
      </c>
      <c r="DH28" s="141">
        <f>('[3]Sunflower Oil Exports'!Y$164/2204.622*1000)-SUM(DH23:DH27)</f>
        <v>5.0000000000000017E-2</v>
      </c>
      <c r="DI28" s="141">
        <f>('[3]Sunflower Oil Exports'!Z$164/2204.622*1000)-SUM(DI23:DI27)</f>
        <v>9.0017918337021052E-2</v>
      </c>
      <c r="DJ28" s="141">
        <f>('[3]Sunflower Oil Exports'!AA$164/2204.622*1000)-SUM(DJ23:DJ27)</f>
        <v>6.0099945478181752E-4</v>
      </c>
      <c r="DK28" s="141">
        <f>('[3]Sunflower Oil Exports'!AB$164/2204.622*1000)-SUM(DK23:DK27)</f>
        <v>0.14667186694136228</v>
      </c>
      <c r="DL28" s="141">
        <f>('[3]Sunflower Oil Exports'!AC$164/2204.622*1000)-SUM(DL23:DL27)</f>
        <v>0.25014211412205817</v>
      </c>
      <c r="DM28" s="143">
        <v>1.05</v>
      </c>
      <c r="DN28" s="141">
        <f t="shared" si="9"/>
        <v>0</v>
      </c>
      <c r="DO28" s="141">
        <f t="shared" si="9"/>
        <v>0</v>
      </c>
      <c r="DP28" s="141">
        <f t="shared" si="9"/>
        <v>0</v>
      </c>
      <c r="DQ28" s="141">
        <f t="shared" si="9"/>
        <v>12.861000000000047</v>
      </c>
      <c r="DR28" s="141">
        <f t="shared" si="9"/>
        <v>16.429500000000061</v>
      </c>
      <c r="DS28" s="141">
        <f t="shared" si="9"/>
        <v>12.153000000000006</v>
      </c>
      <c r="DT28" s="141">
        <f t="shared" si="9"/>
        <v>7.9950000000000117</v>
      </c>
      <c r="DU28" s="141">
        <f t="shared" si="9"/>
        <v>9.2930250000000107</v>
      </c>
      <c r="DV28" s="141">
        <f t="shared" si="9"/>
        <v>14.327905999999995</v>
      </c>
      <c r="DW28" s="141">
        <f t="shared" si="9"/>
        <v>9.8711780000000005</v>
      </c>
      <c r="DX28" s="141">
        <f t="shared" si="9"/>
        <v>9.8459180000000117</v>
      </c>
      <c r="DY28" s="141">
        <f t="shared" si="9"/>
        <v>5.3190000000000008</v>
      </c>
      <c r="DZ28" s="141">
        <f t="shared" si="9"/>
        <v>12.731999999999974</v>
      </c>
      <c r="EA28" s="141">
        <f t="shared" si="9"/>
        <v>14.389999999999972</v>
      </c>
      <c r="EB28" s="141">
        <f t="shared" si="9"/>
        <v>16.384000000000011</v>
      </c>
      <c r="EC28" s="141">
        <f t="shared" si="8"/>
        <v>20.612000000000034</v>
      </c>
      <c r="ED28" s="141">
        <f t="shared" si="8"/>
        <v>58.685000000000002</v>
      </c>
      <c r="EE28" s="141">
        <f t="shared" si="8"/>
        <v>58.396599999999992</v>
      </c>
      <c r="EF28" s="141">
        <f t="shared" si="10"/>
        <v>95.316100000000006</v>
      </c>
      <c r="EG28" s="141">
        <f t="shared" si="10"/>
        <v>27.575199999999924</v>
      </c>
      <c r="EH28" s="141">
        <f t="shared" si="10"/>
        <v>130.44159999999997</v>
      </c>
      <c r="EI28" s="141">
        <f t="shared" si="10"/>
        <v>148.21699999999998</v>
      </c>
      <c r="EJ28" s="141">
        <f t="shared" si="10"/>
        <v>131.26170000000008</v>
      </c>
      <c r="EK28" s="141">
        <f t="shared" si="10"/>
        <v>198.00278700000001</v>
      </c>
      <c r="EL28" s="141">
        <f t="shared" si="10"/>
        <v>219.64857291833692</v>
      </c>
      <c r="EM28" s="147">
        <f t="shared" si="10"/>
        <v>213.62914799945483</v>
      </c>
      <c r="EN28" s="141">
        <f t="shared" si="10"/>
        <v>348.19429986694149</v>
      </c>
      <c r="EO28" s="141">
        <f t="shared" si="10"/>
        <v>234.94309211412215</v>
      </c>
      <c r="EP28" s="145">
        <f t="shared" si="10"/>
        <v>178.76539300000005</v>
      </c>
      <c r="EQ28" s="145">
        <v>250</v>
      </c>
      <c r="ES28" s="145">
        <f t="shared" si="5"/>
        <v>0</v>
      </c>
      <c r="ET28" s="145">
        <f t="shared" si="6"/>
        <v>0</v>
      </c>
      <c r="EU28" s="145"/>
    </row>
    <row r="29" spans="1:151">
      <c r="A29" s="187" t="s">
        <v>160</v>
      </c>
      <c r="B29" s="141">
        <f>'[2]EU Sun Oil Exports'!B$234</f>
        <v>0</v>
      </c>
      <c r="C29" s="141">
        <f>'[2]EU Sun Oil Exports'!C$234</f>
        <v>0</v>
      </c>
      <c r="D29" s="141">
        <f>'[2]EU Sun Oil Exports'!D$234</f>
        <v>0</v>
      </c>
      <c r="E29" s="141">
        <f>'[2]EU Sun Oil Exports'!E$234</f>
        <v>0</v>
      </c>
      <c r="F29" s="141">
        <f>'[2]EU Sun Oil Exports'!F$234</f>
        <v>0</v>
      </c>
      <c r="G29" s="141">
        <f>'[2]EU Sun Oil Exports'!G$234</f>
        <v>5.4000000000000006E-2</v>
      </c>
      <c r="H29" s="141">
        <f>'[2]EU Sun Oil Exports'!H$234</f>
        <v>0.10100000000000001</v>
      </c>
      <c r="I29" s="141">
        <f>'[2]EU Sun Oil Exports'!I$234</f>
        <v>0.05</v>
      </c>
      <c r="J29" s="141">
        <f>'[2]EU Sun Oil Exports'!J$234</f>
        <v>5.2999999999999999E-2</v>
      </c>
      <c r="K29" s="141">
        <f>'[2]EU Sun Oil Exports'!K$234</f>
        <v>0.125</v>
      </c>
      <c r="L29" s="141">
        <f>'[2]EU Sun Oil Exports'!L$234</f>
        <v>0.17699999999999999</v>
      </c>
      <c r="M29" s="141">
        <f>'[2]EU Sun Oil Exports'!M$234</f>
        <v>0</v>
      </c>
      <c r="N29" s="141">
        <f>'[2]EU Sun Oil Exports'!N$234</f>
        <v>4.0000000000000001E-3</v>
      </c>
      <c r="O29" s="141">
        <f>'[2]EU Sun Oil Exports'!O$234</f>
        <v>0</v>
      </c>
      <c r="P29" s="141">
        <f>'[2]EU Sun Oil Exports'!P$234</f>
        <v>6.0000000000000001E-3</v>
      </c>
      <c r="Q29" s="141">
        <f>'[2]EU Sun Oil Exports'!Q$234</f>
        <v>1.2E-2</v>
      </c>
      <c r="R29" s="141">
        <f>'[2]EU Sun Oil Exports'!R$234</f>
        <v>1E-3</v>
      </c>
      <c r="S29" s="141">
        <f>'[2]EU Sun Oil Exports'!S$234</f>
        <v>0</v>
      </c>
      <c r="T29" s="141">
        <f>'[2]EU Sun Oil Exports'!T$234</f>
        <v>2E-3</v>
      </c>
      <c r="U29" s="141">
        <f>'[2]EU Sun Oil Exports'!U$234</f>
        <v>2E-3</v>
      </c>
      <c r="V29" s="141">
        <f>'[2]EU Sun Oil Exports'!V$234</f>
        <v>0</v>
      </c>
      <c r="W29" s="141">
        <f>'[2]EU Sun Oil Exports'!W$234</f>
        <v>2.1000000000000001E-2</v>
      </c>
      <c r="X29" s="141">
        <f>'[2]EU Sun Oil Exports'!X$234</f>
        <v>2.9000000000000001E-2</v>
      </c>
      <c r="Y29" s="141">
        <f>'[2]EU Sun Oil Exports'!Y$234</f>
        <v>0</v>
      </c>
      <c r="Z29" s="141">
        <f>'[2]EU Sun Oil Exports'!Z$234</f>
        <v>0</v>
      </c>
      <c r="AA29" s="141">
        <f>'[2]EU Sun Oil Exports'!AA$234</f>
        <v>2E-3</v>
      </c>
      <c r="AB29" s="141">
        <f>'[2]EU Sun Oil Exports'!AB$234</f>
        <v>0</v>
      </c>
      <c r="AC29" s="141">
        <f>'[2]EU Sun Oil Exports'!AC$234</f>
        <v>0</v>
      </c>
      <c r="AD29" s="143">
        <f>'[2]EU Sun Oil Exports'!AD$234</f>
        <v>3.0000000000000001E-3</v>
      </c>
      <c r="AE29" s="141">
        <f>'[2]Ukraine Sun Oil Exports'!B$234</f>
        <v>0</v>
      </c>
      <c r="AF29" s="141">
        <f>'[2]Ukraine Sun Oil Exports'!C$234</f>
        <v>0</v>
      </c>
      <c r="AG29" s="141">
        <f>'[2]Ukraine Sun Oil Exports'!D$234</f>
        <v>0</v>
      </c>
      <c r="AH29" s="141">
        <f>'[2]Ukraine Sun Oil Exports'!E$234</f>
        <v>0</v>
      </c>
      <c r="AI29" s="141">
        <f>'[2]Ukraine Sun Oil Exports'!F$234</f>
        <v>0</v>
      </c>
      <c r="AJ29" s="141">
        <f>'[2]Ukraine Sun Oil Exports'!G$234</f>
        <v>0</v>
      </c>
      <c r="AK29" s="141">
        <f>'[2]Ukraine Sun Oil Exports'!H$234</f>
        <v>0</v>
      </c>
      <c r="AL29" s="141">
        <f>'[2]Ukraine Sun Oil Exports'!I$234</f>
        <v>0</v>
      </c>
      <c r="AM29" s="141">
        <f>'[2]Ukraine Sun Oil Exports'!J$234</f>
        <v>0</v>
      </c>
      <c r="AN29" s="141">
        <f>'[2]Ukraine Sun Oil Exports'!K$234</f>
        <v>0</v>
      </c>
      <c r="AO29" s="141">
        <f>'[2]Ukraine Sun Oil Exports'!L$234</f>
        <v>0</v>
      </c>
      <c r="AP29" s="141">
        <f>'[2]Ukraine Sun Oil Exports'!M$234</f>
        <v>0</v>
      </c>
      <c r="AQ29" s="141">
        <f>'[2]Ukraine Sun Oil Exports'!N$234</f>
        <v>0</v>
      </c>
      <c r="AR29" s="141">
        <f>'[2]Ukraine Sun Oil Exports'!O$234</f>
        <v>0</v>
      </c>
      <c r="AS29" s="141">
        <f>'[2]Ukraine Sun Oil Exports'!P$234</f>
        <v>0</v>
      </c>
      <c r="AT29" s="141">
        <f>'[2]Ukraine Sun Oil Exports'!Q$234</f>
        <v>0</v>
      </c>
      <c r="AU29" s="141">
        <f>'[2]Ukraine Sun Oil Exports'!R$234</f>
        <v>0</v>
      </c>
      <c r="AV29" s="141">
        <f>'[2]Ukraine Sun Oil Exports'!S$234</f>
        <v>0</v>
      </c>
      <c r="AW29" s="141">
        <f>'[2]Ukraine Sun Oil Exports'!T$234</f>
        <v>0</v>
      </c>
      <c r="AX29" s="141">
        <f>'[2]Ukraine Sun Oil Exports'!U$234</f>
        <v>0</v>
      </c>
      <c r="AY29" s="141">
        <f>'[2]Ukraine Sun Oil Exports'!V$234</f>
        <v>0</v>
      </c>
      <c r="AZ29" s="141">
        <f>'[2]Ukraine Sun Oil Exports'!W$234</f>
        <v>0</v>
      </c>
      <c r="BA29" s="141">
        <f>'[2]Ukraine Sun Oil Exports'!X$234</f>
        <v>0</v>
      </c>
      <c r="BB29" s="141">
        <f>'[2]Ukraine Sun Oil Exports'!Y$234</f>
        <v>0</v>
      </c>
      <c r="BC29" s="141">
        <f>'[2]Ukraine Sun Oil Exports'!Z$234</f>
        <v>0</v>
      </c>
      <c r="BD29" s="141">
        <f>'[2]Ukraine Sun Oil Exports'!AA$234</f>
        <v>0</v>
      </c>
      <c r="BE29" s="141">
        <f>'[2]Ukraine Sun Oil Exports'!AB$234</f>
        <v>0</v>
      </c>
      <c r="BF29" s="141">
        <f>'[2]Ukraine Sun Oil Exports'!AC$234</f>
        <v>0</v>
      </c>
      <c r="BG29" s="143">
        <f>'[2]Ukraine Sun Oil Exports'!AD$234</f>
        <v>0</v>
      </c>
      <c r="BH29" s="141">
        <f>'[2]Russia Sun Oil Exports'!B$234</f>
        <v>0</v>
      </c>
      <c r="BI29" s="141">
        <f>'[2]Russia Sun Oil Exports'!C$234</f>
        <v>0</v>
      </c>
      <c r="BJ29" s="141">
        <f>'[2]Russia Sun Oil Exports'!D$234</f>
        <v>0</v>
      </c>
      <c r="BK29" s="141">
        <f>'[2]Russia Sun Oil Exports'!E$234</f>
        <v>0</v>
      </c>
      <c r="BL29" s="141">
        <f>'[2]Russia Sun Oil Exports'!F$234</f>
        <v>0</v>
      </c>
      <c r="BM29" s="141">
        <f>'[2]Russia Sun Oil Exports'!G$234</f>
        <v>0</v>
      </c>
      <c r="BN29" s="141">
        <f>'[2]Russia Sun Oil Exports'!H$234</f>
        <v>0</v>
      </c>
      <c r="BO29" s="141">
        <f>'[2]Russia Sun Oil Exports'!I$234</f>
        <v>0</v>
      </c>
      <c r="BP29" s="141">
        <f>'[2]Russia Sun Oil Exports'!J$234</f>
        <v>0</v>
      </c>
      <c r="BQ29" s="141">
        <f>'[2]Russia Sun Oil Exports'!K$234</f>
        <v>0</v>
      </c>
      <c r="BR29" s="141">
        <f>'[2]Russia Sun Oil Exports'!L$234</f>
        <v>0</v>
      </c>
      <c r="BS29" s="141">
        <f>'[2]Russia Sun Oil Exports'!M$234</f>
        <v>0</v>
      </c>
      <c r="BT29" s="141">
        <f>'[2]Russia Sun Oil Exports'!N$234</f>
        <v>0</v>
      </c>
      <c r="BU29" s="141">
        <f>'[2]Russia Sun Oil Exports'!O$234</f>
        <v>0</v>
      </c>
      <c r="BV29" s="141">
        <f>'[2]Russia Sun Oil Exports'!P$234</f>
        <v>0</v>
      </c>
      <c r="BW29" s="141">
        <f>'[2]Russia Sun Oil Exports'!Q$234</f>
        <v>0</v>
      </c>
      <c r="BX29" s="141">
        <f>'[2]Russia Sun Oil Exports'!R$234</f>
        <v>0</v>
      </c>
      <c r="BY29" s="141">
        <f>'[2]Russia Sun Oil Exports'!S$234</f>
        <v>0</v>
      </c>
      <c r="BZ29" s="141">
        <f>'[2]Russia Sun Oil Exports'!T$234</f>
        <v>0</v>
      </c>
      <c r="CA29" s="141">
        <f>'[2]Russia Sun Oil Exports'!U$234</f>
        <v>0</v>
      </c>
      <c r="CB29" s="141">
        <f>'[2]Russia Sun Oil Exports'!V$234</f>
        <v>0</v>
      </c>
      <c r="CC29" s="141">
        <f>'[2]Russia Sun Oil Exports'!W$234</f>
        <v>0</v>
      </c>
      <c r="CD29" s="141">
        <f>'[2]Russia Sun Oil Exports'!X$234</f>
        <v>0</v>
      </c>
      <c r="CE29" s="141">
        <f>'[2]Russia Sun Oil Exports'!Y$234</f>
        <v>0</v>
      </c>
      <c r="CF29" s="141">
        <f>'[2]Russia Sun Oil Exports'!Z$234</f>
        <v>0</v>
      </c>
      <c r="CG29" s="147">
        <f>'[2]Russia Sun Oil Exports'!AA$234</f>
        <v>0</v>
      </c>
      <c r="CH29" s="141">
        <f>'[2]Russia Sun Oil Exports'!AB$234</f>
        <v>0</v>
      </c>
      <c r="CI29" s="141">
        <f>'[2]Russia Sun Oil Exports'!AC$234</f>
        <v>0</v>
      </c>
      <c r="CJ29" s="143">
        <f>'[2]Russia Sun Oil Exports'!AD$234</f>
        <v>0</v>
      </c>
      <c r="CK29" s="141">
        <f>'[3]Sunflower Oil Exports'!B$234/2204.622*1000</f>
        <v>0</v>
      </c>
      <c r="CL29" s="141">
        <f>'[3]Sunflower Oil Exports'!C$234/2204.622*1000</f>
        <v>0</v>
      </c>
      <c r="CM29" s="141">
        <f>'[3]Sunflower Oil Exports'!D$234/2204.622*1000</f>
        <v>0</v>
      </c>
      <c r="CN29" s="141">
        <f>'[3]Sunflower Oil Exports'!E$234/2204.622*1000</f>
        <v>0</v>
      </c>
      <c r="CO29" s="141">
        <f>'[3]Sunflower Oil Exports'!F$234/2204.622*1000</f>
        <v>0</v>
      </c>
      <c r="CP29" s="141">
        <f>'[3]Sunflower Oil Exports'!G$234/2204.622*1000</f>
        <v>0</v>
      </c>
      <c r="CQ29" s="141">
        <f>'[3]Sunflower Oil Exports'!H$234/2204.622*1000</f>
        <v>0</v>
      </c>
      <c r="CR29" s="141">
        <f>'[3]Sunflower Oil Exports'!I$234/2204.622*1000</f>
        <v>0</v>
      </c>
      <c r="CS29" s="141">
        <f>'[3]Sunflower Oil Exports'!J$234/2204.622*1000</f>
        <v>0</v>
      </c>
      <c r="CT29" s="141">
        <f>'[3]Sunflower Oil Exports'!K$234/2204.622*1000</f>
        <v>0</v>
      </c>
      <c r="CU29" s="141">
        <f>'[3]Sunflower Oil Exports'!L$234/2204.622*1000</f>
        <v>0</v>
      </c>
      <c r="CV29" s="141">
        <f>'[3]Sunflower Oil Exports'!M$234/2204.622*1000</f>
        <v>0</v>
      </c>
      <c r="CW29" s="141">
        <f>'[3]Sunflower Oil Exports'!N$234/2204.622*1000</f>
        <v>0</v>
      </c>
      <c r="CX29" s="141">
        <f>'[3]Sunflower Oil Exports'!O$234/2204.622*1000</f>
        <v>0</v>
      </c>
      <c r="CY29" s="141">
        <f>'[3]Sunflower Oil Exports'!P$234/2204.622*1000</f>
        <v>1.1000000000000001E-3</v>
      </c>
      <c r="CZ29" s="141">
        <f>'[3]Sunflower Oil Exports'!Q$234/2204.622*1000</f>
        <v>3.4000000000000002E-3</v>
      </c>
      <c r="DA29" s="141">
        <f>'[3]Sunflower Oil Exports'!R$234/2204.622*1000</f>
        <v>0</v>
      </c>
      <c r="DB29" s="141">
        <f>'[3]Sunflower Oil Exports'!S$234/2204.622*1000</f>
        <v>0</v>
      </c>
      <c r="DC29" s="141">
        <f>'[3]Sunflower Oil Exports'!T$234/2204.622*1000</f>
        <v>0</v>
      </c>
      <c r="DD29" s="141">
        <f>'[3]Sunflower Oil Exports'!U$234/2204.622*1000</f>
        <v>0</v>
      </c>
      <c r="DE29" s="141">
        <f>'[3]Sunflower Oil Exports'!V$234/2204.622*1000</f>
        <v>0</v>
      </c>
      <c r="DF29" s="141">
        <f>'[3]Sunflower Oil Exports'!W$234/2204.622*1000</f>
        <v>0</v>
      </c>
      <c r="DG29" s="141">
        <f>'[3]Sunflower Oil Exports'!X$234/2204.622*1000</f>
        <v>0</v>
      </c>
      <c r="DH29" s="141">
        <f>'[3]Sunflower Oil Exports'!Y$234/2204.622*1000</f>
        <v>0</v>
      </c>
      <c r="DI29" s="141">
        <f>'[3]Sunflower Oil Exports'!Z$234/2204.622*1000</f>
        <v>3.9065964559910953E-2</v>
      </c>
      <c r="DJ29" s="141">
        <f>'[3]Sunflower Oil Exports'!AA$234/2204.622*1000</f>
        <v>0</v>
      </c>
      <c r="DK29" s="141">
        <f>'[3]Sunflower Oil Exports'!AB$234/2204.622*1000</f>
        <v>0.46549657770810604</v>
      </c>
      <c r="DL29" s="141">
        <f>'[3]Sunflower Oil Exports'!AC$234/2204.622*1000</f>
        <v>2.2861061896325085E-3</v>
      </c>
      <c r="DM29" s="143">
        <f>'[3]Sunflower Oil Exports'!AD$234/2204.622*1000</f>
        <v>0</v>
      </c>
      <c r="DN29" s="141">
        <f t="shared" si="9"/>
        <v>0</v>
      </c>
      <c r="DO29" s="141">
        <f t="shared" si="9"/>
        <v>0</v>
      </c>
      <c r="DP29" s="141">
        <f t="shared" si="9"/>
        <v>0</v>
      </c>
      <c r="DQ29" s="141">
        <f t="shared" si="9"/>
        <v>0</v>
      </c>
      <c r="DR29" s="141">
        <f t="shared" si="9"/>
        <v>0</v>
      </c>
      <c r="DS29" s="141">
        <f t="shared" si="9"/>
        <v>5.4000000000000006E-2</v>
      </c>
      <c r="DT29" s="141">
        <f t="shared" si="9"/>
        <v>0.10100000000000001</v>
      </c>
      <c r="DU29" s="141">
        <f t="shared" si="9"/>
        <v>0.05</v>
      </c>
      <c r="DV29" s="141">
        <f t="shared" si="9"/>
        <v>5.2999999999999999E-2</v>
      </c>
      <c r="DW29" s="141">
        <f t="shared" si="9"/>
        <v>0.125</v>
      </c>
      <c r="DX29" s="141">
        <f t="shared" si="9"/>
        <v>0.17699999999999999</v>
      </c>
      <c r="DY29" s="141">
        <f t="shared" si="9"/>
        <v>0</v>
      </c>
      <c r="DZ29" s="141">
        <f t="shared" si="9"/>
        <v>4.0000000000000001E-3</v>
      </c>
      <c r="EA29" s="141">
        <f t="shared" si="9"/>
        <v>0</v>
      </c>
      <c r="EB29" s="141">
        <f t="shared" si="9"/>
        <v>7.1000000000000004E-3</v>
      </c>
      <c r="EC29" s="141">
        <f t="shared" si="8"/>
        <v>1.54E-2</v>
      </c>
      <c r="ED29" s="141">
        <f t="shared" si="8"/>
        <v>1E-3</v>
      </c>
      <c r="EE29" s="141">
        <f t="shared" si="8"/>
        <v>0</v>
      </c>
      <c r="EF29" s="141">
        <f t="shared" si="10"/>
        <v>2E-3</v>
      </c>
      <c r="EG29" s="141">
        <f t="shared" si="10"/>
        <v>2E-3</v>
      </c>
      <c r="EH29" s="141">
        <f t="shared" si="10"/>
        <v>0</v>
      </c>
      <c r="EI29" s="141">
        <f t="shared" si="10"/>
        <v>2.1000000000000001E-2</v>
      </c>
      <c r="EJ29" s="141">
        <f t="shared" si="10"/>
        <v>2.9000000000000001E-2</v>
      </c>
      <c r="EK29" s="141">
        <f t="shared" si="10"/>
        <v>0</v>
      </c>
      <c r="EL29" s="141">
        <f t="shared" si="10"/>
        <v>3.9065964559910953E-2</v>
      </c>
      <c r="EM29" s="147">
        <f t="shared" si="10"/>
        <v>2E-3</v>
      </c>
      <c r="EN29" s="141">
        <f t="shared" si="10"/>
        <v>0.46549657770810604</v>
      </c>
      <c r="EO29" s="141">
        <f t="shared" si="10"/>
        <v>2.2861061896325085E-3</v>
      </c>
      <c r="EP29" s="145">
        <f t="shared" si="10"/>
        <v>3.0000000000000001E-3</v>
      </c>
      <c r="EQ29" s="145">
        <v>0</v>
      </c>
      <c r="ES29" s="145">
        <f t="shared" si="5"/>
        <v>0</v>
      </c>
      <c r="ET29" s="145">
        <f t="shared" si="6"/>
        <v>0</v>
      </c>
      <c r="EU29" s="145"/>
    </row>
    <row r="30" spans="1:151">
      <c r="A30" s="187" t="s">
        <v>161</v>
      </c>
      <c r="B30" s="141">
        <f>'[2]EU Sun Oil Exports'!B$241</f>
        <v>0</v>
      </c>
      <c r="C30" s="141">
        <f>'[2]EU Sun Oil Exports'!C$241</f>
        <v>0</v>
      </c>
      <c r="D30" s="141">
        <f>'[2]EU Sun Oil Exports'!D$241</f>
        <v>0</v>
      </c>
      <c r="E30" s="141">
        <f>'[2]EU Sun Oil Exports'!E$241</f>
        <v>2E-3</v>
      </c>
      <c r="F30" s="141">
        <f>'[2]EU Sun Oil Exports'!F$241</f>
        <v>8.0000000000000002E-3</v>
      </c>
      <c r="G30" s="141">
        <f>'[2]EU Sun Oil Exports'!G$241</f>
        <v>1.4999999999999999E-2</v>
      </c>
      <c r="H30" s="141">
        <f>'[2]EU Sun Oil Exports'!H$241</f>
        <v>5.0000000000000001E-3</v>
      </c>
      <c r="I30" s="141">
        <f>'[2]EU Sun Oil Exports'!I$241</f>
        <v>0</v>
      </c>
      <c r="J30" s="141">
        <f>'[2]EU Sun Oil Exports'!J$241</f>
        <v>0</v>
      </c>
      <c r="K30" s="141">
        <f>'[2]EU Sun Oil Exports'!K$241</f>
        <v>3.5000000000000003E-2</v>
      </c>
      <c r="L30" s="141">
        <f>'[2]EU Sun Oil Exports'!L$241</f>
        <v>7.2999999999999995E-2</v>
      </c>
      <c r="M30" s="141">
        <f>'[2]EU Sun Oil Exports'!M$241</f>
        <v>0.126</v>
      </c>
      <c r="N30" s="141">
        <f>'[2]EU Sun Oil Exports'!N$241</f>
        <v>0.44799999999999995</v>
      </c>
      <c r="O30" s="141">
        <f>'[2]EU Sun Oil Exports'!O$241</f>
        <v>0.44800000000000001</v>
      </c>
      <c r="P30" s="141">
        <f>'[2]EU Sun Oil Exports'!P$241</f>
        <v>0.502</v>
      </c>
      <c r="Q30" s="141">
        <f>'[2]EU Sun Oil Exports'!Q$241</f>
        <v>6.5000000000000002E-2</v>
      </c>
      <c r="R30" s="141">
        <f>'[2]EU Sun Oil Exports'!R$241</f>
        <v>0.29900000000000004</v>
      </c>
      <c r="S30" s="141">
        <f>'[2]EU Sun Oil Exports'!S$241</f>
        <v>0.40599999999999997</v>
      </c>
      <c r="T30" s="141">
        <f>'[2]EU Sun Oil Exports'!T$241</f>
        <v>0.53999999999999992</v>
      </c>
      <c r="U30" s="141">
        <f>'[2]EU Sun Oil Exports'!U$241</f>
        <v>0.30199999999999999</v>
      </c>
      <c r="V30" s="141">
        <f>'[2]EU Sun Oil Exports'!V$241</f>
        <v>0.60299999999999998</v>
      </c>
      <c r="W30" s="141">
        <f>'[2]EU Sun Oil Exports'!W$241</f>
        <v>0.62000000000000011</v>
      </c>
      <c r="X30" s="141">
        <f>'[2]EU Sun Oil Exports'!X$241</f>
        <v>0.433</v>
      </c>
      <c r="Y30" s="141">
        <f>'[2]EU Sun Oil Exports'!Y$241</f>
        <v>0.29200000000000004</v>
      </c>
      <c r="Z30" s="141">
        <f>'[2]EU Sun Oil Exports'!Z$241</f>
        <v>0.65100000000000013</v>
      </c>
      <c r="AA30" s="141">
        <f>'[2]EU Sun Oil Exports'!AA$241</f>
        <v>0.80800000000000005</v>
      </c>
      <c r="AB30" s="141">
        <f>'[2]EU Sun Oil Exports'!AB$241</f>
        <v>1.3879999999999999</v>
      </c>
      <c r="AC30" s="141">
        <f>'[2]EU Sun Oil Exports'!AC$241</f>
        <v>1.038</v>
      </c>
      <c r="AD30" s="143">
        <f>'[2]EU Sun Oil Exports'!AD$241</f>
        <v>0.69302600000000003</v>
      </c>
      <c r="AE30" s="141">
        <f>'[2]Ukraine Sun Oil Exports'!B$241</f>
        <v>0</v>
      </c>
      <c r="AF30" s="141">
        <f>'[2]Ukraine Sun Oil Exports'!C$241</f>
        <v>0</v>
      </c>
      <c r="AG30" s="141">
        <f>'[2]Ukraine Sun Oil Exports'!D$241</f>
        <v>0</v>
      </c>
      <c r="AH30" s="141">
        <f>'[2]Ukraine Sun Oil Exports'!E$241</f>
        <v>0</v>
      </c>
      <c r="AI30" s="141">
        <f>'[2]Ukraine Sun Oil Exports'!F$241</f>
        <v>0</v>
      </c>
      <c r="AJ30" s="141">
        <f>'[2]Ukraine Sun Oil Exports'!G$241</f>
        <v>0</v>
      </c>
      <c r="AK30" s="141">
        <f>'[2]Ukraine Sun Oil Exports'!H$241</f>
        <v>0</v>
      </c>
      <c r="AL30" s="141">
        <f>'[2]Ukraine Sun Oil Exports'!I$241</f>
        <v>0</v>
      </c>
      <c r="AM30" s="141">
        <f>'[2]Ukraine Sun Oil Exports'!J$241</f>
        <v>0</v>
      </c>
      <c r="AN30" s="141">
        <f>'[2]Ukraine Sun Oil Exports'!K$241</f>
        <v>0</v>
      </c>
      <c r="AO30" s="141">
        <f>'[2]Ukraine Sun Oil Exports'!L$241</f>
        <v>0</v>
      </c>
      <c r="AP30" s="141">
        <f>'[2]Ukraine Sun Oil Exports'!M$241</f>
        <v>0</v>
      </c>
      <c r="AQ30" s="141">
        <f>'[2]Ukraine Sun Oil Exports'!N$241</f>
        <v>0</v>
      </c>
      <c r="AR30" s="141">
        <f>'[2]Ukraine Sun Oil Exports'!O$241</f>
        <v>0</v>
      </c>
      <c r="AS30" s="141">
        <f>'[2]Ukraine Sun Oil Exports'!P$241</f>
        <v>0</v>
      </c>
      <c r="AT30" s="141">
        <f>'[2]Ukraine Sun Oil Exports'!Q$241</f>
        <v>0</v>
      </c>
      <c r="AU30" s="141">
        <f>'[2]Ukraine Sun Oil Exports'!R$241</f>
        <v>0</v>
      </c>
      <c r="AV30" s="141">
        <f>'[2]Ukraine Sun Oil Exports'!S$241</f>
        <v>0</v>
      </c>
      <c r="AW30" s="141">
        <f>'[2]Ukraine Sun Oil Exports'!T$241</f>
        <v>0</v>
      </c>
      <c r="AX30" s="141">
        <f>'[2]Ukraine Sun Oil Exports'!U$241</f>
        <v>0</v>
      </c>
      <c r="AY30" s="141">
        <f>'[2]Ukraine Sun Oil Exports'!V$241</f>
        <v>0.60499999999999998</v>
      </c>
      <c r="AZ30" s="141">
        <f>'[2]Ukraine Sun Oil Exports'!W$241</f>
        <v>0</v>
      </c>
      <c r="BA30" s="141">
        <f>'[2]Ukraine Sun Oil Exports'!X$241</f>
        <v>0</v>
      </c>
      <c r="BB30" s="141">
        <f>'[2]Ukraine Sun Oil Exports'!Y$241</f>
        <v>0</v>
      </c>
      <c r="BC30" s="141">
        <f>'[2]Ukraine Sun Oil Exports'!Z$241</f>
        <v>0</v>
      </c>
      <c r="BD30" s="141">
        <f>'[2]Ukraine Sun Oil Exports'!AA$241</f>
        <v>0</v>
      </c>
      <c r="BE30" s="141">
        <f>'[2]Ukraine Sun Oil Exports'!AB$241</f>
        <v>0.11984</v>
      </c>
      <c r="BF30" s="141">
        <f>'[2]Ukraine Sun Oil Exports'!AC$241</f>
        <v>0</v>
      </c>
      <c r="BG30" s="143">
        <f>'[2]Ukraine Sun Oil Exports'!AD$241</f>
        <v>0</v>
      </c>
      <c r="BH30" s="141">
        <f>'[2]Russia Sun Oil Exports'!B$241</f>
        <v>0</v>
      </c>
      <c r="BI30" s="141">
        <f>'[2]Russia Sun Oil Exports'!C$241</f>
        <v>0</v>
      </c>
      <c r="BJ30" s="141">
        <f>'[2]Russia Sun Oil Exports'!D$241</f>
        <v>0</v>
      </c>
      <c r="BK30" s="141">
        <f>'[2]Russia Sun Oil Exports'!E$241</f>
        <v>0</v>
      </c>
      <c r="BL30" s="141">
        <f>'[2]Russia Sun Oil Exports'!F$241</f>
        <v>0</v>
      </c>
      <c r="BM30" s="141">
        <f>'[2]Russia Sun Oil Exports'!G$241</f>
        <v>0</v>
      </c>
      <c r="BN30" s="141">
        <f>'[2]Russia Sun Oil Exports'!H$241</f>
        <v>0</v>
      </c>
      <c r="BO30" s="141">
        <f>'[2]Russia Sun Oil Exports'!I$241</f>
        <v>0</v>
      </c>
      <c r="BP30" s="141">
        <f>'[2]Russia Sun Oil Exports'!J$241</f>
        <v>0</v>
      </c>
      <c r="BQ30" s="141">
        <f>'[2]Russia Sun Oil Exports'!K$241</f>
        <v>0</v>
      </c>
      <c r="BR30" s="141">
        <f>'[2]Russia Sun Oil Exports'!L$241</f>
        <v>0</v>
      </c>
      <c r="BS30" s="141">
        <f>'[2]Russia Sun Oil Exports'!M$241</f>
        <v>0</v>
      </c>
      <c r="BT30" s="141">
        <f>'[2]Russia Sun Oil Exports'!N$241</f>
        <v>0</v>
      </c>
      <c r="BU30" s="141">
        <f>'[2]Russia Sun Oil Exports'!O$241</f>
        <v>0</v>
      </c>
      <c r="BV30" s="141">
        <f>'[2]Russia Sun Oil Exports'!P$241</f>
        <v>0</v>
      </c>
      <c r="BW30" s="141">
        <f>'[2]Russia Sun Oil Exports'!Q$241</f>
        <v>0</v>
      </c>
      <c r="BX30" s="141">
        <f>'[2]Russia Sun Oil Exports'!R$241</f>
        <v>0</v>
      </c>
      <c r="BY30" s="141">
        <f>'[2]Russia Sun Oil Exports'!S$241</f>
        <v>0</v>
      </c>
      <c r="BZ30" s="141">
        <f>'[2]Russia Sun Oil Exports'!T$241</f>
        <v>0</v>
      </c>
      <c r="CA30" s="141">
        <f>'[2]Russia Sun Oil Exports'!U$241</f>
        <v>0</v>
      </c>
      <c r="CB30" s="141">
        <f>'[2]Russia Sun Oil Exports'!V$241</f>
        <v>0</v>
      </c>
      <c r="CC30" s="141">
        <f>'[2]Russia Sun Oil Exports'!W$241</f>
        <v>0</v>
      </c>
      <c r="CD30" s="141">
        <f>'[2]Russia Sun Oil Exports'!X$241</f>
        <v>0</v>
      </c>
      <c r="CE30" s="141">
        <f>'[2]Russia Sun Oil Exports'!Y$241</f>
        <v>4.1E-5</v>
      </c>
      <c r="CF30" s="141">
        <f>'[2]Russia Sun Oil Exports'!Z$241</f>
        <v>0</v>
      </c>
      <c r="CG30" s="147">
        <f>'[2]Russia Sun Oil Exports'!AA$241</f>
        <v>0</v>
      </c>
      <c r="CH30" s="141">
        <f>'[2]Russia Sun Oil Exports'!AB$241</f>
        <v>0</v>
      </c>
      <c r="CI30" s="141">
        <f>'[2]Russia Sun Oil Exports'!AC$241</f>
        <v>0</v>
      </c>
      <c r="CJ30" s="143">
        <f>'[2]Russia Sun Oil Exports'!AD$241</f>
        <v>0</v>
      </c>
      <c r="CK30" s="141">
        <f>'[3]Sunflower Oil Exports'!B$241/2204.622*1000</f>
        <v>0</v>
      </c>
      <c r="CL30" s="141">
        <f>'[3]Sunflower Oil Exports'!C$241/2204.622*1000</f>
        <v>0</v>
      </c>
      <c r="CM30" s="141">
        <f>'[3]Sunflower Oil Exports'!D$241/2204.622*1000</f>
        <v>0</v>
      </c>
      <c r="CN30" s="141">
        <f>'[3]Sunflower Oil Exports'!E$241/2204.622*1000</f>
        <v>0</v>
      </c>
      <c r="CO30" s="141">
        <f>'[3]Sunflower Oil Exports'!F$241/2204.622*1000</f>
        <v>0</v>
      </c>
      <c r="CP30" s="141">
        <f>'[3]Sunflower Oil Exports'!G$241/2204.622*1000</f>
        <v>0</v>
      </c>
      <c r="CQ30" s="141">
        <f>'[3]Sunflower Oil Exports'!H$241/2204.622*1000</f>
        <v>3.3E-3</v>
      </c>
      <c r="CR30" s="141">
        <f>'[3]Sunflower Oil Exports'!I$241/2204.622*1000</f>
        <v>0</v>
      </c>
      <c r="CS30" s="141">
        <f>'[3]Sunflower Oil Exports'!J$241/2204.622*1000</f>
        <v>0</v>
      </c>
      <c r="CT30" s="141">
        <f>'[3]Sunflower Oil Exports'!K$241/2204.622*1000</f>
        <v>0</v>
      </c>
      <c r="CU30" s="141">
        <f>'[3]Sunflower Oil Exports'!L$241/2204.622*1000</f>
        <v>3.9300000000000002E-2</v>
      </c>
      <c r="CV30" s="141">
        <f>'[3]Sunflower Oil Exports'!M$241/2204.622*1000</f>
        <v>0</v>
      </c>
      <c r="CW30" s="141">
        <f>'[3]Sunflower Oil Exports'!N$241/2204.622*1000</f>
        <v>2.3E-3</v>
      </c>
      <c r="CX30" s="141">
        <f>'[3]Sunflower Oil Exports'!O$241/2204.622*1000</f>
        <v>0.1361</v>
      </c>
      <c r="CY30" s="141">
        <f>'[3]Sunflower Oil Exports'!P$241/2204.622*1000</f>
        <v>0.20410000000000003</v>
      </c>
      <c r="CZ30" s="141">
        <f>'[3]Sunflower Oil Exports'!Q$241/2204.622*1000</f>
        <v>1.2800000000000001E-2</v>
      </c>
      <c r="DA30" s="141">
        <f>'[3]Sunflower Oil Exports'!R$241/2204.622*1000</f>
        <v>2.92E-2</v>
      </c>
      <c r="DB30" s="141">
        <f>'[3]Sunflower Oil Exports'!S$241/2204.622*1000</f>
        <v>0.11840000000000001</v>
      </c>
      <c r="DC30" s="141">
        <f>'[3]Sunflower Oil Exports'!T$241/2204.622*1000</f>
        <v>0.02</v>
      </c>
      <c r="DD30" s="141">
        <f>'[3]Sunflower Oil Exports'!U$241/2204.622*1000</f>
        <v>1.5200000000000002E-2</v>
      </c>
      <c r="DE30" s="141">
        <f>'[3]Sunflower Oil Exports'!V$241/2204.622*1000</f>
        <v>0</v>
      </c>
      <c r="DF30" s="141">
        <f>'[3]Sunflower Oil Exports'!W$241/2204.622*1000</f>
        <v>0</v>
      </c>
      <c r="DG30" s="141">
        <f>'[3]Sunflower Oil Exports'!X$241/2204.622*1000</f>
        <v>4.0999999999999995E-3</v>
      </c>
      <c r="DH30" s="141">
        <f>'[3]Sunflower Oil Exports'!Y$241/2204.622*1000</f>
        <v>1.6820994719276141E-2</v>
      </c>
      <c r="DI30" s="141">
        <f>'[3]Sunflower Oil Exports'!Z$241/2204.622*1000</f>
        <v>2.4131978107811682E-2</v>
      </c>
      <c r="DJ30" s="141">
        <f>'[3]Sunflower Oil Exports'!AA$241/2204.622*1000</f>
        <v>3.3877969266386712E-2</v>
      </c>
      <c r="DK30" s="141">
        <f>'[3]Sunflower Oil Exports'!AB$241/2204.622*1000</f>
        <v>8.8829919414756819E-3</v>
      </c>
      <c r="DL30" s="141">
        <f>'[3]Sunflower Oil Exports'!AC$241/2204.622*1000</f>
        <v>3.807287079599133E-2</v>
      </c>
      <c r="DM30" s="143">
        <f>'[3]Sunflower Oil Exports'!AD$241/2204.622*1000</f>
        <v>0</v>
      </c>
      <c r="DN30" s="141">
        <f t="shared" si="9"/>
        <v>0</v>
      </c>
      <c r="DO30" s="141">
        <f t="shared" si="9"/>
        <v>0</v>
      </c>
      <c r="DP30" s="141">
        <f t="shared" si="9"/>
        <v>0</v>
      </c>
      <c r="DQ30" s="141">
        <f t="shared" si="9"/>
        <v>2E-3</v>
      </c>
      <c r="DR30" s="141">
        <f t="shared" si="9"/>
        <v>8.0000000000000002E-3</v>
      </c>
      <c r="DS30" s="141">
        <f t="shared" si="9"/>
        <v>1.4999999999999999E-2</v>
      </c>
      <c r="DT30" s="141">
        <f t="shared" si="9"/>
        <v>8.3000000000000001E-3</v>
      </c>
      <c r="DU30" s="141">
        <f t="shared" si="9"/>
        <v>0</v>
      </c>
      <c r="DV30" s="141">
        <f t="shared" si="9"/>
        <v>0</v>
      </c>
      <c r="DW30" s="141">
        <f t="shared" si="9"/>
        <v>3.5000000000000003E-2</v>
      </c>
      <c r="DX30" s="141">
        <f t="shared" si="9"/>
        <v>0.1123</v>
      </c>
      <c r="DY30" s="141">
        <f t="shared" si="9"/>
        <v>0.126</v>
      </c>
      <c r="DZ30" s="141">
        <f t="shared" si="9"/>
        <v>0.45029999999999998</v>
      </c>
      <c r="EA30" s="141">
        <f t="shared" si="9"/>
        <v>0.58410000000000006</v>
      </c>
      <c r="EB30" s="141">
        <f t="shared" si="9"/>
        <v>0.70610000000000006</v>
      </c>
      <c r="EC30" s="141">
        <f t="shared" si="8"/>
        <v>7.7800000000000008E-2</v>
      </c>
      <c r="ED30" s="141">
        <f t="shared" si="8"/>
        <v>0.32820000000000005</v>
      </c>
      <c r="EE30" s="141">
        <f t="shared" si="8"/>
        <v>0.52439999999999998</v>
      </c>
      <c r="EF30" s="141">
        <f t="shared" si="10"/>
        <v>0.55999999999999994</v>
      </c>
      <c r="EG30" s="141">
        <f t="shared" si="10"/>
        <v>0.31719999999999998</v>
      </c>
      <c r="EH30" s="141">
        <f t="shared" si="10"/>
        <v>1.208</v>
      </c>
      <c r="EI30" s="141">
        <f t="shared" si="10"/>
        <v>0.62000000000000011</v>
      </c>
      <c r="EJ30" s="141">
        <f t="shared" si="10"/>
        <v>0.43709999999999999</v>
      </c>
      <c r="EK30" s="141">
        <f t="shared" si="10"/>
        <v>0.30886199471927617</v>
      </c>
      <c r="EL30" s="141">
        <f t="shared" si="10"/>
        <v>0.67513197810781178</v>
      </c>
      <c r="EM30" s="147">
        <f t="shared" si="10"/>
        <v>0.84187796926638681</v>
      </c>
      <c r="EN30" s="141">
        <f t="shared" si="10"/>
        <v>1.5167229919414755</v>
      </c>
      <c r="EO30" s="141">
        <f t="shared" si="10"/>
        <v>1.0760728707959915</v>
      </c>
      <c r="EP30" s="145">
        <f t="shared" si="10"/>
        <v>0.69302600000000003</v>
      </c>
      <c r="EQ30" s="145">
        <v>0</v>
      </c>
      <c r="ES30" s="145">
        <f t="shared" si="5"/>
        <v>0</v>
      </c>
      <c r="ET30" s="145">
        <f t="shared" si="6"/>
        <v>0</v>
      </c>
      <c r="EU30" s="145"/>
    </row>
    <row r="31" spans="1:151">
      <c r="A31" s="187" t="s">
        <v>162</v>
      </c>
      <c r="B31" s="141">
        <f>'[2]EU Sun Oil Exports'!B$243</f>
        <v>0</v>
      </c>
      <c r="C31" s="141">
        <f>'[2]EU Sun Oil Exports'!C$243</f>
        <v>0</v>
      </c>
      <c r="D31" s="141">
        <f>'[2]EU Sun Oil Exports'!D$243</f>
        <v>0</v>
      </c>
      <c r="E31" s="141">
        <f>'[2]EU Sun Oil Exports'!E$243</f>
        <v>2.0999999999999998E-2</v>
      </c>
      <c r="F31" s="141">
        <f>'[2]EU Sun Oil Exports'!F$243</f>
        <v>0.10700000000000001</v>
      </c>
      <c r="G31" s="141">
        <f>'[2]EU Sun Oil Exports'!G$243</f>
        <v>7.3000000000000009E-2</v>
      </c>
      <c r="H31" s="141">
        <f>'[2]EU Sun Oil Exports'!H$243</f>
        <v>7.4999999999999983E-2</v>
      </c>
      <c r="I31" s="141">
        <f>'[2]EU Sun Oil Exports'!I$243</f>
        <v>7.5999999999999998E-2</v>
      </c>
      <c r="J31" s="141">
        <f>'[2]EU Sun Oil Exports'!J$243</f>
        <v>6.5000000000000002E-2</v>
      </c>
      <c r="K31" s="141">
        <f>'[2]EU Sun Oil Exports'!K$243</f>
        <v>7.6999999999999999E-2</v>
      </c>
      <c r="L31" s="141">
        <f>'[2]EU Sun Oil Exports'!L$243</f>
        <v>7.9000000000000015E-2</v>
      </c>
      <c r="M31" s="141">
        <f>'[2]EU Sun Oil Exports'!M$243</f>
        <v>5.0999999999999997E-2</v>
      </c>
      <c r="N31" s="141">
        <f>'[2]EU Sun Oil Exports'!N$243</f>
        <v>0.14400000000000002</v>
      </c>
      <c r="O31" s="141">
        <f>'[2]EU Sun Oil Exports'!O$243</f>
        <v>0.72000000000000008</v>
      </c>
      <c r="P31" s="141">
        <f>'[2]EU Sun Oil Exports'!P$243</f>
        <v>0.29100000000000004</v>
      </c>
      <c r="Q31" s="141">
        <f>'[2]EU Sun Oil Exports'!Q$243</f>
        <v>0.126</v>
      </c>
      <c r="R31" s="141">
        <f>'[2]EU Sun Oil Exports'!R$243</f>
        <v>0.18099999999999999</v>
      </c>
      <c r="S31" s="141">
        <f>'[2]EU Sun Oil Exports'!S$243</f>
        <v>0.22600000000000001</v>
      </c>
      <c r="T31" s="141">
        <f>'[2]EU Sun Oil Exports'!T$243</f>
        <v>0.17600000000000002</v>
      </c>
      <c r="U31" s="141">
        <f>'[2]EU Sun Oil Exports'!U$243</f>
        <v>0.30900000000000005</v>
      </c>
      <c r="V31" s="141">
        <f>'[2]EU Sun Oil Exports'!V$243</f>
        <v>0.51600000000000001</v>
      </c>
      <c r="W31" s="141">
        <f>'[2]EU Sun Oil Exports'!W$243</f>
        <v>0.71500000000000008</v>
      </c>
      <c r="X31" s="141">
        <f>'[2]EU Sun Oil Exports'!X$243</f>
        <v>0.98399999999999999</v>
      </c>
      <c r="Y31" s="141">
        <f>'[2]EU Sun Oil Exports'!Y$243</f>
        <v>1.8620000000000001</v>
      </c>
      <c r="Z31" s="141">
        <f>'[2]EU Sun Oil Exports'!Z$243</f>
        <v>2.367</v>
      </c>
      <c r="AA31" s="141">
        <f>'[2]EU Sun Oil Exports'!AA$243</f>
        <v>3.1719999999999997</v>
      </c>
      <c r="AB31" s="141">
        <f>'[2]EU Sun Oil Exports'!AB$243</f>
        <v>4.5280000000000005</v>
      </c>
      <c r="AC31" s="141">
        <f>'[2]EU Sun Oil Exports'!AC$243</f>
        <v>3.3680000000000003</v>
      </c>
      <c r="AD31" s="143">
        <f>'[2]EU Sun Oil Exports'!AD$243</f>
        <v>4.5425149999999999</v>
      </c>
      <c r="AE31" s="141">
        <f>'[2]Ukraine Sun Oil Exports'!B$243</f>
        <v>0</v>
      </c>
      <c r="AF31" s="141">
        <f>'[2]Ukraine Sun Oil Exports'!C$243</f>
        <v>0</v>
      </c>
      <c r="AG31" s="141">
        <f>'[2]Ukraine Sun Oil Exports'!D$243</f>
        <v>0</v>
      </c>
      <c r="AH31" s="141">
        <f>'[2]Ukraine Sun Oil Exports'!E$243</f>
        <v>0</v>
      </c>
      <c r="AI31" s="141">
        <f>'[2]Ukraine Sun Oil Exports'!F$243</f>
        <v>0</v>
      </c>
      <c r="AJ31" s="141">
        <f>'[2]Ukraine Sun Oil Exports'!G$243</f>
        <v>0</v>
      </c>
      <c r="AK31" s="141">
        <f>'[2]Ukraine Sun Oil Exports'!H$243</f>
        <v>0</v>
      </c>
      <c r="AL31" s="141">
        <f>'[2]Ukraine Sun Oil Exports'!I$243</f>
        <v>0</v>
      </c>
      <c r="AM31" s="141">
        <f>'[2]Ukraine Sun Oil Exports'!J$243</f>
        <v>2.3973000000000001E-2</v>
      </c>
      <c r="AN31" s="141">
        <f>'[2]Ukraine Sun Oil Exports'!K$243</f>
        <v>2.0999999999999998E-2</v>
      </c>
      <c r="AO31" s="141">
        <f>'[2]Ukraine Sun Oil Exports'!L$243</f>
        <v>3.5999999999999997E-2</v>
      </c>
      <c r="AP31" s="141">
        <f>'[2]Ukraine Sun Oil Exports'!M$243</f>
        <v>3.4000000000000002E-2</v>
      </c>
      <c r="AQ31" s="141">
        <f>'[2]Ukraine Sun Oil Exports'!N$243</f>
        <v>2.9000000000000005E-2</v>
      </c>
      <c r="AR31" s="141">
        <f>'[2]Ukraine Sun Oil Exports'!O$243</f>
        <v>4.9000000000000002E-2</v>
      </c>
      <c r="AS31" s="141">
        <f>'[2]Ukraine Sun Oil Exports'!P$243</f>
        <v>2.1999999999999999E-2</v>
      </c>
      <c r="AT31" s="141">
        <f>'[2]Ukraine Sun Oil Exports'!Q$243</f>
        <v>17.718</v>
      </c>
      <c r="AU31" s="141">
        <f>'[2]Ukraine Sun Oil Exports'!R$243</f>
        <v>0.10199999999999999</v>
      </c>
      <c r="AV31" s="141">
        <f>'[2]Ukraine Sun Oil Exports'!S$243</f>
        <v>0.10900000000000001</v>
      </c>
      <c r="AW31" s="141">
        <f>'[2]Ukraine Sun Oil Exports'!T$243</f>
        <v>0.14599999999999999</v>
      </c>
      <c r="AX31" s="141">
        <f>'[2]Ukraine Sun Oil Exports'!U$243</f>
        <v>0.06</v>
      </c>
      <c r="AY31" s="141">
        <f>'[2]Ukraine Sun Oil Exports'!V$243</f>
        <v>9.1000000000000011E-2</v>
      </c>
      <c r="AZ31" s="141">
        <f>'[2]Ukraine Sun Oil Exports'!W$243</f>
        <v>0.13500000000000001</v>
      </c>
      <c r="BA31" s="141">
        <f>'[2]Ukraine Sun Oil Exports'!X$243</f>
        <v>0.55700000000000005</v>
      </c>
      <c r="BB31" s="141">
        <f>'[2]Ukraine Sun Oil Exports'!Y$243</f>
        <v>1.5370509999999999</v>
      </c>
      <c r="BC31" s="141">
        <f>'[2]Ukraine Sun Oil Exports'!Z$243</f>
        <v>1.1495839999999999</v>
      </c>
      <c r="BD31" s="141">
        <f>'[2]Ukraine Sun Oil Exports'!AA$243</f>
        <v>1.8486339999999999</v>
      </c>
      <c r="BE31" s="141">
        <f>'[2]Ukraine Sun Oil Exports'!AB$243</f>
        <v>2.3855920000000004</v>
      </c>
      <c r="BF31" s="141">
        <f>'[2]Ukraine Sun Oil Exports'!AC$243</f>
        <v>2.4457619999999998</v>
      </c>
      <c r="BG31" s="141">
        <f>'[2]Ukraine Sun Oil Exports'!AD$243</f>
        <v>5.1479999999999997</v>
      </c>
      <c r="BH31" s="141">
        <f>'[2]Russia Sun Oil Exports'!B$243</f>
        <v>0</v>
      </c>
      <c r="BI31" s="141">
        <f>'[2]Russia Sun Oil Exports'!C$243</f>
        <v>0</v>
      </c>
      <c r="BJ31" s="141">
        <f>'[2]Russia Sun Oil Exports'!D$243</f>
        <v>0</v>
      </c>
      <c r="BK31" s="141">
        <f>'[2]Russia Sun Oil Exports'!E$243</f>
        <v>0</v>
      </c>
      <c r="BL31" s="141">
        <f>'[2]Russia Sun Oil Exports'!F$243</f>
        <v>0</v>
      </c>
      <c r="BM31" s="141">
        <f>'[2]Russia Sun Oil Exports'!G$243</f>
        <v>0</v>
      </c>
      <c r="BN31" s="141">
        <f>'[2]Russia Sun Oil Exports'!H$243</f>
        <v>7.6860000000000001E-3</v>
      </c>
      <c r="BO31" s="141">
        <f>'[2]Russia Sun Oil Exports'!I$243</f>
        <v>1.7769999999999999E-3</v>
      </c>
      <c r="BP31" s="141">
        <f>'[2]Russia Sun Oil Exports'!J$243</f>
        <v>6.0400000000000002E-3</v>
      </c>
      <c r="BQ31" s="141">
        <f>'[2]Russia Sun Oil Exports'!K$243</f>
        <v>1.1178E-2</v>
      </c>
      <c r="BR31" s="141">
        <f>'[2]Russia Sun Oil Exports'!L$243</f>
        <v>4.5040000000000002E-3</v>
      </c>
      <c r="BS31" s="141">
        <f>'[2]Russia Sun Oil Exports'!M$243</f>
        <v>9.4620000000000017E-3</v>
      </c>
      <c r="BT31" s="141">
        <f>'[2]Russia Sun Oil Exports'!N$243</f>
        <v>1.2000000000000004E-2</v>
      </c>
      <c r="BU31" s="141">
        <f>'[2]Russia Sun Oil Exports'!O$243</f>
        <v>1.2999999999999999E-2</v>
      </c>
      <c r="BV31" s="141">
        <f>'[2]Russia Sun Oil Exports'!P$243</f>
        <v>2.2000000000000002E-2</v>
      </c>
      <c r="BW31" s="141">
        <f>'[2]Russia Sun Oil Exports'!Q$243</f>
        <v>1.0000000000000002E-2</v>
      </c>
      <c r="BX31" s="141">
        <f>'[2]Russia Sun Oil Exports'!R$243</f>
        <v>9.0000000000000011E-3</v>
      </c>
      <c r="BY31" s="141">
        <f>'[2]Russia Sun Oil Exports'!S$243</f>
        <v>0.01</v>
      </c>
      <c r="BZ31" s="141">
        <f>'[2]Russia Sun Oil Exports'!T$243</f>
        <v>3.0000000000000006E-2</v>
      </c>
      <c r="CA31" s="141">
        <f>'[2]Russia Sun Oil Exports'!U$243</f>
        <v>1.3000000000000001E-2</v>
      </c>
      <c r="CB31" s="141">
        <f>'[2]Russia Sun Oil Exports'!V$243</f>
        <v>5.4999999999999993E-2</v>
      </c>
      <c r="CC31" s="141">
        <f>'[2]Russia Sun Oil Exports'!W$243</f>
        <v>1.6E-2</v>
      </c>
      <c r="CD31" s="141">
        <f>'[2]Russia Sun Oil Exports'!X$243</f>
        <v>1.8000000000000002E-2</v>
      </c>
      <c r="CE31" s="141">
        <f>'[2]Russia Sun Oil Exports'!Y$243</f>
        <v>2.8122000000000001E-2</v>
      </c>
      <c r="CF31" s="141">
        <f>'[2]Russia Sun Oil Exports'!Z$243</f>
        <v>2.2755000000000004E-2</v>
      </c>
      <c r="CG31" s="147">
        <f>'[2]Russia Sun Oil Exports'!AA$243</f>
        <v>1.9165000000000001E-2</v>
      </c>
      <c r="CH31" s="141">
        <f>'[2]Russia Sun Oil Exports'!AB$243</f>
        <v>3.2726999999999999E-2</v>
      </c>
      <c r="CI31" s="141">
        <f>'[2]Russia Sun Oil Exports'!AC$243</f>
        <v>1.2259000000000003E-2</v>
      </c>
      <c r="CJ31" s="143">
        <f>'[2]Russia Sun Oil Exports'!AD$243</f>
        <v>1.0710000000000001E-2</v>
      </c>
      <c r="CK31" s="141">
        <f>'[3]Sunflower Oil Exports'!B$243/2204.622*1000</f>
        <v>13.510100000000001</v>
      </c>
      <c r="CL31" s="141">
        <f>'[3]Sunflower Oil Exports'!C$243/2204.622*1000</f>
        <v>10.349500000000001</v>
      </c>
      <c r="CM31" s="141">
        <f>'[3]Sunflower Oil Exports'!D$243/2204.622*1000</f>
        <v>16.396200000000007</v>
      </c>
      <c r="CN31" s="141">
        <f>'[3]Sunflower Oil Exports'!E$243/2204.622*1000</f>
        <v>11.470499999999999</v>
      </c>
      <c r="CO31" s="141">
        <f>'[3]Sunflower Oil Exports'!F$243/2204.622*1000</f>
        <v>13.6096</v>
      </c>
      <c r="CP31" s="141">
        <f>'[3]Sunflower Oil Exports'!G$243/2204.622*1000</f>
        <v>18.730200000000004</v>
      </c>
      <c r="CQ31" s="141">
        <f>'[3]Sunflower Oil Exports'!H$243/2204.622*1000</f>
        <v>24.037100000000002</v>
      </c>
      <c r="CR31" s="141">
        <f>'[3]Sunflower Oil Exports'!I$243/2204.622*1000</f>
        <v>22.987300000000001</v>
      </c>
      <c r="CS31" s="141">
        <f>'[3]Sunflower Oil Exports'!J$243/2204.622*1000</f>
        <v>24.293800000000001</v>
      </c>
      <c r="CT31" s="141">
        <f>'[3]Sunflower Oil Exports'!K$243/2204.622*1000</f>
        <v>16.753900000000002</v>
      </c>
      <c r="CU31" s="141">
        <f>'[3]Sunflower Oil Exports'!L$243/2204.622*1000</f>
        <v>19.536700000000003</v>
      </c>
      <c r="CV31" s="141">
        <f>'[3]Sunflower Oil Exports'!M$243/2204.622*1000</f>
        <v>40.523300000000006</v>
      </c>
      <c r="CW31" s="141">
        <f>'[3]Sunflower Oil Exports'!N$243/2204.622*1000</f>
        <v>47.819699999999997</v>
      </c>
      <c r="CX31" s="141">
        <f>'[3]Sunflower Oil Exports'!O$243/2204.622*1000</f>
        <v>50.586500000000008</v>
      </c>
      <c r="CY31" s="141">
        <f>'[3]Sunflower Oil Exports'!P$243/2204.622*1000</f>
        <v>60.103900000000003</v>
      </c>
      <c r="CZ31" s="141">
        <f>'[3]Sunflower Oil Exports'!Q$243/2204.622*1000</f>
        <v>76.822599999999994</v>
      </c>
      <c r="DA31" s="141">
        <f>'[3]Sunflower Oil Exports'!R$243/2204.622*1000</f>
        <v>27.853200000000005</v>
      </c>
      <c r="DB31" s="141">
        <f>'[3]Sunflower Oil Exports'!S$243/2204.622*1000</f>
        <v>15.035800000000002</v>
      </c>
      <c r="DC31" s="141">
        <f>'[3]Sunflower Oil Exports'!T$243/2204.622*1000</f>
        <v>13.762800000000002</v>
      </c>
      <c r="DD31" s="141">
        <f>'[3]Sunflower Oil Exports'!U$243/2204.622*1000</f>
        <v>15.148</v>
      </c>
      <c r="DE31" s="141">
        <f>'[3]Sunflower Oil Exports'!V$243/2204.622*1000</f>
        <v>16.553500000000007</v>
      </c>
      <c r="DF31" s="141">
        <f>'[3]Sunflower Oil Exports'!W$243/2204.622*1000</f>
        <v>18.900500000000001</v>
      </c>
      <c r="DG31" s="141">
        <f>'[3]Sunflower Oil Exports'!X$243/2204.622*1000</f>
        <v>18.962000000000003</v>
      </c>
      <c r="DH31" s="141">
        <f>'[3]Sunflower Oil Exports'!Y$243/2204.622*1000</f>
        <v>18.532259086537284</v>
      </c>
      <c r="DI31" s="141">
        <f>'[3]Sunflower Oil Exports'!Z$243/2204.622*1000</f>
        <v>22.048109998267275</v>
      </c>
      <c r="DJ31" s="141">
        <f>'[3]Sunflower Oil Exports'!AA$243/2204.622*1000</f>
        <v>23.506066675629651</v>
      </c>
      <c r="DK31" s="141">
        <f>'[3]Sunflower Oil Exports'!AB$243/2204.622*1000</f>
        <v>34.414822779360826</v>
      </c>
      <c r="DL31" s="141">
        <f>'[3]Sunflower Oil Exports'!AC$243/2204.622*1000</f>
        <v>44.670669899601833</v>
      </c>
      <c r="DM31" s="143">
        <v>40</v>
      </c>
      <c r="DN31" s="141">
        <f t="shared" si="9"/>
        <v>13.510100000000001</v>
      </c>
      <c r="DO31" s="141">
        <f t="shared" si="9"/>
        <v>10.349500000000001</v>
      </c>
      <c r="DP31" s="141">
        <f t="shared" si="9"/>
        <v>16.396200000000007</v>
      </c>
      <c r="DQ31" s="141">
        <f t="shared" si="9"/>
        <v>11.4915</v>
      </c>
      <c r="DR31" s="141">
        <f t="shared" si="9"/>
        <v>13.7166</v>
      </c>
      <c r="DS31" s="141">
        <f t="shared" si="9"/>
        <v>18.803200000000004</v>
      </c>
      <c r="DT31" s="141">
        <f t="shared" si="9"/>
        <v>24.119786000000001</v>
      </c>
      <c r="DU31" s="141">
        <f t="shared" si="9"/>
        <v>23.065077000000002</v>
      </c>
      <c r="DV31" s="141">
        <f t="shared" si="9"/>
        <v>24.388813000000003</v>
      </c>
      <c r="DW31" s="141">
        <f t="shared" si="9"/>
        <v>16.863078000000002</v>
      </c>
      <c r="DX31" s="141">
        <f t="shared" si="9"/>
        <v>19.656204000000002</v>
      </c>
      <c r="DY31" s="141">
        <f t="shared" si="9"/>
        <v>40.617762000000006</v>
      </c>
      <c r="DZ31" s="141">
        <f t="shared" si="9"/>
        <v>48.0047</v>
      </c>
      <c r="EA31" s="141">
        <f t="shared" si="9"/>
        <v>51.368500000000012</v>
      </c>
      <c r="EB31" s="141">
        <f t="shared" si="9"/>
        <v>60.438900000000004</v>
      </c>
      <c r="EC31" s="141">
        <f t="shared" si="8"/>
        <v>94.676599999999993</v>
      </c>
      <c r="ED31" s="141">
        <f t="shared" si="8"/>
        <v>28.145200000000006</v>
      </c>
      <c r="EE31" s="141">
        <f t="shared" si="8"/>
        <v>15.380800000000002</v>
      </c>
      <c r="EF31" s="141">
        <f t="shared" si="10"/>
        <v>14.114800000000002</v>
      </c>
      <c r="EG31" s="141">
        <f t="shared" si="10"/>
        <v>15.53</v>
      </c>
      <c r="EH31" s="141">
        <f t="shared" si="10"/>
        <v>17.215500000000006</v>
      </c>
      <c r="EI31" s="141">
        <f t="shared" si="10"/>
        <v>19.766500000000001</v>
      </c>
      <c r="EJ31" s="141">
        <f t="shared" si="10"/>
        <v>20.521000000000004</v>
      </c>
      <c r="EK31" s="141">
        <f t="shared" si="10"/>
        <v>21.959432086537284</v>
      </c>
      <c r="EL31" s="141">
        <f t="shared" si="10"/>
        <v>25.587448998267277</v>
      </c>
      <c r="EM31" s="147">
        <f t="shared" si="10"/>
        <v>28.545865675629649</v>
      </c>
      <c r="EN31" s="141">
        <f t="shared" si="10"/>
        <v>41.361141779360828</v>
      </c>
      <c r="EO31" s="141">
        <f t="shared" si="10"/>
        <v>50.49669089960183</v>
      </c>
      <c r="EP31" s="145">
        <f>'Canada Sun Complex'!AD34-3</f>
        <v>23</v>
      </c>
      <c r="EQ31" s="145">
        <f>'Canada Sun Complex'!AE34</f>
        <v>27</v>
      </c>
      <c r="ES31" s="145">
        <f t="shared" si="5"/>
        <v>0</v>
      </c>
      <c r="ET31" s="145">
        <f t="shared" si="6"/>
        <v>26.701225000000001</v>
      </c>
      <c r="EU31" s="145"/>
    </row>
    <row r="32" spans="1:151">
      <c r="A32" s="187" t="s">
        <v>163</v>
      </c>
      <c r="B32" s="141">
        <f>'[2]EU Sun Oil Exports'!B$245</f>
        <v>0</v>
      </c>
      <c r="C32" s="141">
        <f>'[2]EU Sun Oil Exports'!C$245</f>
        <v>0</v>
      </c>
      <c r="D32" s="141">
        <f>'[2]EU Sun Oil Exports'!D$245</f>
        <v>0</v>
      </c>
      <c r="E32" s="141">
        <f>'[2]EU Sun Oil Exports'!E$245</f>
        <v>0</v>
      </c>
      <c r="F32" s="141">
        <f>'[2]EU Sun Oil Exports'!F$245</f>
        <v>0</v>
      </c>
      <c r="G32" s="141">
        <f>'[2]EU Sun Oil Exports'!G$245</f>
        <v>5.0000000000000001E-3</v>
      </c>
      <c r="H32" s="141">
        <f>'[2]EU Sun Oil Exports'!H$245</f>
        <v>1.2E-2</v>
      </c>
      <c r="I32" s="141">
        <f>'[2]EU Sun Oil Exports'!I$245</f>
        <v>6.0000000000000001E-3</v>
      </c>
      <c r="J32" s="141">
        <f>'[2]EU Sun Oil Exports'!J$245</f>
        <v>1E-3</v>
      </c>
      <c r="K32" s="141">
        <f>'[2]EU Sun Oil Exports'!K$245</f>
        <v>3.7999999999999999E-2</v>
      </c>
      <c r="L32" s="141">
        <f>'[2]EU Sun Oil Exports'!L$245</f>
        <v>0</v>
      </c>
      <c r="M32" s="141">
        <f>'[2]EU Sun Oil Exports'!M$245</f>
        <v>4.0000000000000001E-3</v>
      </c>
      <c r="N32" s="141">
        <f>'[2]EU Sun Oil Exports'!N$245</f>
        <v>6.0000000000000001E-3</v>
      </c>
      <c r="O32" s="141">
        <f>'[2]EU Sun Oil Exports'!O$245</f>
        <v>0.12</v>
      </c>
      <c r="P32" s="141">
        <f>'[2]EU Sun Oil Exports'!P$245</f>
        <v>8.8999999999999996E-2</v>
      </c>
      <c r="Q32" s="141">
        <f>'[2]EU Sun Oil Exports'!Q$245</f>
        <v>7.0999999999999994E-2</v>
      </c>
      <c r="R32" s="141">
        <f>'[2]EU Sun Oil Exports'!R$245</f>
        <v>0.20500000000000002</v>
      </c>
      <c r="S32" s="141">
        <f>'[2]EU Sun Oil Exports'!S$245</f>
        <v>0.122</v>
      </c>
      <c r="T32" s="141">
        <f>'[2]EU Sun Oil Exports'!T$245</f>
        <v>0.46200000000000008</v>
      </c>
      <c r="U32" s="141">
        <f>'[2]EU Sun Oil Exports'!U$245</f>
        <v>0.7390000000000001</v>
      </c>
      <c r="V32" s="141">
        <f>'[2]EU Sun Oil Exports'!V$245</f>
        <v>0.93300000000000016</v>
      </c>
      <c r="W32" s="141">
        <f>'[2]EU Sun Oil Exports'!W$245</f>
        <v>0.94500000000000006</v>
      </c>
      <c r="X32" s="141">
        <f>'[2]EU Sun Oil Exports'!X$245</f>
        <v>1.7310000000000001</v>
      </c>
      <c r="Y32" s="141">
        <f>'[2]EU Sun Oil Exports'!Y$245</f>
        <v>1.5680000000000001</v>
      </c>
      <c r="Z32" s="141">
        <f>'[2]EU Sun Oil Exports'!Z$245</f>
        <v>2.0929999999999995</v>
      </c>
      <c r="AA32" s="141">
        <f>'[2]EU Sun Oil Exports'!AA$245</f>
        <v>1.7669999999999999</v>
      </c>
      <c r="AB32" s="141">
        <f>'[2]EU Sun Oil Exports'!AB$245</f>
        <v>1.9780000000000002</v>
      </c>
      <c r="AC32" s="141">
        <f>'[2]EU Sun Oil Exports'!AC$245</f>
        <v>1.2710000000000004</v>
      </c>
      <c r="AD32" s="143">
        <f>'[2]EU Sun Oil Exports'!AD$245</f>
        <v>0.92300000000000004</v>
      </c>
      <c r="AE32" s="141">
        <f>'[2]Ukraine Sun Oil Exports'!B$245</f>
        <v>0</v>
      </c>
      <c r="AF32" s="141">
        <f>'[2]Ukraine Sun Oil Exports'!C$245</f>
        <v>0</v>
      </c>
      <c r="AG32" s="141">
        <f>'[2]Ukraine Sun Oil Exports'!D$245</f>
        <v>0</v>
      </c>
      <c r="AH32" s="141">
        <f>'[2]Ukraine Sun Oil Exports'!E$245</f>
        <v>0</v>
      </c>
      <c r="AI32" s="141">
        <f>'[2]Ukraine Sun Oil Exports'!F$245</f>
        <v>0</v>
      </c>
      <c r="AJ32" s="141">
        <f>'[2]Ukraine Sun Oil Exports'!G$245</f>
        <v>0</v>
      </c>
      <c r="AK32" s="141">
        <f>'[2]Ukraine Sun Oil Exports'!H$245</f>
        <v>0</v>
      </c>
      <c r="AL32" s="141">
        <f>'[2]Ukraine Sun Oil Exports'!I$245</f>
        <v>0</v>
      </c>
      <c r="AM32" s="141">
        <f>'[2]Ukraine Sun Oil Exports'!J$245</f>
        <v>0</v>
      </c>
      <c r="AN32" s="141">
        <f>'[2]Ukraine Sun Oil Exports'!K$245</f>
        <v>0</v>
      </c>
      <c r="AO32" s="141">
        <f>'[2]Ukraine Sun Oil Exports'!L$245</f>
        <v>0</v>
      </c>
      <c r="AP32" s="141">
        <f>'[2]Ukraine Sun Oil Exports'!M$245</f>
        <v>0</v>
      </c>
      <c r="AQ32" s="141">
        <f>'[2]Ukraine Sun Oil Exports'!N$245</f>
        <v>0</v>
      </c>
      <c r="AR32" s="141">
        <f>'[2]Ukraine Sun Oil Exports'!O$245</f>
        <v>0</v>
      </c>
      <c r="AS32" s="141">
        <f>'[2]Ukraine Sun Oil Exports'!P$245</f>
        <v>0</v>
      </c>
      <c r="AT32" s="141">
        <f>'[2]Ukraine Sun Oil Exports'!Q$245</f>
        <v>0</v>
      </c>
      <c r="AU32" s="141">
        <f>'[2]Ukraine Sun Oil Exports'!R$245</f>
        <v>0</v>
      </c>
      <c r="AV32" s="141">
        <f>'[2]Ukraine Sun Oil Exports'!S$245</f>
        <v>0</v>
      </c>
      <c r="AW32" s="141">
        <f>'[2]Ukraine Sun Oil Exports'!T$245</f>
        <v>0</v>
      </c>
      <c r="AX32" s="141">
        <f>'[2]Ukraine Sun Oil Exports'!U$245</f>
        <v>0</v>
      </c>
      <c r="AY32" s="141">
        <f>'[2]Ukraine Sun Oil Exports'!V$245</f>
        <v>0</v>
      </c>
      <c r="AZ32" s="141">
        <f>'[2]Ukraine Sun Oil Exports'!W$245</f>
        <v>0</v>
      </c>
      <c r="BA32" s="141">
        <f>'[2]Ukraine Sun Oil Exports'!X$245</f>
        <v>0</v>
      </c>
      <c r="BB32" s="141">
        <f>'[2]Ukraine Sun Oil Exports'!Y$245</f>
        <v>0</v>
      </c>
      <c r="BC32" s="141">
        <f>'[2]Ukraine Sun Oil Exports'!Z$245</f>
        <v>0.40763300000000002</v>
      </c>
      <c r="BD32" s="141">
        <f>'[2]Ukraine Sun Oil Exports'!AA$245</f>
        <v>5.0063999999999997E-2</v>
      </c>
      <c r="BE32" s="141">
        <f>'[2]Ukraine Sun Oil Exports'!AB$245</f>
        <v>0</v>
      </c>
      <c r="BF32" s="141">
        <f>'[2]Ukraine Sun Oil Exports'!AC$245</f>
        <v>0.10343899999999999</v>
      </c>
      <c r="BG32" s="143">
        <f>'[2]Ukraine Sun Oil Exports'!AD$245</f>
        <v>0</v>
      </c>
      <c r="BH32" s="141">
        <f>'[2]Russia Sun Oil Exports'!B$245</f>
        <v>0</v>
      </c>
      <c r="BI32" s="141">
        <f>'[2]Russia Sun Oil Exports'!C$245</f>
        <v>0</v>
      </c>
      <c r="BJ32" s="141">
        <f>'[2]Russia Sun Oil Exports'!D$245</f>
        <v>0</v>
      </c>
      <c r="BK32" s="141">
        <f>'[2]Russia Sun Oil Exports'!E$245</f>
        <v>0</v>
      </c>
      <c r="BL32" s="141">
        <f>'[2]Russia Sun Oil Exports'!F$245</f>
        <v>0</v>
      </c>
      <c r="BM32" s="141">
        <f>'[2]Russia Sun Oil Exports'!G$245</f>
        <v>0</v>
      </c>
      <c r="BN32" s="141">
        <f>'[2]Russia Sun Oil Exports'!H$245</f>
        <v>0</v>
      </c>
      <c r="BO32" s="141">
        <f>'[2]Russia Sun Oil Exports'!I$245</f>
        <v>0</v>
      </c>
      <c r="BP32" s="141">
        <f>'[2]Russia Sun Oil Exports'!J$245</f>
        <v>0</v>
      </c>
      <c r="BQ32" s="141">
        <f>'[2]Russia Sun Oil Exports'!K$245</f>
        <v>0</v>
      </c>
      <c r="BR32" s="141">
        <f>'[2]Russia Sun Oil Exports'!L$245</f>
        <v>0</v>
      </c>
      <c r="BS32" s="141">
        <f>'[2]Russia Sun Oil Exports'!M$245</f>
        <v>0</v>
      </c>
      <c r="BT32" s="141">
        <f>'[2]Russia Sun Oil Exports'!N$245</f>
        <v>0</v>
      </c>
      <c r="BU32" s="141">
        <f>'[2]Russia Sun Oil Exports'!O$245</f>
        <v>0</v>
      </c>
      <c r="BV32" s="141">
        <f>'[2]Russia Sun Oil Exports'!P$245</f>
        <v>0</v>
      </c>
      <c r="BW32" s="141">
        <f>'[2]Russia Sun Oil Exports'!Q$245</f>
        <v>0</v>
      </c>
      <c r="BX32" s="141">
        <f>'[2]Russia Sun Oil Exports'!R$245</f>
        <v>0</v>
      </c>
      <c r="BY32" s="141">
        <f>'[2]Russia Sun Oil Exports'!S$245</f>
        <v>0</v>
      </c>
      <c r="BZ32" s="141">
        <f>'[2]Russia Sun Oil Exports'!T$245</f>
        <v>0</v>
      </c>
      <c r="CA32" s="141">
        <f>'[2]Russia Sun Oil Exports'!U$245</f>
        <v>0</v>
      </c>
      <c r="CB32" s="141">
        <f>'[2]Russia Sun Oil Exports'!V$245</f>
        <v>0</v>
      </c>
      <c r="CC32" s="141">
        <f>'[2]Russia Sun Oil Exports'!W$245</f>
        <v>0</v>
      </c>
      <c r="CD32" s="141">
        <f>'[2]Russia Sun Oil Exports'!X$245</f>
        <v>0</v>
      </c>
      <c r="CE32" s="141">
        <f>'[2]Russia Sun Oil Exports'!Y$245</f>
        <v>0</v>
      </c>
      <c r="CF32" s="141">
        <f>'[2]Russia Sun Oil Exports'!Z$245</f>
        <v>0</v>
      </c>
      <c r="CG32" s="147">
        <f>'[2]Russia Sun Oil Exports'!AA$245</f>
        <v>0</v>
      </c>
      <c r="CH32" s="141">
        <f>'[2]Russia Sun Oil Exports'!AB$245</f>
        <v>0</v>
      </c>
      <c r="CI32" s="141">
        <f>'[2]Russia Sun Oil Exports'!AC$245</f>
        <v>0</v>
      </c>
      <c r="CJ32" s="143">
        <f>'[2]Russia Sun Oil Exports'!AD$245</f>
        <v>0</v>
      </c>
      <c r="CK32" s="141">
        <f>'[3]Sunflower Oil Exports'!B$245/2204.622*1000</f>
        <v>4.000000000000001E-3</v>
      </c>
      <c r="CL32" s="141">
        <f>'[3]Sunflower Oil Exports'!C$245/2204.622*1000</f>
        <v>0</v>
      </c>
      <c r="CM32" s="141">
        <f>'[3]Sunflower Oil Exports'!D$245/2204.622*1000</f>
        <v>3.1000000000000003E-3</v>
      </c>
      <c r="CN32" s="141">
        <f>'[3]Sunflower Oil Exports'!E$245/2204.622*1000</f>
        <v>0</v>
      </c>
      <c r="CO32" s="141">
        <f>'[3]Sunflower Oil Exports'!F$245/2204.622*1000</f>
        <v>0</v>
      </c>
      <c r="CP32" s="141">
        <f>'[3]Sunflower Oil Exports'!G$245/2204.622*1000</f>
        <v>1.2700000000000001E-2</v>
      </c>
      <c r="CQ32" s="141">
        <f>'[3]Sunflower Oil Exports'!H$245/2204.622*1000</f>
        <v>0.27760000000000007</v>
      </c>
      <c r="CR32" s="141">
        <f>'[3]Sunflower Oil Exports'!I$245/2204.622*1000</f>
        <v>0</v>
      </c>
      <c r="CS32" s="141">
        <f>'[3]Sunflower Oil Exports'!J$245/2204.622*1000</f>
        <v>0</v>
      </c>
      <c r="CT32" s="141">
        <f>'[3]Sunflower Oil Exports'!K$245/2204.622*1000</f>
        <v>0</v>
      </c>
      <c r="CU32" s="141">
        <f>'[3]Sunflower Oil Exports'!L$245/2204.622*1000</f>
        <v>0</v>
      </c>
      <c r="CV32" s="141">
        <f>'[3]Sunflower Oil Exports'!M$245/2204.622*1000</f>
        <v>0</v>
      </c>
      <c r="CW32" s="141">
        <f>'[3]Sunflower Oil Exports'!N$245/2204.622*1000</f>
        <v>0.18820000000000003</v>
      </c>
      <c r="CX32" s="141">
        <f>'[3]Sunflower Oil Exports'!O$245/2204.622*1000</f>
        <v>1.1435000000000002</v>
      </c>
      <c r="CY32" s="141">
        <f>'[3]Sunflower Oil Exports'!P$245/2204.622*1000</f>
        <v>1.1757</v>
      </c>
      <c r="CZ32" s="141">
        <f>'[3]Sunflower Oil Exports'!Q$245/2204.622*1000</f>
        <v>7.9100000000000004E-2</v>
      </c>
      <c r="DA32" s="141">
        <f>'[3]Sunflower Oil Exports'!R$245/2204.622*1000</f>
        <v>0</v>
      </c>
      <c r="DB32" s="141">
        <f>'[3]Sunflower Oil Exports'!S$245/2204.622*1000</f>
        <v>1.5600000000000003E-2</v>
      </c>
      <c r="DC32" s="141">
        <f>'[3]Sunflower Oil Exports'!T$245/2204.622*1000</f>
        <v>2.3000000000000004E-3</v>
      </c>
      <c r="DD32" s="141">
        <f>'[3]Sunflower Oil Exports'!U$245/2204.622*1000</f>
        <v>1.8100000000000002E-2</v>
      </c>
      <c r="DE32" s="141">
        <f>'[3]Sunflower Oil Exports'!V$245/2204.622*1000</f>
        <v>3.4000000000000002E-2</v>
      </c>
      <c r="DF32" s="141">
        <f>'[3]Sunflower Oil Exports'!W$245/2204.622*1000</f>
        <v>3.4200000000000001E-2</v>
      </c>
      <c r="DG32" s="141">
        <f>'[3]Sunflower Oil Exports'!X$245/2204.622*1000</f>
        <v>9.0000000000000008E-4</v>
      </c>
      <c r="DH32" s="141">
        <f>'[3]Sunflower Oil Exports'!Y$245/2204.622*1000</f>
        <v>0</v>
      </c>
      <c r="DI32" s="141">
        <f>'[3]Sunflower Oil Exports'!Z$245/2204.622*1000</f>
        <v>0</v>
      </c>
      <c r="DJ32" s="141">
        <f>'[3]Sunflower Oil Exports'!AA$245/2204.622*1000</f>
        <v>2.0395981497054828E-2</v>
      </c>
      <c r="DK32" s="141">
        <f>'[3]Sunflower Oil Exports'!AB$245/2204.622*1000</f>
        <v>1.8375983329568517E-2</v>
      </c>
      <c r="DL32" s="141">
        <f>'[3]Sunflower Oil Exports'!AC$245/2204.622*1000</f>
        <v>0</v>
      </c>
      <c r="DM32" s="143">
        <f>'[3]Sunflower Oil Exports'!AD$245/2204.622*1000</f>
        <v>0</v>
      </c>
      <c r="DN32" s="141">
        <f t="shared" si="9"/>
        <v>4.000000000000001E-3</v>
      </c>
      <c r="DO32" s="141">
        <f t="shared" si="9"/>
        <v>0</v>
      </c>
      <c r="DP32" s="141">
        <f t="shared" si="9"/>
        <v>3.1000000000000003E-3</v>
      </c>
      <c r="DQ32" s="141">
        <f t="shared" si="9"/>
        <v>0</v>
      </c>
      <c r="DR32" s="141">
        <f t="shared" si="9"/>
        <v>0</v>
      </c>
      <c r="DS32" s="141">
        <f t="shared" si="9"/>
        <v>1.77E-2</v>
      </c>
      <c r="DT32" s="141">
        <f t="shared" si="9"/>
        <v>0.28960000000000008</v>
      </c>
      <c r="DU32" s="141">
        <f t="shared" si="9"/>
        <v>6.0000000000000001E-3</v>
      </c>
      <c r="DV32" s="141">
        <f t="shared" si="9"/>
        <v>1E-3</v>
      </c>
      <c r="DW32" s="141">
        <f t="shared" si="9"/>
        <v>3.7999999999999999E-2</v>
      </c>
      <c r="DX32" s="141">
        <f t="shared" si="9"/>
        <v>0</v>
      </c>
      <c r="DY32" s="141">
        <f t="shared" si="9"/>
        <v>4.0000000000000001E-3</v>
      </c>
      <c r="DZ32" s="141">
        <f t="shared" si="9"/>
        <v>0.19420000000000004</v>
      </c>
      <c r="EA32" s="141">
        <f t="shared" si="9"/>
        <v>1.2635000000000001</v>
      </c>
      <c r="EB32" s="141">
        <f t="shared" si="9"/>
        <v>1.2646999999999999</v>
      </c>
      <c r="EC32" s="141">
        <f t="shared" si="8"/>
        <v>0.15010000000000001</v>
      </c>
      <c r="ED32" s="141">
        <f t="shared" si="8"/>
        <v>0.20500000000000002</v>
      </c>
      <c r="EE32" s="141">
        <f t="shared" si="8"/>
        <v>0.1376</v>
      </c>
      <c r="EF32" s="141">
        <f t="shared" si="10"/>
        <v>0.4643000000000001</v>
      </c>
      <c r="EG32" s="141">
        <f t="shared" si="10"/>
        <v>0.75710000000000011</v>
      </c>
      <c r="EH32" s="141">
        <f t="shared" si="10"/>
        <v>0.96700000000000019</v>
      </c>
      <c r="EI32" s="141">
        <f t="shared" si="10"/>
        <v>0.97920000000000007</v>
      </c>
      <c r="EJ32" s="141">
        <f t="shared" si="10"/>
        <v>1.7319</v>
      </c>
      <c r="EK32" s="141">
        <f t="shared" si="10"/>
        <v>1.5680000000000001</v>
      </c>
      <c r="EL32" s="141">
        <f t="shared" si="10"/>
        <v>2.5006329999999997</v>
      </c>
      <c r="EM32" s="147">
        <f t="shared" si="10"/>
        <v>1.8374599814970547</v>
      </c>
      <c r="EN32" s="141">
        <f t="shared" si="10"/>
        <v>1.9963759833295687</v>
      </c>
      <c r="EO32" s="141">
        <f t="shared" si="10"/>
        <v>1.3744390000000004</v>
      </c>
      <c r="EP32" s="145">
        <f t="shared" si="10"/>
        <v>0.92300000000000004</v>
      </c>
      <c r="EQ32" s="145">
        <v>3</v>
      </c>
      <c r="ES32" s="145">
        <f t="shared" si="5"/>
        <v>0</v>
      </c>
      <c r="ET32" s="145">
        <f t="shared" si="6"/>
        <v>0</v>
      </c>
      <c r="EU32" s="145"/>
    </row>
    <row r="33" spans="1:151">
      <c r="A33" s="187" t="s">
        <v>164</v>
      </c>
      <c r="B33" s="141">
        <f>'[2]EU Sun Oil Exports'!B$246</f>
        <v>0</v>
      </c>
      <c r="C33" s="141">
        <f>'[2]EU Sun Oil Exports'!C$246</f>
        <v>0</v>
      </c>
      <c r="D33" s="141">
        <f>'[2]EU Sun Oil Exports'!D$246</f>
        <v>0</v>
      </c>
      <c r="E33" s="141">
        <f>'[2]EU Sun Oil Exports'!E$246</f>
        <v>0</v>
      </c>
      <c r="F33" s="141">
        <f>'[2]EU Sun Oil Exports'!F$246</f>
        <v>0.02</v>
      </c>
      <c r="G33" s="141">
        <f>'[2]EU Sun Oil Exports'!G$246</f>
        <v>5.2000000000000005E-2</v>
      </c>
      <c r="H33" s="141">
        <f>'[2]EU Sun Oil Exports'!H$246</f>
        <v>4.0000000000000001E-3</v>
      </c>
      <c r="I33" s="141">
        <f>'[2]EU Sun Oil Exports'!I$246</f>
        <v>6.0000000000000001E-3</v>
      </c>
      <c r="J33" s="141">
        <f>'[2]EU Sun Oil Exports'!J$246</f>
        <v>1.0999999999999999E-2</v>
      </c>
      <c r="K33" s="141">
        <f>'[2]EU Sun Oil Exports'!K$246</f>
        <v>0</v>
      </c>
      <c r="L33" s="141">
        <f>'[2]EU Sun Oil Exports'!L$246</f>
        <v>6.6000000000000003E-2</v>
      </c>
      <c r="M33" s="141">
        <f>'[2]EU Sun Oil Exports'!M$246</f>
        <v>0.17899999999999999</v>
      </c>
      <c r="N33" s="141">
        <f>'[2]EU Sun Oil Exports'!N$246</f>
        <v>2.8999999999999998E-2</v>
      </c>
      <c r="O33" s="141">
        <f>'[2]EU Sun Oil Exports'!O$246</f>
        <v>5.0000000000000001E-3</v>
      </c>
      <c r="P33" s="141">
        <f>'[2]EU Sun Oil Exports'!P$246</f>
        <v>0.75</v>
      </c>
      <c r="Q33" s="141">
        <f>'[2]EU Sun Oil Exports'!Q$246</f>
        <v>0.82799999999999996</v>
      </c>
      <c r="R33" s="141">
        <f>'[2]EU Sun Oil Exports'!R$246</f>
        <v>0.78899999999999992</v>
      </c>
      <c r="S33" s="141">
        <f>'[2]EU Sun Oil Exports'!S$246</f>
        <v>1.0950000000000002</v>
      </c>
      <c r="T33" s="141">
        <f>'[2]EU Sun Oil Exports'!T$246</f>
        <v>0.99299999999999999</v>
      </c>
      <c r="U33" s="141">
        <f>'[2]EU Sun Oil Exports'!U$246</f>
        <v>0.9860000000000001</v>
      </c>
      <c r="V33" s="141">
        <f>'[2]EU Sun Oil Exports'!V$246</f>
        <v>2.11</v>
      </c>
      <c r="W33" s="141">
        <f>'[2]EU Sun Oil Exports'!W$246</f>
        <v>3.7560000000000002</v>
      </c>
      <c r="X33" s="141">
        <f>'[2]EU Sun Oil Exports'!X$246</f>
        <v>4.1650000000000009</v>
      </c>
      <c r="Y33" s="141">
        <f>'[2]EU Sun Oil Exports'!Y$246</f>
        <v>2.5519999999999996</v>
      </c>
      <c r="Z33" s="141">
        <f>'[2]EU Sun Oil Exports'!Z$246</f>
        <v>3.7250000000000005</v>
      </c>
      <c r="AA33" s="141">
        <f>'[2]EU Sun Oil Exports'!AA$246</f>
        <v>3.1510000000000007</v>
      </c>
      <c r="AB33" s="141">
        <f>'[2]EU Sun Oil Exports'!AB$246</f>
        <v>3.3809999999999998</v>
      </c>
      <c r="AC33" s="141">
        <f>'[2]EU Sun Oil Exports'!AC$246</f>
        <v>2.3129999999999997</v>
      </c>
      <c r="AD33" s="143">
        <f>'[2]EU Sun Oil Exports'!AD$246</f>
        <v>0.72899999999999998</v>
      </c>
      <c r="AE33" s="141">
        <f>'[2]Ukraine Sun Oil Exports'!B$246</f>
        <v>0</v>
      </c>
      <c r="AF33" s="141">
        <f>'[2]Ukraine Sun Oil Exports'!C$246</f>
        <v>0</v>
      </c>
      <c r="AG33" s="141">
        <f>'[2]Ukraine Sun Oil Exports'!D$246</f>
        <v>0</v>
      </c>
      <c r="AH33" s="141">
        <f>'[2]Ukraine Sun Oil Exports'!E$246</f>
        <v>0</v>
      </c>
      <c r="AI33" s="141">
        <f>'[2]Ukraine Sun Oil Exports'!F$246</f>
        <v>0</v>
      </c>
      <c r="AJ33" s="141">
        <f>'[2]Ukraine Sun Oil Exports'!G$246</f>
        <v>0</v>
      </c>
      <c r="AK33" s="141">
        <f>'[2]Ukraine Sun Oil Exports'!H$246</f>
        <v>0</v>
      </c>
      <c r="AL33" s="141">
        <f>'[2]Ukraine Sun Oil Exports'!I$246</f>
        <v>0</v>
      </c>
      <c r="AM33" s="141">
        <f>'[2]Ukraine Sun Oil Exports'!J$246</f>
        <v>0</v>
      </c>
      <c r="AN33" s="141">
        <f>'[2]Ukraine Sun Oil Exports'!K$246</f>
        <v>0</v>
      </c>
      <c r="AO33" s="141">
        <f>'[2]Ukraine Sun Oil Exports'!L$246</f>
        <v>0</v>
      </c>
      <c r="AP33" s="141">
        <f>'[2]Ukraine Sun Oil Exports'!M$246</f>
        <v>0</v>
      </c>
      <c r="AQ33" s="141">
        <f>'[2]Ukraine Sun Oil Exports'!N$246</f>
        <v>0</v>
      </c>
      <c r="AR33" s="141">
        <f>'[2]Ukraine Sun Oil Exports'!O$246</f>
        <v>0</v>
      </c>
      <c r="AS33" s="141">
        <f>'[2]Ukraine Sun Oil Exports'!P$246</f>
        <v>0</v>
      </c>
      <c r="AT33" s="141">
        <f>'[2]Ukraine Sun Oil Exports'!Q$246</f>
        <v>0</v>
      </c>
      <c r="AU33" s="141">
        <f>'[2]Ukraine Sun Oil Exports'!R$246</f>
        <v>0</v>
      </c>
      <c r="AV33" s="141">
        <f>'[2]Ukraine Sun Oil Exports'!S$246</f>
        <v>0</v>
      </c>
      <c r="AW33" s="141">
        <f>'[2]Ukraine Sun Oil Exports'!T$246</f>
        <v>0</v>
      </c>
      <c r="AX33" s="141">
        <f>'[2]Ukraine Sun Oil Exports'!U$246</f>
        <v>0</v>
      </c>
      <c r="AY33" s="141">
        <f>'[2]Ukraine Sun Oil Exports'!V$246</f>
        <v>0</v>
      </c>
      <c r="AZ33" s="141">
        <f>'[2]Ukraine Sun Oil Exports'!W$246</f>
        <v>0</v>
      </c>
      <c r="BA33" s="141">
        <f>'[2]Ukraine Sun Oil Exports'!X$246</f>
        <v>0.28499999999999998</v>
      </c>
      <c r="BB33" s="141">
        <f>'[2]Ukraine Sun Oil Exports'!Y$246</f>
        <v>0</v>
      </c>
      <c r="BC33" s="141">
        <f>'[2]Ukraine Sun Oil Exports'!Z$246</f>
        <v>0</v>
      </c>
      <c r="BD33" s="141">
        <f>'[2]Ukraine Sun Oil Exports'!AA$246</f>
        <v>0</v>
      </c>
      <c r="BE33" s="141">
        <f>'[2]Ukraine Sun Oil Exports'!AB$246</f>
        <v>0</v>
      </c>
      <c r="BF33" s="141">
        <f>'[2]Ukraine Sun Oil Exports'!AC$246</f>
        <v>0</v>
      </c>
      <c r="BG33" s="143">
        <f>'[2]Ukraine Sun Oil Exports'!AD$246</f>
        <v>0</v>
      </c>
      <c r="BH33" s="141">
        <f>'[2]Russia Sun Oil Exports'!B$246</f>
        <v>0</v>
      </c>
      <c r="BI33" s="141">
        <f>'[2]Russia Sun Oil Exports'!C$246</f>
        <v>0</v>
      </c>
      <c r="BJ33" s="141">
        <f>'[2]Russia Sun Oil Exports'!D$246</f>
        <v>0</v>
      </c>
      <c r="BK33" s="141">
        <f>'[2]Russia Sun Oil Exports'!E$246</f>
        <v>0</v>
      </c>
      <c r="BL33" s="141">
        <f>'[2]Russia Sun Oil Exports'!F$246</f>
        <v>0</v>
      </c>
      <c r="BM33" s="141">
        <f>'[2]Russia Sun Oil Exports'!G$246</f>
        <v>0</v>
      </c>
      <c r="BN33" s="141">
        <f>'[2]Russia Sun Oil Exports'!H$246</f>
        <v>0</v>
      </c>
      <c r="BO33" s="141">
        <f>'[2]Russia Sun Oil Exports'!I$246</f>
        <v>0</v>
      </c>
      <c r="BP33" s="141">
        <f>'[2]Russia Sun Oil Exports'!J$246</f>
        <v>0</v>
      </c>
      <c r="BQ33" s="141">
        <f>'[2]Russia Sun Oil Exports'!K$246</f>
        <v>0</v>
      </c>
      <c r="BR33" s="141">
        <f>'[2]Russia Sun Oil Exports'!L$246</f>
        <v>0</v>
      </c>
      <c r="BS33" s="141">
        <f>'[2]Russia Sun Oil Exports'!M$246</f>
        <v>0</v>
      </c>
      <c r="BT33" s="141">
        <f>'[2]Russia Sun Oil Exports'!N$246</f>
        <v>0</v>
      </c>
      <c r="BU33" s="141">
        <f>'[2]Russia Sun Oil Exports'!O$246</f>
        <v>0</v>
      </c>
      <c r="BV33" s="141">
        <f>'[2]Russia Sun Oil Exports'!P$246</f>
        <v>0</v>
      </c>
      <c r="BW33" s="141">
        <f>'[2]Russia Sun Oil Exports'!Q$246</f>
        <v>0</v>
      </c>
      <c r="BX33" s="141">
        <f>'[2]Russia Sun Oil Exports'!R$246</f>
        <v>0</v>
      </c>
      <c r="BY33" s="141">
        <f>'[2]Russia Sun Oil Exports'!S$246</f>
        <v>0</v>
      </c>
      <c r="BZ33" s="141">
        <f>'[2]Russia Sun Oil Exports'!T$246</f>
        <v>0</v>
      </c>
      <c r="CA33" s="141">
        <f>'[2]Russia Sun Oil Exports'!U$246</f>
        <v>0</v>
      </c>
      <c r="CB33" s="141">
        <f>'[2]Russia Sun Oil Exports'!V$246</f>
        <v>0</v>
      </c>
      <c r="CC33" s="141">
        <f>'[2]Russia Sun Oil Exports'!W$246</f>
        <v>0</v>
      </c>
      <c r="CD33" s="141">
        <f>'[2]Russia Sun Oil Exports'!X$246</f>
        <v>0</v>
      </c>
      <c r="CE33" s="141">
        <f>'[2]Russia Sun Oil Exports'!Y$246</f>
        <v>0</v>
      </c>
      <c r="CF33" s="141">
        <f>'[2]Russia Sun Oil Exports'!Z$246</f>
        <v>0</v>
      </c>
      <c r="CG33" s="147">
        <f>'[2]Russia Sun Oil Exports'!AA$246</f>
        <v>0</v>
      </c>
      <c r="CH33" s="141">
        <f>'[2]Russia Sun Oil Exports'!AB$246</f>
        <v>0</v>
      </c>
      <c r="CI33" s="141">
        <f>'[2]Russia Sun Oil Exports'!AC$246</f>
        <v>0</v>
      </c>
      <c r="CJ33" s="143">
        <f>'[2]Russia Sun Oil Exports'!AD$246</f>
        <v>0</v>
      </c>
      <c r="CK33" s="141">
        <f>'[3]Sunflower Oil Exports'!B$246/2204.622*1000</f>
        <v>0</v>
      </c>
      <c r="CL33" s="141">
        <f>'[3]Sunflower Oil Exports'!C$246/2204.622*1000</f>
        <v>3.6894000000000009</v>
      </c>
      <c r="CM33" s="141">
        <f>'[3]Sunflower Oil Exports'!D$246/2204.622*1000</f>
        <v>0.67330000000000001</v>
      </c>
      <c r="CN33" s="141">
        <f>'[3]Sunflower Oil Exports'!E$246/2204.622*1000</f>
        <v>2.6997</v>
      </c>
      <c r="CO33" s="141">
        <f>'[3]Sunflower Oil Exports'!F$246/2204.622*1000</f>
        <v>3.9134000000000011</v>
      </c>
      <c r="CP33" s="141">
        <f>'[3]Sunflower Oil Exports'!G$246/2204.622*1000</f>
        <v>9.906600000000001</v>
      </c>
      <c r="CQ33" s="141">
        <f>'[3]Sunflower Oil Exports'!H$246/2204.622*1000</f>
        <v>0.39300000000000013</v>
      </c>
      <c r="CR33" s="141">
        <f>'[3]Sunflower Oil Exports'!I$246/2204.622*1000</f>
        <v>1.0573999999999999</v>
      </c>
      <c r="CS33" s="141">
        <f>'[3]Sunflower Oil Exports'!J$246/2204.622*1000</f>
        <v>0.1867</v>
      </c>
      <c r="CT33" s="141">
        <f>'[3]Sunflower Oil Exports'!K$246/2204.622*1000</f>
        <v>0</v>
      </c>
      <c r="CU33" s="141">
        <f>'[3]Sunflower Oil Exports'!L$246/2204.622*1000</f>
        <v>0</v>
      </c>
      <c r="CV33" s="141">
        <f>'[3]Sunflower Oil Exports'!M$246/2204.622*1000</f>
        <v>0</v>
      </c>
      <c r="CW33" s="141">
        <f>'[3]Sunflower Oil Exports'!N$246/2204.622*1000</f>
        <v>0</v>
      </c>
      <c r="CX33" s="141">
        <f>'[3]Sunflower Oil Exports'!O$246/2204.622*1000</f>
        <v>0</v>
      </c>
      <c r="CY33" s="141">
        <f>'[3]Sunflower Oil Exports'!P$246/2204.622*1000</f>
        <v>4.5600000000000009E-2</v>
      </c>
      <c r="CZ33" s="141">
        <f>'[3]Sunflower Oil Exports'!Q$246/2204.622*1000</f>
        <v>0</v>
      </c>
      <c r="DA33" s="141">
        <f>'[3]Sunflower Oil Exports'!R$246/2204.622*1000</f>
        <v>2.8100000000000003E-2</v>
      </c>
      <c r="DB33" s="141">
        <f>'[3]Sunflower Oil Exports'!S$246/2204.622*1000</f>
        <v>0.53930000000000011</v>
      </c>
      <c r="DC33" s="141">
        <f>'[3]Sunflower Oil Exports'!T$246/2204.622*1000</f>
        <v>2.9100000000000004E-2</v>
      </c>
      <c r="DD33" s="141">
        <f>'[3]Sunflower Oil Exports'!U$246/2204.622*1000</f>
        <v>2.9100000000000004E-2</v>
      </c>
      <c r="DE33" s="141">
        <f>'[3]Sunflower Oil Exports'!V$246/2204.622*1000</f>
        <v>1.4E-3</v>
      </c>
      <c r="DF33" s="141">
        <f>'[3]Sunflower Oil Exports'!W$246/2204.622*1000</f>
        <v>1.11E-2</v>
      </c>
      <c r="DG33" s="141">
        <f>'[3]Sunflower Oil Exports'!X$246/2204.622*1000</f>
        <v>0.53400000000000003</v>
      </c>
      <c r="DH33" s="141">
        <f>'[3]Sunflower Oil Exports'!Y$246/2204.622*1000</f>
        <v>2.6940570907665804</v>
      </c>
      <c r="DI33" s="141">
        <f>'[3]Sunflower Oil Exports'!Z$246/2204.622*1000</f>
        <v>7.1999934682680311E-3</v>
      </c>
      <c r="DJ33" s="141">
        <f>'[3]Sunflower Oil Exports'!AA$246/2204.622*1000</f>
        <v>3.6787966626478374E-2</v>
      </c>
      <c r="DK33" s="141">
        <f>'[3]Sunflower Oil Exports'!AB$246/2204.622*1000</f>
        <v>0.13655787611663134</v>
      </c>
      <c r="DL33" s="141">
        <f>'[3]Sunflower Oil Exports'!AC$246/2204.622*1000</f>
        <v>2.8131317042105176E-2</v>
      </c>
      <c r="DM33" s="143">
        <f>'[3]Sunflower Oil Exports'!AD$246/2204.622*1000</f>
        <v>0</v>
      </c>
      <c r="DN33" s="141">
        <f t="shared" si="9"/>
        <v>0</v>
      </c>
      <c r="DO33" s="141">
        <f t="shared" si="9"/>
        <v>3.6894000000000009</v>
      </c>
      <c r="DP33" s="141">
        <f t="shared" si="9"/>
        <v>0.67330000000000001</v>
      </c>
      <c r="DQ33" s="141">
        <f t="shared" si="9"/>
        <v>2.6997</v>
      </c>
      <c r="DR33" s="141">
        <f t="shared" si="9"/>
        <v>3.9334000000000011</v>
      </c>
      <c r="DS33" s="141">
        <f t="shared" si="9"/>
        <v>9.9586000000000006</v>
      </c>
      <c r="DT33" s="141">
        <f t="shared" si="9"/>
        <v>0.39700000000000013</v>
      </c>
      <c r="DU33" s="141">
        <f t="shared" si="9"/>
        <v>1.0633999999999999</v>
      </c>
      <c r="DV33" s="141">
        <f t="shared" si="9"/>
        <v>0.19770000000000001</v>
      </c>
      <c r="DW33" s="141">
        <f t="shared" si="9"/>
        <v>0</v>
      </c>
      <c r="DX33" s="141">
        <f t="shared" si="9"/>
        <v>6.6000000000000003E-2</v>
      </c>
      <c r="DY33" s="141">
        <f t="shared" si="9"/>
        <v>0.17899999999999999</v>
      </c>
      <c r="DZ33" s="141">
        <f t="shared" si="9"/>
        <v>2.8999999999999998E-2</v>
      </c>
      <c r="EA33" s="141">
        <f t="shared" si="9"/>
        <v>5.0000000000000001E-3</v>
      </c>
      <c r="EB33" s="141">
        <f t="shared" si="9"/>
        <v>0.79559999999999997</v>
      </c>
      <c r="EC33" s="141">
        <f t="shared" si="8"/>
        <v>0.82799999999999996</v>
      </c>
      <c r="ED33" s="141">
        <f t="shared" si="8"/>
        <v>0.81709999999999994</v>
      </c>
      <c r="EE33" s="141">
        <f t="shared" si="8"/>
        <v>1.6343000000000003</v>
      </c>
      <c r="EF33" s="141">
        <f t="shared" si="10"/>
        <v>1.0221</v>
      </c>
      <c r="EG33" s="141">
        <f t="shared" si="10"/>
        <v>1.0151000000000001</v>
      </c>
      <c r="EH33" s="141">
        <f t="shared" si="10"/>
        <v>2.1113999999999997</v>
      </c>
      <c r="EI33" s="141">
        <f t="shared" si="10"/>
        <v>3.7671000000000001</v>
      </c>
      <c r="EJ33" s="141">
        <f t="shared" si="10"/>
        <v>4.9840000000000009</v>
      </c>
      <c r="EK33" s="141">
        <f t="shared" si="10"/>
        <v>5.2460570907665804</v>
      </c>
      <c r="EL33" s="141">
        <f t="shared" si="10"/>
        <v>3.7321999934682686</v>
      </c>
      <c r="EM33" s="147">
        <f t="shared" si="10"/>
        <v>3.187787966626479</v>
      </c>
      <c r="EN33" s="141">
        <f t="shared" si="10"/>
        <v>3.5175578761166313</v>
      </c>
      <c r="EO33" s="141">
        <f t="shared" si="10"/>
        <v>2.3411313170421049</v>
      </c>
      <c r="EP33" s="145">
        <f t="shared" si="10"/>
        <v>0.72899999999999998</v>
      </c>
      <c r="EQ33" s="145">
        <v>5</v>
      </c>
      <c r="ES33" s="145">
        <f t="shared" si="5"/>
        <v>0</v>
      </c>
      <c r="ET33" s="145">
        <f t="shared" si="6"/>
        <v>0</v>
      </c>
      <c r="EU33" s="145"/>
    </row>
    <row r="34" spans="1:151">
      <c r="A34" s="187" t="s">
        <v>165</v>
      </c>
      <c r="B34" s="141">
        <f>'[2]EU Sun Oil Exports'!B$248</f>
        <v>0</v>
      </c>
      <c r="C34" s="141">
        <f>'[2]EU Sun Oil Exports'!C$248</f>
        <v>0</v>
      </c>
      <c r="D34" s="141">
        <f>'[2]EU Sun Oil Exports'!D$248</f>
        <v>0</v>
      </c>
      <c r="E34" s="141">
        <f>'[2]EU Sun Oil Exports'!E$248</f>
        <v>6.7149999999999999</v>
      </c>
      <c r="F34" s="141">
        <f>'[2]EU Sun Oil Exports'!F$248</f>
        <v>1.0729999999999997</v>
      </c>
      <c r="G34" s="141">
        <f>'[2]EU Sun Oil Exports'!G$248</f>
        <v>8.391</v>
      </c>
      <c r="H34" s="141">
        <f>'[2]EU Sun Oil Exports'!H$248</f>
        <v>18.933999999999997</v>
      </c>
      <c r="I34" s="141">
        <f>'[2]EU Sun Oil Exports'!I$248</f>
        <v>0.34299999999999997</v>
      </c>
      <c r="J34" s="141">
        <f>'[2]EU Sun Oil Exports'!J$248</f>
        <v>0.13200000000000001</v>
      </c>
      <c r="K34" s="141">
        <f>'[2]EU Sun Oil Exports'!K$248</f>
        <v>3.9E-2</v>
      </c>
      <c r="L34" s="141">
        <f>'[2]EU Sun Oil Exports'!L$248</f>
        <v>1.2E-2</v>
      </c>
      <c r="M34" s="141">
        <f>'[2]EU Sun Oil Exports'!M$248</f>
        <v>2E-3</v>
      </c>
      <c r="N34" s="141">
        <f>'[2]EU Sun Oil Exports'!N$248</f>
        <v>2E-3</v>
      </c>
      <c r="O34" s="141">
        <f>'[2]EU Sun Oil Exports'!O$248</f>
        <v>6.9000000000000006E-2</v>
      </c>
      <c r="P34" s="141">
        <f>'[2]EU Sun Oil Exports'!P$248</f>
        <v>0.107</v>
      </c>
      <c r="Q34" s="141">
        <f>'[2]EU Sun Oil Exports'!Q$248</f>
        <v>0.40800000000000003</v>
      </c>
      <c r="R34" s="141">
        <f>'[2]EU Sun Oil Exports'!R$248</f>
        <v>2.7669999999999999</v>
      </c>
      <c r="S34" s="141">
        <f>'[2]EU Sun Oil Exports'!S$248</f>
        <v>0.96399999999999997</v>
      </c>
      <c r="T34" s="141">
        <f>'[2]EU Sun Oil Exports'!T$248</f>
        <v>1.327</v>
      </c>
      <c r="U34" s="141">
        <f>'[2]EU Sun Oil Exports'!U$248</f>
        <v>0.86199999999999999</v>
      </c>
      <c r="V34" s="141">
        <f>'[2]EU Sun Oil Exports'!V$248</f>
        <v>0.73100000000000009</v>
      </c>
      <c r="W34" s="141">
        <f>'[2]EU Sun Oil Exports'!W$248</f>
        <v>0.35400000000000004</v>
      </c>
      <c r="X34" s="141">
        <f>'[2]EU Sun Oil Exports'!X$248</f>
        <v>2.008</v>
      </c>
      <c r="Y34" s="141">
        <f>'[2]EU Sun Oil Exports'!Y$248</f>
        <v>1.415</v>
      </c>
      <c r="Z34" s="141">
        <f>'[2]EU Sun Oil Exports'!Z$248</f>
        <v>1.7</v>
      </c>
      <c r="AA34" s="141">
        <f>'[2]EU Sun Oil Exports'!AA$248</f>
        <v>1.8679999999999999</v>
      </c>
      <c r="AB34" s="141">
        <f>'[2]EU Sun Oil Exports'!AB$248</f>
        <v>0.372</v>
      </c>
      <c r="AC34" s="141">
        <f>'[2]EU Sun Oil Exports'!AC$248</f>
        <v>2.1279999999999997</v>
      </c>
      <c r="AD34" s="143">
        <f>'[2]EU Sun Oil Exports'!AD$248</f>
        <v>9.2806000000000013E-2</v>
      </c>
      <c r="AE34" s="141">
        <f>'[2]Ukraine Sun Oil Exports'!B$248</f>
        <v>0</v>
      </c>
      <c r="AF34" s="141">
        <f>'[2]Ukraine Sun Oil Exports'!C$248</f>
        <v>0</v>
      </c>
      <c r="AG34" s="141">
        <f>'[2]Ukraine Sun Oil Exports'!D$248</f>
        <v>0</v>
      </c>
      <c r="AH34" s="141">
        <f>'[2]Ukraine Sun Oil Exports'!E$248</f>
        <v>0</v>
      </c>
      <c r="AI34" s="141">
        <f>'[2]Ukraine Sun Oil Exports'!F$248</f>
        <v>0</v>
      </c>
      <c r="AJ34" s="141">
        <f>'[2]Ukraine Sun Oil Exports'!G$248</f>
        <v>0</v>
      </c>
      <c r="AK34" s="141">
        <f>'[2]Ukraine Sun Oil Exports'!H$248</f>
        <v>0</v>
      </c>
      <c r="AL34" s="141">
        <f>'[2]Ukraine Sun Oil Exports'!I$248</f>
        <v>0</v>
      </c>
      <c r="AM34" s="141">
        <f>'[2]Ukraine Sun Oil Exports'!J$248</f>
        <v>0</v>
      </c>
      <c r="AN34" s="141">
        <f>'[2]Ukraine Sun Oil Exports'!K$248</f>
        <v>0</v>
      </c>
      <c r="AO34" s="141">
        <f>'[2]Ukraine Sun Oil Exports'!L$248</f>
        <v>0</v>
      </c>
      <c r="AP34" s="141">
        <f>'[2]Ukraine Sun Oil Exports'!M$248</f>
        <v>0</v>
      </c>
      <c r="AQ34" s="141">
        <f>'[2]Ukraine Sun Oil Exports'!N$248</f>
        <v>0</v>
      </c>
      <c r="AR34" s="141">
        <f>'[2]Ukraine Sun Oil Exports'!O$248</f>
        <v>0</v>
      </c>
      <c r="AS34" s="141">
        <f>'[2]Ukraine Sun Oil Exports'!P$248</f>
        <v>0</v>
      </c>
      <c r="AT34" s="141">
        <f>'[2]Ukraine Sun Oil Exports'!Q$248</f>
        <v>0</v>
      </c>
      <c r="AU34" s="141">
        <f>'[2]Ukraine Sun Oil Exports'!R$248</f>
        <v>0</v>
      </c>
      <c r="AV34" s="141">
        <f>'[2]Ukraine Sun Oil Exports'!S$248</f>
        <v>0</v>
      </c>
      <c r="AW34" s="141">
        <f>'[2]Ukraine Sun Oil Exports'!T$248</f>
        <v>0</v>
      </c>
      <c r="AX34" s="141">
        <f>'[2]Ukraine Sun Oil Exports'!U$248</f>
        <v>0</v>
      </c>
      <c r="AY34" s="141">
        <f>'[2]Ukraine Sun Oil Exports'!V$248</f>
        <v>0</v>
      </c>
      <c r="AZ34" s="141">
        <f>'[2]Ukraine Sun Oil Exports'!W$248</f>
        <v>0</v>
      </c>
      <c r="BA34" s="141">
        <f>'[2]Ukraine Sun Oil Exports'!X$248</f>
        <v>0</v>
      </c>
      <c r="BB34" s="141">
        <f>'[2]Ukraine Sun Oil Exports'!Y$248</f>
        <v>0</v>
      </c>
      <c r="BC34" s="141">
        <f>'[2]Ukraine Sun Oil Exports'!Z$248</f>
        <v>0</v>
      </c>
      <c r="BD34" s="141">
        <f>'[2]Ukraine Sun Oil Exports'!AA$248</f>
        <v>0</v>
      </c>
      <c r="BE34" s="141">
        <f>'[2]Ukraine Sun Oil Exports'!AB$248</f>
        <v>0.89346000000000003</v>
      </c>
      <c r="BF34" s="141">
        <f>'[2]Ukraine Sun Oil Exports'!AC$248</f>
        <v>0</v>
      </c>
      <c r="BG34" s="141">
        <f>'[2]Ukraine Sun Oil Exports'!AD$248</f>
        <v>1E-3</v>
      </c>
      <c r="BH34" s="141">
        <f>'[2]Russia Sun Oil Exports'!B$248</f>
        <v>0</v>
      </c>
      <c r="BI34" s="141">
        <f>'[2]Russia Sun Oil Exports'!C$248</f>
        <v>0</v>
      </c>
      <c r="BJ34" s="141">
        <f>'[2]Russia Sun Oil Exports'!D$248</f>
        <v>0</v>
      </c>
      <c r="BK34" s="141">
        <f>'[2]Russia Sun Oil Exports'!E$248</f>
        <v>0</v>
      </c>
      <c r="BL34" s="141">
        <f>'[2]Russia Sun Oil Exports'!F$248</f>
        <v>0</v>
      </c>
      <c r="BM34" s="141">
        <f>'[2]Russia Sun Oil Exports'!G$248</f>
        <v>0</v>
      </c>
      <c r="BN34" s="141">
        <f>'[2]Russia Sun Oil Exports'!H$248</f>
        <v>4.7360000000000006E-3</v>
      </c>
      <c r="BO34" s="141">
        <f>'[2]Russia Sun Oil Exports'!I$248</f>
        <v>9.6600000000000002E-3</v>
      </c>
      <c r="BP34" s="141">
        <f>'[2]Russia Sun Oil Exports'!J$248</f>
        <v>0</v>
      </c>
      <c r="BQ34" s="141">
        <f>'[2]Russia Sun Oil Exports'!K$248</f>
        <v>0</v>
      </c>
      <c r="BR34" s="141">
        <f>'[2]Russia Sun Oil Exports'!L$248</f>
        <v>0</v>
      </c>
      <c r="BS34" s="141">
        <f>'[2]Russia Sun Oil Exports'!M$248</f>
        <v>0</v>
      </c>
      <c r="BT34" s="141">
        <f>'[2]Russia Sun Oil Exports'!N$248</f>
        <v>0</v>
      </c>
      <c r="BU34" s="141">
        <f>'[2]Russia Sun Oil Exports'!O$248</f>
        <v>1E-3</v>
      </c>
      <c r="BV34" s="141">
        <f>'[2]Russia Sun Oil Exports'!P$248</f>
        <v>0</v>
      </c>
      <c r="BW34" s="141">
        <f>'[2]Russia Sun Oil Exports'!Q$248</f>
        <v>0</v>
      </c>
      <c r="BX34" s="141">
        <f>'[2]Russia Sun Oil Exports'!R$248</f>
        <v>1E-3</v>
      </c>
      <c r="BY34" s="141">
        <f>'[2]Russia Sun Oil Exports'!S$248</f>
        <v>0</v>
      </c>
      <c r="BZ34" s="141">
        <f>'[2]Russia Sun Oil Exports'!T$248</f>
        <v>1E-3</v>
      </c>
      <c r="CA34" s="141">
        <f>'[2]Russia Sun Oil Exports'!U$248</f>
        <v>0</v>
      </c>
      <c r="CB34" s="141">
        <f>'[2]Russia Sun Oil Exports'!V$248</f>
        <v>0</v>
      </c>
      <c r="CC34" s="141">
        <f>'[2]Russia Sun Oil Exports'!W$248</f>
        <v>0</v>
      </c>
      <c r="CD34" s="141">
        <f>'[2]Russia Sun Oil Exports'!X$248</f>
        <v>2E-3</v>
      </c>
      <c r="CE34" s="141">
        <f>'[2]Russia Sun Oil Exports'!Y$248</f>
        <v>1E-3</v>
      </c>
      <c r="CF34" s="141">
        <f>'[2]Russia Sun Oil Exports'!Z$248</f>
        <v>0</v>
      </c>
      <c r="CG34" s="147">
        <f>'[2]Russia Sun Oil Exports'!AA$248</f>
        <v>1.224E-3</v>
      </c>
      <c r="CH34" s="141">
        <f>'[2]Russia Sun Oil Exports'!AB$248</f>
        <v>0</v>
      </c>
      <c r="CI34" s="141">
        <f>'[2]Russia Sun Oil Exports'!AC$248</f>
        <v>0</v>
      </c>
      <c r="CJ34" s="143">
        <f>'[2]Russia Sun Oil Exports'!AD$248</f>
        <v>0</v>
      </c>
      <c r="CK34" s="141">
        <f>'[3]Sunflower Oil Exports'!B$248/2204.622*1000</f>
        <v>0</v>
      </c>
      <c r="CL34" s="141">
        <f>'[3]Sunflower Oil Exports'!C$248/2204.622*1000</f>
        <v>0</v>
      </c>
      <c r="CM34" s="141">
        <f>'[3]Sunflower Oil Exports'!D$248/2204.622*1000</f>
        <v>0</v>
      </c>
      <c r="CN34" s="141">
        <f>'[3]Sunflower Oil Exports'!E$248/2204.622*1000</f>
        <v>0</v>
      </c>
      <c r="CO34" s="141">
        <f>'[3]Sunflower Oil Exports'!F$248/2204.622*1000</f>
        <v>0</v>
      </c>
      <c r="CP34" s="141">
        <f>'[3]Sunflower Oil Exports'!G$248/2204.622*1000</f>
        <v>0</v>
      </c>
      <c r="CQ34" s="141">
        <f>'[3]Sunflower Oil Exports'!H$248/2204.622*1000</f>
        <v>0</v>
      </c>
      <c r="CR34" s="141">
        <f>'[3]Sunflower Oil Exports'!I$248/2204.622*1000</f>
        <v>0</v>
      </c>
      <c r="CS34" s="141">
        <f>'[3]Sunflower Oil Exports'!J$248/2204.622*1000</f>
        <v>0</v>
      </c>
      <c r="CT34" s="141">
        <f>'[3]Sunflower Oil Exports'!K$248/2204.622*1000</f>
        <v>0</v>
      </c>
      <c r="CU34" s="141">
        <f>'[3]Sunflower Oil Exports'!L$248/2204.622*1000</f>
        <v>0</v>
      </c>
      <c r="CV34" s="141">
        <f>'[3]Sunflower Oil Exports'!M$248/2204.622*1000</f>
        <v>0</v>
      </c>
      <c r="CW34" s="141">
        <f>'[3]Sunflower Oil Exports'!N$248/2204.622*1000</f>
        <v>0</v>
      </c>
      <c r="CX34" s="141">
        <f>'[3]Sunflower Oil Exports'!O$248/2204.622*1000</f>
        <v>0</v>
      </c>
      <c r="CY34" s="141">
        <f>'[3]Sunflower Oil Exports'!P$248/2204.622*1000</f>
        <v>0</v>
      </c>
      <c r="CZ34" s="141">
        <f>'[3]Sunflower Oil Exports'!Q$248/2204.622*1000</f>
        <v>0</v>
      </c>
      <c r="DA34" s="141">
        <f>'[3]Sunflower Oil Exports'!R$248/2204.622*1000</f>
        <v>0</v>
      </c>
      <c r="DB34" s="141">
        <f>'[3]Sunflower Oil Exports'!S$248/2204.622*1000</f>
        <v>0</v>
      </c>
      <c r="DC34" s="141">
        <f>'[3]Sunflower Oil Exports'!T$248/2204.622*1000</f>
        <v>0</v>
      </c>
      <c r="DD34" s="141">
        <f>'[3]Sunflower Oil Exports'!U$248/2204.622*1000</f>
        <v>0</v>
      </c>
      <c r="DE34" s="141">
        <f>'[3]Sunflower Oil Exports'!V$248/2204.622*1000</f>
        <v>0</v>
      </c>
      <c r="DF34" s="141">
        <f>'[3]Sunflower Oil Exports'!W$248/2204.622*1000</f>
        <v>0</v>
      </c>
      <c r="DG34" s="141">
        <f>'[3]Sunflower Oil Exports'!X$248/2204.622*1000</f>
        <v>0</v>
      </c>
      <c r="DH34" s="141">
        <f>'[3]Sunflower Oil Exports'!Y$248/2204.622*1000</f>
        <v>0</v>
      </c>
      <c r="DI34" s="141">
        <f>'[3]Sunflower Oil Exports'!Z$248/2204.622*1000</f>
        <v>0</v>
      </c>
      <c r="DJ34" s="141">
        <f>'[3]Sunflower Oil Exports'!AA$248/2204.622*1000</f>
        <v>0</v>
      </c>
      <c r="DK34" s="141">
        <f>'[3]Sunflower Oil Exports'!AB$248/2204.622*1000</f>
        <v>0</v>
      </c>
      <c r="DL34" s="141">
        <f>'[3]Sunflower Oil Exports'!AC$248/2204.622*1000</f>
        <v>0</v>
      </c>
      <c r="DM34" s="143">
        <f>'[3]Sunflower Oil Exports'!AD$248/2204.622*1000</f>
        <v>0</v>
      </c>
      <c r="DN34" s="141">
        <f t="shared" si="9"/>
        <v>0</v>
      </c>
      <c r="DO34" s="141">
        <f t="shared" si="9"/>
        <v>0</v>
      </c>
      <c r="DP34" s="141">
        <f t="shared" si="9"/>
        <v>0</v>
      </c>
      <c r="DQ34" s="141">
        <f t="shared" si="9"/>
        <v>6.7149999999999999</v>
      </c>
      <c r="DR34" s="141">
        <f t="shared" si="9"/>
        <v>1.0729999999999997</v>
      </c>
      <c r="DS34" s="141">
        <f t="shared" si="9"/>
        <v>8.391</v>
      </c>
      <c r="DT34" s="141">
        <f t="shared" si="9"/>
        <v>18.938735999999999</v>
      </c>
      <c r="DU34" s="141">
        <f t="shared" si="9"/>
        <v>0.35265999999999997</v>
      </c>
      <c r="DV34" s="141">
        <f t="shared" si="9"/>
        <v>0.13200000000000001</v>
      </c>
      <c r="DW34" s="141">
        <f t="shared" si="9"/>
        <v>3.9E-2</v>
      </c>
      <c r="DX34" s="141">
        <f t="shared" si="9"/>
        <v>1.2E-2</v>
      </c>
      <c r="DY34" s="141">
        <f t="shared" si="9"/>
        <v>2E-3</v>
      </c>
      <c r="DZ34" s="141">
        <f t="shared" si="9"/>
        <v>2E-3</v>
      </c>
      <c r="EA34" s="141">
        <f t="shared" si="9"/>
        <v>7.0000000000000007E-2</v>
      </c>
      <c r="EB34" s="141">
        <f t="shared" si="9"/>
        <v>0.107</v>
      </c>
      <c r="EC34" s="141">
        <f t="shared" si="8"/>
        <v>0.40800000000000003</v>
      </c>
      <c r="ED34" s="141">
        <f t="shared" si="8"/>
        <v>2.7679999999999998</v>
      </c>
      <c r="EE34" s="141">
        <f t="shared" si="8"/>
        <v>0.96399999999999997</v>
      </c>
      <c r="EF34" s="141">
        <f t="shared" si="10"/>
        <v>1.3279999999999998</v>
      </c>
      <c r="EG34" s="141">
        <f t="shared" si="10"/>
        <v>0.86199999999999999</v>
      </c>
      <c r="EH34" s="141">
        <f t="shared" si="10"/>
        <v>0.73100000000000009</v>
      </c>
      <c r="EI34" s="141">
        <f t="shared" si="10"/>
        <v>0.35400000000000004</v>
      </c>
      <c r="EJ34" s="141">
        <f t="shared" si="10"/>
        <v>2.0099999999999998</v>
      </c>
      <c r="EK34" s="141">
        <f t="shared" si="10"/>
        <v>1.4159999999999999</v>
      </c>
      <c r="EL34" s="141">
        <f t="shared" si="10"/>
        <v>1.7</v>
      </c>
      <c r="EM34" s="147">
        <f t="shared" si="10"/>
        <v>1.8692239999999998</v>
      </c>
      <c r="EN34" s="141">
        <f t="shared" si="10"/>
        <v>1.26546</v>
      </c>
      <c r="EO34" s="141">
        <f t="shared" si="10"/>
        <v>2.1279999999999997</v>
      </c>
      <c r="EP34" s="145">
        <f t="shared" si="10"/>
        <v>9.3806000000000014E-2</v>
      </c>
      <c r="EQ34" s="145">
        <v>2</v>
      </c>
      <c r="ES34" s="145">
        <f t="shared" si="5"/>
        <v>0</v>
      </c>
      <c r="ET34" s="145">
        <f t="shared" si="6"/>
        <v>0</v>
      </c>
      <c r="EU34" s="145"/>
    </row>
    <row r="35" spans="1:151">
      <c r="A35" s="187" t="s">
        <v>166</v>
      </c>
      <c r="B35" s="141">
        <f>'[2]EU Sun Oil Exports'!B$250</f>
        <v>0</v>
      </c>
      <c r="C35" s="141">
        <f>'[2]EU Sun Oil Exports'!C$250</f>
        <v>0</v>
      </c>
      <c r="D35" s="141">
        <f>'[2]EU Sun Oil Exports'!D$250</f>
        <v>0</v>
      </c>
      <c r="E35" s="141">
        <f>'[2]EU Sun Oil Exports'!E$250</f>
        <v>3.0000000000000001E-3</v>
      </c>
      <c r="F35" s="141">
        <f>'[2]EU Sun Oil Exports'!F$250</f>
        <v>0.121</v>
      </c>
      <c r="G35" s="141">
        <f>'[2]EU Sun Oil Exports'!G$250</f>
        <v>0.16200000000000001</v>
      </c>
      <c r="H35" s="141">
        <f>'[2]EU Sun Oil Exports'!H$250</f>
        <v>0.01</v>
      </c>
      <c r="I35" s="141">
        <f>'[2]EU Sun Oil Exports'!I$250</f>
        <v>2E-3</v>
      </c>
      <c r="J35" s="141">
        <f>'[2]EU Sun Oil Exports'!J$250</f>
        <v>0.01</v>
      </c>
      <c r="K35" s="141">
        <f>'[2]EU Sun Oil Exports'!K$250</f>
        <v>3.0000000000000001E-3</v>
      </c>
      <c r="L35" s="141">
        <f>'[2]EU Sun Oil Exports'!L$250</f>
        <v>9.0000000000000011E-3</v>
      </c>
      <c r="M35" s="141">
        <f>'[2]EU Sun Oil Exports'!M$250</f>
        <v>3.0000000000000002E-2</v>
      </c>
      <c r="N35" s="141">
        <f>'[2]EU Sun Oil Exports'!N$250</f>
        <v>2.5999999999999999E-2</v>
      </c>
      <c r="O35" s="141">
        <f>'[2]EU Sun Oil Exports'!O$250</f>
        <v>5.2999999999999999E-2</v>
      </c>
      <c r="P35" s="141">
        <f>'[2]EU Sun Oil Exports'!P$250</f>
        <v>5.7000000000000009E-2</v>
      </c>
      <c r="Q35" s="141">
        <f>'[2]EU Sun Oil Exports'!Q$250</f>
        <v>6.0000000000000001E-3</v>
      </c>
      <c r="R35" s="141">
        <f>'[2]EU Sun Oil Exports'!R$250</f>
        <v>0.04</v>
      </c>
      <c r="S35" s="141">
        <f>'[2]EU Sun Oil Exports'!S$250</f>
        <v>2.1999999999999999E-2</v>
      </c>
      <c r="T35" s="141">
        <f>'[2]EU Sun Oil Exports'!T$250</f>
        <v>1.3000000000000001E-2</v>
      </c>
      <c r="U35" s="141">
        <f>'[2]EU Sun Oil Exports'!U$250</f>
        <v>3.1E-2</v>
      </c>
      <c r="V35" s="141">
        <f>'[2]EU Sun Oil Exports'!V$250</f>
        <v>3.9E-2</v>
      </c>
      <c r="W35" s="141">
        <f>'[2]EU Sun Oil Exports'!W$250</f>
        <v>0.15100000000000002</v>
      </c>
      <c r="X35" s="141">
        <f>'[2]EU Sun Oil Exports'!X$250</f>
        <v>8.0000000000000016E-2</v>
      </c>
      <c r="Y35" s="141">
        <f>'[2]EU Sun Oil Exports'!Y$250</f>
        <v>0.193</v>
      </c>
      <c r="Z35" s="141">
        <f>'[2]EU Sun Oil Exports'!Z$250</f>
        <v>0.19700000000000001</v>
      </c>
      <c r="AA35" s="141">
        <f>'[2]EU Sun Oil Exports'!AA$250</f>
        <v>0.17900000000000002</v>
      </c>
      <c r="AB35" s="141">
        <f>'[2]EU Sun Oil Exports'!AB$250</f>
        <v>0.22100000000000003</v>
      </c>
      <c r="AC35" s="141">
        <f>'[2]EU Sun Oil Exports'!AC$250</f>
        <v>0.11000000000000001</v>
      </c>
      <c r="AD35" s="143">
        <f>'[2]EU Sun Oil Exports'!AD$250</f>
        <v>0.10100000000000001</v>
      </c>
      <c r="AE35" s="141">
        <f>'[2]Ukraine Sun Oil Exports'!B$250</f>
        <v>0</v>
      </c>
      <c r="AF35" s="141">
        <f>'[2]Ukraine Sun Oil Exports'!C$250</f>
        <v>0</v>
      </c>
      <c r="AG35" s="141">
        <f>'[2]Ukraine Sun Oil Exports'!D$250</f>
        <v>0</v>
      </c>
      <c r="AH35" s="141">
        <f>'[2]Ukraine Sun Oil Exports'!E$250</f>
        <v>0</v>
      </c>
      <c r="AI35" s="141">
        <f>'[2]Ukraine Sun Oil Exports'!F$250</f>
        <v>0</v>
      </c>
      <c r="AJ35" s="141">
        <f>'[2]Ukraine Sun Oil Exports'!G$250</f>
        <v>0</v>
      </c>
      <c r="AK35" s="141">
        <f>'[2]Ukraine Sun Oil Exports'!H$250</f>
        <v>0</v>
      </c>
      <c r="AL35" s="141">
        <f>'[2]Ukraine Sun Oil Exports'!I$250</f>
        <v>0</v>
      </c>
      <c r="AM35" s="141">
        <f>'[2]Ukraine Sun Oil Exports'!J$250</f>
        <v>0</v>
      </c>
      <c r="AN35" s="141">
        <f>'[2]Ukraine Sun Oil Exports'!K$250</f>
        <v>0</v>
      </c>
      <c r="AO35" s="141">
        <f>'[2]Ukraine Sun Oil Exports'!L$250</f>
        <v>0</v>
      </c>
      <c r="AP35" s="141">
        <f>'[2]Ukraine Sun Oil Exports'!M$250</f>
        <v>0</v>
      </c>
      <c r="AQ35" s="141">
        <f>'[2]Ukraine Sun Oil Exports'!N$250</f>
        <v>0</v>
      </c>
      <c r="AR35" s="141">
        <f>'[2]Ukraine Sun Oil Exports'!O$250</f>
        <v>0</v>
      </c>
      <c r="AS35" s="141">
        <f>'[2]Ukraine Sun Oil Exports'!P$250</f>
        <v>0</v>
      </c>
      <c r="AT35" s="141">
        <f>'[2]Ukraine Sun Oil Exports'!Q$250</f>
        <v>0</v>
      </c>
      <c r="AU35" s="141">
        <f>'[2]Ukraine Sun Oil Exports'!R$250</f>
        <v>0</v>
      </c>
      <c r="AV35" s="141">
        <f>'[2]Ukraine Sun Oil Exports'!S$250</f>
        <v>0</v>
      </c>
      <c r="AW35" s="141">
        <f>'[2]Ukraine Sun Oil Exports'!T$250</f>
        <v>0</v>
      </c>
      <c r="AX35" s="141">
        <f>'[2]Ukraine Sun Oil Exports'!U$250</f>
        <v>0</v>
      </c>
      <c r="AY35" s="141">
        <f>'[2]Ukraine Sun Oil Exports'!V$250</f>
        <v>0.19800000000000001</v>
      </c>
      <c r="AZ35" s="141">
        <f>'[2]Ukraine Sun Oil Exports'!W$250</f>
        <v>0.111</v>
      </c>
      <c r="BA35" s="141">
        <f>'[2]Ukraine Sun Oil Exports'!X$250</f>
        <v>0</v>
      </c>
      <c r="BB35" s="141">
        <f>'[2]Ukraine Sun Oil Exports'!Y$250</f>
        <v>0.153</v>
      </c>
      <c r="BC35" s="141">
        <f>'[2]Ukraine Sun Oil Exports'!Z$250</f>
        <v>0</v>
      </c>
      <c r="BD35" s="141">
        <f>'[2]Ukraine Sun Oil Exports'!AA$250</f>
        <v>0.61728000000000005</v>
      </c>
      <c r="BE35" s="141">
        <f>'[2]Ukraine Sun Oil Exports'!AB$250</f>
        <v>0</v>
      </c>
      <c r="BF35" s="141">
        <f>'[2]Ukraine Sun Oil Exports'!AC$250</f>
        <v>0.49759999999999999</v>
      </c>
      <c r="BG35" s="143">
        <f>'[2]Ukraine Sun Oil Exports'!AD$250</f>
        <v>0</v>
      </c>
      <c r="BH35" s="141">
        <f>'[2]Russia Sun Oil Exports'!B$250</f>
        <v>0</v>
      </c>
      <c r="BI35" s="141">
        <f>'[2]Russia Sun Oil Exports'!C$250</f>
        <v>0</v>
      </c>
      <c r="BJ35" s="141">
        <f>'[2]Russia Sun Oil Exports'!D$250</f>
        <v>0</v>
      </c>
      <c r="BK35" s="141">
        <f>'[2]Russia Sun Oil Exports'!E$250</f>
        <v>0</v>
      </c>
      <c r="BL35" s="141">
        <f>'[2]Russia Sun Oil Exports'!F$250</f>
        <v>0</v>
      </c>
      <c r="BM35" s="141">
        <f>'[2]Russia Sun Oil Exports'!G$250</f>
        <v>0</v>
      </c>
      <c r="BN35" s="141">
        <f>'[2]Russia Sun Oil Exports'!H$250</f>
        <v>0</v>
      </c>
      <c r="BO35" s="141">
        <f>'[2]Russia Sun Oil Exports'!I$250</f>
        <v>0</v>
      </c>
      <c r="BP35" s="141">
        <f>'[2]Russia Sun Oil Exports'!J$250</f>
        <v>0</v>
      </c>
      <c r="BQ35" s="141">
        <f>'[2]Russia Sun Oil Exports'!K$250</f>
        <v>0</v>
      </c>
      <c r="BR35" s="141">
        <f>'[2]Russia Sun Oil Exports'!L$250</f>
        <v>0</v>
      </c>
      <c r="BS35" s="141">
        <f>'[2]Russia Sun Oil Exports'!M$250</f>
        <v>0</v>
      </c>
      <c r="BT35" s="141">
        <f>'[2]Russia Sun Oil Exports'!N$250</f>
        <v>0</v>
      </c>
      <c r="BU35" s="141">
        <f>'[2]Russia Sun Oil Exports'!O$250</f>
        <v>0</v>
      </c>
      <c r="BV35" s="141">
        <f>'[2]Russia Sun Oil Exports'!P$250</f>
        <v>0</v>
      </c>
      <c r="BW35" s="141">
        <f>'[2]Russia Sun Oil Exports'!Q$250</f>
        <v>0</v>
      </c>
      <c r="BX35" s="141">
        <f>'[2]Russia Sun Oil Exports'!R$250</f>
        <v>0</v>
      </c>
      <c r="BY35" s="141">
        <f>'[2]Russia Sun Oil Exports'!S$250</f>
        <v>0</v>
      </c>
      <c r="BZ35" s="141">
        <f>'[2]Russia Sun Oil Exports'!T$250</f>
        <v>0</v>
      </c>
      <c r="CA35" s="141">
        <f>'[2]Russia Sun Oil Exports'!U$250</f>
        <v>0</v>
      </c>
      <c r="CB35" s="141">
        <f>'[2]Russia Sun Oil Exports'!V$250</f>
        <v>0</v>
      </c>
      <c r="CC35" s="141">
        <f>'[2]Russia Sun Oil Exports'!W$250</f>
        <v>0</v>
      </c>
      <c r="CD35" s="141">
        <f>'[2]Russia Sun Oil Exports'!X$250</f>
        <v>0</v>
      </c>
      <c r="CE35" s="141">
        <f>'[2]Russia Sun Oil Exports'!Y$250</f>
        <v>0</v>
      </c>
      <c r="CF35" s="141">
        <f>'[2]Russia Sun Oil Exports'!Z$250</f>
        <v>0</v>
      </c>
      <c r="CG35" s="147">
        <f>'[2]Russia Sun Oil Exports'!AA$250</f>
        <v>0</v>
      </c>
      <c r="CH35" s="141">
        <f>'[2]Russia Sun Oil Exports'!AB$250</f>
        <v>0</v>
      </c>
      <c r="CI35" s="141">
        <f>'[2]Russia Sun Oil Exports'!AC$250</f>
        <v>0</v>
      </c>
      <c r="CJ35" s="143">
        <f>'[2]Russia Sun Oil Exports'!AD$250</f>
        <v>0</v>
      </c>
      <c r="CK35" s="141">
        <f>'[3]Sunflower Oil Exports'!B$250/2204.622*1000</f>
        <v>0</v>
      </c>
      <c r="CL35" s="141">
        <f>'[3]Sunflower Oil Exports'!C$250/2204.622*1000</f>
        <v>0</v>
      </c>
      <c r="CM35" s="141">
        <f>'[3]Sunflower Oil Exports'!D$250/2204.622*1000</f>
        <v>0</v>
      </c>
      <c r="CN35" s="141">
        <f>'[3]Sunflower Oil Exports'!E$250/2204.622*1000</f>
        <v>0</v>
      </c>
      <c r="CO35" s="141">
        <f>'[3]Sunflower Oil Exports'!F$250/2204.622*1000</f>
        <v>3.5193000000000003</v>
      </c>
      <c r="CP35" s="141">
        <f>'[3]Sunflower Oil Exports'!G$250/2204.622*1000</f>
        <v>1.4691000000000003</v>
      </c>
      <c r="CQ35" s="141">
        <f>'[3]Sunflower Oil Exports'!H$250/2204.622*1000</f>
        <v>0</v>
      </c>
      <c r="CR35" s="141">
        <f>'[3]Sunflower Oil Exports'!I$250/2204.622*1000</f>
        <v>0</v>
      </c>
      <c r="CS35" s="141">
        <f>'[3]Sunflower Oil Exports'!J$250/2204.622*1000</f>
        <v>1.3458000000000001</v>
      </c>
      <c r="CT35" s="141">
        <f>'[3]Sunflower Oil Exports'!K$250/2204.622*1000</f>
        <v>0</v>
      </c>
      <c r="CU35" s="141">
        <f>'[3]Sunflower Oil Exports'!L$250/2204.622*1000</f>
        <v>0</v>
      </c>
      <c r="CV35" s="141">
        <f>'[3]Sunflower Oil Exports'!M$250/2204.622*1000</f>
        <v>0</v>
      </c>
      <c r="CW35" s="141">
        <f>'[3]Sunflower Oil Exports'!N$250/2204.622*1000</f>
        <v>0</v>
      </c>
      <c r="CX35" s="141">
        <f>'[3]Sunflower Oil Exports'!O$250/2204.622*1000</f>
        <v>0</v>
      </c>
      <c r="CY35" s="141">
        <f>'[3]Sunflower Oil Exports'!P$250/2204.622*1000</f>
        <v>0</v>
      </c>
      <c r="CZ35" s="141">
        <f>'[3]Sunflower Oil Exports'!Q$250/2204.622*1000</f>
        <v>0</v>
      </c>
      <c r="DA35" s="141">
        <f>'[3]Sunflower Oil Exports'!R$250/2204.622*1000</f>
        <v>0</v>
      </c>
      <c r="DB35" s="141">
        <f>'[3]Sunflower Oil Exports'!S$250/2204.622*1000</f>
        <v>0</v>
      </c>
      <c r="DC35" s="141">
        <f>'[3]Sunflower Oil Exports'!T$250/2204.622*1000</f>
        <v>4.3E-3</v>
      </c>
      <c r="DD35" s="141">
        <f>'[3]Sunflower Oil Exports'!U$250/2204.622*1000</f>
        <v>2.41E-2</v>
      </c>
      <c r="DE35" s="141">
        <f>'[3]Sunflower Oil Exports'!V$250/2204.622*1000</f>
        <v>1.5800000000000002E-2</v>
      </c>
      <c r="DF35" s="141">
        <f>'[3]Sunflower Oil Exports'!W$250/2204.622*1000</f>
        <v>0</v>
      </c>
      <c r="DG35" s="141">
        <f>'[3]Sunflower Oil Exports'!X$250/2204.622*1000</f>
        <v>0</v>
      </c>
      <c r="DH35" s="141">
        <f>'[3]Sunflower Oil Exports'!Y$250/2204.622*1000</f>
        <v>1.6900000000000002E-2</v>
      </c>
      <c r="DI35" s="141">
        <f>'[3]Sunflower Oil Exports'!Z$250/2204.622*1000</f>
        <v>0</v>
      </c>
      <c r="DJ35" s="141">
        <f>'[3]Sunflower Oil Exports'!AA$250/2204.622*1000</f>
        <v>4.2389961544428024E-3</v>
      </c>
      <c r="DK35" s="141">
        <f>'[3]Sunflower Oil Exports'!AB$250/2204.622*1000</f>
        <v>6.4999941032975279E-3</v>
      </c>
      <c r="DL35" s="141">
        <f>'[3]Sunflower Oil Exports'!AC$250/2204.622*1000</f>
        <v>0</v>
      </c>
      <c r="DM35" s="143">
        <f>'[3]Sunflower Oil Exports'!AD$250/2204.622*1000</f>
        <v>0</v>
      </c>
      <c r="DN35" s="141">
        <f t="shared" si="9"/>
        <v>0</v>
      </c>
      <c r="DO35" s="141">
        <f t="shared" si="9"/>
        <v>0</v>
      </c>
      <c r="DP35" s="141">
        <f t="shared" si="9"/>
        <v>0</v>
      </c>
      <c r="DQ35" s="141">
        <f t="shared" si="9"/>
        <v>3.0000000000000001E-3</v>
      </c>
      <c r="DR35" s="141">
        <f t="shared" si="9"/>
        <v>3.6403000000000003</v>
      </c>
      <c r="DS35" s="141">
        <f t="shared" si="9"/>
        <v>1.6311000000000002</v>
      </c>
      <c r="DT35" s="141">
        <f t="shared" si="9"/>
        <v>0.01</v>
      </c>
      <c r="DU35" s="141">
        <f t="shared" si="9"/>
        <v>2E-3</v>
      </c>
      <c r="DV35" s="141">
        <f t="shared" si="9"/>
        <v>1.3558000000000001</v>
      </c>
      <c r="DW35" s="141">
        <f t="shared" si="9"/>
        <v>3.0000000000000001E-3</v>
      </c>
      <c r="DX35" s="141">
        <f t="shared" si="9"/>
        <v>9.0000000000000011E-3</v>
      </c>
      <c r="DY35" s="141">
        <f t="shared" si="9"/>
        <v>3.0000000000000002E-2</v>
      </c>
      <c r="DZ35" s="141">
        <f t="shared" si="9"/>
        <v>2.5999999999999999E-2</v>
      </c>
      <c r="EA35" s="141">
        <f t="shared" si="9"/>
        <v>5.2999999999999999E-2</v>
      </c>
      <c r="EB35" s="141">
        <f t="shared" si="9"/>
        <v>5.7000000000000009E-2</v>
      </c>
      <c r="EC35" s="141">
        <f t="shared" si="8"/>
        <v>6.0000000000000001E-3</v>
      </c>
      <c r="ED35" s="141">
        <f t="shared" si="8"/>
        <v>0.04</v>
      </c>
      <c r="EE35" s="141">
        <f t="shared" si="8"/>
        <v>2.1999999999999999E-2</v>
      </c>
      <c r="EF35" s="141">
        <f t="shared" si="10"/>
        <v>1.7300000000000003E-2</v>
      </c>
      <c r="EG35" s="141">
        <f t="shared" si="10"/>
        <v>5.5099999999999996E-2</v>
      </c>
      <c r="EH35" s="141">
        <f t="shared" si="10"/>
        <v>0.25280000000000002</v>
      </c>
      <c r="EI35" s="141">
        <f t="shared" si="10"/>
        <v>0.26200000000000001</v>
      </c>
      <c r="EJ35" s="141">
        <f t="shared" si="10"/>
        <v>8.0000000000000016E-2</v>
      </c>
      <c r="EK35" s="141">
        <f t="shared" si="10"/>
        <v>0.3629</v>
      </c>
      <c r="EL35" s="141">
        <f t="shared" si="10"/>
        <v>0.19700000000000001</v>
      </c>
      <c r="EM35" s="147">
        <f t="shared" si="10"/>
        <v>0.80051899615444289</v>
      </c>
      <c r="EN35" s="141">
        <f t="shared" si="10"/>
        <v>0.22749999410329755</v>
      </c>
      <c r="EO35" s="141">
        <f t="shared" si="10"/>
        <v>0.60760000000000003</v>
      </c>
      <c r="EP35" s="145">
        <f t="shared" si="10"/>
        <v>0.10100000000000001</v>
      </c>
      <c r="EQ35" s="145">
        <v>1</v>
      </c>
      <c r="ES35" s="145">
        <f t="shared" si="5"/>
        <v>0</v>
      </c>
      <c r="ET35" s="145">
        <f t="shared" si="6"/>
        <v>0</v>
      </c>
      <c r="EU35" s="145"/>
    </row>
    <row r="36" spans="1:151">
      <c r="A36" s="193" t="s">
        <v>167</v>
      </c>
      <c r="B36" s="141">
        <f>'[2]EU Sun Oil Exports'!B$266</f>
        <v>0</v>
      </c>
      <c r="C36" s="141">
        <f>'[2]EU Sun Oil Exports'!C$266</f>
        <v>0</v>
      </c>
      <c r="D36" s="141">
        <f>'[2]EU Sun Oil Exports'!D$266</f>
        <v>0</v>
      </c>
      <c r="E36" s="141">
        <f>'[2]EU Sun Oil Exports'!E$266</f>
        <v>0</v>
      </c>
      <c r="F36" s="141">
        <f>'[2]EU Sun Oil Exports'!F$266</f>
        <v>0</v>
      </c>
      <c r="G36" s="141">
        <f>'[2]EU Sun Oil Exports'!G$266</f>
        <v>2.8000000000000001E-2</v>
      </c>
      <c r="H36" s="141">
        <f>'[2]EU Sun Oil Exports'!H$266</f>
        <v>3.0000000000000001E-3</v>
      </c>
      <c r="I36" s="141">
        <f>'[2]EU Sun Oil Exports'!I$266</f>
        <v>1.0999999999999999E-2</v>
      </c>
      <c r="J36" s="141">
        <f>'[2]EU Sun Oil Exports'!J$266</f>
        <v>1.6E-2</v>
      </c>
      <c r="K36" s="141">
        <f>'[2]EU Sun Oil Exports'!K$266</f>
        <v>2.2000000000000002E-2</v>
      </c>
      <c r="L36" s="141">
        <f>'[2]EU Sun Oil Exports'!L$266</f>
        <v>6.3E-2</v>
      </c>
      <c r="M36" s="141">
        <f>'[2]EU Sun Oil Exports'!M$266</f>
        <v>0</v>
      </c>
      <c r="N36" s="141">
        <f>'[2]EU Sun Oil Exports'!N$266</f>
        <v>0</v>
      </c>
      <c r="O36" s="141">
        <f>'[2]EU Sun Oil Exports'!O$266</f>
        <v>1.3699999999999999</v>
      </c>
      <c r="P36" s="141">
        <f>'[2]EU Sun Oil Exports'!P$266</f>
        <v>0.23100000000000001</v>
      </c>
      <c r="Q36" s="141">
        <f>'[2]EU Sun Oil Exports'!Q$266</f>
        <v>0.10500000000000001</v>
      </c>
      <c r="R36" s="141">
        <f>'[2]EU Sun Oil Exports'!R$266</f>
        <v>0.73799999999999999</v>
      </c>
      <c r="S36" s="141">
        <f>'[2]EU Sun Oil Exports'!S$266</f>
        <v>0.99599999999999989</v>
      </c>
      <c r="T36" s="141">
        <f>'[2]EU Sun Oil Exports'!T$266</f>
        <v>1.528</v>
      </c>
      <c r="U36" s="141">
        <f>'[2]EU Sun Oil Exports'!U$266</f>
        <v>1.5020000000000002</v>
      </c>
      <c r="V36" s="141">
        <f>'[2]EU Sun Oil Exports'!V$266</f>
        <v>1.5629999999999999</v>
      </c>
      <c r="W36" s="141">
        <f>'[2]EU Sun Oil Exports'!W$266</f>
        <v>2.585</v>
      </c>
      <c r="X36" s="141">
        <f>'[2]EU Sun Oil Exports'!X$266</f>
        <v>3.2840000000000003</v>
      </c>
      <c r="Y36" s="141">
        <f>'[2]EU Sun Oil Exports'!Y$266</f>
        <v>4.2709999999999999</v>
      </c>
      <c r="Z36" s="141">
        <f>'[2]EU Sun Oil Exports'!Z$266</f>
        <v>5.492</v>
      </c>
      <c r="AA36" s="141">
        <f>'[2]EU Sun Oil Exports'!AA$266</f>
        <v>3.976</v>
      </c>
      <c r="AB36" s="141">
        <f>'[2]EU Sun Oil Exports'!AB$266</f>
        <v>8.3189999999999991</v>
      </c>
      <c r="AC36" s="141">
        <f>'[2]EU Sun Oil Exports'!AC$266</f>
        <v>12.519</v>
      </c>
      <c r="AD36" s="143">
        <f>'[2]EU Sun Oil Exports'!AD$266</f>
        <v>12.853</v>
      </c>
      <c r="AE36" s="141">
        <f>'[2]Ukraine Sun Oil Exports'!B$266</f>
        <v>0</v>
      </c>
      <c r="AF36" s="141">
        <f>'[2]Ukraine Sun Oil Exports'!C$266</f>
        <v>0</v>
      </c>
      <c r="AG36" s="141">
        <f>'[2]Ukraine Sun Oil Exports'!D$266</f>
        <v>0</v>
      </c>
      <c r="AH36" s="141">
        <f>'[2]Ukraine Sun Oil Exports'!E$266</f>
        <v>0</v>
      </c>
      <c r="AI36" s="141">
        <f>'[2]Ukraine Sun Oil Exports'!F$266</f>
        <v>0</v>
      </c>
      <c r="AJ36" s="141">
        <f>'[2]Ukraine Sun Oil Exports'!G$266</f>
        <v>0</v>
      </c>
      <c r="AK36" s="141">
        <f>'[2]Ukraine Sun Oil Exports'!H$266</f>
        <v>0</v>
      </c>
      <c r="AL36" s="141">
        <f>'[2]Ukraine Sun Oil Exports'!I$266</f>
        <v>0</v>
      </c>
      <c r="AM36" s="141">
        <f>'[2]Ukraine Sun Oil Exports'!J$266</f>
        <v>0</v>
      </c>
      <c r="AN36" s="141">
        <f>'[2]Ukraine Sun Oil Exports'!K$266</f>
        <v>0</v>
      </c>
      <c r="AO36" s="141">
        <f>'[2]Ukraine Sun Oil Exports'!L$266</f>
        <v>0</v>
      </c>
      <c r="AP36" s="141">
        <f>'[2]Ukraine Sun Oil Exports'!M$266</f>
        <v>0</v>
      </c>
      <c r="AQ36" s="141">
        <f>'[2]Ukraine Sun Oil Exports'!N$266</f>
        <v>0</v>
      </c>
      <c r="AR36" s="141">
        <f>'[2]Ukraine Sun Oil Exports'!O$266</f>
        <v>0</v>
      </c>
      <c r="AS36" s="141">
        <f>'[2]Ukraine Sun Oil Exports'!P$266</f>
        <v>0</v>
      </c>
      <c r="AT36" s="141">
        <f>'[2]Ukraine Sun Oil Exports'!Q$266</f>
        <v>0</v>
      </c>
      <c r="AU36" s="141">
        <f>'[2]Ukraine Sun Oil Exports'!R$266</f>
        <v>0</v>
      </c>
      <c r="AV36" s="141">
        <f>'[2]Ukraine Sun Oil Exports'!S$266</f>
        <v>0</v>
      </c>
      <c r="AW36" s="141">
        <f>'[2]Ukraine Sun Oil Exports'!T$266</f>
        <v>0</v>
      </c>
      <c r="AX36" s="141">
        <f>'[2]Ukraine Sun Oil Exports'!U$266</f>
        <v>0</v>
      </c>
      <c r="AY36" s="141">
        <f>'[2]Ukraine Sun Oil Exports'!V$266</f>
        <v>0</v>
      </c>
      <c r="AZ36" s="141">
        <f>'[2]Ukraine Sun Oil Exports'!W$266</f>
        <v>0</v>
      </c>
      <c r="BA36" s="141">
        <f>'[2]Ukraine Sun Oil Exports'!X$266</f>
        <v>0</v>
      </c>
      <c r="BB36" s="141">
        <f>'[2]Ukraine Sun Oil Exports'!Y$266</f>
        <v>0.39700000000000002</v>
      </c>
      <c r="BC36" s="141">
        <f>'[2]Ukraine Sun Oil Exports'!Z$266</f>
        <v>2.196E-2</v>
      </c>
      <c r="BD36" s="141">
        <f>'[2]Ukraine Sun Oil Exports'!AA$266</f>
        <v>1.518</v>
      </c>
      <c r="BE36" s="141">
        <f>'[2]Ukraine Sun Oil Exports'!AB$266</f>
        <v>2.5349149999999998</v>
      </c>
      <c r="BF36" s="141">
        <f>'[2]Ukraine Sun Oil Exports'!AC$266</f>
        <v>2.3902800000000002</v>
      </c>
      <c r="BG36" s="143">
        <f>'[2]Ukraine Sun Oil Exports'!AD$266</f>
        <v>1.8029999999999999</v>
      </c>
      <c r="BH36" s="141">
        <f>'[2]Russia Sun Oil Exports'!B$266</f>
        <v>0</v>
      </c>
      <c r="BI36" s="141">
        <f>'[2]Russia Sun Oil Exports'!C$266</f>
        <v>0</v>
      </c>
      <c r="BJ36" s="141">
        <f>'[2]Russia Sun Oil Exports'!D$266</f>
        <v>0</v>
      </c>
      <c r="BK36" s="141">
        <f>'[2]Russia Sun Oil Exports'!E$266</f>
        <v>0</v>
      </c>
      <c r="BL36" s="141">
        <f>'[2]Russia Sun Oil Exports'!F$266</f>
        <v>0</v>
      </c>
      <c r="BM36" s="141">
        <f>'[2]Russia Sun Oil Exports'!G$266</f>
        <v>0</v>
      </c>
      <c r="BN36" s="141">
        <f>'[2]Russia Sun Oil Exports'!H$266</f>
        <v>0</v>
      </c>
      <c r="BO36" s="141">
        <f>'[2]Russia Sun Oil Exports'!I$266</f>
        <v>0</v>
      </c>
      <c r="BP36" s="141">
        <f>'[2]Russia Sun Oil Exports'!J$266</f>
        <v>0</v>
      </c>
      <c r="BQ36" s="141">
        <f>'[2]Russia Sun Oil Exports'!K$266</f>
        <v>0</v>
      </c>
      <c r="BR36" s="141">
        <f>'[2]Russia Sun Oil Exports'!L$266</f>
        <v>0</v>
      </c>
      <c r="BS36" s="141">
        <f>'[2]Russia Sun Oil Exports'!M$266</f>
        <v>0</v>
      </c>
      <c r="BT36" s="141">
        <f>'[2]Russia Sun Oil Exports'!N$266</f>
        <v>0</v>
      </c>
      <c r="BU36" s="141">
        <f>'[2]Russia Sun Oil Exports'!O$266</f>
        <v>0</v>
      </c>
      <c r="BV36" s="141">
        <f>'[2]Russia Sun Oil Exports'!P$266</f>
        <v>0</v>
      </c>
      <c r="BW36" s="141">
        <f>'[2]Russia Sun Oil Exports'!Q$266</f>
        <v>0</v>
      </c>
      <c r="BX36" s="141">
        <f>'[2]Russia Sun Oil Exports'!R$266</f>
        <v>0</v>
      </c>
      <c r="BY36" s="141">
        <f>'[2]Russia Sun Oil Exports'!S$266</f>
        <v>0</v>
      </c>
      <c r="BZ36" s="141">
        <f>'[2]Russia Sun Oil Exports'!T$266</f>
        <v>0</v>
      </c>
      <c r="CA36" s="141">
        <f>'[2]Russia Sun Oil Exports'!U$266</f>
        <v>0</v>
      </c>
      <c r="CB36" s="141">
        <f>'[2]Russia Sun Oil Exports'!V$266</f>
        <v>0</v>
      </c>
      <c r="CC36" s="141">
        <f>'[2]Russia Sun Oil Exports'!W$266</f>
        <v>0</v>
      </c>
      <c r="CD36" s="141">
        <f>'[2]Russia Sun Oil Exports'!X$266</f>
        <v>0</v>
      </c>
      <c r="CE36" s="141">
        <f>'[2]Russia Sun Oil Exports'!Y$266</f>
        <v>0</v>
      </c>
      <c r="CF36" s="141">
        <f>'[2]Russia Sun Oil Exports'!Z$266</f>
        <v>0</v>
      </c>
      <c r="CG36" s="147">
        <f>'[2]Russia Sun Oil Exports'!AA$266</f>
        <v>0</v>
      </c>
      <c r="CH36" s="141">
        <f>'[2]Russia Sun Oil Exports'!AB$266</f>
        <v>0</v>
      </c>
      <c r="CI36" s="141">
        <f>'[2]Russia Sun Oil Exports'!AC$266</f>
        <v>0</v>
      </c>
      <c r="CJ36" s="143">
        <f>'[2]Russia Sun Oil Exports'!AD$266</f>
        <v>0</v>
      </c>
      <c r="CK36" s="141">
        <f>'[3]Sunflower Oil Exports'!B$266/2204.622*1000</f>
        <v>76.56910000000002</v>
      </c>
      <c r="CL36" s="141">
        <f>'[3]Sunflower Oil Exports'!C$266/2204.622*1000</f>
        <v>140.91990000000001</v>
      </c>
      <c r="CM36" s="141">
        <f>'[3]Sunflower Oil Exports'!D$266/2204.622*1000</f>
        <v>102.54160000000005</v>
      </c>
      <c r="CN36" s="141">
        <f>'[3]Sunflower Oil Exports'!E$266/2204.622*1000</f>
        <v>120.43480000000004</v>
      </c>
      <c r="CO36" s="141">
        <f>'[3]Sunflower Oil Exports'!F$266/2204.622*1000</f>
        <v>157.23870000000002</v>
      </c>
      <c r="CP36" s="141">
        <f>'[3]Sunflower Oil Exports'!G$266/2204.622*1000</f>
        <v>151.53420000000003</v>
      </c>
      <c r="CQ36" s="141">
        <f>'[3]Sunflower Oil Exports'!H$266/2204.622*1000</f>
        <v>169.57769999999999</v>
      </c>
      <c r="CR36" s="141">
        <f>'[3]Sunflower Oil Exports'!I$266/2204.622*1000</f>
        <v>39.095500000000001</v>
      </c>
      <c r="CS36" s="141">
        <f>'[3]Sunflower Oil Exports'!J$266/2204.622*1000</f>
        <v>17.7608</v>
      </c>
      <c r="CT36" s="141">
        <f>'[3]Sunflower Oil Exports'!K$266/2204.622*1000</f>
        <v>5.2590000000000003</v>
      </c>
      <c r="CU36" s="141">
        <f>'[3]Sunflower Oil Exports'!L$266/2204.622*1000</f>
        <v>63.787300000000016</v>
      </c>
      <c r="CV36" s="141">
        <f>'[3]Sunflower Oil Exports'!M$266/2204.622*1000</f>
        <v>5.3320999999999996</v>
      </c>
      <c r="CW36" s="141">
        <f>'[3]Sunflower Oil Exports'!N$266/2204.622*1000</f>
        <v>26.151600000000009</v>
      </c>
      <c r="CX36" s="141">
        <f>'[3]Sunflower Oil Exports'!O$266/2204.622*1000</f>
        <v>3.545300000000001</v>
      </c>
      <c r="CY36" s="141">
        <f>'[3]Sunflower Oil Exports'!P$266/2204.622*1000</f>
        <v>3.5874999999999999</v>
      </c>
      <c r="CZ36" s="141">
        <f>'[3]Sunflower Oil Exports'!Q$266/2204.622*1000</f>
        <v>2.4583999999999997</v>
      </c>
      <c r="DA36" s="141">
        <f>'[3]Sunflower Oil Exports'!R$266/2204.622*1000</f>
        <v>10.399400000000002</v>
      </c>
      <c r="DB36" s="141">
        <f>'[3]Sunflower Oil Exports'!S$266/2204.622*1000</f>
        <v>5.0555000000000003</v>
      </c>
      <c r="DC36" s="141">
        <f>'[3]Sunflower Oil Exports'!T$266/2204.622*1000</f>
        <v>0.36699999999999999</v>
      </c>
      <c r="DD36" s="141">
        <f>'[3]Sunflower Oil Exports'!U$266/2204.622*1000</f>
        <v>8.3417999999999992</v>
      </c>
      <c r="DE36" s="141">
        <f>'[3]Sunflower Oil Exports'!V$266/2204.622*1000</f>
        <v>5.1888000000000005</v>
      </c>
      <c r="DF36" s="141">
        <f>'[3]Sunflower Oil Exports'!W$266/2204.622*1000</f>
        <v>3.3252000000000002</v>
      </c>
      <c r="DG36" s="141">
        <f>'[3]Sunflower Oil Exports'!X$266/2204.622*1000</f>
        <v>10.787899999999999</v>
      </c>
      <c r="DH36" s="141">
        <f>'[3]Sunflower Oil Exports'!Y$266/2204.622*1000</f>
        <v>5.1403193995251799</v>
      </c>
      <c r="DI36" s="141">
        <f>'[3]Sunflower Oil Exports'!Z$266/2204.622*1000</f>
        <v>14.314676013928919</v>
      </c>
      <c r="DJ36" s="141">
        <f>'[3]Sunflower Oil Exports'!AA$266/2204.622*1000</f>
        <v>17.43864817990567</v>
      </c>
      <c r="DK36" s="141">
        <f>'[3]Sunflower Oil Exports'!AB$266/2204.622*1000</f>
        <v>9.8704170456976303</v>
      </c>
      <c r="DL36" s="141">
        <f>'[3]Sunflower Oil Exports'!AC$266/2204.622*1000</f>
        <v>11.536645360501712</v>
      </c>
      <c r="DM36" s="143">
        <v>0</v>
      </c>
      <c r="DN36" s="141">
        <f t="shared" si="9"/>
        <v>76.56910000000002</v>
      </c>
      <c r="DO36" s="141">
        <f t="shared" si="9"/>
        <v>140.91990000000001</v>
      </c>
      <c r="DP36" s="141">
        <f t="shared" si="9"/>
        <v>102.54160000000005</v>
      </c>
      <c r="DQ36" s="141">
        <f t="shared" si="9"/>
        <v>120.43480000000004</v>
      </c>
      <c r="DR36" s="141">
        <f t="shared" si="9"/>
        <v>157.23870000000002</v>
      </c>
      <c r="DS36" s="141">
        <f t="shared" si="9"/>
        <v>151.56220000000002</v>
      </c>
      <c r="DT36" s="141">
        <f t="shared" si="9"/>
        <v>169.58069999999998</v>
      </c>
      <c r="DU36" s="141">
        <f t="shared" si="9"/>
        <v>39.106500000000004</v>
      </c>
      <c r="DV36" s="141">
        <f t="shared" si="9"/>
        <v>17.776799999999998</v>
      </c>
      <c r="DW36" s="141">
        <f t="shared" si="9"/>
        <v>5.2810000000000006</v>
      </c>
      <c r="DX36" s="141">
        <f t="shared" si="9"/>
        <v>63.850300000000018</v>
      </c>
      <c r="DY36" s="141">
        <f t="shared" si="9"/>
        <v>5.3320999999999996</v>
      </c>
      <c r="DZ36" s="141">
        <f t="shared" si="9"/>
        <v>26.151600000000009</v>
      </c>
      <c r="EA36" s="141">
        <f t="shared" si="9"/>
        <v>4.9153000000000011</v>
      </c>
      <c r="EB36" s="141">
        <f t="shared" si="9"/>
        <v>3.8184999999999998</v>
      </c>
      <c r="EC36" s="141">
        <f t="shared" si="8"/>
        <v>2.5633999999999997</v>
      </c>
      <c r="ED36" s="141">
        <f t="shared" si="8"/>
        <v>11.137400000000001</v>
      </c>
      <c r="EE36" s="141">
        <f t="shared" si="8"/>
        <v>6.0514999999999999</v>
      </c>
      <c r="EF36" s="141">
        <f t="shared" si="10"/>
        <v>1.895</v>
      </c>
      <c r="EG36" s="141">
        <f t="shared" si="10"/>
        <v>9.8437999999999999</v>
      </c>
      <c r="EH36" s="141">
        <f t="shared" si="10"/>
        <v>6.7518000000000002</v>
      </c>
      <c r="EI36" s="141">
        <f t="shared" si="10"/>
        <v>5.9101999999999997</v>
      </c>
      <c r="EJ36" s="141">
        <f t="shared" si="10"/>
        <v>14.071899999999999</v>
      </c>
      <c r="EK36" s="141">
        <f t="shared" si="10"/>
        <v>9.8083193995251801</v>
      </c>
      <c r="EL36" s="141">
        <f t="shared" si="10"/>
        <v>19.828636013928918</v>
      </c>
      <c r="EM36" s="147">
        <f t="shared" si="10"/>
        <v>22.932648179905669</v>
      </c>
      <c r="EN36" s="141">
        <f t="shared" si="10"/>
        <v>20.724332045697629</v>
      </c>
      <c r="EO36" s="141">
        <f t="shared" si="10"/>
        <v>26.445925360501711</v>
      </c>
      <c r="EP36" s="145">
        <f>'Mexico Sun Complex'!AD34-5</f>
        <v>20</v>
      </c>
      <c r="EQ36" s="145">
        <f>'Mexico Sun Complex'!AE34</f>
        <v>25</v>
      </c>
      <c r="ES36" s="145">
        <f t="shared" si="5"/>
        <v>0</v>
      </c>
      <c r="ET36" s="145">
        <f t="shared" si="6"/>
        <v>-5.3440000000000012</v>
      </c>
      <c r="EU36" s="145"/>
    </row>
    <row r="37" spans="1:151">
      <c r="A37" s="187" t="s">
        <v>168</v>
      </c>
      <c r="B37" s="141">
        <f>'[2]EU Sun Oil Exports'!B$274</f>
        <v>0</v>
      </c>
      <c r="C37" s="141">
        <f>'[2]EU Sun Oil Exports'!C$274</f>
        <v>0</v>
      </c>
      <c r="D37" s="141">
        <f>'[2]EU Sun Oil Exports'!D$274</f>
        <v>0</v>
      </c>
      <c r="E37" s="141">
        <f>'[2]EU Sun Oil Exports'!E$274</f>
        <v>0</v>
      </c>
      <c r="F37" s="141">
        <f>'[2]EU Sun Oil Exports'!F$274</f>
        <v>8.0000000000000002E-3</v>
      </c>
      <c r="G37" s="141">
        <f>'[2]EU Sun Oil Exports'!G$274</f>
        <v>1.3000000000000001E-2</v>
      </c>
      <c r="H37" s="141">
        <f>'[2]EU Sun Oil Exports'!H$274</f>
        <v>6.0000000000000001E-3</v>
      </c>
      <c r="I37" s="141">
        <f>'[2]EU Sun Oil Exports'!I$274</f>
        <v>1.6E-2</v>
      </c>
      <c r="J37" s="141">
        <f>'[2]EU Sun Oil Exports'!J$274</f>
        <v>1.8000000000000002E-2</v>
      </c>
      <c r="K37" s="141">
        <f>'[2]EU Sun Oil Exports'!K$274</f>
        <v>3.9E-2</v>
      </c>
      <c r="L37" s="141">
        <f>'[2]EU Sun Oil Exports'!L$274</f>
        <v>1.4E-2</v>
      </c>
      <c r="M37" s="141">
        <f>'[2]EU Sun Oil Exports'!M$274</f>
        <v>2.1000000000000001E-2</v>
      </c>
      <c r="N37" s="141">
        <f>'[2]EU Sun Oil Exports'!N$274</f>
        <v>1.0999999999999999E-2</v>
      </c>
      <c r="O37" s="141">
        <f>'[2]EU Sun Oil Exports'!O$274</f>
        <v>0.01</v>
      </c>
      <c r="P37" s="141">
        <f>'[2]EU Sun Oil Exports'!P$274</f>
        <v>8.9999999999999993E-3</v>
      </c>
      <c r="Q37" s="141">
        <f>'[2]EU Sun Oil Exports'!Q$274</f>
        <v>1.3999999999999999E-2</v>
      </c>
      <c r="R37" s="141">
        <f>'[2]EU Sun Oil Exports'!R$274</f>
        <v>3.7999999999999999E-2</v>
      </c>
      <c r="S37" s="141">
        <f>'[2]EU Sun Oil Exports'!S$274</f>
        <v>1.9E-2</v>
      </c>
      <c r="T37" s="141">
        <f>'[2]EU Sun Oil Exports'!T$274</f>
        <v>7.1000000000000008E-2</v>
      </c>
      <c r="U37" s="141">
        <f>'[2]EU Sun Oil Exports'!U$274</f>
        <v>1.6E-2</v>
      </c>
      <c r="V37" s="141">
        <f>'[2]EU Sun Oil Exports'!V$274</f>
        <v>1.9999999999999997E-2</v>
      </c>
      <c r="W37" s="141">
        <f>'[2]EU Sun Oil Exports'!W$274</f>
        <v>0.16900000000000001</v>
      </c>
      <c r="X37" s="141">
        <f>'[2]EU Sun Oil Exports'!X$274</f>
        <v>0.52</v>
      </c>
      <c r="Y37" s="141">
        <f>'[2]EU Sun Oil Exports'!Y$274</f>
        <v>9.4000000000000014E-2</v>
      </c>
      <c r="Z37" s="141">
        <f>'[2]EU Sun Oil Exports'!Z$274</f>
        <v>0.13100000000000001</v>
      </c>
      <c r="AA37" s="141">
        <f>'[2]EU Sun Oil Exports'!AA$274</f>
        <v>0.42600000000000005</v>
      </c>
      <c r="AB37" s="141">
        <f>'[2]EU Sun Oil Exports'!AB$274</f>
        <v>0.44299999999999995</v>
      </c>
      <c r="AC37" s="141">
        <f>'[2]EU Sun Oil Exports'!AC$274</f>
        <v>0.93900000000000006</v>
      </c>
      <c r="AD37" s="143">
        <f>'[2]EU Sun Oil Exports'!AD$274</f>
        <v>0.75400000000000011</v>
      </c>
      <c r="AE37" s="141">
        <f>'[2]Ukraine Sun Oil Exports'!B$274</f>
        <v>0</v>
      </c>
      <c r="AF37" s="141">
        <f>'[2]Ukraine Sun Oil Exports'!C$274</f>
        <v>0</v>
      </c>
      <c r="AG37" s="141">
        <f>'[2]Ukraine Sun Oil Exports'!D$274</f>
        <v>0</v>
      </c>
      <c r="AH37" s="141">
        <f>'[2]Ukraine Sun Oil Exports'!E$274</f>
        <v>0</v>
      </c>
      <c r="AI37" s="141">
        <f>'[2]Ukraine Sun Oil Exports'!F$274</f>
        <v>0</v>
      </c>
      <c r="AJ37" s="141">
        <f>'[2]Ukraine Sun Oil Exports'!G$274</f>
        <v>0</v>
      </c>
      <c r="AK37" s="141">
        <f>'[2]Ukraine Sun Oil Exports'!H$274</f>
        <v>0</v>
      </c>
      <c r="AL37" s="141">
        <f>'[2]Ukraine Sun Oil Exports'!I$274</f>
        <v>0</v>
      </c>
      <c r="AM37" s="141">
        <f>'[2]Ukraine Sun Oil Exports'!J$274</f>
        <v>0</v>
      </c>
      <c r="AN37" s="141">
        <f>'[2]Ukraine Sun Oil Exports'!K$274</f>
        <v>0</v>
      </c>
      <c r="AO37" s="141">
        <f>'[2]Ukraine Sun Oil Exports'!L$274</f>
        <v>0</v>
      </c>
      <c r="AP37" s="141">
        <f>'[2]Ukraine Sun Oil Exports'!M$274</f>
        <v>0</v>
      </c>
      <c r="AQ37" s="141">
        <f>'[2]Ukraine Sun Oil Exports'!N$274</f>
        <v>0</v>
      </c>
      <c r="AR37" s="141">
        <f>'[2]Ukraine Sun Oil Exports'!O$274</f>
        <v>0</v>
      </c>
      <c r="AS37" s="141">
        <f>'[2]Ukraine Sun Oil Exports'!P$274</f>
        <v>0</v>
      </c>
      <c r="AT37" s="141">
        <f>'[2]Ukraine Sun Oil Exports'!Q$274</f>
        <v>0</v>
      </c>
      <c r="AU37" s="141">
        <f>'[2]Ukraine Sun Oil Exports'!R$274</f>
        <v>0</v>
      </c>
      <c r="AV37" s="141">
        <f>'[2]Ukraine Sun Oil Exports'!S$274</f>
        <v>0</v>
      </c>
      <c r="AW37" s="141">
        <f>'[2]Ukraine Sun Oil Exports'!T$274</f>
        <v>0</v>
      </c>
      <c r="AX37" s="141">
        <f>'[2]Ukraine Sun Oil Exports'!U$274</f>
        <v>0</v>
      </c>
      <c r="AY37" s="141">
        <f>'[2]Ukraine Sun Oil Exports'!V$274</f>
        <v>0</v>
      </c>
      <c r="AZ37" s="141">
        <f>'[2]Ukraine Sun Oil Exports'!W$274</f>
        <v>0</v>
      </c>
      <c r="BA37" s="141">
        <f>'[2]Ukraine Sun Oil Exports'!X$274</f>
        <v>0</v>
      </c>
      <c r="BB37" s="141">
        <f>'[2]Ukraine Sun Oil Exports'!Y$274</f>
        <v>0</v>
      </c>
      <c r="BC37" s="141">
        <f>'[2]Ukraine Sun Oil Exports'!Z$274</f>
        <v>1.3475510000000002</v>
      </c>
      <c r="BD37" s="141">
        <f>'[2]Ukraine Sun Oil Exports'!AA$274</f>
        <v>0.611174</v>
      </c>
      <c r="BE37" s="141">
        <f>'[2]Ukraine Sun Oil Exports'!AB$274</f>
        <v>4.0551819999999994</v>
      </c>
      <c r="BF37" s="141">
        <f>'[2]Ukraine Sun Oil Exports'!AC$274</f>
        <v>1.4363619999999999</v>
      </c>
      <c r="BG37" s="143">
        <f>'[2]Ukraine Sun Oil Exports'!AD$274</f>
        <v>1.6230000000000002</v>
      </c>
      <c r="BH37" s="141">
        <f>'[2]Russia Sun Oil Exports'!B$274</f>
        <v>0</v>
      </c>
      <c r="BI37" s="141">
        <f>'[2]Russia Sun Oil Exports'!C$274</f>
        <v>0</v>
      </c>
      <c r="BJ37" s="141">
        <f>'[2]Russia Sun Oil Exports'!D$274</f>
        <v>0</v>
      </c>
      <c r="BK37" s="141">
        <f>'[2]Russia Sun Oil Exports'!E$274</f>
        <v>0</v>
      </c>
      <c r="BL37" s="141">
        <f>'[2]Russia Sun Oil Exports'!F$274</f>
        <v>0</v>
      </c>
      <c r="BM37" s="141">
        <f>'[2]Russia Sun Oil Exports'!G$274</f>
        <v>0</v>
      </c>
      <c r="BN37" s="141">
        <f>'[2]Russia Sun Oil Exports'!H$274</f>
        <v>0</v>
      </c>
      <c r="BO37" s="141">
        <f>'[2]Russia Sun Oil Exports'!I$274</f>
        <v>0</v>
      </c>
      <c r="BP37" s="141">
        <f>'[2]Russia Sun Oil Exports'!J$274</f>
        <v>0</v>
      </c>
      <c r="BQ37" s="141">
        <f>'[2]Russia Sun Oil Exports'!K$274</f>
        <v>0</v>
      </c>
      <c r="BR37" s="141">
        <f>'[2]Russia Sun Oil Exports'!L$274</f>
        <v>0</v>
      </c>
      <c r="BS37" s="141">
        <f>'[2]Russia Sun Oil Exports'!M$274</f>
        <v>0</v>
      </c>
      <c r="BT37" s="141">
        <f>'[2]Russia Sun Oil Exports'!N$274</f>
        <v>0</v>
      </c>
      <c r="BU37" s="141">
        <f>'[2]Russia Sun Oil Exports'!O$274</f>
        <v>0</v>
      </c>
      <c r="BV37" s="141">
        <f>'[2]Russia Sun Oil Exports'!P$274</f>
        <v>0</v>
      </c>
      <c r="BW37" s="141">
        <f>'[2]Russia Sun Oil Exports'!Q$274</f>
        <v>0</v>
      </c>
      <c r="BX37" s="141">
        <f>'[2]Russia Sun Oil Exports'!R$274</f>
        <v>0</v>
      </c>
      <c r="BY37" s="141">
        <f>'[2]Russia Sun Oil Exports'!S$274</f>
        <v>0</v>
      </c>
      <c r="BZ37" s="141">
        <f>'[2]Russia Sun Oil Exports'!T$274</f>
        <v>0</v>
      </c>
      <c r="CA37" s="141">
        <f>'[2]Russia Sun Oil Exports'!U$274</f>
        <v>0</v>
      </c>
      <c r="CB37" s="141">
        <f>'[2]Russia Sun Oil Exports'!V$274</f>
        <v>0</v>
      </c>
      <c r="CC37" s="141">
        <f>'[2]Russia Sun Oil Exports'!W$274</f>
        <v>0</v>
      </c>
      <c r="CD37" s="141">
        <f>'[2]Russia Sun Oil Exports'!X$274</f>
        <v>0</v>
      </c>
      <c r="CE37" s="141">
        <f>'[2]Russia Sun Oil Exports'!Y$274</f>
        <v>0</v>
      </c>
      <c r="CF37" s="141">
        <f>'[2]Russia Sun Oil Exports'!Z$274</f>
        <v>0</v>
      </c>
      <c r="CG37" s="147">
        <f>'[2]Russia Sun Oil Exports'!AA$274</f>
        <v>0</v>
      </c>
      <c r="CH37" s="141">
        <f>'[2]Russia Sun Oil Exports'!AB$274</f>
        <v>0</v>
      </c>
      <c r="CI37" s="141">
        <f>'[2]Russia Sun Oil Exports'!AC$274</f>
        <v>0</v>
      </c>
      <c r="CJ37" s="143">
        <f>'[2]Russia Sun Oil Exports'!AD$274</f>
        <v>8.0000000000000002E-3</v>
      </c>
      <c r="CK37" s="141">
        <f>'[3]Sunflower Oil Exports'!B$274/2204.622*1000</f>
        <v>0</v>
      </c>
      <c r="CL37" s="141">
        <f>'[3]Sunflower Oil Exports'!C$274/2204.622*1000</f>
        <v>0</v>
      </c>
      <c r="CM37" s="141">
        <f>'[3]Sunflower Oil Exports'!D$274/2204.622*1000</f>
        <v>0</v>
      </c>
      <c r="CN37" s="141">
        <f>'[3]Sunflower Oil Exports'!E$274/2204.622*1000</f>
        <v>0.99980000000000013</v>
      </c>
      <c r="CO37" s="141">
        <f>'[3]Sunflower Oil Exports'!F$274/2204.622*1000</f>
        <v>1.4995000000000005</v>
      </c>
      <c r="CP37" s="141">
        <f>'[3]Sunflower Oil Exports'!G$274/2204.622*1000</f>
        <v>2.2040999999999999</v>
      </c>
      <c r="CQ37" s="141">
        <f>'[3]Sunflower Oil Exports'!H$274/2204.622*1000</f>
        <v>0</v>
      </c>
      <c r="CR37" s="141">
        <f>'[3]Sunflower Oil Exports'!I$274/2204.622*1000</f>
        <v>0</v>
      </c>
      <c r="CS37" s="141">
        <f>'[3]Sunflower Oil Exports'!J$274/2204.622*1000</f>
        <v>0</v>
      </c>
      <c r="CT37" s="141">
        <f>'[3]Sunflower Oil Exports'!K$274/2204.622*1000</f>
        <v>0</v>
      </c>
      <c r="CU37" s="141">
        <f>'[3]Sunflower Oil Exports'!L$274/2204.622*1000</f>
        <v>0</v>
      </c>
      <c r="CV37" s="141">
        <f>'[3]Sunflower Oil Exports'!M$274/2204.622*1000</f>
        <v>0</v>
      </c>
      <c r="CW37" s="141">
        <f>'[3]Sunflower Oil Exports'!N$274/2204.622*1000</f>
        <v>4.8100000000000011E-2</v>
      </c>
      <c r="CX37" s="141">
        <f>'[3]Sunflower Oil Exports'!O$274/2204.622*1000</f>
        <v>0</v>
      </c>
      <c r="CY37" s="141">
        <f>'[3]Sunflower Oil Exports'!P$274/2204.622*1000</f>
        <v>1.1000000000000001E-3</v>
      </c>
      <c r="CZ37" s="141">
        <f>'[3]Sunflower Oil Exports'!Q$274/2204.622*1000</f>
        <v>0</v>
      </c>
      <c r="DA37" s="141">
        <f>'[3]Sunflower Oil Exports'!R$274/2204.622*1000</f>
        <v>8.0000000000000004E-4</v>
      </c>
      <c r="DB37" s="141">
        <f>'[3]Sunflower Oil Exports'!S$274/2204.622*1000</f>
        <v>1.6000000000000001E-3</v>
      </c>
      <c r="DC37" s="141">
        <f>'[3]Sunflower Oil Exports'!T$274/2204.622*1000</f>
        <v>1.66E-2</v>
      </c>
      <c r="DD37" s="141">
        <f>'[3]Sunflower Oil Exports'!U$274/2204.622*1000</f>
        <v>4.0000000000000002E-4</v>
      </c>
      <c r="DE37" s="141">
        <f>'[3]Sunflower Oil Exports'!V$274/2204.622*1000</f>
        <v>0</v>
      </c>
      <c r="DF37" s="141">
        <f>'[3]Sunflower Oil Exports'!W$274/2204.622*1000</f>
        <v>0</v>
      </c>
      <c r="DG37" s="141">
        <f>'[3]Sunflower Oil Exports'!X$274/2204.622*1000</f>
        <v>0</v>
      </c>
      <c r="DH37" s="141">
        <f>'[3]Sunflower Oil Exports'!Y$274/2204.622*1000</f>
        <v>5.9959945605187652E-3</v>
      </c>
      <c r="DI37" s="141">
        <f>'[3]Sunflower Oil Exports'!Z$274/2204.622*1000</f>
        <v>1.8067983608981496E-2</v>
      </c>
      <c r="DJ37" s="141">
        <f>'[3]Sunflower Oil Exports'!AA$274/2204.622*1000</f>
        <v>4.1810962069688144E-2</v>
      </c>
      <c r="DK37" s="141">
        <f>'[3]Sunflower Oil Exports'!AB$274/2204.622*1000</f>
        <v>1.5916985560336421E-2</v>
      </c>
      <c r="DL37" s="141">
        <f>'[3]Sunflower Oil Exports'!AC$274/2204.622*1000</f>
        <v>1.3543292627942568E-2</v>
      </c>
      <c r="DM37" s="143">
        <f>'[3]Sunflower Oil Exports'!AD$274/2204.622*1000</f>
        <v>0</v>
      </c>
      <c r="DN37" s="141">
        <f t="shared" ref="DN37:EB73" si="11">SUM(B37,AE37,BH37,CK37)</f>
        <v>0</v>
      </c>
      <c r="DO37" s="141">
        <f t="shared" si="11"/>
        <v>0</v>
      </c>
      <c r="DP37" s="141">
        <f t="shared" si="11"/>
        <v>0</v>
      </c>
      <c r="DQ37" s="141">
        <f t="shared" si="11"/>
        <v>0.99980000000000013</v>
      </c>
      <c r="DR37" s="141">
        <f t="shared" si="11"/>
        <v>1.5075000000000005</v>
      </c>
      <c r="DS37" s="141">
        <f t="shared" si="11"/>
        <v>2.2170999999999998</v>
      </c>
      <c r="DT37" s="141">
        <f t="shared" si="11"/>
        <v>6.0000000000000001E-3</v>
      </c>
      <c r="DU37" s="141">
        <f t="shared" si="11"/>
        <v>1.6E-2</v>
      </c>
      <c r="DV37" s="141">
        <f t="shared" si="11"/>
        <v>1.8000000000000002E-2</v>
      </c>
      <c r="DW37" s="141">
        <f t="shared" si="11"/>
        <v>3.9E-2</v>
      </c>
      <c r="DX37" s="141">
        <f t="shared" si="11"/>
        <v>1.4E-2</v>
      </c>
      <c r="DY37" s="141">
        <f t="shared" si="11"/>
        <v>2.1000000000000001E-2</v>
      </c>
      <c r="DZ37" s="141">
        <f t="shared" si="11"/>
        <v>5.9100000000000014E-2</v>
      </c>
      <c r="EA37" s="141">
        <f t="shared" si="11"/>
        <v>0.01</v>
      </c>
      <c r="EB37" s="141">
        <f t="shared" si="11"/>
        <v>1.01E-2</v>
      </c>
      <c r="EC37" s="141">
        <f t="shared" si="8"/>
        <v>1.3999999999999999E-2</v>
      </c>
      <c r="ED37" s="141">
        <f t="shared" si="8"/>
        <v>3.8800000000000001E-2</v>
      </c>
      <c r="EE37" s="141">
        <f t="shared" si="8"/>
        <v>2.06E-2</v>
      </c>
      <c r="EF37" s="141">
        <f t="shared" si="10"/>
        <v>8.7600000000000011E-2</v>
      </c>
      <c r="EG37" s="141">
        <f t="shared" si="10"/>
        <v>1.6400000000000001E-2</v>
      </c>
      <c r="EH37" s="141">
        <f t="shared" si="10"/>
        <v>1.9999999999999997E-2</v>
      </c>
      <c r="EI37" s="141">
        <f t="shared" si="10"/>
        <v>0.16900000000000001</v>
      </c>
      <c r="EJ37" s="141">
        <f t="shared" si="10"/>
        <v>0.52</v>
      </c>
      <c r="EK37" s="141">
        <f t="shared" si="10"/>
        <v>9.9995994560518775E-2</v>
      </c>
      <c r="EL37" s="141">
        <f t="shared" si="10"/>
        <v>1.4966189836089816</v>
      </c>
      <c r="EM37" s="147">
        <f t="shared" si="10"/>
        <v>1.0789849620696881</v>
      </c>
      <c r="EN37" s="141">
        <f t="shared" si="10"/>
        <v>4.5140989855603353</v>
      </c>
      <c r="EO37" s="141">
        <f t="shared" si="10"/>
        <v>2.3889052926279426</v>
      </c>
      <c r="EP37" s="145">
        <f>SUM(AD37,BG37,CJ37,DM37)</f>
        <v>2.3850000000000002</v>
      </c>
      <c r="EQ37" s="145">
        <v>2</v>
      </c>
      <c r="ES37" s="145">
        <f t="shared" si="5"/>
        <v>0</v>
      </c>
      <c r="ET37" s="145">
        <f t="shared" si="6"/>
        <v>0</v>
      </c>
      <c r="EU37" s="145"/>
    </row>
    <row r="38" spans="1:151">
      <c r="A38" s="187" t="s">
        <v>169</v>
      </c>
      <c r="B38" s="141">
        <f>'[2]EU Sun Oil Exports'!B$284</f>
        <v>0</v>
      </c>
      <c r="C38" s="141">
        <f>'[2]EU Sun Oil Exports'!C$284</f>
        <v>0</v>
      </c>
      <c r="D38" s="141">
        <f>'[2]EU Sun Oil Exports'!D$284</f>
        <v>0</v>
      </c>
      <c r="E38" s="141">
        <f>'[2]EU Sun Oil Exports'!E$284</f>
        <v>0.17100000000000001</v>
      </c>
      <c r="F38" s="141">
        <f>'[2]EU Sun Oil Exports'!F$284</f>
        <v>0.47100000000000009</v>
      </c>
      <c r="G38" s="141">
        <f>'[2]EU Sun Oil Exports'!G$284</f>
        <v>0.33100000000000007</v>
      </c>
      <c r="H38" s="141">
        <f>'[2]EU Sun Oil Exports'!H$284</f>
        <v>0.42500000000000004</v>
      </c>
      <c r="I38" s="141">
        <f>'[2]EU Sun Oil Exports'!I$284</f>
        <v>1.2309999999999999</v>
      </c>
      <c r="J38" s="141">
        <f>'[2]EU Sun Oil Exports'!J$284</f>
        <v>4.0819999999999999</v>
      </c>
      <c r="K38" s="141">
        <f>'[2]EU Sun Oil Exports'!K$284</f>
        <v>2.476</v>
      </c>
      <c r="L38" s="141">
        <f>'[2]EU Sun Oil Exports'!L$284</f>
        <v>1.401</v>
      </c>
      <c r="M38" s="141">
        <f>'[2]EU Sun Oil Exports'!M$284</f>
        <v>4.7469999999999999</v>
      </c>
      <c r="N38" s="141">
        <f>'[2]EU Sun Oil Exports'!N$284</f>
        <v>4.3230000000000004</v>
      </c>
      <c r="O38" s="141">
        <f>'[2]EU Sun Oil Exports'!O$284</f>
        <v>10.138000000000002</v>
      </c>
      <c r="P38" s="141">
        <f>'[2]EU Sun Oil Exports'!P$284</f>
        <v>3.387</v>
      </c>
      <c r="Q38" s="141">
        <f>'[2]EU Sun Oil Exports'!Q$284</f>
        <v>4.6790000000000012</v>
      </c>
      <c r="R38" s="141">
        <f>'[2]EU Sun Oil Exports'!R$284</f>
        <v>6.0960000000000001</v>
      </c>
      <c r="S38" s="141">
        <f>'[2]EU Sun Oil Exports'!S$284</f>
        <v>8.0439999999999987</v>
      </c>
      <c r="T38" s="141">
        <f>'[2]EU Sun Oil Exports'!T$284</f>
        <v>9.8830000000000009</v>
      </c>
      <c r="U38" s="141">
        <f>'[2]EU Sun Oil Exports'!U$284</f>
        <v>12.261000000000001</v>
      </c>
      <c r="V38" s="141">
        <f>'[2]EU Sun Oil Exports'!V$284</f>
        <v>11.388999999999999</v>
      </c>
      <c r="W38" s="141">
        <f>'[2]EU Sun Oil Exports'!W$284</f>
        <v>27.851999999999997</v>
      </c>
      <c r="X38" s="141">
        <f>'[2]EU Sun Oil Exports'!X$284</f>
        <v>25.794</v>
      </c>
      <c r="Y38" s="141">
        <f>'[2]EU Sun Oil Exports'!Y$284</f>
        <v>26.653999999999996</v>
      </c>
      <c r="Z38" s="141">
        <f>'[2]EU Sun Oil Exports'!Z$284</f>
        <v>36.151999999999994</v>
      </c>
      <c r="AA38" s="141">
        <f>'[2]EU Sun Oil Exports'!AA$284</f>
        <v>24.750999999999998</v>
      </c>
      <c r="AB38" s="141">
        <f>'[2]EU Sun Oil Exports'!AB$284</f>
        <v>73.617999999999995</v>
      </c>
      <c r="AC38" s="141">
        <f>'[2]EU Sun Oil Exports'!AC$284</f>
        <v>51.503</v>
      </c>
      <c r="AD38" s="143">
        <f>'[2]EU Sun Oil Exports'!AD$284+21</f>
        <v>122.78770900000001</v>
      </c>
      <c r="AE38" s="141">
        <f>'[2]Ukraine Sun Oil Exports'!B$284</f>
        <v>0</v>
      </c>
      <c r="AF38" s="141">
        <f>'[2]Ukraine Sun Oil Exports'!C$284</f>
        <v>0</v>
      </c>
      <c r="AG38" s="141">
        <f>'[2]Ukraine Sun Oil Exports'!D$284</f>
        <v>0</v>
      </c>
      <c r="AH38" s="141">
        <f>'[2]Ukraine Sun Oil Exports'!E$284</f>
        <v>0</v>
      </c>
      <c r="AI38" s="141">
        <f>'[2]Ukraine Sun Oil Exports'!F$284</f>
        <v>0</v>
      </c>
      <c r="AJ38" s="141">
        <f>'[2]Ukraine Sun Oil Exports'!G$284</f>
        <v>3</v>
      </c>
      <c r="AK38" s="141">
        <f>'[2]Ukraine Sun Oil Exports'!H$284</f>
        <v>9</v>
      </c>
      <c r="AL38" s="141">
        <f>'[2]Ukraine Sun Oil Exports'!I$284</f>
        <v>9</v>
      </c>
      <c r="AM38" s="141">
        <f>'[2]Ukraine Sun Oil Exports'!J$284</f>
        <v>3.2204055000000005</v>
      </c>
      <c r="AN38" s="141">
        <f>'[2]Ukraine Sun Oil Exports'!K$284</f>
        <v>15.030999999999997</v>
      </c>
      <c r="AO38" s="141">
        <f>'[2]Ukraine Sun Oil Exports'!L$284</f>
        <v>13.547000000000001</v>
      </c>
      <c r="AP38" s="141">
        <f>'[2]Ukraine Sun Oil Exports'!M$284</f>
        <v>0.24000000000000005</v>
      </c>
      <c r="AQ38" s="141">
        <f>'[2]Ukraine Sun Oil Exports'!N$284</f>
        <v>0.31600000000000006</v>
      </c>
      <c r="AR38" s="141">
        <f>'[2]Ukraine Sun Oil Exports'!O$284</f>
        <v>0.29800000000000004</v>
      </c>
      <c r="AS38" s="141">
        <f>'[2]Ukraine Sun Oil Exports'!P$284</f>
        <v>6.9999999999999993E-2</v>
      </c>
      <c r="AT38" s="141">
        <f>'[2]Ukraine Sun Oil Exports'!Q$284</f>
        <v>0.25</v>
      </c>
      <c r="AU38" s="141">
        <f>'[2]Ukraine Sun Oil Exports'!R$284</f>
        <v>0.215</v>
      </c>
      <c r="AV38" s="141">
        <f>'[2]Ukraine Sun Oil Exports'!S$284</f>
        <v>0.58500000000000008</v>
      </c>
      <c r="AW38" s="141">
        <f>'[2]Ukraine Sun Oil Exports'!T$284</f>
        <v>1.042</v>
      </c>
      <c r="AX38" s="141">
        <f>'[2]Ukraine Sun Oil Exports'!U$284</f>
        <v>1.226</v>
      </c>
      <c r="AY38" s="141">
        <f>'[2]Ukraine Sun Oil Exports'!V$284</f>
        <v>5.4770000000000003</v>
      </c>
      <c r="AZ38" s="141">
        <f>'[2]Ukraine Sun Oil Exports'!W$284</f>
        <v>5.0670000000000011</v>
      </c>
      <c r="BA38" s="141">
        <f>'[2]Ukraine Sun Oil Exports'!X$284</f>
        <v>3.3670000000000004</v>
      </c>
      <c r="BB38" s="141">
        <f>'[2]Ukraine Sun Oil Exports'!Y$284</f>
        <v>16.209572999999999</v>
      </c>
      <c r="BC38" s="141">
        <f>'[2]Ukraine Sun Oil Exports'!Z$284</f>
        <v>16.607160000000004</v>
      </c>
      <c r="BD38" s="141">
        <f>'[2]Ukraine Sun Oil Exports'!AA$284</f>
        <v>17.779401000000004</v>
      </c>
      <c r="BE38" s="141">
        <f>'[2]Ukraine Sun Oil Exports'!AB$284</f>
        <v>53.156925000000001</v>
      </c>
      <c r="BF38" s="141">
        <f>'[2]Ukraine Sun Oil Exports'!AC$284</f>
        <v>33.793322000000003</v>
      </c>
      <c r="BG38" s="141">
        <f>'[2]Ukraine Sun Oil Exports'!AD$284</f>
        <v>42.201999999999991</v>
      </c>
      <c r="BH38" s="141">
        <f>'[2]Russia Sun Oil Exports'!B$284</f>
        <v>0</v>
      </c>
      <c r="BI38" s="141">
        <f>'[2]Russia Sun Oil Exports'!C$284</f>
        <v>0</v>
      </c>
      <c r="BJ38" s="141">
        <f>'[2]Russia Sun Oil Exports'!D$284</f>
        <v>0</v>
      </c>
      <c r="BK38" s="141">
        <f>'[2]Russia Sun Oil Exports'!E$284</f>
        <v>1.5100000000000001E-4</v>
      </c>
      <c r="BL38" s="141">
        <f>'[2]Russia Sun Oil Exports'!F$284</f>
        <v>1.1449000000000001E-2</v>
      </c>
      <c r="BM38" s="141">
        <f>'[2]Russia Sun Oil Exports'!G$284</f>
        <v>7.9497999999999985E-2</v>
      </c>
      <c r="BN38" s="141">
        <f>'[2]Russia Sun Oil Exports'!H$284</f>
        <v>2.7741000000000002E-2</v>
      </c>
      <c r="BO38" s="141">
        <f>'[2]Russia Sun Oil Exports'!I$284</f>
        <v>6.3362000000000016E-2</v>
      </c>
      <c r="BP38" s="141">
        <f>'[2]Russia Sun Oil Exports'!J$284</f>
        <v>9.9996999999999989E-2</v>
      </c>
      <c r="BQ38" s="141">
        <f>'[2]Russia Sun Oil Exports'!K$284</f>
        <v>9.6679000000000001E-2</v>
      </c>
      <c r="BR38" s="141">
        <f>'[2]Russia Sun Oil Exports'!L$284</f>
        <v>6.7594000000000001E-2</v>
      </c>
      <c r="BS38" s="141">
        <f>'[2]Russia Sun Oil Exports'!M$284</f>
        <v>9.6939999999999998E-2</v>
      </c>
      <c r="BT38" s="141">
        <f>'[2]Russia Sun Oil Exports'!N$284</f>
        <v>0.186</v>
      </c>
      <c r="BU38" s="141">
        <f>'[2]Russia Sun Oil Exports'!O$284</f>
        <v>0.59199999999999997</v>
      </c>
      <c r="BV38" s="141">
        <f>'[2]Russia Sun Oil Exports'!P$284</f>
        <v>0.31800000000000006</v>
      </c>
      <c r="BW38" s="141">
        <f>'[2]Russia Sun Oil Exports'!Q$284</f>
        <v>0.19700000000000001</v>
      </c>
      <c r="BX38" s="141">
        <f>'[2]Russia Sun Oil Exports'!R$284</f>
        <v>0.21800000000000003</v>
      </c>
      <c r="BY38" s="141">
        <f>'[2]Russia Sun Oil Exports'!S$284</f>
        <v>8.500000000000002E-2</v>
      </c>
      <c r="BZ38" s="141">
        <f>'[2]Russia Sun Oil Exports'!T$284</f>
        <v>0.22000000000000003</v>
      </c>
      <c r="CA38" s="141">
        <f>'[2]Russia Sun Oil Exports'!U$284</f>
        <v>0.16400000000000003</v>
      </c>
      <c r="CB38" s="141">
        <f>'[2]Russia Sun Oil Exports'!V$284</f>
        <v>0.21500000000000002</v>
      </c>
      <c r="CC38" s="141">
        <f>'[2]Russia Sun Oil Exports'!W$284</f>
        <v>0.26500000000000001</v>
      </c>
      <c r="CD38" s="141">
        <f>'[2]Russia Sun Oil Exports'!X$284</f>
        <v>0.184</v>
      </c>
      <c r="CE38" s="141">
        <f>'[2]Russia Sun Oil Exports'!Y$284</f>
        <v>0.18210999999999999</v>
      </c>
      <c r="CF38" s="141">
        <f>'[2]Russia Sun Oil Exports'!Z$284</f>
        <v>0.21852599999999997</v>
      </c>
      <c r="CG38" s="147">
        <f>'[2]Russia Sun Oil Exports'!AA$284</f>
        <v>0.25709300000000002</v>
      </c>
      <c r="CH38" s="141">
        <f>'[2]Russia Sun Oil Exports'!AB$284</f>
        <v>0.44781399999999993</v>
      </c>
      <c r="CI38" s="141">
        <f>'[2]Russia Sun Oil Exports'!AC$284</f>
        <v>0.161773</v>
      </c>
      <c r="CJ38" s="143">
        <f>'[2]Russia Sun Oil Exports'!AD$284</f>
        <v>0.35667500000000002</v>
      </c>
      <c r="CK38" s="150" t="s">
        <v>135</v>
      </c>
      <c r="CL38" s="150" t="s">
        <v>135</v>
      </c>
      <c r="CM38" s="150" t="s">
        <v>135</v>
      </c>
      <c r="CN38" s="150" t="s">
        <v>135</v>
      </c>
      <c r="CO38" s="150" t="s">
        <v>135</v>
      </c>
      <c r="CP38" s="150" t="s">
        <v>135</v>
      </c>
      <c r="CQ38" s="150" t="s">
        <v>135</v>
      </c>
      <c r="CR38" s="150" t="s">
        <v>135</v>
      </c>
      <c r="CS38" s="150" t="s">
        <v>135</v>
      </c>
      <c r="CT38" s="150" t="s">
        <v>135</v>
      </c>
      <c r="CU38" s="150" t="s">
        <v>135</v>
      </c>
      <c r="CV38" s="150" t="s">
        <v>135</v>
      </c>
      <c r="CW38" s="150" t="s">
        <v>135</v>
      </c>
      <c r="CX38" s="150" t="s">
        <v>135</v>
      </c>
      <c r="CY38" s="150" t="s">
        <v>135</v>
      </c>
      <c r="CZ38" s="150" t="s">
        <v>135</v>
      </c>
      <c r="DA38" s="150" t="s">
        <v>135</v>
      </c>
      <c r="DB38" s="150" t="s">
        <v>135</v>
      </c>
      <c r="DC38" s="150" t="s">
        <v>135</v>
      </c>
      <c r="DD38" s="150" t="s">
        <v>135</v>
      </c>
      <c r="DE38" s="150" t="s">
        <v>135</v>
      </c>
      <c r="DF38" s="150" t="s">
        <v>135</v>
      </c>
      <c r="DG38" s="150" t="s">
        <v>135</v>
      </c>
      <c r="DH38" s="150" t="s">
        <v>135</v>
      </c>
      <c r="DI38" s="150" t="s">
        <v>135</v>
      </c>
      <c r="DJ38" s="150" t="s">
        <v>135</v>
      </c>
      <c r="DK38" s="150" t="s">
        <v>135</v>
      </c>
      <c r="DL38" s="150" t="s">
        <v>135</v>
      </c>
      <c r="DM38" s="152" t="s">
        <v>135</v>
      </c>
      <c r="DN38" s="141">
        <f t="shared" si="11"/>
        <v>0</v>
      </c>
      <c r="DO38" s="141">
        <f t="shared" si="11"/>
        <v>0</v>
      </c>
      <c r="DP38" s="141">
        <f t="shared" si="11"/>
        <v>0</v>
      </c>
      <c r="DQ38" s="141">
        <f t="shared" si="11"/>
        <v>0.17115100000000003</v>
      </c>
      <c r="DR38" s="141">
        <f t="shared" si="11"/>
        <v>0.48244900000000007</v>
      </c>
      <c r="DS38" s="141">
        <f t="shared" si="11"/>
        <v>3.410498</v>
      </c>
      <c r="DT38" s="141">
        <f t="shared" si="11"/>
        <v>9.4527410000000014</v>
      </c>
      <c r="DU38" s="141">
        <f t="shared" si="11"/>
        <v>10.294362</v>
      </c>
      <c r="DV38" s="141">
        <f t="shared" si="11"/>
        <v>7.4024025000000009</v>
      </c>
      <c r="DW38" s="141">
        <f t="shared" si="11"/>
        <v>17.603679</v>
      </c>
      <c r="DX38" s="141">
        <f t="shared" si="11"/>
        <v>15.015594</v>
      </c>
      <c r="DY38" s="141">
        <f t="shared" si="11"/>
        <v>5.0839400000000001</v>
      </c>
      <c r="DZ38" s="141">
        <f t="shared" si="11"/>
        <v>4.8250000000000002</v>
      </c>
      <c r="EA38" s="141">
        <f t="shared" si="11"/>
        <v>11.028000000000002</v>
      </c>
      <c r="EB38" s="141">
        <f t="shared" si="11"/>
        <v>3.7749999999999999</v>
      </c>
      <c r="EC38" s="141">
        <f t="shared" si="8"/>
        <v>5.1260000000000012</v>
      </c>
      <c r="ED38" s="141">
        <f t="shared" si="8"/>
        <v>6.5289999999999999</v>
      </c>
      <c r="EE38" s="141">
        <f t="shared" si="8"/>
        <v>8.7140000000000004</v>
      </c>
      <c r="EF38" s="141">
        <f t="shared" si="10"/>
        <v>11.145000000000001</v>
      </c>
      <c r="EG38" s="141">
        <f t="shared" si="10"/>
        <v>13.651000000000002</v>
      </c>
      <c r="EH38" s="141">
        <f t="shared" si="10"/>
        <v>17.081</v>
      </c>
      <c r="EI38" s="141">
        <f t="shared" si="10"/>
        <v>33.183999999999997</v>
      </c>
      <c r="EJ38" s="141">
        <f t="shared" si="10"/>
        <v>29.345000000000002</v>
      </c>
      <c r="EK38" s="141">
        <f t="shared" si="10"/>
        <v>43.045682999999997</v>
      </c>
      <c r="EL38" s="141">
        <f t="shared" si="10"/>
        <v>52.977685999999991</v>
      </c>
      <c r="EM38" s="147">
        <f t="shared" si="10"/>
        <v>42.787493999999995</v>
      </c>
      <c r="EN38" s="141">
        <f t="shared" si="10"/>
        <v>127.22273899999999</v>
      </c>
      <c r="EO38" s="141">
        <f t="shared" si="10"/>
        <v>85.458095</v>
      </c>
      <c r="EP38" s="145">
        <f>'[4]Sun Complex'!$BJ$34/2204.622*1000-53</f>
        <v>99.811173025906498</v>
      </c>
      <c r="EQ38" s="145">
        <f>'[4]Sun Complex'!$BJ$34/2204.622*1000-53</f>
        <v>99.811173025906498</v>
      </c>
      <c r="ES38" s="145">
        <f t="shared" si="5"/>
        <v>0</v>
      </c>
      <c r="ET38" s="145">
        <f t="shared" si="6"/>
        <v>65.535210974093502</v>
      </c>
      <c r="EU38" s="145"/>
    </row>
    <row r="39" spans="1:151">
      <c r="A39" s="187" t="s">
        <v>170</v>
      </c>
      <c r="B39" s="141">
        <f>'[2]EU Sun Oil Exports'!B$286</f>
        <v>0</v>
      </c>
      <c r="C39" s="141">
        <f>'[2]EU Sun Oil Exports'!C$286</f>
        <v>0</v>
      </c>
      <c r="D39" s="141">
        <f>'[2]EU Sun Oil Exports'!D$286</f>
        <v>0</v>
      </c>
      <c r="E39" s="141">
        <f>'[2]EU Sun Oil Exports'!E$286</f>
        <v>0.10100000000000001</v>
      </c>
      <c r="F39" s="141">
        <f>'[2]EU Sun Oil Exports'!F$286</f>
        <v>0.11700000000000001</v>
      </c>
      <c r="G39" s="141">
        <f>'[2]EU Sun Oil Exports'!G$286</f>
        <v>8.1000000000000003E-2</v>
      </c>
      <c r="H39" s="141">
        <f>'[2]EU Sun Oil Exports'!H$286</f>
        <v>0.109</v>
      </c>
      <c r="I39" s="141">
        <f>'[2]EU Sun Oil Exports'!I$286</f>
        <v>6.2E-2</v>
      </c>
      <c r="J39" s="141">
        <f>'[2]EU Sun Oil Exports'!J$286</f>
        <v>8.1000000000000003E-2</v>
      </c>
      <c r="K39" s="141">
        <f>'[2]EU Sun Oil Exports'!K$286</f>
        <v>5.6000000000000001E-2</v>
      </c>
      <c r="L39" s="141">
        <f>'[2]EU Sun Oil Exports'!L$286</f>
        <v>3.1E-2</v>
      </c>
      <c r="M39" s="141">
        <f>'[2]EU Sun Oil Exports'!M$286</f>
        <v>2E-3</v>
      </c>
      <c r="N39" s="141">
        <f>'[2]EU Sun Oil Exports'!N$286</f>
        <v>0</v>
      </c>
      <c r="O39" s="141">
        <f>'[2]EU Sun Oil Exports'!O$286</f>
        <v>3.2000000000000001E-2</v>
      </c>
      <c r="P39" s="141">
        <f>'[2]EU Sun Oil Exports'!P$286</f>
        <v>8.8999999999999996E-2</v>
      </c>
      <c r="Q39" s="141">
        <f>'[2]EU Sun Oil Exports'!Q$286</f>
        <v>4.9000000000000002E-2</v>
      </c>
      <c r="R39" s="141">
        <f>'[2]EU Sun Oil Exports'!R$286</f>
        <v>0</v>
      </c>
      <c r="S39" s="141">
        <f>'[2]EU Sun Oil Exports'!S$286</f>
        <v>2.1999999999999999E-2</v>
      </c>
      <c r="T39" s="141">
        <f>'[2]EU Sun Oil Exports'!T$286</f>
        <v>0</v>
      </c>
      <c r="U39" s="141">
        <f>'[2]EU Sun Oil Exports'!U$286</f>
        <v>0</v>
      </c>
      <c r="V39" s="141">
        <f>'[2]EU Sun Oil Exports'!V$286</f>
        <v>0</v>
      </c>
      <c r="W39" s="141">
        <f>'[2]EU Sun Oil Exports'!W$286</f>
        <v>0</v>
      </c>
      <c r="X39" s="141">
        <f>'[2]EU Sun Oil Exports'!X$286</f>
        <v>1E-3</v>
      </c>
      <c r="Y39" s="141">
        <f>'[2]EU Sun Oil Exports'!Y$286</f>
        <v>0.26900000000000002</v>
      </c>
      <c r="Z39" s="141">
        <f>'[2]EU Sun Oil Exports'!Z$286</f>
        <v>6.9000000000000006E-2</v>
      </c>
      <c r="AA39" s="141">
        <f>'[2]EU Sun Oil Exports'!AA$286</f>
        <v>0.12000000000000001</v>
      </c>
      <c r="AB39" s="141">
        <f>'[2]EU Sun Oil Exports'!AB$286</f>
        <v>1.105</v>
      </c>
      <c r="AC39" s="141">
        <f>'[2]EU Sun Oil Exports'!AC$286</f>
        <v>0.62200000000000011</v>
      </c>
      <c r="AD39" s="143">
        <f>'[2]EU Sun Oil Exports'!AD$286</f>
        <v>0.21300000000000002</v>
      </c>
      <c r="AE39" s="141">
        <f>'[2]Ukraine Sun Oil Exports'!B$286</f>
        <v>0</v>
      </c>
      <c r="AF39" s="141">
        <f>'[2]Ukraine Sun Oil Exports'!C$286</f>
        <v>0</v>
      </c>
      <c r="AG39" s="141">
        <f>'[2]Ukraine Sun Oil Exports'!D$286</f>
        <v>0</v>
      </c>
      <c r="AH39" s="141">
        <f>'[2]Ukraine Sun Oil Exports'!E$286</f>
        <v>0</v>
      </c>
      <c r="AI39" s="141">
        <f>'[2]Ukraine Sun Oil Exports'!F$286</f>
        <v>0</v>
      </c>
      <c r="AJ39" s="141">
        <f>'[2]Ukraine Sun Oil Exports'!G$286</f>
        <v>0</v>
      </c>
      <c r="AK39" s="141">
        <f>'[2]Ukraine Sun Oil Exports'!H$286</f>
        <v>0</v>
      </c>
      <c r="AL39" s="141">
        <f>'[2]Ukraine Sun Oil Exports'!I$286</f>
        <v>0</v>
      </c>
      <c r="AM39" s="141">
        <f>'[2]Ukraine Sun Oil Exports'!J$286</f>
        <v>0</v>
      </c>
      <c r="AN39" s="141">
        <f>'[2]Ukraine Sun Oil Exports'!K$286</f>
        <v>0</v>
      </c>
      <c r="AO39" s="141">
        <f>'[2]Ukraine Sun Oil Exports'!L$286</f>
        <v>0</v>
      </c>
      <c r="AP39" s="141">
        <f>'[2]Ukraine Sun Oil Exports'!M$286</f>
        <v>0</v>
      </c>
      <c r="AQ39" s="141">
        <f>'[2]Ukraine Sun Oil Exports'!N$286</f>
        <v>0</v>
      </c>
      <c r="AR39" s="141">
        <f>'[2]Ukraine Sun Oil Exports'!O$286</f>
        <v>0</v>
      </c>
      <c r="AS39" s="141">
        <f>'[2]Ukraine Sun Oil Exports'!P$286</f>
        <v>0</v>
      </c>
      <c r="AT39" s="141">
        <f>'[2]Ukraine Sun Oil Exports'!Q$286</f>
        <v>0</v>
      </c>
      <c r="AU39" s="141">
        <f>'[2]Ukraine Sun Oil Exports'!R$286</f>
        <v>0</v>
      </c>
      <c r="AV39" s="141">
        <f>'[2]Ukraine Sun Oil Exports'!S$286</f>
        <v>0</v>
      </c>
      <c r="AW39" s="141">
        <f>'[2]Ukraine Sun Oil Exports'!T$286</f>
        <v>0</v>
      </c>
      <c r="AX39" s="141">
        <f>'[2]Ukraine Sun Oil Exports'!U$286</f>
        <v>0</v>
      </c>
      <c r="AY39" s="141">
        <f>'[2]Ukraine Sun Oil Exports'!V$286</f>
        <v>0</v>
      </c>
      <c r="AZ39" s="141">
        <f>'[2]Ukraine Sun Oil Exports'!W$286</f>
        <v>0</v>
      </c>
      <c r="BA39" s="141">
        <f>'[2]Ukraine Sun Oil Exports'!X$286</f>
        <v>2.4E-2</v>
      </c>
      <c r="BB39" s="141">
        <f>'[2]Ukraine Sun Oil Exports'!Y$286</f>
        <v>1.6459170000000003</v>
      </c>
      <c r="BC39" s="141">
        <f>'[2]Ukraine Sun Oil Exports'!Z$286</f>
        <v>0.91449399999999992</v>
      </c>
      <c r="BD39" s="141">
        <f>'[2]Ukraine Sun Oil Exports'!AA$286</f>
        <v>4.9440349999999995</v>
      </c>
      <c r="BE39" s="141">
        <f>'[2]Ukraine Sun Oil Exports'!AB$286</f>
        <v>6.7440740000000003</v>
      </c>
      <c r="BF39" s="141">
        <f>'[2]Ukraine Sun Oil Exports'!AC$286</f>
        <v>0.75023200000000023</v>
      </c>
      <c r="BG39" s="143">
        <f>'[2]Ukraine Sun Oil Exports'!AD$286</f>
        <v>7.9000000000000001E-2</v>
      </c>
      <c r="BH39" s="141">
        <f>'[2]Russia Sun Oil Exports'!B$286</f>
        <v>0</v>
      </c>
      <c r="BI39" s="141">
        <f>'[2]Russia Sun Oil Exports'!C$286</f>
        <v>0</v>
      </c>
      <c r="BJ39" s="141">
        <f>'[2]Russia Sun Oil Exports'!D$286</f>
        <v>0</v>
      </c>
      <c r="BK39" s="141">
        <f>'[2]Russia Sun Oil Exports'!E$286</f>
        <v>0</v>
      </c>
      <c r="BL39" s="141">
        <f>'[2]Russia Sun Oil Exports'!F$286</f>
        <v>0</v>
      </c>
      <c r="BM39" s="141">
        <f>'[2]Russia Sun Oil Exports'!G$286</f>
        <v>0</v>
      </c>
      <c r="BN39" s="141">
        <f>'[2]Russia Sun Oil Exports'!H$286</f>
        <v>0</v>
      </c>
      <c r="BO39" s="141">
        <f>'[2]Russia Sun Oil Exports'!I$286</f>
        <v>0</v>
      </c>
      <c r="BP39" s="141">
        <f>'[2]Russia Sun Oil Exports'!J$286</f>
        <v>0</v>
      </c>
      <c r="BQ39" s="141">
        <f>'[2]Russia Sun Oil Exports'!K$286</f>
        <v>0</v>
      </c>
      <c r="BR39" s="141">
        <f>'[2]Russia Sun Oil Exports'!L$286</f>
        <v>0</v>
      </c>
      <c r="BS39" s="141">
        <f>'[2]Russia Sun Oil Exports'!M$286</f>
        <v>0</v>
      </c>
      <c r="BT39" s="141">
        <f>'[2]Russia Sun Oil Exports'!N$286</f>
        <v>0</v>
      </c>
      <c r="BU39" s="141">
        <f>'[2]Russia Sun Oil Exports'!O$286</f>
        <v>0</v>
      </c>
      <c r="BV39" s="141">
        <f>'[2]Russia Sun Oil Exports'!P$286</f>
        <v>0</v>
      </c>
      <c r="BW39" s="141">
        <f>'[2]Russia Sun Oil Exports'!Q$286</f>
        <v>0</v>
      </c>
      <c r="BX39" s="141">
        <f>'[2]Russia Sun Oil Exports'!R$286</f>
        <v>0</v>
      </c>
      <c r="BY39" s="141">
        <f>'[2]Russia Sun Oil Exports'!S$286</f>
        <v>0</v>
      </c>
      <c r="BZ39" s="141">
        <f>'[2]Russia Sun Oil Exports'!T$286</f>
        <v>0</v>
      </c>
      <c r="CA39" s="141">
        <f>'[2]Russia Sun Oil Exports'!U$286</f>
        <v>0</v>
      </c>
      <c r="CB39" s="141">
        <f>'[2]Russia Sun Oil Exports'!V$286</f>
        <v>0</v>
      </c>
      <c r="CC39" s="141">
        <f>'[2]Russia Sun Oil Exports'!W$286</f>
        <v>0</v>
      </c>
      <c r="CD39" s="141">
        <f>'[2]Russia Sun Oil Exports'!X$286</f>
        <v>0</v>
      </c>
      <c r="CE39" s="141">
        <f>'[2]Russia Sun Oil Exports'!Y$286</f>
        <v>4.9000000000000002E-2</v>
      </c>
      <c r="CF39" s="141">
        <f>'[2]Russia Sun Oil Exports'!Z$286</f>
        <v>0</v>
      </c>
      <c r="CG39" s="147">
        <f>'[2]Russia Sun Oil Exports'!AA$286</f>
        <v>0.387243</v>
      </c>
      <c r="CH39" s="141">
        <f>'[2]Russia Sun Oil Exports'!AB$286</f>
        <v>0</v>
      </c>
      <c r="CI39" s="141">
        <f>'[2]Russia Sun Oil Exports'!AC$286</f>
        <v>0</v>
      </c>
      <c r="CJ39" s="143">
        <f>'[2]Russia Sun Oil Exports'!AD$286</f>
        <v>0</v>
      </c>
      <c r="CK39" s="141">
        <f>'[3]Sunflower Oil Exports'!B$286/2204.622*1000</f>
        <v>11.883700000000001</v>
      </c>
      <c r="CL39" s="141">
        <f>'[3]Sunflower Oil Exports'!C$286/2204.622*1000</f>
        <v>10.898700000000002</v>
      </c>
      <c r="CM39" s="141">
        <f>'[3]Sunflower Oil Exports'!D$286/2204.622*1000</f>
        <v>0</v>
      </c>
      <c r="CN39" s="141">
        <f>'[3]Sunflower Oil Exports'!E$286/2204.622*1000</f>
        <v>2.7986</v>
      </c>
      <c r="CO39" s="141">
        <f>'[3]Sunflower Oil Exports'!F$286/2204.622*1000</f>
        <v>1.0300000000000002E-2</v>
      </c>
      <c r="CP39" s="141">
        <f>'[3]Sunflower Oil Exports'!G$286/2204.622*1000</f>
        <v>4.9989000000000008</v>
      </c>
      <c r="CQ39" s="141">
        <f>'[3]Sunflower Oil Exports'!H$286/2204.622*1000</f>
        <v>2.4600000000000004E-2</v>
      </c>
      <c r="CR39" s="141">
        <f>'[3]Sunflower Oil Exports'!I$286/2204.622*1000</f>
        <v>0</v>
      </c>
      <c r="CS39" s="141">
        <f>'[3]Sunflower Oil Exports'!J$286/2204.622*1000</f>
        <v>2.5700000000000001E-2</v>
      </c>
      <c r="CT39" s="141">
        <f>'[3]Sunflower Oil Exports'!K$286/2204.622*1000</f>
        <v>0</v>
      </c>
      <c r="CU39" s="141">
        <f>'[3]Sunflower Oil Exports'!L$286/2204.622*1000</f>
        <v>0</v>
      </c>
      <c r="CV39" s="141">
        <f>'[3]Sunflower Oil Exports'!M$286/2204.622*1000</f>
        <v>0</v>
      </c>
      <c r="CW39" s="141">
        <f>'[3]Sunflower Oil Exports'!N$286/2204.622*1000</f>
        <v>0</v>
      </c>
      <c r="CX39" s="141">
        <f>'[3]Sunflower Oil Exports'!O$286/2204.622*1000</f>
        <v>0</v>
      </c>
      <c r="CY39" s="141">
        <f>'[3]Sunflower Oil Exports'!P$286/2204.622*1000</f>
        <v>0</v>
      </c>
      <c r="CZ39" s="141">
        <f>'[3]Sunflower Oil Exports'!Q$286/2204.622*1000</f>
        <v>0</v>
      </c>
      <c r="DA39" s="141">
        <f>'[3]Sunflower Oil Exports'!R$286/2204.622*1000</f>
        <v>0</v>
      </c>
      <c r="DB39" s="141">
        <f>'[3]Sunflower Oil Exports'!S$286/2204.622*1000</f>
        <v>1.8000000000000002E-3</v>
      </c>
      <c r="DC39" s="141">
        <f>'[3]Sunflower Oil Exports'!T$286/2204.622*1000</f>
        <v>1.2000000000000001E-3</v>
      </c>
      <c r="DD39" s="141">
        <f>'[3]Sunflower Oil Exports'!U$286/2204.622*1000</f>
        <v>0</v>
      </c>
      <c r="DE39" s="141">
        <f>'[3]Sunflower Oil Exports'!V$286/2204.622*1000</f>
        <v>0</v>
      </c>
      <c r="DF39" s="141">
        <f>'[3]Sunflower Oil Exports'!W$286/2204.622*1000</f>
        <v>0</v>
      </c>
      <c r="DG39" s="141">
        <f>'[3]Sunflower Oil Exports'!X$286/2204.622*1000</f>
        <v>0</v>
      </c>
      <c r="DH39" s="141">
        <f>'[3]Sunflower Oil Exports'!Y$286/2204.622*1000</f>
        <v>1.5200000000000002E-2</v>
      </c>
      <c r="DI39" s="141">
        <f>'[3]Sunflower Oil Exports'!Z$286/2204.622*1000</f>
        <v>1.215998896863045E-2</v>
      </c>
      <c r="DJ39" s="141">
        <f>'[3]Sunflower Oil Exports'!AA$286/2204.622*1000</f>
        <v>3.4909968330171801E-3</v>
      </c>
      <c r="DK39" s="141">
        <f>'[3]Sunflower Oil Exports'!AB$286/2204.622*1000</f>
        <v>1.5959985521327466E-3</v>
      </c>
      <c r="DL39" s="141">
        <f>'[3]Sunflower Oil Exports'!AC$286/2204.622*1000</f>
        <v>0</v>
      </c>
      <c r="DM39" s="143">
        <f>'[3]Sunflower Oil Exports'!AD$286/2204.622*1000</f>
        <v>0</v>
      </c>
      <c r="DN39" s="141">
        <f t="shared" si="11"/>
        <v>11.883700000000001</v>
      </c>
      <c r="DO39" s="141">
        <f t="shared" si="11"/>
        <v>10.898700000000002</v>
      </c>
      <c r="DP39" s="141">
        <f t="shared" si="11"/>
        <v>0</v>
      </c>
      <c r="DQ39" s="141">
        <f t="shared" si="11"/>
        <v>2.8996</v>
      </c>
      <c r="DR39" s="141">
        <f t="shared" si="11"/>
        <v>0.1273</v>
      </c>
      <c r="DS39" s="141">
        <f t="shared" si="11"/>
        <v>5.0799000000000012</v>
      </c>
      <c r="DT39" s="141">
        <f t="shared" si="11"/>
        <v>0.1336</v>
      </c>
      <c r="DU39" s="141">
        <f t="shared" si="11"/>
        <v>6.2E-2</v>
      </c>
      <c r="DV39" s="141">
        <f t="shared" si="11"/>
        <v>0.1067</v>
      </c>
      <c r="DW39" s="141">
        <f t="shared" si="11"/>
        <v>5.6000000000000001E-2</v>
      </c>
      <c r="DX39" s="141">
        <f t="shared" si="11"/>
        <v>3.1E-2</v>
      </c>
      <c r="DY39" s="141">
        <f t="shared" si="11"/>
        <v>2E-3</v>
      </c>
      <c r="DZ39" s="141">
        <f t="shared" si="11"/>
        <v>0</v>
      </c>
      <c r="EA39" s="141">
        <f t="shared" si="11"/>
        <v>3.2000000000000001E-2</v>
      </c>
      <c r="EB39" s="141">
        <f t="shared" si="11"/>
        <v>8.8999999999999996E-2</v>
      </c>
      <c r="EC39" s="141">
        <f t="shared" si="8"/>
        <v>4.9000000000000002E-2</v>
      </c>
      <c r="ED39" s="141">
        <f t="shared" si="8"/>
        <v>0</v>
      </c>
      <c r="EE39" s="141">
        <f t="shared" si="8"/>
        <v>2.3799999999999998E-2</v>
      </c>
      <c r="EF39" s="141">
        <f t="shared" si="10"/>
        <v>1.2000000000000001E-3</v>
      </c>
      <c r="EG39" s="141">
        <f t="shared" si="10"/>
        <v>0</v>
      </c>
      <c r="EH39" s="141">
        <f t="shared" si="10"/>
        <v>0</v>
      </c>
      <c r="EI39" s="141">
        <f t="shared" si="10"/>
        <v>0</v>
      </c>
      <c r="EJ39" s="141">
        <f t="shared" si="10"/>
        <v>2.5000000000000001E-2</v>
      </c>
      <c r="EK39" s="141">
        <f t="shared" si="10"/>
        <v>1.9791170000000005</v>
      </c>
      <c r="EL39" s="141">
        <f t="shared" si="10"/>
        <v>0.99565398896863033</v>
      </c>
      <c r="EM39" s="147">
        <f t="shared" si="10"/>
        <v>5.4547689968330166</v>
      </c>
      <c r="EN39" s="141">
        <f t="shared" si="10"/>
        <v>7.8506699985521324</v>
      </c>
      <c r="EO39" s="141">
        <f t="shared" si="10"/>
        <v>1.3722320000000003</v>
      </c>
      <c r="EP39" s="145">
        <f>SUM(AD39,BG39,CJ39,DM39)</f>
        <v>0.29200000000000004</v>
      </c>
      <c r="EQ39" s="145">
        <v>1</v>
      </c>
      <c r="ES39" s="145">
        <f t="shared" si="5"/>
        <v>0</v>
      </c>
      <c r="ET39" s="145">
        <f t="shared" si="6"/>
        <v>0</v>
      </c>
      <c r="EU39" s="145"/>
    </row>
    <row r="40" spans="1:151" ht="17.25" thickBot="1">
      <c r="A40" s="187" t="s">
        <v>171</v>
      </c>
      <c r="B40" s="141">
        <f>'[2]EU Sun Oil Exports'!B$231-SUM(B29:B39)</f>
        <v>0</v>
      </c>
      <c r="C40" s="141">
        <f>'[2]EU Sun Oil Exports'!C$231-SUM(C29:C39)</f>
        <v>0</v>
      </c>
      <c r="D40" s="141">
        <f>'[2]EU Sun Oil Exports'!D$231-SUM(D29:D39)</f>
        <v>0</v>
      </c>
      <c r="E40" s="141">
        <f>'[2]EU Sun Oil Exports'!E$231-SUM(E29:E39)</f>
        <v>0.72500000000000142</v>
      </c>
      <c r="F40" s="141">
        <f>'[2]EU Sun Oil Exports'!F$231-SUM(F29:F39)</f>
        <v>1.4359999999999995</v>
      </c>
      <c r="G40" s="141">
        <f>'[2]EU Sun Oil Exports'!G$231-SUM(G29:G39)</f>
        <v>0.92400000000000126</v>
      </c>
      <c r="H40" s="141">
        <f>'[2]EU Sun Oil Exports'!H$231-SUM(H29:H39)</f>
        <v>1.0710000000000015</v>
      </c>
      <c r="I40" s="141">
        <f>'[2]EU Sun Oil Exports'!I$231-SUM(I29:I39)</f>
        <v>0.74199999999999955</v>
      </c>
      <c r="J40" s="141">
        <f>'[2]EU Sun Oil Exports'!J$231-SUM(J29:J39)</f>
        <v>0.53599999999999959</v>
      </c>
      <c r="K40" s="141">
        <f>'[2]EU Sun Oil Exports'!K$231-SUM(K29:K39)</f>
        <v>0.42799999999999994</v>
      </c>
      <c r="L40" s="141">
        <f>'[2]EU Sun Oil Exports'!L$231-SUM(L29:L39)</f>
        <v>3.177999999999999</v>
      </c>
      <c r="M40" s="141">
        <f>'[2]EU Sun Oil Exports'!M$231-SUM(M29:M39)</f>
        <v>1.4799999999999995</v>
      </c>
      <c r="N40" s="141">
        <f>'[2]EU Sun Oil Exports'!N$231-SUM(N29:N39)</f>
        <v>1.5099999999999989</v>
      </c>
      <c r="O40" s="141">
        <f>'[2]EU Sun Oil Exports'!O$231-SUM(O29:O39)</f>
        <v>0.8429999999999982</v>
      </c>
      <c r="P40" s="141">
        <f>'[2]EU Sun Oil Exports'!P$231-SUM(P29:P39)</f>
        <v>0.48899999999999899</v>
      </c>
      <c r="Q40" s="141">
        <f>'[2]EU Sun Oil Exports'!Q$231-SUM(Q29:Q39)</f>
        <v>1.7519999999999989</v>
      </c>
      <c r="R40" s="141">
        <f>'[2]EU Sun Oil Exports'!R$231-SUM(R29:R39)</f>
        <v>1.5280000000000022</v>
      </c>
      <c r="S40" s="141">
        <f>'[2]EU Sun Oil Exports'!S$231-SUM(S29:S39)</f>
        <v>1.4130000000000003</v>
      </c>
      <c r="T40" s="141">
        <f>'[2]EU Sun Oil Exports'!T$231-SUM(T29:T39)</f>
        <v>2.5269999999999975</v>
      </c>
      <c r="U40" s="141">
        <f>'[2]EU Sun Oil Exports'!U$231-SUM(U29:U39)</f>
        <v>1.9340000000000011</v>
      </c>
      <c r="V40" s="141">
        <f>'[2]EU Sun Oil Exports'!V$231-SUM(V29:V39)</f>
        <v>3.2840000000000025</v>
      </c>
      <c r="W40" s="141">
        <f>'[2]EU Sun Oil Exports'!W$231-SUM(W29:W39)</f>
        <v>4.5570000000000022</v>
      </c>
      <c r="X40" s="141">
        <f>'[2]EU Sun Oil Exports'!X$231-SUM(X29:X39)</f>
        <v>3.2139999999999986</v>
      </c>
      <c r="Y40" s="141">
        <f>'[2]EU Sun Oil Exports'!Y$231-SUM(Y29:Y39)</f>
        <v>6.095000000000006</v>
      </c>
      <c r="Z40" s="141">
        <f>'[2]EU Sun Oil Exports'!Z$231-SUM(Z29:Z39)</f>
        <v>5.9649999999999892</v>
      </c>
      <c r="AA40" s="141">
        <f>'[2]EU Sun Oil Exports'!AA$231-SUM(AA29:AA39)</f>
        <v>4.1779999999999902</v>
      </c>
      <c r="AB40" s="141">
        <f>'[2]EU Sun Oil Exports'!AB$231-SUM(AB29:AB39)</f>
        <v>3.9240000000000066</v>
      </c>
      <c r="AC40" s="141">
        <f>'[2]EU Sun Oil Exports'!AC$231-SUM(AC29:AC39)</f>
        <v>2.2220000000000084</v>
      </c>
      <c r="AD40" s="153">
        <v>5.65</v>
      </c>
      <c r="AE40" s="141">
        <f>'[2]Ukraine Sun Oil Exports'!B$231-SUM(AE29:AE39)</f>
        <v>0</v>
      </c>
      <c r="AF40" s="141">
        <f>'[2]Ukraine Sun Oil Exports'!C$231-SUM(AF29:AF39)</f>
        <v>0</v>
      </c>
      <c r="AG40" s="141">
        <f>'[2]Ukraine Sun Oil Exports'!D$231-SUM(AG29:AG39)</f>
        <v>0</v>
      </c>
      <c r="AH40" s="141">
        <f>'[2]Ukraine Sun Oil Exports'!E$231-SUM(AH29:AH39)</f>
        <v>0</v>
      </c>
      <c r="AI40" s="141">
        <f>'[2]Ukraine Sun Oil Exports'!F$231-SUM(AI29:AI39)</f>
        <v>0</v>
      </c>
      <c r="AJ40" s="141">
        <f>'[2]Ukraine Sun Oil Exports'!G$231-SUM(AJ29:AJ39)</f>
        <v>0</v>
      </c>
      <c r="AK40" s="141">
        <f>'[2]Ukraine Sun Oil Exports'!H$231-SUM(AK29:AK39)</f>
        <v>0</v>
      </c>
      <c r="AL40" s="141">
        <f>'[2]Ukraine Sun Oil Exports'!I$231-SUM(AL29:AL39)</f>
        <v>0</v>
      </c>
      <c r="AM40" s="141">
        <f>'[2]Ukraine Sun Oil Exports'!J$231-SUM(AM29:AM39)</f>
        <v>0</v>
      </c>
      <c r="AN40" s="141">
        <f>'[2]Ukraine Sun Oil Exports'!K$231-SUM(AN29:AN39)</f>
        <v>0</v>
      </c>
      <c r="AO40" s="141">
        <f>'[2]Ukraine Sun Oil Exports'!L$231-SUM(AO29:AO39)</f>
        <v>72.176000000000002</v>
      </c>
      <c r="AP40" s="141">
        <f>'[2]Ukraine Sun Oil Exports'!M$231-SUM(AP29:AP39)</f>
        <v>1.1139999999999999</v>
      </c>
      <c r="AQ40" s="141">
        <f>'[2]Ukraine Sun Oil Exports'!N$231-SUM(AQ29:AQ39)</f>
        <v>0</v>
      </c>
      <c r="AR40" s="141">
        <f>'[2]Ukraine Sun Oil Exports'!O$231-SUM(AR29:AR39)</f>
        <v>0</v>
      </c>
      <c r="AS40" s="141">
        <f>'[2]Ukraine Sun Oil Exports'!P$231-SUM(AS29:AS39)</f>
        <v>41.573</v>
      </c>
      <c r="AT40" s="141">
        <f>'[2]Ukraine Sun Oil Exports'!Q$231-SUM(AT29:AT39)</f>
        <v>1.7979999999999983</v>
      </c>
      <c r="AU40" s="141">
        <f>'[2]Ukraine Sun Oil Exports'!R$231-SUM(AU29:AU39)</f>
        <v>8.8000000000000023E-2</v>
      </c>
      <c r="AV40" s="141">
        <f>'[2]Ukraine Sun Oil Exports'!S$231-SUM(AV29:AV39)</f>
        <v>4.5410000000000004</v>
      </c>
      <c r="AW40" s="141">
        <f>'[2]Ukraine Sun Oil Exports'!T$231-SUM(AW29:AW39)</f>
        <v>13.379999999999999</v>
      </c>
      <c r="AX40" s="141">
        <f>'[2]Ukraine Sun Oil Exports'!U$231-SUM(AX29:AX39)</f>
        <v>27.578999999999994</v>
      </c>
      <c r="AY40" s="141">
        <f>'[2]Ukraine Sun Oil Exports'!V$231-SUM(AY29:AY39)</f>
        <v>0.68100000000000005</v>
      </c>
      <c r="AZ40" s="141">
        <f>'[2]Ukraine Sun Oil Exports'!W$231-SUM(AZ29:AZ39)</f>
        <v>7.456999999999999</v>
      </c>
      <c r="BA40" s="141">
        <f>'[2]Ukraine Sun Oil Exports'!X$231-SUM(BA29:BA39)</f>
        <v>12.095000000000002</v>
      </c>
      <c r="BB40" s="141">
        <f>'[2]Ukraine Sun Oil Exports'!Y$231-SUM(BB29:BB39)</f>
        <v>7.1645040000000009</v>
      </c>
      <c r="BC40" s="141">
        <f>'[2]Ukraine Sun Oil Exports'!Z$231-SUM(BC29:BC39)</f>
        <v>8.0318439999999995</v>
      </c>
      <c r="BD40" s="141">
        <f>'[2]Ukraine Sun Oil Exports'!AA$231-SUM(BD29:BD39)</f>
        <v>11.785646</v>
      </c>
      <c r="BE40" s="141">
        <f>'[2]Ukraine Sun Oil Exports'!AB$231-SUM(BE29:BE39)</f>
        <v>14.563175000000001</v>
      </c>
      <c r="BF40" s="141">
        <f>'[2]Ukraine Sun Oil Exports'!AC$231-SUM(BF29:BF39)</f>
        <v>9.5308949999999939</v>
      </c>
      <c r="BG40" s="153">
        <v>15</v>
      </c>
      <c r="BH40" s="141">
        <f>'[2]Russia Sun Oil Exports'!B$231-SUM(BH29:BH39)</f>
        <v>0</v>
      </c>
      <c r="BI40" s="141">
        <f>'[2]Russia Sun Oil Exports'!C$231-SUM(BI29:BI39)</f>
        <v>0</v>
      </c>
      <c r="BJ40" s="141">
        <f>'[2]Russia Sun Oil Exports'!D$231-SUM(BJ29:BJ39)</f>
        <v>0</v>
      </c>
      <c r="BK40" s="141">
        <f>'[2]Russia Sun Oil Exports'!E$231-SUM(BK29:BK39)</f>
        <v>0</v>
      </c>
      <c r="BL40" s="141">
        <f>'[2]Russia Sun Oil Exports'!F$231-SUM(BL29:BL39)</f>
        <v>0</v>
      </c>
      <c r="BM40" s="141">
        <f>'[2]Russia Sun Oil Exports'!G$231-SUM(BM29:BM39)</f>
        <v>0</v>
      </c>
      <c r="BN40" s="141">
        <f>'[2]Russia Sun Oil Exports'!H$231-SUM(BN29:BN39)</f>
        <v>0</v>
      </c>
      <c r="BO40" s="141">
        <f>'[2]Russia Sun Oil Exports'!I$231-SUM(BO29:BO39)</f>
        <v>0</v>
      </c>
      <c r="BP40" s="141">
        <f>'[2]Russia Sun Oil Exports'!J$231-SUM(BP29:BP39)</f>
        <v>0</v>
      </c>
      <c r="BQ40" s="141">
        <f>'[2]Russia Sun Oil Exports'!K$231-SUM(BQ29:BQ39)</f>
        <v>0</v>
      </c>
      <c r="BR40" s="141">
        <f>'[2]Russia Sun Oil Exports'!L$231-SUM(BR29:BR39)</f>
        <v>0</v>
      </c>
      <c r="BS40" s="141">
        <f>'[2]Russia Sun Oil Exports'!M$231-SUM(BS29:BS39)</f>
        <v>0</v>
      </c>
      <c r="BT40" s="141">
        <f>'[2]Russia Sun Oil Exports'!N$231-SUM(BT29:BT39)</f>
        <v>0</v>
      </c>
      <c r="BU40" s="141">
        <f>'[2]Russia Sun Oil Exports'!O$231-SUM(BU29:BU39)</f>
        <v>0</v>
      </c>
      <c r="BV40" s="141">
        <f>'[2]Russia Sun Oil Exports'!P$231-SUM(BV29:BV39)</f>
        <v>5.6999999999999995E-2</v>
      </c>
      <c r="BW40" s="141">
        <f>'[2]Russia Sun Oil Exports'!Q$231-SUM(BW29:BW39)</f>
        <v>0</v>
      </c>
      <c r="BX40" s="141">
        <f>'[2]Russia Sun Oil Exports'!R$231-SUM(BX29:BX39)</f>
        <v>0</v>
      </c>
      <c r="BY40" s="141">
        <f>'[2]Russia Sun Oil Exports'!S$231-SUM(BY29:BY39)</f>
        <v>1.26</v>
      </c>
      <c r="BZ40" s="141">
        <f>'[2]Russia Sun Oil Exports'!T$231-SUM(BZ29:BZ39)</f>
        <v>2.6999999999999968E-2</v>
      </c>
      <c r="CA40" s="141">
        <f>'[2]Russia Sun Oil Exports'!U$231-SUM(CA29:CA39)</f>
        <v>0</v>
      </c>
      <c r="CB40" s="141">
        <f>'[2]Russia Sun Oil Exports'!V$231-SUM(CB29:CB39)</f>
        <v>0</v>
      </c>
      <c r="CC40" s="141">
        <f>'[2]Russia Sun Oil Exports'!W$231-SUM(CC29:CC39)</f>
        <v>0</v>
      </c>
      <c r="CD40" s="141">
        <f>'[2]Russia Sun Oil Exports'!X$231-SUM(CD29:CD39)</f>
        <v>0</v>
      </c>
      <c r="CE40" s="141">
        <f>'[2]Russia Sun Oil Exports'!Y$231-SUM(CE29:CE39)</f>
        <v>0.12764999999999999</v>
      </c>
      <c r="CF40" s="141">
        <f>'[2]Russia Sun Oil Exports'!Z$231-SUM(CF29:CF39)</f>
        <v>0</v>
      </c>
      <c r="CG40" s="141">
        <f>'[2]Russia Sun Oil Exports'!AA$231-SUM(CG29:CG39)</f>
        <v>0.19202200000000003</v>
      </c>
      <c r="CH40" s="141">
        <f>'[2]Russia Sun Oil Exports'!AB$231-SUM(CH29:CH39)</f>
        <v>3.9999999999984492E-5</v>
      </c>
      <c r="CI40" s="82">
        <f>'[2]Russia Sun Oil Exports'!AC$231-SUM(CI29:CI39)</f>
        <v>0.74312299999999998</v>
      </c>
      <c r="CJ40" s="194">
        <f>'[2]Russia Sun Oil Exports'!AD$231-SUM(CJ29:CJ39)</f>
        <v>0.203011</v>
      </c>
      <c r="CK40" s="141">
        <f>('[3]Sunflower Oil Exports'!B$231/2204.622*1000)-SUM(CK29:CK39)</f>
        <v>10.95320000000001</v>
      </c>
      <c r="CL40" s="141">
        <f>('[3]Sunflower Oil Exports'!C$231/2204.622*1000)-SUM(CL29:CL39)</f>
        <v>21.038600000000002</v>
      </c>
      <c r="CM40" s="141">
        <f>('[3]Sunflower Oil Exports'!D$231/2204.622*1000)-SUM(CM29:CM39)</f>
        <v>6.510799999999989</v>
      </c>
      <c r="CN40" s="141">
        <f>('[3]Sunflower Oil Exports'!E$231/2204.622*1000)-SUM(CN29:CN39)</f>
        <v>11.30510000000001</v>
      </c>
      <c r="CO40" s="141">
        <f>('[3]Sunflower Oil Exports'!F$231/2204.622*1000)-SUM(CO29:CO39)</f>
        <v>12.856699999999989</v>
      </c>
      <c r="CP40" s="141">
        <f>('[3]Sunflower Oil Exports'!G$231/2204.622*1000)-SUM(CP29:CP39)</f>
        <v>22.899400000000014</v>
      </c>
      <c r="CQ40" s="141">
        <f>('[3]Sunflower Oil Exports'!H$231/2204.622*1000)-SUM(CQ29:CQ39)</f>
        <v>5.9262000000000512</v>
      </c>
      <c r="CR40" s="141">
        <f>('[3]Sunflower Oil Exports'!I$231/2204.622*1000)-SUM(CR29:CR39)</f>
        <v>5.1431999999999931</v>
      </c>
      <c r="CS40" s="141">
        <f>('[3]Sunflower Oil Exports'!J$231/2204.622*1000)-SUM(CS29:CS39)</f>
        <v>1.1153000000000048</v>
      </c>
      <c r="CT40" s="141">
        <f>('[3]Sunflower Oil Exports'!K$231/2204.622*1000)-SUM(CT29:CT39)</f>
        <v>3.7627000000000024</v>
      </c>
      <c r="CU40" s="141">
        <f>('[3]Sunflower Oil Exports'!L$231/2204.622*1000)-SUM(CU29:CU39)</f>
        <v>2.2247999999999877</v>
      </c>
      <c r="CV40" s="141">
        <f>('[3]Sunflower Oil Exports'!M$231/2204.622*1000)-SUM(CV29:CV39)</f>
        <v>0.33279999999999887</v>
      </c>
      <c r="CW40" s="141">
        <f>('[3]Sunflower Oil Exports'!N$231/2204.622*1000)-SUM(CW29:CW39)</f>
        <v>0.32189999999999941</v>
      </c>
      <c r="CX40" s="141">
        <f>('[3]Sunflower Oil Exports'!O$231/2204.622*1000)-SUM(CX29:CX39)</f>
        <v>0.1378999999999877</v>
      </c>
      <c r="CY40" s="141">
        <f>('[3]Sunflower Oil Exports'!P$231/2204.622*1000)-SUM(CY29:CY39)</f>
        <v>0.14340000000002817</v>
      </c>
      <c r="CZ40" s="141">
        <f>('[3]Sunflower Oil Exports'!Q$231/2204.622*1000)-SUM(CZ29:CZ39)</f>
        <v>0.1127000000000038</v>
      </c>
      <c r="DA40" s="141">
        <f>('[3]Sunflower Oil Exports'!R$231/2204.622*1000)-SUM(DA29:DA39)</f>
        <v>0.55829999999999558</v>
      </c>
      <c r="DB40" s="141">
        <f>('[3]Sunflower Oil Exports'!S$231/2204.622*1000)-SUM(DB29:DB39)</f>
        <v>1.6433</v>
      </c>
      <c r="DC40" s="141">
        <f>('[3]Sunflower Oil Exports'!T$231/2204.622*1000)-SUM(DC29:DC39)</f>
        <v>0.31320000000000014</v>
      </c>
      <c r="DD40" s="141">
        <f>('[3]Sunflower Oil Exports'!U$231/2204.622*1000)-SUM(DD29:DD39)</f>
        <v>0.49180000000000135</v>
      </c>
      <c r="DE40" s="141">
        <f>('[3]Sunflower Oil Exports'!V$231/2204.622*1000)-SUM(DE29:DE39)</f>
        <v>0.55349999999999966</v>
      </c>
      <c r="DF40" s="141">
        <f>('[3]Sunflower Oil Exports'!W$231/2204.622*1000)-SUM(DF29:DF39)</f>
        <v>0.45710000000000051</v>
      </c>
      <c r="DG40" s="141">
        <f>('[3]Sunflower Oil Exports'!X$231/2204.622*1000)-SUM(DG29:DG39)</f>
        <v>1.2579000000000029</v>
      </c>
      <c r="DH40" s="141">
        <f>('[3]Sunflower Oil Exports'!Y$231/2204.622*1000)-SUM(DH29:DH39)</f>
        <v>1.5653313229388104</v>
      </c>
      <c r="DI40" s="141">
        <f>('[3]Sunflower Oil Exports'!Z$231/2204.622*1000)-SUM(DI29:DI39)</f>
        <v>1.7866783791507217</v>
      </c>
      <c r="DJ40" s="141">
        <f>('[3]Sunflower Oil Exports'!AA$231/2204.622*1000)-SUM(DJ29:DJ39)</f>
        <v>0.63069142784568299</v>
      </c>
      <c r="DK40" s="141">
        <f>('[3]Sunflower Oil Exports'!AB$231/2204.622*1000)-SUM(DK29:DK39)</f>
        <v>0.53799451193899017</v>
      </c>
      <c r="DL40" s="141">
        <f>('[3]Sunflower Oil Exports'!AC$231/2204.622*1000)-SUM(DL29:DL39)</f>
        <v>0.43492403227401155</v>
      </c>
      <c r="DM40" s="153">
        <f>3.9-2.1</f>
        <v>1.7999999999999998</v>
      </c>
      <c r="DN40" s="141">
        <f t="shared" si="11"/>
        <v>10.95320000000001</v>
      </c>
      <c r="DO40" s="141">
        <f t="shared" si="11"/>
        <v>21.038600000000002</v>
      </c>
      <c r="DP40" s="141">
        <f t="shared" si="11"/>
        <v>6.510799999999989</v>
      </c>
      <c r="DQ40" s="141">
        <f t="shared" si="11"/>
        <v>12.030100000000012</v>
      </c>
      <c r="DR40" s="141">
        <f t="shared" si="11"/>
        <v>14.292699999999989</v>
      </c>
      <c r="DS40" s="141">
        <f t="shared" si="11"/>
        <v>23.823400000000014</v>
      </c>
      <c r="DT40" s="141">
        <f t="shared" si="11"/>
        <v>6.9972000000000527</v>
      </c>
      <c r="DU40" s="141">
        <f t="shared" si="11"/>
        <v>5.8851999999999922</v>
      </c>
      <c r="DV40" s="141">
        <f t="shared" si="11"/>
        <v>1.6513000000000044</v>
      </c>
      <c r="DW40" s="141">
        <f t="shared" si="11"/>
        <v>4.1907000000000023</v>
      </c>
      <c r="DX40" s="141">
        <f t="shared" si="11"/>
        <v>77.578799999999987</v>
      </c>
      <c r="DY40" s="141">
        <f t="shared" si="11"/>
        <v>2.9267999999999983</v>
      </c>
      <c r="DZ40" s="141">
        <f t="shared" si="11"/>
        <v>1.8318999999999983</v>
      </c>
      <c r="EA40" s="141">
        <f t="shared" si="11"/>
        <v>0.98089999999998589</v>
      </c>
      <c r="EB40" s="141">
        <f t="shared" si="11"/>
        <v>42.262400000000028</v>
      </c>
      <c r="EC40" s="141">
        <f t="shared" si="8"/>
        <v>3.662700000000001</v>
      </c>
      <c r="ED40" s="141">
        <f t="shared" si="8"/>
        <v>2.1742999999999979</v>
      </c>
      <c r="EE40" s="141">
        <f t="shared" si="8"/>
        <v>8.8573000000000004</v>
      </c>
      <c r="EF40" s="141">
        <f t="shared" si="10"/>
        <v>16.247199999999996</v>
      </c>
      <c r="EG40" s="141">
        <f t="shared" si="10"/>
        <v>30.004799999999996</v>
      </c>
      <c r="EH40" s="141">
        <f t="shared" si="10"/>
        <v>4.5185000000000022</v>
      </c>
      <c r="EI40" s="141">
        <f t="shared" si="10"/>
        <v>12.471100000000002</v>
      </c>
      <c r="EJ40" s="141">
        <f t="shared" si="10"/>
        <v>16.566900000000004</v>
      </c>
      <c r="EK40" s="141">
        <f t="shared" si="10"/>
        <v>14.952485322938816</v>
      </c>
      <c r="EL40" s="141">
        <f t="shared" si="10"/>
        <v>15.78352237915071</v>
      </c>
      <c r="EM40" s="195">
        <f t="shared" si="10"/>
        <v>16.786359427845674</v>
      </c>
      <c r="EN40" s="141">
        <f t="shared" si="10"/>
        <v>19.025209511938996</v>
      </c>
      <c r="EO40" s="141">
        <f t="shared" si="10"/>
        <v>12.930942032274015</v>
      </c>
      <c r="EP40" s="145">
        <v>25.6</v>
      </c>
      <c r="EQ40" s="145">
        <v>25</v>
      </c>
      <c r="ES40" s="145">
        <f t="shared" si="5"/>
        <v>0</v>
      </c>
      <c r="ET40" s="145">
        <f t="shared" si="6"/>
        <v>-2.9469890000000021</v>
      </c>
      <c r="EU40" s="145"/>
    </row>
    <row r="41" spans="1:151" s="163" customFormat="1" ht="15.75" thickBot="1">
      <c r="A41" s="196" t="s">
        <v>172</v>
      </c>
      <c r="B41" s="159">
        <f t="shared" ref="B41:AH41" si="12">SUM(B4:B40)</f>
        <v>0</v>
      </c>
      <c r="C41" s="159">
        <f t="shared" si="12"/>
        <v>0</v>
      </c>
      <c r="D41" s="159">
        <f t="shared" si="12"/>
        <v>0</v>
      </c>
      <c r="E41" s="159">
        <f t="shared" si="12"/>
        <v>314.44100000000014</v>
      </c>
      <c r="F41" s="159">
        <f t="shared" si="12"/>
        <v>251.25700000000012</v>
      </c>
      <c r="G41" s="159">
        <f t="shared" si="12"/>
        <v>286.16999999999996</v>
      </c>
      <c r="H41" s="159">
        <f t="shared" si="12"/>
        <v>237.40199999999996</v>
      </c>
      <c r="I41" s="159">
        <f t="shared" si="12"/>
        <v>167.59800000000004</v>
      </c>
      <c r="J41" s="159">
        <f t="shared" si="12"/>
        <v>101.31199999999998</v>
      </c>
      <c r="K41" s="159">
        <f t="shared" si="12"/>
        <v>156.22699999999998</v>
      </c>
      <c r="L41" s="159">
        <f t="shared" si="12"/>
        <v>217.49900000000011</v>
      </c>
      <c r="M41" s="159">
        <f t="shared" si="12"/>
        <v>183.84</v>
      </c>
      <c r="N41" s="159">
        <f t="shared" si="12"/>
        <v>125.84699999999999</v>
      </c>
      <c r="O41" s="159">
        <f t="shared" si="12"/>
        <v>146.93900000000002</v>
      </c>
      <c r="P41" s="159">
        <f t="shared" si="12"/>
        <v>112.56699999999999</v>
      </c>
      <c r="Q41" s="159">
        <f t="shared" si="12"/>
        <v>126.32</v>
      </c>
      <c r="R41" s="159">
        <f t="shared" si="12"/>
        <v>151.08700000000002</v>
      </c>
      <c r="S41" s="159">
        <f t="shared" si="12"/>
        <v>163.38700000000006</v>
      </c>
      <c r="T41" s="159">
        <f t="shared" si="12"/>
        <v>203.67199999999994</v>
      </c>
      <c r="U41" s="159">
        <f t="shared" si="12"/>
        <v>237.78599999999994</v>
      </c>
      <c r="V41" s="159">
        <f t="shared" si="12"/>
        <v>365.69000000000005</v>
      </c>
      <c r="W41" s="159">
        <f t="shared" si="12"/>
        <v>408.88899999999995</v>
      </c>
      <c r="X41" s="159">
        <f t="shared" si="12"/>
        <v>366.78399999999988</v>
      </c>
      <c r="Y41" s="159">
        <f t="shared" si="12"/>
        <v>462.81500000000005</v>
      </c>
      <c r="Z41" s="159">
        <f t="shared" si="12"/>
        <v>533.83600000000024</v>
      </c>
      <c r="AA41" s="159">
        <f t="shared" si="12"/>
        <v>483.43600000000004</v>
      </c>
      <c r="AB41" s="159">
        <f t="shared" si="12"/>
        <v>647.66799999999967</v>
      </c>
      <c r="AC41" s="159">
        <f t="shared" ref="AC41:AD41" si="13">SUM(AC4:AC40)</f>
        <v>493.74099999999999</v>
      </c>
      <c r="AD41" s="160">
        <f t="shared" si="13"/>
        <v>804.32088800000008</v>
      </c>
      <c r="AE41" s="159">
        <f t="shared" si="12"/>
        <v>0</v>
      </c>
      <c r="AF41" s="159">
        <f t="shared" si="12"/>
        <v>118.8</v>
      </c>
      <c r="AG41" s="159">
        <f t="shared" si="12"/>
        <v>268.90000000000003</v>
      </c>
      <c r="AH41" s="159">
        <f t="shared" si="12"/>
        <v>164.5</v>
      </c>
      <c r="AI41" s="159">
        <f t="shared" ref="AI41:CT41" si="14">SUM(AI4:AI40)</f>
        <v>179.2</v>
      </c>
      <c r="AJ41" s="159">
        <f t="shared" si="14"/>
        <v>210</v>
      </c>
      <c r="AK41" s="159">
        <f t="shared" si="14"/>
        <v>449.7</v>
      </c>
      <c r="AL41" s="159">
        <f t="shared" si="14"/>
        <v>561.29999999999995</v>
      </c>
      <c r="AM41" s="159">
        <f t="shared" si="14"/>
        <v>445.96847355000011</v>
      </c>
      <c r="AN41" s="159">
        <f t="shared" si="14"/>
        <v>907.15499999999997</v>
      </c>
      <c r="AO41" s="159">
        <f t="shared" si="14"/>
        <v>971.89599999999996</v>
      </c>
      <c r="AP41" s="159">
        <f t="shared" si="14"/>
        <v>656.66000000000008</v>
      </c>
      <c r="AQ41" s="159">
        <f t="shared" si="14"/>
        <v>1586.223</v>
      </c>
      <c r="AR41" s="159">
        <f t="shared" si="14"/>
        <v>1826.4090000000001</v>
      </c>
      <c r="AS41" s="159">
        <f t="shared" si="14"/>
        <v>1336.8619999999999</v>
      </c>
      <c r="AT41" s="159">
        <f t="shared" si="14"/>
        <v>2195.2289999999989</v>
      </c>
      <c r="AU41" s="159">
        <f t="shared" si="14"/>
        <v>2550.404</v>
      </c>
      <c r="AV41" s="159">
        <f t="shared" si="14"/>
        <v>2651.2009999999996</v>
      </c>
      <c r="AW41" s="159">
        <f t="shared" si="14"/>
        <v>3459.9849999999997</v>
      </c>
      <c r="AX41" s="159">
        <f t="shared" si="14"/>
        <v>3116.2920000000008</v>
      </c>
      <c r="AY41" s="159">
        <f t="shared" si="14"/>
        <v>4322.5420000000004</v>
      </c>
      <c r="AZ41" s="159">
        <f t="shared" si="14"/>
        <v>3740.48</v>
      </c>
      <c r="BA41" s="159">
        <f t="shared" si="14"/>
        <v>4608.2259999999997</v>
      </c>
      <c r="BB41" s="159">
        <f t="shared" si="14"/>
        <v>5878.3606820000014</v>
      </c>
      <c r="BC41" s="159">
        <f t="shared" si="14"/>
        <v>5305.935598</v>
      </c>
      <c r="BD41" s="159">
        <f t="shared" si="14"/>
        <v>6054.6911090000012</v>
      </c>
      <c r="BE41" s="159">
        <f t="shared" si="14"/>
        <v>6823.5834009999999</v>
      </c>
      <c r="BF41" s="159">
        <f t="shared" si="14"/>
        <v>5246.4640800000025</v>
      </c>
      <c r="BG41" s="160">
        <f t="shared" si="14"/>
        <v>5459.5700300000008</v>
      </c>
      <c r="BH41" s="159">
        <f t="shared" si="14"/>
        <v>0</v>
      </c>
      <c r="BI41" s="159">
        <f t="shared" si="14"/>
        <v>0</v>
      </c>
      <c r="BJ41" s="159">
        <f t="shared" si="14"/>
        <v>0</v>
      </c>
      <c r="BK41" s="159">
        <f t="shared" si="14"/>
        <v>18.431767000000001</v>
      </c>
      <c r="BL41" s="159">
        <f t="shared" si="14"/>
        <v>23.164076999999995</v>
      </c>
      <c r="BM41" s="159">
        <f t="shared" si="14"/>
        <v>26.549015000000004</v>
      </c>
      <c r="BN41" s="159">
        <f t="shared" si="14"/>
        <v>198.50660200000002</v>
      </c>
      <c r="BO41" s="159">
        <f t="shared" si="14"/>
        <v>124.21552400000002</v>
      </c>
      <c r="BP41" s="159">
        <f t="shared" si="14"/>
        <v>37.619149</v>
      </c>
      <c r="BQ41" s="159">
        <f t="shared" si="14"/>
        <v>93.878295999999992</v>
      </c>
      <c r="BR41" s="159">
        <f t="shared" si="14"/>
        <v>135.14474100000001</v>
      </c>
      <c r="BS41" s="159">
        <f t="shared" si="14"/>
        <v>227.94247900000002</v>
      </c>
      <c r="BT41" s="159">
        <f t="shared" si="14"/>
        <v>627.90299999999991</v>
      </c>
      <c r="BU41" s="159">
        <f t="shared" si="14"/>
        <v>701.45099999999991</v>
      </c>
      <c r="BV41" s="159">
        <f t="shared" si="14"/>
        <v>327.29599999999999</v>
      </c>
      <c r="BW41" s="159">
        <f t="shared" si="14"/>
        <v>799.60799999999983</v>
      </c>
      <c r="BX41" s="159">
        <f t="shared" si="14"/>
        <v>501.95399999999989</v>
      </c>
      <c r="BY41" s="159">
        <f t="shared" si="14"/>
        <v>193.62200000000001</v>
      </c>
      <c r="BZ41" s="159">
        <f t="shared" si="14"/>
        <v>1426.8879999999999</v>
      </c>
      <c r="CA41" s="159">
        <f t="shared" si="14"/>
        <v>1052.2519999999997</v>
      </c>
      <c r="CB41" s="159">
        <f t="shared" si="14"/>
        <v>1811.5009999999997</v>
      </c>
      <c r="CC41" s="159">
        <f t="shared" si="14"/>
        <v>1414.4949999999999</v>
      </c>
      <c r="CD41" s="159">
        <f t="shared" si="14"/>
        <v>1610.2299999999998</v>
      </c>
      <c r="CE41" s="159">
        <f t="shared" si="14"/>
        <v>1999.7290290000001</v>
      </c>
      <c r="CF41" s="159">
        <f t="shared" si="14"/>
        <v>2257.5044030000004</v>
      </c>
      <c r="CG41" s="159">
        <f t="shared" si="14"/>
        <v>2769.9684950000005</v>
      </c>
      <c r="CH41" s="159">
        <f t="shared" si="14"/>
        <v>3244.6391799999992</v>
      </c>
      <c r="CI41" s="159">
        <f t="shared" si="14"/>
        <v>2599.5932279999997</v>
      </c>
      <c r="CJ41" s="160">
        <f t="shared" si="14"/>
        <v>2635.4697069999997</v>
      </c>
      <c r="CK41" s="159">
        <f t="shared" si="14"/>
        <v>204.14020000000005</v>
      </c>
      <c r="CL41" s="159">
        <f t="shared" si="14"/>
        <v>443.63240000000008</v>
      </c>
      <c r="CM41" s="159">
        <f t="shared" si="14"/>
        <v>284.65230000000008</v>
      </c>
      <c r="CN41" s="159">
        <f t="shared" si="14"/>
        <v>321.58420000000012</v>
      </c>
      <c r="CO41" s="159">
        <f t="shared" si="14"/>
        <v>369.52930000000003</v>
      </c>
      <c r="CP41" s="159">
        <f t="shared" si="14"/>
        <v>362.77860000000004</v>
      </c>
      <c r="CQ41" s="159">
        <f t="shared" si="14"/>
        <v>285.98300000000006</v>
      </c>
      <c r="CR41" s="159">
        <f t="shared" si="14"/>
        <v>247.10889999999995</v>
      </c>
      <c r="CS41" s="159">
        <f t="shared" si="14"/>
        <v>205.40530000000007</v>
      </c>
      <c r="CT41" s="159">
        <f t="shared" si="14"/>
        <v>51.458100000000002</v>
      </c>
      <c r="CU41" s="159">
        <f t="shared" ref="CU41:EW41" si="15">SUM(CU4:CU40)</f>
        <v>107.38430000000001</v>
      </c>
      <c r="CV41" s="159">
        <f t="shared" si="15"/>
        <v>56.689300000000003</v>
      </c>
      <c r="CW41" s="159">
        <f t="shared" si="15"/>
        <v>95.273200000000003</v>
      </c>
      <c r="CX41" s="159">
        <f t="shared" si="15"/>
        <v>77.082599999999999</v>
      </c>
      <c r="CY41" s="159">
        <f t="shared" si="15"/>
        <v>76.687000000000026</v>
      </c>
      <c r="CZ41" s="159">
        <f t="shared" si="15"/>
        <v>90.587199999999996</v>
      </c>
      <c r="DA41" s="159">
        <f t="shared" si="15"/>
        <v>97.532399999999996</v>
      </c>
      <c r="DB41" s="159">
        <f t="shared" si="15"/>
        <v>37.966500000000011</v>
      </c>
      <c r="DC41" s="159">
        <f t="shared" si="15"/>
        <v>18.758500000000005</v>
      </c>
      <c r="DD41" s="159">
        <f t="shared" si="15"/>
        <v>28.357900000000001</v>
      </c>
      <c r="DE41" s="159">
        <f t="shared" si="15"/>
        <v>37.081600000000009</v>
      </c>
      <c r="DF41" s="159">
        <f t="shared" si="15"/>
        <v>28.825299999999999</v>
      </c>
      <c r="DG41" s="159">
        <f t="shared" si="15"/>
        <v>38.837100000000007</v>
      </c>
      <c r="DH41" s="159">
        <f t="shared" si="15"/>
        <v>36.69298942831017</v>
      </c>
      <c r="DI41" s="159">
        <f t="shared" si="15"/>
        <v>54.985776117683677</v>
      </c>
      <c r="DJ41" s="159">
        <f t="shared" si="15"/>
        <v>68.83581155312794</v>
      </c>
      <c r="DK41" s="159">
        <f t="shared" si="15"/>
        <v>63.066087787339505</v>
      </c>
      <c r="DL41" s="159">
        <f t="shared" si="15"/>
        <v>71.293154501270507</v>
      </c>
      <c r="DM41" s="160">
        <f t="shared" si="15"/>
        <v>68.05</v>
      </c>
      <c r="DN41" s="159">
        <f t="shared" si="15"/>
        <v>204.14020000000005</v>
      </c>
      <c r="DO41" s="159">
        <f t="shared" si="15"/>
        <v>562.43240000000003</v>
      </c>
      <c r="DP41" s="159">
        <f t="shared" si="15"/>
        <v>553.55230000000006</v>
      </c>
      <c r="DQ41" s="159">
        <f t="shared" si="15"/>
        <v>818.95696700000019</v>
      </c>
      <c r="DR41" s="159">
        <f t="shared" si="15"/>
        <v>823.15037700000005</v>
      </c>
      <c r="DS41" s="159">
        <f t="shared" si="15"/>
        <v>885.49761499999988</v>
      </c>
      <c r="DT41" s="159">
        <f t="shared" si="15"/>
        <v>1171.5916019999997</v>
      </c>
      <c r="DU41" s="159">
        <f t="shared" si="15"/>
        <v>1100.2224240000003</v>
      </c>
      <c r="DV41" s="159">
        <f t="shared" si="15"/>
        <v>790.3049225499999</v>
      </c>
      <c r="DW41" s="159">
        <f t="shared" si="15"/>
        <v>1208.7183960000007</v>
      </c>
      <c r="DX41" s="159">
        <f t="shared" si="15"/>
        <v>1431.9240409999993</v>
      </c>
      <c r="DY41" s="159">
        <f t="shared" si="15"/>
        <v>1125.1317789999998</v>
      </c>
      <c r="DZ41" s="159">
        <f t="shared" si="15"/>
        <v>2435.2461999999987</v>
      </c>
      <c r="EA41" s="159">
        <f t="shared" si="15"/>
        <v>2751.8816000000002</v>
      </c>
      <c r="EB41" s="159">
        <f t="shared" si="15"/>
        <v>1853.4120000000003</v>
      </c>
      <c r="EC41" s="159">
        <f t="shared" si="15"/>
        <v>3211.7441999999992</v>
      </c>
      <c r="ED41" s="159">
        <f t="shared" si="15"/>
        <v>3300.9773999999993</v>
      </c>
      <c r="EE41" s="159">
        <f t="shared" si="15"/>
        <v>3046.1764999999996</v>
      </c>
      <c r="EF41" s="159">
        <f t="shared" si="15"/>
        <v>5109.3035000000027</v>
      </c>
      <c r="EG41" s="159">
        <f t="shared" si="15"/>
        <v>4434.687899999999</v>
      </c>
      <c r="EH41" s="159">
        <f t="shared" si="15"/>
        <v>6536.8146000000015</v>
      </c>
      <c r="EI41" s="159">
        <f t="shared" si="15"/>
        <v>5592.6893</v>
      </c>
      <c r="EJ41" s="159">
        <f t="shared" si="15"/>
        <v>6624.0771000000004</v>
      </c>
      <c r="EK41" s="159">
        <f t="shared" si="15"/>
        <v>8377.5977004283104</v>
      </c>
      <c r="EL41" s="159">
        <f t="shared" si="15"/>
        <v>8152.2617771176829</v>
      </c>
      <c r="EM41" s="159">
        <f t="shared" si="15"/>
        <v>9376.9314155531301</v>
      </c>
      <c r="EN41" s="159">
        <f t="shared" si="15"/>
        <v>10778.956668787341</v>
      </c>
      <c r="EO41" s="159">
        <f>SUM(EO4:EO40)</f>
        <v>8411.0914625012665</v>
      </c>
      <c r="EP41" s="161">
        <f>SUM(EP4:EP40)</f>
        <v>7987.5809940259041</v>
      </c>
      <c r="EQ41" s="161">
        <f>SUM(EQ4:EQ40)</f>
        <v>10586.115108025906</v>
      </c>
    </row>
    <row r="42" spans="1:151">
      <c r="A42" s="164" t="s">
        <v>19</v>
      </c>
      <c r="CI42" s="197"/>
      <c r="DH42" s="197"/>
    </row>
    <row r="43" spans="1:151">
      <c r="A43" s="164" t="s">
        <v>173</v>
      </c>
      <c r="DH43"/>
    </row>
    <row r="44" spans="1:151">
      <c r="AC44" s="165">
        <f>'EU Sun Complex'!AC40</f>
        <v>681.63131399999997</v>
      </c>
      <c r="AD44" s="165">
        <f>'EU Sun Complex'!AD40</f>
        <v>839.19670200000007</v>
      </c>
      <c r="AE44" s="165">
        <f>'EU Sun Complex'!AE40</f>
        <v>1227.8304909999999</v>
      </c>
      <c r="AF44" s="165">
        <f>'EU Sun Complex'!AF40</f>
        <v>956.97447099999965</v>
      </c>
      <c r="AG44" s="165">
        <f>'EU Sun Complex'!AJ40</f>
        <v>500</v>
      </c>
      <c r="AH44" s="165">
        <f>'EU Sun Complex'!AM40</f>
        <v>400</v>
      </c>
      <c r="AI44" s="165">
        <f>'EU Sun Complex'!AQ40</f>
        <v>0</v>
      </c>
      <c r="AJ44" s="165">
        <f>'EU Sun Complex'!AR40</f>
        <v>0</v>
      </c>
      <c r="AK44" s="165">
        <f>'EU Sun Complex'!AS40</f>
        <v>0</v>
      </c>
      <c r="AL44" s="165">
        <f>'EU Sun Complex'!AT40</f>
        <v>0</v>
      </c>
      <c r="AM44" s="165">
        <f>'EU Sun Complex'!AU40</f>
        <v>0</v>
      </c>
      <c r="AN44" s="165">
        <f>'EU Sun Complex'!AV40</f>
        <v>0</v>
      </c>
      <c r="AO44" s="165">
        <f>'EU Sun Complex'!AW40</f>
        <v>0</v>
      </c>
      <c r="AP44" s="165">
        <f>'EU Sun Complex'!AX40</f>
        <v>0</v>
      </c>
      <c r="AQ44" s="165">
        <f>'EU Sun Complex'!AY40</f>
        <v>0</v>
      </c>
      <c r="AR44" s="165">
        <f>'EU Sun Complex'!AZ40</f>
        <v>0</v>
      </c>
      <c r="AS44" s="165">
        <f>'EU Sun Complex'!BA40</f>
        <v>0</v>
      </c>
      <c r="AT44" s="165">
        <f>'EU Sun Complex'!BB40</f>
        <v>0</v>
      </c>
      <c r="AU44" s="165">
        <f>'EU Sun Complex'!BC40</f>
        <v>0</v>
      </c>
      <c r="AV44" s="165">
        <f>'EU Sun Complex'!BD40</f>
        <v>0</v>
      </c>
      <c r="AW44" s="165">
        <f>'EU Sun Complex'!BE40</f>
        <v>0</v>
      </c>
      <c r="AX44" s="165">
        <f>'EU Sun Complex'!BF40</f>
        <v>0</v>
      </c>
      <c r="AY44" s="165">
        <f>'EU Sun Complex'!BG40</f>
        <v>0</v>
      </c>
      <c r="AZ44" s="165">
        <f>'EU Sun Complex'!BH40</f>
        <v>0</v>
      </c>
      <c r="BA44" s="165">
        <f>'EU Sun Complex'!BI40</f>
        <v>0</v>
      </c>
      <c r="BB44" s="165">
        <f>'EU Sun Complex'!BJ40</f>
        <v>0</v>
      </c>
      <c r="BC44" s="165">
        <f>'EU Sun Complex'!BK40</f>
        <v>0</v>
      </c>
      <c r="BD44" s="165">
        <f>'EU Sun Complex'!AE40</f>
        <v>1227.8304909999999</v>
      </c>
      <c r="BF44" s="165">
        <f>'Ukraine Sun Complex'!AC40</f>
        <v>5246.582746</v>
      </c>
      <c r="BG44" s="165">
        <f>'Ukraine Sun Complex'!AD40</f>
        <v>4679.4199999999992</v>
      </c>
      <c r="BH44" s="165">
        <f>'Ukraine Sun Complex'!AE40</f>
        <v>5754.317759999999</v>
      </c>
      <c r="BI44" s="165">
        <f>'Ukraine Sun Complex'!AF40</f>
        <v>5850</v>
      </c>
      <c r="BJ44" s="165">
        <f>'Ukraine Sun Complex'!AI40</f>
        <v>0</v>
      </c>
      <c r="BK44" s="165">
        <f>'Ukraine Sun Complex'!AQ40</f>
        <v>0</v>
      </c>
      <c r="BL44" s="165">
        <f>'Ukraine Sun Complex'!AR40</f>
        <v>0</v>
      </c>
      <c r="BM44" s="165">
        <f>'Ukraine Sun Complex'!AS40</f>
        <v>0</v>
      </c>
      <c r="BN44" s="165">
        <f>'Ukraine Sun Complex'!AT40</f>
        <v>0</v>
      </c>
      <c r="BO44" s="165">
        <f>'Ukraine Sun Complex'!AU40</f>
        <v>0</v>
      </c>
      <c r="BP44" s="165">
        <f>'Ukraine Sun Complex'!AV40</f>
        <v>0</v>
      </c>
      <c r="BQ44" s="165">
        <f>'Ukraine Sun Complex'!AW40</f>
        <v>0</v>
      </c>
      <c r="BR44" s="165">
        <f>'Ukraine Sun Complex'!AX40</f>
        <v>0</v>
      </c>
      <c r="BS44" s="165">
        <f>'Ukraine Sun Complex'!AY40</f>
        <v>0</v>
      </c>
      <c r="BT44" s="165">
        <f>'Ukraine Sun Complex'!AZ40</f>
        <v>0</v>
      </c>
      <c r="BU44" s="165">
        <f>'Ukraine Sun Complex'!BA40</f>
        <v>0</v>
      </c>
      <c r="BV44" s="165">
        <f>'Ukraine Sun Complex'!BB40</f>
        <v>0</v>
      </c>
      <c r="BW44" s="165">
        <f>'Ukraine Sun Complex'!BC40</f>
        <v>0</v>
      </c>
      <c r="BX44" s="165">
        <f>'Ukraine Sun Complex'!BD40</f>
        <v>0</v>
      </c>
      <c r="BY44" s="165">
        <f>'Ukraine Sun Complex'!BE40</f>
        <v>0</v>
      </c>
      <c r="BZ44" s="165">
        <f>'Ukraine Sun Complex'!BF40</f>
        <v>0</v>
      </c>
      <c r="CA44" s="165">
        <f>'Ukraine Sun Complex'!BG40</f>
        <v>0</v>
      </c>
      <c r="CB44" s="165">
        <f>'Ukraine Sun Complex'!BH40</f>
        <v>0</v>
      </c>
      <c r="CC44" s="165">
        <f>'Ukraine Sun Complex'!BI40</f>
        <v>0</v>
      </c>
      <c r="CD44" s="165">
        <f>'Ukraine Sun Complex'!BJ40</f>
        <v>0</v>
      </c>
      <c r="CE44" s="165">
        <f>'Ukraine Sun Complex'!BK40</f>
        <v>0</v>
      </c>
      <c r="CF44" s="165">
        <f>'Ukraine Sun Complex'!BL40</f>
        <v>0</v>
      </c>
      <c r="CG44" s="165">
        <f>'Ukraine Sun Complex'!AE40</f>
        <v>5754.317759999999</v>
      </c>
      <c r="CI44" s="165">
        <f>'Russia Sun Complex'!AC40</f>
        <v>3124.5777589999993</v>
      </c>
      <c r="CJ44" s="165">
        <f>'Russia Sun Complex'!AD40</f>
        <v>3250</v>
      </c>
      <c r="CK44" s="165">
        <f>'Russia Sun Complex'!AE40</f>
        <v>3250</v>
      </c>
      <c r="CL44" s="165">
        <f>'Russia Sun Complex'!AF40</f>
        <v>0</v>
      </c>
      <c r="CM44" s="165">
        <f>'Russia Sun Complex'!AG40</f>
        <v>0</v>
      </c>
      <c r="CN44" s="165">
        <f>'Russia Sun Complex'!AH40</f>
        <v>0</v>
      </c>
      <c r="CO44" s="165">
        <f>'Russia Sun Complex'!AN40</f>
        <v>0</v>
      </c>
      <c r="CP44" s="165">
        <f>'Russia Sun Complex'!AO40</f>
        <v>0</v>
      </c>
      <c r="CQ44" s="165">
        <f>'Russia Sun Complex'!AP40</f>
        <v>0</v>
      </c>
      <c r="CR44" s="165">
        <f>'Russia Sun Complex'!AQ40</f>
        <v>0</v>
      </c>
      <c r="CS44" s="165">
        <f>'Russia Sun Complex'!AR40</f>
        <v>0</v>
      </c>
      <c r="CT44" s="165">
        <f>'Russia Sun Complex'!AS40</f>
        <v>0</v>
      </c>
      <c r="CU44" s="165">
        <f>'Russia Sun Complex'!AT40</f>
        <v>0</v>
      </c>
      <c r="CV44" s="165">
        <f>'Russia Sun Complex'!AU40</f>
        <v>0</v>
      </c>
      <c r="CW44" s="165">
        <f>'Russia Sun Complex'!AV40</f>
        <v>0</v>
      </c>
      <c r="CX44" s="165">
        <f>'Russia Sun Complex'!AW40</f>
        <v>0</v>
      </c>
      <c r="CY44" s="165">
        <f>'Russia Sun Complex'!AX40</f>
        <v>0</v>
      </c>
      <c r="CZ44" s="165">
        <f>'Russia Sun Complex'!AY40</f>
        <v>0</v>
      </c>
      <c r="DA44" s="165">
        <f>'Russia Sun Complex'!AZ40</f>
        <v>0</v>
      </c>
      <c r="DB44" s="165">
        <f>'Russia Sun Complex'!BA40</f>
        <v>0</v>
      </c>
      <c r="DC44" s="165">
        <f>'Russia Sun Complex'!BB40</f>
        <v>0</v>
      </c>
      <c r="DD44" s="165">
        <f>'Russia Sun Complex'!BC40</f>
        <v>0</v>
      </c>
      <c r="DE44" s="165">
        <f>'Russia Sun Complex'!BD40</f>
        <v>0</v>
      </c>
      <c r="DF44" s="165">
        <f>'Russia Sun Complex'!BE40</f>
        <v>0</v>
      </c>
      <c r="DG44" s="165">
        <f>'Russia Sun Complex'!BF40</f>
        <v>0</v>
      </c>
      <c r="DH44" s="165">
        <f>'Russia Sun Complex'!BG40</f>
        <v>0</v>
      </c>
      <c r="DI44" s="165">
        <f>'Russia Sun Complex'!BH40</f>
        <v>0</v>
      </c>
      <c r="DJ44" s="165">
        <f>'Russia Sun Complex'!AE40</f>
        <v>3250</v>
      </c>
      <c r="DL44" s="165">
        <f>'[4]Sun Complex'!$BJ$39/2204.622*1000</f>
        <v>71.293154501270507</v>
      </c>
      <c r="DM44" s="165">
        <f>'[4]Sun Complex'!$BK$39/2204.622*1000</f>
        <v>141.46007979970261</v>
      </c>
      <c r="DN44" s="165">
        <f>'[4]Sun Complex'!$BK$39/2204.622*1000</f>
        <v>141.46007979970261</v>
      </c>
      <c r="DO44" s="165">
        <f>'[4]Sun Complex'!$BK$39/2204.622*1000</f>
        <v>141.46007979970261</v>
      </c>
      <c r="DP44" s="165">
        <f>'[4]Sun Complex'!$BK$39/2204.622*1000</f>
        <v>141.46007979970261</v>
      </c>
      <c r="DQ44" s="165">
        <f>'[4]Sun Complex'!$BK$39/2204.622*1000</f>
        <v>141.46007979970261</v>
      </c>
      <c r="DR44" s="165">
        <f>'[4]Sun Complex'!$BK$39/2204.622*1000</f>
        <v>141.46007979970261</v>
      </c>
      <c r="DS44" s="165">
        <f>'[4]Sun Complex'!$BK$39/2204.622*1000</f>
        <v>141.46007979970261</v>
      </c>
      <c r="DT44" s="165">
        <f>'[4]Sun Complex'!$BK$39/2204.622*1000</f>
        <v>141.46007979970261</v>
      </c>
      <c r="DU44" s="165">
        <f>'[4]Sun Complex'!$BK$39/2204.622*1000</f>
        <v>141.46007979970261</v>
      </c>
      <c r="DV44" s="165">
        <f>'[4]Sun Complex'!$BK$39/2204.622*1000</f>
        <v>141.46007979970261</v>
      </c>
      <c r="DW44" s="165">
        <f>'[4]Sun Complex'!$BK$39/2204.622*1000</f>
        <v>141.46007979970261</v>
      </c>
      <c r="DX44" s="165">
        <f>'[4]Sun Complex'!$BK$39/2204.622*1000</f>
        <v>141.46007979970261</v>
      </c>
      <c r="DY44" s="165">
        <f>'[4]Sun Complex'!$BK$39/2204.622*1000</f>
        <v>141.46007979970261</v>
      </c>
      <c r="DZ44" s="165">
        <f>'[4]Sun Complex'!$BK$39/2204.622*1000</f>
        <v>141.46007979970261</v>
      </c>
      <c r="EA44" s="165">
        <f>'[4]Sun Complex'!$BK$39/2204.622*1000</f>
        <v>141.46007979970261</v>
      </c>
      <c r="EB44" s="165">
        <f>'[4]Sun Complex'!$BK$39/2204.622*1000</f>
        <v>141.46007979970261</v>
      </c>
      <c r="EC44" s="165">
        <f>'[4]Sun Complex'!$BK$39/2204.622*1000</f>
        <v>141.46007979970261</v>
      </c>
      <c r="ED44" s="165">
        <f>'[4]Sun Complex'!$BK$39/2204.622*1000</f>
        <v>141.46007979970261</v>
      </c>
      <c r="EE44" s="165">
        <f>'[4]Sun Complex'!$BK$39/2204.622*1000</f>
        <v>141.46007979970261</v>
      </c>
      <c r="EF44" s="165">
        <f>'[4]Sun Complex'!$BK$39/2204.622*1000</f>
        <v>141.46007979970261</v>
      </c>
      <c r="EG44" s="165">
        <f>'[4]Sun Complex'!$BK$39/2204.622*1000</f>
        <v>141.46007979970261</v>
      </c>
      <c r="EH44" s="165">
        <f>'[4]Sun Complex'!$BK$39/2204.622*1000</f>
        <v>141.46007979970261</v>
      </c>
      <c r="EI44" s="165">
        <f>'[4]Sun Complex'!$BK$39/2204.622*1000</f>
        <v>141.46007979970261</v>
      </c>
      <c r="EJ44" s="165">
        <f>'[4]Sun Complex'!$BK$39/2204.622*1000</f>
        <v>141.46007979970261</v>
      </c>
      <c r="EK44" s="165">
        <f>'[4]Sun Complex'!$BK$39/2204.622*1000</f>
        <v>141.46007979970261</v>
      </c>
      <c r="EL44" s="165">
        <f>'[4]Sun Complex'!$BK$39/2204.622*1000</f>
        <v>141.46007979970261</v>
      </c>
      <c r="EM44" s="165">
        <f>'[4]Sun Complex'!$BL$39/2204.622*1000</f>
        <v>93.330190247189762</v>
      </c>
      <c r="EO44" s="165">
        <f>DL44+CI44+BF44+AC44</f>
        <v>9124.0849735012707</v>
      </c>
      <c r="EP44" s="165">
        <f>DM44+CJ44+BG44+AD44</f>
        <v>8910.0767817997021</v>
      </c>
      <c r="EQ44" s="165">
        <f>EM44+DJ44+CG44+BD44</f>
        <v>10325.478441247189</v>
      </c>
    </row>
    <row r="45" spans="1:151">
      <c r="AC45" s="166">
        <f>AC44-AC41</f>
        <v>187.89031399999999</v>
      </c>
      <c r="AD45" s="166">
        <f>AD44-AD41</f>
        <v>34.875813999999991</v>
      </c>
      <c r="BF45" s="166">
        <f>BF44-BF41</f>
        <v>0.11866599999757454</v>
      </c>
      <c r="BG45" s="166">
        <f>BG44-BG41</f>
        <v>-780.15003000000161</v>
      </c>
      <c r="CI45" s="166">
        <f>CI44-CI41</f>
        <v>524.98453099999961</v>
      </c>
      <c r="CJ45" s="166">
        <f>CJ44-CJ41</f>
        <v>614.53029300000026</v>
      </c>
      <c r="DH45"/>
      <c r="DL45" s="166">
        <f>DL44-DL41</f>
        <v>0</v>
      </c>
      <c r="DM45" s="166">
        <f>DM44-DM41</f>
        <v>73.410079799702615</v>
      </c>
      <c r="EO45" s="166">
        <f>EO44-EO41</f>
        <v>712.99351100000422</v>
      </c>
      <c r="EP45" s="166">
        <f>EP44-EP41</f>
        <v>922.49578777379793</v>
      </c>
      <c r="EQ45" s="166">
        <f>EQ44-EQ41</f>
        <v>-260.63666677871697</v>
      </c>
    </row>
    <row r="46" spans="1:151">
      <c r="DH46"/>
    </row>
    <row r="47" spans="1:151">
      <c r="DH47"/>
    </row>
    <row r="48" spans="1:151">
      <c r="D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  <row r="3141" customFormat="1"/>
    <row r="3142" customFormat="1"/>
    <row r="3143" customFormat="1"/>
    <row r="3144" customFormat="1"/>
    <row r="3145" customFormat="1"/>
    <row r="3146" customFormat="1"/>
    <row r="3147" customFormat="1"/>
    <row r="3148" customFormat="1"/>
    <row r="3149" customFormat="1"/>
    <row r="3150" customFormat="1"/>
    <row r="3151" customFormat="1"/>
    <row r="3152" customFormat="1"/>
    <row r="3153" customFormat="1"/>
    <row r="3154" customFormat="1"/>
    <row r="3155" customFormat="1"/>
    <row r="3156" customFormat="1"/>
    <row r="3157" customFormat="1"/>
    <row r="3158" customFormat="1"/>
    <row r="3159" customFormat="1"/>
    <row r="3160" customFormat="1"/>
    <row r="3161" customFormat="1"/>
    <row r="3162" customFormat="1"/>
    <row r="3163" customFormat="1"/>
    <row r="3164" customFormat="1"/>
    <row r="3165" customFormat="1"/>
    <row r="3166" customFormat="1"/>
    <row r="3167" customFormat="1"/>
    <row r="3168" customFormat="1"/>
    <row r="3169" customFormat="1"/>
    <row r="3170" customFormat="1"/>
    <row r="3171" customFormat="1"/>
    <row r="3172" customFormat="1"/>
    <row r="3173" customFormat="1"/>
    <row r="3174" customFormat="1"/>
    <row r="3175" customFormat="1"/>
    <row r="3176" customFormat="1"/>
    <row r="3177" customFormat="1"/>
    <row r="3178" customFormat="1"/>
    <row r="3179" customFormat="1"/>
    <row r="3180" customFormat="1"/>
    <row r="3181" customFormat="1"/>
    <row r="3182" customFormat="1"/>
    <row r="3183" customFormat="1"/>
    <row r="3184" customFormat="1"/>
    <row r="3185" customFormat="1"/>
    <row r="3186" customFormat="1"/>
    <row r="3187" customFormat="1"/>
    <row r="3188" customFormat="1"/>
    <row r="3189" customFormat="1"/>
    <row r="3190" customFormat="1"/>
    <row r="3191" customFormat="1"/>
    <row r="3192" customFormat="1"/>
    <row r="3193" customFormat="1"/>
    <row r="3194" customFormat="1"/>
    <row r="3195" customFormat="1"/>
    <row r="3196" customFormat="1"/>
    <row r="3197" customFormat="1"/>
    <row r="3198" customFormat="1"/>
    <row r="3199" customFormat="1"/>
    <row r="3200" customFormat="1"/>
    <row r="3201" customFormat="1"/>
    <row r="3202" customFormat="1"/>
    <row r="3203" customFormat="1"/>
    <row r="3204" customFormat="1"/>
    <row r="3205" customFormat="1"/>
    <row r="3206" customFormat="1"/>
    <row r="3207" customFormat="1"/>
    <row r="3208" customFormat="1"/>
    <row r="3209" customFormat="1"/>
    <row r="3210" customFormat="1"/>
    <row r="3211" customFormat="1"/>
    <row r="3212" customFormat="1"/>
    <row r="3213" customFormat="1"/>
    <row r="3214" customFormat="1"/>
    <row r="3215" customFormat="1"/>
    <row r="3216" customFormat="1"/>
    <row r="3217" customFormat="1"/>
    <row r="3218" customFormat="1"/>
    <row r="3219" customFormat="1"/>
    <row r="3220" customFormat="1"/>
    <row r="3221" customFormat="1"/>
    <row r="3222" customFormat="1"/>
    <row r="3223" customFormat="1"/>
    <row r="3224" customFormat="1"/>
    <row r="3225" customFormat="1"/>
    <row r="3226" customFormat="1"/>
    <row r="3227" customFormat="1"/>
    <row r="3228" customFormat="1"/>
    <row r="3229" customFormat="1"/>
    <row r="3230" customFormat="1"/>
    <row r="3231" customFormat="1"/>
    <row r="3232" customFormat="1"/>
    <row r="3233" customFormat="1"/>
    <row r="3234" customFormat="1"/>
    <row r="3235" customFormat="1"/>
    <row r="3236" customFormat="1"/>
    <row r="3237" customFormat="1"/>
    <row r="3238" customFormat="1"/>
    <row r="3239" customFormat="1"/>
    <row r="3240" customFormat="1"/>
    <row r="3241" customFormat="1"/>
    <row r="3242" customFormat="1"/>
    <row r="3243" customFormat="1"/>
    <row r="3244" customFormat="1"/>
    <row r="3245" customFormat="1"/>
    <row r="3246" customFormat="1"/>
    <row r="3247" customFormat="1"/>
    <row r="3248" customFormat="1"/>
    <row r="3249" customFormat="1"/>
    <row r="3250" customFormat="1"/>
    <row r="3251" customFormat="1"/>
    <row r="3252" customFormat="1"/>
    <row r="3253" customFormat="1"/>
    <row r="3254" customFormat="1"/>
    <row r="3255" customFormat="1"/>
    <row r="3256" customFormat="1"/>
    <row r="3257" customFormat="1"/>
    <row r="3258" customFormat="1"/>
    <row r="3259" customFormat="1"/>
    <row r="3260" customFormat="1"/>
    <row r="3261" customFormat="1"/>
    <row r="3262" customFormat="1"/>
    <row r="3263" customFormat="1"/>
    <row r="326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customFormat="1"/>
    <row r="3282" customFormat="1"/>
    <row r="3283" customFormat="1"/>
    <row r="3284" customFormat="1"/>
    <row r="3285" customFormat="1"/>
    <row r="3286" customFormat="1"/>
    <row r="3287" customFormat="1"/>
    <row r="3288" customFormat="1"/>
    <row r="3289" customFormat="1"/>
    <row r="3290" customFormat="1"/>
    <row r="3291" customFormat="1"/>
    <row r="3292" customFormat="1"/>
    <row r="3293" customFormat="1"/>
    <row r="3294" customFormat="1"/>
    <row r="3295" customFormat="1"/>
    <row r="3296" customFormat="1"/>
    <row r="3297" customFormat="1"/>
    <row r="3298" customFormat="1"/>
    <row r="3299" customFormat="1"/>
    <row r="3300" customFormat="1"/>
    <row r="3301" customFormat="1"/>
    <row r="3302" customFormat="1"/>
    <row r="3303" customFormat="1"/>
    <row r="3304" customFormat="1"/>
    <row r="3305" customFormat="1"/>
    <row r="3306" customFormat="1"/>
    <row r="3307" customFormat="1"/>
    <row r="3308" customFormat="1"/>
    <row r="3309" customFormat="1"/>
    <row r="3310" customFormat="1"/>
    <row r="3311" customFormat="1"/>
    <row r="3312" customFormat="1"/>
    <row r="3313" customFormat="1"/>
    <row r="3314" customFormat="1"/>
    <row r="3315" customFormat="1"/>
    <row r="3316" customFormat="1"/>
    <row r="3317" customFormat="1"/>
    <row r="3318" customFormat="1"/>
    <row r="3319" customFormat="1"/>
    <row r="3320" customFormat="1"/>
    <row r="3321" customFormat="1"/>
    <row r="3322" customFormat="1"/>
    <row r="3323" customFormat="1"/>
    <row r="3324" customFormat="1"/>
    <row r="3325" customFormat="1"/>
    <row r="3326" customFormat="1"/>
    <row r="3327" customFormat="1"/>
    <row r="3328" customFormat="1"/>
    <row r="3329" customFormat="1"/>
    <row r="3330" customFormat="1"/>
    <row r="3331" customFormat="1"/>
    <row r="3332" customFormat="1"/>
    <row r="3333" customFormat="1"/>
    <row r="3334" customFormat="1"/>
    <row r="3335" customFormat="1"/>
    <row r="3336" customFormat="1"/>
    <row r="3337" customFormat="1"/>
    <row r="3338" customFormat="1"/>
    <row r="3339" customFormat="1"/>
    <row r="3340" customFormat="1"/>
    <row r="3341" customFormat="1"/>
    <row r="3342" customFormat="1"/>
    <row r="3343" customFormat="1"/>
    <row r="3344" customFormat="1"/>
    <row r="3345" customFormat="1"/>
    <row r="3346" customFormat="1"/>
    <row r="3347" customFormat="1"/>
    <row r="3348" customFormat="1"/>
    <row r="3349" customFormat="1"/>
    <row r="3350" customFormat="1"/>
    <row r="3351" customFormat="1"/>
    <row r="3352" customFormat="1"/>
    <row r="3353" customFormat="1"/>
    <row r="3354" customFormat="1"/>
    <row r="3355" customFormat="1"/>
    <row r="3356" customFormat="1"/>
    <row r="3357" customFormat="1"/>
    <row r="3358" customFormat="1"/>
    <row r="3359" customFormat="1"/>
    <row r="3360" customFormat="1"/>
    <row r="3361" customFormat="1"/>
    <row r="3362" customFormat="1"/>
    <row r="3363" customFormat="1"/>
    <row r="3364" customFormat="1"/>
    <row r="3365" customFormat="1"/>
    <row r="3366" customFormat="1"/>
    <row r="3367" customFormat="1"/>
    <row r="3368" customFormat="1"/>
    <row r="3369" customFormat="1"/>
    <row r="3370" customFormat="1"/>
    <row r="3371" customFormat="1"/>
    <row r="3372" customFormat="1"/>
    <row r="3373" customFormat="1"/>
    <row r="3374" customFormat="1"/>
    <row r="3375" customFormat="1"/>
    <row r="3376" customFormat="1"/>
    <row r="3377" customFormat="1"/>
    <row r="3378" customFormat="1"/>
    <row r="3379" customFormat="1"/>
    <row r="3380" customFormat="1"/>
    <row r="3381" customFormat="1"/>
    <row r="3382" customFormat="1"/>
    <row r="3383" customFormat="1"/>
    <row r="3384" customFormat="1"/>
    <row r="3385" customFormat="1"/>
    <row r="3386" customFormat="1"/>
    <row r="3387" customFormat="1"/>
    <row r="3388" customFormat="1"/>
    <row r="3389" customFormat="1"/>
    <row r="3390" customFormat="1"/>
    <row r="3391" customFormat="1"/>
    <row r="3392" customFormat="1"/>
    <row r="3393" customFormat="1"/>
    <row r="3394" customFormat="1"/>
    <row r="3395" customFormat="1"/>
    <row r="3396" customFormat="1"/>
    <row r="3397" customFormat="1"/>
    <row r="3398" customFormat="1"/>
    <row r="3399" customFormat="1"/>
    <row r="3400" customFormat="1"/>
    <row r="3401" customFormat="1"/>
    <row r="3402" customFormat="1"/>
    <row r="3403" customFormat="1"/>
    <row r="3404" customFormat="1"/>
    <row r="3405" customFormat="1"/>
    <row r="3406" customFormat="1"/>
    <row r="3407" customFormat="1"/>
    <row r="3408" customFormat="1"/>
    <row r="3409" customFormat="1"/>
    <row r="3410" customFormat="1"/>
    <row r="3411" customFormat="1"/>
    <row r="3412" customFormat="1"/>
    <row r="3413" customFormat="1"/>
    <row r="3414" customFormat="1"/>
    <row r="3415" customFormat="1"/>
    <row r="3416" customFormat="1"/>
    <row r="3417" customFormat="1"/>
    <row r="3418" customFormat="1"/>
    <row r="3419" customFormat="1"/>
    <row r="3420" customFormat="1"/>
    <row r="3421" customFormat="1"/>
    <row r="3422" customFormat="1"/>
    <row r="3423" customFormat="1"/>
    <row r="3424" customFormat="1"/>
    <row r="3425" customFormat="1"/>
    <row r="3426" customFormat="1"/>
    <row r="3427" customFormat="1"/>
    <row r="3428" customFormat="1"/>
    <row r="3429" customFormat="1"/>
    <row r="3430" customFormat="1"/>
    <row r="3431" customFormat="1"/>
    <row r="3432" customFormat="1"/>
    <row r="3433" customFormat="1"/>
    <row r="3434" customFormat="1"/>
    <row r="3435" customFormat="1"/>
    <row r="3436" customFormat="1"/>
    <row r="3437" customFormat="1"/>
    <row r="3438" customFormat="1"/>
    <row r="3439" customFormat="1"/>
    <row r="3440" customFormat="1"/>
    <row r="3441" customFormat="1"/>
    <row r="3442" customFormat="1"/>
    <row r="3443" customFormat="1"/>
    <row r="3444" customFormat="1"/>
    <row r="3445" customFormat="1"/>
    <row r="3446" customFormat="1"/>
    <row r="3447" customFormat="1"/>
    <row r="3448" customFormat="1"/>
    <row r="3449" customFormat="1"/>
    <row r="3450" customFormat="1"/>
    <row r="3451" customFormat="1"/>
    <row r="3452" customFormat="1"/>
    <row r="3453" customFormat="1"/>
    <row r="3454" customFormat="1"/>
    <row r="3455" customFormat="1"/>
    <row r="3456" customFormat="1"/>
    <row r="3457" customFormat="1"/>
    <row r="3458" customFormat="1"/>
    <row r="3459" customFormat="1"/>
    <row r="3460" customFormat="1"/>
    <row r="3461" customFormat="1"/>
    <row r="3462" customFormat="1"/>
    <row r="3463" customFormat="1"/>
    <row r="3464" customFormat="1"/>
    <row r="3465" customFormat="1"/>
    <row r="3466" customFormat="1"/>
    <row r="3467" customFormat="1"/>
    <row r="3468" customFormat="1"/>
    <row r="3469" customFormat="1"/>
    <row r="3470" customFormat="1"/>
    <row r="3471" customFormat="1"/>
    <row r="3472" customFormat="1"/>
    <row r="3473" customFormat="1"/>
    <row r="3474" customFormat="1"/>
    <row r="3475" customFormat="1"/>
    <row r="3476" customFormat="1"/>
    <row r="3477" customFormat="1"/>
    <row r="3478" customFormat="1"/>
    <row r="3479" customFormat="1"/>
    <row r="3480" customFormat="1"/>
    <row r="3481" customFormat="1"/>
    <row r="3482" customFormat="1"/>
    <row r="3483" customFormat="1"/>
    <row r="3484" customFormat="1"/>
    <row r="3485" customFormat="1"/>
    <row r="3486" customFormat="1"/>
    <row r="3487" customFormat="1"/>
    <row r="3488" customFormat="1"/>
    <row r="3489" customFormat="1"/>
    <row r="3490" customFormat="1"/>
    <row r="3491" customFormat="1"/>
    <row r="3492" customFormat="1"/>
    <row r="3493" customFormat="1"/>
    <row r="3494" customFormat="1"/>
    <row r="3495" customFormat="1"/>
    <row r="3496" customFormat="1"/>
    <row r="3497" customFormat="1"/>
    <row r="3498" customFormat="1"/>
    <row r="3499" customFormat="1"/>
    <row r="3500" customFormat="1"/>
    <row r="3501" customFormat="1"/>
    <row r="3502" customFormat="1"/>
    <row r="3503" customFormat="1"/>
    <row r="3504" customFormat="1"/>
    <row r="3505" customFormat="1"/>
    <row r="3506" customFormat="1"/>
    <row r="3507" customFormat="1"/>
    <row r="3508" customFormat="1"/>
    <row r="3509" customFormat="1"/>
    <row r="3510" customFormat="1"/>
    <row r="3511" customFormat="1"/>
    <row r="3512" customFormat="1"/>
    <row r="3513" customFormat="1"/>
    <row r="3514" customFormat="1"/>
    <row r="3515" customFormat="1"/>
    <row r="3516" customFormat="1"/>
    <row r="3517" customFormat="1"/>
    <row r="3518" customFormat="1"/>
    <row r="3519" customFormat="1"/>
    <row r="3520" customFormat="1"/>
    <row r="3521" customFormat="1"/>
    <row r="3522" customFormat="1"/>
    <row r="3523" customFormat="1"/>
    <row r="3524" customFormat="1"/>
    <row r="3525" customFormat="1"/>
    <row r="3526" customFormat="1"/>
    <row r="3527" customFormat="1"/>
    <row r="3528" customFormat="1"/>
    <row r="3529" customFormat="1"/>
    <row r="3530" customFormat="1"/>
    <row r="3531" customFormat="1"/>
    <row r="3532" customFormat="1"/>
    <row r="3533" customFormat="1"/>
    <row r="3534" customFormat="1"/>
    <row r="3535" customFormat="1"/>
    <row r="3536" customFormat="1"/>
    <row r="3537" customFormat="1"/>
    <row r="3538" customFormat="1"/>
    <row r="3539" customFormat="1"/>
    <row r="3540" customFormat="1"/>
    <row r="3541" customFormat="1"/>
    <row r="3542" customFormat="1"/>
    <row r="3543" customFormat="1"/>
    <row r="3544" customFormat="1"/>
    <row r="3545" customFormat="1"/>
    <row r="3546" customFormat="1"/>
    <row r="3547" customFormat="1"/>
    <row r="3548" customFormat="1"/>
    <row r="3549" customFormat="1"/>
    <row r="3550" customFormat="1"/>
    <row r="3551" customFormat="1"/>
    <row r="3552" customFormat="1"/>
    <row r="3553" customFormat="1"/>
    <row r="3554" customFormat="1"/>
    <row r="3555" customFormat="1"/>
    <row r="3556" customFormat="1"/>
    <row r="3557" customFormat="1"/>
    <row r="3558" customFormat="1"/>
    <row r="3559" customFormat="1"/>
    <row r="3560" customFormat="1"/>
    <row r="3561" customFormat="1"/>
    <row r="3562" customFormat="1"/>
    <row r="3563" customFormat="1"/>
    <row r="3564" customFormat="1"/>
    <row r="3565" customFormat="1"/>
    <row r="3566" customFormat="1"/>
    <row r="3567" customFormat="1"/>
    <row r="3568" customFormat="1"/>
    <row r="3569" customFormat="1"/>
    <row r="3570" customFormat="1"/>
    <row r="3571" customFormat="1"/>
    <row r="3572" customFormat="1"/>
    <row r="3573" customFormat="1"/>
    <row r="3574" customFormat="1"/>
    <row r="3575" customFormat="1"/>
    <row r="3576" customFormat="1"/>
    <row r="3577" customFormat="1"/>
    <row r="3578" customFormat="1"/>
    <row r="3579" customFormat="1"/>
    <row r="3580" customFormat="1"/>
    <row r="3581" customFormat="1"/>
    <row r="3582" customFormat="1"/>
    <row r="3583" customFormat="1"/>
    <row r="3584" customFormat="1"/>
    <row r="3585" customFormat="1"/>
    <row r="3586" customFormat="1"/>
    <row r="3587" customFormat="1"/>
    <row r="3588" customFormat="1"/>
    <row r="3589" customFormat="1"/>
    <row r="3590" customFormat="1"/>
    <row r="3591" customFormat="1"/>
    <row r="3592" customFormat="1"/>
    <row r="3593" customFormat="1"/>
    <row r="3594" customFormat="1"/>
    <row r="3595" customFormat="1"/>
    <row r="3596" customFormat="1"/>
    <row r="3597" customFormat="1"/>
    <row r="3598" customFormat="1"/>
    <row r="3599" customFormat="1"/>
    <row r="3600" customFormat="1"/>
    <row r="3601" customFormat="1"/>
    <row r="3602" customFormat="1"/>
    <row r="3603" customFormat="1"/>
    <row r="3604" customFormat="1"/>
    <row r="3605" customFormat="1"/>
    <row r="3606" customFormat="1"/>
    <row r="3607" customFormat="1"/>
    <row r="3608" customFormat="1"/>
    <row r="3609" customFormat="1"/>
    <row r="3610" customFormat="1"/>
    <row r="3611" customFormat="1"/>
    <row r="3612" customFormat="1"/>
    <row r="3613" customFormat="1"/>
    <row r="3614" customFormat="1"/>
    <row r="3615" customFormat="1"/>
    <row r="3616" customFormat="1"/>
    <row r="3617" customFormat="1"/>
    <row r="3618" customFormat="1"/>
    <row r="3619" customFormat="1"/>
    <row r="3620" customFormat="1"/>
    <row r="3621" customFormat="1"/>
    <row r="3622" customFormat="1"/>
    <row r="3623" customFormat="1"/>
    <row r="3624" customFormat="1"/>
    <row r="3625" customFormat="1"/>
    <row r="3626" customFormat="1"/>
    <row r="3627" customFormat="1"/>
    <row r="3628" customFormat="1"/>
    <row r="3629" customFormat="1"/>
    <row r="3630" customFormat="1"/>
    <row r="3631" customFormat="1"/>
    <row r="3632" customFormat="1"/>
    <row r="3633" customFormat="1"/>
    <row r="3634" customFormat="1"/>
    <row r="3635" customFormat="1"/>
    <row r="3636" customFormat="1"/>
    <row r="3637" customFormat="1"/>
    <row r="3638" customFormat="1"/>
    <row r="3639" customFormat="1"/>
    <row r="3640" customFormat="1"/>
    <row r="3641" customFormat="1"/>
    <row r="3642" customFormat="1"/>
    <row r="3643" customFormat="1"/>
    <row r="3644" customFormat="1"/>
    <row r="3645" customFormat="1"/>
    <row r="3646" customFormat="1"/>
    <row r="3647" customFormat="1"/>
    <row r="3648" customFormat="1"/>
    <row r="3649" customFormat="1"/>
    <row r="3650" customFormat="1"/>
    <row r="3651" customFormat="1"/>
    <row r="3652" customFormat="1"/>
    <row r="3653" customFormat="1"/>
    <row r="3654" customFormat="1"/>
    <row r="3655" customFormat="1"/>
    <row r="3656" customFormat="1"/>
    <row r="3657" customFormat="1"/>
    <row r="3658" customFormat="1"/>
    <row r="3659" customFormat="1"/>
    <row r="3660" customFormat="1"/>
    <row r="3661" customFormat="1"/>
    <row r="3662" customFormat="1"/>
    <row r="3663" customFormat="1"/>
    <row r="3664" customFormat="1"/>
    <row r="3665" customFormat="1"/>
    <row r="3666" customFormat="1"/>
    <row r="3667" customFormat="1"/>
    <row r="3668" customFormat="1"/>
    <row r="3669" customFormat="1"/>
    <row r="3670" customFormat="1"/>
    <row r="3671" customFormat="1"/>
    <row r="3672" customFormat="1"/>
    <row r="3673" customFormat="1"/>
    <row r="3674" customFormat="1"/>
    <row r="3675" customFormat="1"/>
    <row r="3676" customFormat="1"/>
    <row r="3677" customFormat="1"/>
    <row r="3678" customFormat="1"/>
    <row r="3679" customFormat="1"/>
    <row r="3680" customFormat="1"/>
    <row r="3681" customFormat="1"/>
    <row r="3682" customFormat="1"/>
    <row r="3683" customFormat="1"/>
    <row r="3684" customFormat="1"/>
    <row r="3685" customFormat="1"/>
    <row r="3686" customFormat="1"/>
    <row r="3687" customFormat="1"/>
    <row r="3688" customFormat="1"/>
    <row r="3689" customFormat="1"/>
    <row r="3690" customFormat="1"/>
    <row r="3691" customFormat="1"/>
    <row r="3692" customFormat="1"/>
    <row r="3693" customFormat="1"/>
    <row r="3694" customFormat="1"/>
    <row r="3695" customFormat="1"/>
    <row r="3696" customFormat="1"/>
    <row r="3697" customFormat="1"/>
    <row r="3698" customFormat="1"/>
    <row r="3699" customFormat="1"/>
    <row r="3700" customFormat="1"/>
    <row r="3701" customFormat="1"/>
    <row r="3702" customFormat="1"/>
    <row r="3703" customFormat="1"/>
    <row r="3704" customFormat="1"/>
    <row r="3705" customFormat="1"/>
    <row r="3706" customFormat="1"/>
    <row r="3707" customFormat="1"/>
    <row r="3708" customFormat="1"/>
    <row r="3709" customFormat="1"/>
    <row r="3710" customFormat="1"/>
    <row r="3711" customFormat="1"/>
    <row r="3712" customFormat="1"/>
    <row r="3713" customFormat="1"/>
    <row r="3714" customFormat="1"/>
    <row r="3715" customFormat="1"/>
    <row r="3716" customFormat="1"/>
    <row r="3717" customFormat="1"/>
    <row r="3718" customFormat="1"/>
    <row r="3719" customFormat="1"/>
    <row r="3720" customFormat="1"/>
    <row r="3721" customFormat="1"/>
    <row r="3722" customFormat="1"/>
    <row r="3723" customFormat="1"/>
    <row r="3724" customFormat="1"/>
    <row r="3725" customFormat="1"/>
    <row r="3726" customFormat="1"/>
    <row r="3727" customFormat="1"/>
    <row r="3728" customFormat="1"/>
    <row r="3729" customFormat="1"/>
    <row r="3730" customFormat="1"/>
    <row r="3731" customFormat="1"/>
    <row r="3732" customFormat="1"/>
    <row r="3733" customFormat="1"/>
    <row r="3734" customFormat="1"/>
    <row r="3735" customFormat="1"/>
    <row r="3736" customFormat="1"/>
    <row r="3737" customFormat="1"/>
    <row r="3738" customFormat="1"/>
    <row r="3739" customFormat="1"/>
    <row r="3740" customFormat="1"/>
    <row r="3741" customFormat="1"/>
    <row r="3742" customFormat="1"/>
    <row r="3743" customFormat="1"/>
    <row r="3744" customFormat="1"/>
    <row r="3745" customFormat="1"/>
    <row r="3746" customFormat="1"/>
    <row r="3747" customFormat="1"/>
    <row r="3748" customFormat="1"/>
    <row r="3749" customFormat="1"/>
    <row r="3750" customFormat="1"/>
    <row r="3751" customFormat="1"/>
    <row r="3752" customFormat="1"/>
    <row r="3753" customFormat="1"/>
    <row r="3754" customFormat="1"/>
    <row r="3755" customFormat="1"/>
    <row r="3756" customFormat="1"/>
    <row r="3757" customFormat="1"/>
    <row r="3758" customFormat="1"/>
    <row r="3759" customFormat="1"/>
    <row r="3760" customFormat="1"/>
    <row r="3761" customFormat="1"/>
    <row r="3762" customFormat="1"/>
    <row r="3763" customFormat="1"/>
    <row r="3764" customFormat="1"/>
    <row r="3765" customFormat="1"/>
    <row r="3766" customFormat="1"/>
    <row r="3767" customFormat="1"/>
    <row r="3768" customFormat="1"/>
    <row r="3769" customFormat="1"/>
    <row r="3770" customFormat="1"/>
    <row r="3771" customFormat="1"/>
    <row r="3772" customFormat="1"/>
    <row r="3773" customFormat="1"/>
    <row r="3774" customFormat="1"/>
    <row r="3775" customFormat="1"/>
    <row r="3776" customFormat="1"/>
    <row r="3777" customFormat="1"/>
    <row r="3778" customFormat="1"/>
    <row r="3779" customFormat="1"/>
    <row r="3780" customFormat="1"/>
    <row r="3781" customFormat="1"/>
    <row r="3782" customFormat="1"/>
    <row r="3783" customFormat="1"/>
    <row r="3784" customFormat="1"/>
    <row r="3785" customFormat="1"/>
    <row r="3786" customFormat="1"/>
    <row r="3787" customFormat="1"/>
    <row r="3788" customFormat="1"/>
    <row r="3789" customFormat="1"/>
    <row r="3790" customFormat="1"/>
    <row r="3791" customFormat="1"/>
    <row r="3792" customFormat="1"/>
    <row r="3793" customFormat="1"/>
    <row r="3794" customFormat="1"/>
    <row r="3795" customFormat="1"/>
    <row r="3796" customFormat="1"/>
    <row r="3797" customFormat="1"/>
    <row r="3798" customFormat="1"/>
    <row r="3799" customFormat="1"/>
    <row r="3800" customFormat="1"/>
    <row r="3801" customFormat="1"/>
    <row r="3802" customFormat="1"/>
    <row r="3803" customFormat="1"/>
    <row r="3804" customFormat="1"/>
    <row r="3805" customFormat="1"/>
    <row r="3806" customFormat="1"/>
    <row r="3807" customFormat="1"/>
    <row r="3808" customFormat="1"/>
    <row r="3809" customFormat="1"/>
    <row r="3810" customFormat="1"/>
    <row r="3811" customFormat="1"/>
    <row r="3812" customFormat="1"/>
    <row r="3813" customFormat="1"/>
    <row r="3814" customFormat="1"/>
    <row r="3815" customFormat="1"/>
    <row r="3816" customFormat="1"/>
    <row r="3817" customFormat="1"/>
    <row r="3818" customFormat="1"/>
    <row r="3819" customFormat="1"/>
    <row r="3820" customFormat="1"/>
    <row r="3821" customFormat="1"/>
    <row r="3822" customFormat="1"/>
    <row r="3823" customFormat="1"/>
    <row r="3824" customFormat="1"/>
    <row r="3825" customFormat="1"/>
    <row r="3826" customFormat="1"/>
    <row r="3827" customFormat="1"/>
    <row r="3828" customFormat="1"/>
    <row r="3829" customFormat="1"/>
    <row r="3830" customFormat="1"/>
    <row r="3831" customFormat="1"/>
    <row r="3832" customFormat="1"/>
    <row r="3833" customFormat="1"/>
    <row r="3834" customFormat="1"/>
    <row r="3835" customFormat="1"/>
    <row r="3836" customFormat="1"/>
    <row r="3837" customFormat="1"/>
    <row r="3838" customFormat="1"/>
    <row r="3839" customFormat="1"/>
    <row r="3840" customFormat="1"/>
    <row r="3841" customFormat="1"/>
    <row r="3842" customFormat="1"/>
    <row r="3843" customFormat="1"/>
    <row r="3844" customFormat="1"/>
    <row r="3845" customFormat="1"/>
    <row r="3846" customFormat="1"/>
    <row r="3847" customFormat="1"/>
    <row r="3848" customFormat="1"/>
    <row r="3849" customFormat="1"/>
    <row r="3850" customFormat="1"/>
    <row r="3851" customFormat="1"/>
    <row r="3852" customFormat="1"/>
    <row r="3853" customFormat="1"/>
    <row r="3854" customFormat="1"/>
    <row r="3855" customFormat="1"/>
    <row r="3856" customFormat="1"/>
    <row r="3857" customFormat="1"/>
    <row r="3858" customFormat="1"/>
    <row r="3859" customFormat="1"/>
    <row r="3860" customFormat="1"/>
    <row r="3861" customFormat="1"/>
    <row r="3862" customFormat="1"/>
    <row r="3863" customFormat="1"/>
    <row r="3864" customFormat="1"/>
    <row r="3865" customFormat="1"/>
    <row r="3866" customFormat="1"/>
    <row r="3867" customFormat="1"/>
    <row r="3868" customFormat="1"/>
    <row r="3869" customFormat="1"/>
    <row r="3870" customFormat="1"/>
    <row r="3871" customFormat="1"/>
    <row r="3872" customFormat="1"/>
    <row r="3873" customFormat="1"/>
    <row r="3874" customFormat="1"/>
    <row r="3875" customFormat="1"/>
    <row r="3876" customFormat="1"/>
    <row r="3877" customFormat="1"/>
    <row r="3878" customFormat="1"/>
    <row r="3879" customFormat="1"/>
    <row r="3880" customFormat="1"/>
    <row r="3881" customFormat="1"/>
    <row r="3882" customFormat="1"/>
    <row r="3883" customFormat="1"/>
    <row r="3884" customFormat="1"/>
    <row r="3885" customFormat="1"/>
    <row r="3886" customFormat="1"/>
    <row r="3887" customFormat="1"/>
    <row r="3888" customFormat="1"/>
    <row r="3889" customFormat="1"/>
    <row r="3890" customFormat="1"/>
    <row r="3891" customFormat="1"/>
    <row r="3892" customFormat="1"/>
    <row r="3893" customFormat="1"/>
    <row r="3894" customFormat="1"/>
    <row r="3895" customFormat="1"/>
    <row r="3896" customFormat="1"/>
    <row r="3897" customFormat="1"/>
    <row r="3898" customFormat="1"/>
    <row r="3899" customFormat="1"/>
    <row r="3900" customFormat="1"/>
    <row r="3901" customFormat="1"/>
    <row r="3902" customFormat="1"/>
    <row r="3903" customFormat="1"/>
    <row r="3904" customFormat="1"/>
    <row r="3905" customFormat="1"/>
    <row r="3906" customFormat="1"/>
    <row r="3907" customFormat="1"/>
    <row r="3908" customFormat="1"/>
    <row r="3909" customFormat="1"/>
    <row r="3910" customFormat="1"/>
    <row r="3911" customFormat="1"/>
    <row r="3912" customFormat="1"/>
    <row r="3913" customFormat="1"/>
    <row r="3914" customFormat="1"/>
    <row r="3915" customFormat="1"/>
    <row r="3916" customFormat="1"/>
    <row r="3917" customFormat="1"/>
    <row r="3918" customFormat="1"/>
    <row r="3919" customFormat="1"/>
    <row r="3920" customFormat="1"/>
    <row r="3921" customFormat="1"/>
    <row r="3922" customFormat="1"/>
    <row r="3923" customFormat="1"/>
    <row r="3924" customFormat="1"/>
    <row r="3925" customFormat="1"/>
    <row r="3926" customFormat="1"/>
    <row r="3927" customFormat="1"/>
    <row r="3928" customFormat="1"/>
    <row r="3929" customFormat="1"/>
    <row r="3930" customFormat="1"/>
    <row r="3931" customFormat="1"/>
    <row r="3932" customFormat="1"/>
    <row r="3933" customFormat="1"/>
    <row r="3934" customFormat="1"/>
    <row r="3935" customFormat="1"/>
    <row r="3936" customFormat="1"/>
    <row r="3937" customFormat="1"/>
    <row r="3938" customFormat="1"/>
    <row r="3939" customFormat="1"/>
    <row r="3940" customFormat="1"/>
    <row r="3941" customFormat="1"/>
    <row r="3942" customFormat="1"/>
    <row r="3943" customFormat="1"/>
    <row r="3944" customFormat="1"/>
    <row r="3945" customFormat="1"/>
    <row r="3946" customFormat="1"/>
    <row r="3947" customFormat="1"/>
    <row r="3948" customFormat="1"/>
    <row r="3949" customFormat="1"/>
    <row r="3950" customFormat="1"/>
    <row r="3951" customFormat="1"/>
    <row r="3952" customFormat="1"/>
    <row r="3953" customFormat="1"/>
    <row r="3954" customFormat="1"/>
    <row r="3955" customFormat="1"/>
    <row r="3956" customFormat="1"/>
    <row r="3957" customFormat="1"/>
    <row r="3958" customFormat="1"/>
    <row r="3959" customFormat="1"/>
    <row r="3960" customFormat="1"/>
    <row r="3961" customFormat="1"/>
    <row r="3962" customFormat="1"/>
    <row r="3963" customFormat="1"/>
    <row r="3964" customFormat="1"/>
    <row r="3965" customFormat="1"/>
    <row r="3966" customFormat="1"/>
    <row r="3967" customFormat="1"/>
    <row r="3968" customFormat="1"/>
    <row r="3969" customFormat="1"/>
    <row r="3970" customFormat="1"/>
    <row r="3971" customFormat="1"/>
    <row r="3972" customFormat="1"/>
    <row r="3973" customFormat="1"/>
    <row r="3974" customFormat="1"/>
    <row r="3975" customFormat="1"/>
    <row r="3976" customFormat="1"/>
    <row r="3977" customFormat="1"/>
    <row r="3978" customFormat="1"/>
    <row r="3979" customFormat="1"/>
    <row r="3980" customFormat="1"/>
    <row r="3981" customFormat="1"/>
    <row r="3982" customFormat="1"/>
    <row r="3983" customFormat="1"/>
    <row r="3984" customFormat="1"/>
    <row r="3985" customFormat="1"/>
    <row r="3986" customFormat="1"/>
    <row r="3987" customFormat="1"/>
    <row r="3988" customFormat="1"/>
    <row r="3989" customFormat="1"/>
    <row r="3990" customFormat="1"/>
    <row r="3991" customFormat="1"/>
    <row r="3992" customFormat="1"/>
    <row r="3993" customFormat="1"/>
    <row r="3994" customFormat="1"/>
    <row r="3995" customFormat="1"/>
    <row r="3996" customFormat="1"/>
    <row r="3997" customFormat="1"/>
    <row r="3998" customFormat="1"/>
    <row r="3999" customFormat="1"/>
    <row r="4000" customFormat="1"/>
    <row r="4001" customFormat="1"/>
    <row r="4002" customFormat="1"/>
    <row r="4003" customFormat="1"/>
    <row r="4004" customFormat="1"/>
    <row r="4005" customFormat="1"/>
    <row r="4006" customFormat="1"/>
    <row r="4007" customFormat="1"/>
    <row r="4008" customFormat="1"/>
    <row r="4009" customFormat="1"/>
    <row r="4010" customFormat="1"/>
    <row r="4011" customFormat="1"/>
    <row r="4012" customFormat="1"/>
    <row r="4013" customFormat="1"/>
    <row r="4014" customFormat="1"/>
    <row r="4015" customFormat="1"/>
    <row r="4016" customFormat="1"/>
    <row r="4017" customFormat="1"/>
    <row r="4018" customFormat="1"/>
    <row r="4019" customFormat="1"/>
    <row r="4020" customFormat="1"/>
    <row r="4021" customFormat="1"/>
    <row r="4022" customFormat="1"/>
    <row r="4023" customFormat="1"/>
    <row r="4024" customFormat="1"/>
    <row r="4025" customFormat="1"/>
    <row r="4026" customFormat="1"/>
    <row r="4027" customFormat="1"/>
    <row r="4028" customFormat="1"/>
    <row r="4029" customFormat="1"/>
    <row r="4030" customFormat="1"/>
    <row r="4031" customFormat="1"/>
    <row r="4032" customFormat="1"/>
    <row r="4033" customFormat="1"/>
    <row r="4034" customFormat="1"/>
    <row r="4035" customFormat="1"/>
    <row r="4036" customFormat="1"/>
    <row r="4037" customFormat="1"/>
    <row r="4038" customFormat="1"/>
    <row r="4039" customFormat="1"/>
    <row r="4040" customFormat="1"/>
    <row r="4041" customFormat="1"/>
    <row r="4042" customFormat="1"/>
    <row r="4043" customFormat="1"/>
    <row r="4044" customFormat="1"/>
    <row r="4045" customFormat="1"/>
    <row r="4046" customFormat="1"/>
    <row r="4047" customFormat="1"/>
    <row r="4048" customFormat="1"/>
    <row r="4049" customFormat="1"/>
    <row r="4050" customFormat="1"/>
    <row r="4051" customFormat="1"/>
    <row r="4052" customFormat="1"/>
    <row r="4053" customFormat="1"/>
    <row r="4054" customFormat="1"/>
    <row r="4055" customFormat="1"/>
    <row r="4056" customFormat="1"/>
    <row r="4057" customFormat="1"/>
    <row r="4058" customFormat="1"/>
    <row r="4059" customFormat="1"/>
    <row r="4060" customFormat="1"/>
    <row r="4061" customFormat="1"/>
    <row r="4062" customFormat="1"/>
    <row r="4063" customFormat="1"/>
    <row r="4064" customFormat="1"/>
    <row r="4065" customFormat="1"/>
    <row r="4066" customFormat="1"/>
    <row r="4067" customFormat="1"/>
    <row r="4068" customFormat="1"/>
    <row r="4069" customFormat="1"/>
    <row r="4070" customFormat="1"/>
    <row r="4071" customFormat="1"/>
    <row r="4072" customFormat="1"/>
    <row r="4073" customFormat="1"/>
    <row r="4074" customFormat="1"/>
    <row r="4075" customFormat="1"/>
    <row r="4076" customFormat="1"/>
    <row r="4077" customFormat="1"/>
    <row r="4078" customFormat="1"/>
    <row r="4079" customFormat="1"/>
    <row r="4080" customFormat="1"/>
    <row r="4081" customFormat="1"/>
    <row r="4082" customFormat="1"/>
    <row r="4083" customFormat="1"/>
    <row r="4084" customFormat="1"/>
    <row r="4085" customFormat="1"/>
    <row r="4086" customFormat="1"/>
    <row r="4087" customFormat="1"/>
    <row r="4088" customFormat="1"/>
    <row r="4089" customFormat="1"/>
    <row r="4090" customFormat="1"/>
    <row r="4091" customFormat="1"/>
    <row r="4092" customFormat="1"/>
    <row r="4093" customFormat="1"/>
    <row r="4094" customFormat="1"/>
    <row r="4095" customFormat="1"/>
    <row r="4096" customFormat="1"/>
    <row r="4097" customFormat="1"/>
    <row r="4098" customFormat="1"/>
    <row r="4099" customFormat="1"/>
    <row r="4100" customFormat="1"/>
    <row r="4101" customFormat="1"/>
    <row r="4102" customFormat="1"/>
    <row r="4103" customFormat="1"/>
    <row r="4104" customFormat="1"/>
    <row r="4105" customFormat="1"/>
    <row r="4106" customFormat="1"/>
    <row r="4107" customFormat="1"/>
    <row r="4108" customFormat="1"/>
    <row r="4109" customFormat="1"/>
    <row r="4110" customFormat="1"/>
    <row r="4111" customFormat="1"/>
    <row r="4112" customFormat="1"/>
    <row r="4113" customFormat="1"/>
    <row r="4114" customFormat="1"/>
    <row r="4115" customFormat="1"/>
    <row r="4116" customFormat="1"/>
    <row r="4117" customFormat="1"/>
    <row r="4118" customFormat="1"/>
    <row r="4119" customFormat="1"/>
    <row r="4120" customFormat="1"/>
    <row r="4121" customFormat="1"/>
    <row r="4122" customFormat="1"/>
    <row r="4123" customFormat="1"/>
    <row r="4124" customFormat="1"/>
    <row r="4125" customFormat="1"/>
    <row r="4126" customFormat="1"/>
    <row r="4127" customFormat="1"/>
    <row r="4128" customFormat="1"/>
    <row r="4129" customFormat="1"/>
    <row r="4130" customFormat="1"/>
    <row r="4131" customFormat="1"/>
    <row r="4132" customFormat="1"/>
    <row r="4133" customFormat="1"/>
    <row r="4134" customFormat="1"/>
    <row r="4135" customFormat="1"/>
    <row r="4136" customFormat="1"/>
    <row r="4137" customFormat="1"/>
    <row r="4138" customFormat="1"/>
    <row r="4139" customFormat="1"/>
    <row r="4140" customFormat="1"/>
    <row r="4141" customFormat="1"/>
    <row r="4142" customFormat="1"/>
    <row r="4143" customFormat="1"/>
    <row r="4144" customFormat="1"/>
    <row r="4145" customFormat="1"/>
    <row r="4146" customFormat="1"/>
    <row r="4147" customFormat="1"/>
    <row r="4148" customFormat="1"/>
    <row r="4149" customFormat="1"/>
    <row r="4150" customFormat="1"/>
    <row r="4151" customFormat="1"/>
    <row r="4152" customFormat="1"/>
    <row r="4153" customFormat="1"/>
    <row r="4154" customFormat="1"/>
    <row r="4155" customFormat="1"/>
    <row r="4156" customFormat="1"/>
    <row r="4157" customFormat="1"/>
    <row r="4158" customFormat="1"/>
    <row r="4159" customFormat="1"/>
    <row r="4160" customFormat="1"/>
    <row r="4161" customFormat="1"/>
    <row r="4162" customFormat="1"/>
    <row r="4163" customFormat="1"/>
    <row r="4164" customFormat="1"/>
    <row r="4165" customFormat="1"/>
    <row r="4166" customFormat="1"/>
    <row r="4167" customFormat="1"/>
    <row r="4168" customFormat="1"/>
    <row r="4169" customFormat="1"/>
    <row r="4170" customFormat="1"/>
    <row r="4171" customFormat="1"/>
    <row r="4172" customFormat="1"/>
    <row r="4173" customFormat="1"/>
    <row r="4174" customFormat="1"/>
    <row r="4175" customFormat="1"/>
    <row r="4176" customFormat="1"/>
    <row r="4177" customFormat="1"/>
    <row r="4178" customFormat="1"/>
    <row r="4179" customFormat="1"/>
    <row r="4180" customFormat="1"/>
    <row r="4181" customFormat="1"/>
    <row r="4182" customFormat="1"/>
    <row r="4183" customFormat="1"/>
    <row r="4184" customFormat="1"/>
    <row r="4185" customFormat="1"/>
    <row r="4186" customFormat="1"/>
    <row r="4187" customFormat="1"/>
    <row r="4188" customFormat="1"/>
    <row r="4189" customFormat="1"/>
    <row r="4190" customFormat="1"/>
    <row r="4191" customFormat="1"/>
    <row r="4192" customFormat="1"/>
    <row r="4193" customFormat="1"/>
    <row r="4194" customFormat="1"/>
    <row r="4195" customFormat="1"/>
    <row r="4196" customFormat="1"/>
    <row r="4197" customFormat="1"/>
    <row r="4198" customFormat="1"/>
    <row r="4199" customFormat="1"/>
    <row r="4200" customFormat="1"/>
    <row r="4201" customFormat="1"/>
    <row r="4202" customFormat="1"/>
    <row r="4203" customFormat="1"/>
    <row r="4204" customFormat="1"/>
    <row r="4205" customFormat="1"/>
    <row r="4206" customFormat="1"/>
    <row r="4207" customFormat="1"/>
    <row r="4208" customFormat="1"/>
    <row r="4209" customFormat="1"/>
    <row r="4210" customFormat="1"/>
    <row r="4211" customFormat="1"/>
    <row r="4212" customFormat="1"/>
    <row r="4213" customFormat="1"/>
    <row r="4214" customFormat="1"/>
    <row r="4215" customFormat="1"/>
    <row r="4216" customFormat="1"/>
    <row r="4217" customFormat="1"/>
    <row r="4218" customFormat="1"/>
    <row r="4219" customFormat="1"/>
    <row r="4220" customFormat="1"/>
    <row r="4221" customFormat="1"/>
    <row r="4222" customFormat="1"/>
    <row r="4223" customFormat="1"/>
    <row r="4224" customFormat="1"/>
    <row r="4225" customFormat="1"/>
    <row r="4226" customFormat="1"/>
    <row r="4227" customFormat="1"/>
    <row r="4228" customFormat="1"/>
    <row r="4229" customFormat="1"/>
    <row r="4230" customFormat="1"/>
    <row r="4231" customFormat="1"/>
    <row r="4232" customFormat="1"/>
    <row r="4233" customFormat="1"/>
    <row r="4234" customFormat="1"/>
    <row r="4235" customFormat="1"/>
    <row r="4236" customFormat="1"/>
    <row r="4237" customFormat="1"/>
    <row r="4238" customFormat="1"/>
    <row r="4239" customFormat="1"/>
    <row r="4240" customFormat="1"/>
    <row r="4241" customFormat="1"/>
    <row r="4242" customFormat="1"/>
    <row r="4243" customFormat="1"/>
    <row r="4244" customFormat="1"/>
    <row r="4245" customFormat="1"/>
    <row r="4246" customFormat="1"/>
    <row r="4247" customFormat="1"/>
    <row r="4248" customFormat="1"/>
    <row r="4249" customFormat="1"/>
    <row r="4250" customFormat="1"/>
    <row r="4251" customFormat="1"/>
    <row r="4252" customFormat="1"/>
    <row r="4253" customFormat="1"/>
    <row r="4254" customFormat="1"/>
    <row r="4255" customFormat="1"/>
    <row r="4256" customFormat="1"/>
    <row r="4257" customFormat="1"/>
    <row r="4258" customFormat="1"/>
    <row r="4259" customFormat="1"/>
    <row r="4260" customFormat="1"/>
    <row r="4261" customFormat="1"/>
    <row r="4262" customFormat="1"/>
    <row r="4263" customFormat="1"/>
    <row r="4264" customFormat="1"/>
    <row r="4265" customFormat="1"/>
    <row r="4266" customFormat="1"/>
    <row r="4267" customFormat="1"/>
    <row r="4268" customFormat="1"/>
    <row r="4269" customFormat="1"/>
    <row r="4270" customFormat="1"/>
    <row r="4271" customFormat="1"/>
    <row r="4272" customFormat="1"/>
    <row r="4273" customFormat="1"/>
    <row r="4274" customFormat="1"/>
    <row r="4275" customFormat="1"/>
    <row r="4276" customFormat="1"/>
    <row r="4277" customFormat="1"/>
    <row r="4278" customFormat="1"/>
    <row r="4279" customFormat="1"/>
    <row r="4280" customFormat="1"/>
    <row r="4281" customFormat="1"/>
    <row r="4282" customFormat="1"/>
    <row r="4283" customFormat="1"/>
    <row r="4284" customFormat="1"/>
    <row r="4285" customFormat="1"/>
    <row r="4286" customFormat="1"/>
    <row r="4287" customFormat="1"/>
    <row r="4288" customFormat="1"/>
    <row r="4289" customFormat="1"/>
    <row r="4290" customFormat="1"/>
    <row r="4291" customFormat="1"/>
    <row r="4292" customFormat="1"/>
    <row r="4293" customFormat="1"/>
    <row r="4294" customFormat="1"/>
    <row r="4295" customFormat="1"/>
    <row r="4296" customFormat="1"/>
    <row r="4297" customFormat="1"/>
    <row r="4298" customFormat="1"/>
    <row r="4299" customFormat="1"/>
    <row r="4300" customFormat="1"/>
    <row r="4301" customFormat="1"/>
    <row r="4302" customFormat="1"/>
    <row r="4303" customFormat="1"/>
    <row r="4304" customFormat="1"/>
    <row r="4305" customFormat="1"/>
    <row r="4306" customFormat="1"/>
    <row r="4307" customFormat="1"/>
    <row r="4308" customFormat="1"/>
    <row r="4309" customFormat="1"/>
    <row r="4310" customFormat="1"/>
    <row r="4311" customFormat="1"/>
    <row r="4312" customFormat="1"/>
    <row r="4313" customFormat="1"/>
    <row r="4314" customFormat="1"/>
    <row r="4315" customFormat="1"/>
    <row r="4316" customFormat="1"/>
    <row r="4317" customFormat="1"/>
    <row r="4318" customFormat="1"/>
    <row r="4319" customFormat="1"/>
    <row r="4320" customFormat="1"/>
    <row r="4321" customFormat="1"/>
    <row r="4322" customFormat="1"/>
    <row r="4323" customFormat="1"/>
    <row r="4324" customFormat="1"/>
    <row r="4325" customFormat="1"/>
    <row r="4326" customFormat="1"/>
    <row r="4327" customFormat="1"/>
    <row r="4328" customFormat="1"/>
    <row r="4329" customFormat="1"/>
    <row r="4330" customFormat="1"/>
    <row r="4331" customFormat="1"/>
    <row r="4332" customFormat="1"/>
    <row r="4333" customFormat="1"/>
    <row r="4334" customFormat="1"/>
    <row r="4335" customFormat="1"/>
    <row r="4336" customFormat="1"/>
    <row r="4337" customFormat="1"/>
    <row r="4338" customFormat="1"/>
    <row r="4339" customFormat="1"/>
    <row r="4340" customFormat="1"/>
    <row r="4341" customFormat="1"/>
    <row r="4342" customFormat="1"/>
    <row r="4343" customFormat="1"/>
    <row r="4344" customFormat="1"/>
    <row r="4345" customFormat="1"/>
    <row r="4346" customFormat="1"/>
    <row r="4347" customFormat="1"/>
    <row r="4348" customFormat="1"/>
    <row r="4349" customFormat="1"/>
    <row r="4350" customFormat="1"/>
    <row r="4351" customFormat="1"/>
    <row r="4352" customFormat="1"/>
    <row r="4353" customFormat="1"/>
    <row r="4354" customFormat="1"/>
    <row r="4355" customFormat="1"/>
    <row r="4356" customFormat="1"/>
    <row r="4357" customFormat="1"/>
    <row r="4358" customFormat="1"/>
    <row r="4359" customFormat="1"/>
    <row r="4360" customFormat="1"/>
    <row r="4361" customFormat="1"/>
    <row r="4362" customFormat="1"/>
    <row r="4363" customFormat="1"/>
    <row r="4364" customFormat="1"/>
    <row r="4365" customFormat="1"/>
    <row r="4366" customFormat="1"/>
    <row r="4367" customFormat="1"/>
    <row r="4368" customFormat="1"/>
    <row r="4369" customFormat="1"/>
    <row r="4370" customFormat="1"/>
    <row r="4371" customFormat="1"/>
    <row r="4372" customFormat="1"/>
    <row r="4373" customFormat="1"/>
    <row r="4374" customFormat="1"/>
    <row r="4375" customFormat="1"/>
    <row r="4376" customFormat="1"/>
    <row r="4377" customFormat="1"/>
    <row r="4378" customFormat="1"/>
    <row r="4379" customFormat="1"/>
    <row r="4380" customFormat="1"/>
    <row r="4381" customFormat="1"/>
    <row r="4382" customFormat="1"/>
    <row r="4383" customFormat="1"/>
    <row r="4384" customFormat="1"/>
    <row r="4385" customFormat="1"/>
    <row r="4386" customFormat="1"/>
    <row r="4387" customFormat="1"/>
    <row r="4388" customFormat="1"/>
    <row r="4389" customFormat="1"/>
    <row r="4390" customFormat="1"/>
    <row r="4391" customFormat="1"/>
    <row r="4392" customFormat="1"/>
    <row r="4393" customFormat="1"/>
    <row r="4394" customFormat="1"/>
    <row r="4395" customFormat="1"/>
    <row r="4396" customFormat="1"/>
    <row r="4397" customFormat="1"/>
    <row r="4398" customFormat="1"/>
    <row r="4399" customFormat="1"/>
    <row r="4400" customFormat="1"/>
    <row r="4401" customFormat="1"/>
    <row r="4402" customFormat="1"/>
    <row r="4403" customFormat="1"/>
    <row r="4404" customFormat="1"/>
    <row r="4405" customFormat="1"/>
    <row r="4406" customFormat="1"/>
    <row r="4407" customFormat="1"/>
    <row r="4408" customFormat="1"/>
    <row r="4409" customFormat="1"/>
    <row r="4410" customFormat="1"/>
    <row r="4411" customFormat="1"/>
    <row r="4412" customFormat="1"/>
    <row r="4413" customFormat="1"/>
    <row r="4414" customFormat="1"/>
    <row r="4415" customFormat="1"/>
    <row r="4416" customFormat="1"/>
    <row r="4417" customFormat="1"/>
    <row r="4418" customFormat="1"/>
    <row r="4419" customFormat="1"/>
    <row r="4420" customFormat="1"/>
    <row r="4421" customFormat="1"/>
    <row r="4422" customFormat="1"/>
    <row r="4423" customFormat="1"/>
    <row r="4424" customFormat="1"/>
    <row r="4425" customFormat="1"/>
    <row r="4426" customFormat="1"/>
    <row r="4427" customFormat="1"/>
    <row r="4428" customFormat="1"/>
    <row r="4429" customFormat="1"/>
    <row r="4430" customFormat="1"/>
    <row r="4431" customFormat="1"/>
    <row r="4432" customFormat="1"/>
    <row r="4433" customFormat="1"/>
    <row r="4434" customFormat="1"/>
    <row r="4435" customFormat="1"/>
    <row r="4436" customFormat="1"/>
    <row r="4437" customFormat="1"/>
    <row r="4438" customFormat="1"/>
    <row r="4439" customFormat="1"/>
    <row r="4440" customFormat="1"/>
    <row r="4441" customFormat="1"/>
    <row r="4442" customFormat="1"/>
    <row r="4443" customFormat="1"/>
    <row r="4444" customFormat="1"/>
    <row r="4445" customFormat="1"/>
    <row r="4446" customFormat="1"/>
    <row r="4447" customFormat="1"/>
    <row r="4448" customFormat="1"/>
    <row r="4449" customFormat="1"/>
    <row r="4450" customFormat="1"/>
    <row r="4451" customFormat="1"/>
    <row r="4452" customFormat="1"/>
    <row r="4453" customFormat="1"/>
    <row r="4454" customFormat="1"/>
    <row r="4455" customFormat="1"/>
    <row r="4456" customFormat="1"/>
    <row r="4457" customFormat="1"/>
    <row r="4458" customFormat="1"/>
    <row r="4459" customFormat="1"/>
    <row r="4460" customFormat="1"/>
    <row r="4461" customFormat="1"/>
    <row r="4462" customFormat="1"/>
    <row r="4463" customFormat="1"/>
    <row r="4464" customFormat="1"/>
    <row r="4465" customFormat="1"/>
    <row r="4466" customFormat="1"/>
    <row r="4467" customFormat="1"/>
    <row r="4468" customFormat="1"/>
    <row r="4469" customFormat="1"/>
    <row r="4470" customFormat="1"/>
    <row r="4471" customFormat="1"/>
    <row r="4472" customFormat="1"/>
    <row r="4473" customFormat="1"/>
    <row r="4474" customFormat="1"/>
    <row r="4475" customFormat="1"/>
    <row r="4476" customFormat="1"/>
    <row r="4477" customFormat="1"/>
    <row r="4478" customFormat="1"/>
    <row r="4479" customFormat="1"/>
    <row r="4480" customFormat="1"/>
    <row r="4481" customFormat="1"/>
    <row r="4482" customFormat="1"/>
    <row r="4483" customFormat="1"/>
    <row r="4484" customFormat="1"/>
    <row r="4485" customFormat="1"/>
    <row r="4486" customFormat="1"/>
    <row r="4487" customFormat="1"/>
    <row r="4488" customFormat="1"/>
    <row r="4489" customFormat="1"/>
    <row r="4490" customFormat="1"/>
    <row r="4491" customFormat="1"/>
    <row r="4492" customFormat="1"/>
    <row r="4493" customFormat="1"/>
    <row r="4494" customFormat="1"/>
    <row r="4495" customFormat="1"/>
    <row r="4496" customFormat="1"/>
    <row r="4497" customFormat="1"/>
    <row r="4498" customFormat="1"/>
    <row r="4499" customFormat="1"/>
    <row r="4500" customFormat="1"/>
    <row r="4501" customFormat="1"/>
    <row r="4502" customFormat="1"/>
    <row r="4503" customFormat="1"/>
    <row r="4504" customFormat="1"/>
    <row r="4505" customFormat="1"/>
    <row r="4506" customFormat="1"/>
    <row r="4507" customFormat="1"/>
    <row r="4508" customFormat="1"/>
    <row r="4509" customFormat="1"/>
    <row r="4510" customFormat="1"/>
    <row r="4511" customFormat="1"/>
    <row r="4512" customFormat="1"/>
    <row r="4513" customFormat="1"/>
    <row r="4514" customFormat="1"/>
    <row r="4515" customFormat="1"/>
    <row r="4516" customFormat="1"/>
    <row r="4517" customFormat="1"/>
    <row r="4518" customFormat="1"/>
    <row r="4519" customFormat="1"/>
    <row r="4520" customFormat="1"/>
    <row r="4521" customFormat="1"/>
    <row r="4522" customFormat="1"/>
    <row r="4523" customFormat="1"/>
    <row r="4524" customFormat="1"/>
    <row r="4525" customFormat="1"/>
    <row r="4526" customFormat="1"/>
    <row r="4527" customFormat="1"/>
    <row r="4528" customFormat="1"/>
    <row r="4529" customFormat="1"/>
    <row r="4530" customFormat="1"/>
    <row r="4531" customFormat="1"/>
    <row r="4532" customFormat="1"/>
    <row r="4533" customFormat="1"/>
    <row r="4534" customFormat="1"/>
    <row r="4535" customFormat="1"/>
    <row r="4536" customFormat="1"/>
    <row r="4537" customFormat="1"/>
    <row r="4538" customFormat="1"/>
    <row r="4539" customFormat="1"/>
    <row r="4540" customFormat="1"/>
    <row r="4541" customFormat="1"/>
    <row r="4542" customFormat="1"/>
    <row r="4543" customFormat="1"/>
    <row r="4544" customFormat="1"/>
    <row r="4545" customFormat="1"/>
    <row r="4546" customFormat="1"/>
    <row r="4547" customFormat="1"/>
    <row r="4548" customFormat="1"/>
    <row r="4549" customFormat="1"/>
    <row r="4550" customFormat="1"/>
    <row r="4551" customFormat="1"/>
    <row r="4552" customFormat="1"/>
    <row r="4553" customFormat="1"/>
    <row r="4554" customFormat="1"/>
    <row r="4555" customFormat="1"/>
    <row r="4556" customFormat="1"/>
    <row r="4557" customFormat="1"/>
    <row r="4558" customFormat="1"/>
    <row r="4559" customFormat="1"/>
    <row r="4560" customFormat="1"/>
    <row r="4561" customFormat="1"/>
    <row r="4562" customFormat="1"/>
    <row r="4563" customFormat="1"/>
    <row r="4564" customFormat="1"/>
    <row r="4565" customFormat="1"/>
    <row r="4566" customFormat="1"/>
    <row r="4567" customFormat="1"/>
    <row r="4568" customFormat="1"/>
    <row r="4569" customFormat="1"/>
    <row r="4570" customFormat="1"/>
    <row r="4571" customFormat="1"/>
    <row r="4572" customFormat="1"/>
    <row r="4573" customFormat="1"/>
    <row r="4574" customFormat="1"/>
    <row r="4575" customFormat="1"/>
    <row r="4576" customFormat="1"/>
    <row r="4577" customFormat="1"/>
    <row r="4578" customFormat="1"/>
    <row r="4579" customFormat="1"/>
    <row r="4580" customFormat="1"/>
    <row r="4581" customFormat="1"/>
    <row r="4582" customFormat="1"/>
    <row r="4583" customFormat="1"/>
    <row r="4584" customFormat="1"/>
    <row r="4585" customFormat="1"/>
    <row r="4586" customFormat="1"/>
    <row r="4587" customFormat="1"/>
    <row r="4588" customFormat="1"/>
    <row r="4589" customFormat="1"/>
    <row r="4590" customFormat="1"/>
    <row r="4591" customFormat="1"/>
    <row r="4592" customFormat="1"/>
    <row r="4593" customFormat="1"/>
    <row r="4594" customFormat="1"/>
    <row r="4595" customFormat="1"/>
    <row r="4596" customFormat="1"/>
    <row r="4597" customFormat="1"/>
    <row r="4598" customFormat="1"/>
    <row r="4599" customFormat="1"/>
    <row r="4600" customFormat="1"/>
    <row r="4601" customFormat="1"/>
    <row r="4602" customFormat="1"/>
    <row r="4603" customFormat="1"/>
    <row r="4604" customFormat="1"/>
    <row r="4605" customFormat="1"/>
    <row r="4606" customFormat="1"/>
    <row r="4607" customFormat="1"/>
    <row r="4608" customFormat="1"/>
    <row r="4609" customFormat="1"/>
    <row r="4610" customFormat="1"/>
    <row r="4611" customFormat="1"/>
    <row r="4612" customFormat="1"/>
    <row r="4613" customFormat="1"/>
    <row r="4614" customFormat="1"/>
    <row r="4615" customFormat="1"/>
    <row r="4616" customFormat="1"/>
    <row r="4617" customFormat="1"/>
    <row r="4618" customFormat="1"/>
    <row r="4619" customFormat="1"/>
    <row r="4620" customFormat="1"/>
    <row r="4621" customFormat="1"/>
    <row r="4622" customFormat="1"/>
    <row r="4623" customFormat="1"/>
    <row r="4624" customFormat="1"/>
    <row r="4625" customFormat="1"/>
    <row r="4626" customFormat="1"/>
    <row r="4627" customFormat="1"/>
    <row r="4628" customFormat="1"/>
    <row r="4629" customFormat="1"/>
    <row r="4630" customFormat="1"/>
    <row r="4631" customFormat="1"/>
    <row r="4632" customFormat="1"/>
    <row r="4633" customFormat="1"/>
    <row r="4634" customFormat="1"/>
    <row r="4635" customFormat="1"/>
    <row r="4636" customFormat="1"/>
    <row r="4637" customFormat="1"/>
    <row r="4638" customFormat="1"/>
    <row r="4639" customFormat="1"/>
    <row r="4640" customFormat="1"/>
    <row r="4641" customFormat="1"/>
    <row r="4642" customFormat="1"/>
    <row r="4643" customFormat="1"/>
    <row r="4644" customFormat="1"/>
    <row r="4645" customFormat="1"/>
    <row r="4646" customFormat="1"/>
    <row r="4647" customFormat="1"/>
    <row r="4648" customFormat="1"/>
    <row r="4649" customFormat="1"/>
    <row r="4650" customFormat="1"/>
    <row r="4651" customFormat="1"/>
    <row r="4652" customFormat="1"/>
    <row r="4653" customFormat="1"/>
    <row r="4654" customFormat="1"/>
    <row r="4655" customFormat="1"/>
    <row r="4656" customFormat="1"/>
    <row r="4657" customFormat="1"/>
    <row r="4658" customFormat="1"/>
    <row r="4659" customFormat="1"/>
    <row r="4660" customFormat="1"/>
    <row r="4661" customFormat="1"/>
    <row r="4662" customFormat="1"/>
    <row r="4663" customFormat="1"/>
    <row r="4664" customFormat="1"/>
    <row r="4665" customFormat="1"/>
    <row r="4666" customFormat="1"/>
    <row r="4667" customFormat="1"/>
    <row r="4668" customFormat="1"/>
    <row r="4669" customFormat="1"/>
    <row r="4670" customFormat="1"/>
    <row r="4671" customFormat="1"/>
    <row r="4672" customFormat="1"/>
    <row r="4673" customFormat="1"/>
    <row r="4674" customFormat="1"/>
    <row r="4675" customFormat="1"/>
    <row r="4676" customFormat="1"/>
    <row r="4677" customFormat="1"/>
    <row r="4678" customFormat="1"/>
    <row r="4679" customFormat="1"/>
    <row r="4680" customFormat="1"/>
    <row r="4681" customFormat="1"/>
    <row r="4682" customFormat="1"/>
    <row r="4683" customFormat="1"/>
    <row r="4684" customFormat="1"/>
    <row r="4685" customFormat="1"/>
    <row r="4686" customFormat="1"/>
    <row r="4687" customFormat="1"/>
    <row r="4688" customFormat="1"/>
    <row r="4689" customFormat="1"/>
    <row r="4690" customFormat="1"/>
    <row r="4691" customFormat="1"/>
    <row r="4692" customFormat="1"/>
    <row r="4693" customFormat="1"/>
    <row r="4694" customFormat="1"/>
    <row r="4695" customFormat="1"/>
    <row r="4696" customFormat="1"/>
    <row r="4697" customFormat="1"/>
    <row r="4698" customFormat="1"/>
    <row r="4699" customFormat="1"/>
    <row r="4700" customFormat="1"/>
    <row r="4701" customFormat="1"/>
    <row r="4702" customFormat="1"/>
    <row r="4703" customFormat="1"/>
    <row r="4704" customFormat="1"/>
    <row r="4705" customFormat="1"/>
    <row r="4706" customFormat="1"/>
    <row r="4707" customFormat="1"/>
    <row r="4708" customFormat="1"/>
    <row r="4709" customFormat="1"/>
    <row r="4710" customFormat="1"/>
    <row r="4711" customFormat="1"/>
    <row r="4712" customFormat="1"/>
    <row r="4713" customFormat="1"/>
    <row r="4714" customFormat="1"/>
    <row r="4715" customFormat="1"/>
    <row r="4716" customFormat="1"/>
    <row r="4717" customFormat="1"/>
    <row r="4718" customFormat="1"/>
    <row r="4719" customFormat="1"/>
    <row r="4720" customFormat="1"/>
    <row r="4721" customFormat="1"/>
    <row r="4722" customFormat="1"/>
    <row r="4723" customFormat="1"/>
    <row r="4724" customFormat="1"/>
    <row r="4725" customFormat="1"/>
    <row r="4726" customFormat="1"/>
    <row r="4727" customFormat="1"/>
    <row r="4728" customFormat="1"/>
    <row r="4729" customFormat="1"/>
    <row r="4730" customFormat="1"/>
    <row r="4731" customFormat="1"/>
    <row r="4732" customFormat="1"/>
    <row r="4733" customFormat="1"/>
    <row r="4734" customFormat="1"/>
    <row r="4735" customFormat="1"/>
    <row r="4736" customFormat="1"/>
    <row r="4737" customFormat="1"/>
    <row r="4738" customFormat="1"/>
    <row r="4739" customFormat="1"/>
    <row r="4740" customFormat="1"/>
    <row r="4741" customFormat="1"/>
    <row r="4742" customFormat="1"/>
    <row r="4743" customFormat="1"/>
    <row r="4744" customFormat="1"/>
    <row r="4745" customFormat="1"/>
    <row r="4746" customFormat="1"/>
    <row r="4747" customFormat="1"/>
    <row r="4748" customFormat="1"/>
    <row r="4749" customFormat="1"/>
    <row r="4750" customFormat="1"/>
    <row r="4751" customFormat="1"/>
    <row r="4752" customFormat="1"/>
    <row r="4753" customFormat="1"/>
    <row r="4754" customFormat="1"/>
    <row r="4755" customFormat="1"/>
    <row r="4756" customFormat="1"/>
    <row r="4757" customFormat="1"/>
    <row r="4758" customFormat="1"/>
    <row r="4759" customFormat="1"/>
    <row r="4760" customFormat="1"/>
    <row r="4761" customFormat="1"/>
    <row r="4762" customFormat="1"/>
    <row r="4763" customFormat="1"/>
    <row r="4764" customFormat="1"/>
    <row r="4765" customFormat="1"/>
    <row r="4766" customFormat="1"/>
    <row r="4767" customFormat="1"/>
    <row r="4768" customFormat="1"/>
    <row r="4769" customFormat="1"/>
    <row r="4770" customFormat="1"/>
    <row r="4771" customFormat="1"/>
    <row r="4772" customFormat="1"/>
    <row r="4773" customFormat="1"/>
    <row r="4774" customFormat="1"/>
    <row r="4775" customFormat="1"/>
    <row r="4776" customFormat="1"/>
    <row r="4777" customFormat="1"/>
    <row r="4778" customFormat="1"/>
    <row r="4779" customFormat="1"/>
    <row r="4780" customFormat="1"/>
    <row r="4781" customFormat="1"/>
    <row r="4782" customFormat="1"/>
    <row r="4783" customFormat="1"/>
    <row r="4784" customFormat="1"/>
    <row r="4785" customFormat="1"/>
    <row r="4786" customFormat="1"/>
    <row r="4787" customFormat="1"/>
    <row r="4788" customFormat="1"/>
    <row r="4789" customFormat="1"/>
    <row r="4790" customFormat="1"/>
    <row r="4791" customFormat="1"/>
    <row r="4792" customFormat="1"/>
    <row r="4793" customFormat="1"/>
    <row r="4794" customFormat="1"/>
    <row r="4795" customFormat="1"/>
    <row r="4796" customFormat="1"/>
    <row r="4797" customFormat="1"/>
    <row r="4798" customFormat="1"/>
    <row r="4799" customFormat="1"/>
    <row r="4800" customFormat="1"/>
    <row r="4801" customFormat="1"/>
    <row r="4802" customFormat="1"/>
    <row r="4803" customFormat="1"/>
    <row r="4804" customFormat="1"/>
    <row r="4805" customFormat="1"/>
    <row r="4806" customFormat="1"/>
    <row r="4807" customFormat="1"/>
    <row r="4808" customFormat="1"/>
    <row r="4809" customFormat="1"/>
    <row r="4810" customFormat="1"/>
    <row r="4811" customFormat="1"/>
    <row r="4812" customFormat="1"/>
    <row r="4813" customFormat="1"/>
    <row r="4814" customFormat="1"/>
    <row r="4815" customFormat="1"/>
    <row r="4816" customFormat="1"/>
    <row r="4817" customFormat="1"/>
    <row r="4818" customFormat="1"/>
    <row r="4819" customFormat="1"/>
    <row r="4820" customFormat="1"/>
    <row r="4821" customFormat="1"/>
    <row r="4822" customFormat="1"/>
    <row r="4823" customFormat="1"/>
    <row r="4824" customFormat="1"/>
    <row r="4825" customFormat="1"/>
    <row r="4826" customFormat="1"/>
    <row r="4827" customFormat="1"/>
    <row r="4828" customFormat="1"/>
    <row r="4829" customFormat="1"/>
    <row r="4830" customFormat="1"/>
    <row r="4831" customFormat="1"/>
    <row r="4832" customFormat="1"/>
    <row r="4833" customFormat="1"/>
    <row r="4834" customFormat="1"/>
    <row r="4835" customFormat="1"/>
    <row r="4836" customFormat="1"/>
    <row r="4837" customFormat="1"/>
    <row r="4838" customFormat="1"/>
    <row r="4839" customFormat="1"/>
    <row r="4840" customFormat="1"/>
    <row r="4841" customFormat="1"/>
    <row r="4842" customFormat="1"/>
    <row r="4843" customFormat="1"/>
    <row r="4844" customFormat="1"/>
    <row r="4845" customFormat="1"/>
    <row r="4846" customFormat="1"/>
    <row r="4847" customFormat="1"/>
    <row r="4848" customFormat="1"/>
    <row r="4849" customFormat="1"/>
    <row r="4850" customFormat="1"/>
    <row r="4851" customFormat="1"/>
    <row r="4852" customFormat="1"/>
    <row r="4853" customFormat="1"/>
    <row r="4854" customFormat="1"/>
    <row r="4855" customFormat="1"/>
    <row r="4856" customFormat="1"/>
    <row r="4857" customFormat="1"/>
    <row r="4858" customFormat="1"/>
    <row r="4859" customFormat="1"/>
    <row r="4860" customFormat="1"/>
    <row r="4861" customFormat="1"/>
    <row r="4862" customFormat="1"/>
    <row r="4863" customFormat="1"/>
    <row r="4864" customFormat="1"/>
    <row r="4865" customFormat="1"/>
    <row r="4866" customFormat="1"/>
    <row r="4867" customFormat="1"/>
    <row r="4868" customFormat="1"/>
    <row r="4869" customFormat="1"/>
    <row r="4870" customFormat="1"/>
    <row r="4871" customFormat="1"/>
    <row r="4872" customFormat="1"/>
    <row r="4873" customFormat="1"/>
    <row r="4874" customFormat="1"/>
    <row r="4875" customFormat="1"/>
    <row r="4876" customFormat="1"/>
    <row r="4877" customFormat="1"/>
    <row r="4878" customFormat="1"/>
    <row r="4879" customFormat="1"/>
    <row r="4880" customFormat="1"/>
    <row r="4881" customFormat="1"/>
    <row r="4882" customFormat="1"/>
    <row r="4883" customFormat="1"/>
    <row r="4884" customFormat="1"/>
    <row r="4885" customFormat="1"/>
    <row r="4886" customFormat="1"/>
    <row r="4887" customFormat="1"/>
    <row r="4888" customFormat="1"/>
    <row r="4889" customFormat="1"/>
    <row r="4890" customFormat="1"/>
    <row r="4891" customFormat="1"/>
    <row r="4892" customFormat="1"/>
    <row r="4893" customFormat="1"/>
    <row r="4894" customFormat="1"/>
    <row r="4895" customFormat="1"/>
    <row r="4896" customFormat="1"/>
    <row r="4897" customFormat="1"/>
    <row r="4898" customFormat="1"/>
    <row r="4899" customFormat="1"/>
    <row r="4900" customFormat="1"/>
    <row r="4901" customFormat="1"/>
    <row r="4902" customFormat="1"/>
    <row r="4903" customFormat="1"/>
    <row r="4904" customFormat="1"/>
    <row r="4905" customFormat="1"/>
    <row r="4906" customFormat="1"/>
    <row r="4907" customFormat="1"/>
    <row r="4908" customFormat="1"/>
    <row r="4909" customFormat="1"/>
    <row r="4910" customFormat="1"/>
    <row r="4911" customFormat="1"/>
    <row r="4912" customFormat="1"/>
    <row r="4913" customFormat="1"/>
    <row r="4914" customFormat="1"/>
    <row r="4915" customFormat="1"/>
    <row r="4916" customFormat="1"/>
    <row r="4917" customFormat="1"/>
    <row r="4918" customFormat="1"/>
    <row r="4919" customFormat="1"/>
    <row r="4920" customFormat="1"/>
    <row r="4921" customFormat="1"/>
    <row r="4922" customFormat="1"/>
    <row r="4923" customFormat="1"/>
    <row r="4924" customFormat="1"/>
    <row r="4925" customFormat="1"/>
    <row r="4926" customFormat="1"/>
    <row r="4927" customFormat="1"/>
    <row r="4928" customFormat="1"/>
    <row r="4929" customFormat="1"/>
    <row r="4930" customFormat="1"/>
    <row r="4931" customFormat="1"/>
    <row r="4932" customFormat="1"/>
    <row r="4933" customFormat="1"/>
    <row r="4934" customFormat="1"/>
    <row r="4935" customFormat="1"/>
    <row r="4936" customFormat="1"/>
    <row r="4937" customFormat="1"/>
    <row r="4938" customFormat="1"/>
    <row r="4939" customFormat="1"/>
    <row r="4940" customFormat="1"/>
    <row r="4941" customFormat="1"/>
    <row r="4942" customFormat="1"/>
    <row r="4943" customFormat="1"/>
    <row r="4944" customFormat="1"/>
    <row r="4945" customFormat="1"/>
    <row r="4946" customFormat="1"/>
    <row r="4947" customFormat="1"/>
    <row r="4948" customFormat="1"/>
    <row r="4949" customFormat="1"/>
    <row r="4950" customFormat="1"/>
    <row r="4951" customFormat="1"/>
    <row r="4952" customFormat="1"/>
    <row r="4953" customFormat="1"/>
    <row r="4954" customFormat="1"/>
    <row r="4955" customFormat="1"/>
    <row r="4956" customFormat="1"/>
    <row r="4957" customFormat="1"/>
    <row r="4958" customFormat="1"/>
    <row r="4959" customFormat="1"/>
    <row r="4960" customFormat="1"/>
    <row r="4961" customFormat="1"/>
    <row r="4962" customFormat="1"/>
    <row r="4963" customFormat="1"/>
    <row r="4964" customFormat="1"/>
    <row r="4965" customFormat="1"/>
    <row r="4966" customFormat="1"/>
    <row r="4967" customFormat="1"/>
    <row r="4968" customFormat="1"/>
    <row r="4969" customFormat="1"/>
    <row r="4970" customFormat="1"/>
    <row r="4971" customFormat="1"/>
    <row r="4972" customFormat="1"/>
    <row r="4973" customFormat="1"/>
    <row r="4974" customFormat="1"/>
    <row r="4975" customFormat="1"/>
    <row r="4976" customFormat="1"/>
    <row r="4977" customFormat="1"/>
    <row r="4978" customFormat="1"/>
    <row r="4979" customFormat="1"/>
    <row r="4980" customFormat="1"/>
    <row r="4981" customFormat="1"/>
    <row r="4982" customFormat="1"/>
    <row r="4983" customFormat="1"/>
    <row r="4984" customFormat="1"/>
    <row r="4985" customFormat="1"/>
    <row r="4986" customFormat="1"/>
    <row r="4987" customFormat="1"/>
    <row r="4988" customFormat="1"/>
    <row r="4989" customFormat="1"/>
    <row r="4990" customFormat="1"/>
    <row r="4991" customFormat="1"/>
    <row r="4992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customFormat="1"/>
    <row r="5042" customFormat="1"/>
    <row r="5043" customFormat="1"/>
    <row r="5044" customFormat="1"/>
    <row r="5045" customFormat="1"/>
    <row r="5046" customFormat="1"/>
    <row r="5047" customFormat="1"/>
    <row r="5048" customFormat="1"/>
    <row r="5049" customFormat="1"/>
    <row r="5050" customFormat="1"/>
    <row r="5051" customFormat="1"/>
    <row r="5052" customFormat="1"/>
    <row r="5053" customFormat="1"/>
    <row r="5054" customFormat="1"/>
    <row r="5055" customFormat="1"/>
    <row r="5056" customFormat="1"/>
    <row r="5057" customFormat="1"/>
    <row r="5058" customFormat="1"/>
    <row r="5059" customFormat="1"/>
    <row r="5060" customFormat="1"/>
    <row r="5061" customFormat="1"/>
    <row r="5062" customFormat="1"/>
    <row r="5063" customFormat="1"/>
    <row r="5064" customFormat="1"/>
    <row r="5065" customFormat="1"/>
    <row r="5066" customFormat="1"/>
    <row r="5067" customFormat="1"/>
    <row r="5068" customFormat="1"/>
    <row r="5069" customFormat="1"/>
    <row r="5070" customFormat="1"/>
    <row r="5071" customFormat="1"/>
    <row r="5072" customFormat="1"/>
    <row r="5073" customFormat="1"/>
    <row r="5074" customFormat="1"/>
    <row r="5075" customFormat="1"/>
    <row r="5076" customFormat="1"/>
    <row r="5077" customFormat="1"/>
    <row r="5078" customFormat="1"/>
    <row r="5079" customFormat="1"/>
    <row r="5080" customFormat="1"/>
    <row r="5081" customFormat="1"/>
    <row r="5082" customFormat="1"/>
    <row r="5083" customFormat="1"/>
    <row r="5084" customFormat="1"/>
    <row r="5085" customFormat="1"/>
    <row r="5086" customFormat="1"/>
    <row r="5087" customFormat="1"/>
    <row r="5088" customFormat="1"/>
    <row r="5089" customFormat="1"/>
    <row r="5090" customFormat="1"/>
    <row r="5091" customFormat="1"/>
    <row r="5092" customFormat="1"/>
    <row r="5093" customFormat="1"/>
    <row r="5094" customFormat="1"/>
    <row r="5095" customFormat="1"/>
    <row r="5096" customFormat="1"/>
    <row r="5097" customFormat="1"/>
    <row r="5098" customFormat="1"/>
    <row r="5099" customFormat="1"/>
    <row r="5100" customFormat="1"/>
    <row r="5101" customFormat="1"/>
    <row r="5102" customFormat="1"/>
    <row r="5103" customFormat="1"/>
    <row r="5104" customFormat="1"/>
    <row r="5105" customFormat="1"/>
    <row r="5106" customFormat="1"/>
    <row r="5107" customFormat="1"/>
    <row r="5108" customFormat="1"/>
    <row r="5109" customFormat="1"/>
    <row r="5110" customFormat="1"/>
    <row r="5111" customFormat="1"/>
    <row r="5112" customFormat="1"/>
    <row r="5113" customFormat="1"/>
    <row r="5114" customFormat="1"/>
    <row r="5115" customFormat="1"/>
    <row r="5116" customFormat="1"/>
    <row r="5117" customFormat="1"/>
    <row r="5118" customFormat="1"/>
    <row r="5119" customFormat="1"/>
    <row r="5120" customFormat="1"/>
    <row r="5121" customFormat="1"/>
    <row r="5122" customFormat="1"/>
    <row r="5123" customFormat="1"/>
    <row r="5124" customFormat="1"/>
    <row r="5125" customFormat="1"/>
    <row r="5126" customFormat="1"/>
    <row r="5127" customFormat="1"/>
    <row r="5128" customFormat="1"/>
    <row r="5129" customFormat="1"/>
    <row r="5130" customFormat="1"/>
    <row r="5131" customFormat="1"/>
    <row r="5132" customFormat="1"/>
    <row r="5133" customFormat="1"/>
    <row r="5134" customFormat="1"/>
    <row r="5135" customFormat="1"/>
    <row r="5136" customFormat="1"/>
    <row r="5137" customFormat="1"/>
    <row r="5138" customFormat="1"/>
    <row r="5139" customFormat="1"/>
    <row r="5140" customFormat="1"/>
    <row r="5141" customFormat="1"/>
    <row r="5142" customFormat="1"/>
    <row r="5143" customFormat="1"/>
    <row r="5144" customFormat="1"/>
    <row r="5145" customFormat="1"/>
    <row r="5146" customFormat="1"/>
    <row r="5147" customFormat="1"/>
    <row r="5148" customFormat="1"/>
    <row r="5149" customFormat="1"/>
    <row r="5150" customFormat="1"/>
    <row r="5151" customFormat="1"/>
    <row r="5152" customFormat="1"/>
    <row r="5153" customFormat="1"/>
    <row r="5154" customFormat="1"/>
    <row r="5155" customFormat="1"/>
    <row r="5156" customFormat="1"/>
    <row r="5157" customFormat="1"/>
    <row r="5158" customFormat="1"/>
    <row r="5159" customFormat="1"/>
    <row r="5160" customFormat="1"/>
    <row r="5161" customFormat="1"/>
    <row r="5162" customFormat="1"/>
    <row r="5163" customFormat="1"/>
    <row r="5164" customFormat="1"/>
    <row r="5165" customFormat="1"/>
    <row r="5166" customFormat="1"/>
    <row r="5167" customFormat="1"/>
    <row r="5168" customFormat="1"/>
    <row r="5169" customFormat="1"/>
    <row r="5170" customFormat="1"/>
    <row r="5171" customFormat="1"/>
    <row r="5172" customFormat="1"/>
    <row r="5173" customFormat="1"/>
    <row r="5174" customFormat="1"/>
    <row r="5175" customFormat="1"/>
    <row r="5176" customFormat="1"/>
    <row r="5177" customFormat="1"/>
    <row r="5178" customFormat="1"/>
    <row r="5179" customFormat="1"/>
    <row r="5180" customFormat="1"/>
    <row r="5181" customFormat="1"/>
    <row r="5182" customFormat="1"/>
    <row r="5183" customFormat="1"/>
    <row r="5184" customFormat="1"/>
    <row r="5185" customFormat="1"/>
    <row r="5186" customFormat="1"/>
    <row r="5187" customFormat="1"/>
    <row r="5188" customFormat="1"/>
    <row r="5189" customFormat="1"/>
    <row r="5190" customFormat="1"/>
    <row r="5191" customFormat="1"/>
    <row r="5192" customFormat="1"/>
    <row r="5193" customFormat="1"/>
    <row r="5194" customFormat="1"/>
    <row r="5195" customFormat="1"/>
    <row r="5196" customFormat="1"/>
    <row r="5197" customFormat="1"/>
    <row r="5198" customFormat="1"/>
    <row r="5199" customFormat="1"/>
    <row r="5200" customFormat="1"/>
    <row r="5201" customFormat="1"/>
    <row r="5202" customFormat="1"/>
    <row r="5203" customFormat="1"/>
    <row r="5204" customFormat="1"/>
    <row r="5205" customFormat="1"/>
    <row r="5206" customFormat="1"/>
    <row r="5207" customFormat="1"/>
    <row r="5208" customFormat="1"/>
    <row r="5209" customFormat="1"/>
    <row r="5210" customFormat="1"/>
    <row r="5211" customFormat="1"/>
    <row r="5212" customFormat="1"/>
    <row r="5213" customFormat="1"/>
    <row r="5214" customFormat="1"/>
    <row r="5215" customFormat="1"/>
    <row r="5216" customFormat="1"/>
    <row r="5217" customFormat="1"/>
    <row r="5218" customFormat="1"/>
    <row r="5219" customFormat="1"/>
    <row r="5220" customFormat="1"/>
    <row r="5221" customFormat="1"/>
    <row r="5222" customFormat="1"/>
    <row r="5223" customFormat="1"/>
    <row r="5224" customFormat="1"/>
    <row r="5225" customFormat="1"/>
    <row r="5226" customFormat="1"/>
    <row r="5227" customFormat="1"/>
    <row r="5228" customFormat="1"/>
    <row r="5229" customFormat="1"/>
    <row r="5230" customFormat="1"/>
    <row r="5231" customFormat="1"/>
    <row r="5232" customFormat="1"/>
    <row r="5233" customFormat="1"/>
    <row r="5234" customFormat="1"/>
    <row r="5235" customFormat="1"/>
    <row r="5236" customFormat="1"/>
    <row r="5237" customFormat="1"/>
    <row r="5238" customFormat="1"/>
    <row r="5239" customFormat="1"/>
    <row r="5240" customFormat="1"/>
    <row r="5241" customFormat="1"/>
    <row r="5242" customFormat="1"/>
    <row r="5243" customFormat="1"/>
    <row r="5244" customFormat="1"/>
    <row r="5245" customFormat="1"/>
    <row r="5246" customFormat="1"/>
    <row r="5247" customFormat="1"/>
    <row r="5248" customFormat="1"/>
    <row r="5249" customFormat="1"/>
    <row r="5250" customFormat="1"/>
    <row r="5251" customFormat="1"/>
    <row r="5252" customFormat="1"/>
    <row r="5253" customFormat="1"/>
    <row r="5254" customFormat="1"/>
    <row r="5255" customFormat="1"/>
    <row r="5256" customFormat="1"/>
    <row r="5257" customFormat="1"/>
    <row r="5258" customFormat="1"/>
    <row r="5259" customFormat="1"/>
    <row r="5260" customFormat="1"/>
    <row r="5261" customFormat="1"/>
    <row r="5262" customFormat="1"/>
    <row r="5263" customFormat="1"/>
    <row r="5264" customFormat="1"/>
    <row r="5265" customFormat="1"/>
    <row r="5266" customFormat="1"/>
    <row r="5267" customFormat="1"/>
    <row r="5268" customFormat="1"/>
    <row r="5269" customFormat="1"/>
    <row r="5270" customFormat="1"/>
    <row r="5271" customFormat="1"/>
    <row r="5272" customFormat="1"/>
    <row r="5273" customFormat="1"/>
    <row r="5274" customFormat="1"/>
    <row r="5275" customFormat="1"/>
    <row r="5276" customFormat="1"/>
    <row r="5277" customFormat="1"/>
    <row r="5278" customFormat="1"/>
    <row r="5279" customFormat="1"/>
    <row r="5280" customFormat="1"/>
    <row r="5281" customFormat="1"/>
    <row r="5282" customFormat="1"/>
    <row r="5283" customFormat="1"/>
    <row r="5284" customFormat="1"/>
    <row r="5285" customFormat="1"/>
    <row r="5286" customFormat="1"/>
    <row r="5287" customFormat="1"/>
    <row r="5288" customFormat="1"/>
    <row r="5289" customFormat="1"/>
    <row r="5290" customFormat="1"/>
    <row r="5291" customFormat="1"/>
    <row r="5292" customFormat="1"/>
    <row r="5293" customFormat="1"/>
    <row r="5294" customFormat="1"/>
    <row r="5295" customFormat="1"/>
    <row r="5296" customFormat="1"/>
    <row r="5297" customFormat="1"/>
    <row r="5298" customFormat="1"/>
    <row r="5299" customFormat="1"/>
    <row r="5300" customFormat="1"/>
    <row r="5301" customFormat="1"/>
    <row r="5302" customFormat="1"/>
    <row r="5303" customFormat="1"/>
    <row r="5304" customFormat="1"/>
    <row r="5305" customFormat="1"/>
    <row r="5306" customFormat="1"/>
    <row r="5307" customFormat="1"/>
    <row r="5308" customFormat="1"/>
    <row r="5309" customFormat="1"/>
    <row r="5310" customFormat="1"/>
    <row r="5311" customFormat="1"/>
    <row r="5312" customFormat="1"/>
    <row r="5313" customFormat="1"/>
    <row r="5314" customFormat="1"/>
    <row r="5315" customFormat="1"/>
    <row r="5316" customFormat="1"/>
    <row r="5317" customFormat="1"/>
    <row r="5318" customFormat="1"/>
    <row r="5319" customFormat="1"/>
    <row r="5320" customFormat="1"/>
    <row r="5321" customFormat="1"/>
    <row r="5322" customFormat="1"/>
    <row r="5323" customFormat="1"/>
    <row r="5324" customFormat="1"/>
    <row r="5325" customFormat="1"/>
    <row r="5326" customFormat="1"/>
    <row r="5327" customFormat="1"/>
    <row r="5328" customFormat="1"/>
    <row r="5329" customFormat="1"/>
    <row r="5330" customFormat="1"/>
    <row r="5331" customFormat="1"/>
    <row r="5332" customFormat="1"/>
    <row r="5333" customFormat="1"/>
    <row r="5334" customFormat="1"/>
    <row r="5335" customFormat="1"/>
    <row r="5336" customFormat="1"/>
    <row r="5337" customFormat="1"/>
    <row r="5338" customFormat="1"/>
    <row r="5339" customFormat="1"/>
    <row r="5340" customFormat="1"/>
    <row r="5341" customFormat="1"/>
    <row r="5342" customFormat="1"/>
    <row r="5343" customFormat="1"/>
    <row r="5344" customFormat="1"/>
    <row r="5345" customFormat="1"/>
    <row r="5346" customFormat="1"/>
    <row r="5347" customFormat="1"/>
    <row r="5348" customFormat="1"/>
    <row r="5349" customFormat="1"/>
    <row r="5350" customFormat="1"/>
    <row r="5351" customFormat="1"/>
    <row r="5352" customFormat="1"/>
    <row r="5353" customFormat="1"/>
    <row r="5354" customFormat="1"/>
    <row r="5355" customFormat="1"/>
    <row r="5356" customFormat="1"/>
    <row r="5357" customFormat="1"/>
    <row r="5358" customFormat="1"/>
    <row r="5359" customFormat="1"/>
    <row r="5360" customFormat="1"/>
    <row r="5361" customFormat="1"/>
    <row r="5362" customFormat="1"/>
    <row r="5363" customFormat="1"/>
    <row r="5364" customFormat="1"/>
    <row r="5365" customFormat="1"/>
    <row r="5366" customFormat="1"/>
    <row r="5367" customFormat="1"/>
    <row r="5368" customFormat="1"/>
    <row r="5369" customFormat="1"/>
    <row r="5370" customFormat="1"/>
    <row r="5371" customFormat="1"/>
    <row r="5372" customFormat="1"/>
    <row r="5373" customFormat="1"/>
    <row r="5374" customFormat="1"/>
    <row r="5375" customFormat="1"/>
    <row r="5376" customFormat="1"/>
    <row r="5377" customFormat="1"/>
    <row r="5378" customFormat="1"/>
    <row r="5379" customFormat="1"/>
    <row r="5380" customFormat="1"/>
    <row r="5381" customFormat="1"/>
    <row r="5382" customFormat="1"/>
    <row r="5383" customFormat="1"/>
    <row r="5384" customFormat="1"/>
    <row r="5385" customFormat="1"/>
    <row r="5386" customFormat="1"/>
    <row r="5387" customFormat="1"/>
    <row r="5388" customFormat="1"/>
    <row r="5389" customFormat="1"/>
    <row r="5390" customFormat="1"/>
    <row r="5391" customFormat="1"/>
    <row r="5392" customFormat="1"/>
    <row r="5393" customFormat="1"/>
    <row r="5394" customFormat="1"/>
    <row r="5395" customFormat="1"/>
    <row r="5396" customFormat="1"/>
    <row r="5397" customFormat="1"/>
    <row r="5398" customFormat="1"/>
    <row r="5399" customFormat="1"/>
    <row r="5400" customFormat="1"/>
    <row r="5401" customFormat="1"/>
    <row r="5402" customFormat="1"/>
    <row r="5403" customFormat="1"/>
    <row r="5404" customFormat="1"/>
    <row r="5405" customFormat="1"/>
    <row r="5406" customFormat="1"/>
    <row r="5407" customFormat="1"/>
    <row r="5408" customFormat="1"/>
    <row r="5409" customFormat="1"/>
    <row r="5410" customFormat="1"/>
    <row r="5411" customFormat="1"/>
    <row r="5412" customFormat="1"/>
    <row r="5413" customFormat="1"/>
    <row r="5414" customFormat="1"/>
    <row r="5415" customFormat="1"/>
    <row r="5416" customFormat="1"/>
    <row r="5417" customFormat="1"/>
    <row r="5418" customFormat="1"/>
    <row r="5419" customFormat="1"/>
    <row r="5420" customFormat="1"/>
    <row r="5421" customFormat="1"/>
    <row r="5422" customFormat="1"/>
    <row r="5423" customFormat="1"/>
    <row r="5424" customFormat="1"/>
    <row r="5425" customFormat="1"/>
    <row r="5426" customFormat="1"/>
    <row r="5427" customFormat="1"/>
    <row r="5428" customFormat="1"/>
    <row r="5429" customFormat="1"/>
    <row r="5430" customFormat="1"/>
    <row r="5431" customFormat="1"/>
    <row r="5432" customFormat="1"/>
    <row r="5433" customFormat="1"/>
    <row r="5434" customFormat="1"/>
    <row r="5435" customFormat="1"/>
    <row r="5436" customFormat="1"/>
    <row r="5437" customFormat="1"/>
    <row r="5438" customFormat="1"/>
    <row r="5439" customFormat="1"/>
    <row r="5440" customFormat="1"/>
    <row r="5441" customFormat="1"/>
    <row r="5442" customFormat="1"/>
    <row r="5443" customFormat="1"/>
    <row r="5444" customFormat="1"/>
    <row r="5445" customFormat="1"/>
    <row r="5446" customFormat="1"/>
    <row r="5447" customFormat="1"/>
    <row r="5448" customFormat="1"/>
    <row r="5449" customFormat="1"/>
    <row r="5450" customFormat="1"/>
    <row r="5451" customFormat="1"/>
    <row r="5452" customFormat="1"/>
    <row r="5453" customFormat="1"/>
    <row r="5454" customFormat="1"/>
    <row r="5455" customFormat="1"/>
    <row r="5456" customFormat="1"/>
    <row r="5457" customFormat="1"/>
    <row r="5458" customFormat="1"/>
    <row r="5459" customFormat="1"/>
    <row r="5460" customFormat="1"/>
    <row r="5461" customFormat="1"/>
    <row r="5462" customFormat="1"/>
    <row r="5463" customFormat="1"/>
    <row r="5464" customFormat="1"/>
    <row r="5465" customFormat="1"/>
    <row r="5466" customFormat="1"/>
    <row r="5467" customFormat="1"/>
    <row r="5468" customFormat="1"/>
    <row r="5469" customFormat="1"/>
    <row r="5470" customFormat="1"/>
    <row r="5471" customFormat="1"/>
    <row r="5472" customFormat="1"/>
    <row r="5473" customFormat="1"/>
    <row r="5474" customFormat="1"/>
    <row r="5475" customFormat="1"/>
    <row r="5476" customFormat="1"/>
    <row r="5477" customFormat="1"/>
    <row r="5478" customFormat="1"/>
    <row r="5479" customFormat="1"/>
    <row r="5480" customFormat="1"/>
    <row r="5481" customFormat="1"/>
    <row r="5482" customFormat="1"/>
    <row r="5483" customFormat="1"/>
    <row r="5484" customFormat="1"/>
    <row r="5485" customFormat="1"/>
    <row r="5486" customFormat="1"/>
    <row r="5487" customFormat="1"/>
    <row r="5488" customFormat="1"/>
    <row r="5489" customFormat="1"/>
    <row r="5490" customFormat="1"/>
    <row r="5491" customFormat="1"/>
    <row r="5492" customFormat="1"/>
    <row r="5493" customFormat="1"/>
    <row r="5494" customFormat="1"/>
    <row r="5495" customFormat="1"/>
    <row r="5496" customFormat="1"/>
    <row r="5497" customFormat="1"/>
    <row r="5498" customFormat="1"/>
    <row r="5499" customFormat="1"/>
    <row r="5500" customFormat="1"/>
    <row r="5501" customFormat="1"/>
    <row r="5502" customFormat="1"/>
    <row r="5503" customFormat="1"/>
    <row r="5504" customFormat="1"/>
    <row r="5505" customFormat="1"/>
    <row r="5506" customFormat="1"/>
    <row r="5507" customFormat="1"/>
    <row r="5508" customFormat="1"/>
    <row r="5509" customFormat="1"/>
    <row r="5510" customFormat="1"/>
    <row r="5511" customFormat="1"/>
    <row r="5512" customFormat="1"/>
    <row r="5513" customFormat="1"/>
    <row r="5514" customFormat="1"/>
    <row r="5515" customFormat="1"/>
    <row r="5516" customFormat="1"/>
    <row r="5517" customFormat="1"/>
    <row r="5518" customFormat="1"/>
    <row r="5519" customFormat="1"/>
    <row r="5520" customFormat="1"/>
    <row r="5521" customFormat="1"/>
    <row r="5522" customFormat="1"/>
    <row r="5523" customFormat="1"/>
    <row r="5524" customFormat="1"/>
    <row r="5525" customFormat="1"/>
    <row r="5526" customFormat="1"/>
    <row r="5527" customFormat="1"/>
    <row r="5528" customFormat="1"/>
    <row r="5529" customFormat="1"/>
    <row r="5530" customFormat="1"/>
    <row r="5531" customFormat="1"/>
    <row r="5532" customFormat="1"/>
    <row r="5533" customFormat="1"/>
    <row r="5534" customFormat="1"/>
    <row r="5535" customFormat="1"/>
    <row r="5536" customFormat="1"/>
    <row r="5537" customFormat="1"/>
    <row r="5538" customFormat="1"/>
    <row r="5539" customFormat="1"/>
    <row r="5540" customFormat="1"/>
    <row r="5541" customFormat="1"/>
    <row r="5542" customFormat="1"/>
    <row r="5543" customFormat="1"/>
    <row r="5544" customFormat="1"/>
    <row r="5545" customFormat="1"/>
    <row r="5546" customFormat="1"/>
    <row r="5547" customFormat="1"/>
    <row r="5548" customFormat="1"/>
    <row r="5549" customFormat="1"/>
    <row r="5550" customFormat="1"/>
    <row r="5551" customFormat="1"/>
    <row r="5552" customFormat="1"/>
    <row r="5553" customFormat="1"/>
    <row r="5554" customFormat="1"/>
    <row r="5555" customFormat="1"/>
    <row r="5556" customFormat="1"/>
    <row r="5557" customFormat="1"/>
    <row r="5558" customFormat="1"/>
    <row r="5559" customFormat="1"/>
    <row r="5560" customFormat="1"/>
    <row r="5561" customFormat="1"/>
    <row r="5562" customFormat="1"/>
    <row r="5563" customFormat="1"/>
    <row r="5564" customFormat="1"/>
    <row r="5565" customFormat="1"/>
    <row r="5566" customFormat="1"/>
    <row r="5567" customFormat="1"/>
    <row r="5568" customFormat="1"/>
    <row r="5569" customFormat="1"/>
    <row r="5570" customFormat="1"/>
    <row r="5571" customFormat="1"/>
    <row r="5572" customFormat="1"/>
    <row r="5573" customFormat="1"/>
    <row r="5574" customFormat="1"/>
    <row r="5575" customFormat="1"/>
    <row r="5576" customFormat="1"/>
    <row r="5577" customFormat="1"/>
    <row r="5578" customFormat="1"/>
    <row r="5579" customFormat="1"/>
    <row r="5580" customFormat="1"/>
    <row r="5581" customFormat="1"/>
    <row r="5582" customFormat="1"/>
    <row r="5583" customFormat="1"/>
    <row r="5584" customFormat="1"/>
    <row r="5585" customFormat="1"/>
    <row r="5586" customFormat="1"/>
    <row r="5587" customFormat="1"/>
    <row r="5588" customFormat="1"/>
    <row r="5589" customFormat="1"/>
    <row r="5590" customFormat="1"/>
    <row r="5591" customFormat="1"/>
    <row r="5592" customFormat="1"/>
    <row r="5593" customFormat="1"/>
    <row r="5594" customFormat="1"/>
    <row r="5595" customFormat="1"/>
    <row r="5596" customFormat="1"/>
    <row r="5597" customFormat="1"/>
    <row r="5598" customFormat="1"/>
    <row r="5599" customFormat="1"/>
    <row r="5600" customFormat="1"/>
    <row r="5601" customFormat="1"/>
    <row r="5602" customFormat="1"/>
    <row r="5603" customFormat="1"/>
    <row r="5604" customFormat="1"/>
    <row r="5605" customFormat="1"/>
    <row r="5606" customFormat="1"/>
    <row r="5607" customFormat="1"/>
    <row r="5608" customFormat="1"/>
    <row r="5609" customFormat="1"/>
    <row r="5610" customFormat="1"/>
    <row r="5611" customFormat="1"/>
    <row r="5612" customFormat="1"/>
    <row r="5613" customFormat="1"/>
    <row r="5614" customFormat="1"/>
    <row r="5615" customFormat="1"/>
    <row r="5616" customFormat="1"/>
    <row r="5617" customFormat="1"/>
    <row r="5618" customFormat="1"/>
    <row r="5619" customFormat="1"/>
    <row r="5620" customFormat="1"/>
    <row r="5621" customFormat="1"/>
    <row r="5622" customFormat="1"/>
    <row r="5623" customFormat="1"/>
    <row r="5624" customFormat="1"/>
    <row r="5625" customFormat="1"/>
    <row r="5626" customFormat="1"/>
    <row r="5627" customFormat="1"/>
    <row r="5628" customFormat="1"/>
    <row r="5629" customFormat="1"/>
    <row r="5630" customFormat="1"/>
    <row r="5631" customFormat="1"/>
    <row r="5632" customFormat="1"/>
    <row r="5633" customFormat="1"/>
    <row r="5634" customFormat="1"/>
    <row r="5635" customFormat="1"/>
    <row r="5636" customFormat="1"/>
    <row r="5637" customFormat="1"/>
    <row r="5638" customFormat="1"/>
    <row r="5639" customFormat="1"/>
    <row r="5640" customFormat="1"/>
    <row r="5641" customFormat="1"/>
    <row r="5642" customFormat="1"/>
    <row r="5643" customFormat="1"/>
    <row r="5644" customFormat="1"/>
    <row r="5645" customFormat="1"/>
    <row r="5646" customFormat="1"/>
    <row r="5647" customFormat="1"/>
    <row r="5648" customFormat="1"/>
    <row r="5649" customFormat="1"/>
    <row r="5650" customFormat="1"/>
    <row r="5651" customFormat="1"/>
    <row r="5652" customFormat="1"/>
    <row r="5653" customFormat="1"/>
    <row r="5654" customFormat="1"/>
    <row r="5655" customFormat="1"/>
    <row r="5656" customFormat="1"/>
    <row r="5657" customFormat="1"/>
    <row r="5658" customFormat="1"/>
    <row r="5659" customFormat="1"/>
    <row r="5660" customFormat="1"/>
    <row r="5661" customFormat="1"/>
    <row r="5662" customFormat="1"/>
    <row r="5663" customFormat="1"/>
    <row r="5664" customFormat="1"/>
    <row r="5665" customFormat="1"/>
    <row r="5666" customFormat="1"/>
    <row r="5667" customFormat="1"/>
    <row r="5668" customFormat="1"/>
    <row r="5669" customFormat="1"/>
    <row r="5670" customFormat="1"/>
    <row r="5671" customFormat="1"/>
    <row r="5672" customFormat="1"/>
    <row r="5673" customFormat="1"/>
    <row r="5674" customFormat="1"/>
    <row r="5675" customFormat="1"/>
    <row r="5676" customFormat="1"/>
    <row r="5677" customFormat="1"/>
    <row r="5678" customFormat="1"/>
    <row r="5679" customFormat="1"/>
    <row r="5680" customFormat="1"/>
    <row r="5681" customFormat="1"/>
    <row r="5682" customFormat="1"/>
    <row r="5683" customFormat="1"/>
    <row r="5684" customFormat="1"/>
    <row r="5685" customFormat="1"/>
    <row r="5686" customFormat="1"/>
    <row r="5687" customFormat="1"/>
    <row r="5688" customFormat="1"/>
    <row r="5689" customFormat="1"/>
    <row r="5690" customFormat="1"/>
    <row r="5691" customFormat="1"/>
    <row r="5692" customFormat="1"/>
    <row r="5693" customFormat="1"/>
    <row r="5694" customFormat="1"/>
    <row r="5695" customFormat="1"/>
    <row r="5696" customFormat="1"/>
    <row r="5697" customFormat="1"/>
    <row r="5698" customFormat="1"/>
    <row r="5699" customFormat="1"/>
    <row r="5700" customFormat="1"/>
    <row r="5701" customFormat="1"/>
    <row r="5702" customFormat="1"/>
    <row r="5703" customFormat="1"/>
    <row r="5704" customFormat="1"/>
    <row r="5705" customFormat="1"/>
    <row r="5706" customFormat="1"/>
    <row r="5707" customFormat="1"/>
    <row r="5708" customFormat="1"/>
    <row r="5709" customFormat="1"/>
    <row r="5710" customFormat="1"/>
    <row r="5711" customFormat="1"/>
    <row r="5712" customFormat="1"/>
    <row r="5713" customFormat="1"/>
    <row r="5714" customFormat="1"/>
    <row r="5715" customFormat="1"/>
    <row r="5716" customFormat="1"/>
    <row r="5717" customFormat="1"/>
    <row r="5718" customFormat="1"/>
    <row r="5719" customFormat="1"/>
    <row r="5720" customFormat="1"/>
    <row r="5721" customFormat="1"/>
    <row r="5722" customFormat="1"/>
    <row r="5723" customFormat="1"/>
    <row r="5724" customFormat="1"/>
    <row r="5725" customFormat="1"/>
    <row r="5726" customFormat="1"/>
    <row r="5727" customFormat="1"/>
    <row r="5728" customFormat="1"/>
    <row r="5729" customFormat="1"/>
    <row r="5730" customFormat="1"/>
    <row r="5731" customFormat="1"/>
    <row r="5732" customFormat="1"/>
    <row r="5733" customFormat="1"/>
    <row r="5734" customFormat="1"/>
    <row r="5735" customFormat="1"/>
    <row r="5736" customFormat="1"/>
    <row r="5737" customFormat="1"/>
    <row r="5738" customFormat="1"/>
    <row r="5739" customFormat="1"/>
    <row r="5740" customFormat="1"/>
    <row r="5741" customFormat="1"/>
    <row r="5742" customFormat="1"/>
    <row r="5743" customFormat="1"/>
    <row r="5744" customFormat="1"/>
    <row r="5745" customFormat="1"/>
    <row r="5746" customFormat="1"/>
    <row r="5747" customFormat="1"/>
    <row r="5748" customFormat="1"/>
    <row r="5749" customFormat="1"/>
    <row r="5750" customFormat="1"/>
    <row r="5751" customFormat="1"/>
    <row r="5752" customFormat="1"/>
    <row r="5753" customFormat="1"/>
    <row r="5754" customFormat="1"/>
    <row r="5755" customFormat="1"/>
    <row r="5756" customFormat="1"/>
    <row r="5757" customFormat="1"/>
    <row r="5758" customFormat="1"/>
    <row r="5759" customFormat="1"/>
    <row r="5760" customFormat="1"/>
    <row r="5761" customFormat="1"/>
    <row r="5762" customFormat="1"/>
    <row r="5763" customFormat="1"/>
    <row r="5764" customFormat="1"/>
    <row r="5765" customFormat="1"/>
    <row r="5766" customFormat="1"/>
    <row r="5767" customFormat="1"/>
    <row r="5768" customFormat="1"/>
    <row r="5769" customFormat="1"/>
    <row r="5770" customFormat="1"/>
    <row r="5771" customFormat="1"/>
    <row r="5772" customFormat="1"/>
    <row r="5773" customFormat="1"/>
    <row r="5774" customFormat="1"/>
    <row r="5775" customFormat="1"/>
    <row r="5776" customFormat="1"/>
    <row r="5777" customFormat="1"/>
    <row r="5778" customFormat="1"/>
    <row r="5779" customFormat="1"/>
    <row r="5780" customFormat="1"/>
    <row r="5781" customFormat="1"/>
    <row r="5782" customFormat="1"/>
    <row r="5783" customFormat="1"/>
    <row r="5784" customFormat="1"/>
    <row r="5785" customFormat="1"/>
    <row r="5786" customFormat="1"/>
    <row r="5787" customFormat="1"/>
    <row r="5788" customFormat="1"/>
    <row r="5789" customFormat="1"/>
    <row r="5790" customFormat="1"/>
    <row r="5791" customFormat="1"/>
    <row r="5792" customFormat="1"/>
    <row r="5793" customFormat="1"/>
    <row r="5794" customFormat="1"/>
    <row r="5795" customFormat="1"/>
    <row r="5796" customFormat="1"/>
    <row r="5797" customFormat="1"/>
    <row r="5798" customFormat="1"/>
    <row r="5799" customFormat="1"/>
    <row r="5800" customFormat="1"/>
    <row r="5801" customFormat="1"/>
    <row r="5802" customFormat="1"/>
    <row r="5803" customFormat="1"/>
    <row r="5804" customFormat="1"/>
    <row r="5805" customFormat="1"/>
    <row r="5806" customFormat="1"/>
    <row r="5807" customFormat="1"/>
    <row r="5808" customFormat="1"/>
    <row r="5809" customFormat="1"/>
    <row r="5810" customFormat="1"/>
    <row r="5811" customFormat="1"/>
    <row r="5812" customFormat="1"/>
    <row r="5813" customFormat="1"/>
    <row r="5814" customFormat="1"/>
    <row r="5815" customFormat="1"/>
    <row r="5816" customFormat="1"/>
    <row r="5817" customFormat="1"/>
    <row r="5818" customFormat="1"/>
    <row r="5819" customFormat="1"/>
    <row r="5820" customFormat="1"/>
    <row r="5821" customFormat="1"/>
    <row r="5822" customFormat="1"/>
    <row r="5823" customFormat="1"/>
    <row r="5824" customFormat="1"/>
    <row r="5825" customFormat="1"/>
    <row r="5826" customFormat="1"/>
    <row r="5827" customFormat="1"/>
    <row r="5828" customFormat="1"/>
    <row r="5829" customFormat="1"/>
    <row r="5830" customFormat="1"/>
    <row r="5831" customFormat="1"/>
    <row r="5832" customFormat="1"/>
    <row r="5833" customFormat="1"/>
    <row r="5834" customFormat="1"/>
    <row r="5835" customFormat="1"/>
    <row r="5836" customFormat="1"/>
    <row r="5837" customFormat="1"/>
    <row r="5838" customFormat="1"/>
    <row r="5839" customFormat="1"/>
    <row r="5840" customFormat="1"/>
    <row r="5841" customFormat="1"/>
    <row r="5842" customFormat="1"/>
    <row r="5843" customFormat="1"/>
    <row r="5844" customFormat="1"/>
    <row r="5845" customFormat="1"/>
    <row r="5846" customFormat="1"/>
    <row r="5847" customFormat="1"/>
    <row r="5848" customFormat="1"/>
    <row r="5849" customFormat="1"/>
    <row r="5850" customFormat="1"/>
    <row r="5851" customFormat="1"/>
    <row r="5852" customFormat="1"/>
    <row r="5853" customFormat="1"/>
    <row r="5854" customFormat="1"/>
    <row r="5855" customFormat="1"/>
    <row r="5856" customFormat="1"/>
    <row r="5857" customFormat="1"/>
    <row r="5858" customFormat="1"/>
    <row r="5859" customFormat="1"/>
    <row r="5860" customFormat="1"/>
    <row r="5861" customFormat="1"/>
    <row r="5862" customFormat="1"/>
    <row r="5863" customFormat="1"/>
    <row r="5864" customFormat="1"/>
    <row r="5865" customFormat="1"/>
    <row r="5866" customFormat="1"/>
    <row r="5867" customFormat="1"/>
    <row r="5868" customFormat="1"/>
    <row r="5869" customFormat="1"/>
    <row r="5870" customFormat="1"/>
    <row r="5871" customFormat="1"/>
    <row r="5872" customFormat="1"/>
    <row r="5873" customFormat="1"/>
    <row r="5874" customFormat="1"/>
    <row r="5875" customFormat="1"/>
    <row r="5876" customFormat="1"/>
    <row r="5877" customFormat="1"/>
    <row r="5878" customFormat="1"/>
    <row r="5879" customFormat="1"/>
    <row r="5880" customFormat="1"/>
    <row r="5881" customFormat="1"/>
    <row r="5882" customFormat="1"/>
    <row r="5883" customFormat="1"/>
    <row r="5884" customFormat="1"/>
    <row r="5885" customFormat="1"/>
    <row r="5886" customFormat="1"/>
    <row r="5887" customFormat="1"/>
    <row r="5888" customFormat="1"/>
    <row r="5889" customFormat="1"/>
    <row r="5890" customFormat="1"/>
    <row r="5891" customFormat="1"/>
    <row r="5892" customFormat="1"/>
    <row r="5893" customFormat="1"/>
    <row r="5894" customFormat="1"/>
    <row r="5895" customFormat="1"/>
    <row r="5896" customFormat="1"/>
    <row r="5897" customFormat="1"/>
    <row r="5898" customFormat="1"/>
    <row r="5899" customFormat="1"/>
    <row r="5900" customFormat="1"/>
    <row r="5901" customFormat="1"/>
    <row r="5902" customFormat="1"/>
    <row r="5903" customFormat="1"/>
    <row r="5904" customFormat="1"/>
    <row r="5905" customFormat="1"/>
    <row r="5906" customFormat="1"/>
    <row r="5907" customFormat="1"/>
    <row r="5908" customFormat="1"/>
    <row r="5909" customFormat="1"/>
    <row r="5910" customFormat="1"/>
    <row r="5911" customFormat="1"/>
    <row r="5912" customFormat="1"/>
    <row r="5913" customFormat="1"/>
    <row r="5914" customFormat="1"/>
    <row r="5915" customFormat="1"/>
    <row r="5916" customFormat="1"/>
    <row r="5917" customFormat="1"/>
    <row r="5918" customFormat="1"/>
    <row r="5919" customFormat="1"/>
    <row r="5920" customFormat="1"/>
    <row r="5921" customFormat="1"/>
    <row r="5922" customFormat="1"/>
    <row r="5923" customFormat="1"/>
    <row r="5924" customFormat="1"/>
    <row r="5925" customFormat="1"/>
    <row r="5926" customFormat="1"/>
    <row r="5927" customFormat="1"/>
    <row r="5928" customFormat="1"/>
    <row r="5929" customFormat="1"/>
    <row r="5930" customFormat="1"/>
    <row r="5931" customFormat="1"/>
    <row r="5932" customFormat="1"/>
    <row r="5933" customFormat="1"/>
    <row r="5934" customFormat="1"/>
    <row r="5935" customFormat="1"/>
    <row r="5936" customFormat="1"/>
    <row r="5937" customFormat="1"/>
    <row r="5938" customFormat="1"/>
    <row r="5939" customFormat="1"/>
    <row r="5940" customFormat="1"/>
    <row r="5941" customFormat="1"/>
    <row r="5942" customFormat="1"/>
    <row r="5943" customFormat="1"/>
    <row r="5944" customFormat="1"/>
    <row r="5945" customFormat="1"/>
    <row r="5946" customFormat="1"/>
    <row r="5947" customFormat="1"/>
    <row r="5948" customFormat="1"/>
    <row r="5949" customFormat="1"/>
    <row r="5950" customFormat="1"/>
    <row r="5951" customFormat="1"/>
    <row r="5952" customFormat="1"/>
    <row r="5953" customFormat="1"/>
    <row r="5954" customFormat="1"/>
    <row r="5955" customFormat="1"/>
    <row r="5956" customFormat="1"/>
    <row r="5957" customFormat="1"/>
    <row r="5958" customFormat="1"/>
    <row r="5959" customFormat="1"/>
    <row r="5960" customFormat="1"/>
    <row r="5961" customFormat="1"/>
    <row r="5962" customFormat="1"/>
    <row r="5963" customFormat="1"/>
    <row r="5964" customFormat="1"/>
    <row r="5965" customFormat="1"/>
    <row r="5966" customFormat="1"/>
    <row r="5967" customFormat="1"/>
    <row r="5968" customFormat="1"/>
    <row r="5969" customFormat="1"/>
    <row r="5970" customFormat="1"/>
    <row r="5971" customFormat="1"/>
    <row r="5972" customFormat="1"/>
    <row r="5973" customFormat="1"/>
    <row r="5974" customFormat="1"/>
    <row r="5975" customFormat="1"/>
    <row r="5976" customFormat="1"/>
    <row r="5977" customFormat="1"/>
    <row r="5978" customFormat="1"/>
    <row r="5979" customFormat="1"/>
    <row r="5980" customFormat="1"/>
    <row r="5981" customFormat="1"/>
    <row r="5982" customFormat="1"/>
    <row r="5983" customFormat="1"/>
    <row r="5984" customFormat="1"/>
    <row r="5985" customFormat="1"/>
    <row r="5986" customFormat="1"/>
    <row r="5987" customFormat="1"/>
    <row r="5988" customFormat="1"/>
    <row r="5989" customFormat="1"/>
    <row r="5990" customFormat="1"/>
    <row r="5991" customFormat="1"/>
    <row r="5992" customFormat="1"/>
    <row r="5993" customFormat="1"/>
    <row r="5994" customFormat="1"/>
    <row r="5995" customFormat="1"/>
    <row r="5996" customFormat="1"/>
    <row r="5997" customFormat="1"/>
    <row r="5998" customFormat="1"/>
    <row r="5999" customFormat="1"/>
    <row r="6000" customFormat="1"/>
    <row r="6001" customFormat="1"/>
    <row r="6002" customFormat="1"/>
    <row r="6003" customFormat="1"/>
    <row r="6004" customFormat="1"/>
    <row r="6005" customFormat="1"/>
    <row r="6006" customFormat="1"/>
    <row r="6007" customFormat="1"/>
    <row r="6008" customFormat="1"/>
    <row r="6009" customFormat="1"/>
    <row r="6010" customFormat="1"/>
    <row r="6011" customFormat="1"/>
    <row r="6012" customFormat="1"/>
    <row r="6013" customFormat="1"/>
    <row r="6014" customFormat="1"/>
    <row r="6015" customFormat="1"/>
    <row r="6016" customFormat="1"/>
    <row r="6017" customFormat="1"/>
    <row r="6018" customFormat="1"/>
    <row r="6019" customFormat="1"/>
    <row r="6020" customFormat="1"/>
    <row r="6021" customFormat="1"/>
    <row r="6022" customFormat="1"/>
    <row r="6023" customFormat="1"/>
    <row r="6024" customFormat="1"/>
    <row r="6025" customFormat="1"/>
    <row r="6026" customFormat="1"/>
    <row r="6027" customFormat="1"/>
    <row r="6028" customFormat="1"/>
    <row r="6029" customFormat="1"/>
    <row r="6030" customFormat="1"/>
    <row r="6031" customFormat="1"/>
    <row r="6032" customFormat="1"/>
    <row r="6033" customFormat="1"/>
    <row r="6034" customFormat="1"/>
    <row r="6035" customFormat="1"/>
    <row r="6036" customFormat="1"/>
    <row r="6037" customFormat="1"/>
    <row r="6038" customFormat="1"/>
    <row r="6039" customFormat="1"/>
    <row r="6040" customFormat="1"/>
    <row r="6041" customFormat="1"/>
    <row r="6042" customFormat="1"/>
    <row r="6043" customFormat="1"/>
    <row r="6044" customFormat="1"/>
    <row r="6045" customFormat="1"/>
    <row r="6046" customFormat="1"/>
    <row r="6047" customFormat="1"/>
    <row r="6048" customFormat="1"/>
    <row r="6049" customFormat="1"/>
    <row r="6050" customFormat="1"/>
    <row r="6051" customFormat="1"/>
    <row r="6052" customFormat="1"/>
    <row r="6053" customFormat="1"/>
    <row r="6054" customFormat="1"/>
    <row r="6055" customFormat="1"/>
    <row r="6056" customFormat="1"/>
    <row r="6057" customFormat="1"/>
    <row r="6058" customFormat="1"/>
    <row r="6059" customFormat="1"/>
    <row r="6060" customFormat="1"/>
    <row r="6061" customFormat="1"/>
    <row r="6062" customFormat="1"/>
    <row r="6063" customFormat="1"/>
    <row r="6064" customFormat="1"/>
    <row r="6065" customFormat="1"/>
    <row r="6066" customFormat="1"/>
    <row r="6067" customFormat="1"/>
    <row r="6068" customFormat="1"/>
    <row r="6069" customFormat="1"/>
    <row r="6070" customFormat="1"/>
    <row r="6071" customFormat="1"/>
    <row r="6072" customFormat="1"/>
    <row r="6073" customFormat="1"/>
    <row r="6074" customFormat="1"/>
    <row r="6075" customFormat="1"/>
    <row r="6076" customFormat="1"/>
    <row r="6077" customFormat="1"/>
    <row r="6078" customFormat="1"/>
    <row r="6079" customFormat="1"/>
    <row r="6080" customFormat="1"/>
    <row r="6081" customFormat="1"/>
    <row r="6082" customFormat="1"/>
    <row r="6083" customFormat="1"/>
    <row r="6084" customFormat="1"/>
    <row r="6085" customFormat="1"/>
    <row r="6086" customFormat="1"/>
    <row r="6087" customFormat="1"/>
    <row r="6088" customFormat="1"/>
    <row r="6089" customFormat="1"/>
    <row r="6090" customFormat="1"/>
    <row r="6091" customFormat="1"/>
    <row r="6092" customFormat="1"/>
    <row r="6093" customFormat="1"/>
    <row r="6094" customFormat="1"/>
    <row r="6095" customFormat="1"/>
    <row r="6096" customFormat="1"/>
    <row r="6097" customFormat="1"/>
    <row r="6098" customFormat="1"/>
    <row r="6099" customFormat="1"/>
    <row r="6100" customFormat="1"/>
    <row r="6101" customFormat="1"/>
    <row r="6102" customFormat="1"/>
    <row r="6103" customFormat="1"/>
    <row r="6104" customFormat="1"/>
    <row r="6105" customFormat="1"/>
    <row r="6106" customFormat="1"/>
    <row r="6107" customFormat="1"/>
    <row r="6108" customFormat="1"/>
    <row r="6109" customFormat="1"/>
    <row r="6110" customFormat="1"/>
    <row r="6111" customFormat="1"/>
    <row r="6112" customFormat="1"/>
    <row r="6113" customFormat="1"/>
    <row r="6114" customFormat="1"/>
    <row r="6115" customFormat="1"/>
    <row r="6116" customFormat="1"/>
    <row r="6117" customFormat="1"/>
    <row r="6118" customFormat="1"/>
    <row r="6119" customFormat="1"/>
    <row r="6120" customFormat="1"/>
    <row r="6121" customFormat="1"/>
    <row r="6122" customFormat="1"/>
    <row r="6123" customFormat="1"/>
    <row r="6124" customFormat="1"/>
    <row r="6125" customFormat="1"/>
    <row r="6126" customFormat="1"/>
    <row r="6127" customFormat="1"/>
    <row r="6128" customFormat="1"/>
    <row r="6129" customFormat="1"/>
    <row r="6130" customFormat="1"/>
    <row r="6131" customFormat="1"/>
    <row r="6132" customFormat="1"/>
    <row r="6133" customFormat="1"/>
    <row r="6134" customFormat="1"/>
    <row r="6135" customFormat="1"/>
    <row r="6136" customFormat="1"/>
    <row r="6137" customFormat="1"/>
    <row r="6138" customFormat="1"/>
    <row r="6139" customFormat="1"/>
    <row r="6140" customFormat="1"/>
    <row r="6141" customFormat="1"/>
    <row r="6142" customFormat="1"/>
    <row r="6143" customFormat="1"/>
    <row r="6144" customFormat="1"/>
    <row r="6145" customFormat="1"/>
    <row r="6146" customFormat="1"/>
    <row r="6147" customFormat="1"/>
    <row r="6148" customFormat="1"/>
    <row r="6149" customFormat="1"/>
    <row r="6150" customFormat="1"/>
    <row r="6151" customFormat="1"/>
    <row r="6152" customFormat="1"/>
    <row r="6153" customFormat="1"/>
    <row r="6154" customFormat="1"/>
    <row r="6155" customFormat="1"/>
    <row r="6156" customFormat="1"/>
    <row r="6157" customFormat="1"/>
    <row r="6158" customFormat="1"/>
    <row r="6159" customFormat="1"/>
    <row r="6160" customFormat="1"/>
    <row r="6161" customFormat="1"/>
    <row r="6162" customFormat="1"/>
    <row r="6163" customFormat="1"/>
    <row r="6164" customFormat="1"/>
    <row r="6165" customFormat="1"/>
    <row r="6166" customFormat="1"/>
    <row r="6167" customFormat="1"/>
    <row r="6168" customFormat="1"/>
    <row r="6169" customFormat="1"/>
    <row r="6170" customFormat="1"/>
    <row r="6171" customFormat="1"/>
    <row r="6172" customFormat="1"/>
    <row r="6173" customFormat="1"/>
    <row r="6174" customFormat="1"/>
    <row r="6175" customFormat="1"/>
    <row r="6176" customFormat="1"/>
    <row r="6177" customFormat="1"/>
    <row r="6178" customFormat="1"/>
    <row r="6179" customFormat="1"/>
    <row r="6180" customFormat="1"/>
    <row r="6181" customFormat="1"/>
    <row r="6182" customFormat="1"/>
    <row r="6183" customFormat="1"/>
    <row r="6184" customFormat="1"/>
    <row r="6185" customFormat="1"/>
    <row r="6186" customFormat="1"/>
    <row r="6187" customFormat="1"/>
    <row r="6188" customFormat="1"/>
    <row r="6189" customFormat="1"/>
    <row r="6190" customFormat="1"/>
    <row r="6191" customFormat="1"/>
    <row r="6192" customFormat="1"/>
    <row r="6193" customFormat="1"/>
    <row r="6194" customFormat="1"/>
    <row r="6195" customFormat="1"/>
    <row r="6196" customFormat="1"/>
    <row r="6197" customFormat="1"/>
    <row r="6198" customFormat="1"/>
    <row r="6199" customFormat="1"/>
    <row r="6200" customFormat="1"/>
    <row r="6201" customFormat="1"/>
    <row r="6202" customFormat="1"/>
    <row r="6203" customFormat="1"/>
    <row r="6204" customFormat="1"/>
    <row r="6205" customFormat="1"/>
    <row r="6206" customFormat="1"/>
    <row r="6207" customFormat="1"/>
    <row r="6208" customFormat="1"/>
    <row r="6209" customFormat="1"/>
    <row r="6210" customFormat="1"/>
    <row r="6211" customFormat="1"/>
    <row r="6212" customFormat="1"/>
    <row r="6213" customFormat="1"/>
    <row r="6214" customFormat="1"/>
    <row r="6215" customFormat="1"/>
    <row r="6216" customFormat="1"/>
    <row r="6217" customFormat="1"/>
    <row r="6218" customFormat="1"/>
    <row r="6219" customFormat="1"/>
    <row r="6220" customFormat="1"/>
    <row r="6221" customFormat="1"/>
    <row r="6222" customFormat="1"/>
    <row r="6223" customFormat="1"/>
    <row r="6224" customFormat="1"/>
    <row r="6225" customFormat="1"/>
    <row r="6226" customFormat="1"/>
    <row r="6227" customFormat="1"/>
    <row r="6228" customFormat="1"/>
    <row r="6229" customFormat="1"/>
    <row r="6230" customFormat="1"/>
    <row r="6231" customFormat="1"/>
    <row r="6232" customFormat="1"/>
    <row r="6233" customFormat="1"/>
    <row r="6234" customFormat="1"/>
    <row r="6235" customFormat="1"/>
    <row r="6236" customFormat="1"/>
    <row r="6237" customFormat="1"/>
    <row r="6238" customFormat="1"/>
    <row r="6239" customFormat="1"/>
    <row r="6240" customFormat="1"/>
    <row r="6241" customFormat="1"/>
    <row r="6242" customFormat="1"/>
    <row r="6243" customFormat="1"/>
    <row r="6244" customFormat="1"/>
    <row r="6245" customFormat="1"/>
    <row r="6246" customFormat="1"/>
    <row r="6247" customFormat="1"/>
    <row r="6248" customFormat="1"/>
    <row r="6249" customFormat="1"/>
    <row r="6250" customFormat="1"/>
    <row r="6251" customFormat="1"/>
    <row r="6252" customFormat="1"/>
    <row r="6253" customFormat="1"/>
    <row r="6254" customFormat="1"/>
    <row r="6255" customFormat="1"/>
    <row r="6256" customFormat="1"/>
    <row r="6257" customFormat="1"/>
    <row r="6258" customFormat="1"/>
    <row r="6259" customFormat="1"/>
    <row r="6260" customFormat="1"/>
    <row r="6261" customFormat="1"/>
    <row r="6262" customFormat="1"/>
    <row r="6263" customFormat="1"/>
    <row r="6264" customFormat="1"/>
    <row r="6265" customFormat="1"/>
    <row r="6266" customFormat="1"/>
    <row r="6267" customFormat="1"/>
    <row r="6268" customFormat="1"/>
    <row r="6269" customFormat="1"/>
    <row r="6270" customFormat="1"/>
    <row r="6271" customFormat="1"/>
    <row r="6272" customFormat="1"/>
    <row r="6273" customFormat="1"/>
    <row r="6274" customFormat="1"/>
    <row r="6275" customFormat="1"/>
    <row r="6276" customFormat="1"/>
    <row r="6277" customFormat="1"/>
    <row r="6278" customFormat="1"/>
    <row r="6279" customFormat="1"/>
    <row r="6280" customFormat="1"/>
    <row r="6281" customFormat="1"/>
    <row r="6282" customFormat="1"/>
    <row r="6283" customFormat="1"/>
    <row r="6284" customFormat="1"/>
    <row r="6285" customFormat="1"/>
    <row r="6286" customFormat="1"/>
    <row r="6287" customFormat="1"/>
    <row r="6288" customFormat="1"/>
    <row r="6289" customFormat="1"/>
    <row r="6290" customFormat="1"/>
    <row r="6291" customFormat="1"/>
    <row r="6292" customFormat="1"/>
    <row r="6293" customFormat="1"/>
    <row r="6294" customFormat="1"/>
    <row r="6295" customFormat="1"/>
    <row r="6296" customFormat="1"/>
    <row r="6297" customFormat="1"/>
    <row r="6298" customFormat="1"/>
    <row r="6299" customFormat="1"/>
    <row r="6300" customFormat="1"/>
    <row r="6301" customFormat="1"/>
    <row r="6302" customFormat="1"/>
    <row r="6303" customFormat="1"/>
    <row r="6304" customFormat="1"/>
    <row r="6305" customFormat="1"/>
    <row r="6306" customFormat="1"/>
    <row r="6307" customFormat="1"/>
    <row r="6308" customFormat="1"/>
    <row r="6309" customFormat="1"/>
    <row r="6310" customFormat="1"/>
    <row r="6311" customFormat="1"/>
    <row r="6312" customFormat="1"/>
    <row r="6313" customFormat="1"/>
    <row r="6314" customFormat="1"/>
    <row r="6315" customFormat="1"/>
    <row r="6316" customFormat="1"/>
    <row r="6317" customFormat="1"/>
    <row r="6318" customFormat="1"/>
    <row r="6319" customFormat="1"/>
    <row r="6320" customFormat="1"/>
    <row r="6321" customFormat="1"/>
    <row r="6322" customFormat="1"/>
    <row r="6323" customFormat="1"/>
    <row r="6324" customFormat="1"/>
    <row r="6325" customFormat="1"/>
    <row r="6326" customFormat="1"/>
    <row r="6327" customFormat="1"/>
    <row r="6328" customFormat="1"/>
    <row r="6329" customFormat="1"/>
    <row r="6330" customFormat="1"/>
    <row r="6331" customFormat="1"/>
    <row r="6332" customFormat="1"/>
    <row r="6333" customFormat="1"/>
    <row r="6334" customFormat="1"/>
    <row r="6335" customFormat="1"/>
    <row r="6336" customFormat="1"/>
    <row r="6337" customFormat="1"/>
    <row r="6338" customFormat="1"/>
    <row r="6339" customFormat="1"/>
    <row r="6340" customFormat="1"/>
    <row r="6341" customFormat="1"/>
    <row r="6342" customFormat="1"/>
    <row r="6343" customFormat="1"/>
    <row r="6344" customFormat="1"/>
    <row r="6345" customFormat="1"/>
    <row r="6346" customFormat="1"/>
    <row r="6347" customFormat="1"/>
    <row r="6348" customFormat="1"/>
    <row r="6349" customFormat="1"/>
    <row r="6350" customFormat="1"/>
    <row r="6351" customFormat="1"/>
    <row r="6352" customFormat="1"/>
    <row r="6353" customFormat="1"/>
    <row r="6354" customFormat="1"/>
    <row r="6355" customFormat="1"/>
    <row r="6356" customFormat="1"/>
    <row r="6357" customFormat="1"/>
    <row r="6358" customFormat="1"/>
    <row r="6359" customFormat="1"/>
    <row r="6360" customFormat="1"/>
    <row r="6361" customFormat="1"/>
    <row r="6362" customFormat="1"/>
    <row r="6363" customFormat="1"/>
    <row r="6364" customFormat="1"/>
    <row r="6365" customFormat="1"/>
    <row r="6366" customFormat="1"/>
    <row r="6367" customFormat="1"/>
    <row r="6368" customFormat="1"/>
    <row r="6369" customFormat="1"/>
    <row r="6370" customFormat="1"/>
    <row r="6371" customFormat="1"/>
    <row r="6372" customFormat="1"/>
    <row r="6373" customFormat="1"/>
    <row r="6374" customFormat="1"/>
    <row r="6375" customFormat="1"/>
    <row r="6376" customFormat="1"/>
    <row r="6377" customFormat="1"/>
    <row r="6378" customFormat="1"/>
    <row r="6379" customFormat="1"/>
    <row r="6380" customFormat="1"/>
    <row r="6381" customFormat="1"/>
    <row r="6382" customFormat="1"/>
    <row r="6383" customFormat="1"/>
    <row r="6384" customFormat="1"/>
    <row r="6385" customFormat="1"/>
    <row r="6386" customFormat="1"/>
    <row r="6387" customFormat="1"/>
    <row r="6388" customFormat="1"/>
    <row r="6389" customFormat="1"/>
    <row r="6390" customFormat="1"/>
    <row r="6391" customFormat="1"/>
    <row r="6392" customFormat="1"/>
    <row r="6393" customFormat="1"/>
    <row r="6394" customFormat="1"/>
    <row r="6395" customFormat="1"/>
    <row r="6396" customFormat="1"/>
    <row r="6397" customFormat="1"/>
    <row r="6398" customFormat="1"/>
    <row r="6399" customFormat="1"/>
    <row r="6400" customFormat="1"/>
    <row r="6401" customFormat="1"/>
    <row r="6402" customFormat="1"/>
    <row r="6403" customFormat="1"/>
    <row r="6404" customFormat="1"/>
    <row r="6405" customFormat="1"/>
    <row r="6406" customFormat="1"/>
    <row r="6407" customFormat="1"/>
    <row r="6408" customFormat="1"/>
    <row r="6409" customFormat="1"/>
    <row r="6410" customFormat="1"/>
    <row r="6411" customFormat="1"/>
    <row r="6412" customFormat="1"/>
    <row r="6413" customFormat="1"/>
    <row r="6414" customFormat="1"/>
    <row r="6415" customFormat="1"/>
    <row r="6416" customFormat="1"/>
    <row r="6417" customFormat="1"/>
    <row r="6418" customFormat="1"/>
    <row r="6419" customFormat="1"/>
    <row r="6420" customFormat="1"/>
    <row r="6421" customFormat="1"/>
    <row r="6422" customFormat="1"/>
    <row r="6423" customFormat="1"/>
    <row r="6424" customFormat="1"/>
    <row r="6425" customFormat="1"/>
    <row r="6426" customFormat="1"/>
    <row r="6427" customFormat="1"/>
    <row r="6428" customFormat="1"/>
    <row r="6429" customFormat="1"/>
    <row r="6430" customFormat="1"/>
    <row r="6431" customFormat="1"/>
    <row r="6432" customFormat="1"/>
    <row r="6433" customFormat="1"/>
    <row r="6434" customFormat="1"/>
    <row r="6435" customFormat="1"/>
    <row r="6436" customFormat="1"/>
    <row r="6437" customFormat="1"/>
    <row r="6438" customFormat="1"/>
    <row r="6439" customFormat="1"/>
    <row r="6440" customFormat="1"/>
    <row r="6441" customFormat="1"/>
    <row r="6442" customFormat="1"/>
    <row r="6443" customFormat="1"/>
    <row r="6444" customFormat="1"/>
    <row r="6445" customFormat="1"/>
    <row r="6446" customFormat="1"/>
    <row r="6447" customFormat="1"/>
    <row r="6448" customFormat="1"/>
    <row r="6449" customFormat="1"/>
    <row r="6450" customFormat="1"/>
    <row r="6451" customFormat="1"/>
    <row r="6452" customFormat="1"/>
    <row r="6453" customFormat="1"/>
    <row r="6454" customFormat="1"/>
    <row r="6455" customFormat="1"/>
    <row r="6456" customFormat="1"/>
    <row r="6457" customFormat="1"/>
    <row r="6458" customFormat="1"/>
    <row r="6459" customFormat="1"/>
    <row r="6460" customFormat="1"/>
    <row r="6461" customFormat="1"/>
    <row r="6462" customFormat="1"/>
    <row r="6463" customFormat="1"/>
    <row r="6464" customFormat="1"/>
    <row r="6465" customFormat="1"/>
    <row r="6466" customFormat="1"/>
    <row r="6467" customFormat="1"/>
    <row r="6468" customFormat="1"/>
    <row r="6469" customFormat="1"/>
    <row r="6470" customFormat="1"/>
    <row r="6471" customFormat="1"/>
    <row r="6472" customFormat="1"/>
    <row r="6473" customFormat="1"/>
    <row r="6474" customFormat="1"/>
    <row r="6475" customFormat="1"/>
    <row r="6476" customFormat="1"/>
    <row r="6477" customFormat="1"/>
    <row r="6478" customFormat="1"/>
    <row r="6479" customFormat="1"/>
    <row r="6480" customFormat="1"/>
    <row r="6481" customFormat="1"/>
    <row r="6482" customFormat="1"/>
    <row r="6483" customFormat="1"/>
    <row r="6484" customFormat="1"/>
    <row r="6485" customFormat="1"/>
    <row r="6486" customFormat="1"/>
    <row r="6487" customFormat="1"/>
    <row r="6488" customFormat="1"/>
    <row r="6489" customFormat="1"/>
    <row r="6490" customFormat="1"/>
    <row r="6491" customFormat="1"/>
    <row r="6492" customFormat="1"/>
    <row r="6493" customFormat="1"/>
    <row r="6494" customFormat="1"/>
    <row r="6495" customFormat="1"/>
    <row r="6496" customFormat="1"/>
    <row r="6497" customFormat="1"/>
    <row r="6498" customFormat="1"/>
    <row r="6499" customFormat="1"/>
    <row r="6500" customFormat="1"/>
    <row r="6501" customFormat="1"/>
    <row r="6502" customFormat="1"/>
    <row r="6503" customFormat="1"/>
    <row r="6504" customFormat="1"/>
    <row r="6505" customFormat="1"/>
    <row r="6506" customFormat="1"/>
    <row r="6507" customFormat="1"/>
    <row r="6508" customFormat="1"/>
    <row r="6509" customFormat="1"/>
    <row r="6510" customFormat="1"/>
    <row r="6511" customFormat="1"/>
    <row r="6512" customFormat="1"/>
    <row r="6513" customFormat="1"/>
    <row r="6514" customFormat="1"/>
    <row r="6515" customFormat="1"/>
    <row r="6516" customFormat="1"/>
    <row r="6517" customFormat="1"/>
    <row r="6518" customFormat="1"/>
    <row r="6519" customFormat="1"/>
    <row r="6520" customFormat="1"/>
    <row r="6521" customFormat="1"/>
    <row r="6522" customFormat="1"/>
    <row r="6523" customFormat="1"/>
    <row r="6524" customFormat="1"/>
    <row r="6525" customFormat="1"/>
    <row r="6526" customFormat="1"/>
    <row r="6527" customFormat="1"/>
    <row r="6528" customFormat="1"/>
    <row r="6529" customFormat="1"/>
    <row r="6530" customFormat="1"/>
    <row r="6531" customFormat="1"/>
    <row r="6532" customFormat="1"/>
    <row r="6533" customFormat="1"/>
    <row r="6534" customFormat="1"/>
    <row r="6535" customFormat="1"/>
    <row r="6536" customFormat="1"/>
    <row r="6537" customFormat="1"/>
    <row r="6538" customFormat="1"/>
    <row r="6539" customFormat="1"/>
    <row r="6540" customFormat="1"/>
    <row r="6541" customFormat="1"/>
    <row r="6542" customFormat="1"/>
    <row r="6543" customFormat="1"/>
    <row r="6544" customFormat="1"/>
    <row r="6545" customFormat="1"/>
    <row r="6546" customFormat="1"/>
    <row r="6547" customFormat="1"/>
    <row r="6548" customFormat="1"/>
    <row r="6549" customFormat="1"/>
    <row r="6550" customFormat="1"/>
    <row r="6551" customFormat="1"/>
    <row r="6552" customFormat="1"/>
    <row r="6553" customFormat="1"/>
    <row r="6554" customFormat="1"/>
    <row r="6555" customFormat="1"/>
    <row r="6556" customFormat="1"/>
    <row r="6557" customFormat="1"/>
    <row r="6558" customFormat="1"/>
    <row r="6559" customFormat="1"/>
    <row r="6560" customFormat="1"/>
    <row r="6561" customFormat="1"/>
    <row r="6562" customFormat="1"/>
    <row r="6563" customFormat="1"/>
    <row r="6564" customFormat="1"/>
    <row r="6565" customFormat="1"/>
    <row r="6566" customFormat="1"/>
    <row r="6567" customFormat="1"/>
    <row r="6568" customFormat="1"/>
    <row r="6569" customFormat="1"/>
    <row r="6570" customFormat="1"/>
    <row r="6571" customFormat="1"/>
    <row r="6572" customFormat="1"/>
    <row r="6573" customFormat="1"/>
    <row r="6574" customFormat="1"/>
    <row r="6575" customFormat="1"/>
    <row r="6576" customFormat="1"/>
    <row r="6577" customFormat="1"/>
    <row r="6578" customFormat="1"/>
    <row r="6579" customFormat="1"/>
    <row r="6580" customFormat="1"/>
    <row r="6581" customFormat="1"/>
    <row r="6582" customFormat="1"/>
    <row r="6583" customFormat="1"/>
    <row r="6584" customFormat="1"/>
    <row r="6585" customFormat="1"/>
    <row r="6586" customFormat="1"/>
    <row r="6587" customFormat="1"/>
    <row r="6588" customFormat="1"/>
    <row r="6589" customFormat="1"/>
    <row r="6590" customFormat="1"/>
    <row r="6591" customFormat="1"/>
    <row r="6592" customFormat="1"/>
    <row r="6593" customFormat="1"/>
    <row r="6594" customFormat="1"/>
    <row r="6595" customFormat="1"/>
    <row r="6596" customFormat="1"/>
    <row r="6597" customFormat="1"/>
    <row r="6598" customFormat="1"/>
    <row r="6599" customFormat="1"/>
    <row r="6600" customFormat="1"/>
    <row r="6601" customFormat="1"/>
    <row r="6602" customFormat="1"/>
    <row r="6603" customFormat="1"/>
    <row r="6604" customFormat="1"/>
    <row r="6605" customFormat="1"/>
    <row r="6606" customFormat="1"/>
    <row r="6607" customFormat="1"/>
    <row r="6608" customFormat="1"/>
    <row r="6609" customFormat="1"/>
    <row r="6610" customFormat="1"/>
    <row r="6611" customFormat="1"/>
    <row r="6612" customFormat="1"/>
    <row r="6613" customFormat="1"/>
    <row r="6614" customFormat="1"/>
    <row r="6615" customFormat="1"/>
    <row r="6616" customFormat="1"/>
    <row r="6617" customFormat="1"/>
    <row r="6618" customFormat="1"/>
    <row r="6619" customFormat="1"/>
    <row r="6620" customFormat="1"/>
    <row r="6621" customFormat="1"/>
    <row r="6622" customFormat="1"/>
    <row r="6623" customFormat="1"/>
    <row r="6624" customFormat="1"/>
    <row r="6625" customFormat="1"/>
    <row r="6626" customFormat="1"/>
    <row r="6627" customFormat="1"/>
    <row r="6628" customFormat="1"/>
    <row r="6629" customFormat="1"/>
    <row r="6630" customFormat="1"/>
    <row r="6631" customFormat="1"/>
    <row r="6632" customFormat="1"/>
    <row r="6633" customFormat="1"/>
    <row r="6634" customFormat="1"/>
    <row r="6635" customFormat="1"/>
    <row r="6636" customFormat="1"/>
    <row r="6637" customFormat="1"/>
    <row r="6638" customFormat="1"/>
    <row r="6639" customFormat="1"/>
    <row r="6640" customFormat="1"/>
    <row r="6641" customFormat="1"/>
    <row r="6642" customFormat="1"/>
    <row r="6643" customFormat="1"/>
    <row r="6644" customFormat="1"/>
    <row r="6645" customFormat="1"/>
    <row r="6646" customFormat="1"/>
    <row r="6647" customFormat="1"/>
    <row r="6648" customFormat="1"/>
    <row r="6649" customFormat="1"/>
    <row r="6650" customFormat="1"/>
    <row r="6651" customFormat="1"/>
    <row r="6652" customFormat="1"/>
    <row r="6653" customFormat="1"/>
    <row r="6654" customFormat="1"/>
    <row r="6655" customFormat="1"/>
    <row r="6656" customFormat="1"/>
    <row r="6657" customFormat="1"/>
    <row r="6658" customFormat="1"/>
    <row r="6659" customFormat="1"/>
    <row r="6660" customFormat="1"/>
    <row r="6661" customFormat="1"/>
    <row r="6662" customFormat="1"/>
    <row r="6663" customFormat="1"/>
    <row r="6664" customFormat="1"/>
    <row r="6665" customFormat="1"/>
    <row r="6666" customFormat="1"/>
    <row r="6667" customFormat="1"/>
    <row r="6668" customFormat="1"/>
    <row r="6669" customFormat="1"/>
    <row r="6670" customFormat="1"/>
    <row r="6671" customFormat="1"/>
    <row r="6672" customFormat="1"/>
    <row r="6673" customFormat="1"/>
    <row r="6674" customFormat="1"/>
    <row r="6675" customFormat="1"/>
    <row r="6676" customFormat="1"/>
    <row r="6677" customFormat="1"/>
    <row r="6678" customFormat="1"/>
    <row r="6679" customFormat="1"/>
    <row r="6680" customFormat="1"/>
    <row r="6681" customFormat="1"/>
    <row r="6682" customFormat="1"/>
    <row r="6683" customFormat="1"/>
    <row r="6684" customFormat="1"/>
    <row r="6685" customFormat="1"/>
    <row r="6686" customFormat="1"/>
    <row r="6687" customFormat="1"/>
    <row r="6688" customFormat="1"/>
    <row r="6689" customFormat="1"/>
    <row r="6690" customFormat="1"/>
    <row r="6691" customFormat="1"/>
    <row r="6692" customFormat="1"/>
    <row r="6693" customFormat="1"/>
    <row r="6694" customFormat="1"/>
    <row r="6695" customFormat="1"/>
    <row r="6696" customFormat="1"/>
    <row r="6697" customFormat="1"/>
    <row r="6698" customFormat="1"/>
    <row r="6699" customFormat="1"/>
    <row r="6700" customFormat="1"/>
    <row r="6701" customFormat="1"/>
    <row r="6702" customFormat="1"/>
    <row r="6703" customFormat="1"/>
    <row r="6704" customFormat="1"/>
    <row r="6705" customFormat="1"/>
    <row r="6706" customFormat="1"/>
    <row r="6707" customFormat="1"/>
    <row r="6708" customFormat="1"/>
    <row r="6709" customFormat="1"/>
    <row r="6710" customFormat="1"/>
    <row r="6711" customFormat="1"/>
    <row r="6712" customFormat="1"/>
    <row r="6713" customFormat="1"/>
    <row r="6714" customFormat="1"/>
    <row r="6715" customFormat="1"/>
    <row r="6716" customFormat="1"/>
    <row r="6717" customFormat="1"/>
    <row r="6718" customFormat="1"/>
    <row r="6719" customFormat="1"/>
    <row r="6720" customFormat="1"/>
    <row r="6721" customFormat="1"/>
    <row r="6722" customFormat="1"/>
    <row r="6723" customFormat="1"/>
    <row r="6724" customFormat="1"/>
    <row r="6725" customFormat="1"/>
    <row r="6726" customFormat="1"/>
    <row r="6727" customFormat="1"/>
    <row r="6728" customFormat="1"/>
    <row r="6729" customFormat="1"/>
    <row r="6730" customFormat="1"/>
    <row r="6731" customFormat="1"/>
    <row r="6732" customFormat="1"/>
    <row r="6733" customFormat="1"/>
    <row r="6734" customFormat="1"/>
    <row r="6735" customFormat="1"/>
    <row r="6736" customFormat="1"/>
    <row r="6737" customFormat="1"/>
    <row r="6738" customFormat="1"/>
    <row r="6739" customFormat="1"/>
    <row r="6740" customFormat="1"/>
    <row r="6741" customFormat="1"/>
    <row r="6742" customFormat="1"/>
    <row r="6743" customFormat="1"/>
    <row r="6744" customFormat="1"/>
    <row r="6745" customFormat="1"/>
    <row r="6746" customFormat="1"/>
    <row r="6747" customFormat="1"/>
    <row r="6748" customFormat="1"/>
    <row r="6749" customFormat="1"/>
    <row r="6750" customFormat="1"/>
    <row r="6751" customFormat="1"/>
    <row r="6752" customFormat="1"/>
    <row r="6753" customFormat="1"/>
    <row r="6754" customFormat="1"/>
    <row r="6755" customFormat="1"/>
    <row r="6756" customFormat="1"/>
    <row r="6757" customFormat="1"/>
    <row r="6758" customFormat="1"/>
    <row r="6759" customFormat="1"/>
    <row r="6760" customFormat="1"/>
    <row r="6761" customFormat="1"/>
    <row r="6762" customFormat="1"/>
    <row r="6763" customFormat="1"/>
    <row r="6764" customFormat="1"/>
    <row r="6765" customFormat="1"/>
    <row r="6766" customFormat="1"/>
    <row r="6767" customFormat="1"/>
    <row r="6768" customFormat="1"/>
    <row r="6769" customFormat="1"/>
    <row r="6770" customFormat="1"/>
    <row r="6771" customFormat="1"/>
    <row r="6772" customFormat="1"/>
    <row r="6773" customFormat="1"/>
    <row r="6774" customFormat="1"/>
    <row r="6775" customFormat="1"/>
    <row r="6776" customFormat="1"/>
    <row r="6777" customFormat="1"/>
    <row r="6778" customFormat="1"/>
    <row r="6779" customFormat="1"/>
    <row r="6780" customFormat="1"/>
    <row r="6781" customFormat="1"/>
    <row r="6782" customFormat="1"/>
    <row r="6783" customFormat="1"/>
    <row r="6784" customFormat="1"/>
    <row r="6785" customFormat="1"/>
    <row r="6786" customFormat="1"/>
    <row r="6787" customFormat="1"/>
    <row r="6788" customFormat="1"/>
    <row r="6789" customFormat="1"/>
    <row r="6790" customFormat="1"/>
    <row r="6791" customFormat="1"/>
    <row r="6792" customFormat="1"/>
    <row r="6793" customFormat="1"/>
    <row r="6794" customFormat="1"/>
    <row r="6795" customFormat="1"/>
    <row r="6796" customFormat="1"/>
    <row r="6797" customFormat="1"/>
    <row r="6798" customFormat="1"/>
    <row r="6799" customFormat="1"/>
    <row r="6800" customFormat="1"/>
    <row r="6801" customFormat="1"/>
    <row r="6802" customFormat="1"/>
    <row r="6803" customFormat="1"/>
    <row r="6804" customFormat="1"/>
    <row r="6805" customFormat="1"/>
    <row r="6806" customFormat="1"/>
    <row r="6807" customFormat="1"/>
    <row r="6808" customFormat="1"/>
    <row r="6809" customFormat="1"/>
    <row r="6810" customFormat="1"/>
    <row r="6811" customFormat="1"/>
    <row r="6812" customFormat="1"/>
    <row r="6813" customFormat="1"/>
    <row r="6814" customFormat="1"/>
    <row r="6815" customFormat="1"/>
    <row r="6816" customFormat="1"/>
    <row r="6817" customFormat="1"/>
    <row r="6818" customFormat="1"/>
    <row r="6819" customFormat="1"/>
    <row r="6820" customFormat="1"/>
    <row r="6821" customFormat="1"/>
    <row r="6822" customFormat="1"/>
    <row r="6823" customFormat="1"/>
    <row r="6824" customFormat="1"/>
    <row r="6825" customFormat="1"/>
    <row r="6826" customFormat="1"/>
    <row r="6827" customFormat="1"/>
    <row r="6828" customFormat="1"/>
    <row r="6829" customFormat="1"/>
    <row r="6830" customFormat="1"/>
    <row r="6831" customFormat="1"/>
    <row r="6832" customFormat="1"/>
    <row r="6833" customFormat="1"/>
    <row r="6834" customFormat="1"/>
    <row r="6835" customFormat="1"/>
    <row r="6836" customFormat="1"/>
    <row r="6837" customFormat="1"/>
    <row r="6838" customFormat="1"/>
    <row r="6839" customFormat="1"/>
    <row r="6840" customFormat="1"/>
    <row r="6841" customFormat="1"/>
    <row r="6842" customFormat="1"/>
    <row r="6843" customFormat="1"/>
    <row r="6844" customFormat="1"/>
    <row r="6845" customFormat="1"/>
    <row r="6846" customFormat="1"/>
    <row r="6847" customFormat="1"/>
    <row r="6848" customFormat="1"/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49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  <row r="8227" customFormat="1"/>
    <row r="8228" customFormat="1"/>
    <row r="8229" customFormat="1"/>
    <row r="8230" customFormat="1"/>
    <row r="8231" customFormat="1"/>
    <row r="8232" customFormat="1"/>
    <row r="8233" customFormat="1"/>
    <row r="8234" customFormat="1"/>
    <row r="8235" customFormat="1"/>
    <row r="8236" customFormat="1"/>
    <row r="8237" customFormat="1"/>
    <row r="8238" customFormat="1"/>
    <row r="8239" customFormat="1"/>
    <row r="8240" customFormat="1"/>
    <row r="8241" customFormat="1"/>
    <row r="8242" customFormat="1"/>
    <row r="8243" customFormat="1"/>
    <row r="8244" customFormat="1"/>
    <row r="8245" customFormat="1"/>
    <row r="8246" customFormat="1"/>
    <row r="8247" customFormat="1"/>
    <row r="8248" customFormat="1"/>
    <row r="8249" customFormat="1"/>
    <row r="8250" customFormat="1"/>
    <row r="8251" customFormat="1"/>
    <row r="8252" customFormat="1"/>
    <row r="8253" customFormat="1"/>
    <row r="8254" customFormat="1"/>
    <row r="8255" customFormat="1"/>
    <row r="8256" customFormat="1"/>
    <row r="8257" customFormat="1"/>
    <row r="8258" customFormat="1"/>
    <row r="8259" customFormat="1"/>
    <row r="8260" customFormat="1"/>
    <row r="8261" customFormat="1"/>
    <row r="8262" customFormat="1"/>
    <row r="8263" customFormat="1"/>
    <row r="8264" customFormat="1"/>
    <row r="8265" customFormat="1"/>
    <row r="8266" customFormat="1"/>
    <row r="8267" customFormat="1"/>
    <row r="8268" customFormat="1"/>
    <row r="8269" customFormat="1"/>
    <row r="8270" customFormat="1"/>
    <row r="8271" customFormat="1"/>
    <row r="8272" customFormat="1"/>
    <row r="8273" customFormat="1"/>
    <row r="8274" customFormat="1"/>
    <row r="8275" customFormat="1"/>
    <row r="8276" customFormat="1"/>
    <row r="8277" customFormat="1"/>
    <row r="8278" customFormat="1"/>
    <row r="8279" customFormat="1"/>
    <row r="8280" customFormat="1"/>
    <row r="8281" customFormat="1"/>
    <row r="8282" customFormat="1"/>
    <row r="8283" customFormat="1"/>
    <row r="8284" customFormat="1"/>
    <row r="8285" customFormat="1"/>
    <row r="8286" customFormat="1"/>
    <row r="8287" customFormat="1"/>
    <row r="8288" customFormat="1"/>
    <row r="8289" customFormat="1"/>
    <row r="8290" customFormat="1"/>
    <row r="8291" customFormat="1"/>
    <row r="8292" customFormat="1"/>
    <row r="8293" customFormat="1"/>
    <row r="8294" customFormat="1"/>
    <row r="8295" customFormat="1"/>
    <row r="8296" customFormat="1"/>
    <row r="8297" customFormat="1"/>
    <row r="8298" customFormat="1"/>
    <row r="8299" customFormat="1"/>
    <row r="8300" customFormat="1"/>
    <row r="8301" customFormat="1"/>
    <row r="8302" customFormat="1"/>
    <row r="8303" customFormat="1"/>
    <row r="8304" customFormat="1"/>
    <row r="8305" customFormat="1"/>
    <row r="8306" customFormat="1"/>
    <row r="8307" customFormat="1"/>
    <row r="8308" customFormat="1"/>
    <row r="8309" customFormat="1"/>
    <row r="8310" customFormat="1"/>
    <row r="8311" customFormat="1"/>
    <row r="8312" customFormat="1"/>
    <row r="8313" customFormat="1"/>
    <row r="8314" customFormat="1"/>
    <row r="8315" customFormat="1"/>
    <row r="8316" customFormat="1"/>
    <row r="8317" customFormat="1"/>
    <row r="8318" customFormat="1"/>
    <row r="8319" customFormat="1"/>
    <row r="8320" customFormat="1"/>
    <row r="8321" customFormat="1"/>
    <row r="8322" customFormat="1"/>
    <row r="8323" customFormat="1"/>
    <row r="8324" customFormat="1"/>
    <row r="8325" customFormat="1"/>
    <row r="8326" customFormat="1"/>
    <row r="8327" customFormat="1"/>
    <row r="8328" customFormat="1"/>
    <row r="8329" customFormat="1"/>
    <row r="8330" customFormat="1"/>
    <row r="8331" customFormat="1"/>
    <row r="8332" customFormat="1"/>
    <row r="8333" customFormat="1"/>
    <row r="8334" customFormat="1"/>
    <row r="8335" customFormat="1"/>
    <row r="8336" customFormat="1"/>
    <row r="8337" customFormat="1"/>
    <row r="8338" customFormat="1"/>
    <row r="8339" customFormat="1"/>
    <row r="8340" customFormat="1"/>
    <row r="8341" customFormat="1"/>
    <row r="8342" customFormat="1"/>
    <row r="8343" customFormat="1"/>
    <row r="8344" customFormat="1"/>
    <row r="8345" customFormat="1"/>
    <row r="8346" customFormat="1"/>
    <row r="8347" customFormat="1"/>
    <row r="8348" customFormat="1"/>
    <row r="8349" customFormat="1"/>
    <row r="8350" customFormat="1"/>
    <row r="8351" customFormat="1"/>
    <row r="8352" customFormat="1"/>
    <row r="8353" customFormat="1"/>
    <row r="8354" customFormat="1"/>
    <row r="8355" customFormat="1"/>
    <row r="8356" customFormat="1"/>
    <row r="8357" customFormat="1"/>
    <row r="8358" customFormat="1"/>
    <row r="8359" customFormat="1"/>
    <row r="8360" customFormat="1"/>
    <row r="8361" customFormat="1"/>
    <row r="8362" customFormat="1"/>
    <row r="8363" customFormat="1"/>
    <row r="8364" customFormat="1"/>
    <row r="8365" customFormat="1"/>
    <row r="8366" customFormat="1"/>
    <row r="8367" customFormat="1"/>
    <row r="8368" customFormat="1"/>
    <row r="8369" customFormat="1"/>
    <row r="8370" customFormat="1"/>
    <row r="8371" customFormat="1"/>
    <row r="8372" customFormat="1"/>
    <row r="8373" customFormat="1"/>
    <row r="8374" customFormat="1"/>
    <row r="8375" customFormat="1"/>
    <row r="8376" customFormat="1"/>
    <row r="8377" customFormat="1"/>
    <row r="8378" customFormat="1"/>
    <row r="8379" customFormat="1"/>
    <row r="8380" customFormat="1"/>
    <row r="8381" customFormat="1"/>
    <row r="8382" customFormat="1"/>
    <row r="8383" customFormat="1"/>
    <row r="8384" customFormat="1"/>
    <row r="8385" customFormat="1"/>
    <row r="8386" customFormat="1"/>
    <row r="8387" customFormat="1"/>
    <row r="8388" customFormat="1"/>
    <row r="8389" customFormat="1"/>
    <row r="8390" customFormat="1"/>
    <row r="8391" customFormat="1"/>
    <row r="8392" customFormat="1"/>
    <row r="8393" customFormat="1"/>
    <row r="8394" customFormat="1"/>
    <row r="8395" customFormat="1"/>
    <row r="8396" customFormat="1"/>
    <row r="8397" customFormat="1"/>
    <row r="8398" customFormat="1"/>
    <row r="8399" customFormat="1"/>
    <row r="8400" customFormat="1"/>
    <row r="8401" customFormat="1"/>
    <row r="8402" customFormat="1"/>
    <row r="8403" customFormat="1"/>
    <row r="8404" customFormat="1"/>
    <row r="8405" customFormat="1"/>
    <row r="8406" customFormat="1"/>
    <row r="8407" customFormat="1"/>
    <row r="8408" customFormat="1"/>
    <row r="8409" customFormat="1"/>
    <row r="8410" customFormat="1"/>
    <row r="8411" customFormat="1"/>
    <row r="8412" customFormat="1"/>
    <row r="8413" customFormat="1"/>
    <row r="8414" customFormat="1"/>
    <row r="8415" customFormat="1"/>
    <row r="8416" customFormat="1"/>
    <row r="8417" customFormat="1"/>
    <row r="8418" customFormat="1"/>
    <row r="8419" customFormat="1"/>
    <row r="8420" customFormat="1"/>
    <row r="8421" customFormat="1"/>
    <row r="8422" customFormat="1"/>
    <row r="8423" customFormat="1"/>
    <row r="8424" customFormat="1"/>
    <row r="8425" customFormat="1"/>
    <row r="8426" customFormat="1"/>
    <row r="8427" customFormat="1"/>
    <row r="8428" customFormat="1"/>
    <row r="8429" customFormat="1"/>
    <row r="8430" customFormat="1"/>
    <row r="8431" customFormat="1"/>
    <row r="8432" customFormat="1"/>
    <row r="8433" customFormat="1"/>
    <row r="8434" customFormat="1"/>
    <row r="8435" customFormat="1"/>
    <row r="8436" customFormat="1"/>
    <row r="8437" customFormat="1"/>
    <row r="8438" customFormat="1"/>
    <row r="8439" customFormat="1"/>
    <row r="8440" customFormat="1"/>
    <row r="8441" customFormat="1"/>
    <row r="8442" customFormat="1"/>
    <row r="8443" customFormat="1"/>
    <row r="8444" customFormat="1"/>
    <row r="8445" customFormat="1"/>
    <row r="8446" customFormat="1"/>
    <row r="8447" customFormat="1"/>
    <row r="8448" customFormat="1"/>
    <row r="8449" customFormat="1"/>
    <row r="8450" customFormat="1"/>
    <row r="8451" customFormat="1"/>
    <row r="8452" customFormat="1"/>
    <row r="8453" customFormat="1"/>
    <row r="8454" customFormat="1"/>
    <row r="8455" customFormat="1"/>
    <row r="8456" customFormat="1"/>
    <row r="8457" customFormat="1"/>
    <row r="8458" customFormat="1"/>
    <row r="8459" customFormat="1"/>
    <row r="8460" customFormat="1"/>
    <row r="8461" customFormat="1"/>
    <row r="8462" customFormat="1"/>
    <row r="8463" customFormat="1"/>
    <row r="8464" customFormat="1"/>
    <row r="8465" customFormat="1"/>
    <row r="8466" customFormat="1"/>
    <row r="8467" customFormat="1"/>
    <row r="8468" customFormat="1"/>
    <row r="8469" customFormat="1"/>
    <row r="8470" customFormat="1"/>
    <row r="8471" customFormat="1"/>
    <row r="8472" customFormat="1"/>
    <row r="8473" customFormat="1"/>
    <row r="8474" customFormat="1"/>
    <row r="8475" customFormat="1"/>
    <row r="8476" customFormat="1"/>
    <row r="8477" customFormat="1"/>
    <row r="8478" customFormat="1"/>
    <row r="8479" customFormat="1"/>
    <row r="8480" customFormat="1"/>
    <row r="8481" customFormat="1"/>
    <row r="8482" customFormat="1"/>
    <row r="8483" customFormat="1"/>
    <row r="8484" customFormat="1"/>
    <row r="8485" customFormat="1"/>
    <row r="8486" customFormat="1"/>
    <row r="8487" customFormat="1"/>
    <row r="8488" customFormat="1"/>
    <row r="8489" customFormat="1"/>
    <row r="8490" customFormat="1"/>
    <row r="8491" customFormat="1"/>
    <row r="8492" customFormat="1"/>
    <row r="8493" customFormat="1"/>
    <row r="8494" customFormat="1"/>
    <row r="8495" customFormat="1"/>
    <row r="8496" customFormat="1"/>
    <row r="8497" customFormat="1"/>
    <row r="8498" customFormat="1"/>
    <row r="8499" customFormat="1"/>
    <row r="8500" customFormat="1"/>
    <row r="8501" customFormat="1"/>
    <row r="8502" customFormat="1"/>
    <row r="8503" customFormat="1"/>
    <row r="8504" customFormat="1"/>
    <row r="8505" customFormat="1"/>
    <row r="8506" customFormat="1"/>
    <row r="8507" customFormat="1"/>
    <row r="8508" customFormat="1"/>
    <row r="8509" customFormat="1"/>
    <row r="8510" customFormat="1"/>
    <row r="8511" customFormat="1"/>
    <row r="8512" customFormat="1"/>
    <row r="8513" customFormat="1"/>
    <row r="8514" customFormat="1"/>
    <row r="8515" customFormat="1"/>
    <row r="8516" customFormat="1"/>
    <row r="8517" customFormat="1"/>
    <row r="8518" customFormat="1"/>
    <row r="8519" customFormat="1"/>
    <row r="8520" customFormat="1"/>
    <row r="8521" customFormat="1"/>
    <row r="8522" customFormat="1"/>
    <row r="8523" customFormat="1"/>
    <row r="8524" customFormat="1"/>
    <row r="8525" customFormat="1"/>
    <row r="8526" customFormat="1"/>
    <row r="8527" customFormat="1"/>
    <row r="8528" customFormat="1"/>
    <row r="8529" customFormat="1"/>
    <row r="8530" customFormat="1"/>
    <row r="8531" customFormat="1"/>
    <row r="8532" customFormat="1"/>
    <row r="8533" customFormat="1"/>
    <row r="8534" customFormat="1"/>
    <row r="8535" customFormat="1"/>
    <row r="8536" customFormat="1"/>
    <row r="8537" customFormat="1"/>
    <row r="8538" customFormat="1"/>
    <row r="8539" customFormat="1"/>
    <row r="8540" customFormat="1"/>
    <row r="8541" customFormat="1"/>
    <row r="8542" customFormat="1"/>
    <row r="8543" customFormat="1"/>
    <row r="8544" customFormat="1"/>
    <row r="8545" customFormat="1"/>
    <row r="8546" customFormat="1"/>
    <row r="8547" customFormat="1"/>
    <row r="8548" customFormat="1"/>
    <row r="8549" customFormat="1"/>
    <row r="8550" customFormat="1"/>
    <row r="8551" customFormat="1"/>
    <row r="8552" customFormat="1"/>
    <row r="8553" customFormat="1"/>
    <row r="8554" customFormat="1"/>
    <row r="8555" customFormat="1"/>
    <row r="8556" customFormat="1"/>
    <row r="8557" customFormat="1"/>
    <row r="8558" customFormat="1"/>
    <row r="8559" customFormat="1"/>
    <row r="8560" customFormat="1"/>
    <row r="8561" customFormat="1"/>
    <row r="8562" customFormat="1"/>
    <row r="8563" customFormat="1"/>
    <row r="8564" customFormat="1"/>
    <row r="8565" customFormat="1"/>
    <row r="8566" customFormat="1"/>
    <row r="8567" customFormat="1"/>
    <row r="8568" customFormat="1"/>
    <row r="8569" customFormat="1"/>
    <row r="8570" customFormat="1"/>
    <row r="8571" customFormat="1"/>
    <row r="8572" customFormat="1"/>
    <row r="8573" customFormat="1"/>
    <row r="8574" customFormat="1"/>
    <row r="8575" customFormat="1"/>
    <row r="8576" customFormat="1"/>
    <row r="8577" customFormat="1"/>
    <row r="8578" customFormat="1"/>
    <row r="8579" customFormat="1"/>
    <row r="8580" customFormat="1"/>
    <row r="8581" customFormat="1"/>
    <row r="8582" customFormat="1"/>
    <row r="8583" customFormat="1"/>
    <row r="8584" customFormat="1"/>
    <row r="8585" customFormat="1"/>
    <row r="8586" customFormat="1"/>
    <row r="8587" customFormat="1"/>
    <row r="8588" customFormat="1"/>
    <row r="8589" customFormat="1"/>
    <row r="8590" customFormat="1"/>
    <row r="8591" customFormat="1"/>
    <row r="8592" customFormat="1"/>
    <row r="8593" customFormat="1"/>
    <row r="8594" customFormat="1"/>
    <row r="8595" customFormat="1"/>
    <row r="8596" customFormat="1"/>
    <row r="8597" customFormat="1"/>
    <row r="8598" customFormat="1"/>
    <row r="8599" customFormat="1"/>
    <row r="8600" customFormat="1"/>
    <row r="8601" customFormat="1"/>
    <row r="8602" customFormat="1"/>
    <row r="8603" customFormat="1"/>
    <row r="8604" customFormat="1"/>
    <row r="8605" customFormat="1"/>
    <row r="8606" customFormat="1"/>
    <row r="8607" customFormat="1"/>
    <row r="8608" customFormat="1"/>
    <row r="8609" customFormat="1"/>
    <row r="8610" customFormat="1"/>
    <row r="8611" customFormat="1"/>
    <row r="8612" customFormat="1"/>
    <row r="8613" customFormat="1"/>
    <row r="8614" customFormat="1"/>
    <row r="8615" customFormat="1"/>
    <row r="8616" customFormat="1"/>
    <row r="8617" customFormat="1"/>
    <row r="8618" customFormat="1"/>
    <row r="8619" customFormat="1"/>
    <row r="8620" customFormat="1"/>
    <row r="8621" customFormat="1"/>
    <row r="8622" customFormat="1"/>
    <row r="8623" customFormat="1"/>
    <row r="8624" customFormat="1"/>
    <row r="8625" customFormat="1"/>
    <row r="8626" customFormat="1"/>
    <row r="8627" customFormat="1"/>
    <row r="8628" customFormat="1"/>
    <row r="8629" customFormat="1"/>
    <row r="8630" customFormat="1"/>
    <row r="8631" customFormat="1"/>
    <row r="8632" customFormat="1"/>
    <row r="8633" customFormat="1"/>
    <row r="8634" customFormat="1"/>
    <row r="8635" customFormat="1"/>
    <row r="8636" customFormat="1"/>
    <row r="8637" customFormat="1"/>
    <row r="8638" customFormat="1"/>
    <row r="8639" customFormat="1"/>
    <row r="8640" customFormat="1"/>
    <row r="8641" customFormat="1"/>
    <row r="8642" customFormat="1"/>
    <row r="8643" customFormat="1"/>
    <row r="8644" customFormat="1"/>
    <row r="8645" customFormat="1"/>
    <row r="8646" customFormat="1"/>
    <row r="8647" customFormat="1"/>
    <row r="8648" customFormat="1"/>
    <row r="8649" customFormat="1"/>
    <row r="8650" customFormat="1"/>
    <row r="8651" customFormat="1"/>
    <row r="8652" customFormat="1"/>
    <row r="8653" customFormat="1"/>
    <row r="8654" customFormat="1"/>
    <row r="8655" customFormat="1"/>
    <row r="8656" customFormat="1"/>
    <row r="8657" customFormat="1"/>
    <row r="8658" customFormat="1"/>
    <row r="8659" customFormat="1"/>
    <row r="8660" customFormat="1"/>
    <row r="8661" customFormat="1"/>
    <row r="8662" customFormat="1"/>
    <row r="8663" customFormat="1"/>
    <row r="8664" customFormat="1"/>
    <row r="8665" customFormat="1"/>
    <row r="8666" customFormat="1"/>
    <row r="8667" customFormat="1"/>
    <row r="8668" customFormat="1"/>
    <row r="8669" customFormat="1"/>
    <row r="8670" customFormat="1"/>
    <row r="8671" customFormat="1"/>
    <row r="8672" customFormat="1"/>
    <row r="8673" customFormat="1"/>
    <row r="8674" customFormat="1"/>
    <row r="8675" customFormat="1"/>
    <row r="8676" customFormat="1"/>
    <row r="8677" customFormat="1"/>
    <row r="8678" customFormat="1"/>
    <row r="8679" customFormat="1"/>
    <row r="8680" customFormat="1"/>
    <row r="8681" customFormat="1"/>
    <row r="8682" customFormat="1"/>
    <row r="8683" customFormat="1"/>
    <row r="8684" customFormat="1"/>
    <row r="8685" customFormat="1"/>
    <row r="8686" customFormat="1"/>
    <row r="8687" customFormat="1"/>
    <row r="8688" customFormat="1"/>
    <row r="8689" customFormat="1"/>
    <row r="8690" customFormat="1"/>
    <row r="8691" customFormat="1"/>
    <row r="8692" customFormat="1"/>
    <row r="8693" customFormat="1"/>
    <row r="8694" customFormat="1"/>
    <row r="8695" customFormat="1"/>
    <row r="8696" customFormat="1"/>
    <row r="8697" customFormat="1"/>
    <row r="8698" customFormat="1"/>
    <row r="8699" customFormat="1"/>
    <row r="8700" customFormat="1"/>
    <row r="8701" customFormat="1"/>
    <row r="8702" customFormat="1"/>
    <row r="8703" customFormat="1"/>
    <row r="8704" customFormat="1"/>
    <row r="8705" customFormat="1"/>
    <row r="8706" customFormat="1"/>
    <row r="8707" customFormat="1"/>
    <row r="8708" customFormat="1"/>
    <row r="8709" customFormat="1"/>
    <row r="8710" customFormat="1"/>
    <row r="8711" customFormat="1"/>
    <row r="8712" customFormat="1"/>
    <row r="8713" customFormat="1"/>
    <row r="8714" customFormat="1"/>
    <row r="8715" customFormat="1"/>
    <row r="8716" customFormat="1"/>
    <row r="8717" customFormat="1"/>
    <row r="8718" customFormat="1"/>
    <row r="8719" customFormat="1"/>
    <row r="8720" customFormat="1"/>
    <row r="8721" customFormat="1"/>
    <row r="8722" customFormat="1"/>
    <row r="8723" customFormat="1"/>
    <row r="8724" customFormat="1"/>
    <row r="8725" customFormat="1"/>
    <row r="8726" customFormat="1"/>
    <row r="8727" customFormat="1"/>
    <row r="8728" customFormat="1"/>
    <row r="8729" customFormat="1"/>
    <row r="8730" customFormat="1"/>
    <row r="8731" customFormat="1"/>
    <row r="8732" customFormat="1"/>
    <row r="8733" customFormat="1"/>
    <row r="8734" customFormat="1"/>
    <row r="8735" customFormat="1"/>
    <row r="8736" customFormat="1"/>
    <row r="8737" customFormat="1"/>
    <row r="8738" customFormat="1"/>
    <row r="8739" customFormat="1"/>
    <row r="8740" customFormat="1"/>
    <row r="8741" customFormat="1"/>
    <row r="8742" customFormat="1"/>
    <row r="8743" customFormat="1"/>
    <row r="8744" customFormat="1"/>
    <row r="8745" customFormat="1"/>
    <row r="8746" customFormat="1"/>
    <row r="8747" customFormat="1"/>
    <row r="8748" customFormat="1"/>
    <row r="8749" customFormat="1"/>
    <row r="8750" customFormat="1"/>
    <row r="8751" customFormat="1"/>
    <row r="8752" customFormat="1"/>
    <row r="8753" customFormat="1"/>
    <row r="8754" customFormat="1"/>
    <row r="8755" customFormat="1"/>
    <row r="8756" customFormat="1"/>
    <row r="8757" customFormat="1"/>
    <row r="8758" customFormat="1"/>
    <row r="8759" customFormat="1"/>
    <row r="8760" customFormat="1"/>
    <row r="8761" customFormat="1"/>
    <row r="8762" customFormat="1"/>
    <row r="8763" customFormat="1"/>
    <row r="8764" customFormat="1"/>
    <row r="8765" customFormat="1"/>
    <row r="8766" customFormat="1"/>
    <row r="8767" customFormat="1"/>
    <row r="8768" customFormat="1"/>
    <row r="8769" customFormat="1"/>
    <row r="8770" customFormat="1"/>
    <row r="8771" customFormat="1"/>
    <row r="8772" customFormat="1"/>
    <row r="8773" customFormat="1"/>
    <row r="8774" customFormat="1"/>
    <row r="8775" customFormat="1"/>
    <row r="8776" customFormat="1"/>
    <row r="8777" customFormat="1"/>
    <row r="8778" customFormat="1"/>
    <row r="8779" customFormat="1"/>
    <row r="8780" customFormat="1"/>
    <row r="8781" customFormat="1"/>
    <row r="8782" customFormat="1"/>
    <row r="8783" customFormat="1"/>
    <row r="8784" customFormat="1"/>
    <row r="8785" customFormat="1"/>
    <row r="8786" customFormat="1"/>
    <row r="8787" customFormat="1"/>
    <row r="8788" customFormat="1"/>
    <row r="8789" customFormat="1"/>
    <row r="8790" customFormat="1"/>
    <row r="8791" customFormat="1"/>
    <row r="8792" customFormat="1"/>
    <row r="8793" customFormat="1"/>
    <row r="8794" customFormat="1"/>
    <row r="8795" customFormat="1"/>
    <row r="8796" customFormat="1"/>
    <row r="8797" customFormat="1"/>
    <row r="8798" customFormat="1"/>
    <row r="8799" customFormat="1"/>
    <row r="8800" customFormat="1"/>
    <row r="8801" customFormat="1"/>
    <row r="8802" customFormat="1"/>
    <row r="8803" customFormat="1"/>
    <row r="8804" customFormat="1"/>
    <row r="8805" customFormat="1"/>
    <row r="8806" customFormat="1"/>
    <row r="8807" customFormat="1"/>
    <row r="8808" customFormat="1"/>
    <row r="8809" customFormat="1"/>
    <row r="8810" customFormat="1"/>
    <row r="8811" customFormat="1"/>
    <row r="8812" customFormat="1"/>
    <row r="8813" customFormat="1"/>
    <row r="8814" customFormat="1"/>
    <row r="8815" customFormat="1"/>
    <row r="8816" customFormat="1"/>
    <row r="8817" customFormat="1"/>
    <row r="8818" customFormat="1"/>
    <row r="8819" customFormat="1"/>
    <row r="8820" customFormat="1"/>
    <row r="8821" customFormat="1"/>
    <row r="8822" customFormat="1"/>
    <row r="8823" customFormat="1"/>
    <row r="8824" customFormat="1"/>
    <row r="8825" customFormat="1"/>
    <row r="8826" customFormat="1"/>
    <row r="8827" customFormat="1"/>
    <row r="8828" customFormat="1"/>
    <row r="8829" customFormat="1"/>
    <row r="8830" customFormat="1"/>
    <row r="8831" customFormat="1"/>
    <row r="8832" customFormat="1"/>
    <row r="8833" customFormat="1"/>
    <row r="8834" customFormat="1"/>
    <row r="8835" customFormat="1"/>
    <row r="8836" customFormat="1"/>
    <row r="8837" customFormat="1"/>
    <row r="8838" customFormat="1"/>
    <row r="8839" customFormat="1"/>
    <row r="8840" customFormat="1"/>
    <row r="8841" customFormat="1"/>
    <row r="8842" customFormat="1"/>
    <row r="8843" customFormat="1"/>
    <row r="8844" customFormat="1"/>
    <row r="8845" customFormat="1"/>
    <row r="8846" customFormat="1"/>
    <row r="8847" customFormat="1"/>
    <row r="8848" customFormat="1"/>
    <row r="8849" customFormat="1"/>
    <row r="8850" customFormat="1"/>
    <row r="8851" customFormat="1"/>
    <row r="8852" customFormat="1"/>
    <row r="8853" customFormat="1"/>
    <row r="8854" customFormat="1"/>
    <row r="8855" customFormat="1"/>
    <row r="8856" customFormat="1"/>
    <row r="8857" customFormat="1"/>
    <row r="8858" customFormat="1"/>
    <row r="8859" customFormat="1"/>
    <row r="8860" customFormat="1"/>
    <row r="8861" customFormat="1"/>
    <row r="8862" customFormat="1"/>
    <row r="8863" customFormat="1"/>
    <row r="8864" customFormat="1"/>
    <row r="8865" customFormat="1"/>
    <row r="8866" customFormat="1"/>
    <row r="8867" customFormat="1"/>
    <row r="8868" customFormat="1"/>
    <row r="8869" customFormat="1"/>
    <row r="8870" customFormat="1"/>
    <row r="8871" customFormat="1"/>
    <row r="8872" customFormat="1"/>
    <row r="8873" customFormat="1"/>
    <row r="8874" customFormat="1"/>
    <row r="8875" customFormat="1"/>
    <row r="8876" customFormat="1"/>
    <row r="8877" customFormat="1"/>
    <row r="8878" customFormat="1"/>
    <row r="8879" customFormat="1"/>
    <row r="8880" customFormat="1"/>
    <row r="8881" customFormat="1"/>
    <row r="8882" customFormat="1"/>
    <row r="8883" customFormat="1"/>
    <row r="8884" customFormat="1"/>
    <row r="8885" customFormat="1"/>
    <row r="8886" customFormat="1"/>
    <row r="8887" customFormat="1"/>
    <row r="8888" customFormat="1"/>
    <row r="8889" customFormat="1"/>
    <row r="8890" customFormat="1"/>
    <row r="8891" customFormat="1"/>
    <row r="8892" customFormat="1"/>
    <row r="8893" customFormat="1"/>
    <row r="8894" customFormat="1"/>
    <row r="8895" customFormat="1"/>
    <row r="8896" customFormat="1"/>
    <row r="8897" customFormat="1"/>
    <row r="8898" customFormat="1"/>
    <row r="8899" customFormat="1"/>
    <row r="8900" customFormat="1"/>
    <row r="8901" customFormat="1"/>
    <row r="8902" customFormat="1"/>
    <row r="8903" customFormat="1"/>
    <row r="8904" customFormat="1"/>
    <row r="8905" customFormat="1"/>
    <row r="8906" customFormat="1"/>
    <row r="8907" customFormat="1"/>
    <row r="8908" customFormat="1"/>
    <row r="8909" customFormat="1"/>
    <row r="8910" customFormat="1"/>
    <row r="8911" customFormat="1"/>
    <row r="8912" customFormat="1"/>
    <row r="8913" customFormat="1"/>
    <row r="8914" customFormat="1"/>
    <row r="8915" customFormat="1"/>
    <row r="8916" customFormat="1"/>
    <row r="8917" customFormat="1"/>
    <row r="8918" customFormat="1"/>
    <row r="8919" customFormat="1"/>
    <row r="8920" customFormat="1"/>
    <row r="8921" customFormat="1"/>
    <row r="8922" customFormat="1"/>
    <row r="8923" customFormat="1"/>
    <row r="8924" customFormat="1"/>
    <row r="8925" customFormat="1"/>
    <row r="8926" customFormat="1"/>
    <row r="8927" customFormat="1"/>
    <row r="8928" customFormat="1"/>
    <row r="8929" customFormat="1"/>
    <row r="8930" customFormat="1"/>
    <row r="8931" customFormat="1"/>
    <row r="8932" customFormat="1"/>
    <row r="8933" customFormat="1"/>
    <row r="8934" customFormat="1"/>
    <row r="8935" customFormat="1"/>
    <row r="8936" customFormat="1"/>
    <row r="8937" customFormat="1"/>
    <row r="8938" customFormat="1"/>
    <row r="8939" customFormat="1"/>
    <row r="8940" customFormat="1"/>
    <row r="8941" customFormat="1"/>
    <row r="8942" customFormat="1"/>
    <row r="8943" customFormat="1"/>
    <row r="8944" customFormat="1"/>
    <row r="8945" customFormat="1"/>
    <row r="8946" customFormat="1"/>
    <row r="8947" customFormat="1"/>
    <row r="8948" customFormat="1"/>
    <row r="8949" customFormat="1"/>
    <row r="8950" customFormat="1"/>
    <row r="8951" customFormat="1"/>
    <row r="8952" customFormat="1"/>
    <row r="8953" customFormat="1"/>
    <row r="8954" customFormat="1"/>
    <row r="8955" customFormat="1"/>
    <row r="8956" customFormat="1"/>
    <row r="8957" customFormat="1"/>
    <row r="8958" customFormat="1"/>
    <row r="8959" customFormat="1"/>
    <row r="8960" customFormat="1"/>
    <row r="8961" customFormat="1"/>
    <row r="8962" customFormat="1"/>
    <row r="8963" customFormat="1"/>
    <row r="8964" customFormat="1"/>
    <row r="8965" customFormat="1"/>
    <row r="8966" customFormat="1"/>
    <row r="8967" customFormat="1"/>
    <row r="8968" customFormat="1"/>
    <row r="8969" customFormat="1"/>
    <row r="8970" customFormat="1"/>
    <row r="8971" customFormat="1"/>
    <row r="8972" customFormat="1"/>
    <row r="8973" customFormat="1"/>
    <row r="8974" customFormat="1"/>
    <row r="8975" customFormat="1"/>
    <row r="8976" customFormat="1"/>
    <row r="8977" customFormat="1"/>
    <row r="8978" customFormat="1"/>
    <row r="8979" customFormat="1"/>
    <row r="8980" customFormat="1"/>
    <row r="8981" customFormat="1"/>
    <row r="8982" customFormat="1"/>
    <row r="8983" customFormat="1"/>
    <row r="8984" customFormat="1"/>
    <row r="8985" customFormat="1"/>
    <row r="8986" customFormat="1"/>
    <row r="8987" customFormat="1"/>
    <row r="8988" customFormat="1"/>
    <row r="8989" customFormat="1"/>
    <row r="8990" customFormat="1"/>
    <row r="8991" customFormat="1"/>
    <row r="8992" customFormat="1"/>
    <row r="8993" customFormat="1"/>
    <row r="8994" customFormat="1"/>
    <row r="8995" customFormat="1"/>
    <row r="8996" customFormat="1"/>
    <row r="8997" customFormat="1"/>
    <row r="8998" customFormat="1"/>
    <row r="8999" customFormat="1"/>
    <row r="9000" customFormat="1"/>
    <row r="9001" customFormat="1"/>
    <row r="9002" customFormat="1"/>
    <row r="9003" customFormat="1"/>
    <row r="9004" customFormat="1"/>
    <row r="9005" customFormat="1"/>
    <row r="9006" customFormat="1"/>
    <row r="9007" customFormat="1"/>
    <row r="9008" customFormat="1"/>
    <row r="9009" customFormat="1"/>
    <row r="9010" customFormat="1"/>
    <row r="9011" customFormat="1"/>
    <row r="9012" customFormat="1"/>
    <row r="9013" customFormat="1"/>
    <row r="9014" customFormat="1"/>
    <row r="9015" customFormat="1"/>
    <row r="9016" customFormat="1"/>
    <row r="9017" customFormat="1"/>
    <row r="9018" customFormat="1"/>
    <row r="9019" customFormat="1"/>
    <row r="9020" customFormat="1"/>
    <row r="9021" customFormat="1"/>
    <row r="9022" customFormat="1"/>
    <row r="9023" customFormat="1"/>
    <row r="9024" customFormat="1"/>
    <row r="9025" customFormat="1"/>
    <row r="9026" customFormat="1"/>
    <row r="9027" customFormat="1"/>
    <row r="9028" customFormat="1"/>
    <row r="9029" customFormat="1"/>
    <row r="9030" customFormat="1"/>
    <row r="9031" customFormat="1"/>
    <row r="9032" customFormat="1"/>
    <row r="9033" customFormat="1"/>
    <row r="9034" customFormat="1"/>
    <row r="9035" customFormat="1"/>
    <row r="9036" customFormat="1"/>
    <row r="9037" customFormat="1"/>
    <row r="9038" customFormat="1"/>
    <row r="9039" customFormat="1"/>
    <row r="9040" customFormat="1"/>
    <row r="9041" customFormat="1"/>
    <row r="9042" customFormat="1"/>
    <row r="9043" customFormat="1"/>
    <row r="9044" customFormat="1"/>
    <row r="9045" customFormat="1"/>
    <row r="9046" customFormat="1"/>
    <row r="9047" customFormat="1"/>
    <row r="9048" customFormat="1"/>
    <row r="9049" customFormat="1"/>
    <row r="9050" customFormat="1"/>
    <row r="9051" customFormat="1"/>
    <row r="9052" customFormat="1"/>
    <row r="9053" customFormat="1"/>
    <row r="9054" customFormat="1"/>
    <row r="9055" customFormat="1"/>
    <row r="9056" customFormat="1"/>
    <row r="9057" customFormat="1"/>
    <row r="9058" customFormat="1"/>
    <row r="9059" customFormat="1"/>
    <row r="9060" customFormat="1"/>
    <row r="9061" customFormat="1"/>
    <row r="9062" customFormat="1"/>
    <row r="9063" customFormat="1"/>
    <row r="9064" customFormat="1"/>
    <row r="9065" customFormat="1"/>
    <row r="9066" customFormat="1"/>
    <row r="9067" customFormat="1"/>
    <row r="9068" customFormat="1"/>
    <row r="9069" customFormat="1"/>
    <row r="9070" customFormat="1"/>
    <row r="9071" customFormat="1"/>
    <row r="9072" customFormat="1"/>
    <row r="9073" customFormat="1"/>
    <row r="9074" customFormat="1"/>
    <row r="9075" customFormat="1"/>
    <row r="9076" customFormat="1"/>
    <row r="9077" customFormat="1"/>
    <row r="9078" customFormat="1"/>
    <row r="9079" customFormat="1"/>
    <row r="9080" customFormat="1"/>
    <row r="9081" customFormat="1"/>
    <row r="9082" customFormat="1"/>
    <row r="9083" customFormat="1"/>
    <row r="9084" customFormat="1"/>
    <row r="9085" customFormat="1"/>
    <row r="9086" customFormat="1"/>
    <row r="9087" customFormat="1"/>
    <row r="9088" customFormat="1"/>
    <row r="9089" customFormat="1"/>
    <row r="9090" customFormat="1"/>
    <row r="9091" customFormat="1"/>
    <row r="9092" customFormat="1"/>
    <row r="9093" customFormat="1"/>
    <row r="9094" customFormat="1"/>
    <row r="9095" customFormat="1"/>
    <row r="9096" customFormat="1"/>
    <row r="9097" customFormat="1"/>
    <row r="9098" customFormat="1"/>
    <row r="9099" customFormat="1"/>
    <row r="9100" customFormat="1"/>
    <row r="9101" customFormat="1"/>
    <row r="9102" customFormat="1"/>
    <row r="9103" customFormat="1"/>
    <row r="9104" customFormat="1"/>
    <row r="9105" customFormat="1"/>
    <row r="9106" customFormat="1"/>
    <row r="9107" customFormat="1"/>
    <row r="9108" customFormat="1"/>
    <row r="9109" customFormat="1"/>
    <row r="9110" customFormat="1"/>
    <row r="9111" customFormat="1"/>
    <row r="9112" customFormat="1"/>
    <row r="9113" customFormat="1"/>
    <row r="9114" customFormat="1"/>
    <row r="9115" customFormat="1"/>
    <row r="9116" customFormat="1"/>
    <row r="9117" customFormat="1"/>
    <row r="9118" customFormat="1"/>
    <row r="9119" customFormat="1"/>
    <row r="9120" customFormat="1"/>
    <row r="9121" customFormat="1"/>
    <row r="9122" customFormat="1"/>
    <row r="9123" customFormat="1"/>
    <row r="9124" customFormat="1"/>
    <row r="9125" customFormat="1"/>
    <row r="9126" customFormat="1"/>
    <row r="9127" customFormat="1"/>
    <row r="9128" customFormat="1"/>
    <row r="9129" customFormat="1"/>
    <row r="9130" customFormat="1"/>
    <row r="9131" customFormat="1"/>
    <row r="9132" customFormat="1"/>
    <row r="9133" customFormat="1"/>
    <row r="9134" customFormat="1"/>
    <row r="9135" customFormat="1"/>
    <row r="9136" customFormat="1"/>
    <row r="9137" customFormat="1"/>
    <row r="9138" customFormat="1"/>
    <row r="9139" customFormat="1"/>
    <row r="9140" customFormat="1"/>
    <row r="9141" customFormat="1"/>
    <row r="9142" customFormat="1"/>
    <row r="9143" customFormat="1"/>
    <row r="9144" customFormat="1"/>
    <row r="9145" customFormat="1"/>
    <row r="9146" customFormat="1"/>
    <row r="9147" customFormat="1"/>
    <row r="9148" customFormat="1"/>
    <row r="9149" customFormat="1"/>
    <row r="9150" customFormat="1"/>
    <row r="9151" customFormat="1"/>
    <row r="9152" customFormat="1"/>
    <row r="9153" customFormat="1"/>
    <row r="9154" customFormat="1"/>
    <row r="9155" customFormat="1"/>
    <row r="9156" customFormat="1"/>
    <row r="9157" customFormat="1"/>
    <row r="9158" customFormat="1"/>
    <row r="9159" customFormat="1"/>
    <row r="9160" customFormat="1"/>
    <row r="9161" customFormat="1"/>
    <row r="9162" customFormat="1"/>
    <row r="9163" customFormat="1"/>
    <row r="9164" customFormat="1"/>
    <row r="9165" customFormat="1"/>
    <row r="9166" customFormat="1"/>
    <row r="9167" customFormat="1"/>
    <row r="9168" customFormat="1"/>
    <row r="9169" customFormat="1"/>
    <row r="9170" customFormat="1"/>
    <row r="9171" customFormat="1"/>
    <row r="9172" customFormat="1"/>
    <row r="9173" customFormat="1"/>
    <row r="9174" customFormat="1"/>
    <row r="9175" customFormat="1"/>
    <row r="9176" customFormat="1"/>
    <row r="9177" customFormat="1"/>
    <row r="9178" customFormat="1"/>
    <row r="9179" customFormat="1"/>
    <row r="9180" customFormat="1"/>
    <row r="9181" customFormat="1"/>
    <row r="9182" customFormat="1"/>
    <row r="9183" customFormat="1"/>
    <row r="9184" customFormat="1"/>
    <row r="9185" customFormat="1"/>
    <row r="9186" customFormat="1"/>
    <row r="9187" customFormat="1"/>
    <row r="9188" customFormat="1"/>
    <row r="9189" customFormat="1"/>
    <row r="9190" customFormat="1"/>
    <row r="9191" customFormat="1"/>
    <row r="9192" customFormat="1"/>
    <row r="9193" customFormat="1"/>
    <row r="9194" customFormat="1"/>
    <row r="9195" customFormat="1"/>
    <row r="9196" customFormat="1"/>
    <row r="9197" customFormat="1"/>
    <row r="9198" customFormat="1"/>
    <row r="9199" customFormat="1"/>
    <row r="9200" customFormat="1"/>
    <row r="9201" customFormat="1"/>
    <row r="9202" customFormat="1"/>
    <row r="9203" customFormat="1"/>
    <row r="9204" customFormat="1"/>
    <row r="9205" customFormat="1"/>
    <row r="9206" customFormat="1"/>
    <row r="9207" customFormat="1"/>
    <row r="9208" customFormat="1"/>
    <row r="9209" customFormat="1"/>
    <row r="9210" customFormat="1"/>
    <row r="9211" customFormat="1"/>
    <row r="9212" customFormat="1"/>
    <row r="9213" customFormat="1"/>
    <row r="9214" customFormat="1"/>
    <row r="9215" customFormat="1"/>
    <row r="9216" customFormat="1"/>
    <row r="9217" customFormat="1"/>
    <row r="9218" customFormat="1"/>
    <row r="9219" customFormat="1"/>
    <row r="9220" customFormat="1"/>
    <row r="9221" customFormat="1"/>
    <row r="9222" customFormat="1"/>
    <row r="9223" customFormat="1"/>
    <row r="9224" customFormat="1"/>
    <row r="9225" customFormat="1"/>
    <row r="9226" customFormat="1"/>
    <row r="9227" customFormat="1"/>
    <row r="9228" customFormat="1"/>
    <row r="9229" customFormat="1"/>
    <row r="9230" customFormat="1"/>
    <row r="9231" customFormat="1"/>
    <row r="9232" customFormat="1"/>
    <row r="9233" customFormat="1"/>
    <row r="9234" customFormat="1"/>
    <row r="9235" customFormat="1"/>
    <row r="9236" customFormat="1"/>
    <row r="9237" customFormat="1"/>
    <row r="9238" customFormat="1"/>
    <row r="9239" customFormat="1"/>
    <row r="9240" customFormat="1"/>
    <row r="9241" customFormat="1"/>
    <row r="9242" customFormat="1"/>
    <row r="9243" customFormat="1"/>
    <row r="9244" customFormat="1"/>
    <row r="9245" customFormat="1"/>
    <row r="9246" customFormat="1"/>
    <row r="9247" customFormat="1"/>
    <row r="9248" customFormat="1"/>
    <row r="9249" customFormat="1"/>
    <row r="9250" customFormat="1"/>
    <row r="9251" customFormat="1"/>
    <row r="9252" customFormat="1"/>
    <row r="9253" customFormat="1"/>
    <row r="9254" customFormat="1"/>
    <row r="9255" customFormat="1"/>
    <row r="9256" customFormat="1"/>
    <row r="9257" customFormat="1"/>
    <row r="9258" customFormat="1"/>
    <row r="9259" customFormat="1"/>
    <row r="9260" customFormat="1"/>
    <row r="9261" customFormat="1"/>
    <row r="9262" customFormat="1"/>
    <row r="9263" customFormat="1"/>
    <row r="9264" customFormat="1"/>
    <row r="9265" customFormat="1"/>
    <row r="9266" customFormat="1"/>
    <row r="9267" customFormat="1"/>
    <row r="9268" customFormat="1"/>
    <row r="9269" customFormat="1"/>
    <row r="9270" customFormat="1"/>
    <row r="9271" customFormat="1"/>
    <row r="9272" customFormat="1"/>
    <row r="9273" customFormat="1"/>
    <row r="9274" customFormat="1"/>
    <row r="9275" customFormat="1"/>
    <row r="9276" customFormat="1"/>
    <row r="9277" customFormat="1"/>
    <row r="9278" customFormat="1"/>
    <row r="9279" customFormat="1"/>
    <row r="9280" customFormat="1"/>
    <row r="9281" customFormat="1"/>
    <row r="9282" customFormat="1"/>
    <row r="9283" customFormat="1"/>
    <row r="9284" customFormat="1"/>
    <row r="9285" customFormat="1"/>
    <row r="9286" customFormat="1"/>
    <row r="9287" customFormat="1"/>
    <row r="9288" customFormat="1"/>
    <row r="9289" customFormat="1"/>
    <row r="9290" customFormat="1"/>
    <row r="9291" customFormat="1"/>
    <row r="9292" customFormat="1"/>
    <row r="9293" customFormat="1"/>
    <row r="9294" customFormat="1"/>
    <row r="9295" customFormat="1"/>
    <row r="9296" customFormat="1"/>
    <row r="9297" customFormat="1"/>
    <row r="9298" customFormat="1"/>
    <row r="9299" customFormat="1"/>
    <row r="9300" customFormat="1"/>
    <row r="9301" customFormat="1"/>
    <row r="9302" customFormat="1"/>
    <row r="9303" customFormat="1"/>
    <row r="9304" customFormat="1"/>
    <row r="9305" customFormat="1"/>
    <row r="9306" customFormat="1"/>
    <row r="9307" customFormat="1"/>
    <row r="9308" customFormat="1"/>
    <row r="9309" customFormat="1"/>
    <row r="9310" customFormat="1"/>
    <row r="9311" customFormat="1"/>
    <row r="9312" customFormat="1"/>
    <row r="9313" customFormat="1"/>
    <row r="9314" customFormat="1"/>
    <row r="9315" customFormat="1"/>
    <row r="9316" customFormat="1"/>
    <row r="9317" customFormat="1"/>
    <row r="9318" customFormat="1"/>
    <row r="9319" customFormat="1"/>
    <row r="9320" customFormat="1"/>
    <row r="9321" customFormat="1"/>
    <row r="9322" customFormat="1"/>
    <row r="9323" customFormat="1"/>
    <row r="9324" customFormat="1"/>
    <row r="9325" customFormat="1"/>
    <row r="9326" customFormat="1"/>
    <row r="9327" customFormat="1"/>
    <row r="9328" customFormat="1"/>
    <row r="9329" customFormat="1"/>
    <row r="9330" customFormat="1"/>
    <row r="9331" customFormat="1"/>
    <row r="9332" customFormat="1"/>
    <row r="9333" customFormat="1"/>
    <row r="9334" customFormat="1"/>
    <row r="9335" customFormat="1"/>
    <row r="9336" customFormat="1"/>
    <row r="9337" customFormat="1"/>
    <row r="9338" customFormat="1"/>
    <row r="9339" customFormat="1"/>
    <row r="9340" customFormat="1"/>
    <row r="9341" customFormat="1"/>
    <row r="9342" customFormat="1"/>
    <row r="9343" customFormat="1"/>
    <row r="9344" customFormat="1"/>
    <row r="9345" customFormat="1"/>
    <row r="9346" customFormat="1"/>
    <row r="9347" customFormat="1"/>
    <row r="9348" customFormat="1"/>
    <row r="9349" customFormat="1"/>
    <row r="9350" customFormat="1"/>
    <row r="9351" customFormat="1"/>
    <row r="9352" customFormat="1"/>
    <row r="9353" customFormat="1"/>
    <row r="9354" customFormat="1"/>
    <row r="9355" customFormat="1"/>
    <row r="9356" customFormat="1"/>
    <row r="9357" customFormat="1"/>
    <row r="9358" customFormat="1"/>
    <row r="9359" customFormat="1"/>
    <row r="9360" customFormat="1"/>
    <row r="9361" customFormat="1"/>
    <row r="9362" customFormat="1"/>
    <row r="9363" customFormat="1"/>
    <row r="9364" customFormat="1"/>
    <row r="9365" customFormat="1"/>
    <row r="9366" customFormat="1"/>
    <row r="9367" customFormat="1"/>
    <row r="9368" customFormat="1"/>
    <row r="9369" customFormat="1"/>
    <row r="9370" customFormat="1"/>
    <row r="9371" customFormat="1"/>
    <row r="9372" customFormat="1"/>
    <row r="9373" customFormat="1"/>
    <row r="9374" customFormat="1"/>
    <row r="9375" customFormat="1"/>
    <row r="9376" customFormat="1"/>
    <row r="9377" customFormat="1"/>
    <row r="9378" customFormat="1"/>
    <row r="9379" customFormat="1"/>
    <row r="9380" customFormat="1"/>
    <row r="9381" customFormat="1"/>
    <row r="9382" customFormat="1"/>
    <row r="9383" customFormat="1"/>
    <row r="9384" customFormat="1"/>
    <row r="9385" customFormat="1"/>
    <row r="9386" customFormat="1"/>
    <row r="9387" customFormat="1"/>
    <row r="9388" customFormat="1"/>
    <row r="9389" customFormat="1"/>
    <row r="9390" customFormat="1"/>
    <row r="9391" customFormat="1"/>
    <row r="9392" customFormat="1"/>
    <row r="9393" customFormat="1"/>
    <row r="9394" customFormat="1"/>
    <row r="9395" customFormat="1"/>
    <row r="9396" customFormat="1"/>
    <row r="9397" customFormat="1"/>
    <row r="9398" customFormat="1"/>
    <row r="9399" customFormat="1"/>
    <row r="9400" customFormat="1"/>
    <row r="9401" customFormat="1"/>
    <row r="9402" customFormat="1"/>
    <row r="9403" customFormat="1"/>
    <row r="9404" customFormat="1"/>
    <row r="9405" customFormat="1"/>
    <row r="9406" customFormat="1"/>
    <row r="9407" customFormat="1"/>
    <row r="9408" customFormat="1"/>
    <row r="9409" customFormat="1"/>
    <row r="9410" customFormat="1"/>
    <row r="9411" customFormat="1"/>
    <row r="9412" customFormat="1"/>
    <row r="9413" customFormat="1"/>
    <row r="9414" customFormat="1"/>
    <row r="9415" customFormat="1"/>
    <row r="9416" customFormat="1"/>
    <row r="9417" customFormat="1"/>
    <row r="9418" customFormat="1"/>
    <row r="9419" customFormat="1"/>
    <row r="9420" customFormat="1"/>
    <row r="9421" customFormat="1"/>
    <row r="9422" customFormat="1"/>
    <row r="9423" customFormat="1"/>
    <row r="9424" customFormat="1"/>
    <row r="9425" customFormat="1"/>
    <row r="9426" customFormat="1"/>
    <row r="9427" customFormat="1"/>
    <row r="9428" customFormat="1"/>
    <row r="9429" customFormat="1"/>
    <row r="9430" customFormat="1"/>
    <row r="9431" customFormat="1"/>
    <row r="9432" customFormat="1"/>
    <row r="9433" customFormat="1"/>
    <row r="9434" customFormat="1"/>
    <row r="9435" customFormat="1"/>
    <row r="9436" customFormat="1"/>
    <row r="9437" customFormat="1"/>
    <row r="9438" customFormat="1"/>
    <row r="9439" customFormat="1"/>
    <row r="9440" customFormat="1"/>
    <row r="9441" customFormat="1"/>
    <row r="9442" customFormat="1"/>
    <row r="9443" customFormat="1"/>
    <row r="9444" customFormat="1"/>
    <row r="9445" customFormat="1"/>
    <row r="9446" customFormat="1"/>
    <row r="9447" customFormat="1"/>
    <row r="9448" customFormat="1"/>
    <row r="9449" customFormat="1"/>
    <row r="9450" customFormat="1"/>
    <row r="9451" customFormat="1"/>
    <row r="9452" customFormat="1"/>
    <row r="9453" customFormat="1"/>
    <row r="9454" customFormat="1"/>
    <row r="9455" customFormat="1"/>
    <row r="9456" customFormat="1"/>
    <row r="9457" customFormat="1"/>
    <row r="9458" customFormat="1"/>
    <row r="9459" customFormat="1"/>
    <row r="9460" customFormat="1"/>
    <row r="9461" customFormat="1"/>
    <row r="9462" customFormat="1"/>
    <row r="9463" customFormat="1"/>
    <row r="9464" customFormat="1"/>
    <row r="9465" customFormat="1"/>
    <row r="9466" customFormat="1"/>
    <row r="9467" customFormat="1"/>
    <row r="9468" customFormat="1"/>
    <row r="9469" customFormat="1"/>
    <row r="9470" customFormat="1"/>
    <row r="9471" customFormat="1"/>
    <row r="9472" customFormat="1"/>
    <row r="9473" customFormat="1"/>
    <row r="9474" customFormat="1"/>
    <row r="9475" customFormat="1"/>
    <row r="9476" customFormat="1"/>
    <row r="9477" customFormat="1"/>
    <row r="9478" customFormat="1"/>
    <row r="9479" customFormat="1"/>
    <row r="9480" customFormat="1"/>
    <row r="9481" customFormat="1"/>
    <row r="9482" customFormat="1"/>
    <row r="9483" customFormat="1"/>
    <row r="9484" customFormat="1"/>
    <row r="9485" customFormat="1"/>
    <row r="9486" customFormat="1"/>
    <row r="9487" customFormat="1"/>
    <row r="9488" customFormat="1"/>
    <row r="9489" customFormat="1"/>
    <row r="9490" customFormat="1"/>
    <row r="9491" customFormat="1"/>
    <row r="9492" customFormat="1"/>
    <row r="9493" customFormat="1"/>
    <row r="9494" customFormat="1"/>
    <row r="9495" customFormat="1"/>
    <row r="9496" customFormat="1"/>
    <row r="9497" customFormat="1"/>
    <row r="9498" customFormat="1"/>
    <row r="9499" customFormat="1"/>
    <row r="9500" customFormat="1"/>
    <row r="9501" customFormat="1"/>
    <row r="9502" customFormat="1"/>
    <row r="9503" customFormat="1"/>
    <row r="9504" customFormat="1"/>
    <row r="9505" customFormat="1"/>
    <row r="9506" customFormat="1"/>
    <row r="9507" customFormat="1"/>
    <row r="9508" customFormat="1"/>
    <row r="9509" customFormat="1"/>
    <row r="9510" customFormat="1"/>
    <row r="9511" customFormat="1"/>
    <row r="9512" customFormat="1"/>
    <row r="9513" customFormat="1"/>
    <row r="9514" customFormat="1"/>
    <row r="9515" customFormat="1"/>
    <row r="9516" customFormat="1"/>
    <row r="9517" customFormat="1"/>
    <row r="9518" customFormat="1"/>
    <row r="9519" customFormat="1"/>
    <row r="9520" customFormat="1"/>
    <row r="9521" customFormat="1"/>
    <row r="9522" customFormat="1"/>
    <row r="9523" customFormat="1"/>
    <row r="9524" customFormat="1"/>
    <row r="9525" customFormat="1"/>
    <row r="9526" customFormat="1"/>
    <row r="9527" customFormat="1"/>
    <row r="9528" customFormat="1"/>
    <row r="9529" customFormat="1"/>
    <row r="9530" customFormat="1"/>
    <row r="9531" customFormat="1"/>
    <row r="9532" customFormat="1"/>
    <row r="9533" customFormat="1"/>
    <row r="9534" customFormat="1"/>
    <row r="9535" customFormat="1"/>
    <row r="9536" customFormat="1"/>
    <row r="9537" customFormat="1"/>
    <row r="9538" customFormat="1"/>
    <row r="9539" customFormat="1"/>
    <row r="9540" customFormat="1"/>
    <row r="9541" customFormat="1"/>
    <row r="9542" customFormat="1"/>
    <row r="9543" customFormat="1"/>
    <row r="9544" customFormat="1"/>
    <row r="9545" customFormat="1"/>
    <row r="9546" customFormat="1"/>
    <row r="9547" customFormat="1"/>
    <row r="9548" customFormat="1"/>
    <row r="9549" customFormat="1"/>
    <row r="9550" customFormat="1"/>
    <row r="9551" customFormat="1"/>
    <row r="9552" customFormat="1"/>
    <row r="9553" customFormat="1"/>
    <row r="9554" customFormat="1"/>
    <row r="9555" customFormat="1"/>
    <row r="9556" customFormat="1"/>
    <row r="9557" customFormat="1"/>
    <row r="9558" customFormat="1"/>
    <row r="9559" customFormat="1"/>
    <row r="9560" customFormat="1"/>
    <row r="9561" customFormat="1"/>
    <row r="9562" customFormat="1"/>
    <row r="9563" customFormat="1"/>
    <row r="9564" customFormat="1"/>
    <row r="9565" customFormat="1"/>
    <row r="9566" customFormat="1"/>
    <row r="9567" customFormat="1"/>
    <row r="9568" customFormat="1"/>
    <row r="9569" customFormat="1"/>
    <row r="9570" customFormat="1"/>
    <row r="9571" customFormat="1"/>
    <row r="9572" customFormat="1"/>
    <row r="9573" customFormat="1"/>
    <row r="9574" customFormat="1"/>
    <row r="9575" customFormat="1"/>
    <row r="9576" customFormat="1"/>
    <row r="9577" customFormat="1"/>
    <row r="9578" customFormat="1"/>
    <row r="9579" customFormat="1"/>
    <row r="9580" customFormat="1"/>
    <row r="9581" customFormat="1"/>
    <row r="9582" customFormat="1"/>
    <row r="9583" customFormat="1"/>
    <row r="9584" customFormat="1"/>
    <row r="9585" customFormat="1"/>
    <row r="9586" customFormat="1"/>
    <row r="9587" customFormat="1"/>
    <row r="9588" customFormat="1"/>
    <row r="9589" customFormat="1"/>
    <row r="9590" customFormat="1"/>
    <row r="9591" customFormat="1"/>
    <row r="9592" customFormat="1"/>
    <row r="9593" customFormat="1"/>
    <row r="9594" customFormat="1"/>
    <row r="9595" customFormat="1"/>
    <row r="9596" customFormat="1"/>
    <row r="9597" customFormat="1"/>
    <row r="9598" customFormat="1"/>
    <row r="9599" customFormat="1"/>
    <row r="9600" customFormat="1"/>
    <row r="9601" customFormat="1"/>
    <row r="9602" customFormat="1"/>
    <row r="9603" customFormat="1"/>
    <row r="9604" customFormat="1"/>
    <row r="9605" customFormat="1"/>
    <row r="9606" customFormat="1"/>
    <row r="9607" customFormat="1"/>
    <row r="9608" customFormat="1"/>
    <row r="9609" customFormat="1"/>
    <row r="9610" customFormat="1"/>
    <row r="9611" customFormat="1"/>
    <row r="9612" customFormat="1"/>
    <row r="9613" customFormat="1"/>
    <row r="9614" customFormat="1"/>
    <row r="9615" customFormat="1"/>
    <row r="9616" customFormat="1"/>
    <row r="9617" customFormat="1"/>
    <row r="9618" customFormat="1"/>
    <row r="9619" customFormat="1"/>
    <row r="9620" customFormat="1"/>
    <row r="9621" customFormat="1"/>
    <row r="9622" customFormat="1"/>
    <row r="9623" customFormat="1"/>
    <row r="9624" customFormat="1"/>
    <row r="9625" customFormat="1"/>
    <row r="9626" customFormat="1"/>
    <row r="9627" customFormat="1"/>
    <row r="9628" customFormat="1"/>
    <row r="9629" customFormat="1"/>
    <row r="9630" customFormat="1"/>
    <row r="9631" customFormat="1"/>
    <row r="9632" customFormat="1"/>
    <row r="9633" customFormat="1"/>
    <row r="9634" customFormat="1"/>
    <row r="9635" customFormat="1"/>
    <row r="9636" customFormat="1"/>
    <row r="9637" customFormat="1"/>
    <row r="9638" customFormat="1"/>
    <row r="9639" customFormat="1"/>
    <row r="9640" customFormat="1"/>
    <row r="9641" customFormat="1"/>
    <row r="9642" customFormat="1"/>
    <row r="9643" customFormat="1"/>
    <row r="9644" customFormat="1"/>
    <row r="9645" customFormat="1"/>
    <row r="9646" customFormat="1"/>
    <row r="9647" customFormat="1"/>
    <row r="9648" customFormat="1"/>
    <row r="9649" customFormat="1"/>
    <row r="9650" customFormat="1"/>
    <row r="9651" customFormat="1"/>
    <row r="9652" customFormat="1"/>
    <row r="9653" customFormat="1"/>
    <row r="9654" customFormat="1"/>
    <row r="9655" customFormat="1"/>
    <row r="9656" customFormat="1"/>
    <row r="9657" customFormat="1"/>
    <row r="9658" customFormat="1"/>
    <row r="9659" customFormat="1"/>
    <row r="9660" customFormat="1"/>
    <row r="9661" customFormat="1"/>
    <row r="9662" customFormat="1"/>
    <row r="9663" customFormat="1"/>
    <row r="9664" customFormat="1"/>
    <row r="9665" customFormat="1"/>
    <row r="9666" customFormat="1"/>
    <row r="9667" customFormat="1"/>
    <row r="9668" customFormat="1"/>
    <row r="9669" customFormat="1"/>
    <row r="9670" customFormat="1"/>
    <row r="9671" customFormat="1"/>
    <row r="9672" customFormat="1"/>
    <row r="9673" customFormat="1"/>
    <row r="9674" customFormat="1"/>
    <row r="9675" customFormat="1"/>
    <row r="9676" customFormat="1"/>
    <row r="9677" customFormat="1"/>
    <row r="9678" customFormat="1"/>
    <row r="9679" customFormat="1"/>
    <row r="9680" customFormat="1"/>
    <row r="9681" customFormat="1"/>
    <row r="9682" customFormat="1"/>
    <row r="9683" customFormat="1"/>
    <row r="9684" customFormat="1"/>
    <row r="9685" customFormat="1"/>
    <row r="9686" customFormat="1"/>
    <row r="9687" customFormat="1"/>
    <row r="9688" customFormat="1"/>
    <row r="9689" customFormat="1"/>
    <row r="9690" customFormat="1"/>
    <row r="9691" customFormat="1"/>
    <row r="9692" customFormat="1"/>
    <row r="9693" customFormat="1"/>
    <row r="9694" customFormat="1"/>
    <row r="9695" customFormat="1"/>
    <row r="9696" customFormat="1"/>
    <row r="9697" customFormat="1"/>
    <row r="9698" customFormat="1"/>
    <row r="9699" customFormat="1"/>
    <row r="9700" customFormat="1"/>
    <row r="9701" customFormat="1"/>
    <row r="9702" customFormat="1"/>
    <row r="9703" customFormat="1"/>
    <row r="9704" customFormat="1"/>
    <row r="9705" customFormat="1"/>
    <row r="9706" customFormat="1"/>
    <row r="9707" customFormat="1"/>
    <row r="9708" customFormat="1"/>
    <row r="9709" customFormat="1"/>
    <row r="9710" customFormat="1"/>
    <row r="9711" customFormat="1"/>
    <row r="9712" customFormat="1"/>
    <row r="9713" customFormat="1"/>
    <row r="9714" customFormat="1"/>
    <row r="9715" customFormat="1"/>
    <row r="9716" customFormat="1"/>
    <row r="9717" customFormat="1"/>
    <row r="9718" customFormat="1"/>
    <row r="9719" customFormat="1"/>
    <row r="9720" customFormat="1"/>
    <row r="9721" customFormat="1"/>
    <row r="9722" customFormat="1"/>
    <row r="9723" customFormat="1"/>
    <row r="9724" customFormat="1"/>
    <row r="9725" customFormat="1"/>
    <row r="9726" customFormat="1"/>
    <row r="9727" customFormat="1"/>
    <row r="9728" customFormat="1"/>
    <row r="9729" customFormat="1"/>
    <row r="9730" customFormat="1"/>
    <row r="9731" customFormat="1"/>
    <row r="9732" customFormat="1"/>
    <row r="9733" customFormat="1"/>
    <row r="9734" customFormat="1"/>
    <row r="9735" customFormat="1"/>
    <row r="9736" customFormat="1"/>
    <row r="9737" customFormat="1"/>
    <row r="9738" customFormat="1"/>
    <row r="9739" customFormat="1"/>
    <row r="9740" customFormat="1"/>
    <row r="9741" customFormat="1"/>
    <row r="9742" customFormat="1"/>
    <row r="9743" customFormat="1"/>
    <row r="9744" customFormat="1"/>
    <row r="9745" customFormat="1"/>
    <row r="9746" customFormat="1"/>
    <row r="9747" customFormat="1"/>
    <row r="9748" customFormat="1"/>
    <row r="9749" customFormat="1"/>
    <row r="9750" customFormat="1"/>
    <row r="9751" customFormat="1"/>
    <row r="9752" customFormat="1"/>
    <row r="9753" customFormat="1"/>
    <row r="9754" customFormat="1"/>
    <row r="9755" customFormat="1"/>
    <row r="9756" customFormat="1"/>
    <row r="9757" customFormat="1"/>
    <row r="9758" customFormat="1"/>
    <row r="9759" customFormat="1"/>
    <row r="9760" customFormat="1"/>
    <row r="9761" customFormat="1"/>
    <row r="9762" customFormat="1"/>
    <row r="9763" customFormat="1"/>
    <row r="9764" customFormat="1"/>
    <row r="9765" customFormat="1"/>
    <row r="9766" customFormat="1"/>
    <row r="9767" customFormat="1"/>
    <row r="9768" customFormat="1"/>
    <row r="9769" customFormat="1"/>
    <row r="9770" customFormat="1"/>
    <row r="9771" customFormat="1"/>
    <row r="9772" customFormat="1"/>
    <row r="9773" customFormat="1"/>
    <row r="9774" customFormat="1"/>
    <row r="9775" customFormat="1"/>
    <row r="9776" customFormat="1"/>
    <row r="9777" customFormat="1"/>
    <row r="9778" customFormat="1"/>
    <row r="9779" customFormat="1"/>
    <row r="9780" customFormat="1"/>
    <row r="9781" customFormat="1"/>
    <row r="9782" customFormat="1"/>
    <row r="9783" customFormat="1"/>
    <row r="9784" customFormat="1"/>
    <row r="9785" customFormat="1"/>
    <row r="9786" customFormat="1"/>
    <row r="9787" customFormat="1"/>
    <row r="9788" customFormat="1"/>
    <row r="9789" customFormat="1"/>
    <row r="9790" customFormat="1"/>
    <row r="9791" customFormat="1"/>
    <row r="9792" customFormat="1"/>
    <row r="9793" customFormat="1"/>
    <row r="9794" customFormat="1"/>
    <row r="9795" customFormat="1"/>
    <row r="9796" customFormat="1"/>
    <row r="9797" customFormat="1"/>
    <row r="9798" customFormat="1"/>
    <row r="9799" customFormat="1"/>
    <row r="9800" customFormat="1"/>
    <row r="9801" customFormat="1"/>
    <row r="9802" customFormat="1"/>
    <row r="9803" customFormat="1"/>
    <row r="9804" customFormat="1"/>
    <row r="9805" customFormat="1"/>
    <row r="9806" customFormat="1"/>
    <row r="9807" customFormat="1"/>
    <row r="9808" customFormat="1"/>
    <row r="9809" customFormat="1"/>
    <row r="9810" customFormat="1"/>
    <row r="9811" customFormat="1"/>
    <row r="9812" customFormat="1"/>
    <row r="9813" customFormat="1"/>
    <row r="9814" customFormat="1"/>
    <row r="9815" customFormat="1"/>
    <row r="9816" customFormat="1"/>
    <row r="9817" customFormat="1"/>
    <row r="9818" customFormat="1"/>
    <row r="9819" customFormat="1"/>
    <row r="9820" customFormat="1"/>
    <row r="9821" customFormat="1"/>
    <row r="9822" customFormat="1"/>
    <row r="9823" customFormat="1"/>
    <row r="9824" customFormat="1"/>
    <row r="9825" customFormat="1"/>
    <row r="9826" customFormat="1"/>
    <row r="9827" customFormat="1"/>
    <row r="9828" customFormat="1"/>
    <row r="9829" customFormat="1"/>
    <row r="9830" customFormat="1"/>
    <row r="9831" customFormat="1"/>
    <row r="9832" customFormat="1"/>
    <row r="9833" customFormat="1"/>
    <row r="9834" customFormat="1"/>
    <row r="9835" customFormat="1"/>
    <row r="9836" customFormat="1"/>
    <row r="9837" customFormat="1"/>
    <row r="9838" customFormat="1"/>
    <row r="9839" customFormat="1"/>
    <row r="9840" customFormat="1"/>
    <row r="9841" customFormat="1"/>
    <row r="9842" customFormat="1"/>
    <row r="9843" customFormat="1"/>
    <row r="9844" customFormat="1"/>
    <row r="9845" customFormat="1"/>
    <row r="9846" customFormat="1"/>
    <row r="9847" customFormat="1"/>
    <row r="9848" customFormat="1"/>
    <row r="9849" customFormat="1"/>
    <row r="9850" customFormat="1"/>
    <row r="9851" customFormat="1"/>
    <row r="9852" customFormat="1"/>
    <row r="9853" customFormat="1"/>
    <row r="9854" customFormat="1"/>
    <row r="9855" customFormat="1"/>
    <row r="9856" customFormat="1"/>
    <row r="9857" customFormat="1"/>
    <row r="9858" customFormat="1"/>
    <row r="9859" customFormat="1"/>
    <row r="9860" customFormat="1"/>
    <row r="9861" customFormat="1"/>
    <row r="9862" customFormat="1"/>
    <row r="9863" customFormat="1"/>
    <row r="9864" customFormat="1"/>
    <row r="9865" customFormat="1"/>
    <row r="9866" customFormat="1"/>
    <row r="9867" customFormat="1"/>
    <row r="9868" customFormat="1"/>
    <row r="9869" customFormat="1"/>
    <row r="9870" customFormat="1"/>
    <row r="9871" customFormat="1"/>
    <row r="9872" customFormat="1"/>
    <row r="9873" customFormat="1"/>
    <row r="9874" customFormat="1"/>
    <row r="9875" customFormat="1"/>
    <row r="9876" customFormat="1"/>
    <row r="9877" customFormat="1"/>
    <row r="9878" customFormat="1"/>
    <row r="9879" customFormat="1"/>
    <row r="9880" customFormat="1"/>
    <row r="9881" customFormat="1"/>
    <row r="9882" customFormat="1"/>
    <row r="9883" customFormat="1"/>
    <row r="9884" customFormat="1"/>
    <row r="9885" customFormat="1"/>
    <row r="9886" customFormat="1"/>
    <row r="9887" customFormat="1"/>
    <row r="9888" customFormat="1"/>
    <row r="9889" customFormat="1"/>
    <row r="9890" customFormat="1"/>
    <row r="9891" customFormat="1"/>
    <row r="9892" customFormat="1"/>
    <row r="9893" customFormat="1"/>
    <row r="9894" customFormat="1"/>
    <row r="9895" customFormat="1"/>
    <row r="9896" customFormat="1"/>
    <row r="9897" customFormat="1"/>
    <row r="9898" customFormat="1"/>
    <row r="9899" customFormat="1"/>
    <row r="9900" customFormat="1"/>
    <row r="9901" customFormat="1"/>
    <row r="9902" customFormat="1"/>
    <row r="9903" customFormat="1"/>
    <row r="9904" customFormat="1"/>
    <row r="9905" customFormat="1"/>
    <row r="9906" customFormat="1"/>
    <row r="9907" customFormat="1"/>
    <row r="9908" customFormat="1"/>
    <row r="9909" customFormat="1"/>
    <row r="9910" customFormat="1"/>
    <row r="9911" customFormat="1"/>
    <row r="9912" customFormat="1"/>
    <row r="9913" customFormat="1"/>
    <row r="9914" customFormat="1"/>
    <row r="9915" customFormat="1"/>
    <row r="9916" customFormat="1"/>
    <row r="9917" customFormat="1"/>
    <row r="9918" customFormat="1"/>
    <row r="9919" customFormat="1"/>
    <row r="9920" customFormat="1"/>
    <row r="9921" customFormat="1"/>
    <row r="9922" customFormat="1"/>
    <row r="9923" customFormat="1"/>
    <row r="9924" customFormat="1"/>
    <row r="9925" customFormat="1"/>
    <row r="9926" customFormat="1"/>
    <row r="9927" customFormat="1"/>
    <row r="9928" customFormat="1"/>
    <row r="9929" customFormat="1"/>
    <row r="9930" customFormat="1"/>
    <row r="9931" customFormat="1"/>
    <row r="9932" customFormat="1"/>
    <row r="9933" customFormat="1"/>
    <row r="9934" customFormat="1"/>
    <row r="9935" customFormat="1"/>
    <row r="9936" customFormat="1"/>
    <row r="9937" customFormat="1"/>
    <row r="9938" customFormat="1"/>
    <row r="9939" customFormat="1"/>
    <row r="9940" customFormat="1"/>
    <row r="9941" customFormat="1"/>
    <row r="9942" customFormat="1"/>
    <row r="9943" customFormat="1"/>
    <row r="9944" customFormat="1"/>
    <row r="9945" customFormat="1"/>
    <row r="9946" customFormat="1"/>
    <row r="9947" customFormat="1"/>
    <row r="9948" customFormat="1"/>
    <row r="9949" customFormat="1"/>
    <row r="9950" customFormat="1"/>
    <row r="9951" customFormat="1"/>
    <row r="9952" customFormat="1"/>
    <row r="9953" customFormat="1"/>
    <row r="9954" customFormat="1"/>
    <row r="9955" customFormat="1"/>
    <row r="9956" customFormat="1"/>
    <row r="9957" customFormat="1"/>
    <row r="9958" customFormat="1"/>
    <row r="9959" customFormat="1"/>
    <row r="9960" customFormat="1"/>
    <row r="9961" customFormat="1"/>
    <row r="9962" customFormat="1"/>
    <row r="9963" customFormat="1"/>
    <row r="9964" customFormat="1"/>
    <row r="9965" customFormat="1"/>
    <row r="9966" customFormat="1"/>
    <row r="9967" customFormat="1"/>
    <row r="9968" customFormat="1"/>
    <row r="9969" customFormat="1"/>
    <row r="9970" customFormat="1"/>
    <row r="9971" customFormat="1"/>
    <row r="9972" customFormat="1"/>
    <row r="9973" customFormat="1"/>
    <row r="9974" customFormat="1"/>
    <row r="9975" customFormat="1"/>
    <row r="9976" customFormat="1"/>
    <row r="9977" customFormat="1"/>
    <row r="9978" customFormat="1"/>
    <row r="9979" customFormat="1"/>
    <row r="9980" customFormat="1"/>
    <row r="9981" customFormat="1"/>
    <row r="9982" customFormat="1"/>
    <row r="9983" customFormat="1"/>
    <row r="9984" customFormat="1"/>
    <row r="9985" customFormat="1"/>
    <row r="9986" customFormat="1"/>
    <row r="9987" customFormat="1"/>
    <row r="9988" customFormat="1"/>
    <row r="9989" customFormat="1"/>
    <row r="9990" customFormat="1"/>
    <row r="9991" customFormat="1"/>
    <row r="9992" customFormat="1"/>
    <row r="9993" customFormat="1"/>
    <row r="9994" customFormat="1"/>
    <row r="9995" customFormat="1"/>
    <row r="9996" customFormat="1"/>
    <row r="9997" customFormat="1"/>
    <row r="9998" customFormat="1"/>
    <row r="9999" customFormat="1"/>
    <row r="10000" customFormat="1"/>
    <row r="10001" customFormat="1"/>
    <row r="10002" customFormat="1"/>
    <row r="10003" customFormat="1"/>
    <row r="10004" customFormat="1"/>
    <row r="10005" customFormat="1"/>
    <row r="10006" customFormat="1"/>
    <row r="10007" customFormat="1"/>
    <row r="10008" customFormat="1"/>
    <row r="10009" customFormat="1"/>
    <row r="10010" customFormat="1"/>
    <row r="10011" customFormat="1"/>
    <row r="10012" customFormat="1"/>
    <row r="10013" customFormat="1"/>
    <row r="10014" customFormat="1"/>
    <row r="10015" customFormat="1"/>
    <row r="10016" customFormat="1"/>
    <row r="10017" customFormat="1"/>
    <row r="10018" customFormat="1"/>
    <row r="10019" customFormat="1"/>
    <row r="10020" customFormat="1"/>
    <row r="10021" customFormat="1"/>
    <row r="10022" customFormat="1"/>
    <row r="10023" customFormat="1"/>
    <row r="10024" customFormat="1"/>
    <row r="10025" customFormat="1"/>
    <row r="10026" customFormat="1"/>
    <row r="10027" customFormat="1"/>
    <row r="10028" customFormat="1"/>
    <row r="10029" customFormat="1"/>
    <row r="10030" customFormat="1"/>
    <row r="10031" customFormat="1"/>
    <row r="10032" customFormat="1"/>
    <row r="10033" customFormat="1"/>
    <row r="10034" customFormat="1"/>
    <row r="10035" customFormat="1"/>
    <row r="10036" customFormat="1"/>
    <row r="10037" customFormat="1"/>
    <row r="10038" customFormat="1"/>
    <row r="10039" customFormat="1"/>
    <row r="10040" customFormat="1"/>
    <row r="10041" customFormat="1"/>
    <row r="10042" customFormat="1"/>
    <row r="10043" customFormat="1"/>
    <row r="10044" customFormat="1"/>
    <row r="10045" customFormat="1"/>
    <row r="10046" customFormat="1"/>
    <row r="10047" customFormat="1"/>
    <row r="10048" customFormat="1"/>
    <row r="10049" customFormat="1"/>
    <row r="10050" customFormat="1"/>
    <row r="10051" customFormat="1"/>
    <row r="10052" customFormat="1"/>
    <row r="10053" customFormat="1"/>
    <row r="10054" customFormat="1"/>
    <row r="10055" customFormat="1"/>
    <row r="10056" customFormat="1"/>
    <row r="10057" customFormat="1"/>
    <row r="10058" customFormat="1"/>
    <row r="10059" customFormat="1"/>
    <row r="10060" customFormat="1"/>
    <row r="10061" customFormat="1"/>
    <row r="10062" customFormat="1"/>
    <row r="10063" customFormat="1"/>
    <row r="10064" customFormat="1"/>
    <row r="10065" customFormat="1"/>
    <row r="10066" customFormat="1"/>
    <row r="10067" customFormat="1"/>
    <row r="10068" customFormat="1"/>
    <row r="10069" customFormat="1"/>
    <row r="10070" customFormat="1"/>
    <row r="10071" customFormat="1"/>
    <row r="10072" customFormat="1"/>
    <row r="10073" customFormat="1"/>
    <row r="10074" customFormat="1"/>
    <row r="10075" customFormat="1"/>
    <row r="10076" customFormat="1"/>
    <row r="10077" customFormat="1"/>
    <row r="10078" customFormat="1"/>
    <row r="10079" customFormat="1"/>
    <row r="10080" customFormat="1"/>
    <row r="10081" customFormat="1"/>
    <row r="10082" customFormat="1"/>
    <row r="10083" customFormat="1"/>
    <row r="10084" customFormat="1"/>
    <row r="10085" customFormat="1"/>
    <row r="10086" customFormat="1"/>
    <row r="10087" customFormat="1"/>
    <row r="10088" customFormat="1"/>
    <row r="10089" customFormat="1"/>
    <row r="10090" customFormat="1"/>
    <row r="10091" customFormat="1"/>
    <row r="10092" customFormat="1"/>
    <row r="10093" customFormat="1"/>
    <row r="10094" customFormat="1"/>
    <row r="10095" customFormat="1"/>
    <row r="10096" customFormat="1"/>
    <row r="10097" customFormat="1"/>
    <row r="10098" customFormat="1"/>
    <row r="10099" customFormat="1"/>
    <row r="10100" customFormat="1"/>
    <row r="10101" customFormat="1"/>
    <row r="10102" customFormat="1"/>
    <row r="10103" customFormat="1"/>
    <row r="10104" customFormat="1"/>
    <row r="10105" customFormat="1"/>
    <row r="10106" customFormat="1"/>
    <row r="10107" customFormat="1"/>
    <row r="10108" customFormat="1"/>
    <row r="10109" customFormat="1"/>
    <row r="10110" customFormat="1"/>
    <row r="10111" customFormat="1"/>
    <row r="10112" customFormat="1"/>
    <row r="10113" customFormat="1"/>
    <row r="10114" customFormat="1"/>
    <row r="10115" customFormat="1"/>
    <row r="10116" customFormat="1"/>
    <row r="10117" customFormat="1"/>
    <row r="10118" customFormat="1"/>
    <row r="10119" customFormat="1"/>
    <row r="10120" customFormat="1"/>
    <row r="10121" customFormat="1"/>
    <row r="10122" customFormat="1"/>
    <row r="10123" customFormat="1"/>
    <row r="10124" customFormat="1"/>
    <row r="10125" customFormat="1"/>
    <row r="10126" customFormat="1"/>
    <row r="10127" customFormat="1"/>
    <row r="10128" customFormat="1"/>
    <row r="10129" customFormat="1"/>
    <row r="10130" customFormat="1"/>
    <row r="10131" customFormat="1"/>
    <row r="10132" customFormat="1"/>
    <row r="10133" customFormat="1"/>
    <row r="10134" customFormat="1"/>
    <row r="10135" customFormat="1"/>
    <row r="10136" customFormat="1"/>
    <row r="10137" customFormat="1"/>
    <row r="10138" customFormat="1"/>
    <row r="10139" customFormat="1"/>
    <row r="10140" customFormat="1"/>
    <row r="10141" customFormat="1"/>
    <row r="10142" customFormat="1"/>
    <row r="10143" customFormat="1"/>
    <row r="10144" customFormat="1"/>
    <row r="10145" customFormat="1"/>
    <row r="10146" customFormat="1"/>
    <row r="10147" customFormat="1"/>
    <row r="10148" customFormat="1"/>
    <row r="10149" customFormat="1"/>
    <row r="10150" customFormat="1"/>
    <row r="10151" customFormat="1"/>
    <row r="10152" customFormat="1"/>
    <row r="10153" customFormat="1"/>
    <row r="10154" customFormat="1"/>
    <row r="10155" customFormat="1"/>
    <row r="10156" customFormat="1"/>
    <row r="10157" customFormat="1"/>
    <row r="10158" customFormat="1"/>
    <row r="10159" customFormat="1"/>
    <row r="10160" customFormat="1"/>
    <row r="10161" customFormat="1"/>
    <row r="10162" customFormat="1"/>
    <row r="10163" customFormat="1"/>
    <row r="10164" customFormat="1"/>
    <row r="10165" customFormat="1"/>
    <row r="10166" customFormat="1"/>
    <row r="10167" customFormat="1"/>
    <row r="10168" customFormat="1"/>
    <row r="10169" customFormat="1"/>
    <row r="10170" customFormat="1"/>
    <row r="10171" customFormat="1"/>
    <row r="10172" customFormat="1"/>
    <row r="10173" customFormat="1"/>
    <row r="10174" customFormat="1"/>
    <row r="10175" customFormat="1"/>
    <row r="10176" customFormat="1"/>
    <row r="10177" customFormat="1"/>
    <row r="10178" customFormat="1"/>
    <row r="10179" customFormat="1"/>
    <row r="10180" customFormat="1"/>
    <row r="10181" customFormat="1"/>
    <row r="10182" customFormat="1"/>
    <row r="10183" customFormat="1"/>
    <row r="10184" customFormat="1"/>
    <row r="10185" customFormat="1"/>
    <row r="10186" customFormat="1"/>
    <row r="10187" customFormat="1"/>
    <row r="10188" customFormat="1"/>
    <row r="10189" customFormat="1"/>
    <row r="10190" customFormat="1"/>
    <row r="10191" customFormat="1"/>
    <row r="10192" customFormat="1"/>
    <row r="10193" customFormat="1"/>
    <row r="10194" customFormat="1"/>
    <row r="10195" customFormat="1"/>
    <row r="10196" customFormat="1"/>
    <row r="10197" customFormat="1"/>
    <row r="10198" customFormat="1"/>
    <row r="10199" customFormat="1"/>
    <row r="10200" customFormat="1"/>
    <row r="10201" customFormat="1"/>
    <row r="10202" customFormat="1"/>
    <row r="10203" customFormat="1"/>
    <row r="10204" customFormat="1"/>
    <row r="10205" customFormat="1"/>
    <row r="10206" customFormat="1"/>
    <row r="10207" customFormat="1"/>
    <row r="10208" customFormat="1"/>
    <row r="10209" customFormat="1"/>
    <row r="10210" customFormat="1"/>
    <row r="10211" customFormat="1"/>
    <row r="10212" customFormat="1"/>
    <row r="10213" customFormat="1"/>
    <row r="10214" customFormat="1"/>
    <row r="10215" customFormat="1"/>
    <row r="10216" customFormat="1"/>
    <row r="10217" customFormat="1"/>
    <row r="10218" customFormat="1"/>
    <row r="10219" customFormat="1"/>
    <row r="10220" customFormat="1"/>
    <row r="10221" customFormat="1"/>
    <row r="10222" customFormat="1"/>
    <row r="10223" customFormat="1"/>
    <row r="10224" customFormat="1"/>
    <row r="10225" customFormat="1"/>
    <row r="10226" customFormat="1"/>
    <row r="10227" customFormat="1"/>
    <row r="10228" customFormat="1"/>
    <row r="10229" customFormat="1"/>
    <row r="10230" customFormat="1"/>
    <row r="10231" customFormat="1"/>
    <row r="10232" customFormat="1"/>
    <row r="10233" customFormat="1"/>
    <row r="10234" customFormat="1"/>
    <row r="10235" customFormat="1"/>
    <row r="10236" customFormat="1"/>
    <row r="10237" customFormat="1"/>
    <row r="10238" customFormat="1"/>
    <row r="10239" customFormat="1"/>
    <row r="10240" customFormat="1"/>
    <row r="10241" customFormat="1"/>
    <row r="10242" customFormat="1"/>
    <row r="10243" customFormat="1"/>
    <row r="10244" customFormat="1"/>
    <row r="10245" customFormat="1"/>
    <row r="10246" customFormat="1"/>
    <row r="10247" customFormat="1"/>
    <row r="10248" customFormat="1"/>
    <row r="10249" customFormat="1"/>
    <row r="10250" customFormat="1"/>
    <row r="10251" customFormat="1"/>
    <row r="10252" customFormat="1"/>
    <row r="10253" customFormat="1"/>
    <row r="10254" customFormat="1"/>
    <row r="10255" customFormat="1"/>
    <row r="10256" customFormat="1"/>
    <row r="10257" customFormat="1"/>
    <row r="10258" customFormat="1"/>
    <row r="10259" customFormat="1"/>
    <row r="10260" customFormat="1"/>
    <row r="10261" customFormat="1"/>
    <row r="10262" customFormat="1"/>
    <row r="10263" customFormat="1"/>
    <row r="10264" customFormat="1"/>
    <row r="10265" customFormat="1"/>
    <row r="10266" customFormat="1"/>
    <row r="10267" customFormat="1"/>
    <row r="10268" customFormat="1"/>
    <row r="10269" customFormat="1"/>
    <row r="10270" customFormat="1"/>
    <row r="10271" customFormat="1"/>
    <row r="10272" customFormat="1"/>
    <row r="10273" customFormat="1"/>
    <row r="10274" customFormat="1"/>
    <row r="10275" customFormat="1"/>
    <row r="10276" customFormat="1"/>
    <row r="10277" customFormat="1"/>
    <row r="10278" customFormat="1"/>
    <row r="10279" customFormat="1"/>
    <row r="10280" customFormat="1"/>
    <row r="10281" customFormat="1"/>
    <row r="10282" customFormat="1"/>
    <row r="10283" customFormat="1"/>
    <row r="10284" customFormat="1"/>
    <row r="10285" customFormat="1"/>
    <row r="10286" customFormat="1"/>
    <row r="10287" customFormat="1"/>
    <row r="10288" customFormat="1"/>
    <row r="10289" customFormat="1"/>
    <row r="10290" customFormat="1"/>
    <row r="10291" customFormat="1"/>
    <row r="10292" customFormat="1"/>
    <row r="10293" customFormat="1"/>
    <row r="10294" customFormat="1"/>
    <row r="10295" customFormat="1"/>
    <row r="10296" customFormat="1"/>
    <row r="10297" customFormat="1"/>
    <row r="10298" customFormat="1"/>
    <row r="10299" customFormat="1"/>
    <row r="10300" customFormat="1"/>
    <row r="10301" customFormat="1"/>
    <row r="10302" customFormat="1"/>
    <row r="10303" customFormat="1"/>
    <row r="10304" customFormat="1"/>
    <row r="10305" customFormat="1"/>
    <row r="10306" customFormat="1"/>
    <row r="10307" customFormat="1"/>
    <row r="10308" customFormat="1"/>
    <row r="10309" customFormat="1"/>
    <row r="10310" customFormat="1"/>
    <row r="10311" customFormat="1"/>
    <row r="10312" customFormat="1"/>
    <row r="10313" customFormat="1"/>
    <row r="10314" customFormat="1"/>
    <row r="10315" customFormat="1"/>
    <row r="10316" customFormat="1"/>
    <row r="10317" customFormat="1"/>
    <row r="10318" customFormat="1"/>
    <row r="10319" customFormat="1"/>
    <row r="10320" customFormat="1"/>
    <row r="10321" customFormat="1"/>
    <row r="10322" customFormat="1"/>
    <row r="10323" customFormat="1"/>
    <row r="10324" customFormat="1"/>
    <row r="10325" customFormat="1"/>
    <row r="10326" customFormat="1"/>
    <row r="10327" customFormat="1"/>
    <row r="10328" customFormat="1"/>
    <row r="10329" customFormat="1"/>
    <row r="10330" customFormat="1"/>
    <row r="10331" customFormat="1"/>
    <row r="10332" customFormat="1"/>
    <row r="10333" customFormat="1"/>
    <row r="10334" customFormat="1"/>
    <row r="10335" customFormat="1"/>
    <row r="10336" customFormat="1"/>
    <row r="10337" customFormat="1"/>
    <row r="10338" customFormat="1"/>
    <row r="10339" customFormat="1"/>
    <row r="10340" customFormat="1"/>
    <row r="10341" customFormat="1"/>
    <row r="10342" customFormat="1"/>
    <row r="10343" customFormat="1"/>
    <row r="10344" customFormat="1"/>
    <row r="10345" customFormat="1"/>
    <row r="10346" customFormat="1"/>
    <row r="10347" customFormat="1"/>
    <row r="10348" customFormat="1"/>
    <row r="10349" customFormat="1"/>
    <row r="10350" customFormat="1"/>
    <row r="10351" customFormat="1"/>
    <row r="10352" customFormat="1"/>
    <row r="10353" customFormat="1"/>
    <row r="10354" customFormat="1"/>
    <row r="10355" customFormat="1"/>
    <row r="10356" customFormat="1"/>
    <row r="10357" customFormat="1"/>
    <row r="10358" customFormat="1"/>
    <row r="10359" customFormat="1"/>
    <row r="10360" customFormat="1"/>
    <row r="10361" customFormat="1"/>
    <row r="10362" customFormat="1"/>
    <row r="10363" customFormat="1"/>
    <row r="10364" customFormat="1"/>
    <row r="10365" customFormat="1"/>
    <row r="10366" customFormat="1"/>
    <row r="10367" customFormat="1"/>
    <row r="10368" customFormat="1"/>
    <row r="10369" customFormat="1"/>
    <row r="10370" customFormat="1"/>
    <row r="10371" customFormat="1"/>
    <row r="10372" customFormat="1"/>
    <row r="10373" customFormat="1"/>
    <row r="10374" customFormat="1"/>
    <row r="10375" customFormat="1"/>
    <row r="10376" customFormat="1"/>
    <row r="10377" customFormat="1"/>
    <row r="10378" customFormat="1"/>
    <row r="10379" customFormat="1"/>
    <row r="10380" customFormat="1"/>
    <row r="10381" customFormat="1"/>
    <row r="10382" customFormat="1"/>
    <row r="10383" customFormat="1"/>
    <row r="10384" customFormat="1"/>
    <row r="10385" customFormat="1"/>
    <row r="10386" customFormat="1"/>
    <row r="10387" customFormat="1"/>
    <row r="10388" customFormat="1"/>
    <row r="10389" customFormat="1"/>
    <row r="10390" customFormat="1"/>
    <row r="10391" customFormat="1"/>
    <row r="10392" customFormat="1"/>
    <row r="10393" customFormat="1"/>
    <row r="10394" customFormat="1"/>
    <row r="10395" customFormat="1"/>
    <row r="10396" customFormat="1"/>
    <row r="10397" customFormat="1"/>
    <row r="10398" customFormat="1"/>
    <row r="10399" customFormat="1"/>
    <row r="10400" customFormat="1"/>
    <row r="10401" customFormat="1"/>
    <row r="10402" customFormat="1"/>
    <row r="10403" customFormat="1"/>
    <row r="10404" customFormat="1"/>
    <row r="10405" customFormat="1"/>
    <row r="10406" customFormat="1"/>
    <row r="10407" customFormat="1"/>
    <row r="10408" customFormat="1"/>
    <row r="10409" customFormat="1"/>
    <row r="10410" customFormat="1"/>
    <row r="10411" customFormat="1"/>
    <row r="10412" customFormat="1"/>
    <row r="10413" customFormat="1"/>
    <row r="10414" customFormat="1"/>
    <row r="10415" customFormat="1"/>
    <row r="10416" customFormat="1"/>
    <row r="10417" customFormat="1"/>
    <row r="10418" customFormat="1"/>
    <row r="10419" customFormat="1"/>
    <row r="10420" customFormat="1"/>
    <row r="10421" customFormat="1"/>
    <row r="10422" customFormat="1"/>
    <row r="10423" customFormat="1"/>
    <row r="10424" customFormat="1"/>
    <row r="10425" customFormat="1"/>
    <row r="10426" customFormat="1"/>
    <row r="10427" customFormat="1"/>
    <row r="10428" customFormat="1"/>
    <row r="10429" customFormat="1"/>
    <row r="10430" customFormat="1"/>
    <row r="10431" customFormat="1"/>
    <row r="10432" customFormat="1"/>
    <row r="10433" customFormat="1"/>
    <row r="10434" customFormat="1"/>
    <row r="10435" customFormat="1"/>
    <row r="10436" customFormat="1"/>
    <row r="10437" customFormat="1"/>
    <row r="10438" customFormat="1"/>
    <row r="10439" customFormat="1"/>
    <row r="10440" customFormat="1"/>
    <row r="10441" customFormat="1"/>
    <row r="10442" customFormat="1"/>
    <row r="10443" customFormat="1"/>
    <row r="10444" customFormat="1"/>
    <row r="10445" customFormat="1"/>
    <row r="10446" customFormat="1"/>
    <row r="10447" customFormat="1"/>
    <row r="10448" customFormat="1"/>
    <row r="10449" customFormat="1"/>
    <row r="10450" customFormat="1"/>
    <row r="10451" customFormat="1"/>
    <row r="10452" customFormat="1"/>
    <row r="10453" customFormat="1"/>
    <row r="10454" customFormat="1"/>
    <row r="10455" customFormat="1"/>
    <row r="10456" customFormat="1"/>
    <row r="10457" customFormat="1"/>
    <row r="10458" customFormat="1"/>
    <row r="10459" customFormat="1"/>
    <row r="10460" customFormat="1"/>
    <row r="10461" customFormat="1"/>
    <row r="10462" customFormat="1"/>
    <row r="10463" customFormat="1"/>
    <row r="10464" customFormat="1"/>
    <row r="10465" customFormat="1"/>
    <row r="10466" customFormat="1"/>
    <row r="10467" customFormat="1"/>
    <row r="10468" customFormat="1"/>
    <row r="10469" customFormat="1"/>
    <row r="10470" customFormat="1"/>
    <row r="10471" customFormat="1"/>
    <row r="10472" customFormat="1"/>
    <row r="10473" customFormat="1"/>
    <row r="10474" customFormat="1"/>
    <row r="10475" customFormat="1"/>
    <row r="10476" customFormat="1"/>
    <row r="10477" customFormat="1"/>
    <row r="10478" customFormat="1"/>
    <row r="10479" customFormat="1"/>
    <row r="10480" customFormat="1"/>
    <row r="10481" customFormat="1"/>
    <row r="10482" customFormat="1"/>
    <row r="10483" customFormat="1"/>
    <row r="10484" customFormat="1"/>
    <row r="10485" customFormat="1"/>
    <row r="10486" customFormat="1"/>
    <row r="10487" customFormat="1"/>
    <row r="10488" customFormat="1"/>
    <row r="10489" customFormat="1"/>
    <row r="10490" customFormat="1"/>
    <row r="10491" customFormat="1"/>
    <row r="10492" customFormat="1"/>
    <row r="10493" customFormat="1"/>
    <row r="10494" customFormat="1"/>
    <row r="10495" customFormat="1"/>
    <row r="10496" customFormat="1"/>
    <row r="10497" customFormat="1"/>
    <row r="10498" customFormat="1"/>
    <row r="10499" customFormat="1"/>
    <row r="10500" customFormat="1"/>
    <row r="10501" customFormat="1"/>
    <row r="10502" customFormat="1"/>
    <row r="10503" customFormat="1"/>
    <row r="10504" customFormat="1"/>
    <row r="10505" customFormat="1"/>
    <row r="10506" customFormat="1"/>
    <row r="10507" customFormat="1"/>
    <row r="10508" customFormat="1"/>
    <row r="10509" customFormat="1"/>
    <row r="10510" customFormat="1"/>
    <row r="10511" customFormat="1"/>
    <row r="10512" customFormat="1"/>
    <row r="10513" customFormat="1"/>
    <row r="10514" customFormat="1"/>
    <row r="10515" customFormat="1"/>
    <row r="10516" customFormat="1"/>
    <row r="10517" customFormat="1"/>
    <row r="10518" customFormat="1"/>
    <row r="10519" customFormat="1"/>
    <row r="10520" customFormat="1"/>
    <row r="10521" customFormat="1"/>
    <row r="10522" customFormat="1"/>
    <row r="10523" customFormat="1"/>
    <row r="10524" customFormat="1"/>
    <row r="10525" customFormat="1"/>
    <row r="10526" customFormat="1"/>
    <row r="10527" customFormat="1"/>
    <row r="10528" customFormat="1"/>
    <row r="10529" customFormat="1"/>
    <row r="10530" customFormat="1"/>
    <row r="10531" customFormat="1"/>
    <row r="10532" customFormat="1"/>
    <row r="10533" customFormat="1"/>
    <row r="10534" customFormat="1"/>
    <row r="10535" customFormat="1"/>
    <row r="10536" customFormat="1"/>
    <row r="10537" customFormat="1"/>
    <row r="10538" customFormat="1"/>
    <row r="10539" customFormat="1"/>
    <row r="10540" customFormat="1"/>
    <row r="10541" customFormat="1"/>
    <row r="10542" customFormat="1"/>
    <row r="10543" customFormat="1"/>
    <row r="10544" customFormat="1"/>
    <row r="10545" customFormat="1"/>
    <row r="10546" customFormat="1"/>
    <row r="10547" customFormat="1"/>
    <row r="10548" customFormat="1"/>
    <row r="10549" customFormat="1"/>
    <row r="10550" customFormat="1"/>
    <row r="10551" customFormat="1"/>
    <row r="10552" customFormat="1"/>
    <row r="10553" customFormat="1"/>
    <row r="10554" customFormat="1"/>
    <row r="10555" customFormat="1"/>
    <row r="10556" customFormat="1"/>
    <row r="10557" customFormat="1"/>
    <row r="10558" customFormat="1"/>
    <row r="10559" customFormat="1"/>
    <row r="10560" customFormat="1"/>
    <row r="10561" customFormat="1"/>
    <row r="10562" customFormat="1"/>
    <row r="10563" customFormat="1"/>
    <row r="10564" customFormat="1"/>
    <row r="10565" customFormat="1"/>
    <row r="10566" customFormat="1"/>
    <row r="10567" customFormat="1"/>
    <row r="10568" customFormat="1"/>
    <row r="10569" customFormat="1"/>
    <row r="10570" customFormat="1"/>
    <row r="10571" customFormat="1"/>
    <row r="10572" customFormat="1"/>
    <row r="10573" customFormat="1"/>
    <row r="10574" customFormat="1"/>
    <row r="10575" customFormat="1"/>
    <row r="10576" customFormat="1"/>
    <row r="10577" customFormat="1"/>
    <row r="10578" customFormat="1"/>
    <row r="10579" customFormat="1"/>
    <row r="10580" customFormat="1"/>
    <row r="10581" customFormat="1"/>
    <row r="10582" customFormat="1"/>
    <row r="10583" customFormat="1"/>
    <row r="10584" customFormat="1"/>
    <row r="10585" customFormat="1"/>
    <row r="10586" customFormat="1"/>
    <row r="10587" customFormat="1"/>
    <row r="10588" customFormat="1"/>
    <row r="10589" customFormat="1"/>
    <row r="10590" customFormat="1"/>
    <row r="10591" customFormat="1"/>
    <row r="10592" customFormat="1"/>
    <row r="10593" customFormat="1"/>
    <row r="10594" customFormat="1"/>
    <row r="10595" customFormat="1"/>
    <row r="10596" customFormat="1"/>
    <row r="10597" customFormat="1"/>
    <row r="10598" customFormat="1"/>
    <row r="10599" customFormat="1"/>
    <row r="10600" customFormat="1"/>
    <row r="10601" customFormat="1"/>
    <row r="10602" customFormat="1"/>
    <row r="10603" customFormat="1"/>
    <row r="10604" customFormat="1"/>
    <row r="10605" customFormat="1"/>
    <row r="10606" customFormat="1"/>
    <row r="10607" customFormat="1"/>
    <row r="10608" customFormat="1"/>
    <row r="10609" customFormat="1"/>
    <row r="10610" customFormat="1"/>
    <row r="10611" customFormat="1"/>
    <row r="10612" customFormat="1"/>
    <row r="10613" customFormat="1"/>
    <row r="10614" customFormat="1"/>
    <row r="10615" customFormat="1"/>
    <row r="10616" customFormat="1"/>
    <row r="10617" customFormat="1"/>
    <row r="10618" customFormat="1"/>
    <row r="10619" customFormat="1"/>
    <row r="10620" customFormat="1"/>
    <row r="10621" customFormat="1"/>
    <row r="10622" customFormat="1"/>
    <row r="10623" customFormat="1"/>
    <row r="10624" customFormat="1"/>
    <row r="10625" customFormat="1"/>
    <row r="10626" customFormat="1"/>
    <row r="10627" customFormat="1"/>
    <row r="10628" customFormat="1"/>
    <row r="10629" customFormat="1"/>
    <row r="10630" customFormat="1"/>
    <row r="10631" customFormat="1"/>
    <row r="10632" customFormat="1"/>
    <row r="10633" customFormat="1"/>
    <row r="10634" customFormat="1"/>
    <row r="10635" customFormat="1"/>
    <row r="10636" customFormat="1"/>
    <row r="10637" customFormat="1"/>
    <row r="10638" customFormat="1"/>
    <row r="10639" customFormat="1"/>
    <row r="10640" customFormat="1"/>
    <row r="10641" customFormat="1"/>
    <row r="10642" customFormat="1"/>
    <row r="10643" customFormat="1"/>
    <row r="10644" customFormat="1"/>
    <row r="10645" customFormat="1"/>
    <row r="10646" customFormat="1"/>
    <row r="10647" customFormat="1"/>
    <row r="10648" customFormat="1"/>
    <row r="10649" customFormat="1"/>
    <row r="10650" customFormat="1"/>
    <row r="10651" customFormat="1"/>
    <row r="10652" customFormat="1"/>
    <row r="10653" customFormat="1"/>
    <row r="10654" customFormat="1"/>
    <row r="10655" customFormat="1"/>
    <row r="10656" customFormat="1"/>
    <row r="10657" customFormat="1"/>
    <row r="10658" customFormat="1"/>
    <row r="10659" customFormat="1"/>
    <row r="10660" customFormat="1"/>
    <row r="10661" customFormat="1"/>
    <row r="10662" customFormat="1"/>
    <row r="10663" customFormat="1"/>
    <row r="10664" customFormat="1"/>
    <row r="10665" customFormat="1"/>
    <row r="10666" customFormat="1"/>
    <row r="10667" customFormat="1"/>
    <row r="10668" customFormat="1"/>
    <row r="10669" customFormat="1"/>
    <row r="10670" customFormat="1"/>
    <row r="10671" customFormat="1"/>
    <row r="10672" customFormat="1"/>
    <row r="10673" customFormat="1"/>
    <row r="10674" customFormat="1"/>
    <row r="10675" customFormat="1"/>
    <row r="10676" customFormat="1"/>
    <row r="10677" customFormat="1"/>
    <row r="10678" customFormat="1"/>
    <row r="10679" customFormat="1"/>
    <row r="10680" customFormat="1"/>
    <row r="10681" customFormat="1"/>
    <row r="10682" customFormat="1"/>
    <row r="10683" customFormat="1"/>
    <row r="10684" customFormat="1"/>
    <row r="10685" customFormat="1"/>
    <row r="10686" customFormat="1"/>
    <row r="10687" customFormat="1"/>
    <row r="10688" customFormat="1"/>
    <row r="10689" customFormat="1"/>
    <row r="10690" customFormat="1"/>
    <row r="10691" customFormat="1"/>
    <row r="10692" customFormat="1"/>
    <row r="10693" customFormat="1"/>
    <row r="10694" customFormat="1"/>
    <row r="10695" customFormat="1"/>
    <row r="10696" customFormat="1"/>
    <row r="10697" customFormat="1"/>
    <row r="10698" customFormat="1"/>
    <row r="10699" customFormat="1"/>
    <row r="10700" customFormat="1"/>
    <row r="10701" customFormat="1"/>
    <row r="10702" customFormat="1"/>
    <row r="10703" customFormat="1"/>
    <row r="10704" customFormat="1"/>
    <row r="10705" customFormat="1"/>
    <row r="10706" customFormat="1"/>
    <row r="10707" customFormat="1"/>
    <row r="10708" customFormat="1"/>
    <row r="10709" customFormat="1"/>
    <row r="10710" customFormat="1"/>
    <row r="10711" customFormat="1"/>
    <row r="10712" customFormat="1"/>
    <row r="10713" customFormat="1"/>
    <row r="10714" customFormat="1"/>
    <row r="10715" customFormat="1"/>
    <row r="10716" customFormat="1"/>
    <row r="10717" customFormat="1"/>
    <row r="10718" customFormat="1"/>
    <row r="10719" customFormat="1"/>
    <row r="10720" customFormat="1"/>
    <row r="10721" customFormat="1"/>
    <row r="10722" customFormat="1"/>
    <row r="10723" customFormat="1"/>
    <row r="10724" customFormat="1"/>
    <row r="10725" customFormat="1"/>
    <row r="10726" customFormat="1"/>
    <row r="10727" customFormat="1"/>
    <row r="10728" customFormat="1"/>
    <row r="10729" customFormat="1"/>
    <row r="10730" customFormat="1"/>
    <row r="10731" customFormat="1"/>
    <row r="10732" customFormat="1"/>
    <row r="10733" customFormat="1"/>
    <row r="10734" customFormat="1"/>
    <row r="10735" customFormat="1"/>
    <row r="10736" customFormat="1"/>
    <row r="10737" customFormat="1"/>
    <row r="10738" customFormat="1"/>
    <row r="10739" customFormat="1"/>
    <row r="10740" customFormat="1"/>
    <row r="10741" customFormat="1"/>
    <row r="10742" customFormat="1"/>
    <row r="10743" customFormat="1"/>
    <row r="10744" customFormat="1"/>
    <row r="10745" customFormat="1"/>
    <row r="10746" customFormat="1"/>
    <row r="10747" customFormat="1"/>
    <row r="10748" customFormat="1"/>
    <row r="10749" customFormat="1"/>
    <row r="10750" customFormat="1"/>
    <row r="10751" customFormat="1"/>
    <row r="10752" customFormat="1"/>
    <row r="10753" customFormat="1"/>
    <row r="10754" customFormat="1"/>
    <row r="10755" customFormat="1"/>
    <row r="10756" customFormat="1"/>
    <row r="10757" customFormat="1"/>
    <row r="10758" customFormat="1"/>
    <row r="10759" customFormat="1"/>
    <row r="10760" customFormat="1"/>
    <row r="10761" customFormat="1"/>
    <row r="10762" customFormat="1"/>
    <row r="10763" customFormat="1"/>
    <row r="10764" customFormat="1"/>
    <row r="10765" customFormat="1"/>
    <row r="10766" customFormat="1"/>
    <row r="10767" customFormat="1"/>
    <row r="10768" customFormat="1"/>
    <row r="10769" customFormat="1"/>
    <row r="10770" customFormat="1"/>
    <row r="10771" customFormat="1"/>
    <row r="10772" customFormat="1"/>
    <row r="10773" customFormat="1"/>
    <row r="10774" customFormat="1"/>
    <row r="10775" customFormat="1"/>
    <row r="10776" customFormat="1"/>
    <row r="10777" customFormat="1"/>
    <row r="10778" customFormat="1"/>
    <row r="10779" customFormat="1"/>
    <row r="10780" customFormat="1"/>
    <row r="10781" customFormat="1"/>
    <row r="10782" customFormat="1"/>
    <row r="10783" customFormat="1"/>
    <row r="10784" customFormat="1"/>
    <row r="10785" customFormat="1"/>
    <row r="10786" customFormat="1"/>
    <row r="10787" customFormat="1"/>
    <row r="10788" customFormat="1"/>
    <row r="10789" customFormat="1"/>
    <row r="10790" customFormat="1"/>
    <row r="10791" customFormat="1"/>
    <row r="10792" customFormat="1"/>
    <row r="10793" customFormat="1"/>
    <row r="10794" customFormat="1"/>
    <row r="10795" customFormat="1"/>
    <row r="10796" customFormat="1"/>
    <row r="10797" customFormat="1"/>
    <row r="10798" customFormat="1"/>
    <row r="10799" customFormat="1"/>
    <row r="10800" customFormat="1"/>
    <row r="10801" customFormat="1"/>
    <row r="10802" customFormat="1"/>
    <row r="10803" customFormat="1"/>
    <row r="10804" customFormat="1"/>
    <row r="10805" customFormat="1"/>
    <row r="10806" customFormat="1"/>
    <row r="10807" customFormat="1"/>
    <row r="10808" customFormat="1"/>
    <row r="10809" customFormat="1"/>
    <row r="10810" customFormat="1"/>
    <row r="10811" customFormat="1"/>
    <row r="10812" customFormat="1"/>
    <row r="10813" customFormat="1"/>
    <row r="10814" customFormat="1"/>
    <row r="10815" customFormat="1"/>
    <row r="10816" customFormat="1"/>
    <row r="10817" customFormat="1"/>
    <row r="10818" customFormat="1"/>
    <row r="10819" customFormat="1"/>
    <row r="10820" customFormat="1"/>
    <row r="10821" customFormat="1"/>
    <row r="10822" customFormat="1"/>
    <row r="10823" customFormat="1"/>
    <row r="10824" customFormat="1"/>
    <row r="10825" customFormat="1"/>
    <row r="10826" customFormat="1"/>
    <row r="10827" customFormat="1"/>
    <row r="10828" customFormat="1"/>
    <row r="10829" customFormat="1"/>
    <row r="10830" customFormat="1"/>
    <row r="10831" customFormat="1"/>
    <row r="10832" customFormat="1"/>
    <row r="10833" customFormat="1"/>
    <row r="10834" customFormat="1"/>
    <row r="10835" customFormat="1"/>
    <row r="10836" customFormat="1"/>
    <row r="10837" customFormat="1"/>
    <row r="10838" customFormat="1"/>
    <row r="10839" customFormat="1"/>
    <row r="10840" customFormat="1"/>
    <row r="10841" customFormat="1"/>
    <row r="10842" customFormat="1"/>
    <row r="10843" customFormat="1"/>
    <row r="10844" customFormat="1"/>
    <row r="10845" customFormat="1"/>
    <row r="10846" customFormat="1"/>
    <row r="10847" customFormat="1"/>
    <row r="10848" customFormat="1"/>
    <row r="10849" customFormat="1"/>
    <row r="10850" customFormat="1"/>
    <row r="10851" customFormat="1"/>
    <row r="10852" customFormat="1"/>
    <row r="10853" customFormat="1"/>
    <row r="10854" customFormat="1"/>
    <row r="10855" customFormat="1"/>
    <row r="10856" customFormat="1"/>
    <row r="10857" customFormat="1"/>
    <row r="10858" customFormat="1"/>
    <row r="10859" customFormat="1"/>
    <row r="10860" customFormat="1"/>
    <row r="10861" customFormat="1"/>
    <row r="10862" customFormat="1"/>
    <row r="10863" customFormat="1"/>
    <row r="10864" customFormat="1"/>
    <row r="10865" customFormat="1"/>
    <row r="10866" customFormat="1"/>
    <row r="10867" customFormat="1"/>
    <row r="10868" customFormat="1"/>
    <row r="10869" customFormat="1"/>
    <row r="10870" customFormat="1"/>
    <row r="10871" customFormat="1"/>
    <row r="10872" customFormat="1"/>
    <row r="10873" customFormat="1"/>
    <row r="10874" customFormat="1"/>
    <row r="10875" customFormat="1"/>
    <row r="10876" customFormat="1"/>
    <row r="10877" customFormat="1"/>
    <row r="10878" customFormat="1"/>
    <row r="10879" customFormat="1"/>
    <row r="10880" customFormat="1"/>
    <row r="10881" customFormat="1"/>
    <row r="10882" customFormat="1"/>
    <row r="10883" customFormat="1"/>
    <row r="10884" customFormat="1"/>
    <row r="10885" customFormat="1"/>
    <row r="10886" customFormat="1"/>
    <row r="10887" customFormat="1"/>
    <row r="10888" customFormat="1"/>
    <row r="10889" customFormat="1"/>
    <row r="10890" customFormat="1"/>
    <row r="10891" customFormat="1"/>
    <row r="10892" customFormat="1"/>
    <row r="10893" customFormat="1"/>
    <row r="10894" customFormat="1"/>
    <row r="10895" customFormat="1"/>
    <row r="10896" customFormat="1"/>
    <row r="10897" customFormat="1"/>
    <row r="10898" customFormat="1"/>
    <row r="10899" customFormat="1"/>
    <row r="10900" customFormat="1"/>
    <row r="10901" customFormat="1"/>
    <row r="10902" customFormat="1"/>
    <row r="10903" customFormat="1"/>
    <row r="10904" customFormat="1"/>
    <row r="10905" customFormat="1"/>
    <row r="10906" customFormat="1"/>
    <row r="10907" customFormat="1"/>
    <row r="10908" customFormat="1"/>
    <row r="10909" customFormat="1"/>
    <row r="10910" customFormat="1"/>
    <row r="10911" customFormat="1"/>
    <row r="10912" customFormat="1"/>
    <row r="10913" customFormat="1"/>
    <row r="10914" customFormat="1"/>
    <row r="10915" customFormat="1"/>
    <row r="10916" customFormat="1"/>
    <row r="10917" customFormat="1"/>
    <row r="10918" customFormat="1"/>
    <row r="10919" customFormat="1"/>
    <row r="10920" customFormat="1"/>
    <row r="10921" customFormat="1"/>
    <row r="10922" customFormat="1"/>
    <row r="10923" customFormat="1"/>
    <row r="10924" customFormat="1"/>
    <row r="10925" customFormat="1"/>
    <row r="10926" customFormat="1"/>
    <row r="10927" customFormat="1"/>
    <row r="10928" customFormat="1"/>
    <row r="10929" customFormat="1"/>
    <row r="10930" customFormat="1"/>
    <row r="10931" customFormat="1"/>
    <row r="10932" customFormat="1"/>
    <row r="10933" customFormat="1"/>
    <row r="10934" customFormat="1"/>
    <row r="10935" customFormat="1"/>
    <row r="10936" customFormat="1"/>
    <row r="10937" customFormat="1"/>
    <row r="10938" customFormat="1"/>
    <row r="10939" customFormat="1"/>
    <row r="10940" customFormat="1"/>
    <row r="10941" customFormat="1"/>
    <row r="10942" customFormat="1"/>
    <row r="10943" customFormat="1"/>
    <row r="10944" customFormat="1"/>
    <row r="10945" customFormat="1"/>
    <row r="10946" customFormat="1"/>
    <row r="10947" customFormat="1"/>
    <row r="10948" customFormat="1"/>
    <row r="10949" customFormat="1"/>
    <row r="10950" customFormat="1"/>
    <row r="10951" customFormat="1"/>
    <row r="10952" customFormat="1"/>
    <row r="10953" customFormat="1"/>
    <row r="10954" customFormat="1"/>
    <row r="10955" customFormat="1"/>
    <row r="10956" customFormat="1"/>
    <row r="10957" customFormat="1"/>
    <row r="10958" customFormat="1"/>
    <row r="10959" customFormat="1"/>
    <row r="10960" customFormat="1"/>
    <row r="10961" customFormat="1"/>
    <row r="10962" customFormat="1"/>
    <row r="10963" customFormat="1"/>
    <row r="10964" customFormat="1"/>
    <row r="10965" customFormat="1"/>
    <row r="10966" customFormat="1"/>
    <row r="10967" customFormat="1"/>
    <row r="10968" customFormat="1"/>
    <row r="10969" customFormat="1"/>
    <row r="10970" customFormat="1"/>
    <row r="10971" customFormat="1"/>
    <row r="10972" customFormat="1"/>
    <row r="10973" customFormat="1"/>
    <row r="10974" customFormat="1"/>
    <row r="10975" customFormat="1"/>
    <row r="10976" customFormat="1"/>
    <row r="10977" customFormat="1"/>
    <row r="10978" customFormat="1"/>
    <row r="10979" customFormat="1"/>
    <row r="10980" customFormat="1"/>
    <row r="10981" customFormat="1"/>
    <row r="10982" customFormat="1"/>
    <row r="10983" customFormat="1"/>
    <row r="10984" customFormat="1"/>
    <row r="10985" customFormat="1"/>
    <row r="10986" customFormat="1"/>
    <row r="10987" customFormat="1"/>
    <row r="10988" customFormat="1"/>
    <row r="10989" customFormat="1"/>
    <row r="10990" customFormat="1"/>
    <row r="10991" customFormat="1"/>
    <row r="10992" customFormat="1"/>
    <row r="10993" customFormat="1"/>
    <row r="10994" customFormat="1"/>
    <row r="10995" customFormat="1"/>
    <row r="10996" customFormat="1"/>
    <row r="10997" customFormat="1"/>
    <row r="10998" customFormat="1"/>
    <row r="10999" customFormat="1"/>
    <row r="11000" customFormat="1"/>
    <row r="11001" customFormat="1"/>
    <row r="11002" customFormat="1"/>
    <row r="11003" customFormat="1"/>
    <row r="11004" customFormat="1"/>
    <row r="11005" customFormat="1"/>
    <row r="11006" customFormat="1"/>
    <row r="11007" customFormat="1"/>
    <row r="11008" customFormat="1"/>
    <row r="11009" customFormat="1"/>
    <row r="11010" customFormat="1"/>
    <row r="11011" customFormat="1"/>
    <row r="11012" customFormat="1"/>
    <row r="11013" customFormat="1"/>
    <row r="11014" customFormat="1"/>
    <row r="11015" customFormat="1"/>
    <row r="11016" customFormat="1"/>
    <row r="11017" customFormat="1"/>
    <row r="11018" customFormat="1"/>
    <row r="11019" customFormat="1"/>
    <row r="11020" customFormat="1"/>
    <row r="11021" customFormat="1"/>
    <row r="11022" customFormat="1"/>
    <row r="11023" customFormat="1"/>
    <row r="11024" customFormat="1"/>
    <row r="11025" customFormat="1"/>
    <row r="11026" customFormat="1"/>
    <row r="11027" customFormat="1"/>
    <row r="11028" customFormat="1"/>
    <row r="11029" customFormat="1"/>
    <row r="11030" customFormat="1"/>
    <row r="11031" customFormat="1"/>
    <row r="11032" customFormat="1"/>
    <row r="11033" customFormat="1"/>
    <row r="11034" customFormat="1"/>
    <row r="11035" customFormat="1"/>
    <row r="11036" customFormat="1"/>
    <row r="11037" customFormat="1"/>
    <row r="11038" customFormat="1"/>
    <row r="11039" customFormat="1"/>
    <row r="11040" customFormat="1"/>
    <row r="11041" customFormat="1"/>
    <row r="11042" customFormat="1"/>
    <row r="11043" customFormat="1"/>
    <row r="11044" customFormat="1"/>
    <row r="11045" customFormat="1"/>
    <row r="11046" customFormat="1"/>
    <row r="11047" customFormat="1"/>
    <row r="11048" customFormat="1"/>
    <row r="11049" customFormat="1"/>
    <row r="11050" customFormat="1"/>
    <row r="11051" customFormat="1"/>
    <row r="11052" customFormat="1"/>
    <row r="11053" customFormat="1"/>
    <row r="11054" customFormat="1"/>
    <row r="11055" customFormat="1"/>
    <row r="11056" customFormat="1"/>
    <row r="11057" customFormat="1"/>
    <row r="11058" customFormat="1"/>
    <row r="11059" customFormat="1"/>
    <row r="11060" customFormat="1"/>
    <row r="11061" customFormat="1"/>
    <row r="11062" customFormat="1"/>
    <row r="11063" customFormat="1"/>
    <row r="11064" customFormat="1"/>
    <row r="11065" customFormat="1"/>
    <row r="11066" customFormat="1"/>
    <row r="11067" customFormat="1"/>
    <row r="11068" customFormat="1"/>
    <row r="11069" customFormat="1"/>
    <row r="11070" customFormat="1"/>
    <row r="11071" customFormat="1"/>
    <row r="11072" customFormat="1"/>
    <row r="11073" customFormat="1"/>
    <row r="11074" customFormat="1"/>
    <row r="11075" customFormat="1"/>
    <row r="11076" customFormat="1"/>
    <row r="11077" customFormat="1"/>
    <row r="11078" customFormat="1"/>
    <row r="11079" customFormat="1"/>
    <row r="11080" customFormat="1"/>
    <row r="11081" customFormat="1"/>
    <row r="11082" customFormat="1"/>
    <row r="11083" customFormat="1"/>
    <row r="11084" customFormat="1"/>
    <row r="11085" customFormat="1"/>
    <row r="11086" customFormat="1"/>
    <row r="11087" customFormat="1"/>
    <row r="11088" customFormat="1"/>
    <row r="11089" customFormat="1"/>
    <row r="11090" customFormat="1"/>
    <row r="11091" customFormat="1"/>
    <row r="11092" customFormat="1"/>
    <row r="11093" customFormat="1"/>
    <row r="11094" customFormat="1"/>
    <row r="11095" customFormat="1"/>
    <row r="11096" customFormat="1"/>
    <row r="11097" customFormat="1"/>
    <row r="11098" customFormat="1"/>
    <row r="11099" customFormat="1"/>
    <row r="11100" customFormat="1"/>
    <row r="11101" customFormat="1"/>
    <row r="11102" customFormat="1"/>
    <row r="11103" customFormat="1"/>
    <row r="11104" customFormat="1"/>
    <row r="11105" customFormat="1"/>
    <row r="11106" customFormat="1"/>
    <row r="11107" customFormat="1"/>
    <row r="11108" customFormat="1"/>
    <row r="11109" customFormat="1"/>
    <row r="11110" customFormat="1"/>
    <row r="11111" customFormat="1"/>
    <row r="11112" customFormat="1"/>
    <row r="11113" customFormat="1"/>
    <row r="11114" customFormat="1"/>
    <row r="11115" customFormat="1"/>
    <row r="11116" customFormat="1"/>
    <row r="11117" customFormat="1"/>
    <row r="11118" customFormat="1"/>
    <row r="11119" customFormat="1"/>
    <row r="11120" customFormat="1"/>
    <row r="11121" customFormat="1"/>
    <row r="11122" customFormat="1"/>
    <row r="11123" customFormat="1"/>
    <row r="11124" customFormat="1"/>
    <row r="11125" customFormat="1"/>
    <row r="11126" customFormat="1"/>
    <row r="11127" customFormat="1"/>
    <row r="11128" customFormat="1"/>
    <row r="11129" customFormat="1"/>
    <row r="11130" customFormat="1"/>
    <row r="11131" customFormat="1"/>
    <row r="11132" customFormat="1"/>
    <row r="11133" customFormat="1"/>
    <row r="11134" customFormat="1"/>
    <row r="11135" customFormat="1"/>
    <row r="11136" customFormat="1"/>
    <row r="11137" customFormat="1"/>
    <row r="11138" customFormat="1"/>
    <row r="11139" customFormat="1"/>
    <row r="11140" customFormat="1"/>
    <row r="11141" customFormat="1"/>
    <row r="11142" customFormat="1"/>
    <row r="11143" customFormat="1"/>
    <row r="11144" customFormat="1"/>
    <row r="11145" customFormat="1"/>
    <row r="11146" customFormat="1"/>
    <row r="11147" customFormat="1"/>
    <row r="11148" customFormat="1"/>
    <row r="11149" customFormat="1"/>
    <row r="11150" customFormat="1"/>
    <row r="11151" customFormat="1"/>
    <row r="11152" customFormat="1"/>
    <row r="11153" customFormat="1"/>
    <row r="11154" customFormat="1"/>
    <row r="11155" customFormat="1"/>
    <row r="11156" customFormat="1"/>
    <row r="11157" customFormat="1"/>
    <row r="11158" customFormat="1"/>
    <row r="11159" customFormat="1"/>
    <row r="11160" customFormat="1"/>
    <row r="11161" customFormat="1"/>
    <row r="11162" customFormat="1"/>
    <row r="11163" customFormat="1"/>
    <row r="11164" customFormat="1"/>
    <row r="11165" customFormat="1"/>
    <row r="11166" customFormat="1"/>
    <row r="11167" customFormat="1"/>
    <row r="11168" customFormat="1"/>
    <row r="11169" customFormat="1"/>
    <row r="11170" customFormat="1"/>
    <row r="11171" customFormat="1"/>
    <row r="11172" customFormat="1"/>
    <row r="11173" customFormat="1"/>
    <row r="11174" customFormat="1"/>
    <row r="11175" customFormat="1"/>
    <row r="11176" customFormat="1"/>
    <row r="11177" customFormat="1"/>
    <row r="11178" customFormat="1"/>
    <row r="11179" customFormat="1"/>
    <row r="11180" customFormat="1"/>
    <row r="11181" customFormat="1"/>
    <row r="11182" customFormat="1"/>
    <row r="11183" customFormat="1"/>
    <row r="11184" customFormat="1"/>
    <row r="11185" customFormat="1"/>
    <row r="11186" customFormat="1"/>
    <row r="11187" customFormat="1"/>
    <row r="11188" customFormat="1"/>
    <row r="11189" customFormat="1"/>
    <row r="11190" customFormat="1"/>
    <row r="11191" customFormat="1"/>
    <row r="11192" customFormat="1"/>
    <row r="11193" customFormat="1"/>
    <row r="11194" customFormat="1"/>
    <row r="11195" customFormat="1"/>
    <row r="11196" customFormat="1"/>
    <row r="11197" customFormat="1"/>
    <row r="11198" customFormat="1"/>
    <row r="11199" customFormat="1"/>
    <row r="11200" customFormat="1"/>
    <row r="11201" customFormat="1"/>
    <row r="11202" customFormat="1"/>
    <row r="11203" customFormat="1"/>
    <row r="11204" customFormat="1"/>
    <row r="11205" customFormat="1"/>
    <row r="11206" customFormat="1"/>
    <row r="11207" customFormat="1"/>
    <row r="11208" customFormat="1"/>
    <row r="11209" customFormat="1"/>
    <row r="11210" customFormat="1"/>
    <row r="11211" customFormat="1"/>
    <row r="11212" customFormat="1"/>
    <row r="11213" customFormat="1"/>
    <row r="11214" customFormat="1"/>
    <row r="11215" customFormat="1"/>
    <row r="11216" customFormat="1"/>
    <row r="11217" customFormat="1"/>
    <row r="11218" customFormat="1"/>
    <row r="11219" customFormat="1"/>
    <row r="11220" customFormat="1"/>
    <row r="11221" customFormat="1"/>
    <row r="11222" customFormat="1"/>
    <row r="11223" customFormat="1"/>
    <row r="11224" customFormat="1"/>
    <row r="11225" customFormat="1"/>
    <row r="11226" customFormat="1"/>
    <row r="11227" customFormat="1"/>
    <row r="11228" customFormat="1"/>
    <row r="11229" customFormat="1"/>
    <row r="11230" customFormat="1"/>
    <row r="11231" customFormat="1"/>
    <row r="11232" customFormat="1"/>
    <row r="11233" customFormat="1"/>
    <row r="11234" customFormat="1"/>
    <row r="11235" customFormat="1"/>
    <row r="11236" customFormat="1"/>
    <row r="11237" customFormat="1"/>
    <row r="11238" customFormat="1"/>
    <row r="11239" customFormat="1"/>
    <row r="11240" customFormat="1"/>
    <row r="11241" customFormat="1"/>
    <row r="11242" customFormat="1"/>
    <row r="11243" customFormat="1"/>
    <row r="11244" customFormat="1"/>
    <row r="11245" customFormat="1"/>
    <row r="11246" customFormat="1"/>
    <row r="11247" customFormat="1"/>
    <row r="11248" customFormat="1"/>
    <row r="11249" customFormat="1"/>
    <row r="11250" customFormat="1"/>
    <row r="11251" customFormat="1"/>
    <row r="11252" customFormat="1"/>
    <row r="11253" customFormat="1"/>
    <row r="11254" customFormat="1"/>
    <row r="11255" customFormat="1"/>
    <row r="11256" customFormat="1"/>
    <row r="11257" customFormat="1"/>
    <row r="11258" customFormat="1"/>
    <row r="11259" customFormat="1"/>
    <row r="11260" customFormat="1"/>
    <row r="11261" customFormat="1"/>
    <row r="11262" customFormat="1"/>
    <row r="11263" customFormat="1"/>
    <row r="11264" customFormat="1"/>
    <row r="11265" customFormat="1"/>
    <row r="11266" customFormat="1"/>
    <row r="11267" customFormat="1"/>
    <row r="11268" customFormat="1"/>
    <row r="11269" customFormat="1"/>
    <row r="11270" customFormat="1"/>
    <row r="11271" customFormat="1"/>
    <row r="11272" customFormat="1"/>
    <row r="11273" customFormat="1"/>
    <row r="11274" customFormat="1"/>
    <row r="11275" customFormat="1"/>
    <row r="11276" customFormat="1"/>
    <row r="11277" customFormat="1"/>
    <row r="11278" customFormat="1"/>
    <row r="11279" customFormat="1"/>
    <row r="11280" customFormat="1"/>
    <row r="11281" customFormat="1"/>
    <row r="11282" customFormat="1"/>
    <row r="11283" customFormat="1"/>
    <row r="11284" customFormat="1"/>
    <row r="11285" customFormat="1"/>
    <row r="11286" customFormat="1"/>
    <row r="11287" customFormat="1"/>
    <row r="11288" customFormat="1"/>
    <row r="11289" customFormat="1"/>
    <row r="11290" customFormat="1"/>
    <row r="11291" customFormat="1"/>
    <row r="11292" customFormat="1"/>
    <row r="11293" customFormat="1"/>
    <row r="11294" customFormat="1"/>
    <row r="11295" customFormat="1"/>
    <row r="11296" customFormat="1"/>
    <row r="11297" customFormat="1"/>
    <row r="11298" customFormat="1"/>
    <row r="11299" customFormat="1"/>
    <row r="11300" customFormat="1"/>
    <row r="11301" customFormat="1"/>
    <row r="11302" customFormat="1"/>
    <row r="11303" customFormat="1"/>
    <row r="11304" customFormat="1"/>
    <row r="11305" customFormat="1"/>
    <row r="11306" customFormat="1"/>
    <row r="11307" customFormat="1"/>
    <row r="11308" customFormat="1"/>
    <row r="11309" customFormat="1"/>
    <row r="11310" customFormat="1"/>
    <row r="11311" customFormat="1"/>
    <row r="11312" customFormat="1"/>
    <row r="11313" customFormat="1"/>
    <row r="11314" customFormat="1"/>
    <row r="11315" customFormat="1"/>
    <row r="11316" customFormat="1"/>
    <row r="11317" customFormat="1"/>
    <row r="11318" customFormat="1"/>
    <row r="11319" customFormat="1"/>
    <row r="11320" customFormat="1"/>
    <row r="11321" customFormat="1"/>
    <row r="11322" customFormat="1"/>
    <row r="11323" customFormat="1"/>
    <row r="11324" customFormat="1"/>
    <row r="11325" customFormat="1"/>
    <row r="11326" customFormat="1"/>
    <row r="11327" customFormat="1"/>
    <row r="11328" customFormat="1"/>
    <row r="11329" customFormat="1"/>
    <row r="11330" customFormat="1"/>
    <row r="11331" customFormat="1"/>
    <row r="11332" customFormat="1"/>
    <row r="11333" customFormat="1"/>
    <row r="11334" customFormat="1"/>
    <row r="11335" customFormat="1"/>
    <row r="11336" customFormat="1"/>
    <row r="11337" customFormat="1"/>
    <row r="11338" customFormat="1"/>
    <row r="11339" customFormat="1"/>
    <row r="11340" customFormat="1"/>
    <row r="11341" customFormat="1"/>
    <row r="11342" customFormat="1"/>
    <row r="11343" customFormat="1"/>
    <row r="11344" customFormat="1"/>
    <row r="11345" customFormat="1"/>
    <row r="11346" customFormat="1"/>
    <row r="11347" customFormat="1"/>
    <row r="11348" customFormat="1"/>
    <row r="11349" customFormat="1"/>
    <row r="11350" customFormat="1"/>
    <row r="11351" customFormat="1"/>
    <row r="11352" customFormat="1"/>
    <row r="11353" customFormat="1"/>
    <row r="11354" customFormat="1"/>
    <row r="11355" customFormat="1"/>
    <row r="11356" customFormat="1"/>
    <row r="11357" customFormat="1"/>
    <row r="11358" customFormat="1"/>
    <row r="11359" customFormat="1"/>
    <row r="11360" customFormat="1"/>
    <row r="11361" customFormat="1"/>
    <row r="11362" customFormat="1"/>
    <row r="11363" customFormat="1"/>
    <row r="11364" customFormat="1"/>
    <row r="11365" customFormat="1"/>
    <row r="11366" customFormat="1"/>
    <row r="11367" customFormat="1"/>
    <row r="11368" customFormat="1"/>
    <row r="11369" customFormat="1"/>
    <row r="11370" customFormat="1"/>
    <row r="11371" customFormat="1"/>
    <row r="11372" customFormat="1"/>
    <row r="11373" customFormat="1"/>
    <row r="11374" customFormat="1"/>
    <row r="11375" customFormat="1"/>
    <row r="11376" customFormat="1"/>
    <row r="11377" customFormat="1"/>
    <row r="11378" customFormat="1"/>
    <row r="11379" customFormat="1"/>
    <row r="11380" customFormat="1"/>
    <row r="11381" customFormat="1"/>
    <row r="11382" customFormat="1"/>
    <row r="11383" customFormat="1"/>
    <row r="11384" customFormat="1"/>
    <row r="11385" customFormat="1"/>
    <row r="11386" customFormat="1"/>
    <row r="11387" customFormat="1"/>
    <row r="11388" customFormat="1"/>
    <row r="11389" customFormat="1"/>
    <row r="11390" customFormat="1"/>
    <row r="11391" customFormat="1"/>
    <row r="11392" customFormat="1"/>
    <row r="11393" customFormat="1"/>
    <row r="11394" customFormat="1"/>
    <row r="11395" customFormat="1"/>
    <row r="11396" customFormat="1"/>
    <row r="11397" customFormat="1"/>
    <row r="11398" customFormat="1"/>
    <row r="11399" customFormat="1"/>
    <row r="11400" customFormat="1"/>
    <row r="11401" customFormat="1"/>
    <row r="11402" customFormat="1"/>
    <row r="11403" customFormat="1"/>
    <row r="11404" customFormat="1"/>
    <row r="11405" customFormat="1"/>
    <row r="11406" customFormat="1"/>
    <row r="11407" customFormat="1"/>
    <row r="11408" customFormat="1"/>
    <row r="11409" customFormat="1"/>
    <row r="11410" customFormat="1"/>
    <row r="11411" customFormat="1"/>
    <row r="11412" customFormat="1"/>
    <row r="11413" customFormat="1"/>
    <row r="11414" customFormat="1"/>
    <row r="11415" customFormat="1"/>
    <row r="11416" customFormat="1"/>
    <row r="11417" customFormat="1"/>
    <row r="11418" customFormat="1"/>
    <row r="11419" customFormat="1"/>
    <row r="11420" customFormat="1"/>
    <row r="11421" customFormat="1"/>
    <row r="11422" customFormat="1"/>
    <row r="11423" customFormat="1"/>
    <row r="11424" customFormat="1"/>
    <row r="11425" customFormat="1"/>
    <row r="11426" customFormat="1"/>
    <row r="11427" customFormat="1"/>
    <row r="11428" customFormat="1"/>
    <row r="11429" customFormat="1"/>
    <row r="11430" customFormat="1"/>
    <row r="11431" customFormat="1"/>
    <row r="11432" customFormat="1"/>
    <row r="11433" customFormat="1"/>
    <row r="11434" customFormat="1"/>
    <row r="11435" customFormat="1"/>
    <row r="11436" customFormat="1"/>
    <row r="11437" customFormat="1"/>
    <row r="11438" customFormat="1"/>
    <row r="11439" customFormat="1"/>
    <row r="11440" customFormat="1"/>
    <row r="11441" customFormat="1"/>
    <row r="11442" customFormat="1"/>
    <row r="11443" customFormat="1"/>
    <row r="11444" customFormat="1"/>
    <row r="11445" customFormat="1"/>
    <row r="11446" customFormat="1"/>
    <row r="11447" customFormat="1"/>
    <row r="11448" customFormat="1"/>
    <row r="11449" customFormat="1"/>
    <row r="11450" customFormat="1"/>
    <row r="11451" customFormat="1"/>
    <row r="11452" customFormat="1"/>
    <row r="11453" customFormat="1"/>
    <row r="11454" customFormat="1"/>
    <row r="11455" customFormat="1"/>
    <row r="11456" customFormat="1"/>
    <row r="11457" customFormat="1"/>
    <row r="11458" customFormat="1"/>
    <row r="11459" customFormat="1"/>
    <row r="11460" customFormat="1"/>
    <row r="11461" customFormat="1"/>
    <row r="11462" customFormat="1"/>
    <row r="11463" customFormat="1"/>
    <row r="11464" customFormat="1"/>
    <row r="11465" customFormat="1"/>
    <row r="11466" customFormat="1"/>
    <row r="11467" customFormat="1"/>
    <row r="11468" customFormat="1"/>
    <row r="11469" customFormat="1"/>
    <row r="11470" customFormat="1"/>
    <row r="11471" customFormat="1"/>
    <row r="11472" customFormat="1"/>
    <row r="11473" customFormat="1"/>
    <row r="11474" customFormat="1"/>
    <row r="11475" customFormat="1"/>
    <row r="11476" customFormat="1"/>
    <row r="11477" customFormat="1"/>
    <row r="11478" customFormat="1"/>
    <row r="11479" customFormat="1"/>
    <row r="11480" customFormat="1"/>
    <row r="11481" customFormat="1"/>
    <row r="11482" customFormat="1"/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  <row r="11504" customFormat="1"/>
    <row r="11505" customFormat="1"/>
    <row r="11506" customFormat="1"/>
    <row r="11507" customFormat="1"/>
    <row r="11508" customFormat="1"/>
    <row r="11509" customFormat="1"/>
    <row r="11510" customFormat="1"/>
    <row r="11511" customFormat="1"/>
    <row r="11512" customFormat="1"/>
    <row r="11513" customFormat="1"/>
    <row r="11514" customFormat="1"/>
    <row r="11515" customFormat="1"/>
    <row r="11516" customFormat="1"/>
    <row r="11517" customFormat="1"/>
    <row r="11518" customFormat="1"/>
    <row r="11519" customFormat="1"/>
    <row r="11520" customFormat="1"/>
    <row r="11521" customFormat="1"/>
    <row r="11522" customFormat="1"/>
    <row r="11523" customFormat="1"/>
    <row r="11524" customFormat="1"/>
    <row r="11525" customFormat="1"/>
    <row r="11526" customFormat="1"/>
    <row r="11527" customFormat="1"/>
    <row r="11528" customFormat="1"/>
    <row r="11529" customFormat="1"/>
    <row r="11530" customFormat="1"/>
    <row r="11531" customFormat="1"/>
    <row r="11532" customFormat="1"/>
    <row r="11533" customFormat="1"/>
    <row r="11534" customFormat="1"/>
    <row r="11535" customFormat="1"/>
    <row r="11536" customFormat="1"/>
    <row r="11537" customFormat="1"/>
    <row r="11538" customFormat="1"/>
    <row r="11539" customFormat="1"/>
    <row r="11540" customFormat="1"/>
    <row r="11541" customFormat="1"/>
    <row r="11542" customFormat="1"/>
    <row r="11543" customFormat="1"/>
    <row r="11544" customFormat="1"/>
    <row r="11545" customFormat="1"/>
    <row r="11546" customFormat="1"/>
    <row r="11547" customFormat="1"/>
    <row r="11548" customFormat="1"/>
    <row r="11549" customFormat="1"/>
    <row r="11550" customFormat="1"/>
    <row r="11551" customFormat="1"/>
    <row r="11552" customFormat="1"/>
    <row r="11553" customFormat="1"/>
    <row r="11554" customFormat="1"/>
    <row r="11555" customFormat="1"/>
    <row r="11556" customFormat="1"/>
    <row r="11557" customFormat="1"/>
    <row r="11558" customFormat="1"/>
    <row r="11559" customFormat="1"/>
    <row r="11560" customFormat="1"/>
    <row r="11561" customFormat="1"/>
    <row r="11562" customFormat="1"/>
    <row r="11563" customFormat="1"/>
    <row r="11564" customFormat="1"/>
    <row r="11565" customFormat="1"/>
    <row r="11566" customFormat="1"/>
    <row r="11567" customFormat="1"/>
    <row r="11568" customFormat="1"/>
    <row r="11569" customFormat="1"/>
    <row r="11570" customFormat="1"/>
    <row r="11571" customFormat="1"/>
    <row r="11572" customFormat="1"/>
    <row r="11573" customFormat="1"/>
    <row r="11574" customFormat="1"/>
    <row r="11575" customFormat="1"/>
    <row r="11576" customFormat="1"/>
    <row r="11577" customFormat="1"/>
    <row r="11578" customFormat="1"/>
    <row r="11579" customFormat="1"/>
    <row r="11580" customFormat="1"/>
    <row r="11581" customFormat="1"/>
    <row r="11582" customFormat="1"/>
    <row r="11583" customFormat="1"/>
    <row r="11584" customFormat="1"/>
    <row r="11585" customFormat="1"/>
    <row r="11586" customFormat="1"/>
    <row r="11587" customFormat="1"/>
    <row r="11588" customFormat="1"/>
    <row r="11589" customFormat="1"/>
    <row r="11590" customFormat="1"/>
    <row r="11591" customFormat="1"/>
    <row r="11592" customFormat="1"/>
    <row r="11593" customFormat="1"/>
    <row r="11594" customFormat="1"/>
    <row r="11595" customFormat="1"/>
    <row r="11596" customFormat="1"/>
    <row r="11597" customFormat="1"/>
    <row r="11598" customFormat="1"/>
    <row r="11599" customFormat="1"/>
    <row r="11600" customFormat="1"/>
    <row r="11601" customFormat="1"/>
    <row r="11602" customFormat="1"/>
    <row r="11603" customFormat="1"/>
    <row r="11604" customFormat="1"/>
    <row r="11605" customFormat="1"/>
    <row r="11606" customFormat="1"/>
    <row r="11607" customFormat="1"/>
    <row r="11608" customFormat="1"/>
    <row r="11609" customFormat="1"/>
    <row r="11610" customFormat="1"/>
    <row r="11611" customFormat="1"/>
    <row r="11612" customFormat="1"/>
    <row r="11613" customFormat="1"/>
    <row r="11614" customFormat="1"/>
    <row r="11615" customFormat="1"/>
    <row r="11616" customFormat="1"/>
    <row r="11617" customFormat="1"/>
    <row r="11618" customFormat="1"/>
    <row r="11619" customFormat="1"/>
    <row r="11620" customFormat="1"/>
    <row r="11621" customFormat="1"/>
    <row r="11622" customFormat="1"/>
    <row r="11623" customFormat="1"/>
    <row r="11624" customFormat="1"/>
    <row r="11625" customFormat="1"/>
    <row r="11626" customFormat="1"/>
    <row r="11627" customFormat="1"/>
    <row r="11628" customFormat="1"/>
    <row r="11629" customFormat="1"/>
    <row r="11630" customFormat="1"/>
    <row r="11631" customFormat="1"/>
    <row r="11632" customFormat="1"/>
    <row r="11633" customFormat="1"/>
    <row r="11634" customFormat="1"/>
    <row r="11635" customFormat="1"/>
    <row r="11636" customFormat="1"/>
    <row r="11637" customFormat="1"/>
    <row r="11638" customFormat="1"/>
    <row r="11639" customFormat="1"/>
    <row r="11640" customFormat="1"/>
    <row r="11641" customFormat="1"/>
    <row r="11642" customFormat="1"/>
    <row r="11643" customFormat="1"/>
    <row r="11644" customFormat="1"/>
    <row r="11645" customFormat="1"/>
    <row r="11646" customFormat="1"/>
    <row r="11647" customFormat="1"/>
    <row r="11648" customFormat="1"/>
    <row r="11649" customFormat="1"/>
    <row r="11650" customFormat="1"/>
    <row r="11651" customFormat="1"/>
    <row r="11652" customFormat="1"/>
    <row r="11653" customFormat="1"/>
    <row r="11654" customFormat="1"/>
    <row r="11655" customFormat="1"/>
    <row r="11656" customFormat="1"/>
    <row r="11657" customFormat="1"/>
    <row r="11658" customFormat="1"/>
    <row r="11659" customFormat="1"/>
    <row r="11660" customFormat="1"/>
    <row r="11661" customFormat="1"/>
    <row r="11662" customFormat="1"/>
    <row r="11663" customFormat="1"/>
    <row r="11664" customFormat="1"/>
    <row r="11665" customFormat="1"/>
    <row r="11666" customFormat="1"/>
    <row r="11667" customFormat="1"/>
    <row r="11668" customFormat="1"/>
    <row r="11669" customFormat="1"/>
    <row r="11670" customFormat="1"/>
    <row r="11671" customFormat="1"/>
    <row r="11672" customFormat="1"/>
    <row r="11673" customFormat="1"/>
    <row r="11674" customFormat="1"/>
    <row r="11675" customFormat="1"/>
    <row r="11676" customFormat="1"/>
    <row r="11677" customFormat="1"/>
    <row r="11678" customFormat="1"/>
    <row r="11679" customFormat="1"/>
    <row r="11680" customFormat="1"/>
    <row r="11681" customFormat="1"/>
    <row r="11682" customFormat="1"/>
    <row r="11683" customFormat="1"/>
    <row r="11684" customFormat="1"/>
    <row r="11685" customFormat="1"/>
    <row r="11686" customFormat="1"/>
    <row r="11687" customFormat="1"/>
    <row r="11688" customFormat="1"/>
    <row r="11689" customFormat="1"/>
    <row r="11690" customFormat="1"/>
    <row r="11691" customFormat="1"/>
    <row r="11692" customFormat="1"/>
    <row r="11693" customFormat="1"/>
    <row r="11694" customFormat="1"/>
    <row r="11695" customFormat="1"/>
    <row r="11696" customFormat="1"/>
    <row r="11697" customFormat="1"/>
    <row r="11698" customFormat="1"/>
    <row r="11699" customFormat="1"/>
    <row r="11700" customFormat="1"/>
    <row r="11701" customFormat="1"/>
    <row r="11702" customFormat="1"/>
    <row r="11703" customFormat="1"/>
    <row r="11704" customFormat="1"/>
    <row r="11705" customFormat="1"/>
    <row r="11706" customFormat="1"/>
    <row r="11707" customFormat="1"/>
    <row r="11708" customFormat="1"/>
    <row r="11709" customFormat="1"/>
    <row r="11710" customFormat="1"/>
    <row r="11711" customFormat="1"/>
    <row r="11712" customFormat="1"/>
    <row r="11713" customFormat="1"/>
    <row r="11714" customFormat="1"/>
    <row r="11715" customFormat="1"/>
    <row r="11716" customFormat="1"/>
    <row r="11717" customFormat="1"/>
    <row r="11718" customFormat="1"/>
    <row r="11719" customFormat="1"/>
    <row r="11720" customFormat="1"/>
    <row r="11721" customFormat="1"/>
    <row r="11722" customFormat="1"/>
    <row r="11723" customFormat="1"/>
    <row r="11724" customFormat="1"/>
    <row r="11725" customFormat="1"/>
    <row r="11726" customFormat="1"/>
    <row r="11727" customFormat="1"/>
    <row r="11728" customFormat="1"/>
    <row r="11729" customFormat="1"/>
    <row r="11730" customFormat="1"/>
    <row r="11731" customFormat="1"/>
    <row r="11732" customFormat="1"/>
    <row r="11733" customFormat="1"/>
    <row r="11734" customFormat="1"/>
    <row r="11735" customFormat="1"/>
    <row r="11736" customFormat="1"/>
    <row r="11737" customFormat="1"/>
    <row r="11738" customFormat="1"/>
    <row r="11739" customFormat="1"/>
    <row r="11740" customFormat="1"/>
    <row r="11741" customFormat="1"/>
    <row r="11742" customFormat="1"/>
    <row r="11743" customFormat="1"/>
    <row r="11744" customFormat="1"/>
    <row r="11745" customFormat="1"/>
    <row r="11746" customFormat="1"/>
    <row r="11747" customFormat="1"/>
    <row r="11748" customFormat="1"/>
    <row r="11749" customFormat="1"/>
    <row r="11750" customFormat="1"/>
    <row r="11751" customFormat="1"/>
    <row r="11752" customFormat="1"/>
    <row r="11753" customFormat="1"/>
    <row r="11754" customFormat="1"/>
    <row r="11755" customFormat="1"/>
    <row r="11756" customFormat="1"/>
    <row r="11757" customFormat="1"/>
    <row r="11758" customFormat="1"/>
    <row r="11759" customFormat="1"/>
    <row r="11760" customFormat="1"/>
    <row r="11761" customFormat="1"/>
    <row r="11762" customFormat="1"/>
    <row r="11763" customFormat="1"/>
    <row r="11764" customFormat="1"/>
    <row r="11765" customFormat="1"/>
    <row r="11766" customFormat="1"/>
    <row r="11767" customFormat="1"/>
    <row r="11768" customFormat="1"/>
    <row r="11769" customFormat="1"/>
    <row r="11770" customFormat="1"/>
    <row r="11771" customFormat="1"/>
    <row r="11772" customFormat="1"/>
    <row r="11773" customFormat="1"/>
    <row r="11774" customFormat="1"/>
    <row r="11775" customFormat="1"/>
    <row r="11776" customFormat="1"/>
    <row r="11777" customFormat="1"/>
    <row r="11778" customFormat="1"/>
    <row r="11779" customFormat="1"/>
    <row r="11780" customFormat="1"/>
    <row r="11781" customFormat="1"/>
    <row r="11782" customFormat="1"/>
    <row r="11783" customFormat="1"/>
    <row r="11784" customFormat="1"/>
    <row r="11785" customFormat="1"/>
    <row r="11786" customFormat="1"/>
    <row r="11787" customFormat="1"/>
    <row r="11788" customFormat="1"/>
    <row r="11789" customFormat="1"/>
    <row r="11790" customFormat="1"/>
    <row r="11791" customFormat="1"/>
    <row r="11792" customFormat="1"/>
    <row r="11793" customFormat="1"/>
    <row r="11794" customFormat="1"/>
    <row r="11795" customFormat="1"/>
    <row r="11796" customFormat="1"/>
    <row r="11797" customFormat="1"/>
    <row r="11798" customFormat="1"/>
    <row r="11799" customFormat="1"/>
    <row r="11800" customFormat="1"/>
    <row r="11801" customFormat="1"/>
    <row r="11802" customFormat="1"/>
    <row r="11803" customFormat="1"/>
    <row r="11804" customFormat="1"/>
    <row r="11805" customFormat="1"/>
    <row r="11806" customFormat="1"/>
    <row r="11807" customFormat="1"/>
    <row r="11808" customFormat="1"/>
    <row r="11809" customFormat="1"/>
    <row r="11810" customFormat="1"/>
    <row r="11811" customFormat="1"/>
    <row r="11812" customFormat="1"/>
    <row r="11813" customFormat="1"/>
    <row r="11814" customFormat="1"/>
    <row r="11815" customFormat="1"/>
    <row r="11816" customFormat="1"/>
    <row r="11817" customFormat="1"/>
    <row r="11818" customFormat="1"/>
    <row r="11819" customFormat="1"/>
    <row r="11820" customFormat="1"/>
    <row r="11821" customFormat="1"/>
    <row r="11822" customFormat="1"/>
    <row r="11823" customFormat="1"/>
    <row r="11824" customFormat="1"/>
    <row r="11825" customFormat="1"/>
    <row r="11826" customFormat="1"/>
    <row r="11827" customFormat="1"/>
    <row r="11828" customFormat="1"/>
    <row r="11829" customFormat="1"/>
    <row r="11830" customFormat="1"/>
    <row r="11831" customFormat="1"/>
    <row r="11832" customFormat="1"/>
    <row r="11833" customFormat="1"/>
    <row r="11834" customFormat="1"/>
    <row r="11835" customFormat="1"/>
    <row r="11836" customFormat="1"/>
    <row r="11837" customFormat="1"/>
    <row r="11838" customFormat="1"/>
    <row r="11839" customFormat="1"/>
    <row r="11840" customFormat="1"/>
    <row r="11841" customFormat="1"/>
    <row r="11842" customFormat="1"/>
    <row r="11843" customFormat="1"/>
    <row r="11844" customFormat="1"/>
    <row r="11845" customFormat="1"/>
    <row r="11846" customFormat="1"/>
    <row r="11847" customFormat="1"/>
    <row r="11848" customFormat="1"/>
    <row r="11849" customFormat="1"/>
    <row r="11850" customFormat="1"/>
    <row r="11851" customFormat="1"/>
    <row r="11852" customFormat="1"/>
    <row r="11853" customFormat="1"/>
    <row r="11854" customFormat="1"/>
    <row r="11855" customFormat="1"/>
    <row r="11856" customFormat="1"/>
    <row r="11857" customFormat="1"/>
    <row r="11858" customFormat="1"/>
    <row r="11859" customFormat="1"/>
    <row r="11860" customFormat="1"/>
    <row r="11861" customFormat="1"/>
    <row r="11862" customFormat="1"/>
    <row r="11863" customFormat="1"/>
    <row r="11864" customFormat="1"/>
    <row r="11865" customFormat="1"/>
    <row r="11866" customFormat="1"/>
    <row r="11867" customFormat="1"/>
    <row r="11868" customFormat="1"/>
    <row r="11869" customFormat="1"/>
    <row r="11870" customFormat="1"/>
    <row r="11871" customFormat="1"/>
    <row r="11872" customFormat="1"/>
    <row r="11873" customFormat="1"/>
    <row r="11874" customFormat="1"/>
    <row r="11875" customFormat="1"/>
    <row r="11876" customFormat="1"/>
    <row r="11877" customFormat="1"/>
    <row r="11878" customFormat="1"/>
    <row r="11879" customFormat="1"/>
    <row r="11880" customFormat="1"/>
    <row r="11881" customFormat="1"/>
    <row r="11882" customFormat="1"/>
    <row r="11883" customFormat="1"/>
    <row r="11884" customFormat="1"/>
    <row r="11885" customFormat="1"/>
    <row r="11886" customFormat="1"/>
    <row r="11887" customFormat="1"/>
    <row r="11888" customFormat="1"/>
    <row r="11889" customFormat="1"/>
    <row r="11890" customFormat="1"/>
    <row r="11891" customFormat="1"/>
    <row r="11892" customFormat="1"/>
    <row r="11893" customFormat="1"/>
    <row r="11894" customFormat="1"/>
    <row r="11895" customFormat="1"/>
    <row r="11896" customFormat="1"/>
    <row r="11897" customFormat="1"/>
    <row r="11898" customFormat="1"/>
    <row r="11899" customFormat="1"/>
    <row r="11900" customFormat="1"/>
    <row r="11901" customFormat="1"/>
    <row r="11902" customFormat="1"/>
    <row r="11903" customFormat="1"/>
    <row r="11904" customFormat="1"/>
    <row r="11905" customFormat="1"/>
    <row r="11906" customFormat="1"/>
    <row r="11907" customFormat="1"/>
    <row r="11908" customFormat="1"/>
    <row r="11909" customFormat="1"/>
    <row r="11910" customFormat="1"/>
    <row r="11911" customFormat="1"/>
    <row r="11912" customFormat="1"/>
    <row r="11913" customFormat="1"/>
    <row r="11914" customFormat="1"/>
    <row r="11915" customFormat="1"/>
    <row r="11916" customFormat="1"/>
    <row r="11917" customFormat="1"/>
    <row r="11918" customFormat="1"/>
    <row r="11919" customFormat="1"/>
    <row r="11920" customFormat="1"/>
    <row r="11921" customFormat="1"/>
    <row r="11922" customFormat="1"/>
    <row r="11923" customFormat="1"/>
    <row r="11924" customFormat="1"/>
    <row r="11925" customFormat="1"/>
    <row r="11926" customFormat="1"/>
    <row r="11927" customFormat="1"/>
    <row r="11928" customFormat="1"/>
    <row r="11929" customFormat="1"/>
    <row r="11930" customFormat="1"/>
    <row r="11931" customFormat="1"/>
    <row r="11932" customFormat="1"/>
    <row r="11933" customFormat="1"/>
    <row r="11934" customFormat="1"/>
    <row r="11935" customFormat="1"/>
    <row r="11936" customFormat="1"/>
    <row r="11937" customFormat="1"/>
    <row r="11938" customFormat="1"/>
    <row r="11939" customFormat="1"/>
    <row r="11940" customFormat="1"/>
    <row r="11941" customFormat="1"/>
    <row r="11942" customFormat="1"/>
    <row r="11943" customFormat="1"/>
    <row r="11944" customFormat="1"/>
    <row r="11945" customFormat="1"/>
    <row r="11946" customFormat="1"/>
    <row r="11947" customFormat="1"/>
    <row r="11948" customFormat="1"/>
    <row r="11949" customFormat="1"/>
    <row r="11950" customFormat="1"/>
    <row r="11951" customFormat="1"/>
    <row r="11952" customFormat="1"/>
    <row r="11953" customFormat="1"/>
    <row r="11954" customFormat="1"/>
    <row r="11955" customFormat="1"/>
    <row r="11956" customFormat="1"/>
    <row r="11957" customFormat="1"/>
    <row r="11958" customFormat="1"/>
    <row r="11959" customFormat="1"/>
    <row r="11960" customFormat="1"/>
    <row r="11961" customFormat="1"/>
    <row r="11962" customFormat="1"/>
    <row r="11963" customFormat="1"/>
    <row r="11964" customFormat="1"/>
    <row r="11965" customFormat="1"/>
    <row r="11966" customFormat="1"/>
    <row r="11967" customFormat="1"/>
    <row r="11968" customFormat="1"/>
    <row r="11969" customFormat="1"/>
    <row r="11970" customFormat="1"/>
    <row r="11971" customFormat="1"/>
    <row r="11972" customFormat="1"/>
    <row r="11973" customFormat="1"/>
    <row r="11974" customFormat="1"/>
    <row r="11975" customFormat="1"/>
    <row r="11976" customFormat="1"/>
    <row r="11977" customFormat="1"/>
    <row r="11978" customFormat="1"/>
    <row r="11979" customFormat="1"/>
    <row r="11980" customFormat="1"/>
    <row r="11981" customFormat="1"/>
    <row r="11982" customFormat="1"/>
    <row r="11983" customFormat="1"/>
    <row r="11984" customFormat="1"/>
    <row r="11985" customFormat="1"/>
    <row r="11986" customFormat="1"/>
    <row r="11987" customFormat="1"/>
    <row r="11988" customFormat="1"/>
    <row r="11989" customFormat="1"/>
    <row r="11990" customFormat="1"/>
    <row r="11991" customFormat="1"/>
    <row r="11992" customFormat="1"/>
    <row r="11993" customFormat="1"/>
    <row r="11994" customFormat="1"/>
    <row r="11995" customFormat="1"/>
    <row r="11996" customFormat="1"/>
    <row r="11997" customFormat="1"/>
    <row r="11998" customFormat="1"/>
    <row r="11999" customFormat="1"/>
    <row r="12000" customFormat="1"/>
    <row r="12001" customFormat="1"/>
    <row r="12002" customFormat="1"/>
    <row r="12003" customFormat="1"/>
    <row r="12004" customFormat="1"/>
    <row r="12005" customFormat="1"/>
    <row r="12006" customFormat="1"/>
    <row r="12007" customFormat="1"/>
    <row r="12008" customFormat="1"/>
    <row r="12009" customFormat="1"/>
    <row r="12010" customFormat="1"/>
    <row r="12011" customFormat="1"/>
    <row r="12012" customFormat="1"/>
    <row r="12013" customFormat="1"/>
    <row r="12014" customFormat="1"/>
    <row r="12015" customFormat="1"/>
    <row r="12016" customFormat="1"/>
    <row r="12017" customFormat="1"/>
    <row r="12018" customFormat="1"/>
    <row r="12019" customFormat="1"/>
    <row r="12020" customFormat="1"/>
    <row r="12021" customFormat="1"/>
    <row r="12022" customFormat="1"/>
    <row r="12023" customFormat="1"/>
    <row r="12024" customFormat="1"/>
    <row r="12025" customFormat="1"/>
    <row r="12026" customFormat="1"/>
    <row r="12027" customFormat="1"/>
    <row r="12028" customFormat="1"/>
    <row r="12029" customFormat="1"/>
    <row r="12030" customFormat="1"/>
    <row r="12031" customFormat="1"/>
    <row r="12032" customFormat="1"/>
    <row r="12033" customFormat="1"/>
    <row r="12034" customFormat="1"/>
    <row r="12035" customFormat="1"/>
    <row r="12036" customFormat="1"/>
    <row r="12037" customFormat="1"/>
    <row r="12038" customFormat="1"/>
    <row r="12039" customFormat="1"/>
    <row r="12040" customFormat="1"/>
    <row r="12041" customFormat="1"/>
    <row r="12042" customFormat="1"/>
    <row r="12043" customFormat="1"/>
    <row r="12044" customFormat="1"/>
    <row r="12045" customFormat="1"/>
    <row r="12046" customFormat="1"/>
    <row r="12047" customFormat="1"/>
    <row r="12048" customFormat="1"/>
    <row r="12049" customFormat="1"/>
    <row r="12050" customFormat="1"/>
    <row r="12051" customFormat="1"/>
    <row r="12052" customFormat="1"/>
    <row r="12053" customFormat="1"/>
    <row r="12054" customFormat="1"/>
    <row r="12055" customFormat="1"/>
    <row r="12056" customFormat="1"/>
    <row r="12057" customFormat="1"/>
    <row r="12058" customFormat="1"/>
    <row r="12059" customFormat="1"/>
    <row r="12060" customFormat="1"/>
    <row r="12061" customFormat="1"/>
    <row r="12062" customFormat="1"/>
    <row r="12063" customFormat="1"/>
    <row r="12064" customFormat="1"/>
    <row r="12065" customFormat="1"/>
    <row r="12066" customFormat="1"/>
    <row r="12067" customFormat="1"/>
    <row r="12068" customFormat="1"/>
    <row r="12069" customFormat="1"/>
    <row r="12070" customFormat="1"/>
    <row r="12071" customFormat="1"/>
    <row r="12072" customFormat="1"/>
    <row r="12073" customFormat="1"/>
    <row r="12074" customFormat="1"/>
    <row r="12075" customFormat="1"/>
    <row r="12076" customFormat="1"/>
    <row r="12077" customFormat="1"/>
    <row r="12078" customFormat="1"/>
    <row r="12079" customFormat="1"/>
    <row r="12080" customFormat="1"/>
    <row r="12081" customFormat="1"/>
    <row r="12082" customFormat="1"/>
    <row r="12083" customFormat="1"/>
    <row r="12084" customFormat="1"/>
    <row r="12085" customFormat="1"/>
    <row r="12086" customFormat="1"/>
    <row r="12087" customFormat="1"/>
    <row r="12088" customFormat="1"/>
    <row r="12089" customFormat="1"/>
    <row r="12090" customFormat="1"/>
    <row r="12091" customFormat="1"/>
    <row r="12092" customFormat="1"/>
    <row r="12093" customFormat="1"/>
    <row r="12094" customFormat="1"/>
    <row r="12095" customFormat="1"/>
    <row r="12096" customFormat="1"/>
    <row r="12097" customFormat="1"/>
    <row r="12098" customFormat="1"/>
    <row r="12099" customFormat="1"/>
    <row r="12100" customFormat="1"/>
    <row r="12101" customFormat="1"/>
    <row r="12102" customFormat="1"/>
    <row r="12103" customFormat="1"/>
    <row r="12104" customFormat="1"/>
    <row r="12105" customFormat="1"/>
    <row r="12106" customFormat="1"/>
    <row r="12107" customFormat="1"/>
    <row r="12108" customFormat="1"/>
    <row r="12109" customFormat="1"/>
    <row r="12110" customFormat="1"/>
    <row r="12111" customFormat="1"/>
    <row r="12112" customFormat="1"/>
    <row r="12113" customFormat="1"/>
    <row r="12114" customFormat="1"/>
    <row r="12115" customFormat="1"/>
    <row r="12116" customFormat="1"/>
    <row r="12117" customFormat="1"/>
    <row r="12118" customFormat="1"/>
    <row r="12119" customFormat="1"/>
    <row r="12120" customFormat="1"/>
    <row r="12121" customFormat="1"/>
    <row r="12122" customFormat="1"/>
    <row r="12123" customFormat="1"/>
    <row r="12124" customFormat="1"/>
    <row r="12125" customFormat="1"/>
    <row r="12126" customFormat="1"/>
    <row r="12127" customFormat="1"/>
    <row r="12128" customFormat="1"/>
    <row r="12129" customFormat="1"/>
    <row r="12130" customFormat="1"/>
    <row r="12131" customFormat="1"/>
    <row r="12132" customFormat="1"/>
    <row r="12133" customFormat="1"/>
    <row r="12134" customFormat="1"/>
    <row r="12135" customFormat="1"/>
    <row r="12136" customFormat="1"/>
    <row r="12137" customFormat="1"/>
    <row r="12138" customFormat="1"/>
    <row r="12139" customFormat="1"/>
    <row r="12140" customFormat="1"/>
    <row r="12141" customFormat="1"/>
    <row r="12142" customFormat="1"/>
    <row r="12143" customFormat="1"/>
    <row r="12144" customFormat="1"/>
    <row r="12145" customFormat="1"/>
    <row r="12146" customFormat="1"/>
    <row r="12147" customFormat="1"/>
    <row r="12148" customFormat="1"/>
    <row r="12149" customFormat="1"/>
    <row r="12150" customFormat="1"/>
    <row r="12151" customFormat="1"/>
    <row r="12152" customFormat="1"/>
    <row r="12153" customFormat="1"/>
    <row r="12154" customFormat="1"/>
    <row r="12155" customFormat="1"/>
    <row r="12156" customFormat="1"/>
    <row r="12157" customFormat="1"/>
    <row r="12158" customFormat="1"/>
    <row r="12159" customFormat="1"/>
    <row r="12160" customFormat="1"/>
    <row r="12161" customFormat="1"/>
    <row r="12162" customFormat="1"/>
    <row r="12163" customFormat="1"/>
    <row r="12164" customFormat="1"/>
    <row r="12165" customFormat="1"/>
    <row r="12166" customFormat="1"/>
    <row r="12167" customFormat="1"/>
    <row r="12168" customFormat="1"/>
    <row r="12169" customFormat="1"/>
    <row r="12170" customFormat="1"/>
    <row r="12171" customFormat="1"/>
    <row r="12172" customFormat="1"/>
    <row r="12173" customFormat="1"/>
    <row r="12174" customFormat="1"/>
    <row r="12175" customFormat="1"/>
    <row r="12176" customFormat="1"/>
    <row r="12177" customFormat="1"/>
    <row r="12178" customFormat="1"/>
    <row r="12179" customFormat="1"/>
    <row r="12180" customFormat="1"/>
    <row r="12181" customFormat="1"/>
    <row r="12182" customFormat="1"/>
    <row r="12183" customFormat="1"/>
    <row r="12184" customFormat="1"/>
    <row r="12185" customFormat="1"/>
    <row r="12186" customFormat="1"/>
    <row r="12187" customFormat="1"/>
    <row r="12188" customFormat="1"/>
    <row r="12189" customFormat="1"/>
    <row r="12190" customFormat="1"/>
    <row r="12191" customFormat="1"/>
    <row r="12192" customFormat="1"/>
    <row r="12193" customFormat="1"/>
    <row r="12194" customFormat="1"/>
    <row r="12195" customFormat="1"/>
    <row r="12196" customFormat="1"/>
    <row r="12197" customFormat="1"/>
    <row r="12198" customFormat="1"/>
    <row r="12199" customFormat="1"/>
    <row r="12200" customFormat="1"/>
    <row r="12201" customFormat="1"/>
    <row r="12202" customFormat="1"/>
    <row r="12203" customFormat="1"/>
    <row r="12204" customFormat="1"/>
    <row r="12205" customFormat="1"/>
    <row r="12206" customFormat="1"/>
    <row r="12207" customFormat="1"/>
    <row r="12208" customFormat="1"/>
    <row r="12209" customFormat="1"/>
    <row r="12210" customFormat="1"/>
    <row r="12211" customFormat="1"/>
    <row r="12212" customFormat="1"/>
    <row r="12213" customFormat="1"/>
    <row r="12214" customFormat="1"/>
    <row r="12215" customFormat="1"/>
    <row r="12216" customFormat="1"/>
    <row r="12217" customFormat="1"/>
    <row r="12218" customFormat="1"/>
    <row r="12219" customFormat="1"/>
    <row r="12220" customFormat="1"/>
    <row r="12221" customFormat="1"/>
    <row r="12222" customFormat="1"/>
    <row r="12223" customFormat="1"/>
    <row r="12224" customFormat="1"/>
    <row r="12225" customFormat="1"/>
    <row r="12226" customFormat="1"/>
    <row r="12227" customFormat="1"/>
    <row r="12228" customFormat="1"/>
    <row r="12229" customFormat="1"/>
    <row r="12230" customFormat="1"/>
    <row r="12231" customFormat="1"/>
    <row r="12232" customFormat="1"/>
    <row r="12233" customFormat="1"/>
    <row r="12234" customFormat="1"/>
    <row r="12235" customFormat="1"/>
    <row r="12236" customFormat="1"/>
    <row r="12237" customFormat="1"/>
    <row r="12238" customFormat="1"/>
    <row r="12239" customFormat="1"/>
    <row r="12240" customFormat="1"/>
    <row r="12241" customFormat="1"/>
    <row r="12242" customFormat="1"/>
    <row r="12243" customFormat="1"/>
    <row r="12244" customFormat="1"/>
    <row r="12245" customFormat="1"/>
    <row r="12246" customFormat="1"/>
    <row r="12247" customFormat="1"/>
    <row r="12248" customFormat="1"/>
    <row r="12249" customFormat="1"/>
    <row r="12250" customFormat="1"/>
    <row r="12251" customFormat="1"/>
    <row r="12252" customFormat="1"/>
    <row r="12253" customFormat="1"/>
    <row r="12254" customFormat="1"/>
    <row r="12255" customFormat="1"/>
    <row r="12256" customFormat="1"/>
    <row r="12257" customFormat="1"/>
    <row r="12258" customFormat="1"/>
    <row r="12259" customFormat="1"/>
    <row r="12260" customFormat="1"/>
    <row r="12261" customFormat="1"/>
    <row r="12262" customFormat="1"/>
    <row r="12263" customFormat="1"/>
    <row r="12264" customFormat="1"/>
    <row r="12265" customFormat="1"/>
    <row r="12266" customFormat="1"/>
    <row r="12267" customFormat="1"/>
    <row r="12268" customFormat="1"/>
    <row r="12269" customFormat="1"/>
    <row r="12270" customFormat="1"/>
    <row r="12271" customFormat="1"/>
    <row r="12272" customFormat="1"/>
    <row r="12273" customFormat="1"/>
    <row r="12274" customFormat="1"/>
    <row r="12275" customFormat="1"/>
    <row r="12276" customFormat="1"/>
    <row r="12277" customFormat="1"/>
    <row r="12278" customFormat="1"/>
    <row r="12279" customFormat="1"/>
    <row r="12280" customFormat="1"/>
    <row r="12281" customFormat="1"/>
    <row r="12282" customFormat="1"/>
    <row r="12283" customFormat="1"/>
    <row r="12284" customFormat="1"/>
    <row r="12285" customFormat="1"/>
    <row r="12286" customFormat="1"/>
    <row r="12287" customFormat="1"/>
    <row r="12288" customFormat="1"/>
    <row r="12289" customFormat="1"/>
    <row r="12290" customFormat="1"/>
    <row r="12291" customFormat="1"/>
    <row r="12292" customFormat="1"/>
    <row r="12293" customFormat="1"/>
    <row r="12294" customFormat="1"/>
    <row r="12295" customFormat="1"/>
    <row r="12296" customFormat="1"/>
    <row r="12297" customFormat="1"/>
    <row r="12298" customFormat="1"/>
    <row r="12299" customFormat="1"/>
    <row r="12300" customFormat="1"/>
    <row r="12301" customFormat="1"/>
    <row r="12302" customFormat="1"/>
    <row r="12303" customFormat="1"/>
    <row r="12304" customFormat="1"/>
    <row r="12305" customFormat="1"/>
    <row r="12306" customFormat="1"/>
    <row r="12307" customFormat="1"/>
    <row r="12308" customFormat="1"/>
    <row r="12309" customFormat="1"/>
    <row r="12310" customFormat="1"/>
    <row r="12311" customFormat="1"/>
    <row r="12312" customFormat="1"/>
    <row r="12313" customFormat="1"/>
    <row r="12314" customFormat="1"/>
    <row r="12315" customFormat="1"/>
    <row r="12316" customFormat="1"/>
    <row r="12317" customFormat="1"/>
    <row r="12318" customFormat="1"/>
    <row r="12319" customFormat="1"/>
    <row r="12320" customFormat="1"/>
    <row r="12321" customFormat="1"/>
    <row r="12322" customFormat="1"/>
    <row r="12323" customFormat="1"/>
    <row r="12324" customFormat="1"/>
    <row r="12325" customFormat="1"/>
    <row r="12326" customFormat="1"/>
    <row r="12327" customFormat="1"/>
    <row r="12328" customFormat="1"/>
    <row r="12329" customFormat="1"/>
    <row r="12330" customFormat="1"/>
    <row r="12331" customFormat="1"/>
    <row r="12332" customFormat="1"/>
    <row r="12333" customFormat="1"/>
    <row r="12334" customFormat="1"/>
    <row r="12335" customFormat="1"/>
    <row r="12336" customFormat="1"/>
    <row r="12337" customFormat="1"/>
    <row r="12338" customFormat="1"/>
    <row r="12339" customFormat="1"/>
    <row r="12340" customFormat="1"/>
    <row r="12341" customFormat="1"/>
    <row r="12342" customFormat="1"/>
    <row r="12343" customFormat="1"/>
    <row r="12344" customFormat="1"/>
    <row r="12345" customFormat="1"/>
    <row r="12346" customFormat="1"/>
    <row r="12347" customFormat="1"/>
    <row r="12348" customFormat="1"/>
    <row r="12349" customFormat="1"/>
    <row r="12350" customFormat="1"/>
    <row r="12351" customFormat="1"/>
    <row r="12352" customFormat="1"/>
    <row r="12353" customFormat="1"/>
    <row r="12354" customFormat="1"/>
    <row r="12355" customFormat="1"/>
    <row r="12356" customFormat="1"/>
    <row r="12357" customFormat="1"/>
    <row r="12358" customFormat="1"/>
    <row r="12359" customFormat="1"/>
    <row r="12360" customFormat="1"/>
    <row r="12361" customFormat="1"/>
    <row r="12362" customFormat="1"/>
    <row r="12363" customFormat="1"/>
    <row r="12364" customFormat="1"/>
    <row r="12365" customFormat="1"/>
    <row r="12366" customFormat="1"/>
    <row r="12367" customFormat="1"/>
    <row r="12368" customFormat="1"/>
    <row r="12369" customFormat="1"/>
    <row r="12370" customFormat="1"/>
    <row r="12371" customFormat="1"/>
    <row r="12372" customFormat="1"/>
    <row r="12373" customFormat="1"/>
    <row r="12374" customFormat="1"/>
    <row r="12375" customFormat="1"/>
    <row r="12376" customFormat="1"/>
    <row r="12377" customFormat="1"/>
    <row r="12378" customFormat="1"/>
    <row r="12379" customFormat="1"/>
    <row r="12380" customFormat="1"/>
    <row r="12381" customFormat="1"/>
    <row r="12382" customFormat="1"/>
    <row r="12383" customFormat="1"/>
    <row r="12384" customFormat="1"/>
    <row r="12385" customFormat="1"/>
    <row r="12386" customFormat="1"/>
    <row r="12387" customFormat="1"/>
    <row r="12388" customFormat="1"/>
    <row r="12389" customFormat="1"/>
    <row r="12390" customFormat="1"/>
    <row r="12391" customFormat="1"/>
    <row r="12392" customFormat="1"/>
    <row r="12393" customFormat="1"/>
    <row r="12394" customFormat="1"/>
    <row r="12395" customFormat="1"/>
    <row r="12396" customFormat="1"/>
    <row r="12397" customFormat="1"/>
    <row r="12398" customFormat="1"/>
    <row r="12399" customFormat="1"/>
    <row r="12400" customFormat="1"/>
    <row r="12401" customFormat="1"/>
    <row r="12402" customFormat="1"/>
    <row r="12403" customFormat="1"/>
    <row r="12404" customFormat="1"/>
    <row r="12405" customFormat="1"/>
    <row r="12406" customFormat="1"/>
    <row r="12407" customFormat="1"/>
    <row r="12408" customFormat="1"/>
    <row r="12409" customFormat="1"/>
    <row r="12410" customFormat="1"/>
    <row r="12411" customFormat="1"/>
    <row r="12412" customFormat="1"/>
    <row r="12413" customFormat="1"/>
    <row r="12414" customFormat="1"/>
    <row r="12415" customFormat="1"/>
    <row r="12416" customFormat="1"/>
    <row r="12417" customFormat="1"/>
    <row r="12418" customFormat="1"/>
    <row r="12419" customFormat="1"/>
    <row r="12420" customFormat="1"/>
    <row r="12421" customFormat="1"/>
    <row r="12422" customFormat="1"/>
    <row r="12423" customFormat="1"/>
    <row r="12424" customFormat="1"/>
    <row r="12425" customFormat="1"/>
    <row r="12426" customFormat="1"/>
    <row r="12427" customFormat="1"/>
    <row r="12428" customFormat="1"/>
    <row r="12429" customFormat="1"/>
    <row r="12430" customFormat="1"/>
    <row r="12431" customFormat="1"/>
    <row r="12432" customFormat="1"/>
    <row r="12433" customFormat="1"/>
    <row r="12434" customFormat="1"/>
    <row r="12435" customFormat="1"/>
    <row r="12436" customFormat="1"/>
    <row r="12437" customFormat="1"/>
    <row r="12438" customFormat="1"/>
    <row r="12439" customFormat="1"/>
    <row r="12440" customFormat="1"/>
    <row r="12441" customFormat="1"/>
    <row r="12442" customFormat="1"/>
    <row r="12443" customFormat="1"/>
    <row r="12444" customFormat="1"/>
    <row r="12445" customFormat="1"/>
    <row r="12446" customFormat="1"/>
    <row r="12447" customFormat="1"/>
    <row r="12448" customFormat="1"/>
    <row r="12449" customFormat="1"/>
    <row r="12450" customFormat="1"/>
    <row r="12451" customFormat="1"/>
    <row r="12452" customFormat="1"/>
    <row r="12453" customFormat="1"/>
    <row r="12454" customFormat="1"/>
    <row r="12455" customFormat="1"/>
    <row r="12456" customFormat="1"/>
    <row r="12457" customFormat="1"/>
    <row r="12458" customFormat="1"/>
    <row r="12459" customFormat="1"/>
    <row r="12460" customFormat="1"/>
    <row r="12461" customFormat="1"/>
    <row r="12462" customFormat="1"/>
    <row r="12463" customFormat="1"/>
    <row r="12464" customFormat="1"/>
    <row r="12465" customFormat="1"/>
    <row r="12466" customFormat="1"/>
    <row r="12467" customFormat="1"/>
    <row r="12468" customFormat="1"/>
    <row r="12469" customFormat="1"/>
    <row r="12470" customFormat="1"/>
    <row r="12471" customFormat="1"/>
    <row r="12472" customFormat="1"/>
    <row r="12473" customFormat="1"/>
    <row r="12474" customFormat="1"/>
    <row r="12475" customFormat="1"/>
    <row r="12476" customFormat="1"/>
    <row r="12477" customFormat="1"/>
    <row r="12478" customFormat="1"/>
    <row r="12479" customFormat="1"/>
    <row r="12480" customFormat="1"/>
    <row r="12481" customFormat="1"/>
    <row r="12482" customFormat="1"/>
    <row r="12483" customFormat="1"/>
    <row r="12484" customFormat="1"/>
    <row r="12485" customFormat="1"/>
    <row r="12486" customFormat="1"/>
    <row r="12487" customFormat="1"/>
    <row r="12488" customFormat="1"/>
    <row r="12489" customFormat="1"/>
    <row r="12490" customFormat="1"/>
    <row r="12491" customFormat="1"/>
    <row r="12492" customFormat="1"/>
    <row r="12493" customFormat="1"/>
    <row r="12494" customFormat="1"/>
    <row r="12495" customFormat="1"/>
    <row r="12496" customFormat="1"/>
    <row r="12497" customFormat="1"/>
    <row r="12498" customFormat="1"/>
    <row r="12499" customFormat="1"/>
    <row r="12500" customFormat="1"/>
    <row r="12501" customFormat="1"/>
    <row r="12502" customFormat="1"/>
    <row r="12503" customFormat="1"/>
    <row r="12504" customFormat="1"/>
    <row r="12505" customFormat="1"/>
    <row r="12506" customFormat="1"/>
    <row r="12507" customFormat="1"/>
    <row r="12508" customFormat="1"/>
    <row r="12509" customFormat="1"/>
    <row r="12510" customFormat="1"/>
    <row r="12511" customFormat="1"/>
    <row r="12512" customFormat="1"/>
    <row r="12513" customFormat="1"/>
    <row r="12514" customFormat="1"/>
    <row r="12515" customFormat="1"/>
    <row r="12516" customFormat="1"/>
    <row r="12517" customFormat="1"/>
    <row r="12518" customFormat="1"/>
    <row r="12519" customFormat="1"/>
    <row r="12520" customFormat="1"/>
    <row r="12521" customFormat="1"/>
    <row r="12522" customFormat="1"/>
    <row r="12523" customFormat="1"/>
    <row r="12524" customFormat="1"/>
    <row r="12525" customFormat="1"/>
    <row r="12526" customFormat="1"/>
    <row r="12527" customFormat="1"/>
    <row r="12528" customFormat="1"/>
    <row r="12529" customFormat="1"/>
    <row r="12530" customFormat="1"/>
    <row r="12531" customFormat="1"/>
    <row r="12532" customFormat="1"/>
    <row r="12533" customFormat="1"/>
    <row r="12534" customFormat="1"/>
    <row r="12535" customFormat="1"/>
    <row r="12536" customFormat="1"/>
    <row r="12537" customFormat="1"/>
    <row r="12538" customFormat="1"/>
    <row r="12539" customFormat="1"/>
    <row r="12540" customFormat="1"/>
    <row r="12541" customFormat="1"/>
    <row r="12542" customFormat="1"/>
    <row r="12543" customFormat="1"/>
    <row r="12544" customFormat="1"/>
    <row r="12545" customFormat="1"/>
    <row r="12546" customFormat="1"/>
    <row r="12547" customFormat="1"/>
    <row r="12548" customFormat="1"/>
    <row r="12549" customFormat="1"/>
    <row r="12550" customFormat="1"/>
    <row r="12551" customFormat="1"/>
    <row r="12552" customFormat="1"/>
    <row r="12553" customFormat="1"/>
    <row r="12554" customFormat="1"/>
    <row r="12555" customFormat="1"/>
    <row r="12556" customFormat="1"/>
    <row r="12557" customFormat="1"/>
    <row r="12558" customFormat="1"/>
    <row r="12559" customFormat="1"/>
    <row r="12560" customFormat="1"/>
    <row r="12561" customFormat="1"/>
    <row r="12562" customFormat="1"/>
    <row r="12563" customFormat="1"/>
    <row r="12564" customFormat="1"/>
    <row r="12565" customFormat="1"/>
    <row r="12566" customFormat="1"/>
    <row r="12567" customFormat="1"/>
    <row r="12568" customFormat="1"/>
    <row r="12569" customFormat="1"/>
    <row r="12570" customFormat="1"/>
    <row r="12571" customFormat="1"/>
    <row r="12572" customFormat="1"/>
    <row r="12573" customFormat="1"/>
    <row r="12574" customFormat="1"/>
    <row r="12575" customFormat="1"/>
    <row r="12576" customFormat="1"/>
    <row r="12577" customFormat="1"/>
    <row r="12578" customFormat="1"/>
    <row r="12579" customFormat="1"/>
    <row r="12580" customFormat="1"/>
    <row r="12581" customFormat="1"/>
    <row r="12582" customFormat="1"/>
    <row r="12583" customFormat="1"/>
    <row r="12584" customFormat="1"/>
    <row r="12585" customFormat="1"/>
    <row r="12586" customFormat="1"/>
    <row r="12587" customFormat="1"/>
    <row r="12588" customFormat="1"/>
    <row r="12589" customFormat="1"/>
    <row r="12590" customFormat="1"/>
    <row r="12591" customFormat="1"/>
    <row r="12592" customFormat="1"/>
    <row r="12593" customFormat="1"/>
    <row r="12594" customFormat="1"/>
    <row r="12595" customFormat="1"/>
    <row r="12596" customFormat="1"/>
    <row r="12597" customFormat="1"/>
    <row r="12598" customFormat="1"/>
    <row r="12599" customFormat="1"/>
    <row r="12600" customFormat="1"/>
    <row r="12601" customFormat="1"/>
    <row r="12602" customFormat="1"/>
    <row r="12603" customFormat="1"/>
    <row r="12604" customFormat="1"/>
    <row r="12605" customFormat="1"/>
    <row r="12606" customFormat="1"/>
    <row r="12607" customFormat="1"/>
    <row r="12608" customFormat="1"/>
    <row r="12609" customFormat="1"/>
    <row r="12610" customFormat="1"/>
    <row r="12611" customFormat="1"/>
    <row r="12612" customFormat="1"/>
    <row r="12613" customFormat="1"/>
    <row r="12614" customFormat="1"/>
    <row r="12615" customFormat="1"/>
    <row r="12616" customFormat="1"/>
    <row r="12617" customFormat="1"/>
    <row r="12618" customFormat="1"/>
    <row r="12619" customFormat="1"/>
    <row r="12620" customFormat="1"/>
    <row r="12621" customFormat="1"/>
    <row r="12622" customFormat="1"/>
    <row r="12623" customFormat="1"/>
    <row r="12624" customFormat="1"/>
    <row r="12625" customFormat="1"/>
    <row r="12626" customFormat="1"/>
    <row r="12627" customFormat="1"/>
    <row r="12628" customFormat="1"/>
    <row r="12629" customFormat="1"/>
    <row r="12630" customFormat="1"/>
    <row r="12631" customFormat="1"/>
    <row r="12632" customFormat="1"/>
    <row r="12633" customFormat="1"/>
    <row r="12634" customFormat="1"/>
    <row r="12635" customFormat="1"/>
    <row r="12636" customFormat="1"/>
    <row r="12637" customFormat="1"/>
    <row r="12638" customFormat="1"/>
    <row r="12639" customFormat="1"/>
    <row r="12640" customFormat="1"/>
    <row r="12641" customFormat="1"/>
    <row r="12642" customFormat="1"/>
    <row r="12643" customFormat="1"/>
    <row r="12644" customFormat="1"/>
    <row r="12645" customFormat="1"/>
    <row r="12646" customFormat="1"/>
    <row r="12647" customFormat="1"/>
    <row r="12648" customFormat="1"/>
    <row r="12649" customFormat="1"/>
    <row r="12650" customFormat="1"/>
    <row r="12651" customFormat="1"/>
    <row r="12652" customFormat="1"/>
    <row r="12653" customFormat="1"/>
    <row r="12654" customFormat="1"/>
    <row r="12655" customFormat="1"/>
    <row r="12656" customFormat="1"/>
    <row r="12657" customFormat="1"/>
    <row r="12658" customFormat="1"/>
    <row r="12659" customFormat="1"/>
    <row r="12660" customFormat="1"/>
    <row r="12661" customFormat="1"/>
    <row r="12662" customFormat="1"/>
    <row r="12663" customFormat="1"/>
    <row r="12664" customFormat="1"/>
    <row r="12665" customFormat="1"/>
    <row r="12666" customFormat="1"/>
    <row r="12667" customFormat="1"/>
    <row r="12668" customFormat="1"/>
    <row r="12669" customFormat="1"/>
    <row r="12670" customFormat="1"/>
    <row r="12671" customFormat="1"/>
    <row r="12672" customFormat="1"/>
    <row r="12673" customFormat="1"/>
    <row r="12674" customFormat="1"/>
    <row r="12675" customFormat="1"/>
    <row r="12676" customFormat="1"/>
    <row r="12677" customFormat="1"/>
    <row r="12678" customFormat="1"/>
    <row r="12679" customFormat="1"/>
    <row r="12680" customFormat="1"/>
    <row r="12681" customFormat="1"/>
    <row r="12682" customFormat="1"/>
    <row r="12683" customFormat="1"/>
    <row r="12684" customFormat="1"/>
    <row r="12685" customFormat="1"/>
    <row r="12686" customFormat="1"/>
    <row r="12687" customFormat="1"/>
    <row r="12688" customFormat="1"/>
    <row r="12689" customFormat="1"/>
    <row r="12690" customFormat="1"/>
    <row r="12691" customFormat="1"/>
    <row r="12692" customFormat="1"/>
    <row r="12693" customFormat="1"/>
    <row r="12694" customFormat="1"/>
    <row r="12695" customFormat="1"/>
    <row r="12696" customFormat="1"/>
    <row r="12697" customFormat="1"/>
    <row r="12698" customFormat="1"/>
    <row r="12699" customFormat="1"/>
    <row r="12700" customFormat="1"/>
    <row r="12701" customFormat="1"/>
    <row r="12702" customFormat="1"/>
    <row r="12703" customFormat="1"/>
    <row r="12704" customFormat="1"/>
    <row r="12705" customFormat="1"/>
    <row r="12706" customFormat="1"/>
    <row r="12707" customFormat="1"/>
    <row r="12708" customFormat="1"/>
    <row r="12709" customFormat="1"/>
    <row r="12710" customFormat="1"/>
    <row r="12711" customFormat="1"/>
    <row r="12712" customFormat="1"/>
    <row r="12713" customFormat="1"/>
    <row r="12714" customFormat="1"/>
    <row r="12715" customFormat="1"/>
    <row r="12716" customFormat="1"/>
    <row r="12717" customFormat="1"/>
    <row r="12718" customFormat="1"/>
    <row r="12719" customFormat="1"/>
    <row r="12720" customFormat="1"/>
    <row r="12721" customFormat="1"/>
    <row r="12722" customFormat="1"/>
    <row r="12723" customFormat="1"/>
    <row r="12724" customFormat="1"/>
    <row r="12725" customFormat="1"/>
    <row r="12726" customFormat="1"/>
    <row r="12727" customFormat="1"/>
    <row r="12728" customFormat="1"/>
    <row r="12729" customFormat="1"/>
    <row r="12730" customFormat="1"/>
    <row r="12731" customFormat="1"/>
    <row r="12732" customFormat="1"/>
    <row r="12733" customFormat="1"/>
    <row r="12734" customFormat="1"/>
    <row r="12735" customFormat="1"/>
    <row r="12736" customFormat="1"/>
    <row r="12737" customFormat="1"/>
    <row r="12738" customFormat="1"/>
    <row r="12739" customFormat="1"/>
    <row r="12740" customFormat="1"/>
    <row r="12741" customFormat="1"/>
    <row r="12742" customFormat="1"/>
    <row r="12743" customFormat="1"/>
    <row r="12744" customFormat="1"/>
    <row r="12745" customFormat="1"/>
    <row r="12746" customFormat="1"/>
    <row r="12747" customFormat="1"/>
    <row r="12748" customFormat="1"/>
    <row r="12749" customFormat="1"/>
    <row r="12750" customFormat="1"/>
    <row r="12751" customFormat="1"/>
    <row r="12752" customFormat="1"/>
    <row r="12753" customFormat="1"/>
    <row r="12754" customFormat="1"/>
    <row r="12755" customFormat="1"/>
    <row r="12756" customFormat="1"/>
    <row r="12757" customFormat="1"/>
    <row r="12758" customFormat="1"/>
    <row r="12759" customFormat="1"/>
    <row r="12760" customFormat="1"/>
    <row r="12761" customFormat="1"/>
    <row r="12762" customFormat="1"/>
    <row r="12763" customFormat="1"/>
    <row r="12764" customFormat="1"/>
    <row r="12765" customFormat="1"/>
    <row r="12766" customFormat="1"/>
    <row r="12767" customFormat="1"/>
    <row r="12768" customFormat="1"/>
    <row r="12769" customFormat="1"/>
    <row r="12770" customFormat="1"/>
    <row r="12771" customFormat="1"/>
    <row r="12772" customFormat="1"/>
    <row r="12773" customFormat="1"/>
    <row r="12774" customFormat="1"/>
    <row r="12775" customFormat="1"/>
    <row r="12776" customFormat="1"/>
    <row r="12777" customFormat="1"/>
    <row r="12778" customFormat="1"/>
    <row r="12779" customFormat="1"/>
    <row r="12780" customFormat="1"/>
    <row r="12781" customFormat="1"/>
    <row r="12782" customFormat="1"/>
    <row r="12783" customFormat="1"/>
    <row r="12784" customFormat="1"/>
    <row r="12785" customFormat="1"/>
    <row r="12786" customFormat="1"/>
    <row r="12787" customFormat="1"/>
    <row r="12788" customFormat="1"/>
    <row r="12789" customFormat="1"/>
    <row r="12790" customFormat="1"/>
    <row r="12791" customFormat="1"/>
    <row r="12792" customFormat="1"/>
    <row r="12793" customFormat="1"/>
    <row r="12794" customFormat="1"/>
    <row r="12795" customFormat="1"/>
    <row r="12796" customFormat="1"/>
    <row r="12797" customFormat="1"/>
    <row r="12798" customFormat="1"/>
    <row r="12799" customFormat="1"/>
    <row r="12800" customFormat="1"/>
    <row r="12801" customFormat="1"/>
    <row r="12802" customFormat="1"/>
    <row r="12803" customFormat="1"/>
    <row r="12804" customFormat="1"/>
    <row r="12805" customFormat="1"/>
    <row r="12806" customFormat="1"/>
    <row r="12807" customFormat="1"/>
    <row r="12808" customFormat="1"/>
    <row r="12809" customFormat="1"/>
    <row r="12810" customFormat="1"/>
    <row r="12811" customFormat="1"/>
    <row r="12812" customFormat="1"/>
    <row r="12813" customFormat="1"/>
    <row r="12814" customFormat="1"/>
    <row r="12815" customFormat="1"/>
    <row r="12816" customFormat="1"/>
    <row r="12817" customFormat="1"/>
    <row r="12818" customFormat="1"/>
    <row r="12819" customFormat="1"/>
    <row r="12820" customFormat="1"/>
    <row r="12821" customFormat="1"/>
    <row r="12822" customFormat="1"/>
    <row r="12823" customFormat="1"/>
    <row r="12824" customFormat="1"/>
    <row r="12825" customFormat="1"/>
    <row r="12826" customFormat="1"/>
    <row r="12827" customFormat="1"/>
    <row r="12828" customFormat="1"/>
    <row r="12829" customFormat="1"/>
    <row r="12830" customFormat="1"/>
    <row r="12831" customFormat="1"/>
    <row r="12832" customFormat="1"/>
    <row r="12833" customFormat="1"/>
    <row r="12834" customFormat="1"/>
    <row r="12835" customFormat="1"/>
    <row r="12836" customFormat="1"/>
    <row r="12837" customFormat="1"/>
    <row r="12838" customFormat="1"/>
    <row r="12839" customFormat="1"/>
    <row r="12840" customFormat="1"/>
    <row r="12841" customFormat="1"/>
    <row r="12842" customFormat="1"/>
    <row r="12843" customFormat="1"/>
    <row r="12844" customFormat="1"/>
    <row r="12845" customFormat="1"/>
    <row r="12846" customFormat="1"/>
    <row r="12847" customFormat="1"/>
    <row r="12848" customFormat="1"/>
    <row r="12849" customFormat="1"/>
    <row r="12850" customFormat="1"/>
    <row r="12851" customFormat="1"/>
    <row r="12852" customFormat="1"/>
    <row r="12853" customFormat="1"/>
    <row r="12854" customFormat="1"/>
    <row r="12855" customFormat="1"/>
    <row r="12856" customFormat="1"/>
    <row r="12857" customFormat="1"/>
    <row r="12858" customFormat="1"/>
    <row r="12859" customFormat="1"/>
    <row r="12860" customFormat="1"/>
    <row r="12861" customFormat="1"/>
    <row r="12862" customFormat="1"/>
    <row r="12863" customFormat="1"/>
    <row r="12864" customFormat="1"/>
    <row r="12865" customFormat="1"/>
    <row r="12866" customFormat="1"/>
    <row r="12867" customFormat="1"/>
    <row r="12868" customFormat="1"/>
    <row r="12869" customFormat="1"/>
    <row r="12870" customFormat="1"/>
    <row r="12871" customFormat="1"/>
    <row r="12872" customFormat="1"/>
    <row r="12873" customFormat="1"/>
    <row r="12874" customFormat="1"/>
    <row r="12875" customFormat="1"/>
    <row r="12876" customFormat="1"/>
    <row r="12877" customFormat="1"/>
    <row r="12878" customFormat="1"/>
    <row r="12879" customFormat="1"/>
    <row r="12880" customFormat="1"/>
    <row r="12881" customFormat="1"/>
    <row r="12882" customFormat="1"/>
    <row r="12883" customFormat="1"/>
    <row r="12884" customFormat="1"/>
    <row r="12885" customFormat="1"/>
    <row r="12886" customFormat="1"/>
    <row r="12887" customFormat="1"/>
    <row r="12888" customFormat="1"/>
    <row r="12889" customFormat="1"/>
    <row r="12890" customFormat="1"/>
    <row r="12891" customFormat="1"/>
    <row r="12892" customFormat="1"/>
    <row r="12893" customFormat="1"/>
    <row r="12894" customFormat="1"/>
    <row r="12895" customFormat="1"/>
    <row r="12896" customFormat="1"/>
    <row r="12897" customFormat="1"/>
    <row r="12898" customFormat="1"/>
    <row r="12899" customFormat="1"/>
    <row r="12900" customFormat="1"/>
    <row r="12901" customFormat="1"/>
    <row r="12902" customFormat="1"/>
    <row r="12903" customFormat="1"/>
    <row r="12904" customFormat="1"/>
    <row r="12905" customFormat="1"/>
    <row r="12906" customFormat="1"/>
    <row r="12907" customFormat="1"/>
    <row r="12908" customFormat="1"/>
    <row r="12909" customFormat="1"/>
    <row r="12910" customFormat="1"/>
    <row r="12911" customFormat="1"/>
    <row r="12912" customFormat="1"/>
    <row r="12913" customFormat="1"/>
    <row r="12914" customFormat="1"/>
    <row r="12915" customFormat="1"/>
    <row r="12916" customFormat="1"/>
    <row r="12917" customFormat="1"/>
    <row r="12918" customFormat="1"/>
    <row r="12919" customFormat="1"/>
    <row r="12920" customFormat="1"/>
    <row r="12921" customFormat="1"/>
    <row r="12922" customFormat="1"/>
    <row r="12923" customFormat="1"/>
    <row r="12924" customFormat="1"/>
    <row r="12925" customFormat="1"/>
    <row r="12926" customFormat="1"/>
    <row r="12927" customFormat="1"/>
    <row r="12928" customFormat="1"/>
    <row r="12929" customFormat="1"/>
    <row r="12930" customFormat="1"/>
    <row r="12931" customFormat="1"/>
    <row r="12932" customFormat="1"/>
    <row r="12933" customFormat="1"/>
    <row r="12934" customFormat="1"/>
    <row r="12935" customFormat="1"/>
    <row r="12936" customFormat="1"/>
    <row r="12937" customFormat="1"/>
    <row r="12938" customFormat="1"/>
    <row r="12939" customFormat="1"/>
    <row r="12940" customFormat="1"/>
    <row r="12941" customFormat="1"/>
    <row r="12942" customFormat="1"/>
    <row r="12943" customFormat="1"/>
    <row r="12944" customFormat="1"/>
    <row r="12945" customFormat="1"/>
    <row r="12946" customFormat="1"/>
    <row r="12947" customFormat="1"/>
    <row r="12948" customFormat="1"/>
    <row r="12949" customFormat="1"/>
    <row r="12950" customFormat="1"/>
    <row r="12951" customFormat="1"/>
    <row r="12952" customFormat="1"/>
    <row r="12953" customFormat="1"/>
    <row r="12954" customFormat="1"/>
    <row r="12955" customFormat="1"/>
    <row r="12956" customFormat="1"/>
    <row r="12957" customFormat="1"/>
    <row r="12958" customFormat="1"/>
    <row r="12959" customFormat="1"/>
    <row r="12960" customFormat="1"/>
    <row r="12961" customFormat="1"/>
    <row r="12962" customFormat="1"/>
    <row r="12963" customFormat="1"/>
    <row r="12964" customFormat="1"/>
    <row r="12965" customFormat="1"/>
    <row r="12966" customFormat="1"/>
    <row r="12967" customFormat="1"/>
    <row r="12968" customFormat="1"/>
    <row r="12969" customFormat="1"/>
    <row r="12970" customFormat="1"/>
    <row r="12971" customFormat="1"/>
    <row r="12972" customFormat="1"/>
    <row r="12973" customFormat="1"/>
    <row r="12974" customFormat="1"/>
    <row r="12975" customFormat="1"/>
    <row r="12976" customFormat="1"/>
    <row r="12977" customFormat="1"/>
    <row r="12978" customFormat="1"/>
    <row r="12979" customFormat="1"/>
    <row r="12980" customFormat="1"/>
    <row r="12981" customFormat="1"/>
    <row r="12982" customFormat="1"/>
    <row r="12983" customFormat="1"/>
    <row r="12984" customFormat="1"/>
    <row r="12985" customFormat="1"/>
    <row r="12986" customFormat="1"/>
    <row r="12987" customFormat="1"/>
    <row r="12988" customFormat="1"/>
    <row r="12989" customFormat="1"/>
    <row r="12990" customFormat="1"/>
    <row r="12991" customFormat="1"/>
    <row r="12992" customFormat="1"/>
    <row r="12993" customFormat="1"/>
    <row r="12994" customFormat="1"/>
    <row r="12995" customFormat="1"/>
    <row r="12996" customFormat="1"/>
    <row r="12997" customFormat="1"/>
    <row r="12998" customFormat="1"/>
    <row r="12999" customFormat="1"/>
    <row r="13000" customFormat="1"/>
    <row r="13001" customFormat="1"/>
    <row r="13002" customFormat="1"/>
    <row r="13003" customFormat="1"/>
    <row r="13004" customFormat="1"/>
    <row r="13005" customFormat="1"/>
    <row r="13006" customFormat="1"/>
    <row r="13007" customFormat="1"/>
    <row r="13008" customFormat="1"/>
    <row r="13009" customFormat="1"/>
    <row r="13010" customFormat="1"/>
    <row r="13011" customFormat="1"/>
    <row r="13012" customFormat="1"/>
    <row r="13013" customFormat="1"/>
    <row r="13014" customFormat="1"/>
    <row r="13015" customFormat="1"/>
    <row r="13016" customFormat="1"/>
    <row r="13017" customFormat="1"/>
    <row r="13018" customFormat="1"/>
    <row r="13019" customFormat="1"/>
    <row r="13020" customFormat="1"/>
    <row r="13021" customFormat="1"/>
    <row r="13022" customFormat="1"/>
    <row r="13023" customFormat="1"/>
    <row r="13024" customFormat="1"/>
    <row r="13025" customFormat="1"/>
    <row r="13026" customFormat="1"/>
    <row r="13027" customFormat="1"/>
    <row r="13028" customFormat="1"/>
    <row r="13029" customFormat="1"/>
    <row r="13030" customFormat="1"/>
    <row r="13031" customFormat="1"/>
    <row r="13032" customFormat="1"/>
    <row r="13033" customFormat="1"/>
    <row r="13034" customFormat="1"/>
    <row r="13035" customFormat="1"/>
    <row r="13036" customFormat="1"/>
    <row r="13037" customFormat="1"/>
    <row r="13038" customFormat="1"/>
    <row r="13039" customFormat="1"/>
    <row r="13040" customFormat="1"/>
    <row r="13041" customFormat="1"/>
    <row r="13042" customFormat="1"/>
    <row r="13043" customFormat="1"/>
    <row r="13044" customFormat="1"/>
    <row r="13045" customFormat="1"/>
    <row r="13046" customFormat="1"/>
    <row r="13047" customFormat="1"/>
    <row r="13048" customFormat="1"/>
    <row r="13049" customFormat="1"/>
    <row r="13050" customFormat="1"/>
    <row r="13051" customFormat="1"/>
    <row r="13052" customFormat="1"/>
    <row r="13053" customFormat="1"/>
    <row r="13054" customFormat="1"/>
    <row r="13055" customFormat="1"/>
    <row r="13056" customFormat="1"/>
    <row r="13057" customFormat="1"/>
    <row r="13058" customFormat="1"/>
    <row r="13059" customFormat="1"/>
    <row r="13060" customFormat="1"/>
    <row r="13061" customFormat="1"/>
    <row r="13062" customFormat="1"/>
    <row r="13063" customFormat="1"/>
    <row r="13064" customFormat="1"/>
    <row r="13065" customFormat="1"/>
    <row r="13066" customFormat="1"/>
    <row r="13067" customFormat="1"/>
    <row r="13068" customFormat="1"/>
    <row r="13069" customFormat="1"/>
    <row r="13070" customFormat="1"/>
    <row r="13071" customFormat="1"/>
    <row r="13072" customFormat="1"/>
    <row r="13073" customFormat="1"/>
    <row r="13074" customFormat="1"/>
    <row r="13075" customFormat="1"/>
    <row r="13076" customFormat="1"/>
    <row r="13077" customFormat="1"/>
    <row r="13078" customFormat="1"/>
    <row r="13079" customFormat="1"/>
    <row r="13080" customFormat="1"/>
    <row r="13081" customFormat="1"/>
    <row r="13082" customFormat="1"/>
    <row r="13083" customFormat="1"/>
    <row r="13084" customFormat="1"/>
    <row r="13085" customFormat="1"/>
    <row r="13086" customFormat="1"/>
    <row r="13087" customFormat="1"/>
    <row r="13088" customFormat="1"/>
    <row r="13089" customFormat="1"/>
    <row r="13090" customFormat="1"/>
    <row r="13091" customFormat="1"/>
    <row r="13092" customFormat="1"/>
    <row r="13093" customFormat="1"/>
    <row r="13094" customFormat="1"/>
    <row r="13095" customFormat="1"/>
    <row r="13096" customFormat="1"/>
    <row r="13097" customFormat="1"/>
    <row r="13098" customFormat="1"/>
    <row r="13099" customFormat="1"/>
    <row r="13100" customFormat="1"/>
    <row r="13101" customFormat="1"/>
    <row r="13102" customFormat="1"/>
    <row r="13103" customFormat="1"/>
    <row r="13104" customFormat="1"/>
    <row r="13105" customFormat="1"/>
    <row r="13106" customFormat="1"/>
    <row r="13107" customFormat="1"/>
    <row r="13108" customFormat="1"/>
    <row r="13109" customFormat="1"/>
    <row r="13110" customFormat="1"/>
    <row r="13111" customFormat="1"/>
    <row r="13112" customFormat="1"/>
    <row r="13113" customFormat="1"/>
    <row r="13114" customFormat="1"/>
    <row r="13115" customFormat="1"/>
    <row r="13116" customFormat="1"/>
    <row r="13117" customFormat="1"/>
    <row r="13118" customFormat="1"/>
    <row r="13119" customFormat="1"/>
    <row r="13120" customFormat="1"/>
    <row r="13121" customFormat="1"/>
    <row r="13122" customFormat="1"/>
    <row r="13123" customFormat="1"/>
    <row r="13124" customFormat="1"/>
    <row r="13125" customFormat="1"/>
    <row r="13126" customFormat="1"/>
    <row r="13127" customFormat="1"/>
    <row r="13128" customFormat="1"/>
    <row r="13129" customFormat="1"/>
    <row r="13130" customFormat="1"/>
    <row r="13131" customFormat="1"/>
    <row r="13132" customFormat="1"/>
    <row r="13133" customFormat="1"/>
    <row r="13134" customFormat="1"/>
    <row r="13135" customFormat="1"/>
    <row r="13136" customFormat="1"/>
    <row r="13137" customFormat="1"/>
    <row r="13138" customFormat="1"/>
    <row r="13139" customFormat="1"/>
    <row r="13140" customFormat="1"/>
    <row r="13141" customFormat="1"/>
    <row r="13142" customFormat="1"/>
    <row r="13143" customFormat="1"/>
    <row r="13144" customFormat="1"/>
    <row r="13145" customFormat="1"/>
    <row r="13146" customFormat="1"/>
    <row r="13147" customFormat="1"/>
    <row r="13148" customFormat="1"/>
    <row r="13149" customFormat="1"/>
    <row r="13150" customFormat="1"/>
    <row r="13151" customFormat="1"/>
    <row r="13152" customFormat="1"/>
    <row r="13153" customFormat="1"/>
    <row r="13154" customFormat="1"/>
    <row r="13155" customFormat="1"/>
    <row r="13156" customFormat="1"/>
    <row r="13157" customFormat="1"/>
    <row r="13158" customFormat="1"/>
    <row r="13159" customFormat="1"/>
    <row r="13160" customFormat="1"/>
    <row r="13161" customFormat="1"/>
    <row r="13162" customFormat="1"/>
    <row r="13163" customFormat="1"/>
    <row r="13164" customFormat="1"/>
    <row r="13165" customFormat="1"/>
    <row r="13166" customFormat="1"/>
    <row r="13167" customFormat="1"/>
    <row r="13168" customFormat="1"/>
    <row r="13169" customFormat="1"/>
    <row r="13170" customFormat="1"/>
    <row r="13171" customFormat="1"/>
    <row r="13172" customFormat="1"/>
    <row r="13173" customFormat="1"/>
    <row r="13174" customFormat="1"/>
    <row r="13175" customFormat="1"/>
    <row r="13176" customFormat="1"/>
    <row r="13177" customFormat="1"/>
    <row r="13178" customFormat="1"/>
    <row r="13179" customFormat="1"/>
    <row r="13180" customFormat="1"/>
    <row r="13181" customFormat="1"/>
    <row r="13182" customFormat="1"/>
    <row r="13183" customFormat="1"/>
    <row r="13184" customFormat="1"/>
    <row r="13185" customFormat="1"/>
    <row r="13186" customFormat="1"/>
    <row r="13187" customFormat="1"/>
    <row r="13188" customFormat="1"/>
    <row r="13189" customFormat="1"/>
    <row r="13190" customFormat="1"/>
    <row r="13191" customFormat="1"/>
    <row r="13192" customFormat="1"/>
    <row r="13193" customFormat="1"/>
    <row r="13194" customFormat="1"/>
    <row r="13195" customFormat="1"/>
    <row r="13196" customFormat="1"/>
    <row r="13197" customFormat="1"/>
    <row r="13198" customFormat="1"/>
    <row r="13199" customFormat="1"/>
    <row r="13200" customFormat="1"/>
    <row r="13201" customFormat="1"/>
    <row r="13202" customFormat="1"/>
    <row r="13203" customFormat="1"/>
    <row r="13204" customFormat="1"/>
    <row r="13205" customFormat="1"/>
    <row r="13206" customFormat="1"/>
    <row r="13207" customFormat="1"/>
    <row r="13208" customFormat="1"/>
    <row r="13209" customFormat="1"/>
    <row r="13210" customFormat="1"/>
    <row r="13211" customFormat="1"/>
    <row r="13212" customFormat="1"/>
    <row r="13213" customFormat="1"/>
    <row r="13214" customFormat="1"/>
    <row r="13215" customFormat="1"/>
    <row r="13216" customFormat="1"/>
    <row r="13217" customFormat="1"/>
    <row r="13218" customFormat="1"/>
    <row r="13219" customFormat="1"/>
    <row r="13220" customFormat="1"/>
    <row r="13221" customFormat="1"/>
    <row r="13222" customFormat="1"/>
    <row r="13223" customFormat="1"/>
    <row r="13224" customFormat="1"/>
    <row r="13225" customFormat="1"/>
    <row r="13226" customFormat="1"/>
    <row r="13227" customFormat="1"/>
    <row r="13228" customFormat="1"/>
    <row r="13229" customFormat="1"/>
    <row r="13230" customFormat="1"/>
    <row r="13231" customFormat="1"/>
    <row r="13232" customFormat="1"/>
    <row r="13233" customFormat="1"/>
    <row r="13234" customFormat="1"/>
    <row r="13235" customFormat="1"/>
    <row r="13236" customFormat="1"/>
    <row r="13237" customFormat="1"/>
    <row r="13238" customFormat="1"/>
    <row r="13239" customFormat="1"/>
    <row r="13240" customFormat="1"/>
    <row r="13241" customFormat="1"/>
    <row r="13242" customFormat="1"/>
    <row r="13243" customFormat="1"/>
    <row r="13244" customFormat="1"/>
    <row r="13245" customFormat="1"/>
    <row r="13246" customFormat="1"/>
    <row r="13247" customFormat="1"/>
    <row r="13248" customFormat="1"/>
    <row r="13249" customFormat="1"/>
    <row r="13250" customFormat="1"/>
    <row r="13251" customFormat="1"/>
    <row r="13252" customFormat="1"/>
    <row r="13253" customFormat="1"/>
    <row r="13254" customFormat="1"/>
    <row r="13255" customFormat="1"/>
    <row r="13256" customFormat="1"/>
    <row r="13257" customFormat="1"/>
    <row r="13258" customFormat="1"/>
    <row r="13259" customFormat="1"/>
    <row r="13260" customFormat="1"/>
    <row r="13261" customFormat="1"/>
    <row r="13262" customFormat="1"/>
    <row r="13263" customFormat="1"/>
    <row r="13264" customFormat="1"/>
    <row r="13265" customFormat="1"/>
    <row r="13266" customFormat="1"/>
    <row r="13267" customFormat="1"/>
    <row r="13268" customFormat="1"/>
    <row r="13269" customFormat="1"/>
    <row r="13270" customFormat="1"/>
    <row r="13271" customFormat="1"/>
    <row r="13272" customFormat="1"/>
    <row r="13273" customFormat="1"/>
    <row r="13274" customFormat="1"/>
    <row r="13275" customFormat="1"/>
    <row r="13276" customFormat="1"/>
    <row r="13277" customFormat="1"/>
    <row r="13278" customFormat="1"/>
    <row r="13279" customFormat="1"/>
    <row r="13280" customFormat="1"/>
    <row r="13281" customFormat="1"/>
    <row r="13282" customFormat="1"/>
    <row r="13283" customFormat="1"/>
    <row r="13284" customFormat="1"/>
    <row r="13285" customFormat="1"/>
    <row r="13286" customFormat="1"/>
    <row r="13287" customFormat="1"/>
    <row r="13288" customFormat="1"/>
    <row r="13289" customFormat="1"/>
    <row r="13290" customFormat="1"/>
    <row r="13291" customFormat="1"/>
    <row r="13292" customFormat="1"/>
    <row r="13293" customFormat="1"/>
    <row r="13294" customFormat="1"/>
    <row r="13295" customFormat="1"/>
    <row r="13296" customFormat="1"/>
    <row r="13297" customFormat="1"/>
    <row r="13298" customFormat="1"/>
    <row r="13299" customFormat="1"/>
    <row r="13300" customFormat="1"/>
    <row r="13301" customFormat="1"/>
    <row r="13302" customFormat="1"/>
    <row r="13303" customFormat="1"/>
    <row r="13304" customFormat="1"/>
    <row r="13305" customFormat="1"/>
    <row r="13306" customFormat="1"/>
    <row r="13307" customFormat="1"/>
    <row r="13308" customFormat="1"/>
    <row r="13309" customFormat="1"/>
    <row r="13310" customFormat="1"/>
    <row r="13311" customFormat="1"/>
    <row r="13312" customFormat="1"/>
    <row r="13313" customFormat="1"/>
    <row r="13314" customFormat="1"/>
    <row r="13315" customFormat="1"/>
    <row r="13316" customFormat="1"/>
    <row r="13317" customFormat="1"/>
    <row r="13318" customFormat="1"/>
    <row r="13319" customFormat="1"/>
    <row r="13320" customFormat="1"/>
    <row r="13321" customFormat="1"/>
    <row r="13322" customFormat="1"/>
    <row r="13323" customFormat="1"/>
    <row r="13324" customFormat="1"/>
    <row r="13325" customFormat="1"/>
    <row r="13326" customFormat="1"/>
    <row r="13327" customFormat="1"/>
    <row r="13328" customFormat="1"/>
    <row r="13329" customFormat="1"/>
    <row r="13330" customFormat="1"/>
    <row r="13331" customFormat="1"/>
    <row r="13332" customFormat="1"/>
    <row r="13333" customFormat="1"/>
    <row r="13334" customFormat="1"/>
    <row r="13335" customFormat="1"/>
    <row r="13336" customFormat="1"/>
    <row r="13337" customFormat="1"/>
    <row r="13338" customFormat="1"/>
    <row r="13339" customFormat="1"/>
    <row r="13340" customFormat="1"/>
    <row r="13341" customFormat="1"/>
    <row r="13342" customFormat="1"/>
    <row r="13343" customFormat="1"/>
    <row r="13344" customFormat="1"/>
    <row r="13345" customFormat="1"/>
    <row r="13346" customFormat="1"/>
    <row r="13347" customFormat="1"/>
    <row r="13348" customFormat="1"/>
    <row r="13349" customFormat="1"/>
    <row r="13350" customFormat="1"/>
    <row r="13351" customFormat="1"/>
    <row r="13352" customFormat="1"/>
    <row r="13353" customFormat="1"/>
    <row r="13354" customFormat="1"/>
    <row r="13355" customFormat="1"/>
    <row r="13356" customFormat="1"/>
    <row r="13357" customFormat="1"/>
    <row r="13358" customFormat="1"/>
    <row r="13359" customFormat="1"/>
    <row r="13360" customFormat="1"/>
    <row r="13361" customFormat="1"/>
    <row r="13362" customFormat="1"/>
    <row r="13363" customFormat="1"/>
    <row r="13364" customFormat="1"/>
    <row r="13365" customFormat="1"/>
    <row r="13366" customFormat="1"/>
    <row r="13367" customFormat="1"/>
    <row r="13368" customFormat="1"/>
    <row r="13369" customFormat="1"/>
    <row r="13370" customFormat="1"/>
    <row r="13371" customFormat="1"/>
    <row r="13372" customFormat="1"/>
    <row r="13373" customFormat="1"/>
    <row r="13374" customFormat="1"/>
    <row r="13375" customFormat="1"/>
    <row r="13376" customFormat="1"/>
    <row r="13377" customFormat="1"/>
    <row r="13378" customFormat="1"/>
    <row r="13379" customFormat="1"/>
    <row r="13380" customFormat="1"/>
    <row r="13381" customFormat="1"/>
    <row r="13382" customFormat="1"/>
    <row r="13383" customFormat="1"/>
    <row r="13384" customFormat="1"/>
    <row r="13385" customFormat="1"/>
    <row r="13386" customFormat="1"/>
    <row r="13387" customFormat="1"/>
    <row r="13388" customFormat="1"/>
    <row r="13389" customFormat="1"/>
    <row r="13390" customFormat="1"/>
    <row r="13391" customFormat="1"/>
    <row r="13392" customFormat="1"/>
    <row r="13393" customFormat="1"/>
    <row r="13394" customFormat="1"/>
    <row r="13395" customFormat="1"/>
    <row r="13396" customFormat="1"/>
    <row r="13397" customFormat="1"/>
    <row r="13398" customFormat="1"/>
    <row r="13399" customFormat="1"/>
    <row r="13400" customFormat="1"/>
    <row r="13401" customFormat="1"/>
    <row r="13402" customFormat="1"/>
    <row r="13403" customFormat="1"/>
    <row r="13404" customFormat="1"/>
    <row r="13405" customFormat="1"/>
    <row r="13406" customFormat="1"/>
    <row r="13407" customFormat="1"/>
    <row r="13408" customFormat="1"/>
    <row r="13409" customFormat="1"/>
    <row r="13410" customFormat="1"/>
    <row r="13411" customFormat="1"/>
    <row r="13412" customFormat="1"/>
    <row r="13413" customFormat="1"/>
    <row r="13414" customFormat="1"/>
    <row r="13415" customFormat="1"/>
    <row r="13416" customFormat="1"/>
    <row r="13417" customFormat="1"/>
    <row r="13418" customFormat="1"/>
    <row r="13419" customFormat="1"/>
    <row r="13420" customFormat="1"/>
    <row r="13421" customFormat="1"/>
    <row r="13422" customFormat="1"/>
    <row r="13423" customFormat="1"/>
    <row r="13424" customFormat="1"/>
    <row r="13425" customFormat="1"/>
    <row r="13426" customFormat="1"/>
    <row r="13427" customFormat="1"/>
    <row r="13428" customFormat="1"/>
    <row r="13429" customFormat="1"/>
    <row r="13430" customFormat="1"/>
    <row r="13431" customFormat="1"/>
    <row r="13432" customFormat="1"/>
    <row r="13433" customFormat="1"/>
    <row r="13434" customFormat="1"/>
    <row r="13435" customFormat="1"/>
    <row r="13436" customFormat="1"/>
    <row r="13437" customFormat="1"/>
    <row r="13438" customFormat="1"/>
    <row r="13439" customFormat="1"/>
    <row r="13440" customFormat="1"/>
    <row r="13441" customFormat="1"/>
    <row r="13442" customFormat="1"/>
    <row r="13443" customFormat="1"/>
    <row r="13444" customFormat="1"/>
    <row r="13445" customFormat="1"/>
    <row r="13446" customFormat="1"/>
    <row r="13447" customFormat="1"/>
    <row r="13448" customFormat="1"/>
    <row r="13449" customFormat="1"/>
    <row r="13450" customFormat="1"/>
    <row r="13451" customFormat="1"/>
    <row r="13452" customFormat="1"/>
    <row r="13453" customFormat="1"/>
    <row r="13454" customFormat="1"/>
    <row r="13455" customFormat="1"/>
    <row r="13456" customFormat="1"/>
    <row r="13457" customFormat="1"/>
    <row r="13458" customFormat="1"/>
    <row r="13459" customFormat="1"/>
    <row r="13460" customFormat="1"/>
    <row r="13461" customFormat="1"/>
    <row r="13462" customFormat="1"/>
    <row r="13463" customFormat="1"/>
    <row r="13464" customFormat="1"/>
    <row r="13465" customFormat="1"/>
    <row r="13466" customFormat="1"/>
    <row r="13467" customFormat="1"/>
    <row r="13468" customFormat="1"/>
    <row r="13469" customFormat="1"/>
    <row r="13470" customFormat="1"/>
    <row r="13471" customFormat="1"/>
    <row r="13472" customFormat="1"/>
    <row r="13473" customFormat="1"/>
    <row r="13474" customFormat="1"/>
    <row r="13475" customFormat="1"/>
    <row r="13476" customFormat="1"/>
    <row r="13477" customFormat="1"/>
    <row r="13478" customFormat="1"/>
    <row r="13479" customFormat="1"/>
    <row r="13480" customFormat="1"/>
    <row r="13481" customFormat="1"/>
    <row r="13482" customFormat="1"/>
    <row r="13483" customFormat="1"/>
    <row r="13484" customFormat="1"/>
    <row r="13485" customFormat="1"/>
    <row r="13486" customFormat="1"/>
    <row r="13487" customFormat="1"/>
    <row r="13488" customFormat="1"/>
    <row r="13489" customFormat="1"/>
    <row r="13490" customFormat="1"/>
    <row r="13491" customFormat="1"/>
    <row r="13492" customFormat="1"/>
    <row r="13493" customFormat="1"/>
    <row r="13494" customFormat="1"/>
    <row r="13495" customFormat="1"/>
    <row r="13496" customFormat="1"/>
    <row r="13497" customFormat="1"/>
    <row r="13498" customFormat="1"/>
    <row r="13499" customFormat="1"/>
    <row r="13500" customFormat="1"/>
    <row r="13501" customFormat="1"/>
    <row r="13502" customFormat="1"/>
    <row r="13503" customFormat="1"/>
    <row r="13504" customFormat="1"/>
    <row r="13505" customFormat="1"/>
    <row r="13506" customFormat="1"/>
    <row r="13507" customFormat="1"/>
    <row r="13508" customFormat="1"/>
    <row r="13509" customFormat="1"/>
    <row r="13510" customFormat="1"/>
    <row r="13511" customFormat="1"/>
    <row r="13512" customFormat="1"/>
    <row r="13513" customFormat="1"/>
    <row r="13514" customFormat="1"/>
    <row r="13515" customFormat="1"/>
    <row r="13516" customFormat="1"/>
    <row r="13517" customFormat="1"/>
    <row r="13518" customFormat="1"/>
    <row r="13519" customFormat="1"/>
    <row r="13520" customFormat="1"/>
    <row r="13521" customFormat="1"/>
    <row r="13522" customFormat="1"/>
    <row r="13523" customFormat="1"/>
    <row r="13524" customFormat="1"/>
    <row r="13525" customFormat="1"/>
    <row r="13526" customFormat="1"/>
    <row r="13527" customFormat="1"/>
    <row r="13528" customFormat="1"/>
    <row r="13529" customFormat="1"/>
    <row r="13530" customFormat="1"/>
    <row r="13531" customFormat="1"/>
    <row r="13532" customFormat="1"/>
    <row r="13533" customFormat="1"/>
    <row r="13534" customFormat="1"/>
    <row r="13535" customFormat="1"/>
    <row r="13536" customFormat="1"/>
    <row r="13537" customFormat="1"/>
    <row r="13538" customFormat="1"/>
    <row r="13539" customFormat="1"/>
    <row r="13540" customFormat="1"/>
    <row r="13541" customFormat="1"/>
    <row r="13542" customFormat="1"/>
    <row r="13543" customFormat="1"/>
    <row r="13544" customFormat="1"/>
    <row r="13545" customFormat="1"/>
    <row r="13546" customFormat="1"/>
    <row r="13547" customFormat="1"/>
    <row r="13548" customFormat="1"/>
    <row r="13549" customFormat="1"/>
    <row r="13550" customFormat="1"/>
    <row r="13551" customFormat="1"/>
    <row r="13552" customFormat="1"/>
    <row r="13553" customFormat="1"/>
    <row r="13554" customFormat="1"/>
    <row r="13555" customFormat="1"/>
    <row r="13556" customFormat="1"/>
    <row r="13557" customFormat="1"/>
    <row r="13558" customFormat="1"/>
    <row r="13559" customFormat="1"/>
    <row r="13560" customFormat="1"/>
    <row r="13561" customFormat="1"/>
    <row r="13562" customFormat="1"/>
    <row r="13563" customFormat="1"/>
    <row r="13564" customFormat="1"/>
    <row r="13565" customFormat="1"/>
    <row r="13566" customFormat="1"/>
    <row r="13567" customFormat="1"/>
    <row r="13568" customFormat="1"/>
    <row r="13569" customFormat="1"/>
    <row r="13570" customFormat="1"/>
    <row r="13571" customFormat="1"/>
    <row r="13572" customFormat="1"/>
    <row r="13573" customFormat="1"/>
    <row r="13574" customFormat="1"/>
    <row r="13575" customFormat="1"/>
    <row r="13576" customFormat="1"/>
    <row r="13577" customFormat="1"/>
    <row r="13578" customFormat="1"/>
    <row r="13579" customFormat="1"/>
    <row r="13580" customFormat="1"/>
    <row r="13581" customFormat="1"/>
    <row r="13582" customFormat="1"/>
    <row r="13583" customFormat="1"/>
    <row r="13584" customFormat="1"/>
    <row r="13585" customFormat="1"/>
    <row r="13586" customFormat="1"/>
    <row r="13587" customFormat="1"/>
    <row r="13588" customFormat="1"/>
    <row r="13589" customFormat="1"/>
    <row r="13590" customFormat="1"/>
    <row r="13591" customFormat="1"/>
    <row r="13592" customFormat="1"/>
    <row r="13593" customFormat="1"/>
    <row r="13594" customFormat="1"/>
    <row r="13595" customFormat="1"/>
    <row r="13596" customFormat="1"/>
    <row r="13597" customFormat="1"/>
    <row r="13598" customFormat="1"/>
    <row r="13599" customFormat="1"/>
    <row r="13600" customFormat="1"/>
    <row r="13601" customFormat="1"/>
    <row r="13602" customFormat="1"/>
    <row r="13603" customFormat="1"/>
    <row r="13604" customFormat="1"/>
    <row r="13605" customFormat="1"/>
    <row r="13606" customFormat="1"/>
    <row r="13607" customFormat="1"/>
    <row r="13608" customFormat="1"/>
    <row r="13609" customFormat="1"/>
    <row r="13610" customFormat="1"/>
    <row r="13611" customFormat="1"/>
    <row r="13612" customFormat="1"/>
    <row r="13613" customFormat="1"/>
    <row r="13614" customFormat="1"/>
    <row r="13615" customFormat="1"/>
    <row r="13616" customFormat="1"/>
    <row r="13617" customFormat="1"/>
    <row r="13618" customFormat="1"/>
    <row r="13619" customFormat="1"/>
    <row r="13620" customFormat="1"/>
    <row r="13621" customFormat="1"/>
    <row r="13622" customFormat="1"/>
    <row r="13623" customFormat="1"/>
    <row r="13624" customFormat="1"/>
    <row r="13625" customFormat="1"/>
    <row r="13626" customFormat="1"/>
    <row r="13627" customFormat="1"/>
    <row r="13628" customFormat="1"/>
    <row r="13629" customFormat="1"/>
    <row r="13630" customFormat="1"/>
    <row r="13631" customFormat="1"/>
    <row r="13632" customFormat="1"/>
    <row r="13633" customFormat="1"/>
    <row r="13634" customFormat="1"/>
    <row r="13635" customFormat="1"/>
    <row r="13636" customFormat="1"/>
    <row r="13637" customFormat="1"/>
    <row r="13638" customFormat="1"/>
    <row r="13639" customFormat="1"/>
    <row r="13640" customFormat="1"/>
    <row r="13641" customFormat="1"/>
    <row r="13642" customFormat="1"/>
    <row r="13643" customFormat="1"/>
    <row r="13644" customFormat="1"/>
    <row r="13645" customFormat="1"/>
    <row r="13646" customFormat="1"/>
    <row r="13647" customFormat="1"/>
    <row r="13648" customFormat="1"/>
    <row r="13649" customFormat="1"/>
    <row r="13650" customFormat="1"/>
    <row r="13651" customFormat="1"/>
    <row r="13652" customFormat="1"/>
    <row r="13653" customFormat="1"/>
    <row r="13654" customFormat="1"/>
    <row r="13655" customFormat="1"/>
    <row r="13656" customFormat="1"/>
    <row r="13657" customFormat="1"/>
    <row r="13658" customFormat="1"/>
    <row r="13659" customFormat="1"/>
    <row r="13660" customFormat="1"/>
    <row r="13661" customFormat="1"/>
    <row r="13662" customFormat="1"/>
    <row r="13663" customFormat="1"/>
    <row r="13664" customFormat="1"/>
    <row r="13665" customFormat="1"/>
    <row r="13666" customFormat="1"/>
    <row r="13667" customFormat="1"/>
    <row r="13668" customFormat="1"/>
    <row r="13669" customFormat="1"/>
    <row r="13670" customFormat="1"/>
    <row r="13671" customFormat="1"/>
    <row r="13672" customFormat="1"/>
    <row r="13673" customFormat="1"/>
    <row r="13674" customFormat="1"/>
    <row r="13675" customFormat="1"/>
    <row r="13676" customFormat="1"/>
    <row r="13677" customFormat="1"/>
    <row r="13678" customFormat="1"/>
    <row r="13679" customFormat="1"/>
    <row r="13680" customFormat="1"/>
    <row r="13681" customFormat="1"/>
    <row r="13682" customFormat="1"/>
    <row r="13683" customFormat="1"/>
    <row r="13684" customFormat="1"/>
    <row r="13685" customFormat="1"/>
    <row r="13686" customFormat="1"/>
    <row r="13687" customFormat="1"/>
    <row r="13688" customFormat="1"/>
    <row r="13689" customFormat="1"/>
    <row r="13690" customFormat="1"/>
    <row r="13691" customFormat="1"/>
    <row r="13692" customFormat="1"/>
    <row r="13693" customFormat="1"/>
    <row r="13694" customFormat="1"/>
    <row r="13695" customFormat="1"/>
    <row r="13696" customFormat="1"/>
    <row r="13697" customFormat="1"/>
    <row r="13698" customFormat="1"/>
    <row r="13699" customFormat="1"/>
    <row r="13700" customFormat="1"/>
    <row r="13701" customFormat="1"/>
    <row r="13702" customFormat="1"/>
    <row r="13703" customFormat="1"/>
    <row r="13704" customFormat="1"/>
    <row r="13705" customFormat="1"/>
    <row r="13706" customFormat="1"/>
    <row r="13707" customFormat="1"/>
    <row r="13708" customFormat="1"/>
    <row r="13709" customFormat="1"/>
    <row r="13710" customFormat="1"/>
    <row r="13711" customFormat="1"/>
    <row r="13712" customFormat="1"/>
    <row r="13713" customFormat="1"/>
    <row r="13714" customFormat="1"/>
    <row r="13715" customFormat="1"/>
    <row r="13716" customFormat="1"/>
    <row r="13717" customFormat="1"/>
    <row r="13718" customFormat="1"/>
    <row r="13719" customFormat="1"/>
    <row r="13720" customFormat="1"/>
    <row r="13721" customFormat="1"/>
    <row r="13722" customFormat="1"/>
    <row r="13723" customFormat="1"/>
    <row r="13724" customFormat="1"/>
    <row r="13725" customFormat="1"/>
    <row r="13726" customFormat="1"/>
    <row r="13727" customFormat="1"/>
    <row r="13728" customFormat="1"/>
    <row r="13729" customFormat="1"/>
    <row r="13730" customFormat="1"/>
    <row r="13731" customFormat="1"/>
    <row r="13732" customFormat="1"/>
    <row r="13733" customFormat="1"/>
    <row r="13734" customFormat="1"/>
    <row r="13735" customFormat="1"/>
    <row r="13736" customFormat="1"/>
    <row r="13737" customFormat="1"/>
    <row r="13738" customFormat="1"/>
    <row r="13739" customFormat="1"/>
    <row r="13740" customFormat="1"/>
    <row r="13741" customFormat="1"/>
    <row r="13742" customFormat="1"/>
    <row r="13743" customFormat="1"/>
    <row r="13744" customFormat="1"/>
    <row r="13745" customFormat="1"/>
    <row r="13746" customFormat="1"/>
    <row r="13747" customFormat="1"/>
    <row r="13748" customFormat="1"/>
    <row r="13749" customFormat="1"/>
    <row r="13750" customFormat="1"/>
    <row r="13751" customFormat="1"/>
    <row r="13752" customFormat="1"/>
    <row r="13753" customFormat="1"/>
    <row r="13754" customFormat="1"/>
    <row r="13755" customFormat="1"/>
    <row r="13756" customFormat="1"/>
    <row r="13757" customFormat="1"/>
    <row r="13758" customFormat="1"/>
    <row r="13759" customFormat="1"/>
    <row r="13760" customFormat="1"/>
    <row r="13761" customFormat="1"/>
    <row r="13762" customFormat="1"/>
    <row r="13763" customFormat="1"/>
    <row r="13764" customFormat="1"/>
    <row r="13765" customFormat="1"/>
    <row r="13766" customFormat="1"/>
    <row r="13767" customFormat="1"/>
    <row r="13768" customFormat="1"/>
    <row r="13769" customFormat="1"/>
    <row r="13770" customFormat="1"/>
    <row r="13771" customFormat="1"/>
    <row r="13772" customFormat="1"/>
    <row r="13773" customFormat="1"/>
    <row r="13774" customFormat="1"/>
    <row r="13775" customFormat="1"/>
    <row r="13776" customFormat="1"/>
    <row r="13777" customFormat="1"/>
    <row r="13778" customFormat="1"/>
    <row r="13779" customFormat="1"/>
    <row r="13780" customFormat="1"/>
    <row r="13781" customFormat="1"/>
    <row r="13782" customFormat="1"/>
    <row r="13783" customFormat="1"/>
    <row r="13784" customFormat="1"/>
    <row r="13785" customFormat="1"/>
    <row r="13786" customFormat="1"/>
    <row r="13787" customFormat="1"/>
    <row r="13788" customFormat="1"/>
    <row r="13789" customFormat="1"/>
    <row r="13790" customFormat="1"/>
    <row r="13791" customFormat="1"/>
    <row r="13792" customFormat="1"/>
    <row r="13793" customFormat="1"/>
    <row r="13794" customFormat="1"/>
    <row r="13795" customFormat="1"/>
    <row r="13796" customFormat="1"/>
    <row r="13797" customFormat="1"/>
    <row r="13798" customFormat="1"/>
    <row r="13799" customFormat="1"/>
    <row r="13800" customFormat="1"/>
    <row r="13801" customFormat="1"/>
    <row r="13802" customFormat="1"/>
    <row r="13803" customFormat="1"/>
    <row r="13804" customFormat="1"/>
    <row r="13805" customFormat="1"/>
    <row r="13806" customFormat="1"/>
    <row r="13807" customFormat="1"/>
    <row r="13808" customFormat="1"/>
    <row r="13809" customFormat="1"/>
    <row r="13810" customFormat="1"/>
    <row r="13811" customFormat="1"/>
    <row r="13812" customFormat="1"/>
    <row r="13813" customFormat="1"/>
    <row r="13814" customFormat="1"/>
    <row r="13815" customFormat="1"/>
    <row r="13816" customFormat="1"/>
    <row r="13817" customFormat="1"/>
    <row r="13818" customFormat="1"/>
    <row r="13819" customFormat="1"/>
    <row r="13820" customFormat="1"/>
    <row r="13821" customFormat="1"/>
    <row r="13822" customFormat="1"/>
    <row r="13823" customFormat="1"/>
    <row r="13824" customFormat="1"/>
    <row r="13825" customFormat="1"/>
    <row r="13826" customFormat="1"/>
    <row r="13827" customFormat="1"/>
    <row r="13828" customFormat="1"/>
    <row r="13829" customFormat="1"/>
    <row r="13830" customFormat="1"/>
    <row r="13831" customFormat="1"/>
    <row r="13832" customFormat="1"/>
    <row r="13833" customFormat="1"/>
    <row r="13834" customFormat="1"/>
    <row r="13835" customFormat="1"/>
    <row r="13836" customFormat="1"/>
    <row r="13837" customFormat="1"/>
    <row r="13838" customFormat="1"/>
    <row r="13839" customFormat="1"/>
    <row r="13840" customFormat="1"/>
    <row r="13841" customFormat="1"/>
    <row r="13842" customFormat="1"/>
    <row r="13843" customFormat="1"/>
    <row r="13844" customFormat="1"/>
    <row r="13845" customFormat="1"/>
    <row r="13846" customFormat="1"/>
    <row r="13847" customFormat="1"/>
    <row r="13848" customFormat="1"/>
    <row r="13849" customFormat="1"/>
    <row r="13850" customFormat="1"/>
    <row r="13851" customFormat="1"/>
    <row r="13852" customFormat="1"/>
    <row r="13853" customFormat="1"/>
    <row r="13854" customFormat="1"/>
    <row r="13855" customFormat="1"/>
    <row r="13856" customFormat="1"/>
    <row r="13857" customFormat="1"/>
    <row r="13858" customFormat="1"/>
    <row r="13859" customFormat="1"/>
    <row r="13860" customFormat="1"/>
    <row r="13861" customFormat="1"/>
    <row r="13862" customFormat="1"/>
    <row r="13863" customFormat="1"/>
    <row r="13864" customFormat="1"/>
    <row r="13865" customFormat="1"/>
    <row r="13866" customFormat="1"/>
    <row r="13867" customFormat="1"/>
    <row r="13868" customFormat="1"/>
    <row r="13869" customFormat="1"/>
    <row r="13870" customFormat="1"/>
    <row r="13871" customFormat="1"/>
    <row r="13872" customFormat="1"/>
    <row r="13873" customFormat="1"/>
    <row r="13874" customFormat="1"/>
    <row r="13875" customFormat="1"/>
    <row r="13876" customFormat="1"/>
    <row r="13877" customFormat="1"/>
    <row r="13878" customFormat="1"/>
    <row r="13879" customFormat="1"/>
    <row r="13880" customFormat="1"/>
    <row r="13881" customFormat="1"/>
    <row r="13882" customFormat="1"/>
    <row r="13883" customFormat="1"/>
    <row r="13884" customFormat="1"/>
    <row r="13885" customFormat="1"/>
    <row r="13886" customFormat="1"/>
    <row r="13887" customFormat="1"/>
    <row r="13888" customFormat="1"/>
    <row r="13889" customFormat="1"/>
    <row r="13890" customFormat="1"/>
    <row r="13891" customFormat="1"/>
    <row r="13892" customFormat="1"/>
    <row r="13893" customFormat="1"/>
    <row r="13894" customFormat="1"/>
    <row r="13895" customFormat="1"/>
    <row r="13896" customFormat="1"/>
    <row r="13897" customFormat="1"/>
    <row r="13898" customFormat="1"/>
    <row r="13899" customFormat="1"/>
    <row r="13900" customFormat="1"/>
    <row r="13901" customFormat="1"/>
    <row r="13902" customFormat="1"/>
    <row r="13903" customFormat="1"/>
    <row r="13904" customFormat="1"/>
    <row r="13905" customFormat="1"/>
    <row r="13906" customFormat="1"/>
    <row r="13907" customFormat="1"/>
    <row r="13908" customFormat="1"/>
    <row r="13909" customFormat="1"/>
    <row r="13910" customFormat="1"/>
    <row r="13911" customFormat="1"/>
    <row r="13912" customFormat="1"/>
    <row r="13913" customFormat="1"/>
    <row r="13914" customFormat="1"/>
    <row r="13915" customFormat="1"/>
    <row r="13916" customFormat="1"/>
    <row r="13917" customFormat="1"/>
    <row r="13918" customFormat="1"/>
    <row r="13919" customFormat="1"/>
    <row r="13920" customFormat="1"/>
    <row r="13921" customFormat="1"/>
    <row r="13922" customFormat="1"/>
    <row r="13923" customFormat="1"/>
    <row r="13924" customFormat="1"/>
    <row r="13925" customFormat="1"/>
    <row r="13926" customFormat="1"/>
    <row r="13927" customFormat="1"/>
    <row r="13928" customFormat="1"/>
    <row r="13929" customFormat="1"/>
    <row r="13930" customFormat="1"/>
    <row r="13931" customFormat="1"/>
    <row r="13932" customFormat="1"/>
    <row r="13933" customFormat="1"/>
    <row r="13934" customFormat="1"/>
    <row r="13935" customFormat="1"/>
    <row r="13936" customFormat="1"/>
    <row r="13937" customFormat="1"/>
    <row r="13938" customFormat="1"/>
    <row r="13939" customFormat="1"/>
    <row r="13940" customFormat="1"/>
    <row r="13941" customFormat="1"/>
    <row r="13942" customFormat="1"/>
    <row r="13943" customFormat="1"/>
    <row r="13944" customFormat="1"/>
    <row r="13945" customFormat="1"/>
    <row r="13946" customFormat="1"/>
    <row r="13947" customFormat="1"/>
    <row r="13948" customFormat="1"/>
    <row r="13949" customFormat="1"/>
    <row r="13950" customFormat="1"/>
    <row r="13951" customFormat="1"/>
    <row r="13952" customFormat="1"/>
    <row r="13953" customFormat="1"/>
    <row r="13954" customFormat="1"/>
    <row r="13955" customFormat="1"/>
    <row r="13956" customFormat="1"/>
    <row r="13957" customFormat="1"/>
    <row r="13958" customFormat="1"/>
    <row r="13959" customFormat="1"/>
    <row r="13960" customFormat="1"/>
    <row r="13961" customFormat="1"/>
    <row r="13962" customFormat="1"/>
    <row r="13963" customFormat="1"/>
    <row r="13964" customFormat="1"/>
    <row r="13965" customFormat="1"/>
    <row r="13966" customFormat="1"/>
    <row r="13967" customFormat="1"/>
    <row r="13968" customFormat="1"/>
    <row r="13969" customFormat="1"/>
    <row r="13970" customFormat="1"/>
    <row r="13971" customFormat="1"/>
    <row r="13972" customFormat="1"/>
    <row r="13973" customFormat="1"/>
    <row r="13974" customFormat="1"/>
    <row r="13975" customFormat="1"/>
    <row r="13976" customFormat="1"/>
    <row r="13977" customFormat="1"/>
    <row r="13978" customFormat="1"/>
    <row r="13979" customFormat="1"/>
    <row r="13980" customFormat="1"/>
    <row r="13981" customFormat="1"/>
    <row r="13982" customFormat="1"/>
    <row r="13983" customFormat="1"/>
    <row r="13984" customFormat="1"/>
    <row r="13985" customFormat="1"/>
    <row r="13986" customFormat="1"/>
    <row r="13987" customFormat="1"/>
    <row r="13988" customFormat="1"/>
    <row r="13989" customFormat="1"/>
    <row r="13990" customFormat="1"/>
    <row r="13991" customFormat="1"/>
    <row r="13992" customFormat="1"/>
    <row r="13993" customFormat="1"/>
    <row r="13994" customFormat="1"/>
    <row r="13995" customFormat="1"/>
    <row r="13996" customFormat="1"/>
    <row r="13997" customFormat="1"/>
    <row r="13998" customFormat="1"/>
    <row r="13999" customFormat="1"/>
    <row r="14000" customFormat="1"/>
    <row r="14001" customFormat="1"/>
    <row r="14002" customFormat="1"/>
    <row r="14003" customFormat="1"/>
    <row r="14004" customFormat="1"/>
    <row r="14005" customFormat="1"/>
    <row r="14006" customFormat="1"/>
    <row r="14007" customFormat="1"/>
    <row r="14008" customFormat="1"/>
    <row r="14009" customFormat="1"/>
    <row r="14010" customFormat="1"/>
    <row r="14011" customFormat="1"/>
    <row r="14012" customFormat="1"/>
    <row r="14013" customFormat="1"/>
    <row r="14014" customFormat="1"/>
    <row r="14015" customFormat="1"/>
    <row r="14016" customFormat="1"/>
    <row r="14017" customFormat="1"/>
    <row r="14018" customFormat="1"/>
    <row r="14019" customFormat="1"/>
    <row r="14020" customFormat="1"/>
    <row r="14021" customFormat="1"/>
    <row r="14022" customFormat="1"/>
    <row r="14023" customFormat="1"/>
    <row r="14024" customFormat="1"/>
    <row r="14025" customFormat="1"/>
    <row r="14026" customFormat="1"/>
    <row r="14027" customFormat="1"/>
    <row r="14028" customFormat="1"/>
    <row r="14029" customFormat="1"/>
    <row r="14030" customFormat="1"/>
    <row r="14031" customFormat="1"/>
    <row r="14032" customFormat="1"/>
    <row r="14033" customFormat="1"/>
    <row r="14034" customFormat="1"/>
    <row r="14035" customFormat="1"/>
    <row r="14036" customFormat="1"/>
    <row r="14037" customFormat="1"/>
    <row r="14038" customFormat="1"/>
    <row r="14039" customFormat="1"/>
    <row r="14040" customFormat="1"/>
    <row r="14041" customFormat="1"/>
    <row r="14042" customFormat="1"/>
    <row r="14043" customFormat="1"/>
    <row r="14044" customFormat="1"/>
    <row r="14045" customFormat="1"/>
    <row r="14046" customFormat="1"/>
    <row r="14047" customFormat="1"/>
    <row r="14048" customFormat="1"/>
    <row r="14049" customFormat="1"/>
    <row r="14050" customFormat="1"/>
    <row r="14051" customFormat="1"/>
    <row r="14052" customFormat="1"/>
    <row r="14053" customFormat="1"/>
    <row r="14054" customFormat="1"/>
    <row r="14055" customFormat="1"/>
    <row r="14056" customFormat="1"/>
    <row r="14057" customFormat="1"/>
    <row r="14058" customFormat="1"/>
    <row r="14059" customFormat="1"/>
    <row r="14060" customFormat="1"/>
    <row r="14061" customFormat="1"/>
    <row r="14062" customFormat="1"/>
    <row r="14063" customFormat="1"/>
    <row r="14064" customFormat="1"/>
    <row r="14065" customFormat="1"/>
    <row r="14066" customFormat="1"/>
    <row r="14067" customFormat="1"/>
    <row r="14068" customFormat="1"/>
    <row r="14069" customFormat="1"/>
    <row r="14070" customFormat="1"/>
    <row r="14071" customFormat="1"/>
    <row r="14072" customFormat="1"/>
    <row r="14073" customFormat="1"/>
    <row r="14074" customFormat="1"/>
    <row r="14075" customFormat="1"/>
    <row r="14076" customFormat="1"/>
    <row r="14077" customFormat="1"/>
    <row r="14078" customFormat="1"/>
    <row r="14079" customFormat="1"/>
    <row r="14080" customFormat="1"/>
    <row r="14081" customFormat="1"/>
    <row r="14082" customFormat="1"/>
    <row r="14083" customFormat="1"/>
    <row r="14084" customFormat="1"/>
    <row r="14085" customFormat="1"/>
    <row r="14086" customFormat="1"/>
    <row r="14087" customFormat="1"/>
    <row r="14088" customFormat="1"/>
    <row r="14089" customFormat="1"/>
    <row r="14090" customFormat="1"/>
    <row r="14091" customFormat="1"/>
    <row r="14092" customFormat="1"/>
    <row r="14093" customFormat="1"/>
    <row r="14094" customFormat="1"/>
    <row r="14095" customFormat="1"/>
    <row r="14096" customFormat="1"/>
    <row r="14097" customFormat="1"/>
    <row r="14098" customFormat="1"/>
    <row r="14099" customFormat="1"/>
    <row r="14100" customFormat="1"/>
    <row r="14101" customFormat="1"/>
    <row r="14102" customFormat="1"/>
    <row r="14103" customFormat="1"/>
    <row r="14104" customFormat="1"/>
    <row r="14105" customFormat="1"/>
    <row r="14106" customFormat="1"/>
    <row r="14107" customFormat="1"/>
    <row r="14108" customFormat="1"/>
    <row r="14109" customFormat="1"/>
    <row r="14110" customFormat="1"/>
    <row r="14111" customFormat="1"/>
    <row r="14112" customFormat="1"/>
    <row r="14113" customFormat="1"/>
    <row r="14114" customFormat="1"/>
    <row r="14115" customFormat="1"/>
    <row r="14116" customFormat="1"/>
    <row r="14117" customFormat="1"/>
    <row r="14118" customFormat="1"/>
    <row r="14119" customFormat="1"/>
    <row r="14120" customFormat="1"/>
    <row r="14121" customFormat="1"/>
    <row r="14122" customFormat="1"/>
    <row r="14123" customFormat="1"/>
    <row r="14124" customFormat="1"/>
    <row r="14125" customFormat="1"/>
    <row r="14126" customFormat="1"/>
    <row r="14127" customFormat="1"/>
    <row r="14128" customFormat="1"/>
    <row r="14129" customFormat="1"/>
    <row r="14130" customFormat="1"/>
    <row r="14131" customFormat="1"/>
    <row r="14132" customFormat="1"/>
    <row r="14133" customFormat="1"/>
    <row r="14134" customFormat="1"/>
    <row r="14135" customFormat="1"/>
    <row r="14136" customFormat="1"/>
    <row r="14137" customFormat="1"/>
    <row r="14138" customFormat="1"/>
    <row r="14139" customFormat="1"/>
    <row r="14140" customFormat="1"/>
    <row r="14141" customFormat="1"/>
    <row r="14142" customFormat="1"/>
    <row r="14143" customFormat="1"/>
    <row r="14144" customFormat="1"/>
    <row r="14145" customFormat="1"/>
    <row r="14146" customFormat="1"/>
    <row r="14147" customFormat="1"/>
    <row r="14148" customFormat="1"/>
    <row r="14149" customFormat="1"/>
    <row r="14150" customFormat="1"/>
    <row r="14151" customFormat="1"/>
    <row r="14152" customFormat="1"/>
    <row r="14153" customFormat="1"/>
    <row r="14154" customFormat="1"/>
    <row r="14155" customFormat="1"/>
    <row r="14156" customFormat="1"/>
    <row r="14157" customFormat="1"/>
    <row r="14158" customFormat="1"/>
    <row r="14159" customFormat="1"/>
    <row r="14160" customFormat="1"/>
    <row r="14161" customFormat="1"/>
    <row r="14162" customFormat="1"/>
    <row r="14163" customFormat="1"/>
    <row r="14164" customFormat="1"/>
    <row r="14165" customFormat="1"/>
    <row r="14166" customFormat="1"/>
    <row r="14167" customFormat="1"/>
    <row r="14168" customFormat="1"/>
    <row r="14169" customFormat="1"/>
    <row r="14170" customFormat="1"/>
    <row r="14171" customFormat="1"/>
    <row r="14172" customFormat="1"/>
    <row r="14173" customFormat="1"/>
    <row r="14174" customFormat="1"/>
    <row r="14175" customFormat="1"/>
    <row r="14176" customFormat="1"/>
    <row r="14177" customFormat="1"/>
    <row r="14178" customFormat="1"/>
    <row r="14179" customFormat="1"/>
    <row r="14180" customFormat="1"/>
    <row r="14181" customFormat="1"/>
    <row r="14182" customFormat="1"/>
    <row r="14183" customFormat="1"/>
    <row r="14184" customFormat="1"/>
    <row r="14185" customFormat="1"/>
    <row r="14186" customFormat="1"/>
    <row r="14187" customFormat="1"/>
    <row r="14188" customFormat="1"/>
    <row r="14189" customFormat="1"/>
    <row r="14190" customFormat="1"/>
    <row r="14191" customFormat="1"/>
    <row r="14192" customFormat="1"/>
    <row r="14193" customFormat="1"/>
    <row r="14194" customFormat="1"/>
    <row r="14195" customFormat="1"/>
    <row r="14196" customFormat="1"/>
    <row r="14197" customFormat="1"/>
    <row r="14198" customFormat="1"/>
    <row r="14199" customFormat="1"/>
    <row r="14200" customFormat="1"/>
    <row r="14201" customFormat="1"/>
    <row r="14202" customFormat="1"/>
    <row r="14203" customFormat="1"/>
    <row r="14204" customFormat="1"/>
    <row r="14205" customFormat="1"/>
    <row r="14206" customFormat="1"/>
    <row r="14207" customFormat="1"/>
    <row r="14208" customFormat="1"/>
    <row r="14209" customFormat="1"/>
    <row r="14210" customFormat="1"/>
    <row r="14211" customFormat="1"/>
    <row r="14212" customFormat="1"/>
    <row r="14213" customFormat="1"/>
    <row r="14214" customFormat="1"/>
    <row r="14215" customFormat="1"/>
    <row r="14216" customFormat="1"/>
    <row r="14217" customFormat="1"/>
    <row r="14218" customFormat="1"/>
    <row r="14219" customFormat="1"/>
    <row r="14220" customFormat="1"/>
    <row r="14221" customFormat="1"/>
    <row r="14222" customFormat="1"/>
    <row r="14223" customFormat="1"/>
    <row r="14224" customFormat="1"/>
    <row r="14225" customFormat="1"/>
    <row r="14226" customFormat="1"/>
    <row r="14227" customFormat="1"/>
    <row r="14228" customFormat="1"/>
    <row r="14229" customFormat="1"/>
    <row r="14230" customFormat="1"/>
    <row r="14231" customFormat="1"/>
    <row r="14232" customFormat="1"/>
    <row r="14233" customFormat="1"/>
    <row r="14234" customFormat="1"/>
    <row r="14235" customFormat="1"/>
    <row r="14236" customFormat="1"/>
    <row r="14237" customFormat="1"/>
    <row r="14238" customFormat="1"/>
    <row r="14239" customFormat="1"/>
    <row r="14240" customFormat="1"/>
    <row r="14241" customFormat="1"/>
    <row r="14242" customFormat="1"/>
    <row r="14243" customFormat="1"/>
    <row r="14244" customFormat="1"/>
    <row r="14245" customFormat="1"/>
    <row r="14246" customFormat="1"/>
    <row r="14247" customFormat="1"/>
    <row r="14248" customFormat="1"/>
    <row r="14249" customFormat="1"/>
    <row r="14250" customFormat="1"/>
    <row r="14251" customFormat="1"/>
    <row r="14252" customFormat="1"/>
    <row r="14253" customFormat="1"/>
    <row r="14254" customFormat="1"/>
    <row r="14255" customFormat="1"/>
    <row r="14256" customFormat="1"/>
    <row r="14257" customFormat="1"/>
    <row r="14258" customFormat="1"/>
    <row r="14259" customFormat="1"/>
    <row r="14260" customFormat="1"/>
    <row r="14261" customFormat="1"/>
    <row r="14262" customFormat="1"/>
    <row r="14263" customFormat="1"/>
    <row r="14264" customFormat="1"/>
    <row r="14265" customFormat="1"/>
    <row r="14266" customFormat="1"/>
    <row r="14267" customFormat="1"/>
    <row r="14268" customFormat="1"/>
    <row r="14269" customFormat="1"/>
    <row r="14270" customFormat="1"/>
    <row r="14271" customFormat="1"/>
    <row r="14272" customFormat="1"/>
    <row r="14273" customFormat="1"/>
    <row r="14274" customFormat="1"/>
    <row r="14275" customFormat="1"/>
    <row r="14276" customFormat="1"/>
    <row r="14277" customFormat="1"/>
    <row r="14278" customFormat="1"/>
    <row r="14279" customFormat="1"/>
    <row r="14280" customFormat="1"/>
    <row r="14281" customFormat="1"/>
    <row r="14282" customFormat="1"/>
    <row r="14283" customFormat="1"/>
    <row r="14284" customFormat="1"/>
    <row r="14285" customFormat="1"/>
    <row r="14286" customFormat="1"/>
    <row r="14287" customFormat="1"/>
    <row r="14288" customFormat="1"/>
    <row r="14289" customFormat="1"/>
    <row r="14290" customFormat="1"/>
    <row r="14291" customFormat="1"/>
    <row r="14292" customFormat="1"/>
    <row r="14293" customFormat="1"/>
    <row r="14294" customFormat="1"/>
    <row r="14295" customFormat="1"/>
    <row r="14296" customFormat="1"/>
    <row r="14297" customFormat="1"/>
    <row r="14298" customFormat="1"/>
    <row r="14299" customFormat="1"/>
    <row r="14300" customFormat="1"/>
    <row r="14301" customFormat="1"/>
    <row r="14302" customFormat="1"/>
    <row r="14303" customFormat="1"/>
    <row r="14304" customFormat="1"/>
    <row r="14305" customFormat="1"/>
    <row r="14306" customFormat="1"/>
    <row r="14307" customFormat="1"/>
    <row r="14308" customFormat="1"/>
    <row r="14309" customFormat="1"/>
    <row r="14310" customFormat="1"/>
    <row r="14311" customFormat="1"/>
    <row r="14312" customFormat="1"/>
    <row r="14313" customFormat="1"/>
    <row r="14314" customFormat="1"/>
    <row r="14315" customFormat="1"/>
    <row r="14316" customFormat="1"/>
    <row r="14317" customFormat="1"/>
    <row r="14318" customFormat="1"/>
    <row r="14319" customFormat="1"/>
    <row r="14320" customFormat="1"/>
    <row r="14321" customFormat="1"/>
    <row r="14322" customFormat="1"/>
    <row r="14323" customFormat="1"/>
    <row r="14324" customFormat="1"/>
    <row r="14325" customFormat="1"/>
    <row r="14326" customFormat="1"/>
    <row r="14327" customFormat="1"/>
    <row r="14328" customFormat="1"/>
    <row r="14329" customFormat="1"/>
    <row r="14330" customFormat="1"/>
    <row r="14331" customFormat="1"/>
    <row r="14332" customFormat="1"/>
    <row r="14333" customFormat="1"/>
    <row r="14334" customFormat="1"/>
    <row r="14335" customFormat="1"/>
    <row r="14336" customFormat="1"/>
    <row r="14337" customFormat="1"/>
    <row r="14338" customFormat="1"/>
    <row r="14339" customFormat="1"/>
    <row r="14340" customFormat="1"/>
    <row r="14341" customFormat="1"/>
    <row r="14342" customFormat="1"/>
    <row r="14343" customFormat="1"/>
    <row r="14344" customFormat="1"/>
    <row r="14345" customFormat="1"/>
    <row r="14346" customFormat="1"/>
    <row r="14347" customFormat="1"/>
    <row r="14348" customFormat="1"/>
    <row r="14349" customFormat="1"/>
    <row r="14350" customFormat="1"/>
    <row r="14351" customFormat="1"/>
    <row r="14352" customFormat="1"/>
    <row r="14353" customFormat="1"/>
    <row r="14354" customFormat="1"/>
    <row r="14355" customFormat="1"/>
    <row r="14356" customFormat="1"/>
    <row r="14357" customFormat="1"/>
    <row r="14358" customFormat="1"/>
    <row r="14359" customFormat="1"/>
    <row r="14360" customFormat="1"/>
    <row r="14361" customFormat="1"/>
    <row r="14362" customFormat="1"/>
    <row r="14363" customFormat="1"/>
    <row r="14364" customFormat="1"/>
    <row r="14365" customFormat="1"/>
    <row r="14366" customFormat="1"/>
    <row r="14367" customFormat="1"/>
    <row r="14368" customFormat="1"/>
    <row r="14369" customFormat="1"/>
    <row r="14370" customFormat="1"/>
    <row r="14371" customFormat="1"/>
    <row r="14372" customFormat="1"/>
    <row r="14373" customFormat="1"/>
    <row r="14374" customFormat="1"/>
    <row r="14375" customFormat="1"/>
    <row r="14376" customFormat="1"/>
    <row r="14377" customFormat="1"/>
    <row r="14378" customFormat="1"/>
    <row r="14379" customFormat="1"/>
    <row r="14380" customFormat="1"/>
    <row r="14381" customFormat="1"/>
    <row r="14382" customFormat="1"/>
    <row r="14383" customFormat="1"/>
    <row r="14384" customFormat="1"/>
    <row r="14385" customFormat="1"/>
    <row r="14386" customFormat="1"/>
    <row r="14387" customFormat="1"/>
    <row r="14388" customFormat="1"/>
    <row r="14389" customFormat="1"/>
    <row r="14390" customFormat="1"/>
    <row r="14391" customFormat="1"/>
    <row r="14392" customFormat="1"/>
    <row r="14393" customFormat="1"/>
    <row r="14394" customFormat="1"/>
    <row r="14395" customFormat="1"/>
    <row r="14396" customFormat="1"/>
    <row r="14397" customFormat="1"/>
    <row r="14398" customFormat="1"/>
    <row r="14399" customFormat="1"/>
    <row r="14400" customFormat="1"/>
    <row r="14401" customFormat="1"/>
    <row r="14402" customFormat="1"/>
    <row r="14403" customFormat="1"/>
    <row r="14404" customFormat="1"/>
    <row r="14405" customFormat="1"/>
    <row r="14406" customFormat="1"/>
    <row r="14407" customFormat="1"/>
    <row r="14408" customFormat="1"/>
    <row r="14409" customFormat="1"/>
    <row r="14410" customFormat="1"/>
    <row r="14411" customFormat="1"/>
    <row r="14412" customFormat="1"/>
    <row r="14413" customFormat="1"/>
    <row r="14414" customFormat="1"/>
    <row r="14415" customFormat="1"/>
    <row r="14416" customFormat="1"/>
    <row r="14417" customFormat="1"/>
    <row r="14418" customFormat="1"/>
    <row r="14419" customFormat="1"/>
    <row r="14420" customFormat="1"/>
    <row r="14421" customFormat="1"/>
    <row r="14422" customFormat="1"/>
    <row r="14423" customFormat="1"/>
    <row r="14424" customFormat="1"/>
    <row r="14425" customFormat="1"/>
    <row r="14426" customFormat="1"/>
    <row r="14427" customFormat="1"/>
    <row r="14428" customFormat="1"/>
    <row r="14429" customFormat="1"/>
    <row r="14430" customFormat="1"/>
    <row r="14431" customFormat="1"/>
    <row r="14432" customFormat="1"/>
    <row r="14433" customFormat="1"/>
    <row r="14434" customFormat="1"/>
    <row r="14435" customFormat="1"/>
    <row r="14436" customFormat="1"/>
    <row r="14437" customFormat="1"/>
    <row r="14438" customFormat="1"/>
    <row r="14439" customFormat="1"/>
    <row r="14440" customFormat="1"/>
    <row r="14441" customFormat="1"/>
    <row r="14442" customFormat="1"/>
    <row r="14443" customFormat="1"/>
    <row r="14444" customFormat="1"/>
    <row r="14445" customFormat="1"/>
    <row r="14446" customFormat="1"/>
    <row r="14447" customFormat="1"/>
    <row r="14448" customFormat="1"/>
    <row r="14449" customFormat="1"/>
    <row r="14450" customFormat="1"/>
    <row r="14451" customFormat="1"/>
    <row r="14452" customFormat="1"/>
    <row r="14453" customFormat="1"/>
    <row r="14454" customFormat="1"/>
    <row r="14455" customFormat="1"/>
    <row r="14456" customFormat="1"/>
    <row r="14457" customFormat="1"/>
    <row r="14458" customFormat="1"/>
    <row r="14459" customFormat="1"/>
    <row r="14460" customFormat="1"/>
    <row r="14461" customFormat="1"/>
    <row r="14462" customFormat="1"/>
    <row r="14463" customFormat="1"/>
    <row r="14464" customFormat="1"/>
    <row r="14465" customFormat="1"/>
    <row r="14466" customFormat="1"/>
    <row r="14467" customFormat="1"/>
    <row r="14468" customFormat="1"/>
    <row r="14469" customFormat="1"/>
    <row r="14470" customFormat="1"/>
    <row r="14471" customFormat="1"/>
    <row r="14472" customFormat="1"/>
    <row r="14473" customFormat="1"/>
    <row r="14474" customFormat="1"/>
    <row r="14475" customFormat="1"/>
    <row r="14476" customFormat="1"/>
    <row r="14477" customFormat="1"/>
    <row r="14478" customFormat="1"/>
    <row r="14479" customFormat="1"/>
    <row r="14480" customFormat="1"/>
    <row r="14481" customFormat="1"/>
    <row r="14482" customFormat="1"/>
    <row r="14483" customFormat="1"/>
    <row r="14484" customFormat="1"/>
    <row r="14485" customFormat="1"/>
    <row r="14486" customFormat="1"/>
    <row r="14487" customFormat="1"/>
    <row r="14488" customFormat="1"/>
    <row r="14489" customFormat="1"/>
    <row r="14490" customFormat="1"/>
    <row r="14491" customFormat="1"/>
    <row r="14492" customFormat="1"/>
    <row r="14493" customFormat="1"/>
    <row r="14494" customFormat="1"/>
    <row r="14495" customFormat="1"/>
    <row r="14496" customFormat="1"/>
    <row r="14497" customFormat="1"/>
    <row r="14498" customFormat="1"/>
    <row r="14499" customFormat="1"/>
    <row r="14500" customFormat="1"/>
    <row r="14501" customFormat="1"/>
    <row r="14502" customFormat="1"/>
    <row r="14503" customFormat="1"/>
    <row r="14504" customFormat="1"/>
    <row r="14505" customFormat="1"/>
    <row r="14506" customFormat="1"/>
    <row r="14507" customFormat="1"/>
    <row r="14508" customFormat="1"/>
    <row r="14509" customFormat="1"/>
    <row r="14510" customFormat="1"/>
    <row r="14511" customFormat="1"/>
    <row r="14512" customFormat="1"/>
    <row r="14513" customFormat="1"/>
    <row r="14514" customFormat="1"/>
    <row r="14515" customFormat="1"/>
    <row r="14516" customFormat="1"/>
    <row r="14517" customFormat="1"/>
    <row r="14518" customFormat="1"/>
    <row r="14519" customFormat="1"/>
    <row r="14520" customFormat="1"/>
    <row r="14521" customFormat="1"/>
    <row r="14522" customFormat="1"/>
    <row r="14523" customFormat="1"/>
    <row r="14524" customFormat="1"/>
    <row r="14525" customFormat="1"/>
    <row r="14526" customFormat="1"/>
    <row r="14527" customFormat="1"/>
    <row r="14528" customFormat="1"/>
    <row r="14529" customFormat="1"/>
    <row r="14530" customFormat="1"/>
    <row r="14531" customFormat="1"/>
    <row r="14532" customFormat="1"/>
    <row r="14533" customFormat="1"/>
    <row r="14534" customFormat="1"/>
    <row r="14535" customFormat="1"/>
    <row r="14536" customFormat="1"/>
    <row r="14537" customFormat="1"/>
    <row r="14538" customFormat="1"/>
    <row r="14539" customFormat="1"/>
    <row r="14540" customFormat="1"/>
    <row r="14541" customFormat="1"/>
    <row r="14542" customFormat="1"/>
    <row r="14543" customFormat="1"/>
    <row r="14544" customFormat="1"/>
    <row r="14545" customFormat="1"/>
    <row r="14546" customFormat="1"/>
    <row r="14547" customFormat="1"/>
    <row r="14548" customFormat="1"/>
    <row r="14549" customFormat="1"/>
    <row r="14550" customFormat="1"/>
    <row r="14551" customFormat="1"/>
    <row r="14552" customFormat="1"/>
    <row r="14553" customFormat="1"/>
    <row r="14554" customFormat="1"/>
    <row r="14555" customFormat="1"/>
    <row r="14556" customFormat="1"/>
    <row r="14557" customFormat="1"/>
    <row r="14558" customFormat="1"/>
    <row r="14559" customFormat="1"/>
    <row r="14560" customFormat="1"/>
    <row r="14561" customFormat="1"/>
    <row r="14562" customFormat="1"/>
    <row r="14563" customFormat="1"/>
    <row r="14564" customFormat="1"/>
    <row r="14565" customFormat="1"/>
    <row r="14566" customFormat="1"/>
    <row r="14567" customFormat="1"/>
    <row r="14568" customFormat="1"/>
    <row r="14569" customFormat="1"/>
    <row r="14570" customFormat="1"/>
    <row r="14571" customFormat="1"/>
    <row r="14572" customFormat="1"/>
    <row r="14573" customFormat="1"/>
    <row r="14574" customFormat="1"/>
    <row r="14575" customFormat="1"/>
    <row r="14576" customFormat="1"/>
    <row r="14577" customFormat="1"/>
    <row r="14578" customFormat="1"/>
    <row r="14579" customFormat="1"/>
    <row r="14580" customFormat="1"/>
    <row r="14581" customFormat="1"/>
    <row r="14582" customFormat="1"/>
    <row r="14583" customFormat="1"/>
    <row r="14584" customFormat="1"/>
    <row r="14585" customFormat="1"/>
    <row r="14586" customFormat="1"/>
    <row r="14587" customFormat="1"/>
    <row r="14588" customFormat="1"/>
    <row r="14589" customFormat="1"/>
    <row r="14590" customFormat="1"/>
    <row r="14591" customFormat="1"/>
    <row r="14592" customFormat="1"/>
    <row r="14593" customFormat="1"/>
    <row r="14594" customFormat="1"/>
    <row r="14595" customFormat="1"/>
    <row r="14596" customFormat="1"/>
    <row r="14597" customFormat="1"/>
    <row r="14598" customFormat="1"/>
    <row r="14599" customFormat="1"/>
    <row r="14600" customFormat="1"/>
    <row r="14601" customFormat="1"/>
    <row r="14602" customFormat="1"/>
    <row r="14603" customFormat="1"/>
    <row r="14604" customFormat="1"/>
    <row r="14605" customFormat="1"/>
    <row r="14606" customFormat="1"/>
    <row r="14607" customFormat="1"/>
    <row r="14608" customFormat="1"/>
    <row r="14609" customFormat="1"/>
    <row r="14610" customFormat="1"/>
    <row r="14611" customFormat="1"/>
    <row r="14612" customFormat="1"/>
    <row r="14613" customFormat="1"/>
    <row r="14614" customFormat="1"/>
    <row r="14615" customFormat="1"/>
    <row r="14616" customFormat="1"/>
    <row r="14617" customFormat="1"/>
    <row r="14618" customFormat="1"/>
    <row r="14619" customFormat="1"/>
    <row r="14620" customFormat="1"/>
    <row r="14621" customFormat="1"/>
    <row r="14622" customFormat="1"/>
    <row r="14623" customFormat="1"/>
    <row r="14624" customFormat="1"/>
    <row r="14625" customFormat="1"/>
    <row r="14626" customFormat="1"/>
    <row r="14627" customFormat="1"/>
    <row r="14628" customFormat="1"/>
    <row r="14629" customFormat="1"/>
    <row r="14630" customFormat="1"/>
    <row r="14631" customFormat="1"/>
    <row r="14632" customFormat="1"/>
    <row r="14633" customFormat="1"/>
    <row r="14634" customFormat="1"/>
    <row r="14635" customFormat="1"/>
    <row r="14636" customFormat="1"/>
    <row r="14637" customFormat="1"/>
    <row r="14638" customFormat="1"/>
    <row r="14639" customFormat="1"/>
    <row r="14640" customFormat="1"/>
    <row r="14641" customFormat="1"/>
    <row r="14642" customFormat="1"/>
    <row r="14643" customFormat="1"/>
    <row r="14644" customFormat="1"/>
    <row r="14645" customFormat="1"/>
    <row r="14646" customFormat="1"/>
    <row r="14647" customFormat="1"/>
    <row r="14648" customFormat="1"/>
    <row r="14649" customFormat="1"/>
    <row r="14650" customFormat="1"/>
    <row r="14651" customFormat="1"/>
    <row r="14652" customFormat="1"/>
    <row r="14653" customFormat="1"/>
    <row r="14654" customFormat="1"/>
    <row r="14655" customFormat="1"/>
    <row r="14656" customFormat="1"/>
    <row r="14657" customFormat="1"/>
    <row r="14658" customFormat="1"/>
    <row r="14659" customFormat="1"/>
    <row r="14660" customFormat="1"/>
    <row r="14661" customFormat="1"/>
    <row r="14662" customFormat="1"/>
    <row r="14663" customFormat="1"/>
    <row r="14664" customFormat="1"/>
    <row r="14665" customFormat="1"/>
    <row r="14666" customFormat="1"/>
    <row r="14667" customFormat="1"/>
    <row r="14668" customFormat="1"/>
    <row r="14669" customFormat="1"/>
    <row r="14670" customFormat="1"/>
    <row r="14671" customFormat="1"/>
    <row r="14672" customFormat="1"/>
    <row r="14673" customFormat="1"/>
    <row r="14674" customFormat="1"/>
    <row r="14675" customFormat="1"/>
    <row r="14676" customFormat="1"/>
    <row r="14677" customFormat="1"/>
    <row r="14678" customFormat="1"/>
    <row r="14679" customFormat="1"/>
    <row r="14680" customFormat="1"/>
    <row r="14681" customFormat="1"/>
    <row r="14682" customFormat="1"/>
    <row r="14683" customFormat="1"/>
    <row r="14684" customFormat="1"/>
    <row r="14685" customFormat="1"/>
    <row r="14686" customFormat="1"/>
    <row r="14687" customFormat="1"/>
    <row r="14688" customFormat="1"/>
    <row r="14689" customFormat="1"/>
    <row r="14690" customFormat="1"/>
    <row r="14691" customFormat="1"/>
    <row r="14692" customFormat="1"/>
    <row r="14693" customFormat="1"/>
    <row r="14694" customFormat="1"/>
    <row r="14695" customFormat="1"/>
    <row r="14696" customFormat="1"/>
    <row r="14697" customFormat="1"/>
    <row r="14698" customFormat="1"/>
    <row r="14699" customFormat="1"/>
    <row r="14700" customFormat="1"/>
    <row r="14701" customFormat="1"/>
    <row r="14702" customFormat="1"/>
    <row r="14703" customFormat="1"/>
    <row r="14704" customFormat="1"/>
    <row r="14705" customFormat="1"/>
    <row r="14706" customFormat="1"/>
    <row r="14707" customFormat="1"/>
    <row r="14708" customFormat="1"/>
    <row r="14709" customFormat="1"/>
    <row r="14710" customFormat="1"/>
    <row r="14711" customFormat="1"/>
    <row r="14712" customFormat="1"/>
    <row r="14713" customFormat="1"/>
    <row r="14714" customFormat="1"/>
    <row r="14715" customFormat="1"/>
    <row r="14716" customFormat="1"/>
    <row r="14717" customFormat="1"/>
    <row r="14718" customFormat="1"/>
    <row r="14719" customFormat="1"/>
    <row r="14720" customFormat="1"/>
    <row r="14721" customFormat="1"/>
    <row r="14722" customFormat="1"/>
    <row r="14723" customFormat="1"/>
    <row r="14724" customFormat="1"/>
    <row r="14725" customFormat="1"/>
    <row r="14726" customFormat="1"/>
    <row r="14727" customFormat="1"/>
    <row r="14728" customFormat="1"/>
    <row r="14729" customFormat="1"/>
    <row r="14730" customFormat="1"/>
    <row r="14731" customFormat="1"/>
    <row r="14732" customFormat="1"/>
    <row r="14733" customFormat="1"/>
    <row r="14734" customFormat="1"/>
    <row r="14735" customFormat="1"/>
    <row r="14736" customFormat="1"/>
    <row r="14737" customFormat="1"/>
    <row r="14738" customFormat="1"/>
    <row r="14739" customFormat="1"/>
    <row r="14740" customFormat="1"/>
    <row r="14741" customFormat="1"/>
    <row r="14742" customFormat="1"/>
    <row r="14743" customFormat="1"/>
    <row r="14744" customFormat="1"/>
    <row r="14745" customFormat="1"/>
    <row r="14746" customFormat="1"/>
    <row r="14747" customFormat="1"/>
    <row r="14748" customFormat="1"/>
    <row r="14749" customFormat="1"/>
    <row r="14750" customFormat="1"/>
    <row r="14751" customFormat="1"/>
    <row r="14752" customFormat="1"/>
    <row r="14753" customFormat="1"/>
    <row r="14754" customFormat="1"/>
    <row r="14755" customFormat="1"/>
    <row r="14756" customFormat="1"/>
    <row r="14757" customFormat="1"/>
    <row r="14758" customFormat="1"/>
    <row r="14759" customFormat="1"/>
    <row r="14760" customFormat="1"/>
    <row r="14761" customFormat="1"/>
    <row r="14762" customFormat="1"/>
    <row r="14763" customFormat="1"/>
    <row r="14764" customFormat="1"/>
    <row r="14765" customFormat="1"/>
    <row r="14766" customFormat="1"/>
    <row r="14767" customFormat="1"/>
    <row r="14768" customFormat="1"/>
    <row r="14769" customFormat="1"/>
    <row r="14770" customFormat="1"/>
    <row r="14771" customFormat="1"/>
    <row r="14772" customFormat="1"/>
    <row r="14773" customFormat="1"/>
    <row r="14774" customFormat="1"/>
    <row r="14775" customFormat="1"/>
    <row r="14776" customFormat="1"/>
    <row r="14777" customFormat="1"/>
    <row r="14778" customFormat="1"/>
    <row r="14779" customFormat="1"/>
    <row r="14780" customFormat="1"/>
    <row r="14781" customFormat="1"/>
    <row r="14782" customFormat="1"/>
    <row r="14783" customFormat="1"/>
    <row r="14784" customFormat="1"/>
    <row r="14785" customFormat="1"/>
    <row r="14786" customFormat="1"/>
    <row r="14787" customFormat="1"/>
    <row r="14788" customFormat="1"/>
    <row r="14789" customFormat="1"/>
    <row r="14790" customFormat="1"/>
    <row r="14791" customFormat="1"/>
    <row r="14792" customFormat="1"/>
    <row r="14793" customFormat="1"/>
    <row r="14794" customFormat="1"/>
    <row r="14795" customFormat="1"/>
    <row r="14796" customFormat="1"/>
    <row r="14797" customFormat="1"/>
    <row r="14798" customFormat="1"/>
    <row r="14799" customFormat="1"/>
    <row r="14800" customFormat="1"/>
    <row r="14801" customFormat="1"/>
    <row r="14802" customFormat="1"/>
    <row r="14803" customFormat="1"/>
    <row r="14804" customFormat="1"/>
    <row r="14805" customFormat="1"/>
    <row r="14806" customFormat="1"/>
    <row r="14807" customFormat="1"/>
    <row r="14808" customFormat="1"/>
    <row r="14809" customFormat="1"/>
    <row r="14810" customFormat="1"/>
    <row r="14811" customFormat="1"/>
    <row r="14812" customFormat="1"/>
    <row r="14813" customFormat="1"/>
    <row r="14814" customFormat="1"/>
    <row r="14815" customFormat="1"/>
    <row r="14816" customFormat="1"/>
    <row r="14817" customFormat="1"/>
    <row r="14818" customFormat="1"/>
    <row r="14819" customFormat="1"/>
    <row r="14820" customFormat="1"/>
    <row r="14821" customFormat="1"/>
    <row r="14822" customFormat="1"/>
    <row r="14823" customFormat="1"/>
    <row r="14824" customFormat="1"/>
    <row r="14825" customFormat="1"/>
    <row r="14826" customFormat="1"/>
    <row r="14827" customFormat="1"/>
    <row r="14828" customFormat="1"/>
    <row r="14829" customFormat="1"/>
    <row r="14830" customFormat="1"/>
    <row r="14831" customFormat="1"/>
    <row r="14832" customFormat="1"/>
    <row r="14833" customFormat="1"/>
    <row r="14834" customFormat="1"/>
    <row r="14835" customFormat="1"/>
    <row r="14836" customFormat="1"/>
    <row r="14837" customFormat="1"/>
    <row r="14838" customFormat="1"/>
    <row r="14839" customFormat="1"/>
    <row r="14840" customFormat="1"/>
    <row r="14841" customFormat="1"/>
    <row r="14842" customFormat="1"/>
    <row r="14843" customFormat="1"/>
    <row r="14844" customFormat="1"/>
    <row r="14845" customFormat="1"/>
    <row r="14846" customFormat="1"/>
    <row r="14847" customFormat="1"/>
    <row r="14848" customFormat="1"/>
    <row r="14849" customFormat="1"/>
    <row r="14850" customFormat="1"/>
    <row r="14851" customFormat="1"/>
    <row r="14852" customFormat="1"/>
    <row r="14853" customFormat="1"/>
    <row r="14854" customFormat="1"/>
    <row r="14855" customFormat="1"/>
    <row r="14856" customFormat="1"/>
    <row r="14857" customFormat="1"/>
    <row r="14858" customFormat="1"/>
    <row r="14859" customFormat="1"/>
    <row r="14860" customFormat="1"/>
    <row r="14861" customFormat="1"/>
    <row r="14862" customFormat="1"/>
    <row r="14863" customFormat="1"/>
    <row r="14864" customFormat="1"/>
    <row r="14865" customFormat="1"/>
    <row r="14866" customFormat="1"/>
    <row r="14867" customFormat="1"/>
    <row r="14868" customFormat="1"/>
    <row r="14869" customFormat="1"/>
    <row r="14870" customFormat="1"/>
    <row r="14871" customFormat="1"/>
    <row r="14872" customFormat="1"/>
    <row r="14873" customFormat="1"/>
    <row r="14874" customFormat="1"/>
    <row r="14875" customFormat="1"/>
    <row r="14876" customFormat="1"/>
    <row r="14877" customFormat="1"/>
    <row r="14878" customFormat="1"/>
    <row r="14879" customFormat="1"/>
    <row r="14880" customFormat="1"/>
    <row r="14881" customFormat="1"/>
    <row r="14882" customFormat="1"/>
    <row r="14883" customFormat="1"/>
    <row r="14884" customFormat="1"/>
    <row r="14885" customFormat="1"/>
    <row r="14886" customFormat="1"/>
    <row r="14887" customFormat="1"/>
    <row r="14888" customFormat="1"/>
    <row r="14889" customFormat="1"/>
    <row r="14890" customFormat="1"/>
    <row r="14891" customFormat="1"/>
    <row r="14892" customFormat="1"/>
    <row r="14893" customFormat="1"/>
    <row r="14894" customFormat="1"/>
    <row r="14895" customFormat="1"/>
    <row r="14896" customFormat="1"/>
    <row r="14897" customFormat="1"/>
    <row r="14898" customFormat="1"/>
    <row r="14899" customFormat="1"/>
    <row r="14900" customFormat="1"/>
    <row r="14901" customFormat="1"/>
    <row r="14902" customFormat="1"/>
    <row r="14903" customFormat="1"/>
    <row r="14904" customFormat="1"/>
    <row r="14905" customFormat="1"/>
    <row r="14906" customFormat="1"/>
    <row r="14907" customFormat="1"/>
    <row r="14908" customFormat="1"/>
    <row r="14909" customFormat="1"/>
    <row r="14910" customFormat="1"/>
    <row r="14911" customFormat="1"/>
    <row r="14912" customFormat="1"/>
    <row r="14913" customFormat="1"/>
    <row r="14914" customFormat="1"/>
    <row r="14915" customFormat="1"/>
    <row r="14916" customFormat="1"/>
    <row r="14917" customFormat="1"/>
    <row r="14918" customFormat="1"/>
    <row r="14919" customFormat="1"/>
    <row r="14920" customFormat="1"/>
    <row r="14921" customFormat="1"/>
    <row r="14922" customFormat="1"/>
    <row r="14923" customFormat="1"/>
    <row r="14924" customFormat="1"/>
    <row r="14925" customFormat="1"/>
    <row r="14926" customFormat="1"/>
    <row r="14927" customFormat="1"/>
    <row r="14928" customFormat="1"/>
    <row r="14929" customFormat="1"/>
    <row r="14930" customFormat="1"/>
    <row r="14931" customFormat="1"/>
    <row r="14932" customFormat="1"/>
    <row r="14933" customFormat="1"/>
    <row r="14934" customFormat="1"/>
    <row r="14935" customFormat="1"/>
    <row r="14936" customFormat="1"/>
    <row r="14937" customFormat="1"/>
    <row r="14938" customFormat="1"/>
    <row r="14939" customFormat="1"/>
    <row r="14940" customFormat="1"/>
    <row r="14941" customFormat="1"/>
    <row r="14942" customFormat="1"/>
    <row r="14943" customFormat="1"/>
    <row r="14944" customFormat="1"/>
    <row r="14945" customFormat="1"/>
    <row r="14946" customFormat="1"/>
    <row r="14947" customFormat="1"/>
    <row r="14948" customFormat="1"/>
    <row r="14949" customFormat="1"/>
    <row r="14950" customFormat="1"/>
    <row r="14951" customFormat="1"/>
    <row r="14952" customFormat="1"/>
    <row r="14953" customFormat="1"/>
    <row r="14954" customFormat="1"/>
    <row r="14955" customFormat="1"/>
    <row r="14956" customFormat="1"/>
    <row r="14957" customFormat="1"/>
    <row r="14958" customFormat="1"/>
    <row r="14959" customFormat="1"/>
    <row r="14960" customFormat="1"/>
    <row r="14961" customFormat="1"/>
    <row r="14962" customFormat="1"/>
    <row r="14963" customFormat="1"/>
    <row r="14964" customFormat="1"/>
    <row r="14965" customFormat="1"/>
    <row r="14966" customFormat="1"/>
    <row r="14967" customFormat="1"/>
    <row r="14968" customFormat="1"/>
    <row r="14969" customFormat="1"/>
    <row r="14970" customFormat="1"/>
    <row r="14971" customFormat="1"/>
    <row r="14972" customFormat="1"/>
    <row r="14973" customFormat="1"/>
    <row r="14974" customFormat="1"/>
    <row r="14975" customFormat="1"/>
    <row r="14976" customFormat="1"/>
    <row r="14977" customFormat="1"/>
    <row r="14978" customFormat="1"/>
    <row r="14979" customFormat="1"/>
    <row r="14980" customFormat="1"/>
    <row r="14981" customFormat="1"/>
    <row r="14982" customFormat="1"/>
    <row r="14983" customFormat="1"/>
    <row r="14984" customFormat="1"/>
    <row r="14985" customFormat="1"/>
    <row r="14986" customFormat="1"/>
    <row r="14987" customFormat="1"/>
    <row r="14988" customFormat="1"/>
    <row r="14989" customFormat="1"/>
    <row r="14990" customFormat="1"/>
    <row r="14991" customFormat="1"/>
    <row r="14992" customFormat="1"/>
    <row r="14993" customFormat="1"/>
    <row r="14994" customFormat="1"/>
    <row r="14995" customFormat="1"/>
    <row r="14996" customFormat="1"/>
    <row r="14997" customFormat="1"/>
    <row r="14998" customFormat="1"/>
    <row r="14999" customFormat="1"/>
    <row r="15000" customFormat="1"/>
    <row r="15001" customFormat="1"/>
    <row r="15002" customFormat="1"/>
    <row r="15003" customFormat="1"/>
    <row r="15004" customFormat="1"/>
    <row r="15005" customFormat="1"/>
    <row r="15006" customFormat="1"/>
    <row r="15007" customFormat="1"/>
    <row r="15008" customFormat="1"/>
    <row r="15009" customFormat="1"/>
    <row r="15010" customFormat="1"/>
    <row r="15011" customFormat="1"/>
    <row r="15012" customFormat="1"/>
    <row r="15013" customFormat="1"/>
    <row r="15014" customFormat="1"/>
    <row r="15015" customFormat="1"/>
    <row r="15016" customFormat="1"/>
    <row r="15017" customFormat="1"/>
    <row r="15018" customFormat="1"/>
    <row r="15019" customFormat="1"/>
    <row r="15020" customFormat="1"/>
    <row r="15021" customFormat="1"/>
    <row r="15022" customFormat="1"/>
    <row r="15023" customFormat="1"/>
    <row r="15024" customFormat="1"/>
    <row r="15025" customFormat="1"/>
    <row r="15026" customFormat="1"/>
    <row r="15027" customFormat="1"/>
    <row r="15028" customFormat="1"/>
    <row r="15029" customFormat="1"/>
    <row r="15030" customFormat="1"/>
    <row r="15031" customFormat="1"/>
    <row r="15032" customFormat="1"/>
    <row r="15033" customFormat="1"/>
    <row r="15034" customFormat="1"/>
    <row r="15035" customFormat="1"/>
    <row r="15036" customFormat="1"/>
    <row r="15037" customFormat="1"/>
    <row r="15038" customFormat="1"/>
    <row r="15039" customFormat="1"/>
    <row r="15040" customFormat="1"/>
    <row r="15041" customFormat="1"/>
    <row r="15042" customFormat="1"/>
    <row r="15043" customFormat="1"/>
    <row r="15044" customFormat="1"/>
    <row r="15045" customFormat="1"/>
    <row r="15046" customFormat="1"/>
    <row r="15047" customFormat="1"/>
    <row r="15048" customFormat="1"/>
    <row r="15049" customFormat="1"/>
    <row r="15050" customFormat="1"/>
    <row r="15051" customFormat="1"/>
    <row r="15052" customFormat="1"/>
    <row r="15053" customFormat="1"/>
    <row r="15054" customFormat="1"/>
    <row r="15055" customFormat="1"/>
    <row r="15056" customFormat="1"/>
    <row r="15057" customFormat="1"/>
    <row r="15058" customFormat="1"/>
    <row r="15059" customFormat="1"/>
    <row r="15060" customFormat="1"/>
    <row r="15061" customFormat="1"/>
    <row r="15062" customFormat="1"/>
    <row r="15063" customFormat="1"/>
    <row r="15064" customFormat="1"/>
    <row r="15065" customFormat="1"/>
    <row r="15066" customFormat="1"/>
    <row r="15067" customFormat="1"/>
    <row r="15068" customFormat="1"/>
    <row r="15069" customFormat="1"/>
    <row r="15070" customFormat="1"/>
    <row r="15071" customFormat="1"/>
    <row r="15072" customFormat="1"/>
    <row r="15073" customFormat="1"/>
    <row r="15074" customFormat="1"/>
    <row r="15075" customFormat="1"/>
    <row r="15076" customFormat="1"/>
    <row r="15077" customFormat="1"/>
    <row r="15078" customFormat="1"/>
    <row r="15079" customFormat="1"/>
    <row r="15080" customFormat="1"/>
    <row r="15081" customFormat="1"/>
    <row r="15082" customFormat="1"/>
    <row r="15083" customFormat="1"/>
    <row r="15084" customFormat="1"/>
    <row r="15085" customFormat="1"/>
    <row r="15086" customFormat="1"/>
    <row r="15087" customFormat="1"/>
    <row r="15088" customFormat="1"/>
    <row r="15089" customFormat="1"/>
    <row r="15090" customFormat="1"/>
    <row r="15091" customFormat="1"/>
    <row r="15092" customFormat="1"/>
    <row r="15093" customFormat="1"/>
    <row r="15094" customFormat="1"/>
    <row r="15095" customFormat="1"/>
    <row r="15096" customFormat="1"/>
    <row r="15097" customFormat="1"/>
    <row r="15098" customFormat="1"/>
    <row r="15099" customFormat="1"/>
    <row r="15100" customFormat="1"/>
    <row r="15101" customFormat="1"/>
    <row r="15102" customFormat="1"/>
    <row r="15103" customFormat="1"/>
    <row r="15104" customFormat="1"/>
    <row r="15105" customFormat="1"/>
    <row r="15106" customFormat="1"/>
    <row r="15107" customFormat="1"/>
    <row r="15108" customFormat="1"/>
    <row r="15109" customFormat="1"/>
    <row r="15110" customFormat="1"/>
    <row r="15111" customFormat="1"/>
    <row r="15112" customFormat="1"/>
    <row r="15113" customFormat="1"/>
    <row r="15114" customFormat="1"/>
    <row r="15115" customFormat="1"/>
    <row r="15116" customFormat="1"/>
    <row r="15117" customFormat="1"/>
    <row r="15118" customFormat="1"/>
    <row r="15119" customFormat="1"/>
    <row r="15120" customFormat="1"/>
    <row r="15121" customFormat="1"/>
    <row r="15122" customFormat="1"/>
    <row r="15123" customFormat="1"/>
    <row r="15124" customFormat="1"/>
    <row r="15125" customFormat="1"/>
    <row r="15126" customFormat="1"/>
    <row r="15127" customFormat="1"/>
    <row r="15128" customFormat="1"/>
    <row r="15129" customFormat="1"/>
    <row r="15130" customFormat="1"/>
    <row r="15131" customFormat="1"/>
    <row r="15132" customFormat="1"/>
    <row r="15133" customFormat="1"/>
    <row r="15134" customFormat="1"/>
    <row r="15135" customFormat="1"/>
    <row r="15136" customFormat="1"/>
    <row r="15137" customFormat="1"/>
    <row r="15138" customFormat="1"/>
    <row r="15139" customFormat="1"/>
    <row r="15140" customFormat="1"/>
    <row r="15141" customFormat="1"/>
    <row r="15142" customFormat="1"/>
    <row r="15143" customFormat="1"/>
    <row r="15144" customFormat="1"/>
    <row r="15145" customFormat="1"/>
    <row r="15146" customFormat="1"/>
    <row r="15147" customFormat="1"/>
    <row r="15148" customFormat="1"/>
    <row r="15149" customFormat="1"/>
    <row r="15150" customFormat="1"/>
    <row r="15151" customFormat="1"/>
    <row r="15152" customFormat="1"/>
    <row r="15153" customFormat="1"/>
    <row r="15154" customFormat="1"/>
    <row r="15155" customFormat="1"/>
    <row r="15156" customFormat="1"/>
    <row r="15157" customFormat="1"/>
    <row r="15158" customFormat="1"/>
    <row r="15159" customFormat="1"/>
    <row r="15160" customFormat="1"/>
    <row r="15161" customFormat="1"/>
    <row r="15162" customFormat="1"/>
    <row r="15163" customFormat="1"/>
    <row r="15164" customFormat="1"/>
    <row r="15165" customFormat="1"/>
    <row r="15166" customFormat="1"/>
    <row r="15167" customFormat="1"/>
    <row r="15168" customFormat="1"/>
    <row r="15169" customFormat="1"/>
    <row r="15170" customFormat="1"/>
    <row r="15171" customFormat="1"/>
    <row r="15172" customFormat="1"/>
    <row r="15173" customFormat="1"/>
    <row r="15174" customFormat="1"/>
    <row r="15175" customFormat="1"/>
    <row r="15176" customFormat="1"/>
    <row r="15177" customFormat="1"/>
    <row r="15178" customFormat="1"/>
    <row r="15179" customFormat="1"/>
    <row r="15180" customFormat="1"/>
    <row r="15181" customFormat="1"/>
    <row r="15182" customFormat="1"/>
    <row r="15183" customFormat="1"/>
    <row r="15184" customFormat="1"/>
    <row r="15185" customFormat="1"/>
    <row r="15186" customFormat="1"/>
    <row r="15187" customFormat="1"/>
    <row r="15188" customFormat="1"/>
    <row r="15189" customFormat="1"/>
    <row r="15190" customFormat="1"/>
    <row r="15191" customFormat="1"/>
    <row r="15192" customFormat="1"/>
    <row r="15193" customFormat="1"/>
    <row r="15194" customFormat="1"/>
    <row r="15195" customFormat="1"/>
    <row r="15196" customFormat="1"/>
    <row r="15197" customFormat="1"/>
    <row r="15198" customFormat="1"/>
    <row r="15199" customFormat="1"/>
    <row r="15200" customFormat="1"/>
    <row r="15201" customFormat="1"/>
    <row r="15202" customFormat="1"/>
    <row r="15203" customFormat="1"/>
    <row r="15204" customFormat="1"/>
    <row r="15205" customFormat="1"/>
    <row r="15206" customFormat="1"/>
    <row r="15207" customFormat="1"/>
    <row r="15208" customFormat="1"/>
    <row r="15209" customFormat="1"/>
    <row r="15210" customFormat="1"/>
    <row r="15211" customFormat="1"/>
    <row r="15212" customFormat="1"/>
    <row r="15213" customFormat="1"/>
    <row r="15214" customFormat="1"/>
    <row r="15215" customFormat="1"/>
    <row r="15216" customFormat="1"/>
    <row r="15217" customFormat="1"/>
    <row r="15218" customFormat="1"/>
    <row r="15219" customFormat="1"/>
    <row r="15220" customFormat="1"/>
    <row r="15221" customFormat="1"/>
    <row r="15222" customFormat="1"/>
    <row r="15223" customFormat="1"/>
    <row r="15224" customFormat="1"/>
    <row r="15225" customFormat="1"/>
    <row r="15226" customFormat="1"/>
    <row r="15227" customFormat="1"/>
    <row r="15228" customFormat="1"/>
    <row r="15229" customFormat="1"/>
    <row r="15230" customFormat="1"/>
    <row r="15231" customFormat="1"/>
    <row r="15232" customFormat="1"/>
    <row r="15233" customFormat="1"/>
    <row r="15234" customFormat="1"/>
    <row r="15235" customFormat="1"/>
    <row r="15236" customFormat="1"/>
    <row r="15237" customFormat="1"/>
    <row r="15238" customFormat="1"/>
    <row r="15239" customFormat="1"/>
    <row r="15240" customFormat="1"/>
    <row r="15241" customFormat="1"/>
    <row r="15242" customFormat="1"/>
    <row r="15243" customFormat="1"/>
    <row r="15244" customFormat="1"/>
    <row r="15245" customFormat="1"/>
    <row r="15246" customFormat="1"/>
    <row r="15247" customFormat="1"/>
    <row r="15248" customFormat="1"/>
    <row r="15249" customFormat="1"/>
    <row r="15250" customFormat="1"/>
    <row r="15251" customFormat="1"/>
    <row r="15252" customFormat="1"/>
    <row r="15253" customFormat="1"/>
    <row r="15254" customFormat="1"/>
    <row r="15255" customFormat="1"/>
    <row r="15256" customFormat="1"/>
    <row r="15257" customFormat="1"/>
    <row r="15258" customFormat="1"/>
    <row r="15259" customFormat="1"/>
    <row r="15260" customFormat="1"/>
    <row r="15261" customFormat="1"/>
    <row r="15262" customFormat="1"/>
    <row r="15263" customFormat="1"/>
    <row r="15264" customFormat="1"/>
    <row r="15265" customFormat="1"/>
    <row r="15266" customFormat="1"/>
    <row r="15267" customFormat="1"/>
    <row r="15268" customFormat="1"/>
    <row r="15269" customFormat="1"/>
    <row r="15270" customFormat="1"/>
    <row r="15271" customFormat="1"/>
    <row r="15272" customFormat="1"/>
    <row r="15273" customFormat="1"/>
    <row r="15274" customFormat="1"/>
    <row r="15275" customFormat="1"/>
    <row r="15276" customFormat="1"/>
    <row r="15277" customFormat="1"/>
    <row r="15278" customFormat="1"/>
    <row r="15279" customFormat="1"/>
    <row r="15280" customFormat="1"/>
    <row r="15281" customFormat="1"/>
    <row r="15282" customFormat="1"/>
    <row r="15283" customFormat="1"/>
    <row r="15284" customFormat="1"/>
    <row r="15285" customFormat="1"/>
    <row r="15286" customFormat="1"/>
    <row r="15287" customFormat="1"/>
    <row r="15288" customFormat="1"/>
    <row r="15289" customFormat="1"/>
    <row r="15290" customFormat="1"/>
    <row r="15291" customFormat="1"/>
    <row r="15292" customFormat="1"/>
    <row r="15293" customFormat="1"/>
    <row r="15294" customFormat="1"/>
    <row r="15295" customFormat="1"/>
    <row r="15296" customFormat="1"/>
    <row r="15297" customFormat="1"/>
    <row r="15298" customFormat="1"/>
    <row r="15299" customFormat="1"/>
    <row r="15300" customFormat="1"/>
    <row r="15301" customFormat="1"/>
    <row r="15302" customFormat="1"/>
    <row r="15303" customFormat="1"/>
    <row r="15304" customFormat="1"/>
    <row r="15305" customFormat="1"/>
    <row r="15306" customFormat="1"/>
    <row r="15307" customFormat="1"/>
    <row r="15308" customFormat="1"/>
    <row r="15309" customFormat="1"/>
    <row r="15310" customFormat="1"/>
    <row r="15311" customFormat="1"/>
    <row r="15312" customFormat="1"/>
    <row r="15313" customFormat="1"/>
    <row r="15314" customFormat="1"/>
    <row r="15315" customFormat="1"/>
    <row r="15316" customFormat="1"/>
    <row r="15317" customFormat="1"/>
    <row r="15318" customFormat="1"/>
    <row r="15319" customFormat="1"/>
    <row r="15320" customFormat="1"/>
    <row r="15321" customFormat="1"/>
    <row r="15322" customFormat="1"/>
    <row r="15323" customFormat="1"/>
    <row r="15324" customFormat="1"/>
    <row r="15325" customFormat="1"/>
    <row r="15326" customFormat="1"/>
    <row r="15327" customFormat="1"/>
    <row r="15328" customFormat="1"/>
    <row r="15329" customFormat="1"/>
    <row r="15330" customFormat="1"/>
    <row r="15331" customFormat="1"/>
    <row r="15332" customFormat="1"/>
    <row r="15333" customFormat="1"/>
    <row r="15334" customFormat="1"/>
    <row r="15335" customFormat="1"/>
    <row r="15336" customFormat="1"/>
    <row r="15337" customFormat="1"/>
    <row r="15338" customFormat="1"/>
    <row r="15339" customFormat="1"/>
    <row r="15340" customFormat="1"/>
  </sheetData>
  <pageMargins left="0.25" right="0.25" top="0.75" bottom="0.75" header="0.3" footer="0.3"/>
  <pageSetup scale="65" orientation="landscape" r:id="rId1"/>
  <headerFooter>
    <oddHeader>&amp;L&amp;G&amp;C&amp;"Arial,Bold"&amp;20
WORLD SUNFLOWER OIL TRADE MATRIX</oddHeader>
    <oddFooter>&amp;L&amp;D&amp;C&amp;P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8F89-BCC9-4015-8F5A-4611D4731035}">
  <dimension ref="A1:AR362"/>
  <sheetViews>
    <sheetView zoomScaleNormal="100" workbookViewId="0">
      <pane xSplit="1" ySplit="2" topLeftCell="X3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4.85546875" customWidth="1"/>
    <col min="26" max="26" width="9" customWidth="1"/>
    <col min="27" max="28" width="9" bestFit="1" customWidth="1"/>
    <col min="29" max="30" width="9.85546875" bestFit="1" customWidth="1"/>
    <col min="36" max="36" width="11.28515625" style="201" bestFit="1" customWidth="1"/>
    <col min="37" max="38" width="9.28515625" style="201" bestFit="1" customWidth="1"/>
    <col min="39" max="39" width="8.85546875" style="201"/>
  </cols>
  <sheetData>
    <row r="1" spans="1:41" ht="18.75" thickBot="1">
      <c r="A1" s="199" t="s">
        <v>206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N1" t="s">
        <v>207</v>
      </c>
    </row>
    <row r="2" spans="1:41" ht="15.75" thickBot="1">
      <c r="A2" s="202"/>
      <c r="B2" s="203">
        <v>1993</v>
      </c>
      <c r="C2" s="204">
        <v>1994</v>
      </c>
      <c r="D2" s="203">
        <v>1995</v>
      </c>
      <c r="E2" s="204">
        <v>1996</v>
      </c>
      <c r="F2" s="203">
        <v>1997</v>
      </c>
      <c r="G2" s="204">
        <v>1998</v>
      </c>
      <c r="H2" s="203">
        <v>1999</v>
      </c>
      <c r="I2" s="204">
        <v>2000</v>
      </c>
      <c r="J2" s="203">
        <v>2001</v>
      </c>
      <c r="K2" s="204">
        <v>2002</v>
      </c>
      <c r="L2" s="203">
        <v>2003</v>
      </c>
      <c r="M2" s="204">
        <v>2004</v>
      </c>
      <c r="N2" s="203">
        <v>2005</v>
      </c>
      <c r="O2" s="204">
        <v>2006</v>
      </c>
      <c r="P2" s="203">
        <v>2007</v>
      </c>
      <c r="Q2" s="204">
        <v>2008</v>
      </c>
      <c r="R2" s="203">
        <v>2009</v>
      </c>
      <c r="S2" s="204">
        <v>2010</v>
      </c>
      <c r="T2" s="203">
        <v>2011</v>
      </c>
      <c r="U2" s="204">
        <v>2012</v>
      </c>
      <c r="V2" s="203">
        <v>2013</v>
      </c>
      <c r="W2" s="204">
        <v>2014</v>
      </c>
      <c r="X2" s="203">
        <v>2015</v>
      </c>
      <c r="Y2" s="204">
        <v>2016</v>
      </c>
      <c r="Z2" s="203">
        <v>2017</v>
      </c>
      <c r="AA2" s="204">
        <v>2018</v>
      </c>
      <c r="AB2" s="204">
        <v>2019</v>
      </c>
      <c r="AC2" s="204">
        <v>2020</v>
      </c>
      <c r="AD2" s="204">
        <v>2021</v>
      </c>
      <c r="AE2" s="204">
        <v>2022</v>
      </c>
      <c r="AF2" s="204">
        <v>2023</v>
      </c>
      <c r="AG2" s="204">
        <v>2024</v>
      </c>
      <c r="AJ2" s="201" t="s">
        <v>208</v>
      </c>
      <c r="AK2" s="201" t="s">
        <v>209</v>
      </c>
      <c r="AL2" s="201" t="s">
        <v>210</v>
      </c>
      <c r="AN2" s="205">
        <v>45205</v>
      </c>
    </row>
    <row r="3" spans="1:41" ht="16.5">
      <c r="A3" s="3" t="s">
        <v>211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O3" s="206" t="s">
        <v>212</v>
      </c>
    </row>
    <row r="4" spans="1:41">
      <c r="A4" s="3" t="s">
        <v>213</v>
      </c>
      <c r="B4" s="207">
        <v>2187.1</v>
      </c>
      <c r="C4" s="207">
        <v>2205.8000000000002</v>
      </c>
      <c r="D4" s="207">
        <v>3010.44</v>
      </c>
      <c r="E4" s="207">
        <v>3410.6</v>
      </c>
      <c r="F4" s="207">
        <v>3119.75</v>
      </c>
      <c r="G4" s="207">
        <v>3511.4</v>
      </c>
      <c r="H4" s="207">
        <v>4243.8</v>
      </c>
      <c r="I4" s="207">
        <v>3587</v>
      </c>
      <c r="J4" s="207">
        <v>1976.12</v>
      </c>
      <c r="K4" s="207">
        <v>2050.3649999999998</v>
      </c>
      <c r="L4" s="207">
        <v>2378</v>
      </c>
      <c r="M4" s="207">
        <v>1847.963</v>
      </c>
      <c r="N4" s="207">
        <v>1966.5989999999999</v>
      </c>
      <c r="O4" s="207">
        <v>2231.7139999999999</v>
      </c>
      <c r="P4" s="207">
        <v>2381.3879999999999</v>
      </c>
      <c r="Q4" s="207">
        <v>2612.6460000000002</v>
      </c>
      <c r="R4" s="207">
        <v>1967.42</v>
      </c>
      <c r="S4" s="207">
        <v>1545.2950000000001</v>
      </c>
      <c r="T4" s="207">
        <v>1758.5450000000001</v>
      </c>
      <c r="U4" s="207">
        <v>1851.22</v>
      </c>
      <c r="V4" s="207">
        <v>1657.0709999999999</v>
      </c>
      <c r="W4" s="207">
        <v>1313.1949999999999</v>
      </c>
      <c r="X4" s="207">
        <v>1464.855</v>
      </c>
      <c r="Y4" s="207">
        <v>1435.1479999999999</v>
      </c>
      <c r="Z4" s="207">
        <v>1861.595</v>
      </c>
      <c r="AA4" s="207">
        <v>1704.296</v>
      </c>
      <c r="AB4" s="207">
        <v>1826.0650000000001</v>
      </c>
      <c r="AC4" s="207">
        <v>1404.7660000000001</v>
      </c>
      <c r="AD4" s="207">
        <v>1636.885</v>
      </c>
      <c r="AE4" s="207">
        <v>1968.9069999999999</v>
      </c>
      <c r="AF4" s="207">
        <v>2465.201</v>
      </c>
      <c r="AG4" s="208">
        <f t="shared" ref="AG4:AH4" si="0">MROUND(AG5/(SUM(I5:AF5)/SUM(I4:AF4)),25)</f>
        <v>2575</v>
      </c>
      <c r="AH4" s="208">
        <f t="shared" si="0"/>
        <v>2550</v>
      </c>
      <c r="AI4" s="208"/>
      <c r="AJ4" s="209"/>
      <c r="AL4" s="209"/>
      <c r="AM4" s="209"/>
    </row>
    <row r="5" spans="1:41">
      <c r="A5" s="3" t="s">
        <v>2</v>
      </c>
      <c r="B5" s="207">
        <v>2059.75</v>
      </c>
      <c r="C5" s="207">
        <v>2152.5500000000002</v>
      </c>
      <c r="D5" s="207">
        <v>2954.5</v>
      </c>
      <c r="E5" s="207">
        <v>3235.63</v>
      </c>
      <c r="F5" s="207">
        <v>3007.47</v>
      </c>
      <c r="G5" s="207">
        <v>3331.4</v>
      </c>
      <c r="H5" s="207">
        <v>4067.87</v>
      </c>
      <c r="I5" s="207">
        <v>3477.12</v>
      </c>
      <c r="J5" s="207">
        <v>1903.925</v>
      </c>
      <c r="K5" s="207">
        <v>2014.915</v>
      </c>
      <c r="L5" s="207">
        <v>2324.5100000000002</v>
      </c>
      <c r="M5" s="207">
        <v>1835.2380000000001</v>
      </c>
      <c r="N5" s="207">
        <v>1922.9090000000001</v>
      </c>
      <c r="O5" s="207">
        <v>2167.0740000000001</v>
      </c>
      <c r="P5" s="207">
        <v>2351.348</v>
      </c>
      <c r="Q5" s="207">
        <v>2569.136</v>
      </c>
      <c r="R5" s="207">
        <v>1820.03</v>
      </c>
      <c r="S5" s="207">
        <v>1491.317</v>
      </c>
      <c r="T5" s="207">
        <v>1743.04</v>
      </c>
      <c r="U5" s="207">
        <v>1823.412</v>
      </c>
      <c r="V5" s="207">
        <v>1620.0809999999999</v>
      </c>
      <c r="W5" s="207">
        <v>1261.6400000000001</v>
      </c>
      <c r="X5" s="207">
        <v>1439.915</v>
      </c>
      <c r="Y5" s="207">
        <v>1413.963</v>
      </c>
      <c r="Z5" s="207">
        <v>1819.0450000000001</v>
      </c>
      <c r="AA5" s="210">
        <v>1678.0309999999999</v>
      </c>
      <c r="AB5" s="210">
        <v>1761.001</v>
      </c>
      <c r="AC5" s="210">
        <v>1381.5709999999999</v>
      </c>
      <c r="AD5" s="210">
        <v>1628.002</v>
      </c>
      <c r="AE5" s="210">
        <v>1958.6859999999999</v>
      </c>
      <c r="AF5" s="210">
        <v>2453.2449999999999</v>
      </c>
      <c r="AG5" s="211">
        <f>MROUND(FORECAST(AG45,H5:AF5,H45:AF45),5)+1100</f>
        <v>2525</v>
      </c>
      <c r="AH5" s="211">
        <f>MROUND(FORECAST(AH45,I5:AG5,I45:AG45),5)+850</f>
        <v>2485</v>
      </c>
      <c r="AI5" s="211"/>
      <c r="AJ5" s="212">
        <v>1960</v>
      </c>
      <c r="AK5" s="212">
        <v>2453</v>
      </c>
      <c r="AL5" s="212">
        <v>1900</v>
      </c>
      <c r="AM5" s="213"/>
    </row>
    <row r="6" spans="1:41" s="219" customFormat="1">
      <c r="A6" s="214" t="s">
        <v>214</v>
      </c>
      <c r="B6" s="215">
        <f>B5/B4</f>
        <v>0.9417722097755018</v>
      </c>
      <c r="C6" s="215">
        <f t="shared" ref="C6:AC6" si="1">C5/C4</f>
        <v>0.97585909873968624</v>
      </c>
      <c r="D6" s="215">
        <f t="shared" si="1"/>
        <v>0.98141799869786472</v>
      </c>
      <c r="E6" s="215">
        <f t="shared" si="1"/>
        <v>0.94869817627396946</v>
      </c>
      <c r="F6" s="215">
        <f t="shared" si="1"/>
        <v>0.96400993669364521</v>
      </c>
      <c r="G6" s="215">
        <f t="shared" si="1"/>
        <v>0.94873839494218826</v>
      </c>
      <c r="H6" s="215">
        <f t="shared" si="1"/>
        <v>0.95854422922852156</v>
      </c>
      <c r="I6" s="215">
        <f t="shared" si="1"/>
        <v>0.96936715918594918</v>
      </c>
      <c r="J6" s="215">
        <f t="shared" si="1"/>
        <v>0.96346628747242069</v>
      </c>
      <c r="K6" s="215">
        <f t="shared" si="1"/>
        <v>0.98271039546617323</v>
      </c>
      <c r="L6" s="215">
        <f t="shared" si="1"/>
        <v>0.97750630782169901</v>
      </c>
      <c r="M6" s="215">
        <f t="shared" si="1"/>
        <v>0.99311403962092315</v>
      </c>
      <c r="N6" s="215">
        <f t="shared" si="1"/>
        <v>0.97778398138105438</v>
      </c>
      <c r="O6" s="215">
        <f t="shared" si="1"/>
        <v>0.97103571514988041</v>
      </c>
      <c r="P6" s="215">
        <f t="shared" si="1"/>
        <v>0.98738550794746593</v>
      </c>
      <c r="Q6" s="215">
        <f t="shared" si="1"/>
        <v>0.98334638523550444</v>
      </c>
      <c r="R6" s="215">
        <f t="shared" si="1"/>
        <v>0.92508462859989216</v>
      </c>
      <c r="S6" s="215">
        <f t="shared" si="1"/>
        <v>0.96506945275821121</v>
      </c>
      <c r="T6" s="215">
        <f t="shared" si="1"/>
        <v>0.99118305189801792</v>
      </c>
      <c r="U6" s="215">
        <f t="shared" si="1"/>
        <v>0.98497855468285778</v>
      </c>
      <c r="V6" s="215">
        <f t="shared" si="1"/>
        <v>0.97767748032522439</v>
      </c>
      <c r="W6" s="215">
        <f t="shared" si="1"/>
        <v>0.96074078868713342</v>
      </c>
      <c r="X6" s="215">
        <f t="shared" si="1"/>
        <v>0.98297442408975633</v>
      </c>
      <c r="Y6" s="215">
        <f t="shared" si="1"/>
        <v>0.98523845624284045</v>
      </c>
      <c r="Z6" s="215">
        <f t="shared" si="1"/>
        <v>0.97714325618622744</v>
      </c>
      <c r="AA6" s="215">
        <f t="shared" si="1"/>
        <v>0.98458894464341873</v>
      </c>
      <c r="AB6" s="215">
        <f t="shared" si="1"/>
        <v>0.96436928586879433</v>
      </c>
      <c r="AC6" s="215">
        <f t="shared" si="1"/>
        <v>0.98348835322039385</v>
      </c>
      <c r="AD6" s="215">
        <f>AD5/AD4</f>
        <v>0.9945732290295286</v>
      </c>
      <c r="AE6" s="215">
        <f t="shared" ref="AE6:AG6" si="2">AE5/AE4</f>
        <v>0.99480879493038521</v>
      </c>
      <c r="AF6" s="215">
        <f t="shared" si="2"/>
        <v>0.99515009120960107</v>
      </c>
      <c r="AG6" s="216">
        <f t="shared" si="2"/>
        <v>0.98058252427184467</v>
      </c>
      <c r="AH6" s="217"/>
      <c r="AI6" s="217"/>
      <c r="AJ6" s="213"/>
      <c r="AK6" s="218"/>
      <c r="AL6" s="213"/>
      <c r="AM6" s="213"/>
    </row>
    <row r="7" spans="1:41">
      <c r="A7" s="3" t="s">
        <v>215</v>
      </c>
      <c r="B7" s="23">
        <f t="shared" ref="B7:AF7" si="3">B9/B5</f>
        <v>1.4350770724602502</v>
      </c>
      <c r="C7" s="23">
        <f t="shared" si="3"/>
        <v>1.9023483775057488</v>
      </c>
      <c r="D7" s="23">
        <f t="shared" si="3"/>
        <v>1.9629514300220003</v>
      </c>
      <c r="E7" s="23">
        <f t="shared" si="3"/>
        <v>1.7176871273909564</v>
      </c>
      <c r="F7" s="23">
        <f t="shared" si="3"/>
        <v>1.8121544022051759</v>
      </c>
      <c r="G7" s="23">
        <f t="shared" si="3"/>
        <v>1.6809389445878609</v>
      </c>
      <c r="H7" s="23">
        <f t="shared" si="3"/>
        <v>1.7515653155090996</v>
      </c>
      <c r="I7" s="23">
        <f t="shared" si="3"/>
        <v>1.7455983687649548</v>
      </c>
      <c r="J7" s="23">
        <f t="shared" si="3"/>
        <v>1.6697312131517787</v>
      </c>
      <c r="K7" s="23">
        <f t="shared" si="3"/>
        <v>1.9075638426434862</v>
      </c>
      <c r="L7" s="23">
        <f t="shared" si="3"/>
        <v>1.5977560862289255</v>
      </c>
      <c r="M7" s="23">
        <f t="shared" si="3"/>
        <v>1.7308229232393837</v>
      </c>
      <c r="N7" s="23">
        <f t="shared" si="3"/>
        <v>1.904462457661803</v>
      </c>
      <c r="O7" s="23">
        <f t="shared" si="3"/>
        <v>1.7349370626014617</v>
      </c>
      <c r="P7" s="23">
        <f t="shared" si="3"/>
        <v>1.4875437408669412</v>
      </c>
      <c r="Q7" s="23">
        <f t="shared" si="3"/>
        <v>1.8100890727466354</v>
      </c>
      <c r="R7" s="23">
        <f t="shared" si="3"/>
        <v>1.3645038818041462</v>
      </c>
      <c r="S7" s="23">
        <f t="shared" si="3"/>
        <v>1.4912570566821137</v>
      </c>
      <c r="T7" s="23">
        <f t="shared" si="3"/>
        <v>2.1065196438406462</v>
      </c>
      <c r="U7" s="23">
        <f t="shared" si="3"/>
        <v>1.8320160227090749</v>
      </c>
      <c r="V7" s="23">
        <f t="shared" si="3"/>
        <v>1.9162128313337421</v>
      </c>
      <c r="W7" s="23">
        <f t="shared" si="3"/>
        <v>1.6354982403855296</v>
      </c>
      <c r="X7" s="23">
        <f t="shared" si="3"/>
        <v>2.1933864151703402</v>
      </c>
      <c r="Y7" s="23">
        <f t="shared" si="3"/>
        <v>2.1219558078959637</v>
      </c>
      <c r="Z7" s="23">
        <f t="shared" si="3"/>
        <v>1.9497631999208374</v>
      </c>
      <c r="AA7" s="23">
        <f t="shared" si="3"/>
        <v>2.1081523523701291</v>
      </c>
      <c r="AB7" s="23">
        <f t="shared" si="3"/>
        <v>2.0046308889092059</v>
      </c>
      <c r="AC7" s="23">
        <f t="shared" si="3"/>
        <v>2.0682346401306919</v>
      </c>
      <c r="AD7" s="23">
        <f t="shared" si="3"/>
        <v>1.994694109712396</v>
      </c>
      <c r="AE7" s="23">
        <f t="shared" si="3"/>
        <v>2.067897559894746</v>
      </c>
      <c r="AF7" s="23">
        <f t="shared" si="3"/>
        <v>2.0458103450735656</v>
      </c>
      <c r="AG7" s="220">
        <f t="shared" ref="AG7" si="4">FORECAST(AG45,H7:AF7,H45:AF45)</f>
        <v>2.0676445102849144</v>
      </c>
    </row>
    <row r="8" spans="1:41">
      <c r="A8" s="221" t="s">
        <v>216</v>
      </c>
      <c r="B8" s="13">
        <v>153.05799999999999</v>
      </c>
      <c r="C8" s="13">
        <f>B17</f>
        <v>119.82299999999999</v>
      </c>
      <c r="D8" s="13">
        <f t="shared" ref="D8:AG8" si="5">C17</f>
        <v>68.218999999999994</v>
      </c>
      <c r="E8" s="13">
        <f t="shared" si="5"/>
        <v>191.995</v>
      </c>
      <c r="F8" s="13">
        <f t="shared" si="5"/>
        <v>145.43299999999999</v>
      </c>
      <c r="G8" s="13">
        <f t="shared" si="5"/>
        <v>92.242999999999995</v>
      </c>
      <c r="H8" s="13">
        <f t="shared" si="5"/>
        <v>60.849999999999994</v>
      </c>
      <c r="I8" s="13">
        <f t="shared" si="5"/>
        <v>196.59800000000001</v>
      </c>
      <c r="J8" s="13">
        <f t="shared" si="5"/>
        <v>474.49200000000002</v>
      </c>
      <c r="K8" s="13">
        <f t="shared" si="5"/>
        <v>177.739</v>
      </c>
      <c r="L8" s="13">
        <f t="shared" si="5"/>
        <v>536.07600000000002</v>
      </c>
      <c r="M8" s="13">
        <f t="shared" si="5"/>
        <v>181.994</v>
      </c>
      <c r="N8" s="13">
        <f t="shared" si="5"/>
        <v>39.167999999999999</v>
      </c>
      <c r="O8" s="13">
        <f t="shared" si="5"/>
        <v>81.569999999999993</v>
      </c>
      <c r="P8" s="13">
        <f t="shared" si="5"/>
        <v>8.6020000000000003</v>
      </c>
      <c r="Q8" s="13">
        <f t="shared" si="5"/>
        <v>15.279</v>
      </c>
      <c r="R8" s="13">
        <f t="shared" si="5"/>
        <v>388.68299999999999</v>
      </c>
      <c r="S8" s="13">
        <f t="shared" si="5"/>
        <v>394.54300000000001</v>
      </c>
      <c r="T8" s="13">
        <f t="shared" si="5"/>
        <v>143.672</v>
      </c>
      <c r="U8" s="13">
        <f t="shared" si="5"/>
        <v>197.46799999999999</v>
      </c>
      <c r="V8" s="13">
        <f t="shared" si="5"/>
        <v>160.124</v>
      </c>
      <c r="W8" s="13">
        <f t="shared" si="5"/>
        <v>100.304</v>
      </c>
      <c r="X8" s="13">
        <f t="shared" si="5"/>
        <v>177.059</v>
      </c>
      <c r="Y8" s="13">
        <f t="shared" si="5"/>
        <v>328.11599999999999</v>
      </c>
      <c r="Z8" s="13">
        <f t="shared" si="5"/>
        <v>89.334000000000003</v>
      </c>
      <c r="AA8" s="13">
        <f t="shared" si="5"/>
        <v>101.69</v>
      </c>
      <c r="AB8" s="13">
        <f t="shared" si="5"/>
        <v>199.42699999999999</v>
      </c>
      <c r="AC8" s="13">
        <f t="shared" si="5"/>
        <v>153.727</v>
      </c>
      <c r="AD8" s="13">
        <f t="shared" si="5"/>
        <v>101.675</v>
      </c>
      <c r="AE8" s="13">
        <f t="shared" si="5"/>
        <v>116.32</v>
      </c>
      <c r="AF8" s="13">
        <f t="shared" si="5"/>
        <v>166.49299999999999</v>
      </c>
      <c r="AG8" s="222">
        <f t="shared" si="5"/>
        <v>150</v>
      </c>
      <c r="AJ8" s="223">
        <v>671</v>
      </c>
      <c r="AK8" s="223">
        <v>715</v>
      </c>
      <c r="AL8" s="223">
        <v>1135</v>
      </c>
    </row>
    <row r="9" spans="1:41">
      <c r="A9" s="3" t="s">
        <v>5</v>
      </c>
      <c r="B9" s="6">
        <v>2955.9</v>
      </c>
      <c r="C9" s="6">
        <v>4094.9</v>
      </c>
      <c r="D9" s="6">
        <v>5799.54</v>
      </c>
      <c r="E9" s="6">
        <v>5557.8</v>
      </c>
      <c r="F9" s="6">
        <v>5450</v>
      </c>
      <c r="G9" s="6">
        <v>5599.88</v>
      </c>
      <c r="H9" s="6">
        <v>7125.14</v>
      </c>
      <c r="I9" s="6">
        <v>6069.6549999999997</v>
      </c>
      <c r="J9" s="6">
        <v>3179.0430000000001</v>
      </c>
      <c r="K9" s="6">
        <v>3843.5790000000002</v>
      </c>
      <c r="L9" s="6">
        <v>3714</v>
      </c>
      <c r="M9" s="6">
        <v>3176.4720000000002</v>
      </c>
      <c r="N9" s="6">
        <v>3662.1080000000002</v>
      </c>
      <c r="O9" s="6">
        <v>3759.7370000000001</v>
      </c>
      <c r="P9" s="6">
        <v>3497.7330000000002</v>
      </c>
      <c r="Q9" s="6">
        <v>4650.3649999999998</v>
      </c>
      <c r="R9" s="6">
        <v>2483.4380000000001</v>
      </c>
      <c r="S9" s="6">
        <v>2223.9369999999999</v>
      </c>
      <c r="T9" s="6">
        <v>3671.748</v>
      </c>
      <c r="U9" s="6">
        <v>3340.52</v>
      </c>
      <c r="V9" s="6">
        <v>3104.42</v>
      </c>
      <c r="W9" s="6">
        <v>2063.41</v>
      </c>
      <c r="X9" s="6">
        <v>3158.29</v>
      </c>
      <c r="Y9" s="6">
        <v>3000.3670000000002</v>
      </c>
      <c r="Z9" s="6">
        <v>3546.7069999999999</v>
      </c>
      <c r="AA9" s="6">
        <v>3537.5450000000001</v>
      </c>
      <c r="AB9" s="6">
        <v>3530.1570000000002</v>
      </c>
      <c r="AC9" s="6">
        <v>2857.413</v>
      </c>
      <c r="AD9" s="6">
        <v>3247.366</v>
      </c>
      <c r="AE9" s="6">
        <v>4050.3620000000001</v>
      </c>
      <c r="AF9" s="6">
        <v>5018.8739999999998</v>
      </c>
      <c r="AG9" s="224">
        <f>MROUND(AG7*AG5,25)</f>
        <v>5225</v>
      </c>
      <c r="AJ9" s="212">
        <v>4050</v>
      </c>
      <c r="AK9" s="212">
        <v>5019</v>
      </c>
      <c r="AL9" s="212">
        <v>3900</v>
      </c>
      <c r="AM9" s="225"/>
    </row>
    <row r="10" spans="1:41">
      <c r="A10" s="3" t="s">
        <v>6</v>
      </c>
      <c r="B10" s="6">
        <v>0</v>
      </c>
      <c r="C10" s="6">
        <v>0</v>
      </c>
      <c r="D10" s="6">
        <v>0</v>
      </c>
      <c r="E10" s="6">
        <v>0</v>
      </c>
      <c r="F10" s="6">
        <v>3.9369999999999994</v>
      </c>
      <c r="G10" s="6">
        <v>1.583</v>
      </c>
      <c r="H10" s="6">
        <v>0.04</v>
      </c>
      <c r="I10" s="6">
        <v>1.7000000000000001E-2</v>
      </c>
      <c r="J10" s="6">
        <v>0</v>
      </c>
      <c r="K10" s="6">
        <f t="shared" ref="K10:AC10" si="6">K60</f>
        <v>2.3869749999999996</v>
      </c>
      <c r="L10" s="6">
        <f t="shared" si="6"/>
        <v>4.5281449999999994</v>
      </c>
      <c r="M10" s="6">
        <f t="shared" si="6"/>
        <v>28.094011999999999</v>
      </c>
      <c r="N10" s="6">
        <f t="shared" si="6"/>
        <v>0.87005900000000003</v>
      </c>
      <c r="O10" s="6">
        <f t="shared" si="6"/>
        <v>19.928738999999997</v>
      </c>
      <c r="P10" s="6">
        <f t="shared" si="6"/>
        <v>34.464303999999998</v>
      </c>
      <c r="Q10" s="6">
        <f t="shared" si="6"/>
        <v>27.318375</v>
      </c>
      <c r="R10" s="6">
        <f t="shared" si="6"/>
        <v>203.33589399999994</v>
      </c>
      <c r="S10" s="6">
        <f t="shared" si="6"/>
        <v>37.963829999999994</v>
      </c>
      <c r="T10" s="6">
        <f t="shared" si="6"/>
        <v>9.2647650000000006</v>
      </c>
      <c r="U10" s="6">
        <f t="shared" si="6"/>
        <v>4.6121600000000003</v>
      </c>
      <c r="V10" s="6">
        <f t="shared" si="6"/>
        <v>8.7991510000000002</v>
      </c>
      <c r="W10" s="6">
        <f t="shared" si="6"/>
        <v>1.0008920000000001</v>
      </c>
      <c r="X10" s="6">
        <f t="shared" si="6"/>
        <v>0.85835700000000004</v>
      </c>
      <c r="Y10" s="6">
        <f t="shared" si="6"/>
        <v>0.34221099999999999</v>
      </c>
      <c r="Z10" s="6">
        <f t="shared" si="6"/>
        <v>0.36023399999999994</v>
      </c>
      <c r="AA10" s="6">
        <f t="shared" si="6"/>
        <v>0.181197</v>
      </c>
      <c r="AB10" s="6">
        <f t="shared" si="6"/>
        <v>0.57258100000000001</v>
      </c>
      <c r="AC10" s="6">
        <f t="shared" si="6"/>
        <v>0.35019100000000003</v>
      </c>
      <c r="AD10" s="6">
        <f>AD60</f>
        <v>0.29800000000000004</v>
      </c>
      <c r="AE10" s="6">
        <f>AE60</f>
        <v>1.03</v>
      </c>
      <c r="AF10" s="224">
        <v>1</v>
      </c>
      <c r="AG10" s="224">
        <v>1</v>
      </c>
      <c r="AJ10" s="223">
        <v>0</v>
      </c>
      <c r="AK10" s="223">
        <v>1</v>
      </c>
      <c r="AL10" s="223">
        <v>0</v>
      </c>
      <c r="AM10" s="209"/>
    </row>
    <row r="11" spans="1:41">
      <c r="A11" s="221" t="s">
        <v>7</v>
      </c>
      <c r="B11" s="13">
        <f>SUM(B8:B10)</f>
        <v>3108.9580000000001</v>
      </c>
      <c r="C11" s="13">
        <f t="shared" ref="C11:Z11" si="7">SUM(C8:C10)</f>
        <v>4214.723</v>
      </c>
      <c r="D11" s="13">
        <f t="shared" si="7"/>
        <v>5867.759</v>
      </c>
      <c r="E11" s="13">
        <f t="shared" si="7"/>
        <v>5749.7950000000001</v>
      </c>
      <c r="F11" s="13">
        <f t="shared" si="7"/>
        <v>5599.37</v>
      </c>
      <c r="G11" s="13">
        <f t="shared" si="7"/>
        <v>5693.7060000000001</v>
      </c>
      <c r="H11" s="13">
        <f t="shared" si="7"/>
        <v>7186.0300000000007</v>
      </c>
      <c r="I11" s="13">
        <f t="shared" si="7"/>
        <v>6266.2699999999995</v>
      </c>
      <c r="J11" s="13">
        <f t="shared" si="7"/>
        <v>3653.5350000000003</v>
      </c>
      <c r="K11" s="13">
        <f t="shared" si="7"/>
        <v>4023.7049750000001</v>
      </c>
      <c r="L11" s="13">
        <f t="shared" si="7"/>
        <v>4254.6041450000002</v>
      </c>
      <c r="M11" s="13">
        <f t="shared" si="7"/>
        <v>3386.5600120000004</v>
      </c>
      <c r="N11" s="13">
        <f t="shared" si="7"/>
        <v>3702.1460590000002</v>
      </c>
      <c r="O11" s="13">
        <f t="shared" si="7"/>
        <v>3861.2357390000002</v>
      </c>
      <c r="P11" s="13">
        <f t="shared" si="7"/>
        <v>3540.7993040000001</v>
      </c>
      <c r="Q11" s="13">
        <f t="shared" si="7"/>
        <v>4692.9623750000001</v>
      </c>
      <c r="R11" s="13">
        <f t="shared" si="7"/>
        <v>3075.4568939999999</v>
      </c>
      <c r="S11" s="13">
        <f t="shared" si="7"/>
        <v>2656.4438300000002</v>
      </c>
      <c r="T11" s="13">
        <f t="shared" si="7"/>
        <v>3824.684765</v>
      </c>
      <c r="U11" s="13">
        <f t="shared" si="7"/>
        <v>3542.60016</v>
      </c>
      <c r="V11" s="13">
        <f t="shared" si="7"/>
        <v>3273.343151</v>
      </c>
      <c r="W11" s="13">
        <f t="shared" si="7"/>
        <v>2164.714892</v>
      </c>
      <c r="X11" s="13">
        <f t="shared" si="7"/>
        <v>3336.2073570000002</v>
      </c>
      <c r="Y11" s="13">
        <f t="shared" si="7"/>
        <v>3328.8252110000003</v>
      </c>
      <c r="Z11" s="13">
        <f t="shared" si="7"/>
        <v>3636.4012339999999</v>
      </c>
      <c r="AA11" s="13">
        <f>SUM(AA8:AA10)</f>
        <v>3639.416197</v>
      </c>
      <c r="AB11" s="13">
        <f>SUM(AB8:AB10)</f>
        <v>3730.1565810000002</v>
      </c>
      <c r="AC11" s="13">
        <f>SUM(AC8:AC10)</f>
        <v>3011.4901909999999</v>
      </c>
      <c r="AD11" s="13">
        <f t="shared" ref="AD11:AG11" si="8">SUM(AD8:AD10)</f>
        <v>3349.3389999999999</v>
      </c>
      <c r="AE11" s="13">
        <f t="shared" si="8"/>
        <v>4167.7119999999995</v>
      </c>
      <c r="AF11" s="222">
        <f t="shared" si="8"/>
        <v>5186.3670000000002</v>
      </c>
      <c r="AG11" s="222">
        <f t="shared" si="8"/>
        <v>5376</v>
      </c>
      <c r="AJ11" s="212">
        <v>4721</v>
      </c>
      <c r="AK11" s="212">
        <v>5735</v>
      </c>
      <c r="AL11" s="212">
        <v>5035</v>
      </c>
      <c r="AM11" s="225"/>
    </row>
    <row r="12" spans="1:41">
      <c r="A12" s="3" t="s">
        <v>8</v>
      </c>
      <c r="B12" s="6">
        <f>B92</f>
        <v>2930.0830000000005</v>
      </c>
      <c r="C12" s="6">
        <f t="shared" ref="C12:AE12" si="9">C92</f>
        <v>3353.0369999999994</v>
      </c>
      <c r="D12" s="6">
        <f t="shared" si="9"/>
        <v>4944.7860000000001</v>
      </c>
      <c r="E12" s="6">
        <f t="shared" si="9"/>
        <v>5043.3140000000003</v>
      </c>
      <c r="F12" s="6">
        <f t="shared" si="9"/>
        <v>5460.84</v>
      </c>
      <c r="G12" s="6">
        <f t="shared" si="9"/>
        <v>5160.201</v>
      </c>
      <c r="H12" s="6">
        <f t="shared" si="9"/>
        <v>6083.7349999999997</v>
      </c>
      <c r="I12" s="6">
        <f t="shared" si="9"/>
        <v>5149.3740000000007</v>
      </c>
      <c r="J12" s="6">
        <f t="shared" si="9"/>
        <v>3136.3029999999994</v>
      </c>
      <c r="K12" s="6">
        <f t="shared" si="9"/>
        <v>2989.002</v>
      </c>
      <c r="L12" s="6">
        <f t="shared" si="9"/>
        <v>3286.2529999999992</v>
      </c>
      <c r="M12" s="6">
        <f t="shared" si="9"/>
        <v>2842.1399999999994</v>
      </c>
      <c r="N12" s="6">
        <f t="shared" si="9"/>
        <v>3563.2619999999997</v>
      </c>
      <c r="O12" s="6">
        <f t="shared" si="9"/>
        <v>3754.8260000000005</v>
      </c>
      <c r="P12" s="6">
        <f t="shared" si="9"/>
        <v>3060.2770000000005</v>
      </c>
      <c r="Q12" s="6">
        <f t="shared" si="9"/>
        <v>4211.2979999999998</v>
      </c>
      <c r="R12" s="6">
        <f t="shared" si="9"/>
        <v>3463.3530000000001</v>
      </c>
      <c r="S12" s="6">
        <f t="shared" si="9"/>
        <v>2750.4760000000001</v>
      </c>
      <c r="T12" s="6">
        <f t="shared" si="9"/>
        <v>3547.9270000000001</v>
      </c>
      <c r="U12" s="6">
        <f t="shared" si="9"/>
        <v>3675.9479999999999</v>
      </c>
      <c r="V12" s="6">
        <f t="shared" si="9"/>
        <v>2584.4110000000001</v>
      </c>
      <c r="W12" s="6">
        <f t="shared" si="9"/>
        <v>2216.5910000000003</v>
      </c>
      <c r="X12" s="6">
        <f t="shared" si="9"/>
        <v>2630.7059999999997</v>
      </c>
      <c r="Y12" s="6">
        <f t="shared" si="9"/>
        <v>2745.5699999999997</v>
      </c>
      <c r="Z12" s="6">
        <f t="shared" si="9"/>
        <v>3155.2370000000001</v>
      </c>
      <c r="AA12" s="6">
        <f t="shared" si="9"/>
        <v>3072.1959999999999</v>
      </c>
      <c r="AB12" s="6">
        <f t="shared" si="9"/>
        <v>3107.2129999999993</v>
      </c>
      <c r="AC12" s="6">
        <f t="shared" si="9"/>
        <v>2490.6039999999998</v>
      </c>
      <c r="AD12" s="6">
        <f t="shared" si="9"/>
        <v>3106.1970000000001</v>
      </c>
      <c r="AE12" s="6">
        <f t="shared" si="9"/>
        <v>3383.5271000000002</v>
      </c>
      <c r="AF12" s="224">
        <f>3250+500</f>
        <v>3750</v>
      </c>
      <c r="AG12" s="224">
        <v>4200</v>
      </c>
      <c r="AJ12" s="212">
        <v>3550</v>
      </c>
      <c r="AK12" s="212">
        <v>3950</v>
      </c>
      <c r="AL12" s="212">
        <v>3600</v>
      </c>
      <c r="AM12" s="225"/>
      <c r="AO12" s="206" t="s">
        <v>217</v>
      </c>
    </row>
    <row r="13" spans="1:41">
      <c r="A13" s="3" t="s">
        <v>9</v>
      </c>
      <c r="B13" s="6">
        <f>B76</f>
        <v>175.82599999999999</v>
      </c>
      <c r="C13" s="6">
        <f t="shared" ref="C13:AB13" si="10">C76</f>
        <v>574.87299999999993</v>
      </c>
      <c r="D13" s="6">
        <f t="shared" si="10"/>
        <v>827.61800000000017</v>
      </c>
      <c r="E13" s="6">
        <f t="shared" si="10"/>
        <v>537.95400000000006</v>
      </c>
      <c r="F13" s="6">
        <f t="shared" si="10"/>
        <v>68.02000000000001</v>
      </c>
      <c r="G13" s="6">
        <f t="shared" si="10"/>
        <v>502.28100000000001</v>
      </c>
      <c r="H13" s="6">
        <f t="shared" si="10"/>
        <v>942.00000000000011</v>
      </c>
      <c r="I13" s="6">
        <f t="shared" si="10"/>
        <v>282.71900000000005</v>
      </c>
      <c r="J13" s="6">
        <f t="shared" si="10"/>
        <v>76.187000000000012</v>
      </c>
      <c r="K13" s="6">
        <f t="shared" si="10"/>
        <v>344.20316100000002</v>
      </c>
      <c r="L13" s="6">
        <f t="shared" si="10"/>
        <v>230.70813500000003</v>
      </c>
      <c r="M13" s="6">
        <f t="shared" si="10"/>
        <v>45.062450999999996</v>
      </c>
      <c r="N13" s="6">
        <f t="shared" si="10"/>
        <v>104.35675699999999</v>
      </c>
      <c r="O13" s="6">
        <f t="shared" si="10"/>
        <v>44.856218999999996</v>
      </c>
      <c r="P13" s="6">
        <f t="shared" si="10"/>
        <v>59.652821999999986</v>
      </c>
      <c r="Q13" s="6">
        <f t="shared" si="10"/>
        <v>45.534524000000005</v>
      </c>
      <c r="R13" s="6">
        <f t="shared" si="10"/>
        <v>71.838537000000002</v>
      </c>
      <c r="S13" s="6">
        <f t="shared" si="10"/>
        <v>69.843870999999993</v>
      </c>
      <c r="T13" s="6">
        <f t="shared" si="10"/>
        <v>73.639513000000008</v>
      </c>
      <c r="U13" s="6">
        <f t="shared" si="10"/>
        <v>79.864086</v>
      </c>
      <c r="V13" s="6">
        <f t="shared" si="10"/>
        <v>86.054907</v>
      </c>
      <c r="W13" s="6">
        <f t="shared" si="10"/>
        <v>74.396963</v>
      </c>
      <c r="X13" s="6">
        <f t="shared" si="10"/>
        <v>62.234697000000004</v>
      </c>
      <c r="Y13" s="6">
        <f t="shared" si="10"/>
        <v>306.34599400000002</v>
      </c>
      <c r="Z13" s="6">
        <f t="shared" si="10"/>
        <v>77.195324999999997</v>
      </c>
      <c r="AA13" s="6">
        <f t="shared" si="10"/>
        <v>54.459165999999996</v>
      </c>
      <c r="AB13" s="6">
        <f t="shared" si="10"/>
        <v>148.87654799999999</v>
      </c>
      <c r="AC13" s="6">
        <f>AC76</f>
        <v>210.68156900000005</v>
      </c>
      <c r="AD13" s="6">
        <f>AD76</f>
        <v>184.541</v>
      </c>
      <c r="AE13" s="6">
        <f>AE76</f>
        <v>159.44200000000001</v>
      </c>
      <c r="AF13" s="224">
        <f>175-75</f>
        <v>100</v>
      </c>
      <c r="AG13" s="224">
        <v>175</v>
      </c>
      <c r="AJ13" s="223">
        <v>156</v>
      </c>
      <c r="AK13" s="223">
        <v>100</v>
      </c>
      <c r="AL13" s="223">
        <v>150</v>
      </c>
      <c r="AM13" s="225"/>
    </row>
    <row r="14" spans="1:41">
      <c r="A14" s="3" t="s">
        <v>10</v>
      </c>
      <c r="B14" s="6">
        <f>ROUND(C4*0.0065,0)</f>
        <v>14</v>
      </c>
      <c r="C14" s="6">
        <f t="shared" ref="C14:AB14" si="11">ROUND(D4*0.0065,0)</f>
        <v>20</v>
      </c>
      <c r="D14" s="6">
        <f t="shared" si="11"/>
        <v>22</v>
      </c>
      <c r="E14" s="6">
        <f t="shared" si="11"/>
        <v>20</v>
      </c>
      <c r="F14" s="6">
        <f t="shared" si="11"/>
        <v>23</v>
      </c>
      <c r="G14" s="6">
        <f t="shared" si="11"/>
        <v>28</v>
      </c>
      <c r="H14" s="6">
        <f t="shared" si="11"/>
        <v>23</v>
      </c>
      <c r="I14" s="6">
        <f t="shared" si="11"/>
        <v>13</v>
      </c>
      <c r="J14" s="6">
        <f t="shared" si="11"/>
        <v>13</v>
      </c>
      <c r="K14" s="6">
        <f t="shared" si="11"/>
        <v>15</v>
      </c>
      <c r="L14" s="6">
        <f t="shared" si="11"/>
        <v>12</v>
      </c>
      <c r="M14" s="6">
        <f t="shared" si="11"/>
        <v>13</v>
      </c>
      <c r="N14" s="6">
        <f t="shared" si="11"/>
        <v>15</v>
      </c>
      <c r="O14" s="6">
        <f t="shared" si="11"/>
        <v>15</v>
      </c>
      <c r="P14" s="6">
        <f t="shared" si="11"/>
        <v>17</v>
      </c>
      <c r="Q14" s="6">
        <f t="shared" si="11"/>
        <v>13</v>
      </c>
      <c r="R14" s="6">
        <f t="shared" si="11"/>
        <v>10</v>
      </c>
      <c r="S14" s="6">
        <f t="shared" si="11"/>
        <v>11</v>
      </c>
      <c r="T14" s="6">
        <f t="shared" si="11"/>
        <v>12</v>
      </c>
      <c r="U14" s="6">
        <f t="shared" si="11"/>
        <v>11</v>
      </c>
      <c r="V14" s="6">
        <f t="shared" si="11"/>
        <v>9</v>
      </c>
      <c r="W14" s="6">
        <f t="shared" si="11"/>
        <v>10</v>
      </c>
      <c r="X14" s="6">
        <f t="shared" si="11"/>
        <v>9</v>
      </c>
      <c r="Y14" s="6">
        <f t="shared" si="11"/>
        <v>12</v>
      </c>
      <c r="Z14" s="6">
        <f t="shared" si="11"/>
        <v>11</v>
      </c>
      <c r="AA14" s="6">
        <f t="shared" si="11"/>
        <v>12</v>
      </c>
      <c r="AB14" s="6">
        <f t="shared" si="11"/>
        <v>9</v>
      </c>
      <c r="AC14" s="6">
        <f>ROUND(AD4*0.0065,0)</f>
        <v>11</v>
      </c>
      <c r="AD14" s="6">
        <f>ROUND(AE4*0.0065,0)</f>
        <v>13</v>
      </c>
      <c r="AE14" s="6">
        <f>ROUND(AF4*0.0065,0)</f>
        <v>16</v>
      </c>
      <c r="AF14" s="224">
        <f>ROUND(AG4*0.0065,0)</f>
        <v>17</v>
      </c>
      <c r="AG14" s="224">
        <f>ROUND(AH4*0.0065,0)</f>
        <v>17</v>
      </c>
      <c r="AJ14" s="226">
        <v>300</v>
      </c>
      <c r="AK14" s="226">
        <v>550</v>
      </c>
      <c r="AL14" s="226">
        <v>325</v>
      </c>
    </row>
    <row r="15" spans="1:41">
      <c r="A15" s="3" t="s">
        <v>11</v>
      </c>
      <c r="B15" s="6">
        <f>B16-SUM(B12:B14)</f>
        <v>-130.77400000000034</v>
      </c>
      <c r="C15" s="6">
        <f t="shared" ref="C15:Z15" si="12">C16-SUM(C12:C14)</f>
        <v>198.59400000000051</v>
      </c>
      <c r="D15" s="6">
        <f t="shared" si="12"/>
        <v>-118.64000000000033</v>
      </c>
      <c r="E15" s="6">
        <f t="shared" si="12"/>
        <v>3.0940000000000509</v>
      </c>
      <c r="F15" s="6">
        <f t="shared" si="12"/>
        <v>-44.733000000001084</v>
      </c>
      <c r="G15" s="6">
        <f t="shared" si="12"/>
        <v>-57.626000000000204</v>
      </c>
      <c r="H15" s="6">
        <f t="shared" si="12"/>
        <v>-59.302999999998974</v>
      </c>
      <c r="I15" s="6">
        <f t="shared" si="12"/>
        <v>346.68499999999858</v>
      </c>
      <c r="J15" s="6">
        <f t="shared" si="12"/>
        <v>250.30600000000095</v>
      </c>
      <c r="K15" s="6">
        <f t="shared" si="12"/>
        <v>139.42381400000022</v>
      </c>
      <c r="L15" s="6">
        <f t="shared" si="12"/>
        <v>543.649010000001</v>
      </c>
      <c r="M15" s="6">
        <f t="shared" si="12"/>
        <v>447.18956100000105</v>
      </c>
      <c r="N15" s="6">
        <f t="shared" si="12"/>
        <v>-62.042697999999746</v>
      </c>
      <c r="O15" s="6">
        <f t="shared" si="12"/>
        <v>37.951520000000073</v>
      </c>
      <c r="P15" s="6">
        <f t="shared" si="12"/>
        <v>388.59048199999961</v>
      </c>
      <c r="Q15" s="6">
        <f t="shared" si="12"/>
        <v>34.446851000000606</v>
      </c>
      <c r="R15" s="6">
        <f t="shared" si="12"/>
        <v>-864.27764300000035</v>
      </c>
      <c r="S15" s="6">
        <f t="shared" si="12"/>
        <v>-318.54804100000001</v>
      </c>
      <c r="T15" s="6">
        <f t="shared" si="12"/>
        <v>-6.3497480000000905</v>
      </c>
      <c r="U15" s="6">
        <f t="shared" si="12"/>
        <v>-384.33592599999974</v>
      </c>
      <c r="V15" s="6">
        <f t="shared" si="12"/>
        <v>493.5732439999997</v>
      </c>
      <c r="W15" s="6">
        <f t="shared" si="12"/>
        <v>-313.3320710000005</v>
      </c>
      <c r="X15" s="6">
        <f t="shared" si="12"/>
        <v>306.1506600000007</v>
      </c>
      <c r="Y15" s="6">
        <f t="shared" si="12"/>
        <v>175.57521700000052</v>
      </c>
      <c r="Z15" s="6">
        <f t="shared" si="12"/>
        <v>291.27890899999966</v>
      </c>
      <c r="AA15" s="6">
        <f>AA16-SUM(AA12:AA14)</f>
        <v>301.33403099999987</v>
      </c>
      <c r="AB15" s="6">
        <f>AB16-SUM(AB12:AB14)</f>
        <v>311.34003300000086</v>
      </c>
      <c r="AC15" s="6">
        <f>AC16-SUM(AC12:AC14)</f>
        <v>197.52962200000002</v>
      </c>
      <c r="AD15" s="6">
        <f>AD16-SUM(AD12:AD14)</f>
        <v>-70.719000000000506</v>
      </c>
      <c r="AE15" s="6">
        <f>AE16-SUM(AE12:AE14)</f>
        <v>442.24989999999934</v>
      </c>
      <c r="AF15" s="224">
        <f t="shared" ref="AF15:AG15" si="13">AF16-SUM(AF12:AF14)</f>
        <v>1169.3670000000002</v>
      </c>
      <c r="AG15" s="224">
        <f t="shared" si="13"/>
        <v>834</v>
      </c>
      <c r="AL15" s="201" t="s">
        <v>218</v>
      </c>
    </row>
    <row r="16" spans="1:41">
      <c r="A16" s="221" t="s">
        <v>12</v>
      </c>
      <c r="B16" s="13">
        <f t="shared" ref="B16:AB16" si="14">B11-B17</f>
        <v>2989.1350000000002</v>
      </c>
      <c r="C16" s="13">
        <f t="shared" si="14"/>
        <v>4146.5039999999999</v>
      </c>
      <c r="D16" s="13">
        <f t="shared" si="14"/>
        <v>5675.7640000000001</v>
      </c>
      <c r="E16" s="13">
        <f t="shared" si="14"/>
        <v>5604.3620000000001</v>
      </c>
      <c r="F16" s="13">
        <f t="shared" si="14"/>
        <v>5507.1269999999995</v>
      </c>
      <c r="G16" s="13">
        <f t="shared" si="14"/>
        <v>5632.8559999999998</v>
      </c>
      <c r="H16" s="13">
        <f t="shared" si="14"/>
        <v>6989.4320000000007</v>
      </c>
      <c r="I16" s="13">
        <f t="shared" si="14"/>
        <v>5791.7779999999993</v>
      </c>
      <c r="J16" s="13">
        <f t="shared" si="14"/>
        <v>3475.7960000000003</v>
      </c>
      <c r="K16" s="13">
        <f t="shared" si="14"/>
        <v>3487.6289750000001</v>
      </c>
      <c r="L16" s="13">
        <f t="shared" si="14"/>
        <v>4072.6101450000001</v>
      </c>
      <c r="M16" s="13">
        <f t="shared" si="14"/>
        <v>3347.3920120000002</v>
      </c>
      <c r="N16" s="13">
        <f t="shared" si="14"/>
        <v>3620.576059</v>
      </c>
      <c r="O16" s="13">
        <f t="shared" si="14"/>
        <v>3852.6337390000003</v>
      </c>
      <c r="P16" s="13">
        <f t="shared" si="14"/>
        <v>3525.5203040000001</v>
      </c>
      <c r="Q16" s="13">
        <f t="shared" si="14"/>
        <v>4304.2793750000001</v>
      </c>
      <c r="R16" s="13">
        <f t="shared" si="14"/>
        <v>2680.9138939999998</v>
      </c>
      <c r="S16" s="13">
        <f t="shared" si="14"/>
        <v>2512.7718300000001</v>
      </c>
      <c r="T16" s="13">
        <f t="shared" si="14"/>
        <v>3627.2167650000001</v>
      </c>
      <c r="U16" s="13">
        <f t="shared" si="14"/>
        <v>3382.4761600000002</v>
      </c>
      <c r="V16" s="13">
        <f t="shared" si="14"/>
        <v>3173.0391509999999</v>
      </c>
      <c r="W16" s="13">
        <f t="shared" si="14"/>
        <v>1987.655892</v>
      </c>
      <c r="X16" s="13">
        <f t="shared" si="14"/>
        <v>3008.0913570000002</v>
      </c>
      <c r="Y16" s="13">
        <f t="shared" si="14"/>
        <v>3239.4912110000005</v>
      </c>
      <c r="Z16" s="13">
        <f t="shared" si="14"/>
        <v>3534.7112339999999</v>
      </c>
      <c r="AA16" s="13">
        <f t="shared" si="14"/>
        <v>3439.9891969999999</v>
      </c>
      <c r="AB16" s="13">
        <f t="shared" si="14"/>
        <v>3576.4295810000003</v>
      </c>
      <c r="AC16" s="13">
        <f>AC11-AC17</f>
        <v>2909.8151909999997</v>
      </c>
      <c r="AD16" s="13">
        <f>AD11-AD17</f>
        <v>3233.0189999999998</v>
      </c>
      <c r="AE16" s="13">
        <f>AE11-AE17</f>
        <v>4001.2189999999996</v>
      </c>
      <c r="AF16" s="222">
        <f t="shared" ref="AF16:AG16" si="15">AF11-AF17</f>
        <v>5036.3670000000002</v>
      </c>
      <c r="AG16" s="222">
        <f t="shared" si="15"/>
        <v>5226</v>
      </c>
    </row>
    <row r="17" spans="1:41">
      <c r="A17" s="3" t="s">
        <v>219</v>
      </c>
      <c r="B17" s="6">
        <v>119.82299999999999</v>
      </c>
      <c r="C17" s="6">
        <v>68.218999999999994</v>
      </c>
      <c r="D17" s="6">
        <v>191.995</v>
      </c>
      <c r="E17" s="6">
        <v>145.43299999999999</v>
      </c>
      <c r="F17" s="6">
        <v>92.242999999999995</v>
      </c>
      <c r="G17" s="6">
        <v>60.849999999999994</v>
      </c>
      <c r="H17" s="6">
        <v>196.59800000000001</v>
      </c>
      <c r="I17" s="6">
        <v>474.49200000000002</v>
      </c>
      <c r="J17" s="6">
        <v>177.739</v>
      </c>
      <c r="K17" s="6">
        <v>536.07600000000002</v>
      </c>
      <c r="L17" s="6">
        <v>181.994</v>
      </c>
      <c r="M17" s="6">
        <v>39.167999999999999</v>
      </c>
      <c r="N17" s="6">
        <v>81.569999999999993</v>
      </c>
      <c r="O17" s="6">
        <v>8.6020000000000003</v>
      </c>
      <c r="P17" s="6">
        <v>15.279</v>
      </c>
      <c r="Q17" s="6">
        <v>388.68299999999999</v>
      </c>
      <c r="R17" s="6">
        <v>394.54300000000001</v>
      </c>
      <c r="S17" s="6">
        <v>143.672</v>
      </c>
      <c r="T17" s="6">
        <v>197.46799999999999</v>
      </c>
      <c r="U17" s="6">
        <v>160.124</v>
      </c>
      <c r="V17" s="6">
        <v>100.304</v>
      </c>
      <c r="W17" s="6">
        <v>177.059</v>
      </c>
      <c r="X17" s="6">
        <f>X107</f>
        <v>328.11599999999999</v>
      </c>
      <c r="Y17" s="6">
        <f t="shared" ref="Y17:AE17" si="16">Y107</f>
        <v>89.334000000000003</v>
      </c>
      <c r="Z17" s="6">
        <f t="shared" si="16"/>
        <v>101.69</v>
      </c>
      <c r="AA17" s="6">
        <f t="shared" si="16"/>
        <v>199.42699999999999</v>
      </c>
      <c r="AB17" s="6">
        <f t="shared" si="16"/>
        <v>153.727</v>
      </c>
      <c r="AC17" s="6">
        <f t="shared" si="16"/>
        <v>101.675</v>
      </c>
      <c r="AD17" s="6">
        <f t="shared" si="16"/>
        <v>116.32</v>
      </c>
      <c r="AE17" s="6">
        <f t="shared" si="16"/>
        <v>166.49299999999999</v>
      </c>
      <c r="AF17" s="224">
        <v>150</v>
      </c>
      <c r="AG17" s="224">
        <v>150</v>
      </c>
      <c r="AJ17" s="223">
        <v>980</v>
      </c>
      <c r="AK17" s="223">
        <v>806</v>
      </c>
      <c r="AL17" s="223">
        <v>576</v>
      </c>
      <c r="AM17" s="209"/>
      <c r="AO17" t="s">
        <v>220</v>
      </c>
    </row>
    <row r="18" spans="1:41">
      <c r="A18" s="221" t="s">
        <v>221</v>
      </c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8"/>
      <c r="AD18" s="228"/>
      <c r="AE18" s="228"/>
      <c r="AF18" s="228"/>
      <c r="AG18" s="228"/>
    </row>
    <row r="19" spans="1:41" ht="15.75" thickBot="1">
      <c r="A19" s="3" t="s">
        <v>222</v>
      </c>
    </row>
    <row r="20" spans="1:41" ht="16.5">
      <c r="A20" s="229" t="s">
        <v>223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</row>
    <row r="21" spans="1:41">
      <c r="A21" s="3" t="s">
        <v>224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224"/>
      <c r="AD21" s="224"/>
      <c r="AE21" s="224"/>
      <c r="AF21" s="224"/>
      <c r="AG21" s="224"/>
    </row>
    <row r="22" spans="1:41">
      <c r="A22" s="221" t="s">
        <v>216</v>
      </c>
      <c r="B22" s="13">
        <v>60.16</v>
      </c>
      <c r="C22" s="13">
        <f>B29</f>
        <v>26.573</v>
      </c>
      <c r="D22" s="13">
        <f t="shared" ref="D22:AG22" si="17">C29</f>
        <v>64.563000000000002</v>
      </c>
      <c r="E22" s="13">
        <f t="shared" si="17"/>
        <v>97.331000000000003</v>
      </c>
      <c r="F22" s="13">
        <f t="shared" si="17"/>
        <v>139.13900000000001</v>
      </c>
      <c r="G22" s="13">
        <f t="shared" si="17"/>
        <v>137.459</v>
      </c>
      <c r="H22" s="13">
        <f t="shared" si="17"/>
        <v>59.744</v>
      </c>
      <c r="I22" s="13">
        <f t="shared" si="17"/>
        <v>57.28</v>
      </c>
      <c r="J22" s="13">
        <f t="shared" si="17"/>
        <v>127.554</v>
      </c>
      <c r="K22" s="13">
        <f t="shared" si="17"/>
        <v>79.83</v>
      </c>
      <c r="L22" s="13">
        <f t="shared" si="17"/>
        <v>64.137</v>
      </c>
      <c r="M22" s="13">
        <f t="shared" si="17"/>
        <v>84.58</v>
      </c>
      <c r="N22" s="13">
        <f t="shared" si="17"/>
        <v>51.530999999999999</v>
      </c>
      <c r="O22" s="13">
        <f t="shared" si="17"/>
        <v>53.206000000000003</v>
      </c>
      <c r="P22" s="13">
        <f t="shared" si="17"/>
        <v>52.944000000000003</v>
      </c>
      <c r="Q22" s="13">
        <f t="shared" si="17"/>
        <v>32.125</v>
      </c>
      <c r="R22" s="13">
        <f t="shared" si="17"/>
        <v>80.492000000000004</v>
      </c>
      <c r="S22" s="13">
        <f t="shared" si="17"/>
        <v>58.34</v>
      </c>
      <c r="T22" s="13">
        <f t="shared" si="17"/>
        <v>80.058000000000007</v>
      </c>
      <c r="U22" s="13">
        <f t="shared" si="17"/>
        <v>104.913</v>
      </c>
      <c r="V22" s="13">
        <f t="shared" si="17"/>
        <v>52.298999999999999</v>
      </c>
      <c r="W22" s="13">
        <f t="shared" si="17"/>
        <v>15.433999999999999</v>
      </c>
      <c r="X22" s="13">
        <f t="shared" si="17"/>
        <v>53.494999999999997</v>
      </c>
      <c r="Y22" s="13">
        <f t="shared" si="17"/>
        <v>33.505000000000003</v>
      </c>
      <c r="Z22" s="13">
        <f t="shared" si="17"/>
        <v>29.678999999999998</v>
      </c>
      <c r="AA22" s="13">
        <f t="shared" si="17"/>
        <v>29.071000000000002</v>
      </c>
      <c r="AB22" s="13">
        <f t="shared" si="17"/>
        <v>72.040999999999997</v>
      </c>
      <c r="AC22" s="13">
        <f t="shared" si="17"/>
        <v>44.837000000000003</v>
      </c>
      <c r="AD22" s="13">
        <f t="shared" si="17"/>
        <v>19.984000000000002</v>
      </c>
      <c r="AE22" s="13">
        <f t="shared" si="17"/>
        <v>36.497</v>
      </c>
      <c r="AF22" s="13">
        <f t="shared" si="17"/>
        <v>58.628999999999998</v>
      </c>
      <c r="AG22" s="222">
        <f t="shared" si="17"/>
        <v>60</v>
      </c>
      <c r="AJ22" s="223">
        <v>128</v>
      </c>
      <c r="AK22" s="223">
        <v>126</v>
      </c>
      <c r="AL22" s="223">
        <v>176</v>
      </c>
    </row>
    <row r="23" spans="1:41">
      <c r="A23" s="3" t="s">
        <v>5</v>
      </c>
      <c r="B23" s="6">
        <f>B123+B139</f>
        <v>1261.163</v>
      </c>
      <c r="C23" s="6">
        <f t="shared" ref="C23:Z23" si="18">C123+C139</f>
        <v>1392.4180000000001</v>
      </c>
      <c r="D23" s="6">
        <f t="shared" si="18"/>
        <v>2097.7860000000001</v>
      </c>
      <c r="E23" s="6">
        <f t="shared" si="18"/>
        <v>2124.616</v>
      </c>
      <c r="F23" s="6">
        <f t="shared" si="18"/>
        <v>2261.518</v>
      </c>
      <c r="G23" s="6">
        <f t="shared" si="18"/>
        <v>2169.7720000000004</v>
      </c>
      <c r="H23" s="6">
        <f t="shared" si="18"/>
        <v>2522.9560000000001</v>
      </c>
      <c r="I23" s="6">
        <f t="shared" si="18"/>
        <v>2110.0069999999996</v>
      </c>
      <c r="J23" s="6">
        <f t="shared" si="18"/>
        <v>1303.8780000000002</v>
      </c>
      <c r="K23" s="6">
        <f t="shared" si="18"/>
        <v>1227.835</v>
      </c>
      <c r="L23" s="6">
        <f t="shared" si="18"/>
        <v>1371.0839999999998</v>
      </c>
      <c r="M23" s="6">
        <f t="shared" si="18"/>
        <v>1189.1610000000001</v>
      </c>
      <c r="N23" s="6">
        <f t="shared" si="18"/>
        <v>1513.3720000000003</v>
      </c>
      <c r="O23" s="6">
        <f t="shared" si="18"/>
        <v>1617.7228300000002</v>
      </c>
      <c r="P23" s="6">
        <f t="shared" si="18"/>
        <v>1315.6061899999997</v>
      </c>
      <c r="Q23" s="6">
        <f t="shared" si="18"/>
        <v>1768.8720000000001</v>
      </c>
      <c r="R23" s="6">
        <f t="shared" si="18"/>
        <v>1468.0619999999999</v>
      </c>
      <c r="S23" s="6">
        <f t="shared" si="18"/>
        <v>1194.0340000000001</v>
      </c>
      <c r="T23" s="6">
        <f t="shared" si="18"/>
        <v>1573.7730000000001</v>
      </c>
      <c r="U23" s="6">
        <f t="shared" si="18"/>
        <v>1594.9660000000001</v>
      </c>
      <c r="V23" s="6">
        <f t="shared" si="18"/>
        <v>1132.4109999999998</v>
      </c>
      <c r="W23" s="6">
        <f t="shared" si="18"/>
        <v>945.93099999999993</v>
      </c>
      <c r="X23" s="6">
        <f t="shared" si="18"/>
        <v>1124.5889999999999</v>
      </c>
      <c r="Y23" s="6">
        <f t="shared" si="18"/>
        <v>1121.039</v>
      </c>
      <c r="Z23" s="6">
        <f t="shared" si="18"/>
        <v>1304.252</v>
      </c>
      <c r="AA23" s="6">
        <f t="shared" ref="AA23:AG23" si="19">AA155*AA92</f>
        <v>1285.637500720959</v>
      </c>
      <c r="AB23" s="6">
        <f t="shared" si="19"/>
        <v>1335.6129923756059</v>
      </c>
      <c r="AC23" s="6">
        <f t="shared" si="19"/>
        <v>1024.6925812597462</v>
      </c>
      <c r="AD23" s="6">
        <f t="shared" si="19"/>
        <v>1266.4028860944297</v>
      </c>
      <c r="AE23" s="6">
        <f t="shared" si="19"/>
        <v>1463.4691560480796</v>
      </c>
      <c r="AF23" s="224">
        <f t="shared" si="19"/>
        <v>1557.4579403829516</v>
      </c>
      <c r="AG23" s="224">
        <f t="shared" si="19"/>
        <v>1737.7516614855099</v>
      </c>
      <c r="AJ23" s="212">
        <v>1514</v>
      </c>
      <c r="AK23" s="212">
        <v>1685</v>
      </c>
      <c r="AL23" s="212">
        <v>1533</v>
      </c>
      <c r="AM23" s="225"/>
    </row>
    <row r="24" spans="1:41">
      <c r="A24" s="3" t="s">
        <v>6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f t="shared" ref="K24:AC24" si="20">K171</f>
        <v>0</v>
      </c>
      <c r="L24" s="6">
        <f t="shared" si="20"/>
        <v>0</v>
      </c>
      <c r="M24" s="6">
        <f t="shared" si="20"/>
        <v>0</v>
      </c>
      <c r="N24" s="6">
        <f t="shared" si="20"/>
        <v>0</v>
      </c>
      <c r="O24" s="6">
        <f t="shared" si="20"/>
        <v>0</v>
      </c>
      <c r="P24" s="6">
        <f t="shared" si="20"/>
        <v>0</v>
      </c>
      <c r="Q24" s="6">
        <f t="shared" si="20"/>
        <v>0</v>
      </c>
      <c r="R24" s="6">
        <f t="shared" si="20"/>
        <v>0</v>
      </c>
      <c r="S24" s="6">
        <f t="shared" si="20"/>
        <v>0</v>
      </c>
      <c r="T24" s="6">
        <f t="shared" si="20"/>
        <v>0</v>
      </c>
      <c r="U24" s="6">
        <f t="shared" si="20"/>
        <v>0</v>
      </c>
      <c r="V24" s="6">
        <f t="shared" si="20"/>
        <v>0</v>
      </c>
      <c r="W24" s="6">
        <f t="shared" si="20"/>
        <v>0</v>
      </c>
      <c r="X24" s="6">
        <f t="shared" si="20"/>
        <v>0</v>
      </c>
      <c r="Y24" s="6">
        <f t="shared" si="20"/>
        <v>0</v>
      </c>
      <c r="Z24" s="6">
        <f t="shared" si="20"/>
        <v>0</v>
      </c>
      <c r="AA24" s="6">
        <f t="shared" si="20"/>
        <v>0</v>
      </c>
      <c r="AB24" s="6">
        <f t="shared" si="20"/>
        <v>0</v>
      </c>
      <c r="AC24" s="6">
        <f t="shared" si="20"/>
        <v>0</v>
      </c>
      <c r="AD24" s="6">
        <f>AD171</f>
        <v>0</v>
      </c>
      <c r="AE24" s="6">
        <f>AE171</f>
        <v>0</v>
      </c>
      <c r="AF24" s="224">
        <v>0</v>
      </c>
      <c r="AG24" s="224">
        <v>0</v>
      </c>
      <c r="AJ24" s="212">
        <v>0</v>
      </c>
      <c r="AK24" s="212">
        <v>0</v>
      </c>
      <c r="AL24" s="212">
        <v>0</v>
      </c>
    </row>
    <row r="25" spans="1:41">
      <c r="A25" s="221" t="s">
        <v>7</v>
      </c>
      <c r="B25" s="13">
        <f>SUM(B22:B24)</f>
        <v>1321.3230000000001</v>
      </c>
      <c r="C25" s="13">
        <f t="shared" ref="C25:AC25" si="21">SUM(C22:C24)</f>
        <v>1418.9910000000002</v>
      </c>
      <c r="D25" s="13">
        <f t="shared" si="21"/>
        <v>2162.3490000000002</v>
      </c>
      <c r="E25" s="13">
        <f t="shared" si="21"/>
        <v>2221.9470000000001</v>
      </c>
      <c r="F25" s="13">
        <f t="shared" si="21"/>
        <v>2400.6570000000002</v>
      </c>
      <c r="G25" s="13">
        <f t="shared" si="21"/>
        <v>2307.2310000000002</v>
      </c>
      <c r="H25" s="13">
        <f t="shared" si="21"/>
        <v>2582.7000000000003</v>
      </c>
      <c r="I25" s="13">
        <f t="shared" si="21"/>
        <v>2167.2869999999998</v>
      </c>
      <c r="J25" s="13">
        <f t="shared" si="21"/>
        <v>1431.4320000000002</v>
      </c>
      <c r="K25" s="13">
        <f t="shared" si="21"/>
        <v>1307.665</v>
      </c>
      <c r="L25" s="13">
        <f t="shared" si="21"/>
        <v>1435.2209999999998</v>
      </c>
      <c r="M25" s="13">
        <f t="shared" si="21"/>
        <v>1273.741</v>
      </c>
      <c r="N25" s="13">
        <f t="shared" si="21"/>
        <v>1564.9030000000002</v>
      </c>
      <c r="O25" s="13">
        <f t="shared" si="21"/>
        <v>1670.9288300000001</v>
      </c>
      <c r="P25" s="13">
        <f t="shared" si="21"/>
        <v>1368.5501899999997</v>
      </c>
      <c r="Q25" s="13">
        <f t="shared" si="21"/>
        <v>1800.9970000000001</v>
      </c>
      <c r="R25" s="13">
        <f t="shared" si="21"/>
        <v>1548.5539999999999</v>
      </c>
      <c r="S25" s="13">
        <f t="shared" si="21"/>
        <v>1252.374</v>
      </c>
      <c r="T25" s="13">
        <f t="shared" si="21"/>
        <v>1653.8310000000001</v>
      </c>
      <c r="U25" s="13">
        <f t="shared" si="21"/>
        <v>1699.8790000000001</v>
      </c>
      <c r="V25" s="13">
        <f t="shared" si="21"/>
        <v>1184.7099999999998</v>
      </c>
      <c r="W25" s="13">
        <f t="shared" si="21"/>
        <v>961.3649999999999</v>
      </c>
      <c r="X25" s="13">
        <f t="shared" si="21"/>
        <v>1178.0839999999998</v>
      </c>
      <c r="Y25" s="13">
        <f t="shared" si="21"/>
        <v>1154.5440000000001</v>
      </c>
      <c r="Z25" s="13">
        <f t="shared" si="21"/>
        <v>1333.931</v>
      </c>
      <c r="AA25" s="13">
        <f t="shared" si="21"/>
        <v>1314.7085007209589</v>
      </c>
      <c r="AB25" s="13">
        <f t="shared" si="21"/>
        <v>1407.6539923756059</v>
      </c>
      <c r="AC25" s="13">
        <f t="shared" si="21"/>
        <v>1069.5295812597462</v>
      </c>
      <c r="AD25" s="13">
        <f>SUM(AD22:AD24)</f>
        <v>1286.3868860944297</v>
      </c>
      <c r="AE25" s="13">
        <f>SUM(AE22:AE24)</f>
        <v>1499.9661560480797</v>
      </c>
      <c r="AF25" s="222">
        <f t="shared" ref="AF25:AG25" si="22">SUM(AF22:AF24)</f>
        <v>1616.0869403829515</v>
      </c>
      <c r="AG25" s="222">
        <f t="shared" si="22"/>
        <v>1797.7516614855099</v>
      </c>
      <c r="AJ25" s="212">
        <v>1642</v>
      </c>
      <c r="AK25" s="212">
        <v>1811</v>
      </c>
      <c r="AL25" s="212">
        <v>1709</v>
      </c>
      <c r="AM25" s="225"/>
    </row>
    <row r="26" spans="1:41">
      <c r="A26" s="3" t="s">
        <v>24</v>
      </c>
      <c r="B26" s="6">
        <f>B28-B27</f>
        <v>342.35300000000007</v>
      </c>
      <c r="C26" s="6">
        <f t="shared" ref="C26:AC26" si="23">C28-C27</f>
        <v>67.275000000000091</v>
      </c>
      <c r="D26" s="6">
        <f t="shared" si="23"/>
        <v>200.96900000000005</v>
      </c>
      <c r="E26" s="6">
        <f t="shared" si="23"/>
        <v>145.60500000000002</v>
      </c>
      <c r="F26" s="6">
        <f t="shared" si="23"/>
        <v>149.53500000000031</v>
      </c>
      <c r="G26" s="6">
        <f t="shared" si="23"/>
        <v>311.84200000000033</v>
      </c>
      <c r="H26" s="6">
        <f t="shared" si="23"/>
        <v>265.54799999999977</v>
      </c>
      <c r="I26" s="6">
        <f t="shared" si="23"/>
        <v>208.47799999999961</v>
      </c>
      <c r="J26" s="6">
        <f t="shared" si="23"/>
        <v>200.30000000000018</v>
      </c>
      <c r="K26" s="6">
        <f t="shared" si="23"/>
        <v>84.37900000000036</v>
      </c>
      <c r="L26" s="6">
        <f t="shared" si="23"/>
        <v>120.49800000000005</v>
      </c>
      <c r="M26" s="6">
        <f t="shared" si="23"/>
        <v>289.75400000000002</v>
      </c>
      <c r="N26" s="6">
        <f t="shared" si="23"/>
        <v>455.34100000000035</v>
      </c>
      <c r="O26" s="6">
        <f t="shared" si="23"/>
        <v>623.48283000000004</v>
      </c>
      <c r="P26" s="6">
        <f t="shared" si="23"/>
        <v>498.78418999999974</v>
      </c>
      <c r="Q26" s="6">
        <f t="shared" si="23"/>
        <v>709.86300000000006</v>
      </c>
      <c r="R26" s="6">
        <f t="shared" si="23"/>
        <v>706.971</v>
      </c>
      <c r="S26" s="6">
        <f t="shared" si="23"/>
        <v>586.74199999999996</v>
      </c>
      <c r="T26" s="6">
        <f t="shared" si="23"/>
        <v>831.18200000000013</v>
      </c>
      <c r="U26" s="6">
        <f t="shared" si="23"/>
        <v>842.35900000000015</v>
      </c>
      <c r="V26" s="6">
        <f t="shared" si="23"/>
        <v>737.31399999999974</v>
      </c>
      <c r="W26" s="6">
        <f t="shared" si="23"/>
        <v>598.4369999999999</v>
      </c>
      <c r="X26" s="6">
        <f t="shared" si="23"/>
        <v>604.64199999999971</v>
      </c>
      <c r="Y26" s="6">
        <f t="shared" si="23"/>
        <v>417.79300000000012</v>
      </c>
      <c r="Z26" s="6">
        <f t="shared" si="23"/>
        <v>484.60000000000014</v>
      </c>
      <c r="AA26" s="6">
        <f t="shared" si="23"/>
        <v>496.58850072095902</v>
      </c>
      <c r="AB26" s="6">
        <f t="shared" si="23"/>
        <v>410.26799237560613</v>
      </c>
      <c r="AC26" s="6">
        <f t="shared" si="23"/>
        <v>453.86758125974632</v>
      </c>
      <c r="AD26" s="6">
        <f>AD28-AD27</f>
        <v>350.03088609442966</v>
      </c>
      <c r="AE26" s="6">
        <f>AE28-AE27</f>
        <v>545.85315604807988</v>
      </c>
      <c r="AF26" s="224">
        <f t="shared" ref="AF26:AG26" si="24">AF28-AF27</f>
        <v>581.08694038295152</v>
      </c>
      <c r="AG26" s="224">
        <f t="shared" si="24"/>
        <v>887.75166148550989</v>
      </c>
      <c r="AJ26" s="223">
        <v>540</v>
      </c>
      <c r="AK26" s="223">
        <v>635</v>
      </c>
      <c r="AL26" s="223">
        <v>580</v>
      </c>
    </row>
    <row r="27" spans="1:41">
      <c r="A27" s="3" t="s">
        <v>9</v>
      </c>
      <c r="B27" s="6">
        <f>B187</f>
        <v>952.39699999999993</v>
      </c>
      <c r="C27" s="6">
        <f>C187</f>
        <v>1287.153</v>
      </c>
      <c r="D27" s="6">
        <f>D187</f>
        <v>1864.049</v>
      </c>
      <c r="E27" s="6">
        <f t="shared" ref="E27:AC27" si="25">E187</f>
        <v>1937.203</v>
      </c>
      <c r="F27" s="6">
        <f t="shared" si="25"/>
        <v>2113.663</v>
      </c>
      <c r="G27" s="6">
        <f t="shared" si="25"/>
        <v>1935.6449999999998</v>
      </c>
      <c r="H27" s="6">
        <f t="shared" si="25"/>
        <v>2259.8720000000003</v>
      </c>
      <c r="I27" s="6">
        <f t="shared" si="25"/>
        <v>1831.2550000000001</v>
      </c>
      <c r="J27" s="6">
        <f t="shared" si="25"/>
        <v>1151.3020000000001</v>
      </c>
      <c r="K27" s="6">
        <f t="shared" si="25"/>
        <v>1159.1489999999997</v>
      </c>
      <c r="L27" s="6">
        <f t="shared" si="25"/>
        <v>1230.1429999999998</v>
      </c>
      <c r="M27" s="6">
        <f t="shared" si="25"/>
        <v>932.45600000000002</v>
      </c>
      <c r="N27" s="6">
        <f t="shared" si="25"/>
        <v>1056.356</v>
      </c>
      <c r="O27" s="6">
        <f t="shared" si="25"/>
        <v>994.50200000000007</v>
      </c>
      <c r="P27" s="6">
        <f t="shared" si="25"/>
        <v>837.64099999999996</v>
      </c>
      <c r="Q27" s="6">
        <f t="shared" si="25"/>
        <v>1010.6420000000001</v>
      </c>
      <c r="R27" s="6">
        <f t="shared" si="25"/>
        <v>783.24299999999994</v>
      </c>
      <c r="S27" s="6">
        <f t="shared" si="25"/>
        <v>585.57400000000007</v>
      </c>
      <c r="T27" s="6">
        <f t="shared" si="25"/>
        <v>717.73599999999999</v>
      </c>
      <c r="U27" s="6">
        <f t="shared" si="25"/>
        <v>805.221</v>
      </c>
      <c r="V27" s="6">
        <f t="shared" si="25"/>
        <v>431.9620000000001</v>
      </c>
      <c r="W27" s="6">
        <f t="shared" si="25"/>
        <v>309.43300000000005</v>
      </c>
      <c r="X27" s="6">
        <f t="shared" si="25"/>
        <v>539.93700000000001</v>
      </c>
      <c r="Y27" s="6">
        <f t="shared" si="25"/>
        <v>707.07199999999989</v>
      </c>
      <c r="Z27" s="6">
        <f t="shared" si="25"/>
        <v>820.26</v>
      </c>
      <c r="AA27" s="6">
        <f t="shared" si="25"/>
        <v>746.07899999999995</v>
      </c>
      <c r="AB27" s="6">
        <f t="shared" si="25"/>
        <v>952.54899999999975</v>
      </c>
      <c r="AC27" s="6">
        <f t="shared" si="25"/>
        <v>595.678</v>
      </c>
      <c r="AD27" s="6">
        <f>AD187</f>
        <v>899.85899999999992</v>
      </c>
      <c r="AE27" s="6">
        <f>AE187</f>
        <v>895.48399999999992</v>
      </c>
      <c r="AF27" s="224">
        <f>850+125</f>
        <v>975</v>
      </c>
      <c r="AG27" s="224">
        <v>850</v>
      </c>
      <c r="AJ27" s="223">
        <v>599</v>
      </c>
      <c r="AK27" s="223">
        <v>953</v>
      </c>
      <c r="AL27" s="223">
        <v>815</v>
      </c>
    </row>
    <row r="28" spans="1:41">
      <c r="A28" s="221" t="s">
        <v>12</v>
      </c>
      <c r="B28" s="13">
        <f>B25-B29</f>
        <v>1294.75</v>
      </c>
      <c r="C28" s="13">
        <f t="shared" ref="C28:AC28" si="26">C25-C29</f>
        <v>1354.4280000000001</v>
      </c>
      <c r="D28" s="13">
        <f t="shared" si="26"/>
        <v>2065.018</v>
      </c>
      <c r="E28" s="13">
        <f t="shared" si="26"/>
        <v>2082.808</v>
      </c>
      <c r="F28" s="13">
        <f t="shared" si="26"/>
        <v>2263.1980000000003</v>
      </c>
      <c r="G28" s="13">
        <f t="shared" si="26"/>
        <v>2247.4870000000001</v>
      </c>
      <c r="H28" s="13">
        <f t="shared" si="26"/>
        <v>2525.42</v>
      </c>
      <c r="I28" s="13">
        <f t="shared" si="26"/>
        <v>2039.7329999999997</v>
      </c>
      <c r="J28" s="13">
        <f t="shared" si="26"/>
        <v>1351.6020000000003</v>
      </c>
      <c r="K28" s="13">
        <f t="shared" si="26"/>
        <v>1243.528</v>
      </c>
      <c r="L28" s="13">
        <f t="shared" si="26"/>
        <v>1350.6409999999998</v>
      </c>
      <c r="M28" s="13">
        <f t="shared" si="26"/>
        <v>1222.21</v>
      </c>
      <c r="N28" s="13">
        <f t="shared" si="26"/>
        <v>1511.6970000000003</v>
      </c>
      <c r="O28" s="13">
        <f t="shared" si="26"/>
        <v>1617.9848300000001</v>
      </c>
      <c r="P28" s="13">
        <f t="shared" si="26"/>
        <v>1336.4251899999997</v>
      </c>
      <c r="Q28" s="13">
        <f t="shared" si="26"/>
        <v>1720.5050000000001</v>
      </c>
      <c r="R28" s="13">
        <f t="shared" si="26"/>
        <v>1490.2139999999999</v>
      </c>
      <c r="S28" s="13">
        <f t="shared" si="26"/>
        <v>1172.316</v>
      </c>
      <c r="T28" s="13">
        <f t="shared" si="26"/>
        <v>1548.9180000000001</v>
      </c>
      <c r="U28" s="13">
        <f t="shared" si="26"/>
        <v>1647.5800000000002</v>
      </c>
      <c r="V28" s="13">
        <f t="shared" si="26"/>
        <v>1169.2759999999998</v>
      </c>
      <c r="W28" s="13">
        <f t="shared" si="26"/>
        <v>907.86999999999989</v>
      </c>
      <c r="X28" s="13">
        <f t="shared" si="26"/>
        <v>1144.5789999999997</v>
      </c>
      <c r="Y28" s="13">
        <f t="shared" si="26"/>
        <v>1124.865</v>
      </c>
      <c r="Z28" s="13">
        <f t="shared" si="26"/>
        <v>1304.8600000000001</v>
      </c>
      <c r="AA28" s="13">
        <f t="shared" si="26"/>
        <v>1242.667500720959</v>
      </c>
      <c r="AB28" s="13">
        <f t="shared" si="26"/>
        <v>1362.8169923756059</v>
      </c>
      <c r="AC28" s="13">
        <f t="shared" si="26"/>
        <v>1049.5455812597463</v>
      </c>
      <c r="AD28" s="13">
        <f>AD25-AD29</f>
        <v>1249.8898860944296</v>
      </c>
      <c r="AE28" s="13">
        <f>AE25-AE29</f>
        <v>1441.3371560480798</v>
      </c>
      <c r="AF28" s="222">
        <f t="shared" ref="AF28:AG28" si="27">AF25-AF29</f>
        <v>1556.0869403829515</v>
      </c>
      <c r="AG28" s="222">
        <f t="shared" si="27"/>
        <v>1737.7516614855099</v>
      </c>
    </row>
    <row r="29" spans="1:41" ht="16.5">
      <c r="A29" s="3" t="s">
        <v>219</v>
      </c>
      <c r="B29" s="6">
        <f>B218</f>
        <v>26.573</v>
      </c>
      <c r="C29" s="6">
        <f t="shared" ref="C29:AE29" si="28">C218</f>
        <v>64.563000000000002</v>
      </c>
      <c r="D29" s="6">
        <f t="shared" si="28"/>
        <v>97.331000000000003</v>
      </c>
      <c r="E29" s="6">
        <f t="shared" si="28"/>
        <v>139.13900000000001</v>
      </c>
      <c r="F29" s="6">
        <f t="shared" si="28"/>
        <v>137.459</v>
      </c>
      <c r="G29" s="6">
        <f t="shared" si="28"/>
        <v>59.744</v>
      </c>
      <c r="H29" s="6">
        <f t="shared" si="28"/>
        <v>57.28</v>
      </c>
      <c r="I29" s="6">
        <f t="shared" si="28"/>
        <v>127.554</v>
      </c>
      <c r="J29" s="6">
        <f t="shared" si="28"/>
        <v>79.83</v>
      </c>
      <c r="K29" s="6">
        <f t="shared" si="28"/>
        <v>64.137</v>
      </c>
      <c r="L29" s="6">
        <f t="shared" si="28"/>
        <v>84.58</v>
      </c>
      <c r="M29" s="6">
        <f t="shared" si="28"/>
        <v>51.530999999999999</v>
      </c>
      <c r="N29" s="6">
        <f t="shared" si="28"/>
        <v>53.206000000000003</v>
      </c>
      <c r="O29" s="6">
        <f t="shared" si="28"/>
        <v>52.944000000000003</v>
      </c>
      <c r="P29" s="6">
        <f t="shared" si="28"/>
        <v>32.125</v>
      </c>
      <c r="Q29" s="6">
        <f t="shared" si="28"/>
        <v>80.492000000000004</v>
      </c>
      <c r="R29" s="6">
        <f t="shared" si="28"/>
        <v>58.34</v>
      </c>
      <c r="S29" s="6">
        <f t="shared" si="28"/>
        <v>80.058000000000007</v>
      </c>
      <c r="T29" s="6">
        <f t="shared" si="28"/>
        <v>104.913</v>
      </c>
      <c r="U29" s="6">
        <f t="shared" si="28"/>
        <v>52.298999999999999</v>
      </c>
      <c r="V29" s="6">
        <f t="shared" si="28"/>
        <v>15.433999999999999</v>
      </c>
      <c r="W29" s="6">
        <f t="shared" si="28"/>
        <v>53.494999999999997</v>
      </c>
      <c r="X29" s="6">
        <f t="shared" si="28"/>
        <v>33.505000000000003</v>
      </c>
      <c r="Y29" s="6">
        <f t="shared" si="28"/>
        <v>29.678999999999998</v>
      </c>
      <c r="Z29" s="6">
        <f t="shared" si="28"/>
        <v>29.071000000000002</v>
      </c>
      <c r="AA29" s="6">
        <f t="shared" si="28"/>
        <v>72.040999999999997</v>
      </c>
      <c r="AB29" s="6">
        <f t="shared" si="28"/>
        <v>44.837000000000003</v>
      </c>
      <c r="AC29" s="6">
        <f t="shared" si="28"/>
        <v>19.984000000000002</v>
      </c>
      <c r="AD29" s="6">
        <f t="shared" si="28"/>
        <v>36.497</v>
      </c>
      <c r="AE29" s="6">
        <f t="shared" si="28"/>
        <v>58.628999999999998</v>
      </c>
      <c r="AF29" s="224">
        <v>60</v>
      </c>
      <c r="AG29" s="224">
        <v>60</v>
      </c>
      <c r="AH29" s="87"/>
      <c r="AI29" s="87"/>
      <c r="AJ29" s="223">
        <v>126</v>
      </c>
      <c r="AK29" s="223">
        <v>176</v>
      </c>
      <c r="AL29" s="223">
        <v>179</v>
      </c>
      <c r="AM29" s="209"/>
    </row>
    <row r="30" spans="1:41" ht="15.75" thickBot="1">
      <c r="A30" s="3" t="s">
        <v>225</v>
      </c>
    </row>
    <row r="31" spans="1:41">
      <c r="A31" s="229" t="s">
        <v>226</v>
      </c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</row>
    <row r="32" spans="1:41">
      <c r="A32" s="221" t="s">
        <v>216</v>
      </c>
      <c r="B32" s="13">
        <v>87.406999999999996</v>
      </c>
      <c r="C32" s="13">
        <f>B42</f>
        <v>89.367999999999995</v>
      </c>
      <c r="D32" s="13">
        <f t="shared" ref="D32:AB32" si="29">C42</f>
        <v>105.99299999999999</v>
      </c>
      <c r="E32" s="13">
        <f t="shared" si="29"/>
        <v>112.25</v>
      </c>
      <c r="F32" s="13">
        <f t="shared" si="29"/>
        <v>178.71299999999999</v>
      </c>
      <c r="G32" s="13">
        <f t="shared" si="29"/>
        <v>121.607</v>
      </c>
      <c r="H32" s="13">
        <f t="shared" si="29"/>
        <v>103.389</v>
      </c>
      <c r="I32" s="13">
        <f t="shared" si="29"/>
        <v>182.703</v>
      </c>
      <c r="J32" s="13">
        <f t="shared" si="29"/>
        <v>228.62299999999999</v>
      </c>
      <c r="K32" s="13">
        <f t="shared" si="29"/>
        <v>117.61199999999999</v>
      </c>
      <c r="L32" s="13">
        <f t="shared" si="29"/>
        <v>96.757000000000005</v>
      </c>
      <c r="M32" s="13">
        <f t="shared" si="29"/>
        <v>126.755</v>
      </c>
      <c r="N32" s="13">
        <f t="shared" si="29"/>
        <v>82.284999999999997</v>
      </c>
      <c r="O32" s="13">
        <f t="shared" si="29"/>
        <v>68.605999999999995</v>
      </c>
      <c r="P32" s="13">
        <f t="shared" si="29"/>
        <v>60.448</v>
      </c>
      <c r="Q32" s="13">
        <f t="shared" si="29"/>
        <v>41.21</v>
      </c>
      <c r="R32" s="13">
        <f t="shared" si="29"/>
        <v>126.634</v>
      </c>
      <c r="S32" s="13">
        <f t="shared" si="29"/>
        <v>84.733999999999995</v>
      </c>
      <c r="T32" s="13">
        <f t="shared" si="29"/>
        <v>93.608000000000004</v>
      </c>
      <c r="U32" s="13">
        <f t="shared" si="29"/>
        <v>85.572000000000003</v>
      </c>
      <c r="V32" s="13">
        <f t="shared" si="29"/>
        <v>90.608000000000004</v>
      </c>
      <c r="W32" s="13">
        <f t="shared" si="29"/>
        <v>38.372</v>
      </c>
      <c r="X32" s="13">
        <f t="shared" si="29"/>
        <v>54.393999999999998</v>
      </c>
      <c r="Y32" s="13">
        <f t="shared" si="29"/>
        <v>68.173000000000002</v>
      </c>
      <c r="Z32" s="13">
        <f t="shared" si="29"/>
        <v>44.66</v>
      </c>
      <c r="AA32" s="13">
        <f t="shared" si="29"/>
        <v>54.835000000000001</v>
      </c>
      <c r="AB32" s="13">
        <f t="shared" si="29"/>
        <v>100.69799999999999</v>
      </c>
      <c r="AC32" s="13">
        <f>AB42</f>
        <v>51.04</v>
      </c>
      <c r="AD32" s="13">
        <f t="shared" ref="AD32:AG32" si="30">AC42</f>
        <v>53.648000000000003</v>
      </c>
      <c r="AE32" s="13">
        <f t="shared" si="30"/>
        <v>80.444000000000003</v>
      </c>
      <c r="AF32" s="13">
        <f t="shared" si="30"/>
        <v>84.965999999999994</v>
      </c>
      <c r="AG32" s="222">
        <f t="shared" si="30"/>
        <v>90</v>
      </c>
      <c r="AJ32" s="223">
        <v>234</v>
      </c>
      <c r="AK32" s="223">
        <v>282</v>
      </c>
      <c r="AL32" s="223">
        <v>318</v>
      </c>
    </row>
    <row r="33" spans="1:40">
      <c r="A33" s="3" t="s">
        <v>5</v>
      </c>
      <c r="B33" s="6">
        <f>B250</f>
        <v>1181.9259999999999</v>
      </c>
      <c r="C33" s="6">
        <f t="shared" ref="C33:AC33" si="31">C250</f>
        <v>1359.961</v>
      </c>
      <c r="D33" s="6">
        <f t="shared" si="31"/>
        <v>1974.8</v>
      </c>
      <c r="E33" s="6">
        <f t="shared" si="31"/>
        <v>2034.0220000000002</v>
      </c>
      <c r="F33" s="6">
        <f t="shared" si="31"/>
        <v>2175.8630000000003</v>
      </c>
      <c r="G33" s="6">
        <f t="shared" si="31"/>
        <v>2020.4530000000002</v>
      </c>
      <c r="H33" s="6">
        <f t="shared" si="31"/>
        <v>2471.5499999999997</v>
      </c>
      <c r="I33" s="6">
        <f t="shared" si="31"/>
        <v>2158.3110000000001</v>
      </c>
      <c r="J33" s="6">
        <f t="shared" si="31"/>
        <v>1305.876</v>
      </c>
      <c r="K33" s="6">
        <f t="shared" si="31"/>
        <v>1271.175</v>
      </c>
      <c r="L33" s="6">
        <f t="shared" si="31"/>
        <v>1399.8419999999999</v>
      </c>
      <c r="M33" s="6">
        <f t="shared" si="31"/>
        <v>1204.2359999999999</v>
      </c>
      <c r="N33" s="6">
        <f t="shared" si="31"/>
        <v>1523.4059999999999</v>
      </c>
      <c r="O33" s="6">
        <f t="shared" si="31"/>
        <v>1579.55402</v>
      </c>
      <c r="P33" s="6">
        <f t="shared" si="31"/>
        <v>1223.5123940000001</v>
      </c>
      <c r="Q33" s="6">
        <f t="shared" si="31"/>
        <v>1740.06</v>
      </c>
      <c r="R33" s="6">
        <f t="shared" si="31"/>
        <v>1418.8210000000001</v>
      </c>
      <c r="S33" s="6">
        <f t="shared" si="31"/>
        <v>1127.6989999999998</v>
      </c>
      <c r="T33" s="6">
        <f t="shared" si="31"/>
        <v>1489.7059999999999</v>
      </c>
      <c r="U33" s="6">
        <f t="shared" si="31"/>
        <v>1541.5800000000004</v>
      </c>
      <c r="V33" s="6">
        <f t="shared" si="31"/>
        <v>1074.7239999999999</v>
      </c>
      <c r="W33" s="6">
        <f t="shared" si="31"/>
        <v>931.74699999999984</v>
      </c>
      <c r="X33" s="6">
        <f t="shared" si="31"/>
        <v>1109.0619999999999</v>
      </c>
      <c r="Y33" s="6">
        <f t="shared" si="31"/>
        <v>1131.4369999999999</v>
      </c>
      <c r="Z33" s="6">
        <f t="shared" si="31"/>
        <v>1317.2629999999999</v>
      </c>
      <c r="AA33" s="6">
        <f t="shared" si="31"/>
        <v>1306.7910000000002</v>
      </c>
      <c r="AB33" s="6">
        <f t="shared" si="31"/>
        <v>1414.5129999999999</v>
      </c>
      <c r="AC33" s="6">
        <f t="shared" si="31"/>
        <v>1067.5040000000001</v>
      </c>
      <c r="AD33" s="6">
        <f>AD250</f>
        <v>1339.0330000000004</v>
      </c>
      <c r="AE33" s="6">
        <f>AE250</f>
        <v>1497.6269999999997</v>
      </c>
      <c r="AF33" s="224">
        <f>AF250</f>
        <v>1617.9113568998866</v>
      </c>
      <c r="AG33" s="224">
        <f>AG250</f>
        <v>1826.2166908804058</v>
      </c>
      <c r="AJ33" s="212">
        <v>1503</v>
      </c>
      <c r="AK33" s="212">
        <v>1673</v>
      </c>
      <c r="AL33" s="212">
        <v>1527</v>
      </c>
      <c r="AM33" s="225"/>
    </row>
    <row r="34" spans="1:40">
      <c r="A34" s="3" t="s">
        <v>6</v>
      </c>
      <c r="B34" s="6">
        <v>0</v>
      </c>
      <c r="C34" s="6">
        <v>0</v>
      </c>
      <c r="D34" s="6">
        <v>0</v>
      </c>
      <c r="E34" s="6">
        <v>0</v>
      </c>
      <c r="F34" s="6">
        <f t="shared" ref="F34:AC34" si="32">F298</f>
        <v>3.9369999999999994</v>
      </c>
      <c r="G34" s="6">
        <f t="shared" si="32"/>
        <v>1.583</v>
      </c>
      <c r="H34" s="6">
        <f t="shared" si="32"/>
        <v>0.04</v>
      </c>
      <c r="I34" s="6">
        <f t="shared" si="32"/>
        <v>1.7000000000000001E-2</v>
      </c>
      <c r="J34" s="6">
        <f t="shared" si="32"/>
        <v>0</v>
      </c>
      <c r="K34" s="6">
        <f t="shared" si="32"/>
        <v>4.1248000000000007E-2</v>
      </c>
      <c r="L34" s="6">
        <f t="shared" si="32"/>
        <v>1.6783999999999997E-2</v>
      </c>
      <c r="M34" s="6">
        <f t="shared" si="32"/>
        <v>1.4151480000000003</v>
      </c>
      <c r="N34" s="6">
        <f t="shared" si="32"/>
        <v>1.0416590000000001</v>
      </c>
      <c r="O34" s="6">
        <f t="shared" si="32"/>
        <v>9.8467000000000013E-2</v>
      </c>
      <c r="P34" s="6">
        <f t="shared" si="32"/>
        <v>2.1500880000000002</v>
      </c>
      <c r="Q34" s="6">
        <f t="shared" si="32"/>
        <v>3.0864000000000003E-2</v>
      </c>
      <c r="R34" s="6">
        <f t="shared" si="32"/>
        <v>0.15851500000000004</v>
      </c>
      <c r="S34" s="6">
        <f t="shared" si="32"/>
        <v>1.6048E-2</v>
      </c>
      <c r="T34" s="6">
        <f t="shared" si="32"/>
        <v>1.5304999999999999E-2</v>
      </c>
      <c r="U34" s="6">
        <f t="shared" si="32"/>
        <v>7.229999999999999E-4</v>
      </c>
      <c r="V34" s="6">
        <f t="shared" si="32"/>
        <v>3.947E-3</v>
      </c>
      <c r="W34" s="6">
        <f t="shared" si="32"/>
        <v>5.4799999999999998E-4</v>
      </c>
      <c r="X34" s="6">
        <f t="shared" si="32"/>
        <v>6.6468999999999986E-2</v>
      </c>
      <c r="Y34" s="6">
        <f t="shared" si="32"/>
        <v>1.1380000000000001E-3</v>
      </c>
      <c r="Z34" s="6">
        <f t="shared" si="32"/>
        <v>4.6700000000000002E-4</v>
      </c>
      <c r="AA34" s="6">
        <f t="shared" si="32"/>
        <v>9.2E-5</v>
      </c>
      <c r="AB34" s="6">
        <f t="shared" si="32"/>
        <v>6.7299999999999999E-4</v>
      </c>
      <c r="AC34" s="6">
        <f t="shared" si="32"/>
        <v>9.485600000000001E-2</v>
      </c>
      <c r="AD34" s="6">
        <f>AD298</f>
        <v>7.0000000000000001E-3</v>
      </c>
      <c r="AE34" s="6">
        <f>AE298</f>
        <v>8.8999999999999982E-2</v>
      </c>
      <c r="AF34" s="224">
        <v>0.1</v>
      </c>
      <c r="AG34" s="224">
        <v>0.1</v>
      </c>
      <c r="AJ34" s="223">
        <v>0</v>
      </c>
      <c r="AK34" s="223">
        <v>0</v>
      </c>
      <c r="AL34" s="223">
        <v>0</v>
      </c>
    </row>
    <row r="35" spans="1:40">
      <c r="A35" s="221" t="s">
        <v>7</v>
      </c>
      <c r="B35" s="13">
        <f>SUM(B32:B34)</f>
        <v>1269.3329999999999</v>
      </c>
      <c r="C35" s="13">
        <f t="shared" ref="C35:AB35" si="33">SUM(C32:C34)</f>
        <v>1449.329</v>
      </c>
      <c r="D35" s="13">
        <f t="shared" si="33"/>
        <v>2080.7930000000001</v>
      </c>
      <c r="E35" s="13">
        <f t="shared" si="33"/>
        <v>2146.2719999999999</v>
      </c>
      <c r="F35" s="13">
        <f t="shared" si="33"/>
        <v>2358.5130000000004</v>
      </c>
      <c r="G35" s="13">
        <f t="shared" si="33"/>
        <v>2143.6430000000005</v>
      </c>
      <c r="H35" s="13">
        <f t="shared" si="33"/>
        <v>2574.9789999999998</v>
      </c>
      <c r="I35" s="13">
        <f t="shared" si="33"/>
        <v>2341.0309999999999</v>
      </c>
      <c r="J35" s="13">
        <f t="shared" si="33"/>
        <v>1534.499</v>
      </c>
      <c r="K35" s="13">
        <f t="shared" si="33"/>
        <v>1388.828248</v>
      </c>
      <c r="L35" s="13">
        <f t="shared" si="33"/>
        <v>1496.6157839999998</v>
      </c>
      <c r="M35" s="13">
        <f t="shared" si="33"/>
        <v>1332.406148</v>
      </c>
      <c r="N35" s="13">
        <f t="shared" si="33"/>
        <v>1606.732659</v>
      </c>
      <c r="O35" s="13">
        <f t="shared" si="33"/>
        <v>1648.2584870000001</v>
      </c>
      <c r="P35" s="13">
        <f t="shared" si="33"/>
        <v>1286.1104820000003</v>
      </c>
      <c r="Q35" s="13">
        <f t="shared" si="33"/>
        <v>1781.300864</v>
      </c>
      <c r="R35" s="13">
        <f t="shared" si="33"/>
        <v>1545.6135150000002</v>
      </c>
      <c r="S35" s="13">
        <f t="shared" si="33"/>
        <v>1212.4490479999997</v>
      </c>
      <c r="T35" s="13">
        <f t="shared" si="33"/>
        <v>1583.3293049999997</v>
      </c>
      <c r="U35" s="13">
        <f t="shared" si="33"/>
        <v>1627.1527230000006</v>
      </c>
      <c r="V35" s="13">
        <f t="shared" si="33"/>
        <v>1165.3359469999998</v>
      </c>
      <c r="W35" s="13">
        <f t="shared" si="33"/>
        <v>970.11954799999978</v>
      </c>
      <c r="X35" s="13">
        <f t="shared" si="33"/>
        <v>1163.522469</v>
      </c>
      <c r="Y35" s="13">
        <f t="shared" si="33"/>
        <v>1199.611138</v>
      </c>
      <c r="Z35" s="13">
        <f t="shared" si="33"/>
        <v>1361.9234670000001</v>
      </c>
      <c r="AA35" s="13">
        <f t="shared" si="33"/>
        <v>1361.6260920000002</v>
      </c>
      <c r="AB35" s="13">
        <f t="shared" si="33"/>
        <v>1515.211673</v>
      </c>
      <c r="AC35" s="13">
        <f>SUM(AC32:AC34)</f>
        <v>1118.638856</v>
      </c>
      <c r="AD35" s="13">
        <f>SUM(AD32:AD34)</f>
        <v>1392.6880000000003</v>
      </c>
      <c r="AE35" s="13">
        <f>SUM(AE32:AE34)</f>
        <v>1578.1599999999996</v>
      </c>
      <c r="AF35" s="222">
        <f t="shared" ref="AF35:AG35" si="34">SUM(AF32:AF34)</f>
        <v>1702.9773568998864</v>
      </c>
      <c r="AG35" s="222">
        <f t="shared" si="34"/>
        <v>1916.3166908804058</v>
      </c>
      <c r="AJ35" s="212">
        <v>1737</v>
      </c>
      <c r="AK35" s="212">
        <v>1955</v>
      </c>
      <c r="AL35" s="212">
        <v>1845</v>
      </c>
      <c r="AM35" s="225"/>
    </row>
    <row r="36" spans="1:40">
      <c r="A36" s="3" t="s">
        <v>24</v>
      </c>
      <c r="B36" s="6">
        <f>B41-B40</f>
        <v>590.46899999999994</v>
      </c>
      <c r="C36" s="6">
        <f t="shared" ref="C36:AC36" si="35">C41-C40</f>
        <v>576.30899999999997</v>
      </c>
      <c r="D36" s="6">
        <f t="shared" si="35"/>
        <v>643.00900000000001</v>
      </c>
      <c r="E36" s="6">
        <f t="shared" si="35"/>
        <v>591.08600000000001</v>
      </c>
      <c r="F36" s="6">
        <f t="shared" si="35"/>
        <v>486.93400000000065</v>
      </c>
      <c r="G36" s="6">
        <f t="shared" si="35"/>
        <v>481.77200000000062</v>
      </c>
      <c r="H36" s="6">
        <f t="shared" si="35"/>
        <v>513.62699999999973</v>
      </c>
      <c r="I36" s="6">
        <f t="shared" si="35"/>
        <v>538.60100000000011</v>
      </c>
      <c r="J36" s="6">
        <f t="shared" si="35"/>
        <v>411.36699999999996</v>
      </c>
      <c r="K36" s="6">
        <f t="shared" si="35"/>
        <v>255.55063100000007</v>
      </c>
      <c r="L36" s="6">
        <f t="shared" si="35"/>
        <v>353.61159400000008</v>
      </c>
      <c r="M36" s="6">
        <f t="shared" si="35"/>
        <v>313.22231699999986</v>
      </c>
      <c r="N36" s="6">
        <f t="shared" si="35"/>
        <v>320.06841899999972</v>
      </c>
      <c r="O36" s="6">
        <f t="shared" si="35"/>
        <v>354.56363699999997</v>
      </c>
      <c r="P36" s="6">
        <f t="shared" si="35"/>
        <v>383.62675100000013</v>
      </c>
      <c r="Q36" s="6">
        <f t="shared" si="35"/>
        <v>488.99203100000022</v>
      </c>
      <c r="R36" s="6">
        <f t="shared" si="35"/>
        <v>499.13678300000038</v>
      </c>
      <c r="S36" s="6">
        <f t="shared" si="35"/>
        <v>543.70116499999983</v>
      </c>
      <c r="T36" s="6">
        <f t="shared" si="35"/>
        <v>577.56800299999963</v>
      </c>
      <c r="U36" s="6">
        <f t="shared" si="35"/>
        <v>746.3187900000006</v>
      </c>
      <c r="V36" s="6">
        <f t="shared" si="35"/>
        <v>680.99089999999978</v>
      </c>
      <c r="W36" s="6">
        <f t="shared" si="35"/>
        <v>566.94957599999987</v>
      </c>
      <c r="X36" s="6">
        <f t="shared" si="35"/>
        <v>656.18237899999997</v>
      </c>
      <c r="Y36" s="6">
        <f t="shared" si="35"/>
        <v>537.90112899999986</v>
      </c>
      <c r="Z36" s="6">
        <f t="shared" si="35"/>
        <v>542.5659169999999</v>
      </c>
      <c r="AA36" s="6">
        <f t="shared" si="35"/>
        <v>549.60829400000011</v>
      </c>
      <c r="AB36" s="6">
        <f t="shared" si="35"/>
        <v>512.65587200000004</v>
      </c>
      <c r="AC36" s="6">
        <f t="shared" si="35"/>
        <v>493.5915040000001</v>
      </c>
      <c r="AD36" s="6">
        <f>AD41-AD40</f>
        <v>534.03900000000056</v>
      </c>
      <c r="AE36" s="6">
        <f>AE41-AE40</f>
        <v>559.3389999999996</v>
      </c>
      <c r="AF36" s="224">
        <f t="shared" ref="AF36:AG36" si="36">SUM(AF37:AF39)</f>
        <v>562</v>
      </c>
      <c r="AG36" s="224">
        <f t="shared" si="36"/>
        <v>562</v>
      </c>
      <c r="AJ36" s="223">
        <v>582</v>
      </c>
      <c r="AK36" s="223">
        <v>662</v>
      </c>
      <c r="AL36" s="223">
        <v>657</v>
      </c>
    </row>
    <row r="37" spans="1:40">
      <c r="A37" s="3" t="s">
        <v>30</v>
      </c>
      <c r="B37" s="6">
        <v>3</v>
      </c>
      <c r="C37" s="6">
        <v>3</v>
      </c>
      <c r="D37" s="6">
        <v>3</v>
      </c>
      <c r="E37" s="6">
        <v>3</v>
      </c>
      <c r="F37" s="6">
        <v>2</v>
      </c>
      <c r="G37" s="6">
        <v>2</v>
      </c>
      <c r="H37" s="6">
        <v>2</v>
      </c>
      <c r="I37" s="6">
        <v>2</v>
      </c>
      <c r="J37" s="6">
        <v>2</v>
      </c>
      <c r="K37" s="6">
        <v>2</v>
      </c>
      <c r="L37" s="6">
        <v>2</v>
      </c>
      <c r="M37" s="6">
        <v>2</v>
      </c>
      <c r="N37" s="6">
        <v>2</v>
      </c>
      <c r="O37" s="6">
        <v>2</v>
      </c>
      <c r="P37" s="6">
        <v>2</v>
      </c>
      <c r="Q37" s="6">
        <v>2</v>
      </c>
      <c r="R37" s="6">
        <v>2</v>
      </c>
      <c r="S37" s="6">
        <v>2</v>
      </c>
      <c r="T37" s="6">
        <v>2</v>
      </c>
      <c r="U37" s="6">
        <v>2</v>
      </c>
      <c r="V37" s="6">
        <v>2</v>
      </c>
      <c r="W37" s="6">
        <v>2</v>
      </c>
      <c r="X37" s="6">
        <v>2</v>
      </c>
      <c r="Y37" s="6">
        <v>2</v>
      </c>
      <c r="Z37" s="6">
        <v>2</v>
      </c>
      <c r="AA37" s="6">
        <v>2</v>
      </c>
      <c r="AB37" s="6">
        <v>2</v>
      </c>
      <c r="AC37" s="6">
        <v>2</v>
      </c>
      <c r="AD37" s="6">
        <v>2</v>
      </c>
      <c r="AE37" s="6">
        <v>2</v>
      </c>
      <c r="AF37" s="224">
        <v>2</v>
      </c>
      <c r="AG37" s="224">
        <v>2</v>
      </c>
      <c r="AJ37" s="223">
        <v>2</v>
      </c>
      <c r="AK37" s="223">
        <v>2</v>
      </c>
      <c r="AL37" s="223">
        <v>2</v>
      </c>
    </row>
    <row r="38" spans="1:40">
      <c r="A38" s="3" t="s">
        <v>31</v>
      </c>
      <c r="B38" s="6">
        <v>15</v>
      </c>
      <c r="C38" s="6">
        <v>15</v>
      </c>
      <c r="D38" s="6">
        <v>10</v>
      </c>
      <c r="E38" s="6">
        <v>10</v>
      </c>
      <c r="F38" s="6">
        <v>10</v>
      </c>
      <c r="G38" s="6">
        <v>10</v>
      </c>
      <c r="H38" s="6">
        <v>10</v>
      </c>
      <c r="I38" s="6">
        <v>10</v>
      </c>
      <c r="J38" s="6">
        <v>10</v>
      </c>
      <c r="K38" s="6">
        <v>10</v>
      </c>
      <c r="L38" s="6">
        <v>10</v>
      </c>
      <c r="M38" s="6">
        <v>10</v>
      </c>
      <c r="N38" s="6">
        <v>10</v>
      </c>
      <c r="O38" s="6">
        <v>10</v>
      </c>
      <c r="P38" s="6">
        <v>10</v>
      </c>
      <c r="Q38" s="6">
        <v>15</v>
      </c>
      <c r="R38" s="6">
        <v>21</v>
      </c>
      <c r="S38" s="6">
        <v>20</v>
      </c>
      <c r="T38" s="6">
        <v>20</v>
      </c>
      <c r="U38" s="6">
        <v>20</v>
      </c>
      <c r="V38" s="6">
        <v>20</v>
      </c>
      <c r="W38" s="6">
        <v>20</v>
      </c>
      <c r="X38" s="6">
        <v>21</v>
      </c>
      <c r="Y38" s="6">
        <v>20</v>
      </c>
      <c r="Z38" s="6">
        <v>20</v>
      </c>
      <c r="AA38" s="6">
        <v>10</v>
      </c>
      <c r="AB38" s="6">
        <v>10</v>
      </c>
      <c r="AC38" s="6">
        <v>10</v>
      </c>
      <c r="AD38" s="6">
        <v>10</v>
      </c>
      <c r="AE38" s="6">
        <v>10</v>
      </c>
      <c r="AF38" s="224">
        <v>10</v>
      </c>
      <c r="AG38" s="224">
        <v>10</v>
      </c>
      <c r="AJ38" s="223">
        <v>570</v>
      </c>
      <c r="AK38" s="223">
        <v>650</v>
      </c>
      <c r="AL38" s="223">
        <v>645</v>
      </c>
    </row>
    <row r="39" spans="1:40">
      <c r="A39" s="3" t="s">
        <v>32</v>
      </c>
      <c r="B39" s="6">
        <f>B36-SUM(B37:B38)</f>
        <v>572.46899999999994</v>
      </c>
      <c r="C39" s="6">
        <f t="shared" ref="C39:AC39" si="37">C36-SUM(C37:C38)</f>
        <v>558.30899999999997</v>
      </c>
      <c r="D39" s="6">
        <f t="shared" si="37"/>
        <v>630.00900000000001</v>
      </c>
      <c r="E39" s="6">
        <f t="shared" si="37"/>
        <v>578.08600000000001</v>
      </c>
      <c r="F39" s="6">
        <f t="shared" si="37"/>
        <v>474.93400000000065</v>
      </c>
      <c r="G39" s="6">
        <f t="shared" si="37"/>
        <v>469.77200000000062</v>
      </c>
      <c r="H39" s="6">
        <f t="shared" si="37"/>
        <v>501.62699999999973</v>
      </c>
      <c r="I39" s="6">
        <f t="shared" si="37"/>
        <v>526.60100000000011</v>
      </c>
      <c r="J39" s="6">
        <f t="shared" si="37"/>
        <v>399.36699999999996</v>
      </c>
      <c r="K39" s="6">
        <f t="shared" si="37"/>
        <v>243.55063100000007</v>
      </c>
      <c r="L39" s="6">
        <f t="shared" si="37"/>
        <v>341.61159400000008</v>
      </c>
      <c r="M39" s="6">
        <f t="shared" si="37"/>
        <v>301.22231699999986</v>
      </c>
      <c r="N39" s="6">
        <f t="shared" si="37"/>
        <v>308.06841899999972</v>
      </c>
      <c r="O39" s="6">
        <f t="shared" si="37"/>
        <v>342.56363699999997</v>
      </c>
      <c r="P39" s="6">
        <f t="shared" si="37"/>
        <v>371.62675100000013</v>
      </c>
      <c r="Q39" s="6">
        <f t="shared" si="37"/>
        <v>471.99203100000022</v>
      </c>
      <c r="R39" s="6">
        <f t="shared" si="37"/>
        <v>476.13678300000038</v>
      </c>
      <c r="S39" s="6">
        <f t="shared" si="37"/>
        <v>521.70116499999983</v>
      </c>
      <c r="T39" s="6">
        <f t="shared" si="37"/>
        <v>555.56800299999963</v>
      </c>
      <c r="U39" s="6">
        <f t="shared" si="37"/>
        <v>724.3187900000006</v>
      </c>
      <c r="V39" s="6">
        <f t="shared" si="37"/>
        <v>658.99089999999978</v>
      </c>
      <c r="W39" s="6">
        <f t="shared" si="37"/>
        <v>544.94957599999987</v>
      </c>
      <c r="X39" s="6">
        <f t="shared" si="37"/>
        <v>633.18237899999997</v>
      </c>
      <c r="Y39" s="6">
        <f t="shared" si="37"/>
        <v>515.90112899999986</v>
      </c>
      <c r="Z39" s="6">
        <f t="shared" si="37"/>
        <v>520.5659169999999</v>
      </c>
      <c r="AA39" s="6">
        <f t="shared" si="37"/>
        <v>537.60829400000011</v>
      </c>
      <c r="AB39" s="6">
        <f t="shared" si="37"/>
        <v>500.65587200000004</v>
      </c>
      <c r="AC39" s="6">
        <f t="shared" si="37"/>
        <v>481.5915040000001</v>
      </c>
      <c r="AD39" s="6">
        <f>AD36-SUM(AD37:AD38)</f>
        <v>522.03900000000056</v>
      </c>
      <c r="AE39" s="6">
        <f>AE36-SUM(AE37:AE38)</f>
        <v>547.3389999999996</v>
      </c>
      <c r="AF39" s="224">
        <v>550</v>
      </c>
      <c r="AG39" s="224">
        <v>550</v>
      </c>
      <c r="AJ39" s="223">
        <v>10</v>
      </c>
      <c r="AK39" s="223">
        <v>10</v>
      </c>
      <c r="AL39" s="223">
        <v>10</v>
      </c>
    </row>
    <row r="40" spans="1:40">
      <c r="A40" s="3" t="s">
        <v>9</v>
      </c>
      <c r="B40" s="6">
        <f>B314</f>
        <v>589.49599999999998</v>
      </c>
      <c r="C40" s="6">
        <f>C314</f>
        <v>767.02700000000004</v>
      </c>
      <c r="D40" s="6">
        <f>D314</f>
        <v>1325.5340000000001</v>
      </c>
      <c r="E40" s="6">
        <f t="shared" ref="E40:AC40" si="38">E314</f>
        <v>1376.473</v>
      </c>
      <c r="F40" s="6">
        <f t="shared" si="38"/>
        <v>1749.9719999999998</v>
      </c>
      <c r="G40" s="6">
        <f t="shared" si="38"/>
        <v>1558.482</v>
      </c>
      <c r="H40" s="6">
        <f t="shared" si="38"/>
        <v>1878.6490000000001</v>
      </c>
      <c r="I40" s="6">
        <f t="shared" si="38"/>
        <v>1573.8069999999998</v>
      </c>
      <c r="J40" s="6">
        <f t="shared" si="38"/>
        <v>1005.52</v>
      </c>
      <c r="K40" s="6">
        <f t="shared" si="38"/>
        <v>1036.5206169999999</v>
      </c>
      <c r="L40" s="6">
        <f t="shared" si="38"/>
        <v>1016.2491899999999</v>
      </c>
      <c r="M40" s="6">
        <f t="shared" si="38"/>
        <v>936.89883100000009</v>
      </c>
      <c r="N40" s="6">
        <f t="shared" si="38"/>
        <v>1218.0582400000003</v>
      </c>
      <c r="O40" s="6">
        <f t="shared" si="38"/>
        <v>1233.24685</v>
      </c>
      <c r="P40" s="6">
        <f t="shared" si="38"/>
        <v>861.27373100000011</v>
      </c>
      <c r="Q40" s="6">
        <f t="shared" si="38"/>
        <v>1165.6748329999998</v>
      </c>
      <c r="R40" s="6">
        <f t="shared" si="38"/>
        <v>961.74273199999993</v>
      </c>
      <c r="S40" s="6">
        <f t="shared" si="38"/>
        <v>575.13988299999994</v>
      </c>
      <c r="T40" s="6">
        <f t="shared" si="38"/>
        <v>920.189302</v>
      </c>
      <c r="U40" s="6">
        <f t="shared" si="38"/>
        <v>790.22593300000005</v>
      </c>
      <c r="V40" s="6">
        <f t="shared" si="38"/>
        <v>445.97304699999995</v>
      </c>
      <c r="W40" s="6">
        <f t="shared" si="38"/>
        <v>348.77597199999991</v>
      </c>
      <c r="X40" s="6">
        <f t="shared" si="38"/>
        <v>439.16709000000003</v>
      </c>
      <c r="Y40" s="6">
        <f t="shared" si="38"/>
        <v>617.05000900000005</v>
      </c>
      <c r="Z40" s="6">
        <f t="shared" si="38"/>
        <v>764.52255000000014</v>
      </c>
      <c r="AA40" s="6">
        <f t="shared" si="38"/>
        <v>711.31979799999999</v>
      </c>
      <c r="AB40" s="6">
        <f t="shared" si="38"/>
        <v>951.51580100000001</v>
      </c>
      <c r="AC40" s="6">
        <f t="shared" si="38"/>
        <v>571.39935200000002</v>
      </c>
      <c r="AD40" s="6">
        <f>AD314</f>
        <v>778.20499999999981</v>
      </c>
      <c r="AE40" s="6">
        <f>AE314</f>
        <v>933.85500000000013</v>
      </c>
      <c r="AF40" s="224">
        <f t="shared" ref="AF40" si="39">AF41-AF36</f>
        <v>1050.9773568998864</v>
      </c>
      <c r="AG40" s="224">
        <f>AG41-AG36</f>
        <v>1264.3166908804058</v>
      </c>
      <c r="AJ40" s="223">
        <v>873</v>
      </c>
      <c r="AK40" s="223">
        <v>975</v>
      </c>
      <c r="AL40" s="223">
        <v>900</v>
      </c>
    </row>
    <row r="41" spans="1:40">
      <c r="A41" s="221" t="s">
        <v>12</v>
      </c>
      <c r="B41" s="13">
        <f>B35-B42</f>
        <v>1179.9649999999999</v>
      </c>
      <c r="C41" s="13">
        <f t="shared" ref="C41:AB41" si="40">C35-C42</f>
        <v>1343.336</v>
      </c>
      <c r="D41" s="13">
        <f t="shared" si="40"/>
        <v>1968.5430000000001</v>
      </c>
      <c r="E41" s="13">
        <f t="shared" si="40"/>
        <v>1967.559</v>
      </c>
      <c r="F41" s="13">
        <f t="shared" si="40"/>
        <v>2236.9060000000004</v>
      </c>
      <c r="G41" s="13">
        <f t="shared" si="40"/>
        <v>2040.2540000000006</v>
      </c>
      <c r="H41" s="13">
        <f t="shared" si="40"/>
        <v>2392.2759999999998</v>
      </c>
      <c r="I41" s="13">
        <f t="shared" si="40"/>
        <v>2112.4079999999999</v>
      </c>
      <c r="J41" s="13">
        <f t="shared" si="40"/>
        <v>1416.8869999999999</v>
      </c>
      <c r="K41" s="13">
        <f t="shared" si="40"/>
        <v>1292.071248</v>
      </c>
      <c r="L41" s="13">
        <f t="shared" si="40"/>
        <v>1369.860784</v>
      </c>
      <c r="M41" s="13">
        <f t="shared" si="40"/>
        <v>1250.1211479999999</v>
      </c>
      <c r="N41" s="13">
        <f t="shared" si="40"/>
        <v>1538.126659</v>
      </c>
      <c r="O41" s="13">
        <f t="shared" si="40"/>
        <v>1587.810487</v>
      </c>
      <c r="P41" s="13">
        <f t="shared" si="40"/>
        <v>1244.9004820000002</v>
      </c>
      <c r="Q41" s="13">
        <f t="shared" si="40"/>
        <v>1654.666864</v>
      </c>
      <c r="R41" s="13">
        <f t="shared" si="40"/>
        <v>1460.8795150000003</v>
      </c>
      <c r="S41" s="13">
        <f t="shared" si="40"/>
        <v>1118.8410479999998</v>
      </c>
      <c r="T41" s="13">
        <f t="shared" si="40"/>
        <v>1497.7573049999996</v>
      </c>
      <c r="U41" s="13">
        <f t="shared" si="40"/>
        <v>1536.5447230000007</v>
      </c>
      <c r="V41" s="13">
        <f t="shared" si="40"/>
        <v>1126.9639469999997</v>
      </c>
      <c r="W41" s="13">
        <f t="shared" si="40"/>
        <v>915.72554799999978</v>
      </c>
      <c r="X41" s="13">
        <f t="shared" si="40"/>
        <v>1095.349469</v>
      </c>
      <c r="Y41" s="13">
        <f t="shared" si="40"/>
        <v>1154.9511379999999</v>
      </c>
      <c r="Z41" s="13">
        <f t="shared" si="40"/>
        <v>1307.088467</v>
      </c>
      <c r="AA41" s="13">
        <f t="shared" si="40"/>
        <v>1260.9280920000001</v>
      </c>
      <c r="AB41" s="13">
        <f t="shared" si="40"/>
        <v>1464.1716730000001</v>
      </c>
      <c r="AC41" s="13">
        <f>AC35-AC42</f>
        <v>1064.9908560000001</v>
      </c>
      <c r="AD41" s="13">
        <f>AD35-AD42</f>
        <v>1312.2440000000004</v>
      </c>
      <c r="AE41" s="13">
        <f>AE35-AE42</f>
        <v>1493.1939999999997</v>
      </c>
      <c r="AF41" s="222">
        <f t="shared" ref="AF41:AG41" si="41">AF35-AF42</f>
        <v>1612.9773568998864</v>
      </c>
      <c r="AG41" s="222">
        <f t="shared" si="41"/>
        <v>1826.3166908804058</v>
      </c>
    </row>
    <row r="42" spans="1:40">
      <c r="A42" s="3" t="s">
        <v>219</v>
      </c>
      <c r="B42" s="6">
        <f>B345</f>
        <v>89.367999999999995</v>
      </c>
      <c r="C42" s="6">
        <f t="shared" ref="C42:AE42" si="42">C345</f>
        <v>105.99299999999999</v>
      </c>
      <c r="D42" s="6">
        <f t="shared" si="42"/>
        <v>112.25</v>
      </c>
      <c r="E42" s="6">
        <f t="shared" si="42"/>
        <v>178.71299999999999</v>
      </c>
      <c r="F42" s="6">
        <f t="shared" si="42"/>
        <v>121.607</v>
      </c>
      <c r="G42" s="6">
        <f t="shared" si="42"/>
        <v>103.389</v>
      </c>
      <c r="H42" s="6">
        <f t="shared" si="42"/>
        <v>182.703</v>
      </c>
      <c r="I42" s="6">
        <f t="shared" si="42"/>
        <v>228.62299999999999</v>
      </c>
      <c r="J42" s="6">
        <f t="shared" si="42"/>
        <v>117.61199999999999</v>
      </c>
      <c r="K42" s="6">
        <f t="shared" si="42"/>
        <v>96.757000000000005</v>
      </c>
      <c r="L42" s="6">
        <f t="shared" si="42"/>
        <v>126.755</v>
      </c>
      <c r="M42" s="6">
        <f t="shared" si="42"/>
        <v>82.284999999999997</v>
      </c>
      <c r="N42" s="6">
        <f t="shared" si="42"/>
        <v>68.605999999999995</v>
      </c>
      <c r="O42" s="6">
        <f t="shared" si="42"/>
        <v>60.448</v>
      </c>
      <c r="P42" s="6">
        <f t="shared" si="42"/>
        <v>41.21</v>
      </c>
      <c r="Q42" s="6">
        <f t="shared" si="42"/>
        <v>126.634</v>
      </c>
      <c r="R42" s="6">
        <f t="shared" si="42"/>
        <v>84.733999999999995</v>
      </c>
      <c r="S42" s="6">
        <f t="shared" si="42"/>
        <v>93.608000000000004</v>
      </c>
      <c r="T42" s="6">
        <f t="shared" si="42"/>
        <v>85.572000000000003</v>
      </c>
      <c r="U42" s="6">
        <f t="shared" si="42"/>
        <v>90.608000000000004</v>
      </c>
      <c r="V42" s="6">
        <f t="shared" si="42"/>
        <v>38.372</v>
      </c>
      <c r="W42" s="6">
        <f t="shared" si="42"/>
        <v>54.393999999999998</v>
      </c>
      <c r="X42" s="6">
        <f t="shared" si="42"/>
        <v>68.173000000000002</v>
      </c>
      <c r="Y42" s="6">
        <f t="shared" si="42"/>
        <v>44.66</v>
      </c>
      <c r="Z42" s="6">
        <f t="shared" si="42"/>
        <v>54.835000000000001</v>
      </c>
      <c r="AA42" s="6">
        <f t="shared" si="42"/>
        <v>100.69799999999999</v>
      </c>
      <c r="AB42" s="6">
        <f t="shared" si="42"/>
        <v>51.04</v>
      </c>
      <c r="AC42" s="6">
        <f t="shared" si="42"/>
        <v>53.648000000000003</v>
      </c>
      <c r="AD42" s="6">
        <f t="shared" si="42"/>
        <v>80.444000000000003</v>
      </c>
      <c r="AE42" s="6">
        <f t="shared" si="42"/>
        <v>84.965999999999994</v>
      </c>
      <c r="AF42" s="224">
        <v>90</v>
      </c>
      <c r="AG42" s="224">
        <v>90</v>
      </c>
      <c r="AJ42" s="223">
        <v>282</v>
      </c>
      <c r="AK42" s="223">
        <v>318</v>
      </c>
      <c r="AL42" s="223">
        <v>288</v>
      </c>
    </row>
    <row r="43" spans="1:40" ht="15.75" thickBot="1">
      <c r="A43" s="3" t="s">
        <v>225</v>
      </c>
    </row>
    <row r="44" spans="1:40">
      <c r="A44" s="232" t="s">
        <v>227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</row>
    <row r="45" spans="1:40">
      <c r="A45" s="234"/>
      <c r="B45" s="234">
        <v>1993</v>
      </c>
      <c r="C45" s="234">
        <v>1994</v>
      </c>
      <c r="D45" s="234">
        <v>1995</v>
      </c>
      <c r="E45" s="234">
        <v>1996</v>
      </c>
      <c r="F45" s="234">
        <v>1997</v>
      </c>
      <c r="G45" s="234">
        <v>1998</v>
      </c>
      <c r="H45" s="234">
        <v>1999</v>
      </c>
      <c r="I45" s="234">
        <v>2000</v>
      </c>
      <c r="J45" s="234">
        <v>2001</v>
      </c>
      <c r="K45" s="234">
        <v>2002</v>
      </c>
      <c r="L45" s="234">
        <v>2003</v>
      </c>
      <c r="M45" s="234">
        <v>2004</v>
      </c>
      <c r="N45" s="234">
        <v>2005</v>
      </c>
      <c r="O45" s="234">
        <v>2006</v>
      </c>
      <c r="P45" s="234">
        <v>2007</v>
      </c>
      <c r="Q45" s="234">
        <v>2008</v>
      </c>
      <c r="R45" s="234">
        <v>2009</v>
      </c>
      <c r="S45" s="234">
        <v>2010</v>
      </c>
      <c r="T45" s="234">
        <v>2011</v>
      </c>
      <c r="U45" s="234">
        <v>2012</v>
      </c>
      <c r="V45" s="234">
        <v>2013</v>
      </c>
      <c r="W45" s="234">
        <v>2014</v>
      </c>
      <c r="X45" s="234">
        <v>2015</v>
      </c>
      <c r="Y45" s="234">
        <v>2016</v>
      </c>
      <c r="Z45" s="234">
        <v>2017</v>
      </c>
      <c r="AA45" s="234">
        <v>2018</v>
      </c>
      <c r="AB45" s="234">
        <v>2019</v>
      </c>
      <c r="AC45" s="234">
        <v>2020</v>
      </c>
      <c r="AD45" s="234">
        <v>2021</v>
      </c>
      <c r="AE45" s="234">
        <v>2022</v>
      </c>
      <c r="AF45" s="234">
        <v>2023</v>
      </c>
      <c r="AG45" s="234">
        <v>2023</v>
      </c>
      <c r="AH45" s="234">
        <v>2025</v>
      </c>
      <c r="AI45" s="234"/>
    </row>
    <row r="46" spans="1:40" ht="15.75" thickBot="1">
      <c r="A46" s="235" t="s">
        <v>228</v>
      </c>
    </row>
    <row r="47" spans="1:40" ht="15.75" thickBot="1">
      <c r="A47" s="236"/>
      <c r="B47" s="237">
        <f>B$2</f>
        <v>1993</v>
      </c>
      <c r="C47" s="237">
        <f t="shared" ref="C47:AG47" si="43">C$2</f>
        <v>1994</v>
      </c>
      <c r="D47" s="237">
        <f t="shared" si="43"/>
        <v>1995</v>
      </c>
      <c r="E47" s="237">
        <f t="shared" si="43"/>
        <v>1996</v>
      </c>
      <c r="F47" s="237">
        <f t="shared" si="43"/>
        <v>1997</v>
      </c>
      <c r="G47" s="237">
        <f t="shared" si="43"/>
        <v>1998</v>
      </c>
      <c r="H47" s="237">
        <f t="shared" si="43"/>
        <v>1999</v>
      </c>
      <c r="I47" s="237">
        <f t="shared" si="43"/>
        <v>2000</v>
      </c>
      <c r="J47" s="237">
        <f t="shared" si="43"/>
        <v>2001</v>
      </c>
      <c r="K47" s="237">
        <f t="shared" si="43"/>
        <v>2002</v>
      </c>
      <c r="L47" s="237">
        <f t="shared" si="43"/>
        <v>2003</v>
      </c>
      <c r="M47" s="237">
        <f t="shared" si="43"/>
        <v>2004</v>
      </c>
      <c r="N47" s="237">
        <f t="shared" si="43"/>
        <v>2005</v>
      </c>
      <c r="O47" s="237">
        <f t="shared" si="43"/>
        <v>2006</v>
      </c>
      <c r="P47" s="237">
        <f t="shared" si="43"/>
        <v>2007</v>
      </c>
      <c r="Q47" s="237">
        <f t="shared" si="43"/>
        <v>2008</v>
      </c>
      <c r="R47" s="237">
        <f t="shared" si="43"/>
        <v>2009</v>
      </c>
      <c r="S47" s="237">
        <f t="shared" si="43"/>
        <v>2010</v>
      </c>
      <c r="T47" s="237">
        <f t="shared" si="43"/>
        <v>2011</v>
      </c>
      <c r="U47" s="237">
        <f t="shared" si="43"/>
        <v>2012</v>
      </c>
      <c r="V47" s="237">
        <f t="shared" si="43"/>
        <v>2013</v>
      </c>
      <c r="W47" s="237">
        <f t="shared" si="43"/>
        <v>2014</v>
      </c>
      <c r="X47" s="237">
        <f t="shared" si="43"/>
        <v>2015</v>
      </c>
      <c r="Y47" s="237">
        <f t="shared" si="43"/>
        <v>2016</v>
      </c>
      <c r="Z47" s="237">
        <f t="shared" si="43"/>
        <v>2017</v>
      </c>
      <c r="AA47" s="237">
        <f t="shared" si="43"/>
        <v>2018</v>
      </c>
      <c r="AB47" s="237">
        <f t="shared" si="43"/>
        <v>2019</v>
      </c>
      <c r="AC47" s="237">
        <f t="shared" si="43"/>
        <v>2020</v>
      </c>
      <c r="AD47" s="237">
        <f t="shared" si="43"/>
        <v>2021</v>
      </c>
      <c r="AE47" s="237">
        <f t="shared" si="43"/>
        <v>2022</v>
      </c>
      <c r="AF47" s="237">
        <f t="shared" si="43"/>
        <v>2023</v>
      </c>
      <c r="AG47" s="237">
        <f t="shared" si="43"/>
        <v>2024</v>
      </c>
      <c r="AI47" s="238" t="s">
        <v>229</v>
      </c>
      <c r="AJ47" s="239" t="s">
        <v>230</v>
      </c>
    </row>
    <row r="48" spans="1:40">
      <c r="A48" s="240" t="s">
        <v>231</v>
      </c>
      <c r="B48" s="241">
        <f t="shared" ref="B48:I59" si="44">(SUM(K48:O48)/SUM(K$60:O$60))*B$60</f>
        <v>0</v>
      </c>
      <c r="C48" s="241">
        <f t="shared" si="44"/>
        <v>0</v>
      </c>
      <c r="D48" s="241">
        <f t="shared" si="44"/>
        <v>0</v>
      </c>
      <c r="E48" s="241">
        <f t="shared" si="44"/>
        <v>0</v>
      </c>
      <c r="F48" s="241">
        <f t="shared" si="44"/>
        <v>0.6406409499985608</v>
      </c>
      <c r="G48" s="241">
        <f t="shared" si="44"/>
        <v>0.26638532714982072</v>
      </c>
      <c r="H48" s="241">
        <f t="shared" si="44"/>
        <v>6.2352936878633317E-3</v>
      </c>
      <c r="I48" s="241">
        <f t="shared" si="44"/>
        <v>2.3816151480552392E-3</v>
      </c>
      <c r="J48" s="241">
        <f>(SUM(S48:W48)/SUM(S$60:W$60))*J$60</f>
        <v>0</v>
      </c>
      <c r="K48" s="242">
        <f>'[2]Argentina Sunflower Imports'!EA$290</f>
        <v>1.15E-4</v>
      </c>
      <c r="L48" s="242">
        <f>'[2]Argentina Sunflower Imports'!EM$290</f>
        <v>6.0000000000000002E-6</v>
      </c>
      <c r="M48" s="242">
        <f>'[2]Argentina Sunflower Imports'!EY$290</f>
        <v>9.9999999999999995E-7</v>
      </c>
      <c r="N48" s="242">
        <f>'[2]Argentina Sunflower Imports'!FK$290</f>
        <v>2.198E-2</v>
      </c>
      <c r="O48" s="242">
        <f>'[2]Argentina Sunflower Imports'!FW$290</f>
        <v>3.4E-5</v>
      </c>
      <c r="P48" s="242">
        <f>'[2]Argentina Sunflower Imports'!GI$290</f>
        <v>8.5254250000000003</v>
      </c>
      <c r="Q48" s="242">
        <f>'[2]Argentina Sunflower Imports'!GU$290</f>
        <v>7.4455369999999998</v>
      </c>
      <c r="R48" s="242">
        <f>'[2]Argentina Sunflower Imports'!HG$290</f>
        <v>27.534269999999999</v>
      </c>
      <c r="S48" s="242">
        <f>'[2]Argentina Sunflower Imports'!HS$290</f>
        <v>9.0561170000000004</v>
      </c>
      <c r="T48" s="242">
        <f>'[2]Argentina Sunflower Imports'!IE$290</f>
        <v>5.5000000000000002E-5</v>
      </c>
      <c r="U48" s="242">
        <f>'[2]Argentina Sunflower Imports'!IQ$290</f>
        <v>6.9999999999999999E-6</v>
      </c>
      <c r="V48" s="242">
        <f>'[2]Argentina Sunflower Imports'!JC$290</f>
        <v>0.39124300000000001</v>
      </c>
      <c r="W48" s="242">
        <f>'[2]Argentina Sunflower Imports'!JO$290</f>
        <v>1.6000000000000001E-4</v>
      </c>
      <c r="X48" s="242">
        <f>'[2]Argentina Sunflower Imports'!KA$290</f>
        <v>0.13184100000000001</v>
      </c>
      <c r="Y48" s="242">
        <f>'[2]Argentina Sunflower Imports'!KM$290</f>
        <v>0</v>
      </c>
      <c r="Z48" s="242">
        <f>'[2]Argentina Sunflower Imports'!KY$290</f>
        <v>1.8322999999999999E-2</v>
      </c>
      <c r="AA48" s="242">
        <f>'[2]Argentina Sunflower Imports'!LK$290</f>
        <v>0</v>
      </c>
      <c r="AB48" s="242">
        <f>'[2]Argentina Sunflower Imports'!LW$290</f>
        <v>0</v>
      </c>
      <c r="AC48" s="242">
        <f>'[2]Argentina Sunflower Imports'!MI$290</f>
        <v>3.6284999999999998E-2</v>
      </c>
      <c r="AD48" s="242">
        <f>'[2]Argentina Sunflower Imports'!MU$290</f>
        <v>5.2999999999999999E-2</v>
      </c>
      <c r="AE48" s="242">
        <f>'[2]Argentina Sunflower Imports'!NG$290</f>
        <v>2.1000000000000001E-2</v>
      </c>
      <c r="AF48" s="242">
        <f>'[2]Argentina Sunflower Imports'!NS$290</f>
        <v>0</v>
      </c>
      <c r="AG48" s="243">
        <f t="shared" ref="AF48:AG58" si="45">(SUM(AA48:AE48)/SUM(AA$60:AE$60))*AG$60</f>
        <v>4.5348028696089462E-2</v>
      </c>
      <c r="AN48" s="244">
        <f t="shared" ref="AN48:AN59" si="46">SUM(R48:V48)/SUM(R$60:V$60)</f>
        <v>0.14009500870913172</v>
      </c>
    </row>
    <row r="49" spans="1:40">
      <c r="A49" s="240" t="s">
        <v>232</v>
      </c>
      <c r="B49" s="241">
        <f t="shared" si="44"/>
        <v>0</v>
      </c>
      <c r="C49" s="241">
        <f t="shared" si="44"/>
        <v>0</v>
      </c>
      <c r="D49" s="241">
        <f t="shared" si="44"/>
        <v>0</v>
      </c>
      <c r="E49" s="241">
        <f t="shared" si="44"/>
        <v>0</v>
      </c>
      <c r="F49" s="241">
        <f t="shared" si="44"/>
        <v>1.6448243964785592</v>
      </c>
      <c r="G49" s="241">
        <f t="shared" si="44"/>
        <v>0.61369681616898797</v>
      </c>
      <c r="H49" s="241">
        <f t="shared" si="44"/>
        <v>1.4530592652138187E-2</v>
      </c>
      <c r="I49" s="241">
        <f t="shared" si="44"/>
        <v>5.9993498570702335E-3</v>
      </c>
      <c r="J49" s="241">
        <f t="shared" ref="J49:J59" si="47">(SUM(S49:W49)/SUM(S$60:W$60))*J$60</f>
        <v>0</v>
      </c>
      <c r="K49" s="242">
        <f>'[2]Argentina Sunflower Imports'!EB$290</f>
        <v>1.2E-5</v>
      </c>
      <c r="L49" s="242">
        <f>'[2]Argentina Sunflower Imports'!EN$290</f>
        <v>1.2E-5</v>
      </c>
      <c r="M49" s="242">
        <f>'[2]Argentina Sunflower Imports'!EZ$290</f>
        <v>3.0616000000000001E-2</v>
      </c>
      <c r="N49" s="242">
        <f>'[2]Argentina Sunflower Imports'!FL$290</f>
        <v>0</v>
      </c>
      <c r="O49" s="242">
        <f>'[2]Argentina Sunflower Imports'!FX$290</f>
        <v>18.615801999999999</v>
      </c>
      <c r="P49" s="242">
        <f>'[2]Argentina Sunflower Imports'!GJ$290</f>
        <v>18.470123999999998</v>
      </c>
      <c r="Q49" s="242">
        <f>'[2]Argentina Sunflower Imports'!GV$290</f>
        <v>10.992668999999999</v>
      </c>
      <c r="R49" s="242">
        <f>'[2]Argentina Sunflower Imports'!HH$290</f>
        <v>72.089642999999995</v>
      </c>
      <c r="S49" s="242">
        <f>'[2]Argentina Sunflower Imports'!HT$290</f>
        <v>14.781370000000001</v>
      </c>
      <c r="T49" s="242">
        <f>'[2]Argentina Sunflower Imports'!IF$290</f>
        <v>4.7568210000000004</v>
      </c>
      <c r="U49" s="242">
        <f>'[2]Argentina Sunflower Imports'!IR$290</f>
        <v>0</v>
      </c>
      <c r="V49" s="242">
        <f>'[2]Argentina Sunflower Imports'!JD$290</f>
        <v>1.53</v>
      </c>
      <c r="W49" s="242">
        <f>'[2]Argentina Sunflower Imports'!JP$290</f>
        <v>0.14157600000000001</v>
      </c>
      <c r="X49" s="242">
        <f>'[2]Argentina Sunflower Imports'!KB$290</f>
        <v>0</v>
      </c>
      <c r="Y49" s="242">
        <f>'[2]Argentina Sunflower Imports'!KN$290</f>
        <v>0</v>
      </c>
      <c r="Z49" s="242">
        <f>'[2]Argentina Sunflower Imports'!KZ$290</f>
        <v>3.0905999999999999E-2</v>
      </c>
      <c r="AA49" s="242">
        <f>'[2]Argentina Sunflower Imports'!LL$290</f>
        <v>0</v>
      </c>
      <c r="AB49" s="242">
        <f>'[2]Argentina Sunflower Imports'!LX$290</f>
        <v>0</v>
      </c>
      <c r="AC49" s="242">
        <f>'[2]Argentina Sunflower Imports'!MJ$290</f>
        <v>1.9999999999999999E-6</v>
      </c>
      <c r="AD49" s="242">
        <f>'[2]Argentina Sunflower Imports'!MV$290</f>
        <v>0</v>
      </c>
      <c r="AE49" s="242">
        <f>'[2]Argentina Sunflower Imports'!NH$290</f>
        <v>4.3999999999999997E-2</v>
      </c>
      <c r="AF49" s="242">
        <f>'[2]Argentina Sunflower Imports'!NT$290</f>
        <v>0</v>
      </c>
      <c r="AG49" s="243">
        <f t="shared" si="45"/>
        <v>1.8093158259829788E-2</v>
      </c>
      <c r="AN49" s="244">
        <f t="shared" si="46"/>
        <v>0.35290293276883722</v>
      </c>
    </row>
    <row r="50" spans="1:40">
      <c r="A50" s="240" t="s">
        <v>233</v>
      </c>
      <c r="B50" s="241">
        <f t="shared" si="44"/>
        <v>0</v>
      </c>
      <c r="C50" s="241">
        <f t="shared" si="44"/>
        <v>0</v>
      </c>
      <c r="D50" s="241">
        <f t="shared" si="44"/>
        <v>0</v>
      </c>
      <c r="E50" s="241">
        <f t="shared" si="44"/>
        <v>0</v>
      </c>
      <c r="F50" s="241">
        <f t="shared" si="44"/>
        <v>0.5463694215600774</v>
      </c>
      <c r="G50" s="241">
        <f t="shared" si="44"/>
        <v>0.24800226065760267</v>
      </c>
      <c r="H50" s="241">
        <f t="shared" si="44"/>
        <v>6.8584644521030589E-3</v>
      </c>
      <c r="I50" s="241">
        <f t="shared" si="44"/>
        <v>3.2263623748843653E-3</v>
      </c>
      <c r="J50" s="241">
        <f t="shared" si="47"/>
        <v>0</v>
      </c>
      <c r="K50" s="242">
        <f>'[2]Argentina Sunflower Imports'!EC$290</f>
        <v>3.0000000000000001E-6</v>
      </c>
      <c r="L50" s="242">
        <f>'[2]Argentina Sunflower Imports'!EO$290</f>
        <v>8.3799999999999999E-2</v>
      </c>
      <c r="M50" s="242">
        <f>'[2]Argentina Sunflower Imports'!FA$290</f>
        <v>1.4969E-2</v>
      </c>
      <c r="N50" s="242">
        <f>'[2]Argentina Sunflower Imports'!FM$290</f>
        <v>1.6799999999999999E-4</v>
      </c>
      <c r="O50" s="242">
        <f>'[2]Argentina Sunflower Imports'!FY$290</f>
        <v>4.2181000000000003E-2</v>
      </c>
      <c r="P50" s="242">
        <f>'[2]Argentina Sunflower Imports'!GK$290</f>
        <v>0.50000599999999995</v>
      </c>
      <c r="Q50" s="242">
        <f>'[2]Argentina Sunflower Imports'!GW$290</f>
        <v>1.35E-4</v>
      </c>
      <c r="R50" s="242">
        <f>'[2]Argentina Sunflower Imports'!HI$290</f>
        <v>42.319468000000001</v>
      </c>
      <c r="S50" s="242">
        <f>'[2]Argentina Sunflower Imports'!HU$290</f>
        <v>1.9650860000000001</v>
      </c>
      <c r="T50" s="242">
        <f>'[2]Argentina Sunflower Imports'!IG$290</f>
        <v>4.149483</v>
      </c>
      <c r="U50" s="242">
        <f>'[2]Argentina Sunflower Imports'!IS$290</f>
        <v>2.8800000000000002E-3</v>
      </c>
      <c r="V50" s="242">
        <f>'[2]Argentina Sunflower Imports'!JE$290</f>
        <v>1.6619999999999999</v>
      </c>
      <c r="W50" s="242">
        <f>'[2]Argentina Sunflower Imports'!JQ$290</f>
        <v>1.5100000000000001E-4</v>
      </c>
      <c r="X50" s="242">
        <f>'[2]Argentina Sunflower Imports'!KC$290</f>
        <v>0.39568399999999998</v>
      </c>
      <c r="Y50" s="242">
        <f>'[2]Argentina Sunflower Imports'!KO$290</f>
        <v>0</v>
      </c>
      <c r="Z50" s="242">
        <f>'[2]Argentina Sunflower Imports'!LA$290</f>
        <v>1.9816E-2</v>
      </c>
      <c r="AA50" s="242">
        <f>'[2]Argentina Sunflower Imports'!LM$290</f>
        <v>0</v>
      </c>
      <c r="AB50" s="242">
        <f>'[2]Argentina Sunflower Imports'!LY$290</f>
        <v>7.0917999999999995E-2</v>
      </c>
      <c r="AC50" s="242">
        <f>'[2]Argentina Sunflower Imports'!MK$290</f>
        <v>0</v>
      </c>
      <c r="AD50" s="242">
        <f>'[2]Argentina Sunflower Imports'!MW$290</f>
        <v>0</v>
      </c>
      <c r="AE50" s="242">
        <f>'[2]Argentina Sunflower Imports'!NI$290</f>
        <v>2.5999999999999999E-2</v>
      </c>
      <c r="AF50" s="242">
        <f>'[2]Argentina Sunflower Imports'!NU$290</f>
        <v>4.8000000000000001E-2</v>
      </c>
      <c r="AG50" s="243">
        <f t="shared" si="45"/>
        <v>3.985165929335447E-2</v>
      </c>
      <c r="AN50" s="244">
        <f t="shared" si="46"/>
        <v>0.18978602205202147</v>
      </c>
    </row>
    <row r="51" spans="1:40">
      <c r="A51" s="240" t="s">
        <v>234</v>
      </c>
      <c r="B51" s="241">
        <f t="shared" si="44"/>
        <v>0</v>
      </c>
      <c r="C51" s="241">
        <f t="shared" si="44"/>
        <v>0</v>
      </c>
      <c r="D51" s="241">
        <f t="shared" si="44"/>
        <v>0</v>
      </c>
      <c r="E51" s="241">
        <f t="shared" si="44"/>
        <v>0</v>
      </c>
      <c r="F51" s="241">
        <f t="shared" si="44"/>
        <v>0.48056950219382844</v>
      </c>
      <c r="G51" s="241">
        <f t="shared" si="44"/>
        <v>0.19981894263885241</v>
      </c>
      <c r="H51" s="241">
        <f t="shared" si="44"/>
        <v>5.590139102768764E-3</v>
      </c>
      <c r="I51" s="241">
        <f t="shared" si="44"/>
        <v>2.1647661300770761E-3</v>
      </c>
      <c r="J51" s="241">
        <f t="shared" si="47"/>
        <v>0</v>
      </c>
      <c r="K51" s="242">
        <f>'[2]Argentina Sunflower Imports'!ED$290</f>
        <v>0.58022600000000002</v>
      </c>
      <c r="L51" s="242">
        <f>'[2]Argentina Sunflower Imports'!EP$290</f>
        <v>0.456617</v>
      </c>
      <c r="M51" s="242">
        <f>'[2]Argentina Sunflower Imports'!FB$290</f>
        <v>0.184505</v>
      </c>
      <c r="N51" s="242">
        <f>'[2]Argentina Sunflower Imports'!FN$290</f>
        <v>6.4380999999999994E-2</v>
      </c>
      <c r="O51" s="242">
        <f>'[2]Argentina Sunflower Imports'!FZ$290</f>
        <v>1.485E-3</v>
      </c>
      <c r="P51" s="242">
        <f>'[2]Argentina Sunflower Imports'!GL$290</f>
        <v>1.2999999999999999E-3</v>
      </c>
      <c r="Q51" s="242">
        <f>'[2]Argentina Sunflower Imports'!GX$290</f>
        <v>6.6474589999999996</v>
      </c>
      <c r="R51" s="242">
        <f>'[2]Argentina Sunflower Imports'!HJ$290</f>
        <v>24.552699</v>
      </c>
      <c r="S51" s="242">
        <f>'[2]Argentina Sunflower Imports'!HV$290</f>
        <v>8.2253790000000002</v>
      </c>
      <c r="T51" s="242">
        <f>'[2]Argentina Sunflower Imports'!IH$290</f>
        <v>1.25E-4</v>
      </c>
      <c r="U51" s="242">
        <f>'[2]Argentina Sunflower Imports'!IT$290</f>
        <v>5.3999999999999999E-2</v>
      </c>
      <c r="V51" s="242">
        <f>'[2]Argentina Sunflower Imports'!JF$290</f>
        <v>0.78225999999999996</v>
      </c>
      <c r="W51" s="242">
        <f>'[2]Argentina Sunflower Imports'!JR$290</f>
        <v>0</v>
      </c>
      <c r="X51" s="242">
        <f>'[2]Argentina Sunflower Imports'!KD$290</f>
        <v>3.9583E-2</v>
      </c>
      <c r="Y51" s="242">
        <f>'[2]Argentina Sunflower Imports'!KP$290</f>
        <v>0.11380700000000001</v>
      </c>
      <c r="Z51" s="242">
        <f>'[2]Argentina Sunflower Imports'!LB$290</f>
        <v>9.5630000000000003E-3</v>
      </c>
      <c r="AA51" s="242">
        <f>'[2]Argentina Sunflower Imports'!LN$290</f>
        <v>0</v>
      </c>
      <c r="AB51" s="242">
        <f>'[2]Argentina Sunflower Imports'!LZ$290</f>
        <v>0</v>
      </c>
      <c r="AC51" s="242">
        <f>'[2]Argentina Sunflower Imports'!ML$290</f>
        <v>1.8863999999999999E-2</v>
      </c>
      <c r="AD51" s="242">
        <f>'[2]Argentina Sunflower Imports'!MX$290</f>
        <v>8.9999999999999993E-3</v>
      </c>
      <c r="AE51" s="242">
        <f>'[2]Argentina Sunflower Imports'!NJ$290</f>
        <v>7.9000000000000001E-2</v>
      </c>
      <c r="AF51" s="242">
        <f>'[2]Argentina Sunflower Imports'!NV$290</f>
        <v>0</v>
      </c>
      <c r="AG51" s="243">
        <f t="shared" si="45"/>
        <v>4.3941349581347454E-2</v>
      </c>
      <c r="AN51" s="244">
        <f t="shared" si="46"/>
        <v>0.12733918412218093</v>
      </c>
    </row>
    <row r="52" spans="1:40">
      <c r="A52" s="240" t="s">
        <v>46</v>
      </c>
      <c r="B52" s="241">
        <f t="shared" si="44"/>
        <v>0</v>
      </c>
      <c r="C52" s="241">
        <f t="shared" si="44"/>
        <v>0</v>
      </c>
      <c r="D52" s="241">
        <f t="shared" si="44"/>
        <v>0</v>
      </c>
      <c r="E52" s="241">
        <f t="shared" si="44"/>
        <v>0</v>
      </c>
      <c r="F52" s="241">
        <f t="shared" si="44"/>
        <v>0.24052224273427703</v>
      </c>
      <c r="G52" s="241">
        <f t="shared" si="44"/>
        <v>9.9673922230023249E-2</v>
      </c>
      <c r="H52" s="241">
        <f t="shared" si="44"/>
        <v>2.7880651094229552E-3</v>
      </c>
      <c r="I52" s="241">
        <f t="shared" si="44"/>
        <v>1.2162633506556291E-3</v>
      </c>
      <c r="J52" s="241">
        <f t="shared" si="47"/>
        <v>0</v>
      </c>
      <c r="K52" s="242">
        <f>'[2]Argentina Sunflower Imports'!EE$290</f>
        <v>0.944743</v>
      </c>
      <c r="L52" s="242">
        <f>'[2]Argentina Sunflower Imports'!EQ$290</f>
        <v>2.2982849999999999</v>
      </c>
      <c r="M52" s="242">
        <f>'[2]Argentina Sunflower Imports'!FC$290</f>
        <v>0.48319800000000002</v>
      </c>
      <c r="N52" s="242">
        <f>'[2]Argentina Sunflower Imports'!FO$290</f>
        <v>4.1829999999999999E-2</v>
      </c>
      <c r="O52" s="242">
        <f>'[2]Argentina Sunflower Imports'!GA$290</f>
        <v>0.12968499999999999</v>
      </c>
      <c r="P52" s="242">
        <f>'[2]Argentina Sunflower Imports'!GM$290</f>
        <v>3.8247000000000003E-2</v>
      </c>
      <c r="Q52" s="242">
        <f>'[2]Argentina Sunflower Imports'!GY$290</f>
        <v>0.85667000000000004</v>
      </c>
      <c r="R52" s="242">
        <f>'[2]Argentina Sunflower Imports'!HK$290</f>
        <v>17.839255000000001</v>
      </c>
      <c r="S52" s="242">
        <f>'[2]Argentina Sunflower Imports'!HW$290</f>
        <v>0.86978900000000003</v>
      </c>
      <c r="T52" s="242">
        <f>'[2]Argentina Sunflower Imports'!II$290</f>
        <v>6.3043000000000002E-2</v>
      </c>
      <c r="U52" s="242">
        <f>'[2]Argentina Sunflower Imports'!IU$290</f>
        <v>6.1606000000000001E-2</v>
      </c>
      <c r="V52" s="242">
        <f>'[2]Argentina Sunflower Imports'!JG$290</f>
        <v>5.2429999999999997E-2</v>
      </c>
      <c r="W52" s="242">
        <f>'[2]Argentina Sunflower Imports'!JS$290</f>
        <v>0</v>
      </c>
      <c r="X52" s="242">
        <f>'[2]Argentina Sunflower Imports'!KE$290</f>
        <v>3.1404000000000001E-2</v>
      </c>
      <c r="Y52" s="242">
        <f>'[2]Argentina Sunflower Imports'!KQ$290</f>
        <v>1.193E-3</v>
      </c>
      <c r="Z52" s="242">
        <f>'[2]Argentina Sunflower Imports'!LC$290</f>
        <v>4.0002000000000003E-2</v>
      </c>
      <c r="AA52" s="242">
        <f>'[2]Argentina Sunflower Imports'!LO$290</f>
        <v>6.6059000000000007E-2</v>
      </c>
      <c r="AB52" s="242">
        <f>'[2]Argentina Sunflower Imports'!MA$290</f>
        <v>7.0800000000000002E-2</v>
      </c>
      <c r="AC52" s="242">
        <f>'[2]Argentina Sunflower Imports'!MM$290</f>
        <v>0</v>
      </c>
      <c r="AD52" s="242">
        <f>'[2]Argentina Sunflower Imports'!MY$290</f>
        <v>4.9000000000000002E-2</v>
      </c>
      <c r="AE52" s="242">
        <f>'[2]Argentina Sunflower Imports'!NK$290</f>
        <v>3.5999999999999997E-2</v>
      </c>
      <c r="AF52" s="242">
        <f>'[2]Argentina Sunflower Imports'!NW$290</f>
        <v>0.18</v>
      </c>
      <c r="AG52" s="243">
        <f t="shared" si="45"/>
        <v>9.1226080595599682E-2</v>
      </c>
      <c r="AN52" s="244">
        <f t="shared" si="46"/>
        <v>7.1544902979742878E-2</v>
      </c>
    </row>
    <row r="53" spans="1:40">
      <c r="A53" s="240" t="s">
        <v>235</v>
      </c>
      <c r="B53" s="241">
        <f t="shared" si="44"/>
        <v>0</v>
      </c>
      <c r="C53" s="241">
        <f t="shared" si="44"/>
        <v>0</v>
      </c>
      <c r="D53" s="241">
        <f t="shared" si="44"/>
        <v>0</v>
      </c>
      <c r="E53" s="241">
        <f t="shared" si="44"/>
        <v>0</v>
      </c>
      <c r="F53" s="241">
        <f t="shared" si="44"/>
        <v>2.9150358587320808E-2</v>
      </c>
      <c r="G53" s="241">
        <f t="shared" si="44"/>
        <v>9.7532334661667268E-3</v>
      </c>
      <c r="H53" s="241">
        <f t="shared" si="44"/>
        <v>2.504269243340726E-4</v>
      </c>
      <c r="I53" s="241">
        <f t="shared" si="44"/>
        <v>1.055350490461626E-4</v>
      </c>
      <c r="J53" s="241">
        <f t="shared" si="47"/>
        <v>0</v>
      </c>
      <c r="K53" s="242">
        <f>'[2]Argentina Sunflower Imports'!EF$290</f>
        <v>0.24565699999999999</v>
      </c>
      <c r="L53" s="242">
        <f>'[2]Argentina Sunflower Imports'!ER$290</f>
        <v>0.52858099999999997</v>
      </c>
      <c r="M53" s="242">
        <f>'[2]Argentina Sunflower Imports'!FD$290</f>
        <v>0.24490400000000001</v>
      </c>
      <c r="N53" s="242">
        <f>'[2]Argentina Sunflower Imports'!FP$290</f>
        <v>0.13342799999999999</v>
      </c>
      <c r="O53" s="242">
        <f>'[2]Argentina Sunflower Imports'!GB$290</f>
        <v>0.52565600000000001</v>
      </c>
      <c r="P53" s="242">
        <f>'[2]Argentina Sunflower Imports'!GN$290</f>
        <v>0.243837</v>
      </c>
      <c r="Q53" s="242">
        <f>'[2]Argentina Sunflower Imports'!GZ$290</f>
        <v>0.21450900000000001</v>
      </c>
      <c r="R53" s="242">
        <f>'[2]Argentina Sunflower Imports'!HL$290</f>
        <v>0.119737</v>
      </c>
      <c r="S53" s="242">
        <f>'[2]Argentina Sunflower Imports'!HX$290</f>
        <v>1.2879020000000001</v>
      </c>
      <c r="T53" s="242">
        <f>'[2]Argentina Sunflower Imports'!IJ$290</f>
        <v>5.8458999999999997E-2</v>
      </c>
      <c r="U53" s="242">
        <f>'[2]Argentina Sunflower Imports'!IV$290</f>
        <v>8.8001999999999997E-2</v>
      </c>
      <c r="V53" s="242">
        <f>'[2]Argentina Sunflower Imports'!JH$290</f>
        <v>8.4647E-2</v>
      </c>
      <c r="W53" s="242">
        <f>'[2]Argentina Sunflower Imports'!JT$290</f>
        <v>0.34183999999999998</v>
      </c>
      <c r="X53" s="242">
        <f>'[2]Argentina Sunflower Imports'!KF$290</f>
        <v>8.8999999999999995E-5</v>
      </c>
      <c r="Y53" s="242">
        <f>'[2]Argentina Sunflower Imports'!KR$290</f>
        <v>3.0000000000000001E-5</v>
      </c>
      <c r="Z53" s="242">
        <f>'[2]Argentina Sunflower Imports'!LD$290</f>
        <v>2.8042999999999998E-2</v>
      </c>
      <c r="AA53" s="242">
        <f>'[2]Argentina Sunflower Imports'!LP$290</f>
        <v>2.4176E-2</v>
      </c>
      <c r="AB53" s="242">
        <f>'[2]Argentina Sunflower Imports'!MB$290</f>
        <v>0.125584</v>
      </c>
      <c r="AC53" s="242">
        <f>'[2]Argentina Sunflower Imports'!MN$290</f>
        <v>4.7979000000000001E-2</v>
      </c>
      <c r="AD53" s="242">
        <f>'[2]Argentina Sunflower Imports'!MZ$290</f>
        <v>1E-3</v>
      </c>
      <c r="AE53" s="242">
        <f>'[2]Argentina Sunflower Imports'!NL$290</f>
        <v>1E-3</v>
      </c>
      <c r="AF53" s="242">
        <f>'[2]Argentina Sunflower Imports'!NX$290</f>
        <v>6.6000000000000003E-2</v>
      </c>
      <c r="AG53" s="243">
        <f t="shared" si="45"/>
        <v>8.2130569920915913E-2</v>
      </c>
      <c r="AN53" s="244">
        <f t="shared" si="46"/>
        <v>6.2079440615389761E-3</v>
      </c>
    </row>
    <row r="54" spans="1:40">
      <c r="A54" s="240" t="s">
        <v>236</v>
      </c>
      <c r="B54" s="241">
        <f t="shared" si="44"/>
        <v>0</v>
      </c>
      <c r="C54" s="241">
        <f t="shared" si="44"/>
        <v>0</v>
      </c>
      <c r="D54" s="241">
        <f t="shared" si="44"/>
        <v>0</v>
      </c>
      <c r="E54" s="241">
        <f t="shared" si="44"/>
        <v>0</v>
      </c>
      <c r="F54" s="241">
        <f t="shared" si="44"/>
        <v>1.9624841424200783E-2</v>
      </c>
      <c r="G54" s="241">
        <f t="shared" si="44"/>
        <v>7.5349810727273828E-3</v>
      </c>
      <c r="H54" s="241">
        <f t="shared" si="44"/>
        <v>1.8397109890332087E-4</v>
      </c>
      <c r="I54" s="241">
        <f t="shared" si="44"/>
        <v>6.3424829094182138E-5</v>
      </c>
      <c r="J54" s="241">
        <f t="shared" si="47"/>
        <v>0</v>
      </c>
      <c r="K54" s="242">
        <f>'[2]Argentina Sunflower Imports'!EG$290</f>
        <v>0.22783300000000001</v>
      </c>
      <c r="L54" s="242">
        <f>'[2]Argentina Sunflower Imports'!ES$290</f>
        <v>0.33752900000000002</v>
      </c>
      <c r="M54" s="242">
        <f>'[2]Argentina Sunflower Imports'!FE$290</f>
        <v>0.113537</v>
      </c>
      <c r="N54" s="242">
        <f>'[2]Argentina Sunflower Imports'!FQ$290</f>
        <v>0.34063399999999999</v>
      </c>
      <c r="O54" s="242">
        <f>'[2]Argentina Sunflower Imports'!GC$290</f>
        <v>0.13206399999999999</v>
      </c>
      <c r="P54" s="242">
        <f>'[2]Argentina Sunflower Imports'!GO$290</f>
        <v>0.191411</v>
      </c>
      <c r="Q54" s="242">
        <f>'[2]Argentina Sunflower Imports'!HA$290</f>
        <v>0.35689599999999999</v>
      </c>
      <c r="R54" s="242">
        <f>'[2]Argentina Sunflower Imports'!HM$290</f>
        <v>0.75299700000000003</v>
      </c>
      <c r="S54" s="242">
        <f>'[2]Argentina Sunflower Imports'!HY$290</f>
        <v>0.17675199999999999</v>
      </c>
      <c r="T54" s="242">
        <f>'[2]Argentina Sunflower Imports'!IK$290</f>
        <v>8.6969999999999999E-3</v>
      </c>
      <c r="U54" s="242">
        <f>'[2]Argentina Sunflower Imports'!IW$290</f>
        <v>3.9309999999999996E-3</v>
      </c>
      <c r="V54" s="242">
        <f>'[2]Argentina Sunflower Imports'!JI$290</f>
        <v>4.2483E-2</v>
      </c>
      <c r="W54" s="242">
        <f>'[2]Argentina Sunflower Imports'!JU$290</f>
        <v>1.7649000000000001E-2</v>
      </c>
      <c r="X54" s="242">
        <f>'[2]Argentina Sunflower Imports'!KG$290</f>
        <v>3.6811999999999998E-2</v>
      </c>
      <c r="Y54" s="242">
        <f>'[2]Argentina Sunflower Imports'!KS$290</f>
        <v>0.171015</v>
      </c>
      <c r="Z54" s="242">
        <f>'[2]Argentina Sunflower Imports'!LE$290</f>
        <v>1.2340000000000001E-3</v>
      </c>
      <c r="AA54" s="242">
        <f>'[2]Argentina Sunflower Imports'!LQ$290</f>
        <v>0</v>
      </c>
      <c r="AB54" s="242">
        <f>'[2]Argentina Sunflower Imports'!MC$290</f>
        <v>0.20824500000000001</v>
      </c>
      <c r="AC54" s="242">
        <f>'[2]Argentina Sunflower Imports'!MO$290</f>
        <v>0.105903</v>
      </c>
      <c r="AD54" s="242">
        <f>'[2]Argentina Sunflower Imports'!NA$290</f>
        <v>0.14699999999999999</v>
      </c>
      <c r="AE54" s="242">
        <f>'[2]Argentina Sunflower Imports'!NM$290</f>
        <v>0.105</v>
      </c>
      <c r="AF54" s="242">
        <f>'[2]Argentina Sunflower Imports'!NY$290</f>
        <v>0.316</v>
      </c>
      <c r="AG54" s="243">
        <f t="shared" si="45"/>
        <v>0.23279408577987626</v>
      </c>
      <c r="AN54" s="244">
        <f t="shared" si="46"/>
        <v>3.7308722996577726E-3</v>
      </c>
    </row>
    <row r="55" spans="1:40">
      <c r="A55" s="240" t="s">
        <v>237</v>
      </c>
      <c r="B55" s="241">
        <f t="shared" si="44"/>
        <v>0</v>
      </c>
      <c r="C55" s="241">
        <f t="shared" si="44"/>
        <v>0</v>
      </c>
      <c r="D55" s="241">
        <f t="shared" si="44"/>
        <v>0</v>
      </c>
      <c r="E55" s="241">
        <f t="shared" si="44"/>
        <v>0</v>
      </c>
      <c r="F55" s="241">
        <f t="shared" si="44"/>
        <v>2.1145104802607711E-2</v>
      </c>
      <c r="G55" s="241">
        <f t="shared" si="44"/>
        <v>8.1110290233206168E-3</v>
      </c>
      <c r="H55" s="241">
        <f t="shared" si="44"/>
        <v>2.2848444934024754E-4</v>
      </c>
      <c r="I55" s="241">
        <f t="shared" si="44"/>
        <v>1.9775188862009325E-4</v>
      </c>
      <c r="J55" s="241">
        <f t="shared" si="47"/>
        <v>0</v>
      </c>
      <c r="K55" s="242">
        <f>'[2]Argentina Sunflower Imports'!EH$290</f>
        <v>0.20788899999999999</v>
      </c>
      <c r="L55" s="242">
        <f>'[2]Argentina Sunflower Imports'!ET$290</f>
        <v>5.9101000000000001E-2</v>
      </c>
      <c r="M55" s="242">
        <f>'[2]Argentina Sunflower Imports'!FF$290</f>
        <v>0.335646</v>
      </c>
      <c r="N55" s="242">
        <f>'[2]Argentina Sunflower Imports'!FR$290</f>
        <v>3.7690000000000001E-2</v>
      </c>
      <c r="O55" s="242">
        <f>'[2]Argentina Sunflower Imports'!GD$290</f>
        <v>0.17209199999999999</v>
      </c>
      <c r="P55" s="242">
        <f>'[2]Argentina Sunflower Imports'!GP$290</f>
        <v>3.9513E-2</v>
      </c>
      <c r="Q55" s="242">
        <f>'[2]Argentina Sunflower Imports'!HB$290</f>
        <v>0.221969</v>
      </c>
      <c r="R55" s="242">
        <f>'[2]Argentina Sunflower Imports'!HN$290</f>
        <v>9.1014999999999999E-2</v>
      </c>
      <c r="S55" s="242">
        <f>'[2]Argentina Sunflower Imports'!HZ$290</f>
        <v>1.210261</v>
      </c>
      <c r="T55" s="242">
        <f>'[2]Argentina Sunflower Imports'!IL$290</f>
        <v>3.7657000000000003E-2</v>
      </c>
      <c r="U55" s="242">
        <f>'[2]Argentina Sunflower Imports'!IX$290</f>
        <v>5.2741000000000003E-2</v>
      </c>
      <c r="V55" s="242">
        <f>'[2]Argentina Sunflower Imports'!JJ$290</f>
        <v>1.6790149999999999</v>
      </c>
      <c r="W55" s="242">
        <f>'[2]Argentina Sunflower Imports'!JV$290</f>
        <v>0.24982699999999999</v>
      </c>
      <c r="X55" s="242">
        <f>'[2]Argentina Sunflower Imports'!KH$290</f>
        <v>0.139934</v>
      </c>
      <c r="Y55" s="242">
        <f>'[2]Argentina Sunflower Imports'!KT$290</f>
        <v>9.025E-3</v>
      </c>
      <c r="Z55" s="242">
        <f>'[2]Argentina Sunflower Imports'!LF$290</f>
        <v>2.1690999999999998E-2</v>
      </c>
      <c r="AA55" s="242">
        <f>'[2]Argentina Sunflower Imports'!LR$290</f>
        <v>0</v>
      </c>
      <c r="AB55" s="242">
        <f>'[2]Argentina Sunflower Imports'!MD$290</f>
        <v>1.307E-3</v>
      </c>
      <c r="AC55" s="242">
        <f>'[2]Argentina Sunflower Imports'!MP$290</f>
        <v>2.6713000000000001E-2</v>
      </c>
      <c r="AD55" s="242">
        <f>'[2]Argentina Sunflower Imports'!NB$290</f>
        <v>1E-3</v>
      </c>
      <c r="AE55" s="242">
        <f>'[2]Argentina Sunflower Imports'!NN$290</f>
        <v>8.7999999999999995E-2</v>
      </c>
      <c r="AF55" s="242">
        <f>'[2]Argentina Sunflower Imports'!NZ$290</f>
        <v>0.14399999999999999</v>
      </c>
      <c r="AG55" s="243">
        <f t="shared" si="45"/>
        <v>4.8117389654226669E-2</v>
      </c>
      <c r="AN55" s="244">
        <f t="shared" si="46"/>
        <v>1.1632464036476073E-2</v>
      </c>
    </row>
    <row r="56" spans="1:40">
      <c r="A56" s="240" t="s">
        <v>238</v>
      </c>
      <c r="B56" s="241">
        <f t="shared" si="44"/>
        <v>0</v>
      </c>
      <c r="C56" s="241">
        <f t="shared" si="44"/>
        <v>0</v>
      </c>
      <c r="D56" s="241">
        <f t="shared" si="44"/>
        <v>0</v>
      </c>
      <c r="E56" s="241">
        <f t="shared" si="44"/>
        <v>0</v>
      </c>
      <c r="F56" s="241">
        <f t="shared" si="44"/>
        <v>8.5149009658620402E-3</v>
      </c>
      <c r="G56" s="241">
        <f t="shared" si="44"/>
        <v>3.8283353540762696E-3</v>
      </c>
      <c r="H56" s="241">
        <f t="shared" si="44"/>
        <v>2.0383240449573371E-4</v>
      </c>
      <c r="I56" s="241">
        <f t="shared" si="44"/>
        <v>2.4037009453139275E-4</v>
      </c>
      <c r="J56" s="241">
        <f t="shared" si="47"/>
        <v>0</v>
      </c>
      <c r="K56" s="242">
        <f>'[2]Argentina Sunflower Imports'!EI$290</f>
        <v>0.16653200000000001</v>
      </c>
      <c r="L56" s="242">
        <f>'[2]Argentina Sunflower Imports'!EU$290</f>
        <v>0.28601799999999999</v>
      </c>
      <c r="M56" s="242">
        <f>'[2]Argentina Sunflower Imports'!FG$290</f>
        <v>12.336751</v>
      </c>
      <c r="N56" s="242">
        <f>'[2]Argentina Sunflower Imports'!FS$290</f>
        <v>4.0398999999999997E-2</v>
      </c>
      <c r="O56" s="242">
        <f>'[2]Argentina Sunflower Imports'!GE$290</f>
        <v>8.3823999999999996E-2</v>
      </c>
      <c r="P56" s="242">
        <f>'[2]Argentina Sunflower Imports'!GQ$290</f>
        <v>0.12141</v>
      </c>
      <c r="Q56" s="242">
        <f>'[2]Argentina Sunflower Imports'!HC$290</f>
        <v>0.220384</v>
      </c>
      <c r="R56" s="242">
        <f>'[2]Argentina Sunflower Imports'!HO$290</f>
        <v>0.120952</v>
      </c>
      <c r="S56" s="242">
        <f>'[2]Argentina Sunflower Imports'!IA$290</f>
        <v>0.152035</v>
      </c>
      <c r="T56" s="242">
        <f>'[2]Argentina Sunflower Imports'!IM$290</f>
        <v>0.140601</v>
      </c>
      <c r="U56" s="242">
        <f>'[2]Argentina Sunflower Imports'!IY$290</f>
        <v>0.80556899999999998</v>
      </c>
      <c r="V56" s="242">
        <f>'[2]Argentina Sunflower Imports'!JK$290</f>
        <v>2.5133070000000002</v>
      </c>
      <c r="W56" s="242">
        <f>'[2]Argentina Sunflower Imports'!JW$290</f>
        <v>0.121877</v>
      </c>
      <c r="X56" s="242">
        <f>'[2]Argentina Sunflower Imports'!KI$290</f>
        <v>3.9204000000000003E-2</v>
      </c>
      <c r="Y56" s="242">
        <f>'[2]Argentina Sunflower Imports'!KU$290</f>
        <v>1.6864000000000001E-2</v>
      </c>
      <c r="Z56" s="242">
        <f>'[2]Argentina Sunflower Imports'!LG$290</f>
        <v>5.7298000000000002E-2</v>
      </c>
      <c r="AA56" s="242">
        <f>'[2]Argentina Sunflower Imports'!LS$290</f>
        <v>2.5693000000000001E-2</v>
      </c>
      <c r="AB56" s="242">
        <f>'[2]Argentina Sunflower Imports'!ME$290</f>
        <v>3.5178000000000001E-2</v>
      </c>
      <c r="AC56" s="242">
        <f>'[2]Argentina Sunflower Imports'!MQ$290</f>
        <v>1.2834E-2</v>
      </c>
      <c r="AD56" s="242">
        <f>'[2]Argentina Sunflower Imports'!NC$290</f>
        <v>4.0000000000000001E-3</v>
      </c>
      <c r="AE56" s="242">
        <f>'[2]Argentina Sunflower Imports'!NO$290</f>
        <v>0.02</v>
      </c>
      <c r="AF56" s="243">
        <f t="shared" si="45"/>
        <v>7.6610356468579388E-2</v>
      </c>
      <c r="AG56" s="243">
        <f t="shared" si="45"/>
        <v>4.0175265391951952E-2</v>
      </c>
      <c r="AN56" s="244">
        <f t="shared" si="46"/>
        <v>1.4139417325376043E-2</v>
      </c>
    </row>
    <row r="57" spans="1:40">
      <c r="A57" s="240" t="s">
        <v>239</v>
      </c>
      <c r="B57" s="241">
        <f t="shared" si="44"/>
        <v>0</v>
      </c>
      <c r="C57" s="241">
        <f t="shared" si="44"/>
        <v>0</v>
      </c>
      <c r="D57" s="241">
        <f t="shared" si="44"/>
        <v>0</v>
      </c>
      <c r="E57" s="241">
        <f t="shared" si="44"/>
        <v>0</v>
      </c>
      <c r="F57" s="241">
        <f t="shared" si="44"/>
        <v>1.9697496679541789E-2</v>
      </c>
      <c r="G57" s="241">
        <f t="shared" si="44"/>
        <v>8.2934291723752735E-3</v>
      </c>
      <c r="H57" s="241">
        <f t="shared" si="44"/>
        <v>2.4068572620238444E-4</v>
      </c>
      <c r="I57" s="241">
        <f t="shared" si="44"/>
        <v>1.0306924346853011E-4</v>
      </c>
      <c r="J57" s="241">
        <f t="shared" si="47"/>
        <v>0</v>
      </c>
      <c r="K57" s="242">
        <f>'[2]Argentina Sunflower Imports'!EJ$290</f>
        <v>1.0094000000000001E-2</v>
      </c>
      <c r="L57" s="242">
        <f>'[2]Argentina Sunflower Imports'!EV$290</f>
        <v>0.45810000000000001</v>
      </c>
      <c r="M57" s="242">
        <f>'[2]Argentina Sunflower Imports'!FH$290</f>
        <v>14.246798</v>
      </c>
      <c r="N57" s="242">
        <f>'[2]Argentina Sunflower Imports'!FT$290</f>
        <v>0.134962</v>
      </c>
      <c r="O57" s="242">
        <f>'[2]Argentina Sunflower Imports'!GF$290</f>
        <v>2.5824E-2</v>
      </c>
      <c r="P57" s="242">
        <f>'[2]Argentina Sunflower Imports'!GR$290</f>
        <v>1.0101519999999999</v>
      </c>
      <c r="Q57" s="242">
        <f>'[2]Argentina Sunflower Imports'!HD$290</f>
        <v>0.15112100000000001</v>
      </c>
      <c r="R57" s="242">
        <f>'[2]Argentina Sunflower Imports'!HP$290</f>
        <v>0.30209200000000003</v>
      </c>
      <c r="S57" s="242">
        <f>'[2]Argentina Sunflower Imports'!IB$290</f>
        <v>0.126892</v>
      </c>
      <c r="T57" s="242">
        <f>'[2]Argentina Sunflower Imports'!IN$290</f>
        <v>4.6148000000000002E-2</v>
      </c>
      <c r="U57" s="242">
        <f>'[2]Argentina Sunflower Imports'!IZ$290</f>
        <v>1.0735600000000001</v>
      </c>
      <c r="V57" s="242">
        <f>'[2]Argentina Sunflower Imports'!JL$290</f>
        <v>5.1766E-2</v>
      </c>
      <c r="W57" s="242">
        <f>'[2]Argentina Sunflower Imports'!JX$290</f>
        <v>5.4003000000000002E-2</v>
      </c>
      <c r="X57" s="242">
        <f>'[2]Argentina Sunflower Imports'!KJ$290</f>
        <v>3.6225E-2</v>
      </c>
      <c r="Y57" s="242">
        <f>'[2]Argentina Sunflower Imports'!KV$290</f>
        <v>2.9690999999999999E-2</v>
      </c>
      <c r="Z57" s="242">
        <f>'[2]Argentina Sunflower Imports'!LH$290</f>
        <v>2.8628000000000001E-2</v>
      </c>
      <c r="AA57" s="242">
        <f>'[2]Argentina Sunflower Imports'!LT$290</f>
        <v>3.8032000000000003E-2</v>
      </c>
      <c r="AB57" s="242">
        <f>'[2]Argentina Sunflower Imports'!MF$290</f>
        <v>5.2226000000000002E-2</v>
      </c>
      <c r="AC57" s="242">
        <f>'[2]Argentina Sunflower Imports'!MR$290</f>
        <v>2.6171E-2</v>
      </c>
      <c r="AD57" s="242">
        <f>'[2]Argentina Sunflower Imports'!ND$290</f>
        <v>3.0000000000000001E-3</v>
      </c>
      <c r="AE57" s="242">
        <f>'[2]Argentina Sunflower Imports'!NP$290</f>
        <v>0.16</v>
      </c>
      <c r="AF57" s="243">
        <f t="shared" si="45"/>
        <v>8.4018129579849762E-2</v>
      </c>
      <c r="AG57" s="243">
        <f t="shared" si="45"/>
        <v>0.11489825733798416</v>
      </c>
      <c r="AN57" s="244">
        <f t="shared" si="46"/>
        <v>6.0628966746194175E-3</v>
      </c>
    </row>
    <row r="58" spans="1:40">
      <c r="A58" s="240" t="s">
        <v>240</v>
      </c>
      <c r="B58" s="241">
        <f t="shared" si="44"/>
        <v>0</v>
      </c>
      <c r="C58" s="241">
        <f t="shared" si="44"/>
        <v>0</v>
      </c>
      <c r="D58" s="241">
        <f t="shared" si="44"/>
        <v>0</v>
      </c>
      <c r="E58" s="241">
        <f t="shared" si="44"/>
        <v>0</v>
      </c>
      <c r="F58" s="241">
        <f t="shared" si="44"/>
        <v>0.23594096384142693</v>
      </c>
      <c r="G58" s="241">
        <f t="shared" si="44"/>
        <v>9.7871384052375998E-2</v>
      </c>
      <c r="H58" s="241">
        <f t="shared" si="44"/>
        <v>2.4497516104920848E-3</v>
      </c>
      <c r="I58" s="241">
        <f t="shared" si="44"/>
        <v>1.1079008265151582E-3</v>
      </c>
      <c r="J58" s="241">
        <f t="shared" si="47"/>
        <v>0</v>
      </c>
      <c r="K58" s="242">
        <f>'[2]Argentina Sunflower Imports'!EK$290</f>
        <v>2.9220000000000001E-3</v>
      </c>
      <c r="L58" s="242">
        <f>'[2]Argentina Sunflower Imports'!EW$290</f>
        <v>1.9177E-2</v>
      </c>
      <c r="M58" s="242">
        <f>'[2]Argentina Sunflower Imports'!FI$290</f>
        <v>0.10295799999999999</v>
      </c>
      <c r="N58" s="242">
        <f>'[2]Argentina Sunflower Imports'!FU$290</f>
        <v>5.4339999999999999E-2</v>
      </c>
      <c r="O58" s="242">
        <f>'[2]Argentina Sunflower Imports'!GG$290</f>
        <v>4.9619000000000003E-2</v>
      </c>
      <c r="P58" s="242">
        <f>'[2]Argentina Sunflower Imports'!GS$290</f>
        <v>3.3845040000000002</v>
      </c>
      <c r="Q58" s="242">
        <f>'[2]Argentina Sunflower Imports'!HE$290</f>
        <v>0.10706599999999999</v>
      </c>
      <c r="R58" s="242">
        <f>'[2]Argentina Sunflower Imports'!HQ$290</f>
        <v>15.706845</v>
      </c>
      <c r="S58" s="242">
        <f>'[2]Argentina Sunflower Imports'!IC$290</f>
        <v>0.10974100000000001</v>
      </c>
      <c r="T58" s="242">
        <f>'[2]Argentina Sunflower Imports'!IO$290</f>
        <v>3.1830000000000001E-3</v>
      </c>
      <c r="U58" s="242">
        <f>'[2]Argentina Sunflower Imports'!JA$290</f>
        <v>1.374231</v>
      </c>
      <c r="V58" s="242">
        <f>'[2]Argentina Sunflower Imports'!JM$290</f>
        <v>9.4710000000000003E-3</v>
      </c>
      <c r="W58" s="242">
        <f>'[2]Argentina Sunflower Imports'!JY$290</f>
        <v>7.1850999999999998E-2</v>
      </c>
      <c r="X58" s="242">
        <f>'[2]Argentina Sunflower Imports'!KK$290</f>
        <v>5.5999999999999995E-4</v>
      </c>
      <c r="Y58" s="242">
        <f>'[2]Argentina Sunflower Imports'!KW$290</f>
        <v>5.6099999999999998E-4</v>
      </c>
      <c r="Z58" s="242">
        <f>'[2]Argentina Sunflower Imports'!LI$290</f>
        <v>5.7728000000000002E-2</v>
      </c>
      <c r="AA58" s="242">
        <f>'[2]Argentina Sunflower Imports'!LU$290</f>
        <v>2.6557000000000001E-2</v>
      </c>
      <c r="AB58" s="242">
        <f>'[2]Argentina Sunflower Imports'!MG$290</f>
        <v>8.1810000000000008E-3</v>
      </c>
      <c r="AC58" s="242">
        <f>'[2]Argentina Sunflower Imports'!MS$290</f>
        <v>1.8228000000000001E-2</v>
      </c>
      <c r="AD58" s="242">
        <f>'[2]Argentina Sunflower Imports'!NE$290</f>
        <v>5.0000000000000001E-3</v>
      </c>
      <c r="AE58" s="242">
        <f>'[2]Argentina Sunflower Imports'!NQ$290</f>
        <v>0.41899999999999998</v>
      </c>
      <c r="AF58" s="243">
        <f t="shared" si="45"/>
        <v>6.5653049052804918E-2</v>
      </c>
      <c r="AG58" s="243">
        <f t="shared" si="45"/>
        <v>0.19612338808595006</v>
      </c>
      <c r="AN58" s="244">
        <f t="shared" si="46"/>
        <v>6.5170636853832828E-2</v>
      </c>
    </row>
    <row r="59" spans="1:40">
      <c r="A59" s="240" t="s">
        <v>241</v>
      </c>
      <c r="B59" s="241">
        <f t="shared" si="44"/>
        <v>0</v>
      </c>
      <c r="C59" s="241">
        <f t="shared" si="44"/>
        <v>0</v>
      </c>
      <c r="D59" s="241">
        <f t="shared" si="44"/>
        <v>0</v>
      </c>
      <c r="E59" s="241">
        <f t="shared" si="44"/>
        <v>0</v>
      </c>
      <c r="F59" s="241">
        <f t="shared" si="44"/>
        <v>4.9999820733738043E-2</v>
      </c>
      <c r="G59" s="241">
        <f t="shared" si="44"/>
        <v>2.003033901367084E-2</v>
      </c>
      <c r="H59" s="241">
        <f t="shared" si="44"/>
        <v>4.4029278193586876E-4</v>
      </c>
      <c r="I59" s="241">
        <f t="shared" si="44"/>
        <v>1.9359120798194383E-4</v>
      </c>
      <c r="J59" s="241">
        <f t="shared" si="47"/>
        <v>0</v>
      </c>
      <c r="K59" s="242">
        <f>'[2]Argentina Sunflower Imports'!EL$290</f>
        <v>9.4899999999999997E-4</v>
      </c>
      <c r="L59" s="242">
        <f>'[2]Argentina Sunflower Imports'!EX$290</f>
        <v>9.19E-4</v>
      </c>
      <c r="M59" s="242">
        <f>'[2]Argentina Sunflower Imports'!FJ$290</f>
        <v>1.2899999999999999E-4</v>
      </c>
      <c r="N59" s="242">
        <f>'[2]Argentina Sunflower Imports'!FV$290</f>
        <v>2.4699999999999999E-4</v>
      </c>
      <c r="O59" s="242">
        <f>'[2]Argentina Sunflower Imports'!GH$290</f>
        <v>0.150473</v>
      </c>
      <c r="P59" s="242">
        <f>'[2]Argentina Sunflower Imports'!GT$290</f>
        <v>1.938375</v>
      </c>
      <c r="Q59" s="242">
        <f>'[2]Argentina Sunflower Imports'!HF$290</f>
        <v>0.10396</v>
      </c>
      <c r="R59" s="242">
        <f>'[2]Argentina Sunflower Imports'!HR$290</f>
        <v>1.9069210000000001</v>
      </c>
      <c r="S59" s="242">
        <f>'[2]Argentina Sunflower Imports'!ID$290</f>
        <v>2.506E-3</v>
      </c>
      <c r="T59" s="242">
        <f>'[2]Argentina Sunflower Imports'!IP$290</f>
        <v>4.9299999999999995E-4</v>
      </c>
      <c r="U59" s="242">
        <f>'[2]Argentina Sunflower Imports'!JB$290</f>
        <v>1.0956330000000001</v>
      </c>
      <c r="V59" s="242">
        <f>'[2]Argentina Sunflower Imports'!JN$290</f>
        <v>5.2899999999999996E-4</v>
      </c>
      <c r="W59" s="242">
        <f>'[2]Argentina Sunflower Imports'!JZ$290</f>
        <v>1.9580000000000001E-3</v>
      </c>
      <c r="X59" s="242">
        <f>'[2]Argentina Sunflower Imports'!KL$290</f>
        <v>7.0210000000000003E-3</v>
      </c>
      <c r="Y59" s="242">
        <f>'[2]Argentina Sunflower Imports'!KX$290</f>
        <v>2.5000000000000001E-5</v>
      </c>
      <c r="Z59" s="242">
        <f>'[2]Argentina Sunflower Imports'!LJ$290</f>
        <v>4.7002000000000002E-2</v>
      </c>
      <c r="AA59" s="242">
        <f>'[2]Argentina Sunflower Imports'!LV$290</f>
        <v>6.8000000000000005E-4</v>
      </c>
      <c r="AB59" s="242">
        <f>'[2]Argentina Sunflower Imports'!MH$290</f>
        <v>1.4200000000000001E-4</v>
      </c>
      <c r="AC59" s="242">
        <f>'[2]Argentina Sunflower Imports'!MT$290</f>
        <v>5.7211999999999999E-2</v>
      </c>
      <c r="AD59" s="242">
        <f>'[2]Argentina Sunflower Imports'!NF$290</f>
        <v>2.5999999999999999E-2</v>
      </c>
      <c r="AE59" s="242">
        <f>'[2]Argentina Sunflower Imports'!NR$290</f>
        <v>3.1E-2</v>
      </c>
      <c r="AF59" s="243">
        <f t="shared" ref="AF59" si="48">AF60-SUM(AF48:AF58)</f>
        <v>1.9718464898765942E-2</v>
      </c>
      <c r="AG59" s="243">
        <f t="shared" ref="AG59" si="49">AG60-SUM(AG48:AG58)</f>
        <v>4.7300767402874144E-2</v>
      </c>
      <c r="AN59" s="244">
        <f t="shared" si="46"/>
        <v>1.1387718116584931E-2</v>
      </c>
    </row>
    <row r="60" spans="1:40" ht="15.75" thickBot="1">
      <c r="A60" s="240" t="s">
        <v>242</v>
      </c>
      <c r="B60" s="245">
        <f t="shared" ref="B60:I60" si="50">B10</f>
        <v>0</v>
      </c>
      <c r="C60" s="245">
        <f t="shared" si="50"/>
        <v>0</v>
      </c>
      <c r="D60" s="245">
        <f t="shared" si="50"/>
        <v>0</v>
      </c>
      <c r="E60" s="245">
        <f t="shared" si="50"/>
        <v>0</v>
      </c>
      <c r="F60" s="245">
        <f t="shared" si="50"/>
        <v>3.9369999999999994</v>
      </c>
      <c r="G60" s="245">
        <f t="shared" si="50"/>
        <v>1.583</v>
      </c>
      <c r="H60" s="245">
        <f t="shared" si="50"/>
        <v>0.04</v>
      </c>
      <c r="I60" s="245">
        <f t="shared" si="50"/>
        <v>1.7000000000000001E-2</v>
      </c>
      <c r="J60" s="245">
        <f>J10</f>
        <v>0</v>
      </c>
      <c r="K60" s="245">
        <f>SUM(K48:K59)</f>
        <v>2.3869749999999996</v>
      </c>
      <c r="L60" s="245">
        <f t="shared" ref="L60:AB60" si="51">SUM(L48:L59)</f>
        <v>4.5281449999999994</v>
      </c>
      <c r="M60" s="245">
        <f t="shared" si="51"/>
        <v>28.094011999999999</v>
      </c>
      <c r="N60" s="245">
        <f t="shared" si="51"/>
        <v>0.87005900000000003</v>
      </c>
      <c r="O60" s="245">
        <f t="shared" si="51"/>
        <v>19.928738999999997</v>
      </c>
      <c r="P60" s="245">
        <f t="shared" si="51"/>
        <v>34.464303999999998</v>
      </c>
      <c r="Q60" s="245">
        <f t="shared" si="51"/>
        <v>27.318375</v>
      </c>
      <c r="R60" s="245">
        <f t="shared" si="51"/>
        <v>203.33589399999994</v>
      </c>
      <c r="S60" s="245">
        <f t="shared" si="51"/>
        <v>37.963829999999994</v>
      </c>
      <c r="T60" s="245">
        <f t="shared" si="51"/>
        <v>9.2647650000000006</v>
      </c>
      <c r="U60" s="245">
        <f t="shared" si="51"/>
        <v>4.6121600000000003</v>
      </c>
      <c r="V60" s="245">
        <f t="shared" si="51"/>
        <v>8.7991510000000002</v>
      </c>
      <c r="W60" s="245">
        <f t="shared" si="51"/>
        <v>1.0008920000000001</v>
      </c>
      <c r="X60" s="245">
        <f t="shared" si="51"/>
        <v>0.85835700000000004</v>
      </c>
      <c r="Y60" s="245">
        <f t="shared" si="51"/>
        <v>0.34221099999999999</v>
      </c>
      <c r="Z60" s="245">
        <f t="shared" si="51"/>
        <v>0.36023399999999994</v>
      </c>
      <c r="AA60" s="245">
        <f t="shared" si="51"/>
        <v>0.181197</v>
      </c>
      <c r="AB60" s="245">
        <f t="shared" si="51"/>
        <v>0.57258100000000001</v>
      </c>
      <c r="AC60" s="245">
        <f>SUM(AC48:AC59)</f>
        <v>0.35019100000000003</v>
      </c>
      <c r="AD60" s="246">
        <f>SUM(AD48:AD59)</f>
        <v>0.29800000000000004</v>
      </c>
      <c r="AE60" s="246">
        <f>SUM(AE48:AE59)</f>
        <v>1.03</v>
      </c>
      <c r="AF60" s="247">
        <f t="shared" ref="AF60:AG60" si="52">AF10</f>
        <v>1</v>
      </c>
      <c r="AG60" s="247">
        <f t="shared" si="52"/>
        <v>1</v>
      </c>
    </row>
    <row r="61" spans="1:40">
      <c r="A61" s="248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  <c r="AF61" s="248"/>
      <c r="AG61" s="248"/>
    </row>
    <row r="62" spans="1:40" ht="15.75" thickBot="1">
      <c r="A62" s="235" t="s">
        <v>243</v>
      </c>
    </row>
    <row r="63" spans="1:40" ht="15.75" thickBot="1">
      <c r="A63" s="236"/>
      <c r="B63" s="237">
        <f>B$2</f>
        <v>1993</v>
      </c>
      <c r="C63" s="237">
        <f t="shared" ref="C63:AG63" si="53">C$2</f>
        <v>1994</v>
      </c>
      <c r="D63" s="237">
        <f t="shared" si="53"/>
        <v>1995</v>
      </c>
      <c r="E63" s="237">
        <f t="shared" si="53"/>
        <v>1996</v>
      </c>
      <c r="F63" s="237">
        <f t="shared" si="53"/>
        <v>1997</v>
      </c>
      <c r="G63" s="237">
        <f t="shared" si="53"/>
        <v>1998</v>
      </c>
      <c r="H63" s="237">
        <f t="shared" si="53"/>
        <v>1999</v>
      </c>
      <c r="I63" s="237">
        <f t="shared" si="53"/>
        <v>2000</v>
      </c>
      <c r="J63" s="237">
        <f t="shared" si="53"/>
        <v>2001</v>
      </c>
      <c r="K63" s="237">
        <f t="shared" si="53"/>
        <v>2002</v>
      </c>
      <c r="L63" s="237">
        <f t="shared" si="53"/>
        <v>2003</v>
      </c>
      <c r="M63" s="237">
        <f t="shared" si="53"/>
        <v>2004</v>
      </c>
      <c r="N63" s="237">
        <f t="shared" si="53"/>
        <v>2005</v>
      </c>
      <c r="O63" s="237">
        <f t="shared" si="53"/>
        <v>2006</v>
      </c>
      <c r="P63" s="237">
        <f t="shared" si="53"/>
        <v>2007</v>
      </c>
      <c r="Q63" s="237">
        <f t="shared" si="53"/>
        <v>2008</v>
      </c>
      <c r="R63" s="237">
        <f t="shared" si="53"/>
        <v>2009</v>
      </c>
      <c r="S63" s="237">
        <f t="shared" si="53"/>
        <v>2010</v>
      </c>
      <c r="T63" s="237">
        <f t="shared" si="53"/>
        <v>2011</v>
      </c>
      <c r="U63" s="237">
        <f t="shared" si="53"/>
        <v>2012</v>
      </c>
      <c r="V63" s="237">
        <f t="shared" si="53"/>
        <v>2013</v>
      </c>
      <c r="W63" s="237">
        <f t="shared" si="53"/>
        <v>2014</v>
      </c>
      <c r="X63" s="237">
        <f t="shared" si="53"/>
        <v>2015</v>
      </c>
      <c r="Y63" s="237">
        <f t="shared" si="53"/>
        <v>2016</v>
      </c>
      <c r="Z63" s="237">
        <f t="shared" si="53"/>
        <v>2017</v>
      </c>
      <c r="AA63" s="237">
        <f t="shared" si="53"/>
        <v>2018</v>
      </c>
      <c r="AB63" s="237">
        <f t="shared" si="53"/>
        <v>2019</v>
      </c>
      <c r="AC63" s="237">
        <f t="shared" si="53"/>
        <v>2020</v>
      </c>
      <c r="AD63" s="237">
        <f t="shared" si="53"/>
        <v>2021</v>
      </c>
      <c r="AE63" s="237">
        <f t="shared" si="53"/>
        <v>2022</v>
      </c>
      <c r="AF63" s="237">
        <f t="shared" si="53"/>
        <v>2023</v>
      </c>
      <c r="AG63" s="237">
        <f t="shared" si="53"/>
        <v>2024</v>
      </c>
    </row>
    <row r="64" spans="1:40">
      <c r="A64" s="240" t="s">
        <v>231</v>
      </c>
      <c r="B64" s="241">
        <v>0</v>
      </c>
      <c r="C64" s="241">
        <v>0.19600000000000001</v>
      </c>
      <c r="D64" s="241">
        <v>4.9000000000000002E-2</v>
      </c>
      <c r="E64" s="241">
        <v>0</v>
      </c>
      <c r="F64" s="241">
        <v>0.96300000000000008</v>
      </c>
      <c r="G64" s="241">
        <v>1.137</v>
      </c>
      <c r="H64" s="241">
        <v>0.627</v>
      </c>
      <c r="I64" s="241">
        <v>1.5149999999999999</v>
      </c>
      <c r="J64" s="241">
        <v>1.875</v>
      </c>
      <c r="K64" s="242">
        <f>'[2]Argentina Sunflower Exports'!EA$290</f>
        <v>1.7177089999999999</v>
      </c>
      <c r="L64" s="242">
        <f>'[2]Argentina Sunflower Exports'!EM$290</f>
        <v>1.4457899999999999</v>
      </c>
      <c r="M64" s="242">
        <f>'[2]Argentina Sunflower Exports'!EY$290</f>
        <v>0.89480000000000004</v>
      </c>
      <c r="N64" s="242">
        <f>'[2]Argentina Sunflower Exports'!FK$290</f>
        <v>1.036605</v>
      </c>
      <c r="O64" s="242">
        <f>'[2]Argentina Sunflower Exports'!FW$290</f>
        <v>2.710194</v>
      </c>
      <c r="P64" s="242">
        <f>'[2]Argentina Sunflower Exports'!GI$290</f>
        <v>2.9791799999999999</v>
      </c>
      <c r="Q64" s="242">
        <f>'[2]Argentina Sunflower Exports'!GU$290</f>
        <v>1.0761510000000001</v>
      </c>
      <c r="R64" s="242">
        <f>'[2]Argentina Sunflower Exports'!HG$290</f>
        <v>3.5452349999999999</v>
      </c>
      <c r="S64" s="242">
        <f>'[2]Argentina Sunflower Exports'!HS$290</f>
        <v>4.2003110000000001</v>
      </c>
      <c r="T64" s="242">
        <f>'[2]Argentina Sunflower Exports'!IE$290</f>
        <v>4.4611349999999996</v>
      </c>
      <c r="U64" s="242">
        <f>'[2]Argentina Sunflower Exports'!IQ$290</f>
        <v>5.1261099999999997</v>
      </c>
      <c r="V64" s="242">
        <f>'[2]Argentina Sunflower Exports'!JC$290</f>
        <v>5.844659</v>
      </c>
      <c r="W64" s="242">
        <f>'[2]Argentina Sunflower Exports'!JO$290</f>
        <v>3.8586689999999999</v>
      </c>
      <c r="X64" s="242">
        <f>'[2]Argentina Sunflower Exports'!KA$290</f>
        <v>4.0993219999999999</v>
      </c>
      <c r="Y64" s="242">
        <f>'[2]Argentina Sunflower Exports'!KM$290</f>
        <v>3.1068690000000001</v>
      </c>
      <c r="Z64" s="242">
        <f>'[2]Argentina Sunflower Exports'!KY$290</f>
        <v>4.6654309999999999</v>
      </c>
      <c r="AA64" s="242">
        <f>'[2]Argentina Sunflower Exports'!LK$290</f>
        <v>3.7116189999999998</v>
      </c>
      <c r="AB64" s="242">
        <f>'[2]Argentina Sunflower Exports'!LW$290</f>
        <v>3.7791049999999999</v>
      </c>
      <c r="AC64" s="242">
        <f>'[2]Argentina Sunflower Exports'!MI$290</f>
        <v>1.8856120000000001</v>
      </c>
      <c r="AD64" s="242">
        <f>'[2]Argentina Sunflower Exports'!MU$290</f>
        <v>2.4609999999999999</v>
      </c>
      <c r="AE64" s="242">
        <f>'[2]Argentina Sunflower Exports'!NG$290</f>
        <v>4.3010000000000002</v>
      </c>
      <c r="AF64" s="242">
        <f>'[2]Argentina Sunflower Exports'!NS$290</f>
        <v>3.84</v>
      </c>
      <c r="AG64" s="243">
        <f t="shared" ref="AG64:AG65" si="54">(SUM(AA64:AE64)/SUM(AA$76:AE$76))*AG$76</f>
        <v>3.7258677382314382</v>
      </c>
    </row>
    <row r="65" spans="1:39">
      <c r="A65" s="240" t="s">
        <v>232</v>
      </c>
      <c r="B65" s="241">
        <v>19.010000000000002</v>
      </c>
      <c r="C65" s="241">
        <v>7.4999999999999997E-2</v>
      </c>
      <c r="D65" s="241">
        <v>7.8E-2</v>
      </c>
      <c r="E65" s="241">
        <v>43.984000000000002</v>
      </c>
      <c r="F65" s="241">
        <v>1.014</v>
      </c>
      <c r="G65" s="241">
        <v>1.0250000000000001</v>
      </c>
      <c r="H65" s="241">
        <v>28.173000000000002</v>
      </c>
      <c r="I65" s="241">
        <v>2.2469999999999999</v>
      </c>
      <c r="J65" s="241">
        <v>1.7500000000000002</v>
      </c>
      <c r="K65" s="242">
        <f>'[2]Argentina Sunflower Exports'!EB$290</f>
        <v>5.2501550000000003</v>
      </c>
      <c r="L65" s="242">
        <f>'[2]Argentina Sunflower Exports'!EN$290</f>
        <v>17.256042000000001</v>
      </c>
      <c r="M65" s="242">
        <f>'[2]Argentina Sunflower Exports'!EZ$290</f>
        <v>0.51853499999999997</v>
      </c>
      <c r="N65" s="242">
        <f>'[2]Argentina Sunflower Exports'!FL$290</f>
        <v>1.355629</v>
      </c>
      <c r="O65" s="242">
        <f>'[2]Argentina Sunflower Exports'!FX$290</f>
        <v>2.157931</v>
      </c>
      <c r="P65" s="242">
        <f>'[2]Argentina Sunflower Exports'!GJ$290</f>
        <v>2.1647699999999999</v>
      </c>
      <c r="Q65" s="242">
        <f>'[2]Argentina Sunflower Exports'!GV$290</f>
        <v>1.984634</v>
      </c>
      <c r="R65" s="242">
        <f>'[2]Argentina Sunflower Exports'!HH$290</f>
        <v>2.714737</v>
      </c>
      <c r="S65" s="242">
        <f>'[2]Argentina Sunflower Exports'!HT$290</f>
        <v>4.0370439999999999</v>
      </c>
      <c r="T65" s="242">
        <f>'[2]Argentina Sunflower Exports'!IF$290</f>
        <v>4.2917920000000001</v>
      </c>
      <c r="U65" s="242">
        <f>'[2]Argentina Sunflower Exports'!IR$290</f>
        <v>4.8125900000000001</v>
      </c>
      <c r="V65" s="242">
        <f>'[2]Argentina Sunflower Exports'!JD$290</f>
        <v>4.6882669999999997</v>
      </c>
      <c r="W65" s="242">
        <f>'[2]Argentina Sunflower Exports'!JP$290</f>
        <v>4.5203559999999996</v>
      </c>
      <c r="X65" s="242">
        <f>'[2]Argentina Sunflower Exports'!KB$290</f>
        <v>3.4085369999999999</v>
      </c>
      <c r="Y65" s="242">
        <f>'[2]Argentina Sunflower Exports'!KN$290</f>
        <v>4.8169240000000002</v>
      </c>
      <c r="Z65" s="242">
        <f>'[2]Argentina Sunflower Exports'!KZ$290</f>
        <v>5.3403130000000001</v>
      </c>
      <c r="AA65" s="242">
        <f>'[2]Argentina Sunflower Exports'!LL$290</f>
        <v>4.1057790000000001</v>
      </c>
      <c r="AB65" s="242">
        <f>'[2]Argentina Sunflower Exports'!LX$290</f>
        <v>4.7467620000000004</v>
      </c>
      <c r="AC65" s="242">
        <f>'[2]Argentina Sunflower Exports'!MJ$290</f>
        <v>30.350653999999999</v>
      </c>
      <c r="AD65" s="242">
        <f>'[2]Argentina Sunflower Exports'!MV$290</f>
        <v>2.6749999999999998</v>
      </c>
      <c r="AE65" s="242">
        <f>'[2]Argentina Sunflower Exports'!NH$290</f>
        <v>3.4710000000000001</v>
      </c>
      <c r="AF65" s="242">
        <f>'[2]Argentina Sunflower Exports'!NT$290</f>
        <v>5.7409999999999997</v>
      </c>
      <c r="AG65" s="243">
        <f t="shared" si="54"/>
        <v>10.46979704755598</v>
      </c>
    </row>
    <row r="66" spans="1:39">
      <c r="A66" s="240" t="s">
        <v>233</v>
      </c>
      <c r="B66" s="241">
        <v>61.965000000000003</v>
      </c>
      <c r="C66" s="241">
        <v>120.45099999999999</v>
      </c>
      <c r="D66" s="241">
        <v>221.69600000000003</v>
      </c>
      <c r="E66" s="241">
        <v>350.25799999999998</v>
      </c>
      <c r="F66" s="241">
        <v>1.853</v>
      </c>
      <c r="G66" s="241">
        <v>165.518</v>
      </c>
      <c r="H66" s="241">
        <v>378.19200000000001</v>
      </c>
      <c r="I66" s="241">
        <v>12.610999999999999</v>
      </c>
      <c r="J66" s="241">
        <v>11.260999999999999</v>
      </c>
      <c r="K66" s="242">
        <f>'[2]Argentina Sunflower Exports'!EC$290</f>
        <v>83.259512000000001</v>
      </c>
      <c r="L66" s="242">
        <f>'[2]Argentina Sunflower Exports'!EO$290</f>
        <v>26.899488000000002</v>
      </c>
      <c r="M66" s="242">
        <f>'[2]Argentina Sunflower Exports'!FA$290</f>
        <v>1.602182</v>
      </c>
      <c r="N66" s="242">
        <f>'[2]Argentina Sunflower Exports'!FM$290</f>
        <v>43.695833999999998</v>
      </c>
      <c r="O66" s="242">
        <f>'[2]Argentina Sunflower Exports'!FY$290</f>
        <v>2.8989470000000002</v>
      </c>
      <c r="P66" s="242">
        <f>'[2]Argentina Sunflower Exports'!GK$290</f>
        <v>4.9818340000000001</v>
      </c>
      <c r="Q66" s="242">
        <f>'[2]Argentina Sunflower Exports'!GW$290</f>
        <v>3.9294989999999999</v>
      </c>
      <c r="R66" s="242">
        <f>'[2]Argentina Sunflower Exports'!HI$290</f>
        <v>5.2119049999999998</v>
      </c>
      <c r="S66" s="242">
        <f>'[2]Argentina Sunflower Exports'!HU$290</f>
        <v>5.6112169999999999</v>
      </c>
      <c r="T66" s="242">
        <f>'[2]Argentina Sunflower Exports'!IG$290</f>
        <v>4.1236050000000004</v>
      </c>
      <c r="U66" s="242">
        <f>'[2]Argentina Sunflower Exports'!IS$290</f>
        <v>6.5026580000000003</v>
      </c>
      <c r="V66" s="242">
        <f>'[2]Argentina Sunflower Exports'!JE$290</f>
        <v>6.8828469999999999</v>
      </c>
      <c r="W66" s="242">
        <f>'[2]Argentina Sunflower Exports'!JQ$290</f>
        <v>5.2069239999999999</v>
      </c>
      <c r="X66" s="242">
        <f>'[2]Argentina Sunflower Exports'!KC$290</f>
        <v>4.2459259999999999</v>
      </c>
      <c r="Y66" s="242">
        <f>'[2]Argentina Sunflower Exports'!KO$290</f>
        <v>21.828030999999999</v>
      </c>
      <c r="Z66" s="242">
        <f>'[2]Argentina Sunflower Exports'!LA$290</f>
        <v>9.2182209999999998</v>
      </c>
      <c r="AA66" s="242">
        <f>'[2]Argentina Sunflower Exports'!LM$290</f>
        <v>4.1141930000000002</v>
      </c>
      <c r="AB66" s="242">
        <f>'[2]Argentina Sunflower Exports'!LY$290</f>
        <v>35.197828999999999</v>
      </c>
      <c r="AC66" s="242">
        <f>'[2]Argentina Sunflower Exports'!MK$290</f>
        <v>30.528023999999998</v>
      </c>
      <c r="AD66" s="242">
        <f>'[2]Argentina Sunflower Exports'!MW$290</f>
        <v>44.216000000000001</v>
      </c>
      <c r="AE66" s="242">
        <f>'[2]Argentina Sunflower Exports'!NI$290</f>
        <v>4.84</v>
      </c>
      <c r="AF66" s="242">
        <f>'[2]Argentina Sunflower Exports'!NU$290</f>
        <v>6.3440000000000003</v>
      </c>
      <c r="AG66" s="243">
        <f t="shared" ref="AG66:AG74" si="55">(SUM(AA66:AE66)/SUM(AA$76:AE$76))*AG$76</f>
        <v>27.449604593353431</v>
      </c>
    </row>
    <row r="67" spans="1:39">
      <c r="A67" s="240" t="s">
        <v>234</v>
      </c>
      <c r="B67" s="241">
        <v>65.3</v>
      </c>
      <c r="C67" s="241">
        <v>200.97499999999999</v>
      </c>
      <c r="D67" s="241">
        <v>294.84400000000005</v>
      </c>
      <c r="E67" s="241">
        <v>94.640999999999991</v>
      </c>
      <c r="F67" s="241">
        <v>7.22</v>
      </c>
      <c r="G67" s="241">
        <v>220.75700000000001</v>
      </c>
      <c r="H67" s="241">
        <v>296.54599999999994</v>
      </c>
      <c r="I67" s="241">
        <v>70.405000000000015</v>
      </c>
      <c r="J67" s="241">
        <v>21.809000000000001</v>
      </c>
      <c r="K67" s="242">
        <f>'[2]Argentina Sunflower Exports'!ED$290</f>
        <v>173.42600100000001</v>
      </c>
      <c r="L67" s="242">
        <f>'[2]Argentina Sunflower Exports'!EP$290</f>
        <v>137.06802999999999</v>
      </c>
      <c r="M67" s="242">
        <f>'[2]Argentina Sunflower Exports'!FB$290</f>
        <v>1.905489</v>
      </c>
      <c r="N67" s="242">
        <f>'[2]Argentina Sunflower Exports'!FN$290</f>
        <v>5.8615449999999996</v>
      </c>
      <c r="O67" s="242">
        <f>'[2]Argentina Sunflower Exports'!FZ$290</f>
        <v>3.5888900000000001</v>
      </c>
      <c r="P67" s="242">
        <f>'[2]Argentina Sunflower Exports'!GL$290</f>
        <v>4.4773519999999998</v>
      </c>
      <c r="Q67" s="242">
        <f>'[2]Argentina Sunflower Exports'!GX$290</f>
        <v>3.7705069999999998</v>
      </c>
      <c r="R67" s="242">
        <f>'[2]Argentina Sunflower Exports'!HJ$290</f>
        <v>5.6795629999999999</v>
      </c>
      <c r="S67" s="242">
        <f>'[2]Argentina Sunflower Exports'!HV$290</f>
        <v>7.2972289999999997</v>
      </c>
      <c r="T67" s="242">
        <f>'[2]Argentina Sunflower Exports'!IH$290</f>
        <v>5.7407649999999997</v>
      </c>
      <c r="U67" s="242">
        <f>'[2]Argentina Sunflower Exports'!IT$290</f>
        <v>5.9917290000000003</v>
      </c>
      <c r="V67" s="242">
        <f>'[2]Argentina Sunflower Exports'!JF$290</f>
        <v>7.3113429999999999</v>
      </c>
      <c r="W67" s="242">
        <f>'[2]Argentina Sunflower Exports'!JR$290</f>
        <v>6.3558620000000001</v>
      </c>
      <c r="X67" s="242">
        <f>'[2]Argentina Sunflower Exports'!KD$290</f>
        <v>4.4944800000000003</v>
      </c>
      <c r="Y67" s="242">
        <f>'[2]Argentina Sunflower Exports'!KP$290</f>
        <v>119.060203</v>
      </c>
      <c r="Z67" s="242">
        <f>'[2]Argentina Sunflower Exports'!LB$290</f>
        <v>4.9480529999999998</v>
      </c>
      <c r="AA67" s="242">
        <f>'[2]Argentina Sunflower Exports'!LN$290</f>
        <v>6.7035330000000002</v>
      </c>
      <c r="AB67" s="242">
        <f>'[2]Argentina Sunflower Exports'!LZ$290</f>
        <v>63.912464</v>
      </c>
      <c r="AC67" s="242">
        <f>'[2]Argentina Sunflower Exports'!ML$290</f>
        <v>63.935867999999999</v>
      </c>
      <c r="AD67" s="242">
        <f>'[2]Argentina Sunflower Exports'!MX$290</f>
        <v>53.831000000000003</v>
      </c>
      <c r="AE67" s="242">
        <f>'[2]Argentina Sunflower Exports'!NJ$290</f>
        <v>67.828000000000003</v>
      </c>
      <c r="AF67" s="242">
        <f>'[2]Argentina Sunflower Exports'!NV$290</f>
        <v>17.472000000000001</v>
      </c>
      <c r="AG67" s="243">
        <f t="shared" si="55"/>
        <v>59.151562843150018</v>
      </c>
    </row>
    <row r="68" spans="1:39">
      <c r="A68" s="240" t="s">
        <v>46</v>
      </c>
      <c r="B68" s="241">
        <v>13.801</v>
      </c>
      <c r="C68" s="241">
        <v>148.63800000000001</v>
      </c>
      <c r="D68" s="241">
        <v>105.756</v>
      </c>
      <c r="E68" s="241">
        <v>40.935000000000002</v>
      </c>
      <c r="F68" s="241">
        <v>3.4239999999999995</v>
      </c>
      <c r="G68" s="241">
        <v>60.195999999999998</v>
      </c>
      <c r="H68" s="241">
        <v>204.39299999999997</v>
      </c>
      <c r="I68" s="241">
        <v>40.120000000000005</v>
      </c>
      <c r="J68" s="241">
        <v>16.545999999999999</v>
      </c>
      <c r="K68" s="242">
        <f>'[2]Argentina Sunflower Exports'!EE$290</f>
        <v>28.425515999999998</v>
      </c>
      <c r="L68" s="242">
        <f>'[2]Argentina Sunflower Exports'!EQ$290</f>
        <v>25.207849</v>
      </c>
      <c r="M68" s="242">
        <f>'[2]Argentina Sunflower Exports'!FC$290</f>
        <v>24.992439999999998</v>
      </c>
      <c r="N68" s="242">
        <f>'[2]Argentina Sunflower Exports'!FO$290</f>
        <v>22.768063999999999</v>
      </c>
      <c r="O68" s="242">
        <f>'[2]Argentina Sunflower Exports'!GA$290</f>
        <v>4.9743649999999997</v>
      </c>
      <c r="P68" s="242">
        <f>'[2]Argentina Sunflower Exports'!GM$290</f>
        <v>25.577076999999999</v>
      </c>
      <c r="Q68" s="242">
        <f>'[2]Argentina Sunflower Exports'!GY$290</f>
        <v>3.0259230000000001</v>
      </c>
      <c r="R68" s="242">
        <f>'[2]Argentina Sunflower Exports'!HK$290</f>
        <v>6.9326619999999997</v>
      </c>
      <c r="S68" s="242">
        <f>'[2]Argentina Sunflower Exports'!HW$290</f>
        <v>6.0304510000000002</v>
      </c>
      <c r="T68" s="242">
        <f>'[2]Argentina Sunflower Exports'!II$290</f>
        <v>6.1835040000000001</v>
      </c>
      <c r="U68" s="242">
        <f>'[2]Argentina Sunflower Exports'!IU$290</f>
        <v>8.7457419999999999</v>
      </c>
      <c r="V68" s="242">
        <f>'[2]Argentina Sunflower Exports'!JG$290</f>
        <v>10.000838999999999</v>
      </c>
      <c r="W68" s="242">
        <f>'[2]Argentina Sunflower Exports'!JS$290</f>
        <v>7.9408380000000003</v>
      </c>
      <c r="X68" s="242">
        <f>'[2]Argentina Sunflower Exports'!KE$290</f>
        <v>8.8221240000000005</v>
      </c>
      <c r="Y68" s="242">
        <f>'[2]Argentina Sunflower Exports'!KQ$290</f>
        <v>99.018919999999994</v>
      </c>
      <c r="Z68" s="242">
        <f>'[2]Argentina Sunflower Exports'!LC$290</f>
        <v>7.2651849999999998</v>
      </c>
      <c r="AA68" s="242">
        <f>'[2]Argentina Sunflower Exports'!LO$290</f>
        <v>5.7492070000000002</v>
      </c>
      <c r="AB68" s="242">
        <f>'[2]Argentina Sunflower Exports'!MA$290</f>
        <v>6.9615840000000002</v>
      </c>
      <c r="AC68" s="242">
        <f>'[2]Argentina Sunflower Exports'!MM$290</f>
        <v>41.499958999999997</v>
      </c>
      <c r="AD68" s="242">
        <f>'[2]Argentina Sunflower Exports'!MY$290</f>
        <v>30.323</v>
      </c>
      <c r="AE68" s="242">
        <f>'[2]Argentina Sunflower Exports'!NK$290</f>
        <v>27.779</v>
      </c>
      <c r="AF68" s="242">
        <f>'[2]Argentina Sunflower Exports'!NW$290</f>
        <v>6.6890000000000001</v>
      </c>
      <c r="AG68" s="243">
        <f t="shared" si="55"/>
        <v>25.929714923338619</v>
      </c>
    </row>
    <row r="69" spans="1:39">
      <c r="A69" s="240" t="s">
        <v>235</v>
      </c>
      <c r="B69" s="241">
        <v>0</v>
      </c>
      <c r="C69" s="241">
        <v>67.346999999999994</v>
      </c>
      <c r="D69" s="241">
        <v>80.736000000000004</v>
      </c>
      <c r="E69" s="241">
        <v>4.4660000000000002</v>
      </c>
      <c r="F69" s="241">
        <v>17.414999999999999</v>
      </c>
      <c r="G69" s="241">
        <v>43.031999999999996</v>
      </c>
      <c r="H69" s="241">
        <v>15.671999999999999</v>
      </c>
      <c r="I69" s="241">
        <v>45.475000000000009</v>
      </c>
      <c r="J69" s="241">
        <v>11.128000000000002</v>
      </c>
      <c r="K69" s="242">
        <f>'[2]Argentina Sunflower Exports'!EF$290</f>
        <v>24.137832</v>
      </c>
      <c r="L69" s="242">
        <f>'[2]Argentina Sunflower Exports'!ER$290</f>
        <v>10.422890000000001</v>
      </c>
      <c r="M69" s="242">
        <f>'[2]Argentina Sunflower Exports'!FD$290</f>
        <v>3.4963760000000002</v>
      </c>
      <c r="N69" s="242">
        <f>'[2]Argentina Sunflower Exports'!FP$290</f>
        <v>5.8682720000000002</v>
      </c>
      <c r="O69" s="242">
        <f>'[2]Argentina Sunflower Exports'!GB$290</f>
        <v>5.4342189999999997</v>
      </c>
      <c r="P69" s="242">
        <f>'[2]Argentina Sunflower Exports'!GN$290</f>
        <v>3.8859590000000002</v>
      </c>
      <c r="Q69" s="242">
        <f>'[2]Argentina Sunflower Exports'!GZ$290</f>
        <v>2.8856519999999999</v>
      </c>
      <c r="R69" s="242">
        <f>'[2]Argentina Sunflower Exports'!HL$290</f>
        <v>6.650995</v>
      </c>
      <c r="S69" s="242">
        <f>'[2]Argentina Sunflower Exports'!HX$290</f>
        <v>5.7439099999999996</v>
      </c>
      <c r="T69" s="242">
        <f>'[2]Argentina Sunflower Exports'!IJ$290</f>
        <v>5.7369479999999999</v>
      </c>
      <c r="U69" s="242">
        <f>'[2]Argentina Sunflower Exports'!IV$290</f>
        <v>6.8090149999999996</v>
      </c>
      <c r="V69" s="242">
        <f>'[2]Argentina Sunflower Exports'!JH$290</f>
        <v>7.4367260000000002</v>
      </c>
      <c r="W69" s="242">
        <f>'[2]Argentina Sunflower Exports'!JT$290</f>
        <v>7.9208809999999996</v>
      </c>
      <c r="X69" s="242">
        <f>'[2]Argentina Sunflower Exports'!KF$290</f>
        <v>5.4465269999999997</v>
      </c>
      <c r="Y69" s="242">
        <f>'[2]Argentina Sunflower Exports'!KR$290</f>
        <v>20.680589999999999</v>
      </c>
      <c r="Z69" s="242">
        <f>'[2]Argentina Sunflower Exports'!LD$290</f>
        <v>8.2408090000000005</v>
      </c>
      <c r="AA69" s="242">
        <f>'[2]Argentina Sunflower Exports'!LP$290</f>
        <v>5.1310520000000004</v>
      </c>
      <c r="AB69" s="242">
        <f>'[2]Argentina Sunflower Exports'!MB$290</f>
        <v>6.9156269999999997</v>
      </c>
      <c r="AC69" s="242">
        <f>'[2]Argentina Sunflower Exports'!MN$290</f>
        <v>7.8651109999999997</v>
      </c>
      <c r="AD69" s="242">
        <f>'[2]Argentina Sunflower Exports'!MZ$290</f>
        <v>7.9960000000000004</v>
      </c>
      <c r="AE69" s="242">
        <f>'[2]Argentina Sunflower Exports'!NL$290</f>
        <v>11.35</v>
      </c>
      <c r="AF69" s="242">
        <f>'[2]Argentina Sunflower Exports'!NX$290</f>
        <v>6.4859999999999998</v>
      </c>
      <c r="AG69" s="243">
        <f t="shared" si="55"/>
        <v>9.0634705607359241</v>
      </c>
    </row>
    <row r="70" spans="1:39">
      <c r="A70" s="240" t="s">
        <v>236</v>
      </c>
      <c r="B70" s="241">
        <v>0</v>
      </c>
      <c r="C70" s="241">
        <v>14.601000000000001</v>
      </c>
      <c r="D70" s="241">
        <v>90.065000000000012</v>
      </c>
      <c r="E70" s="241">
        <v>1.833</v>
      </c>
      <c r="F70" s="241">
        <v>20.506999999999998</v>
      </c>
      <c r="G70" s="241">
        <v>1.9019999999999999</v>
      </c>
      <c r="H70" s="241">
        <v>8.5670000000000002</v>
      </c>
      <c r="I70" s="241">
        <v>22.894000000000002</v>
      </c>
      <c r="J70" s="241">
        <v>2.1619999999999999</v>
      </c>
      <c r="K70" s="242">
        <f>'[2]Argentina Sunflower Exports'!EG$290</f>
        <v>15.303369</v>
      </c>
      <c r="L70" s="242">
        <f>'[2]Argentina Sunflower Exports'!ES$290</f>
        <v>2.83386</v>
      </c>
      <c r="M70" s="242">
        <f>'[2]Argentina Sunflower Exports'!FE$290</f>
        <v>2.3960219999999999</v>
      </c>
      <c r="N70" s="242">
        <f>'[2]Argentina Sunflower Exports'!FQ$290</f>
        <v>5.6725190000000003</v>
      </c>
      <c r="O70" s="242">
        <f>'[2]Argentina Sunflower Exports'!GC$290</f>
        <v>3.7300710000000001</v>
      </c>
      <c r="P70" s="242">
        <f>'[2]Argentina Sunflower Exports'!GO$290</f>
        <v>3.80036</v>
      </c>
      <c r="Q70" s="242">
        <f>'[2]Argentina Sunflower Exports'!HA$290</f>
        <v>5.5846960000000001</v>
      </c>
      <c r="R70" s="242">
        <f>'[2]Argentina Sunflower Exports'!HM$290</f>
        <v>8.5806920000000009</v>
      </c>
      <c r="S70" s="242">
        <f>'[2]Argentina Sunflower Exports'!HY$290</f>
        <v>5.3309740000000003</v>
      </c>
      <c r="T70" s="242">
        <f>'[2]Argentina Sunflower Exports'!IK$290</f>
        <v>4.6311850000000003</v>
      </c>
      <c r="U70" s="242">
        <f>'[2]Argentina Sunflower Exports'!IW$290</f>
        <v>7.3686559999999997</v>
      </c>
      <c r="V70" s="242">
        <f>'[2]Argentina Sunflower Exports'!JI$290</f>
        <v>6.1345099999999997</v>
      </c>
      <c r="W70" s="242">
        <f>'[2]Argentina Sunflower Exports'!JU$290</f>
        <v>7.5754210000000004</v>
      </c>
      <c r="X70" s="242">
        <f>'[2]Argentina Sunflower Exports'!KG$290</f>
        <v>5.5811960000000003</v>
      </c>
      <c r="Y70" s="242">
        <f>'[2]Argentina Sunflower Exports'!KS$290</f>
        <v>5.2261930000000003</v>
      </c>
      <c r="Z70" s="242">
        <f>'[2]Argentina Sunflower Exports'!LE$290</f>
        <v>5.2137979999999997</v>
      </c>
      <c r="AA70" s="242">
        <f>'[2]Argentina Sunflower Exports'!LQ$290</f>
        <v>4.0094469999999998</v>
      </c>
      <c r="AB70" s="242">
        <f>'[2]Argentina Sunflower Exports'!MC$290</f>
        <v>5.9116720000000003</v>
      </c>
      <c r="AC70" s="242">
        <f>'[2]Argentina Sunflower Exports'!MO$290</f>
        <v>10.551475</v>
      </c>
      <c r="AD70" s="242">
        <f>'[2]Argentina Sunflower Exports'!NA$290</f>
        <v>9.6370000000000005</v>
      </c>
      <c r="AE70" s="242">
        <f>'[2]Argentina Sunflower Exports'!NM$290</f>
        <v>5.7149999999999999</v>
      </c>
      <c r="AF70" s="242">
        <f>'[2]Argentina Sunflower Exports'!NY$290</f>
        <v>10.81</v>
      </c>
      <c r="AG70" s="243">
        <f t="shared" si="55"/>
        <v>8.2708464503304153</v>
      </c>
    </row>
    <row r="71" spans="1:39">
      <c r="A71" s="240" t="s">
        <v>237</v>
      </c>
      <c r="B71" s="241">
        <v>15.75</v>
      </c>
      <c r="C71" s="241">
        <v>20.545000000000002</v>
      </c>
      <c r="D71" s="241">
        <v>16.263999999999999</v>
      </c>
      <c r="E71" s="241">
        <v>0.33</v>
      </c>
      <c r="F71" s="241">
        <v>5.75</v>
      </c>
      <c r="G71" s="241">
        <v>2.589</v>
      </c>
      <c r="H71" s="241">
        <v>2.0129999999999999</v>
      </c>
      <c r="I71" s="241">
        <v>60.488</v>
      </c>
      <c r="J71" s="241">
        <v>2.3039999999999998</v>
      </c>
      <c r="K71" s="242">
        <f>'[2]Argentina Sunflower Exports'!EH$290</f>
        <v>2.7884859999999998</v>
      </c>
      <c r="L71" s="242">
        <f>'[2]Argentina Sunflower Exports'!ET$290</f>
        <v>1.700553</v>
      </c>
      <c r="M71" s="242">
        <f>'[2]Argentina Sunflower Exports'!FF$290</f>
        <v>1.671721</v>
      </c>
      <c r="N71" s="242">
        <f>'[2]Argentina Sunflower Exports'!FR$290</f>
        <v>2.9416310000000001</v>
      </c>
      <c r="O71" s="242">
        <f>'[2]Argentina Sunflower Exports'!GD$290</f>
        <v>4.5176999999999996</v>
      </c>
      <c r="P71" s="242">
        <f>'[2]Argentina Sunflower Exports'!GP$290</f>
        <v>2.372703</v>
      </c>
      <c r="Q71" s="242">
        <f>'[2]Argentina Sunflower Exports'!HB$290</f>
        <v>5.8094109999999999</v>
      </c>
      <c r="R71" s="242">
        <f>'[2]Argentina Sunflower Exports'!HN$290</f>
        <v>6.4712399999999999</v>
      </c>
      <c r="S71" s="242">
        <f>'[2]Argentina Sunflower Exports'!HZ$290</f>
        <v>6.1068790000000002</v>
      </c>
      <c r="T71" s="242">
        <f>'[2]Argentina Sunflower Exports'!IL$290</f>
        <v>7.9337080000000002</v>
      </c>
      <c r="U71" s="242">
        <f>'[2]Argentina Sunflower Exports'!IX$290</f>
        <v>6.4360980000000003</v>
      </c>
      <c r="V71" s="242">
        <f>'[2]Argentina Sunflower Exports'!JJ$290</f>
        <v>6.7655719999999997</v>
      </c>
      <c r="W71" s="242">
        <f>'[2]Argentina Sunflower Exports'!JV$290</f>
        <v>7.9163819999999996</v>
      </c>
      <c r="X71" s="242">
        <f>'[2]Argentina Sunflower Exports'!KH$290</f>
        <v>4.9357100000000003</v>
      </c>
      <c r="Y71" s="242">
        <f>'[2]Argentina Sunflower Exports'!KT$290</f>
        <v>5.9406379999999999</v>
      </c>
      <c r="Z71" s="242">
        <f>'[2]Argentina Sunflower Exports'!LF$290</f>
        <v>6.8092779999999999</v>
      </c>
      <c r="AA71" s="242">
        <f>'[2]Argentina Sunflower Exports'!LR$290</f>
        <v>3.9105259999999999</v>
      </c>
      <c r="AB71" s="242">
        <f>'[2]Argentina Sunflower Exports'!MD$290</f>
        <v>3.60819</v>
      </c>
      <c r="AC71" s="242">
        <f>'[2]Argentina Sunflower Exports'!MP$290</f>
        <v>7.1824060000000003</v>
      </c>
      <c r="AD71" s="242">
        <f>'[2]Argentina Sunflower Exports'!NB$290</f>
        <v>8.0489999999999995</v>
      </c>
      <c r="AE71" s="242">
        <f>'[2]Argentina Sunflower Exports'!NN$290</f>
        <v>5.657</v>
      </c>
      <c r="AF71" s="242">
        <f>'[2]Argentina Sunflower Exports'!NZ$290</f>
        <v>9.6359999999999992</v>
      </c>
      <c r="AG71" s="243">
        <f t="shared" si="55"/>
        <v>6.5583700448301805</v>
      </c>
    </row>
    <row r="72" spans="1:39">
      <c r="A72" s="240" t="s">
        <v>238</v>
      </c>
      <c r="B72" s="241">
        <v>0</v>
      </c>
      <c r="C72" s="241">
        <v>1.544</v>
      </c>
      <c r="D72" s="241">
        <v>14.901</v>
      </c>
      <c r="E72" s="241">
        <v>0.52700000000000002</v>
      </c>
      <c r="F72" s="241">
        <v>4.2350000000000003</v>
      </c>
      <c r="G72" s="241">
        <v>1.6419999999999999</v>
      </c>
      <c r="H72" s="241">
        <v>1.9019999999999999</v>
      </c>
      <c r="I72" s="241">
        <v>3.0960000000000001</v>
      </c>
      <c r="J72" s="241">
        <v>1.863</v>
      </c>
      <c r="K72" s="242">
        <f>'[2]Argentina Sunflower Exports'!EI$290</f>
        <v>2.8504459999999998</v>
      </c>
      <c r="L72" s="242">
        <f>'[2]Argentina Sunflower Exports'!EU$290</f>
        <v>2.4642050000000002</v>
      </c>
      <c r="M72" s="242">
        <f>'[2]Argentina Sunflower Exports'!FG$290</f>
        <v>2.2386710000000001</v>
      </c>
      <c r="N72" s="242">
        <f>'[2]Argentina Sunflower Exports'!FS$290</f>
        <v>3.93797</v>
      </c>
      <c r="O72" s="242">
        <f>'[2]Argentina Sunflower Exports'!GE$290</f>
        <v>3.7240639999999998</v>
      </c>
      <c r="P72" s="242">
        <f>'[2]Argentina Sunflower Exports'!GQ$290</f>
        <v>2.221489</v>
      </c>
      <c r="Q72" s="242">
        <f>'[2]Argentina Sunflower Exports'!HC$290</f>
        <v>5.9539780000000002</v>
      </c>
      <c r="R72" s="242">
        <f>'[2]Argentina Sunflower Exports'!HO$290</f>
        <v>7.9903409999999999</v>
      </c>
      <c r="S72" s="242">
        <f>'[2]Argentina Sunflower Exports'!IA$290</f>
        <v>4.5094589999999997</v>
      </c>
      <c r="T72" s="242">
        <f>'[2]Argentina Sunflower Exports'!IM$290</f>
        <v>6.4818129999999998</v>
      </c>
      <c r="U72" s="242">
        <f>'[2]Argentina Sunflower Exports'!IY$290</f>
        <v>7.4262540000000001</v>
      </c>
      <c r="V72" s="242">
        <f>'[2]Argentina Sunflower Exports'!JK$290</f>
        <v>8.7160860000000007</v>
      </c>
      <c r="W72" s="242">
        <f>'[2]Argentina Sunflower Exports'!JW$290</f>
        <v>6.3680510000000004</v>
      </c>
      <c r="X72" s="242">
        <f>'[2]Argentina Sunflower Exports'!KI$290</f>
        <v>4.8422070000000001</v>
      </c>
      <c r="Y72" s="242">
        <f>'[2]Argentina Sunflower Exports'!KU$290</f>
        <v>7.0338329999999996</v>
      </c>
      <c r="Z72" s="242">
        <f>'[2]Argentina Sunflower Exports'!LG$290</f>
        <v>7.4139309999999998</v>
      </c>
      <c r="AA72" s="242">
        <f>'[2]Argentina Sunflower Exports'!LS$290</f>
        <v>2.8933230000000001</v>
      </c>
      <c r="AB72" s="242">
        <f>'[2]Argentina Sunflower Exports'!ME$290</f>
        <v>3.9616020000000001</v>
      </c>
      <c r="AC72" s="242">
        <f>'[2]Argentina Sunflower Exports'!MQ$290</f>
        <v>6.7379420000000003</v>
      </c>
      <c r="AD72" s="242">
        <f>'[2]Argentina Sunflower Exports'!NC$290</f>
        <v>8.5169999999999995</v>
      </c>
      <c r="AE72" s="242">
        <f>'[2]Argentina Sunflower Exports'!NO$290</f>
        <v>9.6329999999999991</v>
      </c>
      <c r="AF72" s="243">
        <f>(SUM(Z72:AD72)/SUM(Z$76:AD$76))*AF$76+5</f>
        <v>9.3690181821419145</v>
      </c>
      <c r="AG72" s="243">
        <f t="shared" si="55"/>
        <v>7.3284955818413584</v>
      </c>
    </row>
    <row r="73" spans="1:39">
      <c r="A73" s="240" t="s">
        <v>239</v>
      </c>
      <c r="B73" s="241">
        <v>0</v>
      </c>
      <c r="C73" s="241">
        <v>8.7999999999999995E-2</v>
      </c>
      <c r="D73" s="241">
        <v>0</v>
      </c>
      <c r="E73" s="241">
        <v>0.26900000000000002</v>
      </c>
      <c r="F73" s="241">
        <v>2.6230000000000002</v>
      </c>
      <c r="G73" s="241">
        <v>1.6800000000000002</v>
      </c>
      <c r="H73" s="241">
        <v>1.9059999999999999</v>
      </c>
      <c r="I73" s="241">
        <v>17.986000000000001</v>
      </c>
      <c r="J73" s="241">
        <v>1.8980000000000001</v>
      </c>
      <c r="K73" s="242">
        <f>'[2]Argentina Sunflower Exports'!EJ$290</f>
        <v>2.7555049999999999</v>
      </c>
      <c r="L73" s="242">
        <f>'[2]Argentina Sunflower Exports'!EV$290</f>
        <v>2.1718760000000001</v>
      </c>
      <c r="M73" s="242">
        <f>'[2]Argentina Sunflower Exports'!FH$290</f>
        <v>1.5570139999999999</v>
      </c>
      <c r="N73" s="242">
        <f>'[2]Argentina Sunflower Exports'!FT$290</f>
        <v>4.3704470000000004</v>
      </c>
      <c r="O73" s="242">
        <f>'[2]Argentina Sunflower Exports'!GF$290</f>
        <v>3.6822140000000001</v>
      </c>
      <c r="P73" s="242">
        <f>'[2]Argentina Sunflower Exports'!GR$290</f>
        <v>3.060765</v>
      </c>
      <c r="Q73" s="242">
        <f>'[2]Argentina Sunflower Exports'!HD$290</f>
        <v>4.8686590000000001</v>
      </c>
      <c r="R73" s="242">
        <f>'[2]Argentina Sunflower Exports'!HP$290</f>
        <v>4.7119280000000003</v>
      </c>
      <c r="S73" s="242">
        <f>'[2]Argentina Sunflower Exports'!IB$290</f>
        <v>7.351966</v>
      </c>
      <c r="T73" s="242">
        <f>'[2]Argentina Sunflower Exports'!IN$290</f>
        <v>8.5141810000000007</v>
      </c>
      <c r="U73" s="242">
        <f>'[2]Argentina Sunflower Exports'!IZ$290</f>
        <v>7.2141890000000002</v>
      </c>
      <c r="V73" s="242">
        <f>'[2]Argentina Sunflower Exports'!JL$290</f>
        <v>7.1461819999999996</v>
      </c>
      <c r="W73" s="242">
        <f>'[2]Argentina Sunflower Exports'!JX$290</f>
        <v>6.9168919999999998</v>
      </c>
      <c r="X73" s="242">
        <f>'[2]Argentina Sunflower Exports'!KJ$290</f>
        <v>5.325062</v>
      </c>
      <c r="Y73" s="242">
        <f>'[2]Argentina Sunflower Exports'!KV$290</f>
        <v>6.3572319999999998</v>
      </c>
      <c r="Z73" s="242">
        <f>'[2]Argentina Sunflower Exports'!LH$290</f>
        <v>6.4220889999999997</v>
      </c>
      <c r="AA73" s="242">
        <f>'[2]Argentina Sunflower Exports'!LT$290</f>
        <v>4.9659190000000004</v>
      </c>
      <c r="AB73" s="242">
        <f>'[2]Argentina Sunflower Exports'!MF$290</f>
        <v>5.0927170000000004</v>
      </c>
      <c r="AC73" s="242">
        <f>'[2]Argentina Sunflower Exports'!MR$290</f>
        <v>2.8872339999999999</v>
      </c>
      <c r="AD73" s="242">
        <f>'[2]Argentina Sunflower Exports'!ND$290</f>
        <v>5.2830000000000004</v>
      </c>
      <c r="AE73" s="242">
        <f>'[2]Argentina Sunflower Exports'!NP$290</f>
        <v>4.4809999999999999</v>
      </c>
      <c r="AF73" s="243">
        <f>(SUM(Z73:AD73)/SUM(Z$76:AD$76))*AF$76+5</f>
        <v>8.6479211813546097</v>
      </c>
      <c r="AG73" s="243">
        <f t="shared" si="55"/>
        <v>5.2430419079408175</v>
      </c>
    </row>
    <row r="74" spans="1:39">
      <c r="A74" s="240" t="s">
        <v>240</v>
      </c>
      <c r="B74" s="241">
        <v>0</v>
      </c>
      <c r="C74" s="241">
        <v>0.17599999999999999</v>
      </c>
      <c r="D74" s="241">
        <v>0</v>
      </c>
      <c r="E74" s="241">
        <v>0.13100000000000001</v>
      </c>
      <c r="F74" s="241">
        <v>1.3839999999999999</v>
      </c>
      <c r="G74" s="241">
        <v>1.5490000000000002</v>
      </c>
      <c r="H74" s="241">
        <v>1.8929999999999998</v>
      </c>
      <c r="I74" s="241">
        <v>3.516</v>
      </c>
      <c r="J74" s="241">
        <v>2.0239999999999996</v>
      </c>
      <c r="K74" s="242">
        <f>'[2]Argentina Sunflower Exports'!EK$290</f>
        <v>2.708256</v>
      </c>
      <c r="L74" s="242">
        <f>'[2]Argentina Sunflower Exports'!EW$290</f>
        <v>2.0857990000000002</v>
      </c>
      <c r="M74" s="242">
        <f>'[2]Argentina Sunflower Exports'!FI$290</f>
        <v>2.4147669999999999</v>
      </c>
      <c r="N74" s="242">
        <f>'[2]Argentina Sunflower Exports'!FU$290</f>
        <v>3.7278370000000001</v>
      </c>
      <c r="O74" s="242">
        <f>'[2]Argentina Sunflower Exports'!GG$290</f>
        <v>3.3418410000000001</v>
      </c>
      <c r="P74" s="242">
        <f>'[2]Argentina Sunflower Exports'!GS$290</f>
        <v>2.129489</v>
      </c>
      <c r="Q74" s="242">
        <f>'[2]Argentina Sunflower Exports'!HE$290</f>
        <v>3.507917</v>
      </c>
      <c r="R74" s="242">
        <f>'[2]Argentina Sunflower Exports'!HQ$290</f>
        <v>7.4805460000000004</v>
      </c>
      <c r="S74" s="242">
        <f>'[2]Argentina Sunflower Exports'!IC$290</f>
        <v>6.7580090000000004</v>
      </c>
      <c r="T74" s="242">
        <f>'[2]Argentina Sunflower Exports'!IO$290</f>
        <v>8.8954269999999998</v>
      </c>
      <c r="U74" s="242">
        <f>'[2]Argentina Sunflower Exports'!JA$290</f>
        <v>6.9811899999999998</v>
      </c>
      <c r="V74" s="242">
        <f>'[2]Argentina Sunflower Exports'!JM$290</f>
        <v>8.9627230000000004</v>
      </c>
      <c r="W74" s="242">
        <f>'[2]Argentina Sunflower Exports'!JY$290</f>
        <v>4.5304710000000004</v>
      </c>
      <c r="X74" s="242">
        <f>'[2]Argentina Sunflower Exports'!KK$290</f>
        <v>6.0979580000000002</v>
      </c>
      <c r="Y74" s="242">
        <f>'[2]Argentina Sunflower Exports'!KW$290</f>
        <v>7.1339180000000004</v>
      </c>
      <c r="Z74" s="242">
        <f>'[2]Argentina Sunflower Exports'!LI$290</f>
        <v>6.2558119999999997</v>
      </c>
      <c r="AA74" s="242">
        <f>'[2]Argentina Sunflower Exports'!LU$290</f>
        <v>4.955743</v>
      </c>
      <c r="AB74" s="242">
        <f>'[2]Argentina Sunflower Exports'!MG$290</f>
        <v>3.974796</v>
      </c>
      <c r="AC74" s="242">
        <f>'[2]Argentina Sunflower Exports'!MS$290</f>
        <v>3.8012139999999999</v>
      </c>
      <c r="AD74" s="242">
        <f>'[2]Argentina Sunflower Exports'!NE$290</f>
        <v>7.194</v>
      </c>
      <c r="AE74" s="242">
        <f>'[2]Argentina Sunflower Exports'!NQ$290</f>
        <v>4.048</v>
      </c>
      <c r="AF74" s="243">
        <f>(SUM(Z74:AD74)/SUM(Z$76:AD$76))*AF$76+5</f>
        <v>8.8744247444698807</v>
      </c>
      <c r="AG74" s="243">
        <f t="shared" si="55"/>
        <v>5.5348353676010431</v>
      </c>
    </row>
    <row r="75" spans="1:39">
      <c r="A75" s="240" t="s">
        <v>241</v>
      </c>
      <c r="B75" s="241">
        <v>0</v>
      </c>
      <c r="C75" s="241">
        <v>0.23699999999999999</v>
      </c>
      <c r="D75" s="241">
        <v>3.2290000000000001</v>
      </c>
      <c r="E75" s="241">
        <v>0.57999999999999996</v>
      </c>
      <c r="F75" s="241">
        <v>1.6319999999999999</v>
      </c>
      <c r="G75" s="241">
        <v>1.254</v>
      </c>
      <c r="H75" s="241">
        <v>2.1160000000000001</v>
      </c>
      <c r="I75" s="241">
        <v>2.3660000000000001</v>
      </c>
      <c r="J75" s="241">
        <v>1.5670000000000002</v>
      </c>
      <c r="K75" s="242">
        <f>'[2]Argentina Sunflower Exports'!EL$290</f>
        <v>1.5803739999999999</v>
      </c>
      <c r="L75" s="242">
        <f>'[2]Argentina Sunflower Exports'!EX$290</f>
        <v>1.151753</v>
      </c>
      <c r="M75" s="242">
        <f>'[2]Argentina Sunflower Exports'!FJ$290</f>
        <v>1.3744339999999999</v>
      </c>
      <c r="N75" s="242">
        <f>'[2]Argentina Sunflower Exports'!FV$290</f>
        <v>3.1204040000000002</v>
      </c>
      <c r="O75" s="242">
        <f>'[2]Argentina Sunflower Exports'!GH$290</f>
        <v>4.095783</v>
      </c>
      <c r="P75" s="242">
        <f>'[2]Argentina Sunflower Exports'!GT$290</f>
        <v>2.0018440000000002</v>
      </c>
      <c r="Q75" s="242">
        <f>'[2]Argentina Sunflower Exports'!HF$290</f>
        <v>3.1374970000000002</v>
      </c>
      <c r="R75" s="242">
        <f>'[2]Argentina Sunflower Exports'!HR$290</f>
        <v>5.8686930000000004</v>
      </c>
      <c r="S75" s="242">
        <f>'[2]Argentina Sunflower Exports'!ID$290</f>
        <v>6.866422</v>
      </c>
      <c r="T75" s="242">
        <f>'[2]Argentina Sunflower Exports'!IP$290</f>
        <v>6.6454500000000003</v>
      </c>
      <c r="U75" s="242">
        <f>'[2]Argentina Sunflower Exports'!JB$290</f>
        <v>6.4498550000000003</v>
      </c>
      <c r="V75" s="242">
        <f>'[2]Argentina Sunflower Exports'!JN$290</f>
        <v>6.1651530000000001</v>
      </c>
      <c r="W75" s="242">
        <f>'[2]Argentina Sunflower Exports'!JZ$290</f>
        <v>5.2862159999999996</v>
      </c>
      <c r="X75" s="242">
        <f>'[2]Argentina Sunflower Exports'!KL$290</f>
        <v>4.9356479999999996</v>
      </c>
      <c r="Y75" s="242">
        <f>'[2]Argentina Sunflower Exports'!KX$290</f>
        <v>6.1426429999999996</v>
      </c>
      <c r="Z75" s="242">
        <f>'[2]Argentina Sunflower Exports'!LJ$290</f>
        <v>5.4024049999999999</v>
      </c>
      <c r="AA75" s="242">
        <f>'[2]Argentina Sunflower Exports'!LV$290</f>
        <v>4.208825</v>
      </c>
      <c r="AB75" s="242">
        <f>'[2]Argentina Sunflower Exports'!MH$290</f>
        <v>4.8141999999999996</v>
      </c>
      <c r="AC75" s="242">
        <f>'[2]Argentina Sunflower Exports'!MT$290</f>
        <v>3.45607</v>
      </c>
      <c r="AD75" s="242">
        <f>'[2]Argentina Sunflower Exports'!NF$290</f>
        <v>4.359</v>
      </c>
      <c r="AE75" s="242">
        <f>'[2]Argentina Sunflower Exports'!NR$290</f>
        <v>10.339</v>
      </c>
      <c r="AF75" s="243">
        <f t="shared" ref="AF75" si="56">AF76-SUM(AF64:AF74)</f>
        <v>6.0906358920336032</v>
      </c>
      <c r="AG75" s="243">
        <f t="shared" ref="AG75" si="57">AG76-SUM(AG64:AG74)</f>
        <v>6.2743929410907526</v>
      </c>
    </row>
    <row r="76" spans="1:39" ht="15.75" thickBot="1">
      <c r="A76" s="240" t="s">
        <v>242</v>
      </c>
      <c r="B76" s="245">
        <f t="shared" ref="B76:AC76" si="58">SUM(B64:B75)</f>
        <v>175.82599999999999</v>
      </c>
      <c r="C76" s="245">
        <f t="shared" si="58"/>
        <v>574.87299999999993</v>
      </c>
      <c r="D76" s="245">
        <f t="shared" si="58"/>
        <v>827.61800000000017</v>
      </c>
      <c r="E76" s="245">
        <f t="shared" si="58"/>
        <v>537.95400000000006</v>
      </c>
      <c r="F76" s="245">
        <f t="shared" si="58"/>
        <v>68.02000000000001</v>
      </c>
      <c r="G76" s="245">
        <f t="shared" si="58"/>
        <v>502.28100000000001</v>
      </c>
      <c r="H76" s="245">
        <f t="shared" si="58"/>
        <v>942.00000000000011</v>
      </c>
      <c r="I76" s="245">
        <f t="shared" si="58"/>
        <v>282.71900000000005</v>
      </c>
      <c r="J76" s="245">
        <f t="shared" si="58"/>
        <v>76.187000000000012</v>
      </c>
      <c r="K76" s="245">
        <f t="shared" si="58"/>
        <v>344.20316100000002</v>
      </c>
      <c r="L76" s="245">
        <f t="shared" si="58"/>
        <v>230.70813500000003</v>
      </c>
      <c r="M76" s="245">
        <f t="shared" si="58"/>
        <v>45.062450999999996</v>
      </c>
      <c r="N76" s="245">
        <f t="shared" si="58"/>
        <v>104.35675699999999</v>
      </c>
      <c r="O76" s="245">
        <f t="shared" si="58"/>
        <v>44.856218999999996</v>
      </c>
      <c r="P76" s="245">
        <f t="shared" si="58"/>
        <v>59.652821999999986</v>
      </c>
      <c r="Q76" s="245">
        <f t="shared" si="58"/>
        <v>45.534524000000005</v>
      </c>
      <c r="R76" s="245">
        <f t="shared" si="58"/>
        <v>71.838537000000002</v>
      </c>
      <c r="S76" s="245">
        <f t="shared" si="58"/>
        <v>69.843870999999993</v>
      </c>
      <c r="T76" s="245">
        <f t="shared" si="58"/>
        <v>73.639513000000008</v>
      </c>
      <c r="U76" s="245">
        <f t="shared" si="58"/>
        <v>79.864086</v>
      </c>
      <c r="V76" s="245">
        <f t="shared" si="58"/>
        <v>86.054907</v>
      </c>
      <c r="W76" s="245">
        <f t="shared" si="58"/>
        <v>74.396963</v>
      </c>
      <c r="X76" s="245">
        <f t="shared" si="58"/>
        <v>62.234697000000004</v>
      </c>
      <c r="Y76" s="245">
        <f t="shared" si="58"/>
        <v>306.34599400000002</v>
      </c>
      <c r="Z76" s="245">
        <f t="shared" si="58"/>
        <v>77.195324999999997</v>
      </c>
      <c r="AA76" s="245">
        <f t="shared" si="58"/>
        <v>54.459165999999996</v>
      </c>
      <c r="AB76" s="245">
        <f t="shared" si="58"/>
        <v>148.87654799999999</v>
      </c>
      <c r="AC76" s="245">
        <f t="shared" si="58"/>
        <v>210.68156900000005</v>
      </c>
      <c r="AD76" s="246">
        <f>SUM(AD64:AD75)</f>
        <v>184.541</v>
      </c>
      <c r="AE76" s="246">
        <f>SUM(AE64:AE75)</f>
        <v>159.44200000000001</v>
      </c>
      <c r="AF76" s="247">
        <f t="shared" ref="AF76:AG76" si="59">AF13</f>
        <v>100</v>
      </c>
      <c r="AG76" s="247">
        <f t="shared" si="59"/>
        <v>175</v>
      </c>
    </row>
    <row r="77" spans="1:39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  <c r="AF77" s="248"/>
      <c r="AG77" s="248"/>
    </row>
    <row r="78" spans="1:39" ht="15.75" thickBot="1">
      <c r="A78" s="235" t="s">
        <v>244</v>
      </c>
      <c r="AJ78" s="249"/>
      <c r="AK78" s="249"/>
      <c r="AL78" s="249"/>
      <c r="AM78" s="249"/>
    </row>
    <row r="79" spans="1:39" ht="15.75" thickBot="1">
      <c r="A79" s="236"/>
      <c r="B79" s="237">
        <f>B$2</f>
        <v>1993</v>
      </c>
      <c r="C79" s="237">
        <f t="shared" ref="C79:AG79" si="60">C$2</f>
        <v>1994</v>
      </c>
      <c r="D79" s="237">
        <f t="shared" si="60"/>
        <v>1995</v>
      </c>
      <c r="E79" s="237">
        <f t="shared" si="60"/>
        <v>1996</v>
      </c>
      <c r="F79" s="237">
        <f t="shared" si="60"/>
        <v>1997</v>
      </c>
      <c r="G79" s="237">
        <f t="shared" si="60"/>
        <v>1998</v>
      </c>
      <c r="H79" s="237">
        <f t="shared" si="60"/>
        <v>1999</v>
      </c>
      <c r="I79" s="237">
        <f t="shared" si="60"/>
        <v>2000</v>
      </c>
      <c r="J79" s="237">
        <f t="shared" si="60"/>
        <v>2001</v>
      </c>
      <c r="K79" s="237">
        <f t="shared" si="60"/>
        <v>2002</v>
      </c>
      <c r="L79" s="237">
        <f t="shared" si="60"/>
        <v>2003</v>
      </c>
      <c r="M79" s="237">
        <f t="shared" si="60"/>
        <v>2004</v>
      </c>
      <c r="N79" s="237">
        <f t="shared" si="60"/>
        <v>2005</v>
      </c>
      <c r="O79" s="237">
        <f t="shared" si="60"/>
        <v>2006</v>
      </c>
      <c r="P79" s="237">
        <f t="shared" si="60"/>
        <v>2007</v>
      </c>
      <c r="Q79" s="237">
        <f t="shared" si="60"/>
        <v>2008</v>
      </c>
      <c r="R79" s="237">
        <f t="shared" si="60"/>
        <v>2009</v>
      </c>
      <c r="S79" s="237">
        <f t="shared" si="60"/>
        <v>2010</v>
      </c>
      <c r="T79" s="237">
        <f t="shared" si="60"/>
        <v>2011</v>
      </c>
      <c r="U79" s="237">
        <f t="shared" si="60"/>
        <v>2012</v>
      </c>
      <c r="V79" s="237">
        <f t="shared" si="60"/>
        <v>2013</v>
      </c>
      <c r="W79" s="237">
        <f t="shared" si="60"/>
        <v>2014</v>
      </c>
      <c r="X79" s="237">
        <f t="shared" si="60"/>
        <v>2015</v>
      </c>
      <c r="Y79" s="237">
        <f t="shared" si="60"/>
        <v>2016</v>
      </c>
      <c r="Z79" s="237">
        <f t="shared" si="60"/>
        <v>2017</v>
      </c>
      <c r="AA79" s="237">
        <f t="shared" si="60"/>
        <v>2018</v>
      </c>
      <c r="AB79" s="237">
        <f t="shared" si="60"/>
        <v>2019</v>
      </c>
      <c r="AC79" s="237">
        <f t="shared" si="60"/>
        <v>2020</v>
      </c>
      <c r="AD79" s="237">
        <f t="shared" si="60"/>
        <v>2021</v>
      </c>
      <c r="AE79" s="237">
        <f t="shared" si="60"/>
        <v>2022</v>
      </c>
      <c r="AF79" s="237">
        <f t="shared" si="60"/>
        <v>2023</v>
      </c>
      <c r="AG79" s="237">
        <f t="shared" si="60"/>
        <v>2024</v>
      </c>
      <c r="AI79" s="250" t="s">
        <v>245</v>
      </c>
    </row>
    <row r="80" spans="1:39">
      <c r="A80" s="240" t="s">
        <v>231</v>
      </c>
      <c r="B80" s="251">
        <v>180.863</v>
      </c>
      <c r="C80" s="251">
        <v>116.191</v>
      </c>
      <c r="D80" s="251">
        <v>152.262</v>
      </c>
      <c r="E80" s="251">
        <v>207.62299999999999</v>
      </c>
      <c r="F80" s="251">
        <v>159.66499999999999</v>
      </c>
      <c r="G80" s="251">
        <v>163.69300000000001</v>
      </c>
      <c r="H80" s="251">
        <v>230.58</v>
      </c>
      <c r="I80" s="251">
        <v>340.03500000000003</v>
      </c>
      <c r="J80" s="251">
        <v>201.69900000000001</v>
      </c>
      <c r="K80" s="251">
        <v>103.43899999999999</v>
      </c>
      <c r="L80" s="251">
        <v>390.84199999999998</v>
      </c>
      <c r="M80" s="251">
        <v>193.184</v>
      </c>
      <c r="N80" s="251">
        <v>213.898</v>
      </c>
      <c r="O80" s="251">
        <v>269.24299999999999</v>
      </c>
      <c r="P80" s="251">
        <v>269.363</v>
      </c>
      <c r="Q80" s="251">
        <v>239.94300000000001</v>
      </c>
      <c r="R80" s="251">
        <v>216.78899999999999</v>
      </c>
      <c r="S80" s="251">
        <v>113.919</v>
      </c>
      <c r="T80" s="251">
        <v>178.85499999999999</v>
      </c>
      <c r="U80" s="251">
        <v>223.809</v>
      </c>
      <c r="V80" s="251">
        <v>331.82400000000001</v>
      </c>
      <c r="W80" s="251">
        <v>180.816</v>
      </c>
      <c r="X80" s="251">
        <v>195.625</v>
      </c>
      <c r="Y80" s="251">
        <v>201.256</v>
      </c>
      <c r="Z80" s="251">
        <v>308.97300000000001</v>
      </c>
      <c r="AA80" s="251">
        <v>230.12</v>
      </c>
      <c r="AB80" s="251">
        <v>282.55900000000003</v>
      </c>
      <c r="AC80" s="251">
        <v>174.613</v>
      </c>
      <c r="AD80" s="251">
        <v>164.82300000000001</v>
      </c>
      <c r="AE80" s="251">
        <v>165.31299999999999</v>
      </c>
      <c r="AF80" s="251">
        <v>204.41</v>
      </c>
      <c r="AG80" s="252">
        <f t="shared" ref="AG80:AG82" si="61">(SUM(AA80:AE80)/SUM(AA$92:AE$92))*AG$92</f>
        <v>281.87808085405391</v>
      </c>
    </row>
    <row r="81" spans="1:44">
      <c r="A81" s="240" t="s">
        <v>232</v>
      </c>
      <c r="B81" s="251">
        <v>288.32299999999998</v>
      </c>
      <c r="C81" s="251">
        <v>151.57900000000001</v>
      </c>
      <c r="D81" s="251">
        <v>296.32299999999998</v>
      </c>
      <c r="E81" s="251">
        <v>294.49799999999999</v>
      </c>
      <c r="F81" s="251">
        <v>421.71100000000001</v>
      </c>
      <c r="G81" s="251">
        <v>295.16500000000002</v>
      </c>
      <c r="H81" s="251">
        <v>459.25400000000002</v>
      </c>
      <c r="I81" s="251">
        <v>461.19</v>
      </c>
      <c r="J81" s="251">
        <v>274.80700000000002</v>
      </c>
      <c r="K81" s="251">
        <v>178.447</v>
      </c>
      <c r="L81" s="251">
        <v>298.06900000000002</v>
      </c>
      <c r="M81" s="251">
        <v>239.10900000000001</v>
      </c>
      <c r="N81" s="251">
        <v>235.30199999999999</v>
      </c>
      <c r="O81" s="251">
        <v>341.56299999999999</v>
      </c>
      <c r="P81" s="251">
        <v>290.87299999999999</v>
      </c>
      <c r="Q81" s="251">
        <v>255.46799999999999</v>
      </c>
      <c r="R81" s="251">
        <v>327.55</v>
      </c>
      <c r="S81" s="251">
        <v>263.541</v>
      </c>
      <c r="T81" s="251">
        <v>217.55099999999999</v>
      </c>
      <c r="U81" s="251">
        <v>305.017</v>
      </c>
      <c r="V81" s="251">
        <v>276.25400000000002</v>
      </c>
      <c r="W81" s="251">
        <v>186.81100000000001</v>
      </c>
      <c r="X81" s="251">
        <v>166.26400000000001</v>
      </c>
      <c r="Y81" s="251">
        <v>278.63</v>
      </c>
      <c r="Z81" s="251">
        <v>203.94</v>
      </c>
      <c r="AA81" s="251">
        <v>196.59800000000001</v>
      </c>
      <c r="AB81" s="251">
        <v>252.49700000000001</v>
      </c>
      <c r="AC81" s="251">
        <v>211.399</v>
      </c>
      <c r="AD81" s="251">
        <v>203.02699999999999</v>
      </c>
      <c r="AE81" s="251">
        <v>236.13499999999999</v>
      </c>
      <c r="AF81" s="251">
        <v>224.35900000000001</v>
      </c>
      <c r="AG81" s="252">
        <f t="shared" si="61"/>
        <v>304.65932024639136</v>
      </c>
    </row>
    <row r="82" spans="1:44">
      <c r="A82" s="240" t="s">
        <v>233</v>
      </c>
      <c r="B82" s="251">
        <v>487.17899999999997</v>
      </c>
      <c r="C82" s="251">
        <v>449.81</v>
      </c>
      <c r="D82" s="251">
        <v>664.90300000000002</v>
      </c>
      <c r="E82" s="251">
        <v>720.32100000000003</v>
      </c>
      <c r="F82" s="251">
        <v>759.53</v>
      </c>
      <c r="G82" s="251">
        <v>822.15099999999995</v>
      </c>
      <c r="H82" s="251">
        <v>870.99099999999999</v>
      </c>
      <c r="I82" s="251">
        <v>778.65099999999995</v>
      </c>
      <c r="J82" s="251">
        <v>490.32100000000003</v>
      </c>
      <c r="K82" s="251">
        <v>469.52</v>
      </c>
      <c r="L82" s="251">
        <v>503.30599999999998</v>
      </c>
      <c r="M82" s="251">
        <v>416.80700000000002</v>
      </c>
      <c r="N82" s="251">
        <v>551.68899999999996</v>
      </c>
      <c r="O82" s="251">
        <v>558.84199999999998</v>
      </c>
      <c r="P82" s="251">
        <v>521.22199999999998</v>
      </c>
      <c r="Q82" s="251">
        <v>518.79899999999998</v>
      </c>
      <c r="R82" s="251">
        <v>493.93099999999998</v>
      </c>
      <c r="S82" s="251">
        <v>456.60300000000001</v>
      </c>
      <c r="T82" s="251">
        <v>533.24699999999996</v>
      </c>
      <c r="U82" s="251">
        <v>566.19399999999996</v>
      </c>
      <c r="V82" s="251">
        <v>411.04399999999998</v>
      </c>
      <c r="W82" s="251">
        <v>320.20400000000001</v>
      </c>
      <c r="X82" s="251">
        <v>428.63900000000001</v>
      </c>
      <c r="Y82" s="251">
        <v>411.584</v>
      </c>
      <c r="Z82" s="251">
        <v>416.09500000000003</v>
      </c>
      <c r="AA82" s="251">
        <v>393.43799999999999</v>
      </c>
      <c r="AB82" s="251">
        <v>264.7</v>
      </c>
      <c r="AC82" s="251">
        <v>337.83499999999998</v>
      </c>
      <c r="AD82" s="251">
        <v>388.90100000000001</v>
      </c>
      <c r="AE82" s="251">
        <v>400.3691</v>
      </c>
      <c r="AF82" s="251">
        <v>443.65600000000001</v>
      </c>
      <c r="AG82" s="252">
        <f t="shared" si="61"/>
        <v>494.6009927837074</v>
      </c>
    </row>
    <row r="83" spans="1:44">
      <c r="A83" s="240" t="s">
        <v>234</v>
      </c>
      <c r="B83" s="251">
        <v>405.51299999999998</v>
      </c>
      <c r="C83" s="251">
        <v>493.39299999999997</v>
      </c>
      <c r="D83" s="251">
        <v>573.20299999999997</v>
      </c>
      <c r="E83" s="251">
        <v>693.05499999999995</v>
      </c>
      <c r="F83" s="251">
        <v>639.21500000000003</v>
      </c>
      <c r="G83" s="251">
        <v>664.66099999999994</v>
      </c>
      <c r="H83" s="251">
        <v>763.33900000000006</v>
      </c>
      <c r="I83" s="251">
        <v>575.17100000000005</v>
      </c>
      <c r="J83" s="251">
        <v>305.416</v>
      </c>
      <c r="K83" s="251">
        <v>391.54599999999999</v>
      </c>
      <c r="L83" s="251">
        <v>331.02199999999999</v>
      </c>
      <c r="M83" s="251">
        <v>281.89499999999998</v>
      </c>
      <c r="N83" s="251">
        <v>343.87799999999999</v>
      </c>
      <c r="O83" s="251">
        <v>426.113</v>
      </c>
      <c r="P83" s="251">
        <v>338.80799999999999</v>
      </c>
      <c r="Q83" s="251">
        <v>550.80399999999997</v>
      </c>
      <c r="R83" s="251">
        <v>318.73399999999998</v>
      </c>
      <c r="S83" s="251">
        <v>320.93900000000002</v>
      </c>
      <c r="T83" s="251">
        <v>317.84100000000001</v>
      </c>
      <c r="U83" s="251">
        <v>480.07499999999999</v>
      </c>
      <c r="V83" s="251">
        <v>284.52800000000002</v>
      </c>
      <c r="W83" s="251">
        <v>278.01900000000001</v>
      </c>
      <c r="X83" s="251">
        <v>345.13400000000001</v>
      </c>
      <c r="Y83" s="251">
        <v>387.65600000000001</v>
      </c>
      <c r="Z83" s="251">
        <v>433.76100000000002</v>
      </c>
      <c r="AA83" s="251">
        <v>385.24</v>
      </c>
      <c r="AB83" s="251">
        <v>286.63799999999998</v>
      </c>
      <c r="AC83" s="251">
        <v>311.952</v>
      </c>
      <c r="AD83" s="251">
        <v>396.97300000000001</v>
      </c>
      <c r="AE83" s="251">
        <v>429.26400000000001</v>
      </c>
      <c r="AF83" s="251">
        <v>419.32400000000001</v>
      </c>
      <c r="AG83" s="252">
        <f t="shared" ref="AG83:AG90" si="62">(SUM(AA83:AE83)/SUM(AA$92:AE$92))*AG$92</f>
        <v>501.47844582344374</v>
      </c>
    </row>
    <row r="84" spans="1:44">
      <c r="A84" s="240" t="s">
        <v>46</v>
      </c>
      <c r="B84" s="251">
        <v>365.678</v>
      </c>
      <c r="C84" s="251">
        <v>432.952</v>
      </c>
      <c r="D84" s="251">
        <v>536.06799999999998</v>
      </c>
      <c r="E84" s="251">
        <v>584.447</v>
      </c>
      <c r="F84" s="251">
        <v>555.98699999999997</v>
      </c>
      <c r="G84" s="251">
        <v>589.93299999999999</v>
      </c>
      <c r="H84" s="251">
        <v>630.91300000000001</v>
      </c>
      <c r="I84" s="251">
        <v>431.995</v>
      </c>
      <c r="J84" s="251">
        <v>240.62</v>
      </c>
      <c r="K84" s="251">
        <v>361.36799999999999</v>
      </c>
      <c r="L84" s="251">
        <v>232.39400000000001</v>
      </c>
      <c r="M84" s="251">
        <v>193.53700000000001</v>
      </c>
      <c r="N84" s="251">
        <v>264.85899999999998</v>
      </c>
      <c r="O84" s="251">
        <v>333.815</v>
      </c>
      <c r="P84" s="251">
        <v>256.29300000000001</v>
      </c>
      <c r="Q84" s="251">
        <v>470.00099999999998</v>
      </c>
      <c r="R84" s="251">
        <v>348.34500000000003</v>
      </c>
      <c r="S84" s="251">
        <v>229.98599999999999</v>
      </c>
      <c r="T84" s="251">
        <v>268.96899999999999</v>
      </c>
      <c r="U84" s="251">
        <v>265.90100000000001</v>
      </c>
      <c r="V84" s="251">
        <v>202.43100000000001</v>
      </c>
      <c r="W84" s="251">
        <v>185.215</v>
      </c>
      <c r="X84" s="251">
        <v>95.74</v>
      </c>
      <c r="Y84" s="251">
        <v>217.53299999999999</v>
      </c>
      <c r="Z84" s="251">
        <v>315.786</v>
      </c>
      <c r="AA84" s="251">
        <v>350.64400000000001</v>
      </c>
      <c r="AB84" s="251">
        <v>387.28699999999998</v>
      </c>
      <c r="AC84" s="251">
        <v>276.06299999999999</v>
      </c>
      <c r="AD84" s="251">
        <v>334.791</v>
      </c>
      <c r="AE84" s="251">
        <v>361.56599999999997</v>
      </c>
      <c r="AF84" s="251">
        <v>419.98</v>
      </c>
      <c r="AG84" s="252">
        <f t="shared" si="62"/>
        <v>473.85216198769047</v>
      </c>
    </row>
    <row r="85" spans="1:44">
      <c r="A85" s="240" t="s">
        <v>235</v>
      </c>
      <c r="B85" s="251">
        <v>266.697</v>
      </c>
      <c r="C85" s="251">
        <v>277.142</v>
      </c>
      <c r="D85" s="251">
        <v>498.20699999999999</v>
      </c>
      <c r="E85" s="251">
        <v>368.59399999999999</v>
      </c>
      <c r="F85" s="251">
        <v>486.15100000000001</v>
      </c>
      <c r="G85" s="251">
        <v>554.38199999999995</v>
      </c>
      <c r="H85" s="251">
        <v>538.97500000000002</v>
      </c>
      <c r="I85" s="251">
        <v>418.15199999999999</v>
      </c>
      <c r="J85" s="251">
        <v>223.59100000000001</v>
      </c>
      <c r="K85" s="251">
        <v>277.93900000000002</v>
      </c>
      <c r="L85" s="251">
        <v>283.54300000000001</v>
      </c>
      <c r="M85" s="251">
        <v>208.05799999999999</v>
      </c>
      <c r="N85" s="251">
        <v>376.10500000000002</v>
      </c>
      <c r="O85" s="251">
        <v>386.11599999999999</v>
      </c>
      <c r="P85" s="251">
        <v>263.69099999999997</v>
      </c>
      <c r="Q85" s="251">
        <v>307.55599999999998</v>
      </c>
      <c r="R85" s="251">
        <v>327.36799999999999</v>
      </c>
      <c r="S85" s="251">
        <v>212.44399999999999</v>
      </c>
      <c r="T85" s="251">
        <v>394.71</v>
      </c>
      <c r="U85" s="251">
        <v>369.91399999999999</v>
      </c>
      <c r="V85" s="251">
        <v>213.761</v>
      </c>
      <c r="W85" s="251">
        <v>243.04599999999999</v>
      </c>
      <c r="X85" s="251">
        <v>245.595</v>
      </c>
      <c r="Y85" s="251">
        <v>309.35899999999998</v>
      </c>
      <c r="Z85" s="251">
        <v>251.376</v>
      </c>
      <c r="AA85" s="251">
        <v>262.81599999999997</v>
      </c>
      <c r="AB85" s="251">
        <v>289.02699999999999</v>
      </c>
      <c r="AC85" s="251">
        <v>268.50599999999997</v>
      </c>
      <c r="AD85" s="251">
        <v>366.33699999999999</v>
      </c>
      <c r="AE85" s="251">
        <v>408.529</v>
      </c>
      <c r="AF85" s="251">
        <v>348.13400000000001</v>
      </c>
      <c r="AG85" s="252">
        <f t="shared" si="62"/>
        <v>441.95377240414018</v>
      </c>
    </row>
    <row r="86" spans="1:44">
      <c r="A86" s="240" t="s">
        <v>236</v>
      </c>
      <c r="B86" s="251">
        <v>199.08</v>
      </c>
      <c r="C86" s="251">
        <v>313.411</v>
      </c>
      <c r="D86" s="251">
        <v>470.07900000000001</v>
      </c>
      <c r="E86" s="251">
        <v>437.39800000000002</v>
      </c>
      <c r="F86" s="251">
        <v>393.63799999999998</v>
      </c>
      <c r="G86" s="251">
        <v>520.54200000000003</v>
      </c>
      <c r="H86" s="251">
        <v>623.96100000000001</v>
      </c>
      <c r="I86" s="251">
        <v>345.88900000000001</v>
      </c>
      <c r="J86" s="251">
        <v>231.66499999999999</v>
      </c>
      <c r="K86" s="251">
        <v>290.65600000000001</v>
      </c>
      <c r="L86" s="251">
        <v>236.05500000000001</v>
      </c>
      <c r="M86" s="251">
        <v>248.73</v>
      </c>
      <c r="N86" s="251">
        <v>332.40699999999998</v>
      </c>
      <c r="O86" s="251">
        <v>287.40899999999999</v>
      </c>
      <c r="P86" s="251">
        <v>322.488</v>
      </c>
      <c r="Q86" s="251">
        <v>410.738</v>
      </c>
      <c r="R86" s="251">
        <v>304.98200000000003</v>
      </c>
      <c r="S86" s="251">
        <v>202.739</v>
      </c>
      <c r="T86" s="251">
        <v>314.02199999999999</v>
      </c>
      <c r="U86" s="251">
        <v>332.21899999999999</v>
      </c>
      <c r="V86" s="251">
        <v>176.38200000000001</v>
      </c>
      <c r="W86" s="251">
        <v>139.863</v>
      </c>
      <c r="X86" s="251">
        <v>283.99599999999998</v>
      </c>
      <c r="Y86" s="251">
        <v>222.61699999999999</v>
      </c>
      <c r="Z86" s="251">
        <v>317.86700000000002</v>
      </c>
      <c r="AA86" s="251">
        <v>231.96100000000001</v>
      </c>
      <c r="AB86" s="251">
        <v>332.25200000000001</v>
      </c>
      <c r="AC86" s="251">
        <v>204.18700000000001</v>
      </c>
      <c r="AD86" s="251">
        <v>325.99200000000002</v>
      </c>
      <c r="AE86" s="251">
        <v>377.42599999999999</v>
      </c>
      <c r="AF86" s="251">
        <v>402.14100000000002</v>
      </c>
      <c r="AG86" s="252">
        <f t="shared" si="62"/>
        <v>407.76667558436748</v>
      </c>
    </row>
    <row r="87" spans="1:44">
      <c r="A87" s="240" t="s">
        <v>237</v>
      </c>
      <c r="B87" s="251">
        <v>189.738</v>
      </c>
      <c r="C87" s="251">
        <v>263.798</v>
      </c>
      <c r="D87" s="251">
        <v>398.72399999999999</v>
      </c>
      <c r="E87" s="251">
        <v>340.87599999999998</v>
      </c>
      <c r="F87" s="251">
        <v>490.33</v>
      </c>
      <c r="G87" s="251">
        <v>405.93400000000003</v>
      </c>
      <c r="H87" s="251">
        <v>461.21600000000001</v>
      </c>
      <c r="I87" s="251">
        <v>417.68200000000002</v>
      </c>
      <c r="J87" s="251">
        <v>242.36799999999999</v>
      </c>
      <c r="K87" s="251">
        <v>186.50800000000001</v>
      </c>
      <c r="L87" s="251">
        <v>222.14699999999999</v>
      </c>
      <c r="M87" s="251">
        <v>247.761</v>
      </c>
      <c r="N87" s="251">
        <v>332.11599999999999</v>
      </c>
      <c r="O87" s="251">
        <v>347.54899999999998</v>
      </c>
      <c r="P87" s="251">
        <v>256.75299999999999</v>
      </c>
      <c r="Q87" s="251">
        <v>370.99799999999999</v>
      </c>
      <c r="R87" s="251">
        <v>261.98599999999999</v>
      </c>
      <c r="S87" s="251">
        <v>227.11600000000001</v>
      </c>
      <c r="T87" s="251">
        <v>352.33699999999999</v>
      </c>
      <c r="U87" s="251">
        <v>295.084</v>
      </c>
      <c r="V87" s="251">
        <v>155.86099999999999</v>
      </c>
      <c r="W87" s="251">
        <v>145.75899999999999</v>
      </c>
      <c r="X87" s="251">
        <v>265.38200000000001</v>
      </c>
      <c r="Y87" s="251">
        <v>232.07300000000001</v>
      </c>
      <c r="Z87" s="251">
        <v>300.01799999999997</v>
      </c>
      <c r="AA87" s="251">
        <v>246.767</v>
      </c>
      <c r="AB87" s="251">
        <v>365.459</v>
      </c>
      <c r="AC87" s="251">
        <v>271.56</v>
      </c>
      <c r="AD87" s="251">
        <v>299.80799999999999</v>
      </c>
      <c r="AE87" s="251">
        <v>312.39499999999998</v>
      </c>
      <c r="AF87" s="251">
        <v>404.23399999999998</v>
      </c>
      <c r="AG87" s="252">
        <f t="shared" si="62"/>
        <v>414.46324290148812</v>
      </c>
    </row>
    <row r="88" spans="1:44">
      <c r="A88" s="240" t="s">
        <v>238</v>
      </c>
      <c r="B88" s="251">
        <v>187.39400000000001</v>
      </c>
      <c r="C88" s="251">
        <v>238.232</v>
      </c>
      <c r="D88" s="251">
        <v>362.55599999999998</v>
      </c>
      <c r="E88" s="251">
        <v>354.14800000000002</v>
      </c>
      <c r="F88" s="251">
        <v>459.26499999999999</v>
      </c>
      <c r="G88" s="251">
        <v>396.33</v>
      </c>
      <c r="H88" s="251">
        <v>492.43599999999998</v>
      </c>
      <c r="I88" s="251">
        <v>371.44299999999998</v>
      </c>
      <c r="J88" s="251">
        <v>276.36099999999999</v>
      </c>
      <c r="K88" s="251">
        <v>184.71</v>
      </c>
      <c r="L88" s="251">
        <v>182.65799999999999</v>
      </c>
      <c r="M88" s="251">
        <v>198.596</v>
      </c>
      <c r="N88" s="251">
        <v>262.48099999999999</v>
      </c>
      <c r="O88" s="251">
        <v>246.494</v>
      </c>
      <c r="P88" s="251">
        <v>192.31800000000001</v>
      </c>
      <c r="Q88" s="251">
        <v>340.44200000000001</v>
      </c>
      <c r="R88" s="251">
        <v>273.892</v>
      </c>
      <c r="S88" s="251">
        <v>207.81800000000001</v>
      </c>
      <c r="T88" s="251">
        <v>291.45400000000001</v>
      </c>
      <c r="U88" s="251">
        <v>233.50299999999999</v>
      </c>
      <c r="V88" s="251">
        <v>190.21799999999999</v>
      </c>
      <c r="W88" s="251">
        <v>120.788</v>
      </c>
      <c r="X88" s="251">
        <v>191.51499999999999</v>
      </c>
      <c r="Y88" s="251">
        <v>122.46</v>
      </c>
      <c r="Z88" s="251">
        <v>208.876</v>
      </c>
      <c r="AA88" s="251">
        <v>264.21100000000001</v>
      </c>
      <c r="AB88" s="251">
        <v>176.77600000000001</v>
      </c>
      <c r="AC88" s="251">
        <v>145.523</v>
      </c>
      <c r="AD88" s="251">
        <v>202.53100000000001</v>
      </c>
      <c r="AE88" s="251">
        <v>202.23400000000001</v>
      </c>
      <c r="AF88" s="252">
        <f>(SUM(Z88:AD88)/SUM(Z$92:AD$92))*AF$92+150</f>
        <v>400.62465479735488</v>
      </c>
      <c r="AG88" s="252">
        <f t="shared" si="62"/>
        <v>274.63240111202197</v>
      </c>
    </row>
    <row r="89" spans="1:44">
      <c r="A89" s="240" t="s">
        <v>239</v>
      </c>
      <c r="B89" s="251">
        <v>132.67500000000001</v>
      </c>
      <c r="C89" s="251">
        <v>302.37</v>
      </c>
      <c r="D89" s="251">
        <v>423.39699999999999</v>
      </c>
      <c r="E89" s="251">
        <v>416.80799999999999</v>
      </c>
      <c r="F89" s="251">
        <v>501.17500000000001</v>
      </c>
      <c r="G89" s="251">
        <v>395.04500000000002</v>
      </c>
      <c r="H89" s="251">
        <v>453.23599999999999</v>
      </c>
      <c r="I89" s="251">
        <v>393.55399999999997</v>
      </c>
      <c r="J89" s="251">
        <v>234.161</v>
      </c>
      <c r="K89" s="251">
        <v>187.40199999999999</v>
      </c>
      <c r="L89" s="251">
        <v>215.374</v>
      </c>
      <c r="M89" s="251">
        <v>240.595</v>
      </c>
      <c r="N89" s="251">
        <v>225.971</v>
      </c>
      <c r="O89" s="251">
        <v>259.76100000000002</v>
      </c>
      <c r="P89" s="251">
        <v>185.34299999999999</v>
      </c>
      <c r="Q89" s="251">
        <v>297.31400000000002</v>
      </c>
      <c r="R89" s="251">
        <v>269.83300000000003</v>
      </c>
      <c r="S89" s="251">
        <v>207.47399999999999</v>
      </c>
      <c r="T89" s="251">
        <v>248.00399999999999</v>
      </c>
      <c r="U89" s="251">
        <v>260.61</v>
      </c>
      <c r="V89" s="251">
        <v>201.893</v>
      </c>
      <c r="W89" s="251">
        <v>201.357</v>
      </c>
      <c r="X89" s="251">
        <v>123.29900000000001</v>
      </c>
      <c r="Y89" s="251">
        <v>129.40600000000001</v>
      </c>
      <c r="Z89" s="251">
        <v>183.02199999999999</v>
      </c>
      <c r="AA89" s="251">
        <v>207.673</v>
      </c>
      <c r="AB89" s="251">
        <v>189.977</v>
      </c>
      <c r="AC89" s="251">
        <v>153.62100000000001</v>
      </c>
      <c r="AD89" s="251">
        <v>153.15</v>
      </c>
      <c r="AE89" s="251">
        <v>150.518</v>
      </c>
      <c r="AF89" s="252">
        <f>(SUM(Z89:AD89)/SUM(Z$92:AD$92))*AF$92-50</f>
        <v>172.87935322008644</v>
      </c>
      <c r="AG89" s="252">
        <f t="shared" si="62"/>
        <v>236.86055874939944</v>
      </c>
    </row>
    <row r="90" spans="1:44">
      <c r="A90" s="240" t="s">
        <v>240</v>
      </c>
      <c r="B90" s="251">
        <v>132.49799999999999</v>
      </c>
      <c r="C90" s="251">
        <v>182.923</v>
      </c>
      <c r="D90" s="251">
        <v>300.52</v>
      </c>
      <c r="E90" s="251">
        <v>365.81299999999999</v>
      </c>
      <c r="F90" s="251">
        <v>372.78500000000003</v>
      </c>
      <c r="G90" s="251">
        <v>269.17</v>
      </c>
      <c r="H90" s="251">
        <v>371.68099999999998</v>
      </c>
      <c r="I90" s="251">
        <v>344.90199999999999</v>
      </c>
      <c r="J90" s="251">
        <v>196.48599999999999</v>
      </c>
      <c r="K90" s="251">
        <v>207.68299999999999</v>
      </c>
      <c r="L90" s="251">
        <v>221.274</v>
      </c>
      <c r="M90" s="251">
        <v>231.10499999999999</v>
      </c>
      <c r="N90" s="251">
        <v>221.54900000000001</v>
      </c>
      <c r="O90" s="251">
        <v>108.733</v>
      </c>
      <c r="P90" s="251">
        <v>120.01</v>
      </c>
      <c r="Q90" s="251">
        <v>200.14599999999999</v>
      </c>
      <c r="R90" s="251">
        <v>178.42400000000001</v>
      </c>
      <c r="S90" s="251">
        <v>131.25200000000001</v>
      </c>
      <c r="T90" s="251">
        <v>184.06700000000001</v>
      </c>
      <c r="U90" s="251">
        <v>189.35</v>
      </c>
      <c r="V90" s="251">
        <v>58.46</v>
      </c>
      <c r="W90" s="251">
        <v>104.46899999999999</v>
      </c>
      <c r="X90" s="251">
        <v>129.68899999999999</v>
      </c>
      <c r="Y90" s="251">
        <v>93.320999999999998</v>
      </c>
      <c r="Z90" s="251">
        <v>107.1</v>
      </c>
      <c r="AA90" s="251">
        <v>188.73699999999999</v>
      </c>
      <c r="AB90" s="251">
        <v>157.571</v>
      </c>
      <c r="AC90" s="251">
        <v>120.73099999999999</v>
      </c>
      <c r="AD90" s="251">
        <v>147.11600000000001</v>
      </c>
      <c r="AE90" s="251">
        <v>150.46</v>
      </c>
      <c r="AF90" s="252">
        <f>(SUM(Z90:AD90)/SUM(Z$92:AD$92))*AF$92-25</f>
        <v>156.14160335565603</v>
      </c>
      <c r="AG90" s="252">
        <f t="shared" si="62"/>
        <v>211.83632531463891</v>
      </c>
    </row>
    <row r="91" spans="1:44">
      <c r="A91" s="240" t="s">
        <v>241</v>
      </c>
      <c r="B91" s="251">
        <v>94.444999999999993</v>
      </c>
      <c r="C91" s="251">
        <v>131.23599999999999</v>
      </c>
      <c r="D91" s="251">
        <v>268.54399999999998</v>
      </c>
      <c r="E91" s="251">
        <v>259.733</v>
      </c>
      <c r="F91" s="251">
        <v>221.38800000000001</v>
      </c>
      <c r="G91" s="251">
        <v>83.194999999999993</v>
      </c>
      <c r="H91" s="251">
        <v>187.15299999999999</v>
      </c>
      <c r="I91" s="251">
        <v>270.70999999999998</v>
      </c>
      <c r="J91" s="251">
        <v>218.80799999999999</v>
      </c>
      <c r="K91" s="251">
        <v>149.78399999999999</v>
      </c>
      <c r="L91" s="251">
        <v>169.56899999999999</v>
      </c>
      <c r="M91" s="251">
        <v>142.76300000000001</v>
      </c>
      <c r="N91" s="251">
        <v>203.00700000000001</v>
      </c>
      <c r="O91" s="251">
        <v>189.18799999999999</v>
      </c>
      <c r="P91" s="251">
        <v>43.115000000000002</v>
      </c>
      <c r="Q91" s="251">
        <v>249.089</v>
      </c>
      <c r="R91" s="251">
        <v>141.51900000000001</v>
      </c>
      <c r="S91" s="251">
        <v>176.64500000000001</v>
      </c>
      <c r="T91" s="251">
        <v>246.87</v>
      </c>
      <c r="U91" s="251">
        <v>154.27199999999999</v>
      </c>
      <c r="V91" s="251">
        <v>81.754999999999995</v>
      </c>
      <c r="W91" s="251">
        <v>110.244</v>
      </c>
      <c r="X91" s="251">
        <v>159.828</v>
      </c>
      <c r="Y91" s="251">
        <v>139.67500000000001</v>
      </c>
      <c r="Z91" s="251">
        <v>108.423</v>
      </c>
      <c r="AA91" s="251">
        <v>113.991</v>
      </c>
      <c r="AB91" s="251">
        <v>122.47</v>
      </c>
      <c r="AC91" s="251">
        <v>14.614000000000001</v>
      </c>
      <c r="AD91" s="251">
        <v>122.748</v>
      </c>
      <c r="AE91" s="251">
        <v>189.31800000000001</v>
      </c>
      <c r="AF91" s="252">
        <f t="shared" ref="AF91" si="63">AF92-SUM(AF80:AF90)</f>
        <v>154.11638862690188</v>
      </c>
      <c r="AG91" s="252">
        <f t="shared" ref="AG91" si="64">AG92-SUM(AG80:AG90)</f>
        <v>156.01802223865707</v>
      </c>
    </row>
    <row r="92" spans="1:44" ht="15.75" thickBot="1">
      <c r="A92" s="240" t="s">
        <v>242</v>
      </c>
      <c r="B92" s="146">
        <f>SUM(B80:B91)</f>
        <v>2930.0830000000005</v>
      </c>
      <c r="C92" s="146">
        <f t="shared" ref="C92:AE92" si="65">SUM(C80:C91)</f>
        <v>3353.0369999999994</v>
      </c>
      <c r="D92" s="146">
        <f t="shared" si="65"/>
        <v>4944.7860000000001</v>
      </c>
      <c r="E92" s="146">
        <f t="shared" si="65"/>
        <v>5043.3140000000003</v>
      </c>
      <c r="F92" s="146">
        <f t="shared" si="65"/>
        <v>5460.84</v>
      </c>
      <c r="G92" s="146">
        <f t="shared" si="65"/>
        <v>5160.201</v>
      </c>
      <c r="H92" s="146">
        <f t="shared" si="65"/>
        <v>6083.7349999999997</v>
      </c>
      <c r="I92" s="146">
        <f t="shared" si="65"/>
        <v>5149.3740000000007</v>
      </c>
      <c r="J92" s="146">
        <f t="shared" si="65"/>
        <v>3136.3029999999994</v>
      </c>
      <c r="K92" s="146">
        <f t="shared" si="65"/>
        <v>2989.002</v>
      </c>
      <c r="L92" s="146">
        <f t="shared" si="65"/>
        <v>3286.2529999999992</v>
      </c>
      <c r="M92" s="146">
        <f t="shared" si="65"/>
        <v>2842.1399999999994</v>
      </c>
      <c r="N92" s="146">
        <f t="shared" si="65"/>
        <v>3563.2619999999997</v>
      </c>
      <c r="O92" s="146">
        <f t="shared" si="65"/>
        <v>3754.8260000000005</v>
      </c>
      <c r="P92" s="146">
        <f t="shared" si="65"/>
        <v>3060.2770000000005</v>
      </c>
      <c r="Q92" s="146">
        <f t="shared" si="65"/>
        <v>4211.2979999999998</v>
      </c>
      <c r="R92" s="146">
        <f t="shared" si="65"/>
        <v>3463.3530000000001</v>
      </c>
      <c r="S92" s="146">
        <f t="shared" si="65"/>
        <v>2750.4760000000001</v>
      </c>
      <c r="T92" s="146">
        <f t="shared" si="65"/>
        <v>3547.9270000000001</v>
      </c>
      <c r="U92" s="146">
        <f t="shared" si="65"/>
        <v>3675.9479999999999</v>
      </c>
      <c r="V92" s="146">
        <f t="shared" si="65"/>
        <v>2584.4110000000001</v>
      </c>
      <c r="W92" s="146">
        <f t="shared" si="65"/>
        <v>2216.5910000000003</v>
      </c>
      <c r="X92" s="146">
        <f t="shared" si="65"/>
        <v>2630.7059999999997</v>
      </c>
      <c r="Y92" s="146">
        <f t="shared" si="65"/>
        <v>2745.5699999999997</v>
      </c>
      <c r="Z92" s="146">
        <f t="shared" si="65"/>
        <v>3155.2370000000001</v>
      </c>
      <c r="AA92" s="146">
        <f t="shared" si="65"/>
        <v>3072.1959999999999</v>
      </c>
      <c r="AB92" s="146">
        <f t="shared" si="65"/>
        <v>3107.2129999999993</v>
      </c>
      <c r="AC92" s="146">
        <f t="shared" si="65"/>
        <v>2490.6039999999998</v>
      </c>
      <c r="AD92" s="146">
        <f t="shared" si="65"/>
        <v>3106.1970000000001</v>
      </c>
      <c r="AE92" s="146">
        <f t="shared" si="65"/>
        <v>3383.5271000000002</v>
      </c>
      <c r="AF92" s="253">
        <f t="shared" ref="AF92:AG92" si="66">AF12</f>
        <v>3750</v>
      </c>
      <c r="AG92" s="253">
        <f t="shared" si="66"/>
        <v>4200</v>
      </c>
    </row>
    <row r="93" spans="1:44">
      <c r="A93" s="248"/>
      <c r="B93" s="254">
        <f t="shared" ref="B93:AC93" si="67">SUM(B80:B91)-B12</f>
        <v>0</v>
      </c>
      <c r="C93" s="254">
        <f t="shared" si="67"/>
        <v>0</v>
      </c>
      <c r="D93" s="254">
        <f t="shared" si="67"/>
        <v>0</v>
      </c>
      <c r="E93" s="254">
        <f t="shared" si="67"/>
        <v>0</v>
      </c>
      <c r="F93" s="254">
        <f t="shared" si="67"/>
        <v>0</v>
      </c>
      <c r="G93" s="254">
        <f t="shared" si="67"/>
        <v>0</v>
      </c>
      <c r="H93" s="254">
        <f t="shared" si="67"/>
        <v>0</v>
      </c>
      <c r="I93" s="254">
        <f t="shared" si="67"/>
        <v>0</v>
      </c>
      <c r="J93" s="254">
        <f t="shared" si="67"/>
        <v>0</v>
      </c>
      <c r="K93" s="254">
        <f t="shared" si="67"/>
        <v>0</v>
      </c>
      <c r="L93" s="254">
        <f t="shared" si="67"/>
        <v>0</v>
      </c>
      <c r="M93" s="254">
        <f t="shared" si="67"/>
        <v>0</v>
      </c>
      <c r="N93" s="254">
        <f t="shared" si="67"/>
        <v>0</v>
      </c>
      <c r="O93" s="254">
        <f t="shared" si="67"/>
        <v>0</v>
      </c>
      <c r="P93" s="254">
        <f t="shared" si="67"/>
        <v>0</v>
      </c>
      <c r="Q93" s="254">
        <f t="shared" si="67"/>
        <v>0</v>
      </c>
      <c r="R93" s="254">
        <f t="shared" si="67"/>
        <v>0</v>
      </c>
      <c r="S93" s="254">
        <f t="shared" si="67"/>
        <v>0</v>
      </c>
      <c r="T93" s="254">
        <f t="shared" si="67"/>
        <v>0</v>
      </c>
      <c r="U93" s="254">
        <f t="shared" si="67"/>
        <v>0</v>
      </c>
      <c r="V93" s="254">
        <f t="shared" si="67"/>
        <v>0</v>
      </c>
      <c r="W93" s="254">
        <f t="shared" si="67"/>
        <v>0</v>
      </c>
      <c r="X93" s="254">
        <f t="shared" si="67"/>
        <v>0</v>
      </c>
      <c r="Y93" s="254">
        <f t="shared" si="67"/>
        <v>0</v>
      </c>
      <c r="Z93" s="254">
        <f>SUM(Z80:Z91)-Z12</f>
        <v>0</v>
      </c>
      <c r="AA93" s="254">
        <f t="shared" si="67"/>
        <v>0</v>
      </c>
      <c r="AB93" s="254">
        <f t="shared" si="67"/>
        <v>0</v>
      </c>
      <c r="AC93" s="254">
        <f t="shared" si="67"/>
        <v>0</v>
      </c>
      <c r="AD93" s="254">
        <f t="shared" ref="AD93:AF93" si="68">SUM(AD80:AD91)-AD12</f>
        <v>0</v>
      </c>
      <c r="AE93" s="254">
        <f t="shared" si="68"/>
        <v>0</v>
      </c>
      <c r="AF93" s="254">
        <f t="shared" si="68"/>
        <v>0</v>
      </c>
      <c r="AG93" s="254">
        <f t="shared" ref="AG93" si="69">SUM(AG80:AG91)-AG12</f>
        <v>0</v>
      </c>
    </row>
    <row r="94" spans="1:44" ht="15.75" thickBot="1">
      <c r="A94" s="235" t="s">
        <v>246</v>
      </c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</row>
    <row r="95" spans="1:44" ht="15.75" thickBot="1">
      <c r="A95" s="236"/>
      <c r="B95" s="237">
        <f>B2</f>
        <v>1993</v>
      </c>
      <c r="C95" s="237">
        <f t="shared" ref="C95:AG95" si="70">C2</f>
        <v>1994</v>
      </c>
      <c r="D95" s="237">
        <f t="shared" si="70"/>
        <v>1995</v>
      </c>
      <c r="E95" s="237">
        <f t="shared" si="70"/>
        <v>1996</v>
      </c>
      <c r="F95" s="237">
        <f t="shared" si="70"/>
        <v>1997</v>
      </c>
      <c r="G95" s="237">
        <f t="shared" si="70"/>
        <v>1998</v>
      </c>
      <c r="H95" s="237">
        <f t="shared" si="70"/>
        <v>1999</v>
      </c>
      <c r="I95" s="237">
        <f t="shared" si="70"/>
        <v>2000</v>
      </c>
      <c r="J95" s="237">
        <f t="shared" si="70"/>
        <v>2001</v>
      </c>
      <c r="K95" s="237">
        <f t="shared" si="70"/>
        <v>2002</v>
      </c>
      <c r="L95" s="237">
        <f t="shared" si="70"/>
        <v>2003</v>
      </c>
      <c r="M95" s="237">
        <f t="shared" si="70"/>
        <v>2004</v>
      </c>
      <c r="N95" s="237">
        <f t="shared" si="70"/>
        <v>2005</v>
      </c>
      <c r="O95" s="237">
        <f t="shared" si="70"/>
        <v>2006</v>
      </c>
      <c r="P95" s="237">
        <f t="shared" si="70"/>
        <v>2007</v>
      </c>
      <c r="Q95" s="237">
        <f t="shared" si="70"/>
        <v>2008</v>
      </c>
      <c r="R95" s="237">
        <f t="shared" si="70"/>
        <v>2009</v>
      </c>
      <c r="S95" s="237">
        <f t="shared" si="70"/>
        <v>2010</v>
      </c>
      <c r="T95" s="237">
        <f t="shared" si="70"/>
        <v>2011</v>
      </c>
      <c r="U95" s="237">
        <f t="shared" si="70"/>
        <v>2012</v>
      </c>
      <c r="V95" s="237">
        <f t="shared" si="70"/>
        <v>2013</v>
      </c>
      <c r="W95" s="237">
        <f t="shared" si="70"/>
        <v>2014</v>
      </c>
      <c r="X95" s="237">
        <f t="shared" si="70"/>
        <v>2015</v>
      </c>
      <c r="Y95" s="237">
        <f t="shared" si="70"/>
        <v>2016</v>
      </c>
      <c r="Z95" s="237">
        <f t="shared" si="70"/>
        <v>2017</v>
      </c>
      <c r="AA95" s="237">
        <f t="shared" si="70"/>
        <v>2018</v>
      </c>
      <c r="AB95" s="237">
        <f t="shared" si="70"/>
        <v>2019</v>
      </c>
      <c r="AC95" s="237">
        <f t="shared" si="70"/>
        <v>2020</v>
      </c>
      <c r="AD95" s="237">
        <f t="shared" si="70"/>
        <v>2021</v>
      </c>
      <c r="AE95" s="237">
        <f t="shared" si="70"/>
        <v>2022</v>
      </c>
      <c r="AF95" s="237">
        <f t="shared" si="70"/>
        <v>2023</v>
      </c>
      <c r="AG95" s="237">
        <f t="shared" si="70"/>
        <v>2024</v>
      </c>
      <c r="AQ95" s="255" t="s">
        <v>247</v>
      </c>
    </row>
    <row r="96" spans="1:44" ht="17.25">
      <c r="A96" s="240" t="s">
        <v>231</v>
      </c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46">
        <v>369.19799999999998</v>
      </c>
      <c r="Y96" s="146">
        <v>592.10400000000004</v>
      </c>
      <c r="Z96" s="146">
        <v>515.52599999999995</v>
      </c>
      <c r="AA96" s="146">
        <v>646.76400000000001</v>
      </c>
      <c r="AB96" s="146">
        <v>525.20899999999995</v>
      </c>
      <c r="AC96" s="146">
        <v>421.08100000000002</v>
      </c>
      <c r="AD96" s="146">
        <v>228.56399999999999</v>
      </c>
      <c r="AE96" s="146">
        <v>340.82299999999998</v>
      </c>
      <c r="AF96" s="146">
        <v>467.51400000000001</v>
      </c>
      <c r="AG96" s="108"/>
      <c r="AQ96" s="256" t="s">
        <v>248</v>
      </c>
      <c r="AR96" s="257" t="s">
        <v>249</v>
      </c>
    </row>
    <row r="97" spans="1:44" ht="17.25">
      <c r="A97" s="240" t="s">
        <v>232</v>
      </c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46">
        <v>463.09100000000001</v>
      </c>
      <c r="Y97" s="146">
        <v>587.98800000000006</v>
      </c>
      <c r="Z97" s="146">
        <v>606.15700000000004</v>
      </c>
      <c r="AA97" s="146">
        <v>701.64400000000001</v>
      </c>
      <c r="AB97" s="146">
        <v>616.255</v>
      </c>
      <c r="AC97" s="146">
        <v>418.81299999999999</v>
      </c>
      <c r="AD97" s="146">
        <v>352.73700000000002</v>
      </c>
      <c r="AE97" s="146">
        <v>428.959</v>
      </c>
      <c r="AF97" s="146">
        <v>596.77099999999996</v>
      </c>
      <c r="AG97" s="108"/>
      <c r="AQ97" s="256" t="s">
        <v>250</v>
      </c>
      <c r="AR97" s="257" t="s">
        <v>251</v>
      </c>
    </row>
    <row r="98" spans="1:44">
      <c r="A98" s="240" t="s">
        <v>233</v>
      </c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46">
        <v>768.27499999999998</v>
      </c>
      <c r="Y98" s="146">
        <v>876.22699999999998</v>
      </c>
      <c r="Z98" s="146">
        <v>492.84399999999999</v>
      </c>
      <c r="AA98" s="146">
        <v>972.67200000000003</v>
      </c>
      <c r="AB98" s="146">
        <v>1002.545</v>
      </c>
      <c r="AC98" s="146">
        <v>641.74800000000005</v>
      </c>
      <c r="AD98" s="146">
        <v>778.07399999999996</v>
      </c>
      <c r="AE98" s="146">
        <v>854.21799999999996</v>
      </c>
      <c r="AF98" s="146">
        <v>1006.749</v>
      </c>
      <c r="AG98" s="108"/>
    </row>
    <row r="99" spans="1:44">
      <c r="A99" s="240" t="s">
        <v>234</v>
      </c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46">
        <v>692.96</v>
      </c>
      <c r="Y99" s="146">
        <v>661.197</v>
      </c>
      <c r="Z99" s="146">
        <v>791.68499999999995</v>
      </c>
      <c r="AA99" s="146">
        <v>857.63</v>
      </c>
      <c r="AB99" s="146">
        <v>958.29100000000005</v>
      </c>
      <c r="AC99" s="146">
        <v>538.875</v>
      </c>
      <c r="AD99" s="251">
        <v>729.72199999999998</v>
      </c>
      <c r="AE99" s="146">
        <v>768.97199999999998</v>
      </c>
      <c r="AF99" s="146">
        <v>855.89400000000001</v>
      </c>
      <c r="AG99" s="108"/>
    </row>
    <row r="100" spans="1:44">
      <c r="A100" s="240" t="s">
        <v>46</v>
      </c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46">
        <v>676.45899999999995</v>
      </c>
      <c r="Y100" s="146">
        <v>512.21</v>
      </c>
      <c r="Z100" s="146">
        <v>603.81500000000005</v>
      </c>
      <c r="AA100" s="146">
        <v>668.375</v>
      </c>
      <c r="AB100" s="146">
        <v>787.66700000000003</v>
      </c>
      <c r="AC100" s="146">
        <v>479.86900000000003</v>
      </c>
      <c r="AD100" s="146">
        <v>611.25699999999995</v>
      </c>
      <c r="AE100" s="146">
        <v>749.76</v>
      </c>
      <c r="AF100" s="146">
        <v>872.48800000000006</v>
      </c>
      <c r="AG100" s="108"/>
    </row>
    <row r="101" spans="1:44">
      <c r="A101" s="240" t="s">
        <v>235</v>
      </c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46">
        <v>579.33399999999995</v>
      </c>
      <c r="Y101" s="146">
        <v>318.55900000000003</v>
      </c>
      <c r="Z101" s="146">
        <v>504.32499999999999</v>
      </c>
      <c r="AA101" s="146">
        <v>568.61099999999999</v>
      </c>
      <c r="AB101" s="146">
        <v>649.71600000000001</v>
      </c>
      <c r="AC101" s="146">
        <v>391.54199999999997</v>
      </c>
      <c r="AD101" s="146">
        <v>548.94299999999998</v>
      </c>
      <c r="AE101" s="146">
        <v>589.18700000000001</v>
      </c>
      <c r="AF101" s="146">
        <v>845.63699999999994</v>
      </c>
      <c r="AG101" s="108"/>
    </row>
    <row r="102" spans="1:44">
      <c r="A102" s="240" t="s">
        <v>236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46">
        <v>440.98</v>
      </c>
      <c r="Y102" s="146">
        <v>216.44200000000001</v>
      </c>
      <c r="Z102" s="146">
        <v>345.565</v>
      </c>
      <c r="AA102" s="146">
        <v>488.34</v>
      </c>
      <c r="AB102" s="146">
        <v>497.87099999999998</v>
      </c>
      <c r="AC102" s="146">
        <v>327.75799999999998</v>
      </c>
      <c r="AD102" s="146">
        <v>458.12799999999999</v>
      </c>
      <c r="AE102" s="146">
        <v>442.89299999999997</v>
      </c>
      <c r="AF102" s="146">
        <v>762.74800000000005</v>
      </c>
      <c r="AG102" s="108"/>
    </row>
    <row r="103" spans="1:44">
      <c r="A103" s="240" t="s">
        <v>237</v>
      </c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46">
        <v>346.10500000000002</v>
      </c>
      <c r="Y103" s="146">
        <v>155.321</v>
      </c>
      <c r="Z103" s="146">
        <v>280.065</v>
      </c>
      <c r="AA103" s="146">
        <v>398.39499999999998</v>
      </c>
      <c r="AB103" s="146">
        <v>353.81400000000002</v>
      </c>
      <c r="AC103" s="146">
        <v>228.334</v>
      </c>
      <c r="AD103" s="146">
        <v>322.90499999999997</v>
      </c>
      <c r="AE103" s="146">
        <v>336.85</v>
      </c>
      <c r="AF103" s="146">
        <v>770.601</v>
      </c>
      <c r="AG103" s="108"/>
    </row>
    <row r="104" spans="1:44">
      <c r="A104" s="240" t="s">
        <v>238</v>
      </c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46">
        <v>350.47300000000001</v>
      </c>
      <c r="Y104" s="146">
        <v>168.18199999999999</v>
      </c>
      <c r="Z104" s="146">
        <v>214.649</v>
      </c>
      <c r="AA104" s="146">
        <v>293.20299999999997</v>
      </c>
      <c r="AB104" s="146">
        <v>357.39100000000002</v>
      </c>
      <c r="AC104" s="146">
        <v>198.62799999999999</v>
      </c>
      <c r="AD104" s="146">
        <v>233.29900000000001</v>
      </c>
      <c r="AE104" s="146">
        <v>256.738</v>
      </c>
      <c r="AF104" s="108"/>
      <c r="AG104" s="108"/>
    </row>
    <row r="105" spans="1:44">
      <c r="A105" s="240" t="s">
        <v>239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46">
        <v>348.858</v>
      </c>
      <c r="Y105" s="146">
        <v>111.536</v>
      </c>
      <c r="Z105" s="146">
        <v>163.55600000000001</v>
      </c>
      <c r="AA105" s="146">
        <v>223.952</v>
      </c>
      <c r="AB105" s="146">
        <v>271.41800000000001</v>
      </c>
      <c r="AC105" s="146">
        <v>136.042</v>
      </c>
      <c r="AD105" s="146">
        <v>198.72300000000001</v>
      </c>
      <c r="AE105" s="146">
        <v>191.476</v>
      </c>
      <c r="AF105" s="108"/>
      <c r="AG105" s="108"/>
    </row>
    <row r="106" spans="1:44">
      <c r="A106" s="240" t="s">
        <v>240</v>
      </c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46">
        <v>328.30900000000003</v>
      </c>
      <c r="Y106" s="146">
        <v>84.478999999999999</v>
      </c>
      <c r="Z106" s="146">
        <v>142.45099999999999</v>
      </c>
      <c r="AA106" s="146">
        <v>17.454999999999998</v>
      </c>
      <c r="AB106" s="146">
        <v>186.84399999999999</v>
      </c>
      <c r="AC106" s="146">
        <v>71.870999999999995</v>
      </c>
      <c r="AD106" s="146">
        <v>129.291</v>
      </c>
      <c r="AE106" s="146">
        <v>174.75800000000001</v>
      </c>
      <c r="AF106" s="108"/>
      <c r="AG106" s="108"/>
    </row>
    <row r="107" spans="1:44" ht="15.75" thickBot="1">
      <c r="A107" s="240" t="s">
        <v>241</v>
      </c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46">
        <v>328.11599999999999</v>
      </c>
      <c r="Y107" s="146">
        <v>89.334000000000003</v>
      </c>
      <c r="Z107" s="146">
        <v>101.69</v>
      </c>
      <c r="AA107" s="146">
        <v>199.42699999999999</v>
      </c>
      <c r="AB107" s="146">
        <v>153.727</v>
      </c>
      <c r="AC107" s="146">
        <v>101.675</v>
      </c>
      <c r="AD107" s="146">
        <v>116.32</v>
      </c>
      <c r="AE107" s="146">
        <v>166.49299999999999</v>
      </c>
      <c r="AF107" s="108"/>
      <c r="AG107" s="108"/>
    </row>
    <row r="108" spans="1:44">
      <c r="A108" s="248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48"/>
      <c r="AG108" s="248"/>
    </row>
    <row r="109" spans="1:44" ht="15.75" thickBot="1">
      <c r="A109" s="235" t="s">
        <v>252</v>
      </c>
    </row>
    <row r="110" spans="1:44" ht="15.75" thickBot="1">
      <c r="A110" s="236"/>
      <c r="B110" s="237">
        <f>B$2</f>
        <v>1993</v>
      </c>
      <c r="C110" s="237">
        <f t="shared" ref="C110:AG110" si="71">C$2</f>
        <v>1994</v>
      </c>
      <c r="D110" s="237">
        <f t="shared" si="71"/>
        <v>1995</v>
      </c>
      <c r="E110" s="237">
        <f t="shared" si="71"/>
        <v>1996</v>
      </c>
      <c r="F110" s="237">
        <f t="shared" si="71"/>
        <v>1997</v>
      </c>
      <c r="G110" s="237">
        <f t="shared" si="71"/>
        <v>1998</v>
      </c>
      <c r="H110" s="237">
        <f t="shared" si="71"/>
        <v>1999</v>
      </c>
      <c r="I110" s="237">
        <f t="shared" si="71"/>
        <v>2000</v>
      </c>
      <c r="J110" s="237">
        <f t="shared" si="71"/>
        <v>2001</v>
      </c>
      <c r="K110" s="237">
        <f t="shared" si="71"/>
        <v>2002</v>
      </c>
      <c r="L110" s="237">
        <f t="shared" si="71"/>
        <v>2003</v>
      </c>
      <c r="M110" s="237">
        <f t="shared" si="71"/>
        <v>2004</v>
      </c>
      <c r="N110" s="237">
        <f t="shared" si="71"/>
        <v>2005</v>
      </c>
      <c r="O110" s="237">
        <f t="shared" si="71"/>
        <v>2006</v>
      </c>
      <c r="P110" s="237">
        <f t="shared" si="71"/>
        <v>2007</v>
      </c>
      <c r="Q110" s="237">
        <f t="shared" si="71"/>
        <v>2008</v>
      </c>
      <c r="R110" s="237">
        <f t="shared" si="71"/>
        <v>2009</v>
      </c>
      <c r="S110" s="237">
        <f t="shared" si="71"/>
        <v>2010</v>
      </c>
      <c r="T110" s="237">
        <f t="shared" si="71"/>
        <v>2011</v>
      </c>
      <c r="U110" s="237">
        <f t="shared" si="71"/>
        <v>2012</v>
      </c>
      <c r="V110" s="237">
        <f t="shared" si="71"/>
        <v>2013</v>
      </c>
      <c r="W110" s="237">
        <f t="shared" si="71"/>
        <v>2014</v>
      </c>
      <c r="X110" s="237">
        <f t="shared" si="71"/>
        <v>2015</v>
      </c>
      <c r="Y110" s="237">
        <f t="shared" si="71"/>
        <v>2016</v>
      </c>
      <c r="Z110" s="237">
        <f t="shared" si="71"/>
        <v>2017</v>
      </c>
      <c r="AA110" s="237">
        <f t="shared" si="71"/>
        <v>2018</v>
      </c>
      <c r="AB110" s="237">
        <f t="shared" si="71"/>
        <v>2019</v>
      </c>
      <c r="AC110" s="237">
        <f t="shared" si="71"/>
        <v>2020</v>
      </c>
      <c r="AD110" s="237">
        <f t="shared" si="71"/>
        <v>2021</v>
      </c>
      <c r="AE110" s="237">
        <f t="shared" si="71"/>
        <v>2022</v>
      </c>
      <c r="AF110" s="237">
        <f t="shared" si="71"/>
        <v>2023</v>
      </c>
      <c r="AG110" s="237">
        <f t="shared" si="71"/>
        <v>2024</v>
      </c>
    </row>
    <row r="111" spans="1:44">
      <c r="A111" s="240" t="s">
        <v>231</v>
      </c>
      <c r="B111" s="251">
        <v>75.016000000000005</v>
      </c>
      <c r="C111" s="251">
        <v>51.499000000000002</v>
      </c>
      <c r="D111" s="251">
        <v>65.606999999999999</v>
      </c>
      <c r="E111" s="251">
        <v>85.688999999999993</v>
      </c>
      <c r="F111" s="251">
        <v>69.332999999999998</v>
      </c>
      <c r="G111" s="251">
        <v>66.733999999999995</v>
      </c>
      <c r="H111" s="251">
        <v>100.693</v>
      </c>
      <c r="I111" s="251">
        <v>143.73099999999999</v>
      </c>
      <c r="J111" s="251">
        <v>82.602999999999994</v>
      </c>
      <c r="K111" s="251">
        <v>44.69</v>
      </c>
      <c r="L111" s="251">
        <v>164.114</v>
      </c>
      <c r="M111" s="251">
        <v>82.256</v>
      </c>
      <c r="N111" s="251">
        <v>86.966999999999999</v>
      </c>
      <c r="O111" s="251">
        <v>113.32539999999999</v>
      </c>
      <c r="P111" s="251">
        <v>114.2662</v>
      </c>
      <c r="Q111" s="251">
        <v>98.040999999999997</v>
      </c>
      <c r="R111" s="251">
        <v>89.478999999999999</v>
      </c>
      <c r="S111" s="251">
        <v>47.482999999999997</v>
      </c>
      <c r="T111" s="251">
        <v>76.844999999999999</v>
      </c>
      <c r="U111" s="251">
        <v>101.593</v>
      </c>
      <c r="V111" s="251">
        <v>143.72</v>
      </c>
      <c r="W111" s="251">
        <v>82.221999999999994</v>
      </c>
      <c r="X111" s="251">
        <v>93.212000000000003</v>
      </c>
      <c r="Y111" s="251">
        <v>82.15</v>
      </c>
      <c r="Z111" s="251">
        <v>127.389</v>
      </c>
      <c r="AA111" s="251">
        <v>99.352000000000004</v>
      </c>
      <c r="AB111" s="251">
        <v>110.718</v>
      </c>
      <c r="AC111" s="251">
        <v>76.954999999999998</v>
      </c>
      <c r="AD111" s="251">
        <v>69.387</v>
      </c>
      <c r="AE111" s="251">
        <v>71.552000000000007</v>
      </c>
      <c r="AF111" s="251">
        <v>87.412999999999997</v>
      </c>
      <c r="AG111" s="252">
        <f t="shared" ref="AG111:AG122" si="72">AG$155*AG80</f>
        <v>116.62716746201882</v>
      </c>
    </row>
    <row r="112" spans="1:44">
      <c r="A112" s="240" t="s">
        <v>232</v>
      </c>
      <c r="B112" s="251">
        <v>128.69</v>
      </c>
      <c r="C112" s="251">
        <v>65.248000000000005</v>
      </c>
      <c r="D112" s="251">
        <v>130.25299999999999</v>
      </c>
      <c r="E112" s="251">
        <v>127.336</v>
      </c>
      <c r="F112" s="251">
        <v>182.083</v>
      </c>
      <c r="G112" s="251">
        <v>136.125</v>
      </c>
      <c r="H112" s="251">
        <v>202.45500000000001</v>
      </c>
      <c r="I112" s="251">
        <v>203.11</v>
      </c>
      <c r="J112" s="251">
        <v>112.09699999999999</v>
      </c>
      <c r="K112" s="251">
        <v>72.793000000000006</v>
      </c>
      <c r="L112" s="251">
        <v>124.455</v>
      </c>
      <c r="M112" s="251">
        <v>92.849000000000004</v>
      </c>
      <c r="N112" s="251">
        <v>99.337000000000003</v>
      </c>
      <c r="O112" s="251">
        <v>151.124</v>
      </c>
      <c r="P112" s="251">
        <v>127.401</v>
      </c>
      <c r="Q112" s="251">
        <v>104.89</v>
      </c>
      <c r="R112" s="251">
        <v>139.666</v>
      </c>
      <c r="S112" s="251">
        <v>103.68899999999999</v>
      </c>
      <c r="T112" s="251">
        <v>99.786000000000001</v>
      </c>
      <c r="U112" s="251">
        <v>133.41800000000001</v>
      </c>
      <c r="V112" s="251">
        <v>116.864</v>
      </c>
      <c r="W112" s="251">
        <v>75.873000000000005</v>
      </c>
      <c r="X112" s="251">
        <v>81.510999999999996</v>
      </c>
      <c r="Y112" s="251">
        <v>113.938</v>
      </c>
      <c r="Z112" s="251">
        <v>88.748000000000005</v>
      </c>
      <c r="AA112" s="251">
        <v>82.893000000000001</v>
      </c>
      <c r="AB112" s="251">
        <v>99.653000000000006</v>
      </c>
      <c r="AC112" s="251">
        <v>91.116</v>
      </c>
      <c r="AD112" s="251">
        <v>83.778000000000006</v>
      </c>
      <c r="AE112" s="251">
        <v>99.67</v>
      </c>
      <c r="AF112" s="251">
        <v>98.757000000000005</v>
      </c>
      <c r="AG112" s="252">
        <f t="shared" si="72"/>
        <v>126.05291427266967</v>
      </c>
    </row>
    <row r="113" spans="1:33">
      <c r="A113" s="240" t="s">
        <v>233</v>
      </c>
      <c r="B113" s="251">
        <v>213.548</v>
      </c>
      <c r="C113" s="251">
        <v>185.96700000000001</v>
      </c>
      <c r="D113" s="251">
        <v>295.577</v>
      </c>
      <c r="E113" s="251">
        <v>307.45499999999998</v>
      </c>
      <c r="F113" s="251">
        <v>329.303</v>
      </c>
      <c r="G113" s="251">
        <v>367.52600000000001</v>
      </c>
      <c r="H113" s="251">
        <v>366.57799999999997</v>
      </c>
      <c r="I113" s="251">
        <v>328.82499999999999</v>
      </c>
      <c r="J113" s="251">
        <v>201.43700000000001</v>
      </c>
      <c r="K113" s="251">
        <v>189.43199999999999</v>
      </c>
      <c r="L113" s="251">
        <v>209.148</v>
      </c>
      <c r="M113" s="251">
        <v>169.46899999999999</v>
      </c>
      <c r="N113" s="251">
        <v>233.369</v>
      </c>
      <c r="O113" s="251">
        <v>234.53200000000001</v>
      </c>
      <c r="P113" s="251">
        <v>223.76258999999999</v>
      </c>
      <c r="Q113" s="251">
        <v>228.23</v>
      </c>
      <c r="R113" s="251">
        <v>209.822</v>
      </c>
      <c r="S113" s="251">
        <v>194.53899999999999</v>
      </c>
      <c r="T113" s="251">
        <v>233.03</v>
      </c>
      <c r="U113" s="251">
        <v>244.428</v>
      </c>
      <c r="V113" s="251">
        <v>174.28</v>
      </c>
      <c r="W113" s="251">
        <v>138.88399999999999</v>
      </c>
      <c r="X113" s="251">
        <v>184.74100000000001</v>
      </c>
      <c r="Y113" s="251">
        <v>170.52099999999999</v>
      </c>
      <c r="Z113" s="251">
        <v>173.86</v>
      </c>
      <c r="AA113" s="251">
        <v>159.69800000000001</v>
      </c>
      <c r="AB113" s="251">
        <v>148.51400000000001</v>
      </c>
      <c r="AC113" s="251">
        <v>139.048</v>
      </c>
      <c r="AD113" s="251">
        <v>153.04599999999999</v>
      </c>
      <c r="AE113" s="251">
        <v>149.64099999999999</v>
      </c>
      <c r="AF113" s="251">
        <v>193.559</v>
      </c>
      <c r="AG113" s="252">
        <f t="shared" si="72"/>
        <v>204.64135642435005</v>
      </c>
    </row>
    <row r="114" spans="1:33">
      <c r="A114" s="240" t="s">
        <v>234</v>
      </c>
      <c r="B114" s="251">
        <v>173.34</v>
      </c>
      <c r="C114" s="251">
        <v>202.613</v>
      </c>
      <c r="D114" s="251">
        <v>252.99299999999999</v>
      </c>
      <c r="E114" s="251">
        <v>297.596</v>
      </c>
      <c r="F114" s="251">
        <v>266.25700000000001</v>
      </c>
      <c r="G114" s="251">
        <v>280.97399999999999</v>
      </c>
      <c r="H114" s="251">
        <v>332.97699999999998</v>
      </c>
      <c r="I114" s="251">
        <v>236.29</v>
      </c>
      <c r="J114" s="251">
        <v>126.678</v>
      </c>
      <c r="K114" s="251">
        <v>159.43</v>
      </c>
      <c r="L114" s="251">
        <v>138.53399999999999</v>
      </c>
      <c r="M114" s="251">
        <v>114.09099999999999</v>
      </c>
      <c r="N114" s="251">
        <v>159.32400000000001</v>
      </c>
      <c r="O114" s="251">
        <v>189.60029999999998</v>
      </c>
      <c r="P114" s="251">
        <v>143.12299999999999</v>
      </c>
      <c r="Q114" s="251">
        <v>228.48099999999999</v>
      </c>
      <c r="R114" s="251">
        <v>135.52699999999999</v>
      </c>
      <c r="S114" s="251">
        <v>147.58699999999999</v>
      </c>
      <c r="T114" s="251">
        <v>140.96600000000001</v>
      </c>
      <c r="U114" s="251">
        <v>207.886</v>
      </c>
      <c r="V114" s="251">
        <v>123.39400000000001</v>
      </c>
      <c r="W114" s="251">
        <v>119.568</v>
      </c>
      <c r="X114" s="251">
        <v>145.363</v>
      </c>
      <c r="Y114" s="251">
        <v>158.126</v>
      </c>
      <c r="Z114" s="251">
        <v>180.16</v>
      </c>
      <c r="AA114" s="251">
        <v>157.29400000000001</v>
      </c>
      <c r="AB114" s="251">
        <v>156.14500000000001</v>
      </c>
      <c r="AC114" s="251">
        <v>123.251</v>
      </c>
      <c r="AD114" s="251">
        <v>156.596</v>
      </c>
      <c r="AE114" s="251">
        <v>172.08</v>
      </c>
      <c r="AF114" s="251">
        <v>183.71700000000001</v>
      </c>
      <c r="AG114" s="252">
        <f t="shared" si="72"/>
        <v>207.48690534020491</v>
      </c>
    </row>
    <row r="115" spans="1:33">
      <c r="A115" s="240" t="s">
        <v>46</v>
      </c>
      <c r="B115" s="251">
        <v>155.44499999999999</v>
      </c>
      <c r="C115" s="251">
        <v>176.119</v>
      </c>
      <c r="D115" s="251">
        <v>227.36500000000001</v>
      </c>
      <c r="E115" s="251">
        <v>240.755</v>
      </c>
      <c r="F115" s="251">
        <v>229.18199999999999</v>
      </c>
      <c r="G115" s="251">
        <v>242.07300000000001</v>
      </c>
      <c r="H115" s="251">
        <v>259.38799999999998</v>
      </c>
      <c r="I115" s="251">
        <v>167.60900000000001</v>
      </c>
      <c r="J115" s="251">
        <v>99.986999999999995</v>
      </c>
      <c r="K115" s="251">
        <v>148.69499999999999</v>
      </c>
      <c r="L115" s="251">
        <v>92.061999999999998</v>
      </c>
      <c r="M115" s="251">
        <v>80.367999999999995</v>
      </c>
      <c r="N115" s="251">
        <v>111.705</v>
      </c>
      <c r="O115" s="251">
        <v>156.26868999999999</v>
      </c>
      <c r="P115" s="251">
        <v>110.747</v>
      </c>
      <c r="Q115" s="251">
        <v>196.119</v>
      </c>
      <c r="R115" s="251">
        <v>145.52199999999999</v>
      </c>
      <c r="S115" s="251">
        <v>97.744</v>
      </c>
      <c r="T115" s="251">
        <v>121.179</v>
      </c>
      <c r="U115" s="251">
        <v>113.884</v>
      </c>
      <c r="V115" s="251">
        <v>92.652000000000001</v>
      </c>
      <c r="W115" s="251">
        <v>79.745999999999995</v>
      </c>
      <c r="X115" s="251">
        <v>39.491</v>
      </c>
      <c r="Y115" s="251">
        <v>89.393000000000001</v>
      </c>
      <c r="Z115" s="251">
        <v>131.86600000000001</v>
      </c>
      <c r="AA115" s="251">
        <v>145.309</v>
      </c>
      <c r="AB115" s="251">
        <v>155.173</v>
      </c>
      <c r="AC115" s="251">
        <v>108.005</v>
      </c>
      <c r="AD115" s="251">
        <v>127.047</v>
      </c>
      <c r="AE115" s="251">
        <v>145.90700000000001</v>
      </c>
      <c r="AF115" s="251">
        <v>180.595</v>
      </c>
      <c r="AG115" s="252">
        <f t="shared" si="72"/>
        <v>196.05651947443096</v>
      </c>
    </row>
    <row r="116" spans="1:33">
      <c r="A116" s="240" t="s">
        <v>235</v>
      </c>
      <c r="B116" s="251">
        <v>115.602</v>
      </c>
      <c r="C116" s="251">
        <v>113.04600000000001</v>
      </c>
      <c r="D116" s="251">
        <v>204.64</v>
      </c>
      <c r="E116" s="251">
        <v>149.79900000000001</v>
      </c>
      <c r="F116" s="251">
        <v>194.80199999999999</v>
      </c>
      <c r="G116" s="251">
        <v>225.67699999999999</v>
      </c>
      <c r="H116" s="251">
        <v>222.858</v>
      </c>
      <c r="I116" s="251">
        <v>165.47200000000001</v>
      </c>
      <c r="J116" s="251">
        <v>94.314999999999998</v>
      </c>
      <c r="K116" s="251">
        <v>114.845</v>
      </c>
      <c r="L116" s="251">
        <v>118.663</v>
      </c>
      <c r="M116" s="251">
        <v>84.378</v>
      </c>
      <c r="N116" s="251">
        <v>157.624</v>
      </c>
      <c r="O116" s="251">
        <v>163.23400000000001</v>
      </c>
      <c r="P116" s="251">
        <v>112.869</v>
      </c>
      <c r="Q116" s="251">
        <v>130.90100000000001</v>
      </c>
      <c r="R116" s="251">
        <v>137.268</v>
      </c>
      <c r="S116" s="251">
        <v>92.138000000000005</v>
      </c>
      <c r="T116" s="251">
        <v>175.714</v>
      </c>
      <c r="U116" s="251">
        <v>160.18799999999999</v>
      </c>
      <c r="V116" s="251">
        <v>96.168000000000006</v>
      </c>
      <c r="W116" s="251">
        <v>99.323999999999998</v>
      </c>
      <c r="X116" s="251">
        <v>99.033000000000001</v>
      </c>
      <c r="Y116" s="251">
        <v>122.666</v>
      </c>
      <c r="Z116" s="251">
        <v>99.724999999999994</v>
      </c>
      <c r="AA116" s="251">
        <v>111.062</v>
      </c>
      <c r="AB116" s="251">
        <v>112.23</v>
      </c>
      <c r="AC116" s="251">
        <v>105.729</v>
      </c>
      <c r="AD116" s="251">
        <v>144.358</v>
      </c>
      <c r="AE116" s="251">
        <v>178.37799999999999</v>
      </c>
      <c r="AF116" s="251">
        <v>157.761</v>
      </c>
      <c r="AG116" s="252">
        <f t="shared" si="72"/>
        <v>182.85854816549607</v>
      </c>
    </row>
    <row r="117" spans="1:33">
      <c r="A117" s="240" t="s">
        <v>236</v>
      </c>
      <c r="B117" s="251">
        <v>76.492999999999995</v>
      </c>
      <c r="C117" s="251">
        <v>130.702</v>
      </c>
      <c r="D117" s="251">
        <v>197.57</v>
      </c>
      <c r="E117" s="251">
        <v>180.62200000000001</v>
      </c>
      <c r="F117" s="251">
        <v>160.798</v>
      </c>
      <c r="G117" s="251">
        <v>215.84800000000001</v>
      </c>
      <c r="H117" s="251">
        <v>248.477</v>
      </c>
      <c r="I117" s="251">
        <v>138.24299999999999</v>
      </c>
      <c r="J117" s="251">
        <v>96.611999999999995</v>
      </c>
      <c r="K117" s="251">
        <v>116.488</v>
      </c>
      <c r="L117" s="251">
        <v>100.773</v>
      </c>
      <c r="M117" s="251">
        <v>105.70699999999999</v>
      </c>
      <c r="N117" s="251">
        <v>142.36600000000001</v>
      </c>
      <c r="O117" s="251">
        <v>120.98864</v>
      </c>
      <c r="P117" s="251">
        <v>136.46340000000001</v>
      </c>
      <c r="Q117" s="251">
        <v>173.768</v>
      </c>
      <c r="R117" s="251">
        <v>137.84100000000001</v>
      </c>
      <c r="S117" s="251">
        <v>90.707999999999998</v>
      </c>
      <c r="T117" s="251">
        <v>140.82</v>
      </c>
      <c r="U117" s="251">
        <v>144.726</v>
      </c>
      <c r="V117" s="251">
        <v>80.593999999999994</v>
      </c>
      <c r="W117" s="251">
        <v>60.353000000000002</v>
      </c>
      <c r="X117" s="251">
        <v>117.542</v>
      </c>
      <c r="Y117" s="251">
        <v>87.804000000000002</v>
      </c>
      <c r="Z117" s="251">
        <v>125.127</v>
      </c>
      <c r="AA117" s="251">
        <v>94.51</v>
      </c>
      <c r="AB117" s="251">
        <v>134.91900000000001</v>
      </c>
      <c r="AC117" s="251">
        <v>82.834999999999994</v>
      </c>
      <c r="AD117" s="251">
        <v>129.042</v>
      </c>
      <c r="AE117" s="251">
        <v>163.69399999999999</v>
      </c>
      <c r="AF117" s="251">
        <v>183.70400000000001</v>
      </c>
      <c r="AG117" s="252">
        <f t="shared" si="72"/>
        <v>168.71362333218036</v>
      </c>
    </row>
    <row r="118" spans="1:33">
      <c r="A118" s="240" t="s">
        <v>237</v>
      </c>
      <c r="B118" s="251">
        <v>82.804000000000002</v>
      </c>
      <c r="C118" s="251">
        <v>115.97</v>
      </c>
      <c r="D118" s="251">
        <v>163.98099999999999</v>
      </c>
      <c r="E118" s="251">
        <v>147.041</v>
      </c>
      <c r="F118" s="251">
        <v>197.036</v>
      </c>
      <c r="G118" s="251">
        <v>161.006</v>
      </c>
      <c r="H118" s="251">
        <v>184.06399999999999</v>
      </c>
      <c r="I118" s="251">
        <v>169.00399999999999</v>
      </c>
      <c r="J118" s="251">
        <v>103.371</v>
      </c>
      <c r="K118" s="251">
        <v>76.808999999999997</v>
      </c>
      <c r="L118" s="251">
        <v>91.216999999999999</v>
      </c>
      <c r="M118" s="251">
        <v>107.611</v>
      </c>
      <c r="N118" s="251">
        <v>137.233</v>
      </c>
      <c r="O118" s="251">
        <v>143.21379999999999</v>
      </c>
      <c r="P118" s="251">
        <v>110.706</v>
      </c>
      <c r="Q118" s="251">
        <v>154.613</v>
      </c>
      <c r="R118" s="251">
        <v>110.271</v>
      </c>
      <c r="S118" s="251">
        <v>99.608000000000004</v>
      </c>
      <c r="T118" s="251">
        <v>158.285</v>
      </c>
      <c r="U118" s="251">
        <v>124.831</v>
      </c>
      <c r="V118" s="251">
        <v>68.186000000000007</v>
      </c>
      <c r="W118" s="251">
        <v>60.670999999999999</v>
      </c>
      <c r="X118" s="251">
        <v>111.197</v>
      </c>
      <c r="Y118" s="251">
        <v>90.528000000000006</v>
      </c>
      <c r="Z118" s="251">
        <v>120.568</v>
      </c>
      <c r="AA118" s="251">
        <v>99.528999999999996</v>
      </c>
      <c r="AB118" s="251">
        <v>147.328</v>
      </c>
      <c r="AC118" s="251">
        <v>106.926</v>
      </c>
      <c r="AD118" s="251">
        <v>116.845</v>
      </c>
      <c r="AE118" s="251">
        <v>135.77600000000001</v>
      </c>
      <c r="AF118" s="251">
        <v>185.70500000000001</v>
      </c>
      <c r="AG118" s="252">
        <f t="shared" si="72"/>
        <v>171.48433070874606</v>
      </c>
    </row>
    <row r="119" spans="1:33">
      <c r="A119" s="240" t="s">
        <v>238</v>
      </c>
      <c r="B119" s="251">
        <v>83.183000000000007</v>
      </c>
      <c r="C119" s="251">
        <v>98.179000000000002</v>
      </c>
      <c r="D119" s="251">
        <v>148.78700000000001</v>
      </c>
      <c r="E119" s="251">
        <v>150.221</v>
      </c>
      <c r="F119" s="251">
        <v>186.87700000000001</v>
      </c>
      <c r="G119" s="251">
        <v>162.499</v>
      </c>
      <c r="H119" s="251">
        <v>198.566</v>
      </c>
      <c r="I119" s="251">
        <v>151.691</v>
      </c>
      <c r="J119" s="251">
        <v>117.758</v>
      </c>
      <c r="K119" s="251">
        <v>77.343000000000004</v>
      </c>
      <c r="L119" s="251">
        <v>76.186999999999998</v>
      </c>
      <c r="M119" s="251">
        <v>84.12</v>
      </c>
      <c r="N119" s="251">
        <v>110.508</v>
      </c>
      <c r="O119" s="251">
        <v>105.572</v>
      </c>
      <c r="P119" s="251">
        <v>87.254000000000005</v>
      </c>
      <c r="Q119" s="251">
        <v>144.38399999999999</v>
      </c>
      <c r="R119" s="251">
        <v>116.343</v>
      </c>
      <c r="S119" s="251">
        <v>89.161000000000001</v>
      </c>
      <c r="T119" s="251">
        <v>129.15100000000001</v>
      </c>
      <c r="U119" s="251">
        <v>104.304</v>
      </c>
      <c r="V119" s="251">
        <v>84.972999999999999</v>
      </c>
      <c r="W119" s="251">
        <v>46.921999999999997</v>
      </c>
      <c r="X119" s="251">
        <v>81.3</v>
      </c>
      <c r="Y119" s="251">
        <v>53.194000000000003</v>
      </c>
      <c r="Z119" s="251">
        <v>83.738</v>
      </c>
      <c r="AA119" s="251">
        <v>112.16800000000001</v>
      </c>
      <c r="AB119" s="251">
        <v>71.784999999999997</v>
      </c>
      <c r="AC119" s="251">
        <v>55.072000000000003</v>
      </c>
      <c r="AD119" s="251">
        <v>81.385000000000005</v>
      </c>
      <c r="AE119" s="251">
        <v>86.429000000000002</v>
      </c>
      <c r="AF119" s="252">
        <f>AF$155*AF88</f>
        <v>166.38827992728514</v>
      </c>
      <c r="AG119" s="252">
        <f t="shared" si="72"/>
        <v>113.6292646024217</v>
      </c>
    </row>
    <row r="120" spans="1:33">
      <c r="A120" s="240" t="s">
        <v>239</v>
      </c>
      <c r="B120" s="251">
        <v>56.628999999999998</v>
      </c>
      <c r="C120" s="251">
        <v>124.69199999999999</v>
      </c>
      <c r="D120" s="251">
        <v>178.85499999999999</v>
      </c>
      <c r="E120" s="251">
        <v>174.06200000000001</v>
      </c>
      <c r="F120" s="251">
        <v>201.304</v>
      </c>
      <c r="G120" s="251">
        <v>164.101</v>
      </c>
      <c r="H120" s="251">
        <v>174.27600000000001</v>
      </c>
      <c r="I120" s="251">
        <v>161.523</v>
      </c>
      <c r="J120" s="251">
        <v>97.506</v>
      </c>
      <c r="K120" s="251">
        <v>76.096999999999994</v>
      </c>
      <c r="L120" s="251">
        <v>91.722999999999999</v>
      </c>
      <c r="M120" s="251">
        <v>105.35</v>
      </c>
      <c r="N120" s="251">
        <v>91.870999999999995</v>
      </c>
      <c r="O120" s="251">
        <v>113.199</v>
      </c>
      <c r="P120" s="251">
        <v>78.795000000000002</v>
      </c>
      <c r="Q120" s="251">
        <v>123.08</v>
      </c>
      <c r="R120" s="251">
        <v>111.66</v>
      </c>
      <c r="S120" s="251">
        <v>96.614000000000004</v>
      </c>
      <c r="T120" s="251">
        <v>109.518</v>
      </c>
      <c r="U120" s="251">
        <v>112.646</v>
      </c>
      <c r="V120" s="251">
        <v>86.644000000000005</v>
      </c>
      <c r="W120" s="251">
        <v>85.218999999999994</v>
      </c>
      <c r="X120" s="251">
        <v>52.908000000000001</v>
      </c>
      <c r="Y120" s="251">
        <v>53.347999999999999</v>
      </c>
      <c r="Z120" s="251">
        <v>78.03</v>
      </c>
      <c r="AA120" s="251">
        <v>86.771000000000001</v>
      </c>
      <c r="AB120" s="251">
        <v>74.31</v>
      </c>
      <c r="AC120" s="251">
        <v>58.75</v>
      </c>
      <c r="AD120" s="251">
        <v>59.103000000000002</v>
      </c>
      <c r="AE120" s="251">
        <v>61.790999999999997</v>
      </c>
      <c r="AF120" s="252">
        <f>AF$155*AF89</f>
        <v>71.800619040238033</v>
      </c>
      <c r="AG120" s="252">
        <f t="shared" si="72"/>
        <v>98.00114988265598</v>
      </c>
    </row>
    <row r="121" spans="1:33">
      <c r="A121" s="240" t="s">
        <v>240</v>
      </c>
      <c r="B121" s="251">
        <v>57.97</v>
      </c>
      <c r="C121" s="251">
        <v>75.39</v>
      </c>
      <c r="D121" s="251">
        <v>120.892</v>
      </c>
      <c r="E121" s="251">
        <v>151.58199999999999</v>
      </c>
      <c r="F121" s="251">
        <v>153.554</v>
      </c>
      <c r="G121" s="251">
        <v>111.88</v>
      </c>
      <c r="H121" s="251">
        <v>156.05600000000001</v>
      </c>
      <c r="I121" s="251">
        <v>140.88999999999999</v>
      </c>
      <c r="J121" s="251">
        <v>81.123000000000005</v>
      </c>
      <c r="K121" s="251">
        <v>86.644999999999996</v>
      </c>
      <c r="L121" s="251">
        <v>93.436999999999998</v>
      </c>
      <c r="M121" s="251">
        <v>98.266000000000005</v>
      </c>
      <c r="N121" s="251">
        <v>95.945999999999998</v>
      </c>
      <c r="O121" s="251">
        <v>48.904000000000003</v>
      </c>
      <c r="P121" s="251">
        <v>50.866</v>
      </c>
      <c r="Q121" s="251">
        <v>82.888999999999996</v>
      </c>
      <c r="R121" s="251">
        <v>75.069999999999993</v>
      </c>
      <c r="S121" s="251">
        <v>58.151000000000003</v>
      </c>
      <c r="T121" s="251">
        <v>84.774000000000001</v>
      </c>
      <c r="U121" s="251">
        <v>74.421999999999997</v>
      </c>
      <c r="V121" s="251">
        <v>30.507999999999999</v>
      </c>
      <c r="W121" s="251">
        <v>43.192999999999998</v>
      </c>
      <c r="X121" s="251">
        <v>45.756</v>
      </c>
      <c r="Y121" s="251">
        <v>34.843000000000004</v>
      </c>
      <c r="Z121" s="251">
        <v>42.043999999999997</v>
      </c>
      <c r="AA121" s="251">
        <v>76.906999999999996</v>
      </c>
      <c r="AB121" s="251">
        <v>62.212000000000003</v>
      </c>
      <c r="AC121" s="251">
        <v>48.323999999999998</v>
      </c>
      <c r="AD121" s="251">
        <v>59.765000000000001</v>
      </c>
      <c r="AE121" s="251">
        <v>62.816000000000003</v>
      </c>
      <c r="AF121" s="252">
        <f>AF$155*AF90</f>
        <v>64.849061325437816</v>
      </c>
      <c r="AG121" s="252">
        <f t="shared" si="72"/>
        <v>87.647363399642558</v>
      </c>
    </row>
    <row r="122" spans="1:33">
      <c r="A122" s="240" t="s">
        <v>241</v>
      </c>
      <c r="B122" s="251">
        <v>42.442999999999998</v>
      </c>
      <c r="C122" s="251">
        <v>52.993000000000002</v>
      </c>
      <c r="D122" s="251">
        <v>111.26600000000001</v>
      </c>
      <c r="E122" s="251">
        <v>112.458</v>
      </c>
      <c r="F122" s="251">
        <v>90.989000000000004</v>
      </c>
      <c r="G122" s="251">
        <v>35.329000000000001</v>
      </c>
      <c r="H122" s="251">
        <v>76.567999999999998</v>
      </c>
      <c r="I122" s="251">
        <v>103.619</v>
      </c>
      <c r="J122" s="251">
        <v>90.391000000000005</v>
      </c>
      <c r="K122" s="251">
        <v>64.567999999999998</v>
      </c>
      <c r="L122" s="251">
        <v>70.771000000000001</v>
      </c>
      <c r="M122" s="251">
        <v>64.561000000000007</v>
      </c>
      <c r="N122" s="251">
        <v>86.981999999999999</v>
      </c>
      <c r="O122" s="251">
        <v>77.760999999999996</v>
      </c>
      <c r="P122" s="251">
        <v>18.780999999999999</v>
      </c>
      <c r="Q122" s="251">
        <v>101.80500000000001</v>
      </c>
      <c r="R122" s="251">
        <v>57.598999999999997</v>
      </c>
      <c r="S122" s="251">
        <v>75.040000000000006</v>
      </c>
      <c r="T122" s="251">
        <v>101.878</v>
      </c>
      <c r="U122" s="251">
        <v>69.975999999999999</v>
      </c>
      <c r="V122" s="251">
        <v>33.78</v>
      </c>
      <c r="W122" s="251">
        <v>46.942</v>
      </c>
      <c r="X122" s="251">
        <v>63.052</v>
      </c>
      <c r="Y122" s="251">
        <v>55.761000000000003</v>
      </c>
      <c r="Z122" s="251">
        <v>44.618000000000002</v>
      </c>
      <c r="AA122" s="251">
        <v>47.216000000000001</v>
      </c>
      <c r="AB122" s="251">
        <v>50.332000000000001</v>
      </c>
      <c r="AC122" s="251">
        <v>4.42</v>
      </c>
      <c r="AD122" s="251">
        <v>50.927999999999997</v>
      </c>
      <c r="AE122" s="251">
        <v>82.980999999999995</v>
      </c>
      <c r="AF122" s="252">
        <f>AF$155*AF91</f>
        <v>64.007944856030178</v>
      </c>
      <c r="AG122" s="252">
        <f t="shared" si="72"/>
        <v>64.552518420692749</v>
      </c>
    </row>
    <row r="123" spans="1:33" ht="15.75" thickBot="1">
      <c r="A123" s="240" t="s">
        <v>242</v>
      </c>
      <c r="B123" s="146">
        <f>SUM(B111:B122)</f>
        <v>1261.163</v>
      </c>
      <c r="C123" s="146">
        <f t="shared" ref="C123:Z123" si="73">SUM(C111:C122)</f>
        <v>1392.4180000000001</v>
      </c>
      <c r="D123" s="146">
        <f t="shared" si="73"/>
        <v>2097.7860000000001</v>
      </c>
      <c r="E123" s="146">
        <f t="shared" si="73"/>
        <v>2124.616</v>
      </c>
      <c r="F123" s="146">
        <f t="shared" si="73"/>
        <v>2261.518</v>
      </c>
      <c r="G123" s="146">
        <f t="shared" si="73"/>
        <v>2169.7720000000004</v>
      </c>
      <c r="H123" s="146">
        <f t="shared" si="73"/>
        <v>2522.9560000000001</v>
      </c>
      <c r="I123" s="146">
        <f t="shared" si="73"/>
        <v>2110.0069999999996</v>
      </c>
      <c r="J123" s="146">
        <f t="shared" si="73"/>
        <v>1303.8780000000002</v>
      </c>
      <c r="K123" s="146">
        <f t="shared" si="73"/>
        <v>1227.835</v>
      </c>
      <c r="L123" s="146">
        <f t="shared" si="73"/>
        <v>1371.0839999999998</v>
      </c>
      <c r="M123" s="146">
        <f t="shared" si="73"/>
        <v>1189.0260000000001</v>
      </c>
      <c r="N123" s="146">
        <f t="shared" si="73"/>
        <v>1513.2320000000002</v>
      </c>
      <c r="O123" s="146">
        <f t="shared" si="73"/>
        <v>1617.7228300000002</v>
      </c>
      <c r="P123" s="146">
        <f t="shared" si="73"/>
        <v>1315.0341899999999</v>
      </c>
      <c r="Q123" s="146">
        <f t="shared" si="73"/>
        <v>1767.201</v>
      </c>
      <c r="R123" s="146">
        <f t="shared" si="73"/>
        <v>1466.068</v>
      </c>
      <c r="S123" s="146">
        <f t="shared" si="73"/>
        <v>1192.4620000000002</v>
      </c>
      <c r="T123" s="146">
        <f t="shared" si="73"/>
        <v>1571.9460000000001</v>
      </c>
      <c r="U123" s="146">
        <f t="shared" si="73"/>
        <v>1592.3020000000001</v>
      </c>
      <c r="V123" s="146">
        <f t="shared" si="73"/>
        <v>1131.7629999999999</v>
      </c>
      <c r="W123" s="146">
        <f t="shared" si="73"/>
        <v>938.91699999999992</v>
      </c>
      <c r="X123" s="146">
        <f t="shared" si="73"/>
        <v>1115.106</v>
      </c>
      <c r="Y123" s="146">
        <f t="shared" si="73"/>
        <v>1112.2719999999999</v>
      </c>
      <c r="Z123" s="146">
        <f t="shared" si="73"/>
        <v>1295.873</v>
      </c>
      <c r="AA123" s="146">
        <f>SUM(AA111:AA122)</f>
        <v>1272.7089999999998</v>
      </c>
      <c r="AB123" s="146">
        <f>SUM(AB111:AB122)</f>
        <v>1323.3190000000002</v>
      </c>
      <c r="AC123" s="146">
        <f>SUM(AC111:AC122)</f>
        <v>1000.431</v>
      </c>
      <c r="AD123" s="146">
        <f>SUM(AD111:AD122)</f>
        <v>1231.2800000000002</v>
      </c>
      <c r="AE123" s="146">
        <f t="shared" ref="AE123:AG123" si="74">SUM(AE111:AE122)</f>
        <v>1410.7150000000001</v>
      </c>
      <c r="AF123" s="253">
        <f t="shared" si="74"/>
        <v>1638.2569051489911</v>
      </c>
      <c r="AG123" s="253">
        <f t="shared" si="74"/>
        <v>1737.7516614855094</v>
      </c>
    </row>
    <row r="124" spans="1:33">
      <c r="A124" s="248"/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48"/>
      <c r="AA124" s="248"/>
      <c r="AB124" s="248"/>
      <c r="AC124" s="254"/>
      <c r="AD124" s="254"/>
      <c r="AE124" s="254"/>
      <c r="AF124" s="254"/>
      <c r="AG124" s="254"/>
    </row>
    <row r="125" spans="1:33" ht="15.75" thickBot="1">
      <c r="A125" s="235" t="s">
        <v>253</v>
      </c>
    </row>
    <row r="126" spans="1:33" ht="15.75" thickBot="1">
      <c r="A126" s="236"/>
      <c r="B126" s="237">
        <f>B$2</f>
        <v>1993</v>
      </c>
      <c r="C126" s="237">
        <f t="shared" ref="C126:AG126" si="75">C$2</f>
        <v>1994</v>
      </c>
      <c r="D126" s="237">
        <f t="shared" si="75"/>
        <v>1995</v>
      </c>
      <c r="E126" s="237">
        <f t="shared" si="75"/>
        <v>1996</v>
      </c>
      <c r="F126" s="237">
        <f t="shared" si="75"/>
        <v>1997</v>
      </c>
      <c r="G126" s="237">
        <f t="shared" si="75"/>
        <v>1998</v>
      </c>
      <c r="H126" s="237">
        <f t="shared" si="75"/>
        <v>1999</v>
      </c>
      <c r="I126" s="237">
        <f t="shared" si="75"/>
        <v>2000</v>
      </c>
      <c r="J126" s="237">
        <f t="shared" si="75"/>
        <v>2001</v>
      </c>
      <c r="K126" s="237">
        <f t="shared" si="75"/>
        <v>2002</v>
      </c>
      <c r="L126" s="237">
        <f t="shared" si="75"/>
        <v>2003</v>
      </c>
      <c r="M126" s="237">
        <f t="shared" si="75"/>
        <v>2004</v>
      </c>
      <c r="N126" s="237">
        <f t="shared" si="75"/>
        <v>2005</v>
      </c>
      <c r="O126" s="237">
        <f t="shared" si="75"/>
        <v>2006</v>
      </c>
      <c r="P126" s="237">
        <f t="shared" si="75"/>
        <v>2007</v>
      </c>
      <c r="Q126" s="237">
        <f t="shared" si="75"/>
        <v>2008</v>
      </c>
      <c r="R126" s="237">
        <f t="shared" si="75"/>
        <v>2009</v>
      </c>
      <c r="S126" s="237">
        <f t="shared" si="75"/>
        <v>2010</v>
      </c>
      <c r="T126" s="237">
        <f t="shared" si="75"/>
        <v>2011</v>
      </c>
      <c r="U126" s="237">
        <f t="shared" si="75"/>
        <v>2012</v>
      </c>
      <c r="V126" s="237">
        <f t="shared" si="75"/>
        <v>2013</v>
      </c>
      <c r="W126" s="237">
        <f t="shared" si="75"/>
        <v>2014</v>
      </c>
      <c r="X126" s="237">
        <f t="shared" si="75"/>
        <v>2015</v>
      </c>
      <c r="Y126" s="237">
        <f t="shared" si="75"/>
        <v>2016</v>
      </c>
      <c r="Z126" s="237">
        <f t="shared" si="75"/>
        <v>2017</v>
      </c>
      <c r="AA126" s="237">
        <f t="shared" si="75"/>
        <v>2018</v>
      </c>
      <c r="AB126" s="237">
        <f t="shared" si="75"/>
        <v>2019</v>
      </c>
      <c r="AC126" s="237">
        <f t="shared" si="75"/>
        <v>2020</v>
      </c>
      <c r="AD126" s="237">
        <f t="shared" si="75"/>
        <v>2021</v>
      </c>
      <c r="AE126" s="237">
        <f t="shared" si="75"/>
        <v>2022</v>
      </c>
      <c r="AF126" s="237">
        <f t="shared" si="75"/>
        <v>2023</v>
      </c>
      <c r="AG126" s="237">
        <f t="shared" si="75"/>
        <v>2024</v>
      </c>
    </row>
    <row r="127" spans="1:33">
      <c r="A127" s="240" t="s">
        <v>231</v>
      </c>
      <c r="B127" s="258">
        <v>0</v>
      </c>
      <c r="C127" s="258">
        <v>0</v>
      </c>
      <c r="D127" s="258">
        <v>0</v>
      </c>
      <c r="E127" s="258">
        <v>0</v>
      </c>
      <c r="F127" s="258">
        <v>0</v>
      </c>
      <c r="G127" s="258">
        <v>0</v>
      </c>
      <c r="H127" s="258">
        <v>0</v>
      </c>
      <c r="I127" s="258">
        <v>0</v>
      </c>
      <c r="J127" s="258">
        <v>0</v>
      </c>
      <c r="K127" s="258">
        <v>0</v>
      </c>
      <c r="L127" s="258">
        <v>0</v>
      </c>
      <c r="M127" s="258">
        <v>0</v>
      </c>
      <c r="N127" s="258">
        <v>0</v>
      </c>
      <c r="O127" s="258">
        <v>0</v>
      </c>
      <c r="P127" s="258">
        <v>0</v>
      </c>
      <c r="Q127" s="258">
        <v>0</v>
      </c>
      <c r="R127" s="258">
        <v>0</v>
      </c>
      <c r="S127" s="258">
        <v>0.38100000000000001</v>
      </c>
      <c r="T127" s="258">
        <v>0</v>
      </c>
      <c r="U127" s="258">
        <v>3.6999999999999998E-2</v>
      </c>
      <c r="V127" s="258">
        <v>6.4000000000000001E-2</v>
      </c>
      <c r="W127" s="258">
        <v>4.3999999999999997E-2</v>
      </c>
      <c r="X127" s="258">
        <v>9.2999999999999999E-2</v>
      </c>
      <c r="Y127" s="258">
        <v>0.41699999999999998</v>
      </c>
      <c r="Z127" s="258">
        <v>0.43099999999999999</v>
      </c>
      <c r="AA127" s="258">
        <v>0.35099999999999998</v>
      </c>
      <c r="AB127" s="258">
        <v>0.504</v>
      </c>
      <c r="AC127" s="258">
        <v>0.78900000000000003</v>
      </c>
      <c r="AD127" s="258">
        <v>0.92200000000000004</v>
      </c>
      <c r="AE127" s="258">
        <v>0.92100000000000004</v>
      </c>
      <c r="AF127" s="258">
        <v>2.4369999999999998</v>
      </c>
      <c r="AG127" s="259">
        <f t="shared" ref="AG127:AG129" si="76">(SUM(AA127:AE127)/SUM(AA$139:AE$139))*AG$139</f>
        <v>0</v>
      </c>
    </row>
    <row r="128" spans="1:33">
      <c r="A128" s="240" t="s">
        <v>232</v>
      </c>
      <c r="B128" s="258">
        <v>0</v>
      </c>
      <c r="C128" s="258">
        <v>0</v>
      </c>
      <c r="D128" s="258">
        <v>0</v>
      </c>
      <c r="E128" s="258">
        <v>0</v>
      </c>
      <c r="F128" s="258">
        <v>0</v>
      </c>
      <c r="G128" s="258">
        <v>0</v>
      </c>
      <c r="H128" s="258">
        <v>0</v>
      </c>
      <c r="I128" s="258">
        <v>0</v>
      </c>
      <c r="J128" s="258">
        <v>0</v>
      </c>
      <c r="K128" s="258">
        <v>0</v>
      </c>
      <c r="L128" s="258">
        <v>0</v>
      </c>
      <c r="M128" s="258">
        <v>0</v>
      </c>
      <c r="N128" s="258">
        <v>0.14000000000000001</v>
      </c>
      <c r="O128" s="258">
        <v>0</v>
      </c>
      <c r="P128" s="258">
        <v>0</v>
      </c>
      <c r="Q128" s="258">
        <v>0</v>
      </c>
      <c r="R128" s="258">
        <v>0</v>
      </c>
      <c r="S128" s="258">
        <v>0.23699999999999999</v>
      </c>
      <c r="T128" s="258">
        <v>0</v>
      </c>
      <c r="U128" s="258">
        <v>0</v>
      </c>
      <c r="V128" s="258">
        <v>9.0999999999999998E-2</v>
      </c>
      <c r="W128" s="258">
        <v>0.114</v>
      </c>
      <c r="X128" s="258">
        <v>0.223</v>
      </c>
      <c r="Y128" s="258">
        <v>0.78900000000000003</v>
      </c>
      <c r="Z128" s="258">
        <v>0.37</v>
      </c>
      <c r="AA128" s="258">
        <v>0.40300000000000002</v>
      </c>
      <c r="AB128" s="258">
        <v>0.26800000000000002</v>
      </c>
      <c r="AC128" s="258">
        <v>0.39</v>
      </c>
      <c r="AD128" s="258">
        <v>1.056</v>
      </c>
      <c r="AE128" s="258">
        <v>1.1539999999999999</v>
      </c>
      <c r="AF128" s="258">
        <v>2.508</v>
      </c>
      <c r="AG128" s="259">
        <f t="shared" si="76"/>
        <v>0</v>
      </c>
    </row>
    <row r="129" spans="1:33">
      <c r="A129" s="240" t="s">
        <v>233</v>
      </c>
      <c r="B129" s="258">
        <v>0</v>
      </c>
      <c r="C129" s="258">
        <v>0</v>
      </c>
      <c r="D129" s="258">
        <v>0</v>
      </c>
      <c r="E129" s="258">
        <v>0</v>
      </c>
      <c r="F129" s="258">
        <v>0</v>
      </c>
      <c r="G129" s="258">
        <v>0</v>
      </c>
      <c r="H129" s="258">
        <v>0</v>
      </c>
      <c r="I129" s="258">
        <v>0</v>
      </c>
      <c r="J129" s="258">
        <v>0</v>
      </c>
      <c r="K129" s="258">
        <v>0</v>
      </c>
      <c r="L129" s="258">
        <v>0</v>
      </c>
      <c r="M129" s="258">
        <v>0</v>
      </c>
      <c r="N129" s="258">
        <v>0</v>
      </c>
      <c r="O129" s="258">
        <v>0</v>
      </c>
      <c r="P129" s="258">
        <v>0</v>
      </c>
      <c r="Q129" s="258">
        <v>0</v>
      </c>
      <c r="R129" s="258">
        <v>0</v>
      </c>
      <c r="S129" s="258">
        <v>0.34599999999999997</v>
      </c>
      <c r="T129" s="258">
        <v>1.9E-2</v>
      </c>
      <c r="U129" s="258">
        <v>0.218</v>
      </c>
      <c r="V129" s="258">
        <v>0.105</v>
      </c>
      <c r="W129" s="258">
        <v>0.20300000000000001</v>
      </c>
      <c r="X129" s="258">
        <v>0.56699999999999995</v>
      </c>
      <c r="Y129" s="258">
        <v>0.50900000000000001</v>
      </c>
      <c r="Z129" s="258">
        <v>0.435</v>
      </c>
      <c r="AA129" s="258">
        <v>0.90200000000000002</v>
      </c>
      <c r="AB129" s="258">
        <v>1.155</v>
      </c>
      <c r="AC129" s="258">
        <v>0.89</v>
      </c>
      <c r="AD129" s="258">
        <v>1.7070000000000001</v>
      </c>
      <c r="AE129" s="258">
        <v>2.5630000000000002</v>
      </c>
      <c r="AF129" s="258">
        <v>4.6550000000000002</v>
      </c>
      <c r="AG129" s="259">
        <f t="shared" si="76"/>
        <v>0</v>
      </c>
    </row>
    <row r="130" spans="1:33">
      <c r="A130" s="240" t="s">
        <v>234</v>
      </c>
      <c r="B130" s="258">
        <v>0</v>
      </c>
      <c r="C130" s="258">
        <v>0</v>
      </c>
      <c r="D130" s="258">
        <v>0</v>
      </c>
      <c r="E130" s="258">
        <v>0</v>
      </c>
      <c r="F130" s="258">
        <v>0</v>
      </c>
      <c r="G130" s="258">
        <v>0</v>
      </c>
      <c r="H130" s="258">
        <v>0</v>
      </c>
      <c r="I130" s="258">
        <v>0</v>
      </c>
      <c r="J130" s="258">
        <v>0</v>
      </c>
      <c r="K130" s="258">
        <v>0</v>
      </c>
      <c r="L130" s="258">
        <v>0</v>
      </c>
      <c r="M130" s="258">
        <v>0</v>
      </c>
      <c r="N130" s="258">
        <v>0</v>
      </c>
      <c r="O130" s="258">
        <v>0</v>
      </c>
      <c r="P130" s="258">
        <v>0</v>
      </c>
      <c r="Q130" s="258">
        <v>0.22900000000000001</v>
      </c>
      <c r="R130" s="258">
        <v>3.5000000000000003E-2</v>
      </c>
      <c r="S130" s="258">
        <v>0.22600000000000001</v>
      </c>
      <c r="T130" s="258">
        <v>0.40600000000000003</v>
      </c>
      <c r="U130" s="258">
        <v>0.246</v>
      </c>
      <c r="V130" s="258">
        <v>9.0999999999999998E-2</v>
      </c>
      <c r="W130" s="258">
        <v>0.57799999999999996</v>
      </c>
      <c r="X130" s="258">
        <v>0.78</v>
      </c>
      <c r="Y130" s="258">
        <v>0.83499999999999996</v>
      </c>
      <c r="Z130" s="258">
        <v>0.80600000000000005</v>
      </c>
      <c r="AA130" s="258">
        <v>0.89300000000000002</v>
      </c>
      <c r="AB130" s="258">
        <v>1.345</v>
      </c>
      <c r="AC130" s="258">
        <v>1.085</v>
      </c>
      <c r="AD130" s="258">
        <v>2.052</v>
      </c>
      <c r="AE130" s="258">
        <v>3.6520000000000001</v>
      </c>
      <c r="AF130" s="258">
        <v>3.3597999999999999</v>
      </c>
      <c r="AG130" s="259">
        <f t="shared" ref="AF130:AG137" si="77">(SUM(AA130:AE130)/SUM(AA$139:AE$139))*AG$139</f>
        <v>0</v>
      </c>
    </row>
    <row r="131" spans="1:33">
      <c r="A131" s="240" t="s">
        <v>46</v>
      </c>
      <c r="B131" s="258">
        <v>0</v>
      </c>
      <c r="C131" s="258">
        <v>0</v>
      </c>
      <c r="D131" s="258">
        <v>0</v>
      </c>
      <c r="E131" s="258">
        <v>0</v>
      </c>
      <c r="F131" s="258">
        <v>0</v>
      </c>
      <c r="G131" s="258">
        <v>0</v>
      </c>
      <c r="H131" s="258">
        <v>0</v>
      </c>
      <c r="I131" s="258">
        <v>0</v>
      </c>
      <c r="J131" s="258">
        <v>0</v>
      </c>
      <c r="K131" s="258">
        <v>0</v>
      </c>
      <c r="L131" s="258">
        <v>0</v>
      </c>
      <c r="M131" s="258">
        <v>0</v>
      </c>
      <c r="N131" s="258">
        <v>0</v>
      </c>
      <c r="O131" s="258">
        <v>0</v>
      </c>
      <c r="P131" s="258">
        <v>0</v>
      </c>
      <c r="Q131" s="258">
        <v>0.158</v>
      </c>
      <c r="R131" s="258">
        <v>2.5999999999999999E-2</v>
      </c>
      <c r="S131" s="258">
        <v>0.26700000000000002</v>
      </c>
      <c r="T131" s="258">
        <v>0.30499999999999999</v>
      </c>
      <c r="U131" s="258">
        <v>0.34499999999999997</v>
      </c>
      <c r="V131" s="258">
        <v>7.0000000000000007E-2</v>
      </c>
      <c r="W131" s="258">
        <v>1.008</v>
      </c>
      <c r="X131" s="258">
        <v>1.407</v>
      </c>
      <c r="Y131" s="258">
        <v>0.90400000000000003</v>
      </c>
      <c r="Z131" s="258">
        <v>0.95699999999999996</v>
      </c>
      <c r="AA131" s="258">
        <v>1.0429999999999999</v>
      </c>
      <c r="AB131" s="258">
        <v>1.9610000000000001</v>
      </c>
      <c r="AC131" s="258">
        <v>1.4550000000000001</v>
      </c>
      <c r="AD131" s="258">
        <v>2.5640000000000001</v>
      </c>
      <c r="AE131" s="258">
        <v>3.25</v>
      </c>
      <c r="AF131" s="258">
        <v>3.6379999999999999</v>
      </c>
      <c r="AG131" s="259">
        <f t="shared" si="77"/>
        <v>0</v>
      </c>
    </row>
    <row r="132" spans="1:33">
      <c r="A132" s="240" t="s">
        <v>235</v>
      </c>
      <c r="B132" s="258">
        <v>0</v>
      </c>
      <c r="C132" s="258">
        <v>0</v>
      </c>
      <c r="D132" s="258">
        <v>0</v>
      </c>
      <c r="E132" s="258">
        <v>0</v>
      </c>
      <c r="F132" s="258">
        <v>0</v>
      </c>
      <c r="G132" s="258">
        <v>0</v>
      </c>
      <c r="H132" s="258">
        <v>0</v>
      </c>
      <c r="I132" s="258">
        <v>0</v>
      </c>
      <c r="J132" s="258">
        <v>0</v>
      </c>
      <c r="K132" s="258">
        <v>0</v>
      </c>
      <c r="L132" s="258">
        <v>0</v>
      </c>
      <c r="M132" s="258">
        <v>0.13500000000000001</v>
      </c>
      <c r="N132" s="258">
        <v>0</v>
      </c>
      <c r="O132" s="258">
        <v>0</v>
      </c>
      <c r="P132" s="258">
        <v>0</v>
      </c>
      <c r="Q132" s="258">
        <v>0</v>
      </c>
      <c r="R132" s="258">
        <v>7.1999999999999995E-2</v>
      </c>
      <c r="S132" s="258">
        <v>0</v>
      </c>
      <c r="T132" s="258">
        <v>0.151</v>
      </c>
      <c r="U132" s="258">
        <v>5.1999999999999998E-2</v>
      </c>
      <c r="V132" s="258">
        <v>0.04</v>
      </c>
      <c r="W132" s="258">
        <v>0.64500000000000002</v>
      </c>
      <c r="X132" s="258">
        <v>1.1930000000000001</v>
      </c>
      <c r="Y132" s="258">
        <v>0.78</v>
      </c>
      <c r="Z132" s="258">
        <v>0.79900000000000004</v>
      </c>
      <c r="AA132" s="258">
        <v>0.66</v>
      </c>
      <c r="AB132" s="258">
        <v>1.913</v>
      </c>
      <c r="AC132" s="258">
        <v>2.113</v>
      </c>
      <c r="AD132" s="258">
        <v>2.1720000000000002</v>
      </c>
      <c r="AE132" s="258">
        <v>3.6789999999999998</v>
      </c>
      <c r="AF132" s="258">
        <v>2.9889999999999999</v>
      </c>
      <c r="AG132" s="259">
        <f t="shared" si="77"/>
        <v>0</v>
      </c>
    </row>
    <row r="133" spans="1:33">
      <c r="A133" s="240" t="s">
        <v>236</v>
      </c>
      <c r="B133" s="258">
        <v>0</v>
      </c>
      <c r="C133" s="258">
        <v>0</v>
      </c>
      <c r="D133" s="258">
        <v>0</v>
      </c>
      <c r="E133" s="258">
        <v>0</v>
      </c>
      <c r="F133" s="258">
        <v>0</v>
      </c>
      <c r="G133" s="258">
        <v>0</v>
      </c>
      <c r="H133" s="258">
        <v>0</v>
      </c>
      <c r="I133" s="258">
        <v>0</v>
      </c>
      <c r="J133" s="258">
        <v>0</v>
      </c>
      <c r="K133" s="258">
        <v>0</v>
      </c>
      <c r="L133" s="258">
        <v>0</v>
      </c>
      <c r="M133" s="258">
        <v>0</v>
      </c>
      <c r="N133" s="258">
        <v>0</v>
      </c>
      <c r="O133" s="258">
        <v>0</v>
      </c>
      <c r="P133" s="258">
        <v>0</v>
      </c>
      <c r="Q133" s="258">
        <v>0.21099999999999999</v>
      </c>
      <c r="R133" s="258">
        <v>0.503</v>
      </c>
      <c r="S133" s="258">
        <v>0</v>
      </c>
      <c r="T133" s="258">
        <v>0.33100000000000002</v>
      </c>
      <c r="U133" s="258">
        <v>0.246</v>
      </c>
      <c r="V133" s="258">
        <v>2.5000000000000001E-2</v>
      </c>
      <c r="W133" s="258">
        <v>0.79200000000000004</v>
      </c>
      <c r="X133" s="258">
        <v>1.002</v>
      </c>
      <c r="Y133" s="258">
        <v>0.81699999999999995</v>
      </c>
      <c r="Z133" s="258">
        <v>1.153</v>
      </c>
      <c r="AA133" s="258">
        <v>1.097</v>
      </c>
      <c r="AB133" s="258">
        <v>1.911</v>
      </c>
      <c r="AC133" s="258">
        <v>1.347</v>
      </c>
      <c r="AD133" s="258">
        <v>2.64</v>
      </c>
      <c r="AE133" s="258">
        <v>4.0170000000000003</v>
      </c>
      <c r="AF133" s="258">
        <v>3.7530000000000001</v>
      </c>
      <c r="AG133" s="259">
        <f t="shared" si="77"/>
        <v>0</v>
      </c>
    </row>
    <row r="134" spans="1:33">
      <c r="A134" s="240" t="s">
        <v>237</v>
      </c>
      <c r="B134" s="258">
        <v>0</v>
      </c>
      <c r="C134" s="258">
        <v>0</v>
      </c>
      <c r="D134" s="258">
        <v>0</v>
      </c>
      <c r="E134" s="258">
        <v>0</v>
      </c>
      <c r="F134" s="258">
        <v>0</v>
      </c>
      <c r="G134" s="258">
        <v>0</v>
      </c>
      <c r="H134" s="258">
        <v>0</v>
      </c>
      <c r="I134" s="258">
        <v>0</v>
      </c>
      <c r="J134" s="258">
        <v>0</v>
      </c>
      <c r="K134" s="258">
        <v>0</v>
      </c>
      <c r="L134" s="258">
        <v>0</v>
      </c>
      <c r="M134" s="258">
        <v>0</v>
      </c>
      <c r="N134" s="258">
        <v>0</v>
      </c>
      <c r="O134" s="258">
        <v>0</v>
      </c>
      <c r="P134" s="258">
        <v>7.2999999999999995E-2</v>
      </c>
      <c r="Q134" s="258">
        <v>0.26800000000000002</v>
      </c>
      <c r="R134" s="258">
        <v>4.2999999999999997E-2</v>
      </c>
      <c r="S134" s="258">
        <v>0</v>
      </c>
      <c r="T134" s="258">
        <v>0.191</v>
      </c>
      <c r="U134" s="258">
        <v>0.45200000000000001</v>
      </c>
      <c r="V134" s="258">
        <v>3.9E-2</v>
      </c>
      <c r="W134" s="258">
        <v>0.92500000000000004</v>
      </c>
      <c r="X134" s="258">
        <v>1.0609999999999999</v>
      </c>
      <c r="Y134" s="258">
        <v>0.76500000000000001</v>
      </c>
      <c r="Z134" s="258">
        <v>0.91600000000000004</v>
      </c>
      <c r="AA134" s="258">
        <v>1.0840000000000001</v>
      </c>
      <c r="AB134" s="258">
        <v>1.4630000000000001</v>
      </c>
      <c r="AC134" s="258">
        <v>1.5349999999999999</v>
      </c>
      <c r="AD134" s="258">
        <v>1.792</v>
      </c>
      <c r="AE134" s="258">
        <v>4.8150000000000004</v>
      </c>
      <c r="AF134" s="258">
        <v>4.7240000000000002</v>
      </c>
      <c r="AG134" s="259">
        <f t="shared" si="77"/>
        <v>0</v>
      </c>
    </row>
    <row r="135" spans="1:33">
      <c r="A135" s="240" t="s">
        <v>238</v>
      </c>
      <c r="B135" s="258">
        <v>0</v>
      </c>
      <c r="C135" s="258">
        <v>0</v>
      </c>
      <c r="D135" s="258">
        <v>0</v>
      </c>
      <c r="E135" s="258">
        <v>0</v>
      </c>
      <c r="F135" s="258">
        <v>0</v>
      </c>
      <c r="G135" s="258">
        <v>0</v>
      </c>
      <c r="H135" s="258">
        <v>0</v>
      </c>
      <c r="I135" s="258">
        <v>0</v>
      </c>
      <c r="J135" s="258">
        <v>0</v>
      </c>
      <c r="K135" s="258">
        <v>0</v>
      </c>
      <c r="L135" s="258">
        <v>0</v>
      </c>
      <c r="M135" s="258">
        <v>0</v>
      </c>
      <c r="N135" s="258">
        <v>0</v>
      </c>
      <c r="O135" s="258">
        <v>0</v>
      </c>
      <c r="P135" s="258">
        <v>4.4999999999999998E-2</v>
      </c>
      <c r="Q135" s="258">
        <v>0.22800000000000001</v>
      </c>
      <c r="R135" s="258">
        <v>0.45</v>
      </c>
      <c r="S135" s="258">
        <v>0.08</v>
      </c>
      <c r="T135" s="258">
        <v>8.1000000000000003E-2</v>
      </c>
      <c r="U135" s="258">
        <v>0.29499999999999998</v>
      </c>
      <c r="V135" s="258">
        <v>2E-3</v>
      </c>
      <c r="W135" s="258">
        <v>0.73899999999999999</v>
      </c>
      <c r="X135" s="258">
        <v>0.83599999999999997</v>
      </c>
      <c r="Y135" s="258">
        <v>0.95499999999999996</v>
      </c>
      <c r="Z135" s="258">
        <v>0.80800000000000005</v>
      </c>
      <c r="AA135" s="258">
        <v>1.0069999999999999</v>
      </c>
      <c r="AB135" s="258">
        <v>1.45</v>
      </c>
      <c r="AC135" s="258">
        <v>2.0880000000000001</v>
      </c>
      <c r="AD135" s="258">
        <v>2.1230000000000002</v>
      </c>
      <c r="AE135" s="258">
        <v>5.0110000000000001</v>
      </c>
      <c r="AF135" s="259">
        <f t="shared" si="77"/>
        <v>-8.0901769315062104</v>
      </c>
      <c r="AG135" s="259">
        <f t="shared" si="77"/>
        <v>0</v>
      </c>
    </row>
    <row r="136" spans="1:33">
      <c r="A136" s="240" t="s">
        <v>239</v>
      </c>
      <c r="B136" s="258">
        <v>0</v>
      </c>
      <c r="C136" s="258">
        <v>0</v>
      </c>
      <c r="D136" s="258">
        <v>0</v>
      </c>
      <c r="E136" s="258">
        <v>0</v>
      </c>
      <c r="F136" s="258">
        <v>0</v>
      </c>
      <c r="G136" s="258">
        <v>0</v>
      </c>
      <c r="H136" s="258">
        <v>0</v>
      </c>
      <c r="I136" s="258">
        <v>0</v>
      </c>
      <c r="J136" s="258">
        <v>0</v>
      </c>
      <c r="K136" s="258">
        <v>0</v>
      </c>
      <c r="L136" s="258">
        <v>0</v>
      </c>
      <c r="M136" s="258">
        <v>0</v>
      </c>
      <c r="N136" s="258">
        <v>0</v>
      </c>
      <c r="O136" s="258">
        <v>0</v>
      </c>
      <c r="P136" s="258">
        <v>0.23699999999999999</v>
      </c>
      <c r="Q136" s="258">
        <v>0.30599999999999999</v>
      </c>
      <c r="R136" s="258">
        <v>0.29399999999999998</v>
      </c>
      <c r="S136" s="258">
        <v>0</v>
      </c>
      <c r="T136" s="258">
        <v>0.21</v>
      </c>
      <c r="U136" s="258">
        <v>0.30399999999999999</v>
      </c>
      <c r="V136" s="258">
        <v>4.3999999999999997E-2</v>
      </c>
      <c r="W136" s="258">
        <v>0.877</v>
      </c>
      <c r="X136" s="258">
        <v>1.018</v>
      </c>
      <c r="Y136" s="258">
        <v>0.84499999999999997</v>
      </c>
      <c r="Z136" s="258">
        <v>0.61899999999999999</v>
      </c>
      <c r="AA136" s="258">
        <v>1.395</v>
      </c>
      <c r="AB136" s="258">
        <v>1.679</v>
      </c>
      <c r="AC136" s="258">
        <v>1.5740000000000001</v>
      </c>
      <c r="AD136" s="258">
        <v>1.9490000000000001</v>
      </c>
      <c r="AE136" s="258">
        <v>4.0289999999999999</v>
      </c>
      <c r="AF136" s="259">
        <f t="shared" si="77"/>
        <v>-7.8088171131285193</v>
      </c>
      <c r="AG136" s="259">
        <f t="shared" si="77"/>
        <v>0</v>
      </c>
    </row>
    <row r="137" spans="1:33">
      <c r="A137" s="240" t="s">
        <v>240</v>
      </c>
      <c r="B137" s="258">
        <v>0</v>
      </c>
      <c r="C137" s="258">
        <v>0</v>
      </c>
      <c r="D137" s="258">
        <v>0</v>
      </c>
      <c r="E137" s="258">
        <v>0</v>
      </c>
      <c r="F137" s="258">
        <v>0</v>
      </c>
      <c r="G137" s="258">
        <v>0</v>
      </c>
      <c r="H137" s="258">
        <v>0</v>
      </c>
      <c r="I137" s="258">
        <v>0</v>
      </c>
      <c r="J137" s="258">
        <v>0</v>
      </c>
      <c r="K137" s="258">
        <v>0</v>
      </c>
      <c r="L137" s="258">
        <v>0</v>
      </c>
      <c r="M137" s="258">
        <v>0</v>
      </c>
      <c r="N137" s="258">
        <v>0</v>
      </c>
      <c r="O137" s="258">
        <v>0</v>
      </c>
      <c r="P137" s="258">
        <v>0.11</v>
      </c>
      <c r="Q137" s="258">
        <v>0.108</v>
      </c>
      <c r="R137" s="258">
        <v>0.41399999999999998</v>
      </c>
      <c r="S137" s="258">
        <v>0</v>
      </c>
      <c r="T137" s="258">
        <v>5.8999999999999997E-2</v>
      </c>
      <c r="U137" s="258">
        <v>0.35799999999999998</v>
      </c>
      <c r="V137" s="258">
        <v>3.0000000000000001E-3</v>
      </c>
      <c r="W137" s="258">
        <v>0.68</v>
      </c>
      <c r="X137" s="258">
        <v>0.79700000000000004</v>
      </c>
      <c r="Y137" s="258">
        <v>0.63600000000000001</v>
      </c>
      <c r="Z137" s="258">
        <v>0.42099999999999999</v>
      </c>
      <c r="AA137" s="258">
        <v>0.91</v>
      </c>
      <c r="AB137" s="258">
        <v>1.42</v>
      </c>
      <c r="AC137" s="258">
        <v>1.8640000000000001</v>
      </c>
      <c r="AD137" s="258">
        <v>2.6629999999999998</v>
      </c>
      <c r="AE137" s="258">
        <v>3.3450000000000002</v>
      </c>
      <c r="AF137" s="259">
        <f t="shared" si="77"/>
        <v>-7.8759106082801225</v>
      </c>
      <c r="AG137" s="259">
        <f t="shared" si="77"/>
        <v>0</v>
      </c>
    </row>
    <row r="138" spans="1:33">
      <c r="A138" s="240" t="s">
        <v>241</v>
      </c>
      <c r="B138" s="258">
        <v>0</v>
      </c>
      <c r="C138" s="258">
        <v>0</v>
      </c>
      <c r="D138" s="258">
        <v>0</v>
      </c>
      <c r="E138" s="258">
        <v>0</v>
      </c>
      <c r="F138" s="258">
        <v>0</v>
      </c>
      <c r="G138" s="258">
        <v>0</v>
      </c>
      <c r="H138" s="258">
        <v>0</v>
      </c>
      <c r="I138" s="258">
        <v>0</v>
      </c>
      <c r="J138" s="258">
        <v>0</v>
      </c>
      <c r="K138" s="258">
        <v>0</v>
      </c>
      <c r="L138" s="258">
        <v>0</v>
      </c>
      <c r="M138" s="258">
        <v>0</v>
      </c>
      <c r="N138" s="258">
        <v>0</v>
      </c>
      <c r="O138" s="258">
        <v>0</v>
      </c>
      <c r="P138" s="258">
        <v>0.107</v>
      </c>
      <c r="Q138" s="258">
        <v>0.16300000000000001</v>
      </c>
      <c r="R138" s="258">
        <v>0.157</v>
      </c>
      <c r="S138" s="258">
        <v>3.5000000000000003E-2</v>
      </c>
      <c r="T138" s="258">
        <v>7.3999999999999996E-2</v>
      </c>
      <c r="U138" s="258">
        <v>0.111</v>
      </c>
      <c r="V138" s="258">
        <v>7.3999999999999996E-2</v>
      </c>
      <c r="W138" s="258">
        <v>0.40899999999999997</v>
      </c>
      <c r="X138" s="258">
        <v>0.50600000000000001</v>
      </c>
      <c r="Y138" s="258">
        <v>0.51500000000000001</v>
      </c>
      <c r="Z138" s="258">
        <v>0.66400000000000003</v>
      </c>
      <c r="AA138" s="258">
        <v>0.47399999999999998</v>
      </c>
      <c r="AB138" s="258">
        <v>0.63700000000000001</v>
      </c>
      <c r="AC138" s="258">
        <v>1.94</v>
      </c>
      <c r="AD138" s="258">
        <v>1.651</v>
      </c>
      <c r="AE138" s="258">
        <v>2.91</v>
      </c>
      <c r="AF138" s="259">
        <f t="shared" ref="AF138:AG138" si="78">AF139-SUM(AF127:AF137)</f>
        <v>-85.087860113124634</v>
      </c>
      <c r="AG138" s="259">
        <f t="shared" si="78"/>
        <v>0</v>
      </c>
    </row>
    <row r="139" spans="1:33" ht="15.75" thickBot="1">
      <c r="A139" s="240" t="s">
        <v>242</v>
      </c>
      <c r="B139" s="260">
        <f t="shared" ref="B139:K139" si="79">SUM(B127:B138)</f>
        <v>0</v>
      </c>
      <c r="C139" s="260">
        <f t="shared" si="79"/>
        <v>0</v>
      </c>
      <c r="D139" s="260">
        <f t="shared" si="79"/>
        <v>0</v>
      </c>
      <c r="E139" s="260">
        <f t="shared" si="79"/>
        <v>0</v>
      </c>
      <c r="F139" s="260">
        <f t="shared" si="79"/>
        <v>0</v>
      </c>
      <c r="G139" s="260">
        <f t="shared" si="79"/>
        <v>0</v>
      </c>
      <c r="H139" s="260">
        <f t="shared" si="79"/>
        <v>0</v>
      </c>
      <c r="I139" s="260">
        <f t="shared" si="79"/>
        <v>0</v>
      </c>
      <c r="J139" s="260">
        <f t="shared" si="79"/>
        <v>0</v>
      </c>
      <c r="K139" s="260">
        <f t="shared" si="79"/>
        <v>0</v>
      </c>
      <c r="L139" s="260">
        <f t="shared" ref="L139:AE139" si="80">SUM(L127:L138)</f>
        <v>0</v>
      </c>
      <c r="M139" s="260">
        <f t="shared" si="80"/>
        <v>0.13500000000000001</v>
      </c>
      <c r="N139" s="260">
        <f t="shared" si="80"/>
        <v>0.14000000000000001</v>
      </c>
      <c r="O139" s="260">
        <f t="shared" si="80"/>
        <v>0</v>
      </c>
      <c r="P139" s="260">
        <f t="shared" si="80"/>
        <v>0.57199999999999995</v>
      </c>
      <c r="Q139" s="260">
        <f t="shared" si="80"/>
        <v>1.6710000000000003</v>
      </c>
      <c r="R139" s="260">
        <f t="shared" si="80"/>
        <v>1.994</v>
      </c>
      <c r="S139" s="260">
        <f t="shared" si="80"/>
        <v>1.5719999999999998</v>
      </c>
      <c r="T139" s="260">
        <f t="shared" si="80"/>
        <v>1.827</v>
      </c>
      <c r="U139" s="260">
        <f t="shared" si="80"/>
        <v>2.6640000000000001</v>
      </c>
      <c r="V139" s="260">
        <f t="shared" si="80"/>
        <v>0.64800000000000002</v>
      </c>
      <c r="W139" s="260">
        <f t="shared" si="80"/>
        <v>7.0139999999999993</v>
      </c>
      <c r="X139" s="260">
        <f t="shared" si="80"/>
        <v>9.4830000000000005</v>
      </c>
      <c r="Y139" s="260">
        <f t="shared" si="80"/>
        <v>8.7669999999999995</v>
      </c>
      <c r="Z139" s="260">
        <f t="shared" si="80"/>
        <v>8.3789999999999996</v>
      </c>
      <c r="AA139" s="260">
        <f t="shared" si="80"/>
        <v>10.218999999999999</v>
      </c>
      <c r="AB139" s="260">
        <f t="shared" si="80"/>
        <v>15.706</v>
      </c>
      <c r="AC139" s="260">
        <f t="shared" si="80"/>
        <v>17.07</v>
      </c>
      <c r="AD139" s="260">
        <f t="shared" si="80"/>
        <v>23.291000000000004</v>
      </c>
      <c r="AE139" s="260">
        <f t="shared" si="80"/>
        <v>39.346000000000004</v>
      </c>
      <c r="AF139" s="261">
        <f>AF23-AF123</f>
        <v>-80.798964766039489</v>
      </c>
      <c r="AG139" s="261">
        <f>AG23-AG123</f>
        <v>0</v>
      </c>
    </row>
    <row r="140" spans="1:33">
      <c r="A140" s="248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48"/>
      <c r="AA140" s="248"/>
      <c r="AB140" s="248"/>
      <c r="AC140" s="254"/>
      <c r="AD140" s="254"/>
      <c r="AE140" s="254"/>
      <c r="AF140" s="254"/>
      <c r="AG140" s="254"/>
    </row>
    <row r="141" spans="1:33" ht="15.75" thickBot="1">
      <c r="A141" s="235" t="s">
        <v>254</v>
      </c>
    </row>
    <row r="142" spans="1:33" ht="15.75" thickBot="1">
      <c r="A142" s="236"/>
      <c r="B142" s="237">
        <f>B$2</f>
        <v>1993</v>
      </c>
      <c r="C142" s="237">
        <f t="shared" ref="C142:AG142" si="81">C$2</f>
        <v>1994</v>
      </c>
      <c r="D142" s="237">
        <f t="shared" si="81"/>
        <v>1995</v>
      </c>
      <c r="E142" s="237">
        <f t="shared" si="81"/>
        <v>1996</v>
      </c>
      <c r="F142" s="237">
        <f t="shared" si="81"/>
        <v>1997</v>
      </c>
      <c r="G142" s="237">
        <f t="shared" si="81"/>
        <v>1998</v>
      </c>
      <c r="H142" s="237">
        <f t="shared" si="81"/>
        <v>1999</v>
      </c>
      <c r="I142" s="237">
        <f t="shared" si="81"/>
        <v>2000</v>
      </c>
      <c r="J142" s="237">
        <f t="shared" si="81"/>
        <v>2001</v>
      </c>
      <c r="K142" s="237">
        <f t="shared" si="81"/>
        <v>2002</v>
      </c>
      <c r="L142" s="237">
        <f t="shared" si="81"/>
        <v>2003</v>
      </c>
      <c r="M142" s="237">
        <f t="shared" si="81"/>
        <v>2004</v>
      </c>
      <c r="N142" s="237">
        <f t="shared" si="81"/>
        <v>2005</v>
      </c>
      <c r="O142" s="237">
        <f t="shared" si="81"/>
        <v>2006</v>
      </c>
      <c r="P142" s="237">
        <f t="shared" si="81"/>
        <v>2007</v>
      </c>
      <c r="Q142" s="237">
        <f t="shared" si="81"/>
        <v>2008</v>
      </c>
      <c r="R142" s="237">
        <f t="shared" si="81"/>
        <v>2009</v>
      </c>
      <c r="S142" s="237">
        <f t="shared" si="81"/>
        <v>2010</v>
      </c>
      <c r="T142" s="237">
        <f t="shared" si="81"/>
        <v>2011</v>
      </c>
      <c r="U142" s="237">
        <f t="shared" si="81"/>
        <v>2012</v>
      </c>
      <c r="V142" s="237">
        <f t="shared" si="81"/>
        <v>2013</v>
      </c>
      <c r="W142" s="237">
        <f t="shared" si="81"/>
        <v>2014</v>
      </c>
      <c r="X142" s="237">
        <f t="shared" si="81"/>
        <v>2015</v>
      </c>
      <c r="Y142" s="237">
        <f t="shared" si="81"/>
        <v>2016</v>
      </c>
      <c r="Z142" s="237">
        <f t="shared" si="81"/>
        <v>2017</v>
      </c>
      <c r="AA142" s="237">
        <f t="shared" si="81"/>
        <v>2018</v>
      </c>
      <c r="AB142" s="237">
        <f t="shared" si="81"/>
        <v>2019</v>
      </c>
      <c r="AC142" s="237">
        <f t="shared" si="81"/>
        <v>2020</v>
      </c>
      <c r="AD142" s="237">
        <f t="shared" si="81"/>
        <v>2021</v>
      </c>
      <c r="AE142" s="237">
        <f t="shared" si="81"/>
        <v>2022</v>
      </c>
      <c r="AF142" s="237">
        <f t="shared" si="81"/>
        <v>2023</v>
      </c>
      <c r="AG142" s="237">
        <f t="shared" si="81"/>
        <v>2024</v>
      </c>
    </row>
    <row r="143" spans="1:33">
      <c r="A143" s="240" t="s">
        <v>231</v>
      </c>
      <c r="B143" s="258">
        <f t="shared" ref="B143:AG150" si="82">(B111+B127)/B80</f>
        <v>0.41476697832060733</v>
      </c>
      <c r="C143" s="258">
        <f t="shared" si="82"/>
        <v>0.44322710020569578</v>
      </c>
      <c r="D143" s="258">
        <f t="shared" si="82"/>
        <v>0.43088229499152775</v>
      </c>
      <c r="E143" s="258">
        <f t="shared" si="82"/>
        <v>0.412714390987511</v>
      </c>
      <c r="F143" s="258">
        <f t="shared" si="82"/>
        <v>0.43424044092318292</v>
      </c>
      <c r="G143" s="258">
        <f t="shared" si="82"/>
        <v>0.40767778707702829</v>
      </c>
      <c r="H143" s="258">
        <f t="shared" si="82"/>
        <v>0.43669442275999648</v>
      </c>
      <c r="I143" s="258">
        <f t="shared" si="82"/>
        <v>0.42269472260208502</v>
      </c>
      <c r="J143" s="258">
        <f t="shared" si="82"/>
        <v>0.40953599175008298</v>
      </c>
      <c r="K143" s="258">
        <f t="shared" si="82"/>
        <v>0.43204207310588849</v>
      </c>
      <c r="L143" s="258">
        <f t="shared" si="82"/>
        <v>0.41989857794198171</v>
      </c>
      <c r="M143" s="258">
        <f t="shared" si="82"/>
        <v>0.42579095577273479</v>
      </c>
      <c r="N143" s="258">
        <f t="shared" si="82"/>
        <v>0.40658164171708011</v>
      </c>
      <c r="O143" s="258">
        <f t="shared" si="82"/>
        <v>0.42090379322767907</v>
      </c>
      <c r="P143" s="258">
        <f t="shared" si="82"/>
        <v>0.42420896708159622</v>
      </c>
      <c r="Q143" s="258">
        <f t="shared" si="82"/>
        <v>0.40860120945391193</v>
      </c>
      <c r="R143" s="258">
        <f t="shared" si="82"/>
        <v>0.41274695671828371</v>
      </c>
      <c r="S143" s="258">
        <f t="shared" si="82"/>
        <v>0.42015818256831605</v>
      </c>
      <c r="T143" s="258">
        <f t="shared" si="82"/>
        <v>0.42964971625059406</v>
      </c>
      <c r="U143" s="258">
        <f t="shared" si="82"/>
        <v>0.45409255213150501</v>
      </c>
      <c r="V143" s="258">
        <f t="shared" si="82"/>
        <v>0.43331404600028928</v>
      </c>
      <c r="W143" s="258">
        <f t="shared" si="82"/>
        <v>0.4549707990443323</v>
      </c>
      <c r="X143" s="258">
        <f t="shared" si="82"/>
        <v>0.47695846645367418</v>
      </c>
      <c r="Y143" s="258">
        <f t="shared" si="82"/>
        <v>0.41025857614182937</v>
      </c>
      <c r="Z143" s="258">
        <f t="shared" si="82"/>
        <v>0.41369310587009217</v>
      </c>
      <c r="AA143" s="258">
        <f t="shared" si="82"/>
        <v>0.4332652529115244</v>
      </c>
      <c r="AB143" s="258">
        <f t="shared" si="82"/>
        <v>0.39362398649485592</v>
      </c>
      <c r="AC143" s="258">
        <f t="shared" si="82"/>
        <v>0.44523603626305031</v>
      </c>
      <c r="AD143" s="258">
        <f t="shared" si="82"/>
        <v>0.42657274773544951</v>
      </c>
      <c r="AE143" s="258">
        <f t="shared" si="82"/>
        <v>0.43839867403047561</v>
      </c>
      <c r="AF143" s="258">
        <f t="shared" si="82"/>
        <v>0.43955775157771143</v>
      </c>
      <c r="AG143" s="259">
        <f t="shared" si="82"/>
        <v>0.41375039559178806</v>
      </c>
    </row>
    <row r="144" spans="1:33">
      <c r="A144" s="240" t="s">
        <v>232</v>
      </c>
      <c r="B144" s="258">
        <f t="shared" si="82"/>
        <v>0.44633969541104945</v>
      </c>
      <c r="C144" s="258">
        <f t="shared" si="82"/>
        <v>0.43045540609187288</v>
      </c>
      <c r="D144" s="258">
        <f t="shared" si="82"/>
        <v>0.43956425927113318</v>
      </c>
      <c r="E144" s="258">
        <f t="shared" si="82"/>
        <v>0.43238324199145667</v>
      </c>
      <c r="F144" s="258">
        <f t="shared" si="82"/>
        <v>0.43177199551351514</v>
      </c>
      <c r="G144" s="258">
        <f t="shared" si="82"/>
        <v>0.46118272830450763</v>
      </c>
      <c r="H144" s="258">
        <f t="shared" si="82"/>
        <v>0.44083448374973327</v>
      </c>
      <c r="I144" s="258">
        <f t="shared" si="82"/>
        <v>0.44040417181638808</v>
      </c>
      <c r="J144" s="258">
        <f t="shared" si="82"/>
        <v>0.40791173441724549</v>
      </c>
      <c r="K144" s="258">
        <f t="shared" si="82"/>
        <v>0.40792504216938363</v>
      </c>
      <c r="L144" s="258">
        <f t="shared" si="82"/>
        <v>0.41753755003036208</v>
      </c>
      <c r="M144" s="258">
        <f t="shared" si="82"/>
        <v>0.38831244327900666</v>
      </c>
      <c r="N144" s="258">
        <f t="shared" si="82"/>
        <v>0.42276308743657093</v>
      </c>
      <c r="O144" s="258">
        <f t="shared" si="82"/>
        <v>0.4424483916583471</v>
      </c>
      <c r="P144" s="258">
        <f t="shared" si="82"/>
        <v>0.43799527628896462</v>
      </c>
      <c r="Q144" s="258">
        <f t="shared" si="82"/>
        <v>0.41057979864405719</v>
      </c>
      <c r="R144" s="258">
        <f t="shared" si="82"/>
        <v>0.42639597008090363</v>
      </c>
      <c r="S144" s="258">
        <f t="shared" si="82"/>
        <v>0.3943447129668628</v>
      </c>
      <c r="T144" s="258">
        <f t="shared" si="82"/>
        <v>0.45867865466028657</v>
      </c>
      <c r="U144" s="258">
        <f t="shared" si="82"/>
        <v>0.43741168525033036</v>
      </c>
      <c r="V144" s="258">
        <f t="shared" si="82"/>
        <v>0.42336038573197127</v>
      </c>
      <c r="W144" s="258">
        <f t="shared" si="82"/>
        <v>0.40675870264598984</v>
      </c>
      <c r="X144" s="258">
        <f t="shared" si="82"/>
        <v>0.4915916855121974</v>
      </c>
      <c r="Y144" s="258">
        <f t="shared" si="82"/>
        <v>0.41175393891540757</v>
      </c>
      <c r="Z144" s="258">
        <f t="shared" si="82"/>
        <v>0.43698146513680497</v>
      </c>
      <c r="AA144" s="258">
        <f t="shared" si="82"/>
        <v>0.42368691441418532</v>
      </c>
      <c r="AB144" s="258">
        <f t="shared" si="82"/>
        <v>0.39573143443288433</v>
      </c>
      <c r="AC144" s="258">
        <f t="shared" si="82"/>
        <v>0.43285919044082516</v>
      </c>
      <c r="AD144" s="258">
        <f t="shared" si="82"/>
        <v>0.41784590226915636</v>
      </c>
      <c r="AE144" s="258">
        <f t="shared" si="82"/>
        <v>0.42697609418341204</v>
      </c>
      <c r="AF144" s="258">
        <f t="shared" si="82"/>
        <v>0.45135251984542629</v>
      </c>
      <c r="AG144" s="259">
        <f t="shared" si="82"/>
        <v>0.41375039559178806</v>
      </c>
    </row>
    <row r="145" spans="1:36">
      <c r="A145" s="240" t="s">
        <v>233</v>
      </c>
      <c r="B145" s="258">
        <f t="shared" si="82"/>
        <v>0.4383358067568594</v>
      </c>
      <c r="C145" s="258">
        <f t="shared" si="82"/>
        <v>0.41343456125919836</v>
      </c>
      <c r="D145" s="258">
        <f t="shared" si="82"/>
        <v>0.44454153462986329</v>
      </c>
      <c r="E145" s="258">
        <f t="shared" si="82"/>
        <v>0.42683053805178522</v>
      </c>
      <c r="F145" s="258">
        <f t="shared" si="82"/>
        <v>0.43356154463944807</v>
      </c>
      <c r="G145" s="258">
        <f t="shared" si="82"/>
        <v>0.44702980352757588</v>
      </c>
      <c r="H145" s="258">
        <f t="shared" si="82"/>
        <v>0.42087461294089146</v>
      </c>
      <c r="I145" s="258">
        <f t="shared" si="82"/>
        <v>0.42230087677277756</v>
      </c>
      <c r="J145" s="258">
        <f t="shared" si="82"/>
        <v>0.41082678490213553</v>
      </c>
      <c r="K145" s="258">
        <f t="shared" si="82"/>
        <v>0.40345885159311634</v>
      </c>
      <c r="L145" s="258">
        <f t="shared" si="82"/>
        <v>0.41554839401874805</v>
      </c>
      <c r="M145" s="258">
        <f t="shared" si="82"/>
        <v>0.40658866093899571</v>
      </c>
      <c r="N145" s="258">
        <f t="shared" si="82"/>
        <v>0.42300825283810267</v>
      </c>
      <c r="O145" s="258">
        <f t="shared" si="82"/>
        <v>0.41967497074307231</v>
      </c>
      <c r="P145" s="258">
        <f t="shared" si="82"/>
        <v>0.42930380912547822</v>
      </c>
      <c r="Q145" s="258">
        <f t="shared" si="82"/>
        <v>0.4399198919041864</v>
      </c>
      <c r="R145" s="258">
        <f t="shared" si="82"/>
        <v>0.42480022513266025</v>
      </c>
      <c r="S145" s="258">
        <f t="shared" si="82"/>
        <v>0.42681497931463436</v>
      </c>
      <c r="T145" s="258">
        <f t="shared" si="82"/>
        <v>0.43703762046481281</v>
      </c>
      <c r="U145" s="258">
        <f t="shared" si="82"/>
        <v>0.43208864806055874</v>
      </c>
      <c r="V145" s="258">
        <f t="shared" si="82"/>
        <v>0.42424898551006707</v>
      </c>
      <c r="W145" s="258">
        <f t="shared" si="82"/>
        <v>0.43436996414785572</v>
      </c>
      <c r="X145" s="258">
        <f t="shared" si="82"/>
        <v>0.43231717132598763</v>
      </c>
      <c r="Y145" s="258">
        <f t="shared" si="82"/>
        <v>0.41554093453584195</v>
      </c>
      <c r="Z145" s="258">
        <f t="shared" si="82"/>
        <v>0.41888270707410569</v>
      </c>
      <c r="AA145" s="258">
        <f t="shared" si="82"/>
        <v>0.40819646297510664</v>
      </c>
      <c r="AB145" s="258">
        <f t="shared" si="82"/>
        <v>0.56542878730638468</v>
      </c>
      <c r="AC145" s="258">
        <f t="shared" si="82"/>
        <v>0.41421995944765932</v>
      </c>
      <c r="AD145" s="258">
        <f t="shared" si="82"/>
        <v>0.39792389322732513</v>
      </c>
      <c r="AE145" s="258">
        <f t="shared" si="82"/>
        <v>0.38015920809073422</v>
      </c>
      <c r="AF145" s="258">
        <f t="shared" si="82"/>
        <v>0.4467740772129758</v>
      </c>
      <c r="AG145" s="259">
        <f t="shared" si="82"/>
        <v>0.41375039559178806</v>
      </c>
    </row>
    <row r="146" spans="1:36">
      <c r="A146" s="240" t="s">
        <v>234</v>
      </c>
      <c r="B146" s="258">
        <f t="shared" si="82"/>
        <v>0.42745855250016651</v>
      </c>
      <c r="C146" s="258">
        <f t="shared" si="82"/>
        <v>0.41065236028885699</v>
      </c>
      <c r="D146" s="258">
        <f t="shared" si="82"/>
        <v>0.44136719451921919</v>
      </c>
      <c r="E146" s="258">
        <f t="shared" si="82"/>
        <v>0.42939737827445157</v>
      </c>
      <c r="F146" s="258">
        <f t="shared" si="82"/>
        <v>0.41653747174268435</v>
      </c>
      <c r="G146" s="258">
        <f t="shared" si="82"/>
        <v>0.42273279160353927</v>
      </c>
      <c r="H146" s="258">
        <f t="shared" si="82"/>
        <v>0.43621117223147243</v>
      </c>
      <c r="I146" s="258">
        <f t="shared" si="82"/>
        <v>0.410816957044079</v>
      </c>
      <c r="J146" s="258">
        <f t="shared" si="82"/>
        <v>0.41477198313120467</v>
      </c>
      <c r="K146" s="258">
        <f t="shared" si="82"/>
        <v>0.40718076547838572</v>
      </c>
      <c r="L146" s="258">
        <f t="shared" si="82"/>
        <v>0.41850390608479193</v>
      </c>
      <c r="M146" s="258">
        <f t="shared" si="82"/>
        <v>0.40472871104489261</v>
      </c>
      <c r="N146" s="258">
        <f t="shared" si="82"/>
        <v>0.46331547816376745</v>
      </c>
      <c r="O146" s="258">
        <f t="shared" si="82"/>
        <v>0.44495309929525728</v>
      </c>
      <c r="P146" s="258">
        <f t="shared" si="82"/>
        <v>0.42243099336497364</v>
      </c>
      <c r="Q146" s="258">
        <f t="shared" si="82"/>
        <v>0.41522937378813518</v>
      </c>
      <c r="R146" s="258">
        <f t="shared" si="82"/>
        <v>0.42531389810939529</v>
      </c>
      <c r="S146" s="258">
        <f t="shared" si="82"/>
        <v>0.46056415705165149</v>
      </c>
      <c r="T146" s="258">
        <f t="shared" si="82"/>
        <v>0.44478843195182499</v>
      </c>
      <c r="U146" s="258">
        <f t="shared" si="82"/>
        <v>0.43354059261573713</v>
      </c>
      <c r="V146" s="258">
        <f t="shared" si="82"/>
        <v>0.43399946578192655</v>
      </c>
      <c r="W146" s="258">
        <f t="shared" si="82"/>
        <v>0.43215032066153752</v>
      </c>
      <c r="X146" s="258">
        <f t="shared" si="82"/>
        <v>0.42343843260878383</v>
      </c>
      <c r="Y146" s="258">
        <f t="shared" si="82"/>
        <v>0.41005685453082119</v>
      </c>
      <c r="Z146" s="258">
        <f t="shared" si="82"/>
        <v>0.4172020997738386</v>
      </c>
      <c r="AA146" s="258">
        <f t="shared" si="82"/>
        <v>0.41061935416882983</v>
      </c>
      <c r="AB146" s="258">
        <f t="shared" si="82"/>
        <v>0.54943866479671233</v>
      </c>
      <c r="AC146" s="258">
        <f t="shared" si="82"/>
        <v>0.39857413961122223</v>
      </c>
      <c r="AD146" s="258">
        <f t="shared" si="82"/>
        <v>0.39964430830308356</v>
      </c>
      <c r="AE146" s="258">
        <f t="shared" si="82"/>
        <v>0.40937977561593797</v>
      </c>
      <c r="AF146" s="258">
        <f t="shared" si="82"/>
        <v>0.44613902376205516</v>
      </c>
      <c r="AG146" s="259">
        <f t="shared" si="82"/>
        <v>0.41375039559178806</v>
      </c>
    </row>
    <row r="147" spans="1:36">
      <c r="A147" s="240" t="s">
        <v>46</v>
      </c>
      <c r="B147" s="258">
        <f t="shared" si="82"/>
        <v>0.42508709848555287</v>
      </c>
      <c r="C147" s="258">
        <f t="shared" si="82"/>
        <v>0.40678643360002958</v>
      </c>
      <c r="D147" s="258">
        <f t="shared" si="82"/>
        <v>0.42413462471179031</v>
      </c>
      <c r="E147" s="258">
        <f t="shared" si="82"/>
        <v>0.41193641168489187</v>
      </c>
      <c r="F147" s="258">
        <f t="shared" si="82"/>
        <v>0.41220747967128729</v>
      </c>
      <c r="G147" s="258">
        <f t="shared" si="82"/>
        <v>0.41033981825054711</v>
      </c>
      <c r="H147" s="258">
        <f t="shared" si="82"/>
        <v>0.41113117022473777</v>
      </c>
      <c r="I147" s="258">
        <f t="shared" si="82"/>
        <v>0.3879882869014688</v>
      </c>
      <c r="J147" s="258">
        <f t="shared" si="82"/>
        <v>0.41553902418751554</v>
      </c>
      <c r="K147" s="258">
        <f t="shared" si="82"/>
        <v>0.41147805007637644</v>
      </c>
      <c r="L147" s="258">
        <f t="shared" si="82"/>
        <v>0.39614619998795148</v>
      </c>
      <c r="M147" s="258">
        <f t="shared" si="82"/>
        <v>0.41525909774358388</v>
      </c>
      <c r="N147" s="258">
        <f t="shared" si="82"/>
        <v>0.42175270615686083</v>
      </c>
      <c r="O147" s="258">
        <f t="shared" si="82"/>
        <v>0.46812962269520542</v>
      </c>
      <c r="P147" s="258">
        <f t="shared" si="82"/>
        <v>0.43211090431654392</v>
      </c>
      <c r="Q147" s="258">
        <f t="shared" si="82"/>
        <v>0.41760974976648985</v>
      </c>
      <c r="R147" s="258">
        <f t="shared" si="82"/>
        <v>0.41782715411445548</v>
      </c>
      <c r="S147" s="258">
        <f t="shared" si="82"/>
        <v>0.42616072282660683</v>
      </c>
      <c r="T147" s="258">
        <f t="shared" si="82"/>
        <v>0.45166543356297573</v>
      </c>
      <c r="U147" s="258">
        <f t="shared" si="82"/>
        <v>0.42959221665206221</v>
      </c>
      <c r="V147" s="258">
        <f t="shared" si="82"/>
        <v>0.45804249349160941</v>
      </c>
      <c r="W147" s="258">
        <f t="shared" si="82"/>
        <v>0.43600140377399232</v>
      </c>
      <c r="X147" s="258">
        <f t="shared" si="82"/>
        <v>0.42717777313557548</v>
      </c>
      <c r="Y147" s="258">
        <f t="shared" si="82"/>
        <v>0.41509564066141691</v>
      </c>
      <c r="Z147" s="258">
        <f t="shared" si="82"/>
        <v>0.42061079338539392</v>
      </c>
      <c r="AA147" s="258">
        <f t="shared" si="82"/>
        <v>0.41738059114087223</v>
      </c>
      <c r="AB147" s="258">
        <f t="shared" si="82"/>
        <v>0.40573011745811249</v>
      </c>
      <c r="AC147" s="258">
        <f t="shared" si="82"/>
        <v>0.39650369661997442</v>
      </c>
      <c r="AD147" s="258">
        <f t="shared" si="82"/>
        <v>0.38714003661986129</v>
      </c>
      <c r="AE147" s="258">
        <f t="shared" si="82"/>
        <v>0.41253049235824168</v>
      </c>
      <c r="AF147" s="258">
        <f t="shared" si="82"/>
        <v>0.43867088908995666</v>
      </c>
      <c r="AG147" s="259">
        <f t="shared" si="82"/>
        <v>0.41375039559178806</v>
      </c>
    </row>
    <row r="148" spans="1:36">
      <c r="A148" s="240" t="s">
        <v>235</v>
      </c>
      <c r="B148" s="258">
        <f t="shared" si="82"/>
        <v>0.4334581941304177</v>
      </c>
      <c r="C148" s="258">
        <f t="shared" si="82"/>
        <v>0.40789919968824651</v>
      </c>
      <c r="D148" s="258">
        <f t="shared" si="82"/>
        <v>0.41075296011497225</v>
      </c>
      <c r="E148" s="258">
        <f t="shared" si="82"/>
        <v>0.40640650688833785</v>
      </c>
      <c r="F148" s="258">
        <f t="shared" si="82"/>
        <v>0.40070266234153584</v>
      </c>
      <c r="G148" s="258">
        <f t="shared" si="82"/>
        <v>0.40707851265012213</v>
      </c>
      <c r="H148" s="258">
        <f t="shared" si="82"/>
        <v>0.41348485551277886</v>
      </c>
      <c r="I148" s="258">
        <f t="shared" si="82"/>
        <v>0.39572212975186061</v>
      </c>
      <c r="J148" s="258">
        <f t="shared" si="82"/>
        <v>0.42181930399703027</v>
      </c>
      <c r="K148" s="258">
        <f t="shared" si="82"/>
        <v>0.41320217745620436</v>
      </c>
      <c r="L148" s="258">
        <f t="shared" si="82"/>
        <v>0.41850089757109149</v>
      </c>
      <c r="M148" s="258">
        <f t="shared" si="82"/>
        <v>0.40619923290620891</v>
      </c>
      <c r="N148" s="258">
        <f t="shared" si="82"/>
        <v>0.41909573124526395</v>
      </c>
      <c r="O148" s="258">
        <f t="shared" si="82"/>
        <v>0.42275896362751092</v>
      </c>
      <c r="P148" s="258">
        <f t="shared" si="82"/>
        <v>0.42803508652172434</v>
      </c>
      <c r="Q148" s="258">
        <f t="shared" si="82"/>
        <v>0.42561679824162107</v>
      </c>
      <c r="R148" s="258">
        <f t="shared" si="82"/>
        <v>0.41952787077539649</v>
      </c>
      <c r="S148" s="258">
        <f t="shared" si="82"/>
        <v>0.43370488222778714</v>
      </c>
      <c r="T148" s="258">
        <f t="shared" si="82"/>
        <v>0.44555496440424619</v>
      </c>
      <c r="U148" s="258">
        <f t="shared" si="82"/>
        <v>0.43318176657277091</v>
      </c>
      <c r="V148" s="258">
        <f t="shared" si="82"/>
        <v>0.45007274479442</v>
      </c>
      <c r="W148" s="258">
        <f t="shared" si="82"/>
        <v>0.41131719921331761</v>
      </c>
      <c r="X148" s="258">
        <f t="shared" si="82"/>
        <v>0.40809462733361834</v>
      </c>
      <c r="Y148" s="258">
        <f t="shared" si="82"/>
        <v>0.39903801085470281</v>
      </c>
      <c r="Z148" s="258">
        <f t="shared" si="82"/>
        <v>0.3998949780408631</v>
      </c>
      <c r="AA148" s="258">
        <f t="shared" si="82"/>
        <v>0.42509588457323755</v>
      </c>
      <c r="AB148" s="258">
        <f t="shared" si="82"/>
        <v>0.39492158172073893</v>
      </c>
      <c r="AC148" s="258">
        <f t="shared" si="82"/>
        <v>0.40163720736221914</v>
      </c>
      <c r="AD148" s="258">
        <f t="shared" si="82"/>
        <v>0.39998689731039999</v>
      </c>
      <c r="AE148" s="258">
        <f t="shared" si="82"/>
        <v>0.44564033397873831</v>
      </c>
      <c r="AF148" s="258">
        <f t="shared" si="82"/>
        <v>0.4617474880362159</v>
      </c>
      <c r="AG148" s="259">
        <f t="shared" si="82"/>
        <v>0.41375039559178806</v>
      </c>
    </row>
    <row r="149" spans="1:36">
      <c r="A149" s="240" t="s">
        <v>236</v>
      </c>
      <c r="B149" s="258">
        <f t="shared" si="82"/>
        <v>0.38423246935905159</v>
      </c>
      <c r="C149" s="258">
        <f t="shared" si="82"/>
        <v>0.41703067218444789</v>
      </c>
      <c r="D149" s="258">
        <f t="shared" si="82"/>
        <v>0.42029105746055451</v>
      </c>
      <c r="E149" s="258">
        <f t="shared" si="82"/>
        <v>0.41294656125542412</v>
      </c>
      <c r="F149" s="258">
        <f t="shared" si="82"/>
        <v>0.40849206631473589</v>
      </c>
      <c r="G149" s="258">
        <f t="shared" si="82"/>
        <v>0.41466010427592781</v>
      </c>
      <c r="H149" s="258">
        <f t="shared" si="82"/>
        <v>0.39822520958841978</v>
      </c>
      <c r="I149" s="258">
        <f t="shared" si="82"/>
        <v>0.39967446203839957</v>
      </c>
      <c r="J149" s="258">
        <f t="shared" si="82"/>
        <v>0.41703321606630261</v>
      </c>
      <c r="K149" s="258">
        <f t="shared" si="82"/>
        <v>0.40077617527248705</v>
      </c>
      <c r="L149" s="258">
        <f t="shared" si="82"/>
        <v>0.42690474677511592</v>
      </c>
      <c r="M149" s="258">
        <f t="shared" si="82"/>
        <v>0.42498693362280382</v>
      </c>
      <c r="N149" s="258">
        <f t="shared" si="82"/>
        <v>0.42828821294377079</v>
      </c>
      <c r="O149" s="258">
        <f t="shared" si="82"/>
        <v>0.42096329620853906</v>
      </c>
      <c r="P149" s="258">
        <f t="shared" si="82"/>
        <v>0.42315807099799063</v>
      </c>
      <c r="Q149" s="258">
        <f t="shared" si="82"/>
        <v>0.42357658653448188</v>
      </c>
      <c r="R149" s="258">
        <f t="shared" si="82"/>
        <v>0.45361365588788838</v>
      </c>
      <c r="S149" s="258">
        <f t="shared" si="82"/>
        <v>0.44741268330217665</v>
      </c>
      <c r="T149" s="258">
        <f t="shared" si="82"/>
        <v>0.4494939844979014</v>
      </c>
      <c r="U149" s="258">
        <f t="shared" si="82"/>
        <v>0.43637480095960801</v>
      </c>
      <c r="V149" s="258">
        <f t="shared" si="82"/>
        <v>0.4570704493655815</v>
      </c>
      <c r="W149" s="258">
        <f t="shared" si="82"/>
        <v>0.43717780971379139</v>
      </c>
      <c r="X149" s="258">
        <f t="shared" si="82"/>
        <v>0.41741432977929266</v>
      </c>
      <c r="Y149" s="258">
        <f t="shared" si="82"/>
        <v>0.39808729791525355</v>
      </c>
      <c r="Z149" s="258">
        <f t="shared" si="82"/>
        <v>0.39727307332941136</v>
      </c>
      <c r="AA149" s="258">
        <f t="shared" si="82"/>
        <v>0.4121684248645246</v>
      </c>
      <c r="AB149" s="258">
        <f t="shared" si="82"/>
        <v>0.41182596342535188</v>
      </c>
      <c r="AC149" s="258">
        <f t="shared" si="82"/>
        <v>0.41227894038308011</v>
      </c>
      <c r="AD149" s="258">
        <f t="shared" si="82"/>
        <v>0.40394242803504377</v>
      </c>
      <c r="AE149" s="258">
        <f t="shared" si="82"/>
        <v>0.44435465495222903</v>
      </c>
      <c r="AF149" s="258">
        <f t="shared" si="82"/>
        <v>0.46614744579637485</v>
      </c>
      <c r="AG149" s="259">
        <f t="shared" si="82"/>
        <v>0.41375039559178811</v>
      </c>
    </row>
    <row r="150" spans="1:36">
      <c r="A150" s="240" t="s">
        <v>237</v>
      </c>
      <c r="B150" s="258">
        <f t="shared" si="82"/>
        <v>0.43641231593038821</v>
      </c>
      <c r="C150" s="258">
        <f t="shared" si="82"/>
        <v>0.43961667639633356</v>
      </c>
      <c r="D150" s="258">
        <f t="shared" si="82"/>
        <v>0.41126443354300218</v>
      </c>
      <c r="E150" s="258">
        <f t="shared" si="82"/>
        <v>0.431362137551485</v>
      </c>
      <c r="F150" s="258">
        <f t="shared" si="82"/>
        <v>0.40184365631309527</v>
      </c>
      <c r="G150" s="258">
        <f t="shared" si="82"/>
        <v>0.39663097942029985</v>
      </c>
      <c r="H150" s="258">
        <f t="shared" si="82"/>
        <v>0.39908416013321307</v>
      </c>
      <c r="I150" s="258">
        <f t="shared" si="82"/>
        <v>0.40462361317940437</v>
      </c>
      <c r="J150" s="258">
        <f t="shared" si="82"/>
        <v>0.42650432400316873</v>
      </c>
      <c r="K150" s="258">
        <f t="shared" si="82"/>
        <v>0.41182683852703367</v>
      </c>
      <c r="L150" s="258">
        <f t="shared" si="82"/>
        <v>0.4106154933444971</v>
      </c>
      <c r="M150" s="258">
        <f t="shared" si="82"/>
        <v>0.43433389435786912</v>
      </c>
      <c r="N150" s="258">
        <f t="shared" si="82"/>
        <v>0.41320803574654641</v>
      </c>
      <c r="O150" s="258">
        <f t="shared" si="82"/>
        <v>0.41206793862160446</v>
      </c>
      <c r="P150" s="258">
        <f t="shared" si="82"/>
        <v>0.43146136559261239</v>
      </c>
      <c r="Q150" s="258">
        <f t="shared" si="82"/>
        <v>0.41747125321430306</v>
      </c>
      <c r="R150" s="258">
        <f t="shared" si="82"/>
        <v>0.42106830135961471</v>
      </c>
      <c r="S150" s="258">
        <f t="shared" si="82"/>
        <v>0.43857764314271119</v>
      </c>
      <c r="T150" s="258">
        <f t="shared" si="82"/>
        <v>0.44978529078694546</v>
      </c>
      <c r="U150" s="258">
        <f t="shared" si="82"/>
        <v>0.42456724187011158</v>
      </c>
      <c r="V150" s="258">
        <f t="shared" si="82"/>
        <v>0.43772977204047203</v>
      </c>
      <c r="W150" s="258">
        <f t="shared" si="82"/>
        <v>0.42258797055413388</v>
      </c>
      <c r="X150" s="258">
        <f t="shared" si="82"/>
        <v>0.42300532816845154</v>
      </c>
      <c r="Y150" s="258">
        <f t="shared" si="82"/>
        <v>0.39338053112598192</v>
      </c>
      <c r="Z150" s="258">
        <f t="shared" si="82"/>
        <v>0.40492237132438724</v>
      </c>
      <c r="AA150" s="258">
        <f t="shared" si="82"/>
        <v>0.4077246957656413</v>
      </c>
      <c r="AB150" s="258">
        <f t="shared" si="82"/>
        <v>0.40713458965301169</v>
      </c>
      <c r="AC150" s="258">
        <f t="shared" si="82"/>
        <v>0.3993997643246428</v>
      </c>
      <c r="AD150" s="258">
        <f t="shared" si="82"/>
        <v>0.39570992101611702</v>
      </c>
      <c r="AE150" s="258">
        <f t="shared" si="82"/>
        <v>0.45004241425118846</v>
      </c>
      <c r="AF150" s="258">
        <f t="shared" si="82"/>
        <v>0.47108605411716981</v>
      </c>
      <c r="AG150" s="259">
        <f t="shared" ref="AG150:BL150" si="83">(AG118+AG134)/AG87</f>
        <v>0.41375039559178806</v>
      </c>
    </row>
    <row r="151" spans="1:36">
      <c r="A151" s="240" t="s">
        <v>238</v>
      </c>
      <c r="B151" s="258">
        <f t="shared" ref="B151:AG154" si="84">(B119+B135)/B88</f>
        <v>0.44389361452341058</v>
      </c>
      <c r="C151" s="258">
        <f t="shared" si="84"/>
        <v>0.41211508109741768</v>
      </c>
      <c r="D151" s="258">
        <f t="shared" si="84"/>
        <v>0.41038349937664803</v>
      </c>
      <c r="E151" s="258">
        <f t="shared" si="84"/>
        <v>0.42417576832284803</v>
      </c>
      <c r="F151" s="258">
        <f t="shared" si="84"/>
        <v>0.40690451046781273</v>
      </c>
      <c r="G151" s="258">
        <f t="shared" si="84"/>
        <v>0.41000933565463127</v>
      </c>
      <c r="H151" s="258">
        <f t="shared" si="84"/>
        <v>0.40323209513520542</v>
      </c>
      <c r="I151" s="258">
        <f t="shared" si="84"/>
        <v>0.40838298204569751</v>
      </c>
      <c r="J151" s="258">
        <f t="shared" si="84"/>
        <v>0.42610209110547437</v>
      </c>
      <c r="K151" s="258">
        <f t="shared" si="84"/>
        <v>0.41872665259054737</v>
      </c>
      <c r="L151" s="258">
        <f t="shared" si="84"/>
        <v>0.41710190629482424</v>
      </c>
      <c r="M151" s="258">
        <f t="shared" si="84"/>
        <v>0.42357348587081312</v>
      </c>
      <c r="N151" s="258">
        <f t="shared" si="84"/>
        <v>0.421013330488683</v>
      </c>
      <c r="O151" s="258">
        <f t="shared" si="84"/>
        <v>0.42829440067506713</v>
      </c>
      <c r="P151" s="258">
        <f t="shared" si="84"/>
        <v>0.45393046932684411</v>
      </c>
      <c r="Q151" s="258">
        <f t="shared" si="84"/>
        <v>0.42477720140288211</v>
      </c>
      <c r="R151" s="258">
        <f t="shared" si="84"/>
        <v>0.42641990273538477</v>
      </c>
      <c r="S151" s="258">
        <f t="shared" si="84"/>
        <v>0.42941901086527634</v>
      </c>
      <c r="T151" s="258">
        <f t="shared" si="84"/>
        <v>0.44340444804325896</v>
      </c>
      <c r="U151" s="258">
        <f t="shared" si="84"/>
        <v>0.44795570078328761</v>
      </c>
      <c r="V151" s="258">
        <f t="shared" si="84"/>
        <v>0.44672428476800302</v>
      </c>
      <c r="W151" s="258">
        <f t="shared" si="84"/>
        <v>0.39458389906282076</v>
      </c>
      <c r="X151" s="258">
        <f t="shared" si="84"/>
        <v>0.42887502284416368</v>
      </c>
      <c r="Y151" s="258">
        <f t="shared" si="84"/>
        <v>0.44217703739996739</v>
      </c>
      <c r="Z151" s="258">
        <f t="shared" si="84"/>
        <v>0.40476646431375557</v>
      </c>
      <c r="AA151" s="258">
        <f t="shared" si="84"/>
        <v>0.42835082566585042</v>
      </c>
      <c r="AB151" s="258">
        <f t="shared" si="84"/>
        <v>0.41428135040955782</v>
      </c>
      <c r="AC151" s="258">
        <f t="shared" si="84"/>
        <v>0.39279014313888527</v>
      </c>
      <c r="AD151" s="258">
        <f t="shared" si="84"/>
        <v>0.41232206427657991</v>
      </c>
      <c r="AE151" s="258">
        <f t="shared" si="84"/>
        <v>0.4521494901945271</v>
      </c>
      <c r="AF151" s="259">
        <f t="shared" si="84"/>
        <v>0.39512821065855203</v>
      </c>
      <c r="AG151" s="259">
        <f t="shared" si="84"/>
        <v>0.41375039559178806</v>
      </c>
    </row>
    <row r="152" spans="1:36">
      <c r="A152" s="240" t="s">
        <v>239</v>
      </c>
      <c r="B152" s="258">
        <f t="shared" si="84"/>
        <v>0.42682494818164685</v>
      </c>
      <c r="C152" s="258">
        <f t="shared" si="84"/>
        <v>0.41238218077190192</v>
      </c>
      <c r="D152" s="258">
        <f t="shared" si="84"/>
        <v>0.42242859538447364</v>
      </c>
      <c r="E152" s="258">
        <f t="shared" si="84"/>
        <v>0.41760714765551527</v>
      </c>
      <c r="F152" s="258">
        <f t="shared" si="84"/>
        <v>0.40166408938993364</v>
      </c>
      <c r="G152" s="258">
        <f t="shared" si="84"/>
        <v>0.41539824576946927</v>
      </c>
      <c r="H152" s="258">
        <f t="shared" si="84"/>
        <v>0.38451491055432491</v>
      </c>
      <c r="I152" s="258">
        <f t="shared" si="84"/>
        <v>0.41042144153026017</v>
      </c>
      <c r="J152" s="258">
        <f t="shared" si="84"/>
        <v>0.41640580626150381</v>
      </c>
      <c r="K152" s="258">
        <f t="shared" si="84"/>
        <v>0.4060629022102219</v>
      </c>
      <c r="L152" s="258">
        <f t="shared" si="84"/>
        <v>0.42587777540464494</v>
      </c>
      <c r="M152" s="258">
        <f t="shared" si="84"/>
        <v>0.43787277374841538</v>
      </c>
      <c r="N152" s="258">
        <f t="shared" si="84"/>
        <v>0.40656101889180468</v>
      </c>
      <c r="O152" s="258">
        <f t="shared" si="84"/>
        <v>0.43578135285897418</v>
      </c>
      <c r="P152" s="258">
        <f t="shared" si="84"/>
        <v>0.42640941389747655</v>
      </c>
      <c r="Q152" s="258">
        <f t="shared" si="84"/>
        <v>0.4150023207787053</v>
      </c>
      <c r="R152" s="258">
        <f t="shared" si="84"/>
        <v>0.41490106843862679</v>
      </c>
      <c r="S152" s="258">
        <f t="shared" si="84"/>
        <v>0.46566798731407311</v>
      </c>
      <c r="T152" s="258">
        <f t="shared" si="84"/>
        <v>0.44244447670198866</v>
      </c>
      <c r="U152" s="258">
        <f t="shared" si="84"/>
        <v>0.43340623920801197</v>
      </c>
      <c r="V152" s="258">
        <f t="shared" si="84"/>
        <v>0.42937595657105498</v>
      </c>
      <c r="W152" s="258">
        <f t="shared" si="84"/>
        <v>0.42757887731740141</v>
      </c>
      <c r="X152" s="258">
        <f t="shared" si="84"/>
        <v>0.43735958929107294</v>
      </c>
      <c r="Y152" s="258">
        <f t="shared" si="84"/>
        <v>0.41878274577685731</v>
      </c>
      <c r="Z152" s="258">
        <f t="shared" si="84"/>
        <v>0.42972429543989249</v>
      </c>
      <c r="AA152" s="258">
        <f t="shared" si="84"/>
        <v>0.42454242968512995</v>
      </c>
      <c r="AB152" s="258">
        <f t="shared" si="84"/>
        <v>0.39999052516883626</v>
      </c>
      <c r="AC152" s="258">
        <f t="shared" si="84"/>
        <v>0.3926806881871619</v>
      </c>
      <c r="AD152" s="258">
        <f t="shared" si="84"/>
        <v>0.39864185439111982</v>
      </c>
      <c r="AE152" s="258">
        <f t="shared" si="84"/>
        <v>0.43728989223880194</v>
      </c>
      <c r="AF152" s="259">
        <f t="shared" si="84"/>
        <v>0.37015294617422512</v>
      </c>
      <c r="AG152" s="259">
        <f t="shared" si="84"/>
        <v>0.41375039559178806</v>
      </c>
    </row>
    <row r="153" spans="1:36">
      <c r="A153" s="240" t="s">
        <v>240</v>
      </c>
      <c r="B153" s="258">
        <f t="shared" si="84"/>
        <v>0.43751603797793176</v>
      </c>
      <c r="C153" s="258">
        <f t="shared" si="84"/>
        <v>0.4121406274771352</v>
      </c>
      <c r="D153" s="258">
        <f t="shared" si="84"/>
        <v>0.40227605483828033</v>
      </c>
      <c r="E153" s="258">
        <f t="shared" si="84"/>
        <v>0.41437018367307887</v>
      </c>
      <c r="F153" s="258">
        <f t="shared" si="84"/>
        <v>0.4119103504701101</v>
      </c>
      <c r="G153" s="258">
        <f t="shared" si="84"/>
        <v>0.41564810342905967</v>
      </c>
      <c r="H153" s="258">
        <f t="shared" si="84"/>
        <v>0.4198654222303535</v>
      </c>
      <c r="I153" s="258">
        <f t="shared" si="84"/>
        <v>0.40849284724356483</v>
      </c>
      <c r="J153" s="258">
        <f t="shared" si="84"/>
        <v>0.41286911026739825</v>
      </c>
      <c r="K153" s="258">
        <f t="shared" si="84"/>
        <v>0.41719832629536358</v>
      </c>
      <c r="L153" s="258">
        <f t="shared" si="84"/>
        <v>0.42226831891681804</v>
      </c>
      <c r="M153" s="258">
        <f t="shared" si="84"/>
        <v>0.42520066636377407</v>
      </c>
      <c r="N153" s="258">
        <f t="shared" si="84"/>
        <v>0.43306898248243048</v>
      </c>
      <c r="O153" s="258">
        <f t="shared" si="84"/>
        <v>0.44976226168688438</v>
      </c>
      <c r="P153" s="258">
        <f t="shared" si="84"/>
        <v>0.42476460294975416</v>
      </c>
      <c r="Q153" s="258">
        <f t="shared" si="84"/>
        <v>0.41468228193418805</v>
      </c>
      <c r="R153" s="258">
        <f t="shared" si="84"/>
        <v>0.42305967807021472</v>
      </c>
      <c r="S153" s="258">
        <f t="shared" si="84"/>
        <v>0.44304848688019993</v>
      </c>
      <c r="T153" s="258">
        <f t="shared" si="84"/>
        <v>0.46088109221098839</v>
      </c>
      <c r="U153" s="258">
        <f t="shared" si="84"/>
        <v>0.39493002376551362</v>
      </c>
      <c r="V153" s="258">
        <f t="shared" si="84"/>
        <v>0.52191241874786176</v>
      </c>
      <c r="W153" s="258">
        <f t="shared" si="84"/>
        <v>0.41996190257396931</v>
      </c>
      <c r="X153" s="258">
        <f t="shared" si="84"/>
        <v>0.35895873975433534</v>
      </c>
      <c r="Y153" s="258">
        <f t="shared" si="84"/>
        <v>0.38018238124323578</v>
      </c>
      <c r="Z153" s="258">
        <f t="shared" si="84"/>
        <v>0.39649859943977589</v>
      </c>
      <c r="AA153" s="258">
        <f t="shared" si="84"/>
        <v>0.41230389377811449</v>
      </c>
      <c r="AB153" s="258">
        <f t="shared" si="84"/>
        <v>0.40383065411782626</v>
      </c>
      <c r="AC153" s="258">
        <f t="shared" si="84"/>
        <v>0.4157010212787105</v>
      </c>
      <c r="AD153" s="258">
        <f t="shared" si="84"/>
        <v>0.42434541450284124</v>
      </c>
      <c r="AE153" s="258">
        <f t="shared" si="84"/>
        <v>0.43972484381230892</v>
      </c>
      <c r="AF153" s="259">
        <f t="shared" si="84"/>
        <v>0.36488129680201542</v>
      </c>
      <c r="AG153" s="259">
        <f t="shared" si="84"/>
        <v>0.41375039559178806</v>
      </c>
    </row>
    <row r="154" spans="1:36">
      <c r="A154" s="240" t="s">
        <v>241</v>
      </c>
      <c r="B154" s="258">
        <f t="shared" si="84"/>
        <v>0.44939382709513476</v>
      </c>
      <c r="C154" s="258">
        <f t="shared" si="84"/>
        <v>0.4037992623975129</v>
      </c>
      <c r="D154" s="258">
        <f t="shared" si="84"/>
        <v>0.41433061248808395</v>
      </c>
      <c r="E154" s="258">
        <f t="shared" si="84"/>
        <v>0.43297540166247644</v>
      </c>
      <c r="F154" s="258">
        <f t="shared" si="84"/>
        <v>0.41099336910763007</v>
      </c>
      <c r="G154" s="258">
        <f t="shared" si="84"/>
        <v>0.42465292385359699</v>
      </c>
      <c r="H154" s="258">
        <f t="shared" si="84"/>
        <v>0.40911981106367518</v>
      </c>
      <c r="I154" s="258">
        <f t="shared" si="84"/>
        <v>0.38276753721694806</v>
      </c>
      <c r="J154" s="258">
        <f t="shared" si="84"/>
        <v>0.4131064677708311</v>
      </c>
      <c r="K154" s="258">
        <f t="shared" si="84"/>
        <v>0.43107408000854563</v>
      </c>
      <c r="L154" s="258">
        <f t="shared" si="84"/>
        <v>0.41735812560078789</v>
      </c>
      <c r="M154" s="258">
        <f t="shared" si="84"/>
        <v>0.45222501628573231</v>
      </c>
      <c r="N154" s="258">
        <f t="shared" si="84"/>
        <v>0.42846798386262541</v>
      </c>
      <c r="O154" s="258">
        <f t="shared" si="84"/>
        <v>0.41102501215721926</v>
      </c>
      <c r="P154" s="258">
        <f t="shared" si="84"/>
        <v>0.43808419343615906</v>
      </c>
      <c r="Q154" s="258">
        <f t="shared" si="84"/>
        <v>0.40936372140078447</v>
      </c>
      <c r="R154" s="258">
        <f t="shared" si="84"/>
        <v>0.40811481143874667</v>
      </c>
      <c r="S154" s="258">
        <f t="shared" si="84"/>
        <v>0.42500495343768574</v>
      </c>
      <c r="T154" s="258">
        <f t="shared" si="84"/>
        <v>0.41297849070360915</v>
      </c>
      <c r="U154" s="258">
        <f t="shared" si="84"/>
        <v>0.4543079755237503</v>
      </c>
      <c r="V154" s="258">
        <f t="shared" si="84"/>
        <v>0.41409088129166416</v>
      </c>
      <c r="W154" s="258">
        <f t="shared" si="84"/>
        <v>0.42951090308769635</v>
      </c>
      <c r="X154" s="258">
        <f t="shared" si="84"/>
        <v>0.39766498986410392</v>
      </c>
      <c r="Y154" s="258">
        <f t="shared" si="84"/>
        <v>0.40290674780741004</v>
      </c>
      <c r="Z154" s="258">
        <f t="shared" si="84"/>
        <v>0.41764201322597605</v>
      </c>
      <c r="AA154" s="258">
        <f t="shared" si="84"/>
        <v>0.41836636225666934</v>
      </c>
      <c r="AB154" s="258">
        <f t="shared" si="84"/>
        <v>0.41617538989140201</v>
      </c>
      <c r="AC154" s="258">
        <f t="shared" si="84"/>
        <v>0.43519912412754885</v>
      </c>
      <c r="AD154" s="258">
        <f t="shared" si="84"/>
        <v>0.42834913807149605</v>
      </c>
      <c r="AE154" s="258">
        <f t="shared" si="84"/>
        <v>0.45368639009497241</v>
      </c>
      <c r="AF154" s="259">
        <f t="shared" si="84"/>
        <v>-0.13677919295219482</v>
      </c>
      <c r="AG154" s="259">
        <f t="shared" si="84"/>
        <v>0.41375039559178806</v>
      </c>
    </row>
    <row r="155" spans="1:36" ht="15.75" thickBot="1">
      <c r="A155" s="240" t="s">
        <v>255</v>
      </c>
      <c r="B155" s="258">
        <f>AVERAGE(B143:B154)</f>
        <v>0.43030996155601803</v>
      </c>
      <c r="C155" s="258">
        <f t="shared" ref="C155:AB155" si="85">AVERAGE(C143:C154)</f>
        <v>0.41746163012155413</v>
      </c>
      <c r="D155" s="258">
        <f t="shared" si="85"/>
        <v>0.4226847601107957</v>
      </c>
      <c r="E155" s="258">
        <f t="shared" si="85"/>
        <v>0.42109213899993847</v>
      </c>
      <c r="F155" s="258">
        <f t="shared" si="85"/>
        <v>0.41423580307458097</v>
      </c>
      <c r="G155" s="258">
        <f t="shared" si="85"/>
        <v>0.41942009448469214</v>
      </c>
      <c r="H155" s="258">
        <f t="shared" si="85"/>
        <v>0.4144393605104002</v>
      </c>
      <c r="I155" s="258">
        <f t="shared" si="85"/>
        <v>0.40785750234524443</v>
      </c>
      <c r="J155" s="258">
        <f t="shared" si="85"/>
        <v>0.41603548648832445</v>
      </c>
      <c r="K155" s="258">
        <f t="shared" si="85"/>
        <v>0.41341266123196285</v>
      </c>
      <c r="L155" s="258">
        <f t="shared" si="85"/>
        <v>0.41718849099763461</v>
      </c>
      <c r="M155" s="258">
        <f t="shared" si="85"/>
        <v>0.42042265599456918</v>
      </c>
      <c r="N155" s="258">
        <f t="shared" si="85"/>
        <v>0.42392703849779217</v>
      </c>
      <c r="O155" s="258">
        <f t="shared" si="85"/>
        <v>0.43139692528794676</v>
      </c>
      <c r="P155" s="258">
        <f t="shared" si="85"/>
        <v>0.43099109607500985</v>
      </c>
      <c r="Q155" s="258">
        <f t="shared" si="85"/>
        <v>0.41853584892197887</v>
      </c>
      <c r="R155" s="258">
        <f t="shared" si="85"/>
        <v>0.42281579107179756</v>
      </c>
      <c r="S155" s="258">
        <f t="shared" si="85"/>
        <v>0.43423986682483179</v>
      </c>
      <c r="T155" s="258">
        <f t="shared" si="85"/>
        <v>0.44386355035328612</v>
      </c>
      <c r="U155" s="258">
        <f t="shared" si="85"/>
        <v>0.43428745361610394</v>
      </c>
      <c r="V155" s="258">
        <f t="shared" si="85"/>
        <v>0.44416182367457674</v>
      </c>
      <c r="W155" s="258">
        <f t="shared" si="85"/>
        <v>0.42558081264973663</v>
      </c>
      <c r="X155" s="258">
        <f t="shared" si="85"/>
        <v>0.42690467967260476</v>
      </c>
      <c r="Y155" s="258">
        <f t="shared" si="85"/>
        <v>0.40810505807572722</v>
      </c>
      <c r="Z155" s="258">
        <f t="shared" si="85"/>
        <v>0.41317433052952474</v>
      </c>
      <c r="AA155" s="258">
        <f t="shared" si="85"/>
        <v>0.41847509101664054</v>
      </c>
      <c r="AB155" s="258">
        <f t="shared" si="85"/>
        <v>0.42984275373963943</v>
      </c>
      <c r="AC155" s="258">
        <f>AVERAGE(AC143:AC154)</f>
        <v>0.4114233259320817</v>
      </c>
      <c r="AD155" s="258">
        <f>AVERAGE(AD143:AD154)</f>
        <v>0.4077020504798729</v>
      </c>
      <c r="AE155" s="258">
        <f>AVERAGE(AE143:AE154)</f>
        <v>0.43252768865013064</v>
      </c>
      <c r="AF155" s="259">
        <f>FORECAST(AF45,G155:AE155,G45:AE45)-0.01</f>
        <v>0.41532211743545377</v>
      </c>
      <c r="AG155" s="259">
        <f>FORECAST(AG45,H155:AF155,H45:AF45)-0.01</f>
        <v>0.41375039559178806</v>
      </c>
    </row>
    <row r="156" spans="1:36">
      <c r="A156" s="248"/>
      <c r="B156" s="248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  <c r="AD156" s="248"/>
      <c r="AE156" s="248"/>
      <c r="AF156" s="248"/>
      <c r="AG156" s="248"/>
    </row>
    <row r="157" spans="1:36" ht="15.75" thickBot="1">
      <c r="A157" s="235" t="s">
        <v>256</v>
      </c>
    </row>
    <row r="158" spans="1:36" ht="15.75" thickBot="1">
      <c r="A158" s="236"/>
      <c r="B158" s="237">
        <f>B$2</f>
        <v>1993</v>
      </c>
      <c r="C158" s="237">
        <f t="shared" ref="C158:AG158" si="86">C$2</f>
        <v>1994</v>
      </c>
      <c r="D158" s="237">
        <f t="shared" si="86"/>
        <v>1995</v>
      </c>
      <c r="E158" s="237">
        <f t="shared" si="86"/>
        <v>1996</v>
      </c>
      <c r="F158" s="237">
        <f t="shared" si="86"/>
        <v>1997</v>
      </c>
      <c r="G158" s="237">
        <f t="shared" si="86"/>
        <v>1998</v>
      </c>
      <c r="H158" s="237">
        <f t="shared" si="86"/>
        <v>1999</v>
      </c>
      <c r="I158" s="237">
        <f t="shared" si="86"/>
        <v>2000</v>
      </c>
      <c r="J158" s="237">
        <f t="shared" si="86"/>
        <v>2001</v>
      </c>
      <c r="K158" s="237">
        <f t="shared" si="86"/>
        <v>2002</v>
      </c>
      <c r="L158" s="237">
        <f t="shared" si="86"/>
        <v>2003</v>
      </c>
      <c r="M158" s="237">
        <f t="shared" si="86"/>
        <v>2004</v>
      </c>
      <c r="N158" s="237">
        <f t="shared" si="86"/>
        <v>2005</v>
      </c>
      <c r="O158" s="237">
        <f t="shared" si="86"/>
        <v>2006</v>
      </c>
      <c r="P158" s="237">
        <f t="shared" si="86"/>
        <v>2007</v>
      </c>
      <c r="Q158" s="237">
        <f t="shared" si="86"/>
        <v>2008</v>
      </c>
      <c r="R158" s="237">
        <f t="shared" si="86"/>
        <v>2009</v>
      </c>
      <c r="S158" s="237">
        <f t="shared" si="86"/>
        <v>2010</v>
      </c>
      <c r="T158" s="237">
        <f t="shared" si="86"/>
        <v>2011</v>
      </c>
      <c r="U158" s="237">
        <f t="shared" si="86"/>
        <v>2012</v>
      </c>
      <c r="V158" s="237">
        <f t="shared" si="86"/>
        <v>2013</v>
      </c>
      <c r="W158" s="237">
        <f t="shared" si="86"/>
        <v>2014</v>
      </c>
      <c r="X158" s="237">
        <f t="shared" si="86"/>
        <v>2015</v>
      </c>
      <c r="Y158" s="237">
        <f t="shared" si="86"/>
        <v>2016</v>
      </c>
      <c r="Z158" s="237">
        <f t="shared" si="86"/>
        <v>2017</v>
      </c>
      <c r="AA158" s="237">
        <f t="shared" si="86"/>
        <v>2018</v>
      </c>
      <c r="AB158" s="237">
        <f t="shared" si="86"/>
        <v>2019</v>
      </c>
      <c r="AC158" s="237">
        <f t="shared" si="86"/>
        <v>2020</v>
      </c>
      <c r="AD158" s="237">
        <f t="shared" si="86"/>
        <v>2021</v>
      </c>
      <c r="AE158" s="237">
        <f t="shared" si="86"/>
        <v>2022</v>
      </c>
      <c r="AF158" s="237">
        <f t="shared" si="86"/>
        <v>2023</v>
      </c>
      <c r="AG158" s="237">
        <f t="shared" si="86"/>
        <v>2024</v>
      </c>
      <c r="AI158" s="238" t="s">
        <v>229</v>
      </c>
      <c r="AJ158" s="239">
        <v>23063</v>
      </c>
    </row>
    <row r="159" spans="1:36">
      <c r="A159" s="240" t="s">
        <v>231</v>
      </c>
      <c r="B159" s="262">
        <v>0</v>
      </c>
      <c r="C159" s="262">
        <v>0</v>
      </c>
      <c r="D159" s="262">
        <v>0</v>
      </c>
      <c r="E159" s="262">
        <v>0</v>
      </c>
      <c r="F159" s="262">
        <v>0</v>
      </c>
      <c r="G159" s="262">
        <v>0</v>
      </c>
      <c r="H159" s="262">
        <v>0</v>
      </c>
      <c r="I159" s="262">
        <v>0</v>
      </c>
      <c r="J159" s="262">
        <v>0</v>
      </c>
      <c r="K159" s="262">
        <v>0</v>
      </c>
      <c r="L159" s="262">
        <v>0</v>
      </c>
      <c r="M159" s="262">
        <v>0</v>
      </c>
      <c r="N159" s="262">
        <v>0</v>
      </c>
      <c r="O159" s="262">
        <v>0</v>
      </c>
      <c r="P159" s="262">
        <v>0</v>
      </c>
      <c r="Q159" s="262">
        <v>0</v>
      </c>
      <c r="R159" s="262">
        <v>0</v>
      </c>
      <c r="S159" s="262">
        <v>0</v>
      </c>
      <c r="T159" s="262">
        <v>0</v>
      </c>
      <c r="U159" s="262">
        <v>0</v>
      </c>
      <c r="V159" s="262">
        <v>0</v>
      </c>
      <c r="W159" s="262">
        <v>0</v>
      </c>
      <c r="X159" s="262">
        <v>0</v>
      </c>
      <c r="Y159" s="262">
        <v>0</v>
      </c>
      <c r="Z159" s="262">
        <v>0</v>
      </c>
      <c r="AA159" s="262">
        <v>0</v>
      </c>
      <c r="AB159" s="262">
        <v>0</v>
      </c>
      <c r="AC159" s="262">
        <v>0</v>
      </c>
      <c r="AD159" s="262">
        <v>0</v>
      </c>
      <c r="AE159" s="242">
        <v>0</v>
      </c>
      <c r="AF159" s="242">
        <v>0</v>
      </c>
      <c r="AG159" s="243">
        <v>0</v>
      </c>
    </row>
    <row r="160" spans="1:36">
      <c r="A160" s="240" t="s">
        <v>232</v>
      </c>
      <c r="B160" s="262">
        <v>0</v>
      </c>
      <c r="C160" s="262">
        <v>0</v>
      </c>
      <c r="D160" s="262">
        <v>0</v>
      </c>
      <c r="E160" s="262">
        <v>0</v>
      </c>
      <c r="F160" s="262">
        <v>0</v>
      </c>
      <c r="G160" s="262">
        <v>0</v>
      </c>
      <c r="H160" s="262">
        <v>0</v>
      </c>
      <c r="I160" s="262">
        <v>0</v>
      </c>
      <c r="J160" s="262">
        <v>0</v>
      </c>
      <c r="K160" s="262">
        <v>0</v>
      </c>
      <c r="L160" s="262">
        <v>0</v>
      </c>
      <c r="M160" s="262">
        <v>0</v>
      </c>
      <c r="N160" s="262">
        <v>0</v>
      </c>
      <c r="O160" s="262">
        <v>0</v>
      </c>
      <c r="P160" s="262">
        <v>0</v>
      </c>
      <c r="Q160" s="262">
        <v>0</v>
      </c>
      <c r="R160" s="262">
        <v>0</v>
      </c>
      <c r="S160" s="262">
        <v>0</v>
      </c>
      <c r="T160" s="262">
        <v>0</v>
      </c>
      <c r="U160" s="262">
        <v>0</v>
      </c>
      <c r="V160" s="262">
        <v>0</v>
      </c>
      <c r="W160" s="262">
        <v>0</v>
      </c>
      <c r="X160" s="262">
        <v>0</v>
      </c>
      <c r="Y160" s="262">
        <v>0</v>
      </c>
      <c r="Z160" s="262">
        <v>0</v>
      </c>
      <c r="AA160" s="262">
        <v>0</v>
      </c>
      <c r="AB160" s="262">
        <v>0</v>
      </c>
      <c r="AC160" s="262">
        <v>0</v>
      </c>
      <c r="AD160" s="262">
        <v>0</v>
      </c>
      <c r="AE160" s="242">
        <v>0</v>
      </c>
      <c r="AF160" s="242">
        <v>0</v>
      </c>
      <c r="AG160" s="243">
        <v>0</v>
      </c>
    </row>
    <row r="161" spans="1:33">
      <c r="A161" s="240" t="s">
        <v>233</v>
      </c>
      <c r="B161" s="262">
        <v>0</v>
      </c>
      <c r="C161" s="262">
        <v>0</v>
      </c>
      <c r="D161" s="262">
        <v>0</v>
      </c>
      <c r="E161" s="262">
        <v>0</v>
      </c>
      <c r="F161" s="262">
        <v>0</v>
      </c>
      <c r="G161" s="262">
        <v>0</v>
      </c>
      <c r="H161" s="262">
        <v>0</v>
      </c>
      <c r="I161" s="262">
        <v>0</v>
      </c>
      <c r="J161" s="262">
        <v>0</v>
      </c>
      <c r="K161" s="262">
        <v>0</v>
      </c>
      <c r="L161" s="262">
        <v>0</v>
      </c>
      <c r="M161" s="262">
        <v>0</v>
      </c>
      <c r="N161" s="262">
        <v>0</v>
      </c>
      <c r="O161" s="262">
        <v>0</v>
      </c>
      <c r="P161" s="262">
        <v>0</v>
      </c>
      <c r="Q161" s="262">
        <v>0</v>
      </c>
      <c r="R161" s="262">
        <v>0</v>
      </c>
      <c r="S161" s="262">
        <v>0</v>
      </c>
      <c r="T161" s="262">
        <v>0</v>
      </c>
      <c r="U161" s="262">
        <v>0</v>
      </c>
      <c r="V161" s="262">
        <v>0</v>
      </c>
      <c r="W161" s="262">
        <v>0</v>
      </c>
      <c r="X161" s="262">
        <v>0</v>
      </c>
      <c r="Y161" s="262">
        <v>0</v>
      </c>
      <c r="Z161" s="262">
        <v>0</v>
      </c>
      <c r="AA161" s="262">
        <v>0</v>
      </c>
      <c r="AB161" s="262">
        <v>0</v>
      </c>
      <c r="AC161" s="262">
        <v>0</v>
      </c>
      <c r="AD161" s="262">
        <v>0</v>
      </c>
      <c r="AE161" s="242">
        <v>0</v>
      </c>
      <c r="AF161" s="242">
        <v>0</v>
      </c>
      <c r="AG161" s="243">
        <v>0</v>
      </c>
    </row>
    <row r="162" spans="1:33">
      <c r="A162" s="240" t="s">
        <v>234</v>
      </c>
      <c r="B162" s="262">
        <v>0</v>
      </c>
      <c r="C162" s="262">
        <v>0</v>
      </c>
      <c r="D162" s="262">
        <v>0</v>
      </c>
      <c r="E162" s="262">
        <v>0</v>
      </c>
      <c r="F162" s="262">
        <v>0</v>
      </c>
      <c r="G162" s="262">
        <v>0</v>
      </c>
      <c r="H162" s="262">
        <v>0</v>
      </c>
      <c r="I162" s="262">
        <v>0</v>
      </c>
      <c r="J162" s="262">
        <v>0</v>
      </c>
      <c r="K162" s="262">
        <v>0</v>
      </c>
      <c r="L162" s="262">
        <v>0</v>
      </c>
      <c r="M162" s="262">
        <v>0</v>
      </c>
      <c r="N162" s="262">
        <v>0</v>
      </c>
      <c r="O162" s="262">
        <v>0</v>
      </c>
      <c r="P162" s="262">
        <v>0</v>
      </c>
      <c r="Q162" s="262">
        <v>0</v>
      </c>
      <c r="R162" s="262">
        <v>0</v>
      </c>
      <c r="S162" s="262">
        <v>0</v>
      </c>
      <c r="T162" s="262">
        <v>0</v>
      </c>
      <c r="U162" s="262">
        <v>0</v>
      </c>
      <c r="V162" s="262">
        <v>0</v>
      </c>
      <c r="W162" s="262">
        <v>0</v>
      </c>
      <c r="X162" s="262">
        <v>0</v>
      </c>
      <c r="Y162" s="262">
        <v>0</v>
      </c>
      <c r="Z162" s="262">
        <v>0</v>
      </c>
      <c r="AA162" s="262">
        <v>0</v>
      </c>
      <c r="AB162" s="262">
        <v>0</v>
      </c>
      <c r="AC162" s="262">
        <v>0</v>
      </c>
      <c r="AD162" s="262">
        <v>0</v>
      </c>
      <c r="AE162" s="242">
        <v>0</v>
      </c>
      <c r="AF162" s="242">
        <v>0</v>
      </c>
      <c r="AG162" s="243">
        <v>0</v>
      </c>
    </row>
    <row r="163" spans="1:33">
      <c r="A163" s="240" t="s">
        <v>46</v>
      </c>
      <c r="B163" s="262">
        <v>0</v>
      </c>
      <c r="C163" s="262">
        <v>0</v>
      </c>
      <c r="D163" s="262">
        <v>0</v>
      </c>
      <c r="E163" s="262">
        <v>0</v>
      </c>
      <c r="F163" s="262">
        <v>0</v>
      </c>
      <c r="G163" s="262">
        <v>0</v>
      </c>
      <c r="H163" s="262">
        <v>0</v>
      </c>
      <c r="I163" s="262">
        <v>0</v>
      </c>
      <c r="J163" s="262">
        <v>0</v>
      </c>
      <c r="K163" s="262">
        <v>0</v>
      </c>
      <c r="L163" s="262">
        <v>0</v>
      </c>
      <c r="M163" s="262">
        <v>0</v>
      </c>
      <c r="N163" s="262">
        <v>0</v>
      </c>
      <c r="O163" s="262">
        <v>0</v>
      </c>
      <c r="P163" s="262">
        <v>0</v>
      </c>
      <c r="Q163" s="262">
        <v>0</v>
      </c>
      <c r="R163" s="262">
        <v>0</v>
      </c>
      <c r="S163" s="262">
        <v>0</v>
      </c>
      <c r="T163" s="262">
        <v>0</v>
      </c>
      <c r="U163" s="262">
        <v>0</v>
      </c>
      <c r="V163" s="262">
        <v>0</v>
      </c>
      <c r="W163" s="262">
        <v>0</v>
      </c>
      <c r="X163" s="262">
        <v>0</v>
      </c>
      <c r="Y163" s="262">
        <v>0</v>
      </c>
      <c r="Z163" s="262">
        <v>0</v>
      </c>
      <c r="AA163" s="262">
        <v>0</v>
      </c>
      <c r="AB163" s="262">
        <v>0</v>
      </c>
      <c r="AC163" s="262">
        <v>0</v>
      </c>
      <c r="AD163" s="262">
        <v>0</v>
      </c>
      <c r="AE163" s="242">
        <v>0</v>
      </c>
      <c r="AF163" s="242">
        <v>0</v>
      </c>
      <c r="AG163" s="243">
        <v>0</v>
      </c>
    </row>
    <row r="164" spans="1:33">
      <c r="A164" s="240" t="s">
        <v>235</v>
      </c>
      <c r="B164" s="262">
        <v>0</v>
      </c>
      <c r="C164" s="262">
        <v>0</v>
      </c>
      <c r="D164" s="262">
        <v>0</v>
      </c>
      <c r="E164" s="262">
        <v>0</v>
      </c>
      <c r="F164" s="262">
        <v>0</v>
      </c>
      <c r="G164" s="262">
        <v>0</v>
      </c>
      <c r="H164" s="262">
        <v>0</v>
      </c>
      <c r="I164" s="262">
        <v>0</v>
      </c>
      <c r="J164" s="262">
        <v>0</v>
      </c>
      <c r="K164" s="262">
        <v>0</v>
      </c>
      <c r="L164" s="262">
        <v>0</v>
      </c>
      <c r="M164" s="262">
        <v>0</v>
      </c>
      <c r="N164" s="262">
        <v>0</v>
      </c>
      <c r="O164" s="262">
        <v>0</v>
      </c>
      <c r="P164" s="262">
        <v>0</v>
      </c>
      <c r="Q164" s="262">
        <v>0</v>
      </c>
      <c r="R164" s="262">
        <v>0</v>
      </c>
      <c r="S164" s="262">
        <v>0</v>
      </c>
      <c r="T164" s="262">
        <v>0</v>
      </c>
      <c r="U164" s="262">
        <v>0</v>
      </c>
      <c r="V164" s="262">
        <v>0</v>
      </c>
      <c r="W164" s="262">
        <v>0</v>
      </c>
      <c r="X164" s="262">
        <v>0</v>
      </c>
      <c r="Y164" s="262">
        <v>0</v>
      </c>
      <c r="Z164" s="262">
        <v>0</v>
      </c>
      <c r="AA164" s="262">
        <v>0</v>
      </c>
      <c r="AB164" s="262">
        <v>0</v>
      </c>
      <c r="AC164" s="262">
        <v>0</v>
      </c>
      <c r="AD164" s="262">
        <v>0</v>
      </c>
      <c r="AE164" s="242">
        <v>0</v>
      </c>
      <c r="AF164" s="242">
        <v>0</v>
      </c>
      <c r="AG164" s="243">
        <v>0</v>
      </c>
    </row>
    <row r="165" spans="1:33">
      <c r="A165" s="240" t="s">
        <v>236</v>
      </c>
      <c r="B165" s="262">
        <v>0</v>
      </c>
      <c r="C165" s="262">
        <v>0</v>
      </c>
      <c r="D165" s="262">
        <v>0</v>
      </c>
      <c r="E165" s="262">
        <v>0</v>
      </c>
      <c r="F165" s="262">
        <v>0</v>
      </c>
      <c r="G165" s="262">
        <v>0</v>
      </c>
      <c r="H165" s="262">
        <v>0</v>
      </c>
      <c r="I165" s="262">
        <v>0</v>
      </c>
      <c r="J165" s="262">
        <v>0</v>
      </c>
      <c r="K165" s="262">
        <v>0</v>
      </c>
      <c r="L165" s="262">
        <v>0</v>
      </c>
      <c r="M165" s="262">
        <v>0</v>
      </c>
      <c r="N165" s="262">
        <v>0</v>
      </c>
      <c r="O165" s="262">
        <v>0</v>
      </c>
      <c r="P165" s="262">
        <v>0</v>
      </c>
      <c r="Q165" s="262">
        <v>0</v>
      </c>
      <c r="R165" s="262">
        <v>0</v>
      </c>
      <c r="S165" s="262">
        <v>0</v>
      </c>
      <c r="T165" s="262">
        <v>0</v>
      </c>
      <c r="U165" s="262">
        <v>0</v>
      </c>
      <c r="V165" s="262">
        <v>0</v>
      </c>
      <c r="W165" s="262">
        <v>0</v>
      </c>
      <c r="X165" s="262">
        <v>0</v>
      </c>
      <c r="Y165" s="262">
        <v>0</v>
      </c>
      <c r="Z165" s="262">
        <v>0</v>
      </c>
      <c r="AA165" s="262">
        <v>0</v>
      </c>
      <c r="AB165" s="262">
        <v>0</v>
      </c>
      <c r="AC165" s="262">
        <v>0</v>
      </c>
      <c r="AD165" s="262">
        <v>0</v>
      </c>
      <c r="AE165" s="242">
        <v>0</v>
      </c>
      <c r="AF165" s="242">
        <v>0</v>
      </c>
      <c r="AG165" s="243">
        <v>0</v>
      </c>
    </row>
    <row r="166" spans="1:33">
      <c r="A166" s="240" t="s">
        <v>237</v>
      </c>
      <c r="B166" s="262">
        <v>0</v>
      </c>
      <c r="C166" s="262">
        <v>0</v>
      </c>
      <c r="D166" s="262">
        <v>0</v>
      </c>
      <c r="E166" s="262">
        <v>0</v>
      </c>
      <c r="F166" s="262">
        <v>0</v>
      </c>
      <c r="G166" s="262">
        <v>0</v>
      </c>
      <c r="H166" s="262">
        <v>0</v>
      </c>
      <c r="I166" s="262">
        <v>0</v>
      </c>
      <c r="J166" s="262">
        <v>0</v>
      </c>
      <c r="K166" s="262">
        <v>0</v>
      </c>
      <c r="L166" s="262">
        <v>0</v>
      </c>
      <c r="M166" s="262">
        <v>0</v>
      </c>
      <c r="N166" s="262">
        <v>0</v>
      </c>
      <c r="O166" s="262">
        <v>0</v>
      </c>
      <c r="P166" s="262">
        <v>0</v>
      </c>
      <c r="Q166" s="262">
        <v>0</v>
      </c>
      <c r="R166" s="262">
        <v>0</v>
      </c>
      <c r="S166" s="262">
        <v>0</v>
      </c>
      <c r="T166" s="262">
        <v>0</v>
      </c>
      <c r="U166" s="262">
        <v>0</v>
      </c>
      <c r="V166" s="262">
        <v>0</v>
      </c>
      <c r="W166" s="262">
        <v>0</v>
      </c>
      <c r="X166" s="262">
        <v>0</v>
      </c>
      <c r="Y166" s="262">
        <v>0</v>
      </c>
      <c r="Z166" s="262">
        <v>0</v>
      </c>
      <c r="AA166" s="262">
        <v>0</v>
      </c>
      <c r="AB166" s="262">
        <v>0</v>
      </c>
      <c r="AC166" s="262">
        <v>0</v>
      </c>
      <c r="AD166" s="262">
        <v>0</v>
      </c>
      <c r="AE166" s="242">
        <v>0</v>
      </c>
      <c r="AF166" s="242">
        <v>0</v>
      </c>
      <c r="AG166" s="243">
        <v>0</v>
      </c>
    </row>
    <row r="167" spans="1:33">
      <c r="A167" s="240" t="s">
        <v>238</v>
      </c>
      <c r="B167" s="262">
        <v>0</v>
      </c>
      <c r="C167" s="262">
        <v>0</v>
      </c>
      <c r="D167" s="262">
        <v>0</v>
      </c>
      <c r="E167" s="262">
        <v>0</v>
      </c>
      <c r="F167" s="262">
        <v>0</v>
      </c>
      <c r="G167" s="262">
        <v>0</v>
      </c>
      <c r="H167" s="262">
        <v>0</v>
      </c>
      <c r="I167" s="262">
        <v>0</v>
      </c>
      <c r="J167" s="262">
        <v>0</v>
      </c>
      <c r="K167" s="262">
        <v>0</v>
      </c>
      <c r="L167" s="262">
        <v>0</v>
      </c>
      <c r="M167" s="262">
        <v>0</v>
      </c>
      <c r="N167" s="262">
        <v>0</v>
      </c>
      <c r="O167" s="262">
        <v>0</v>
      </c>
      <c r="P167" s="262">
        <v>0</v>
      </c>
      <c r="Q167" s="262">
        <v>0</v>
      </c>
      <c r="R167" s="262">
        <v>0</v>
      </c>
      <c r="S167" s="262">
        <v>0</v>
      </c>
      <c r="T167" s="262">
        <v>0</v>
      </c>
      <c r="U167" s="262">
        <v>0</v>
      </c>
      <c r="V167" s="262">
        <v>0</v>
      </c>
      <c r="W167" s="262">
        <v>0</v>
      </c>
      <c r="X167" s="262">
        <v>0</v>
      </c>
      <c r="Y167" s="262">
        <v>0</v>
      </c>
      <c r="Z167" s="262">
        <v>0</v>
      </c>
      <c r="AA167" s="262">
        <v>0</v>
      </c>
      <c r="AB167" s="262">
        <v>0</v>
      </c>
      <c r="AC167" s="262">
        <v>0</v>
      </c>
      <c r="AD167" s="262">
        <v>0</v>
      </c>
      <c r="AE167" s="242">
        <v>0</v>
      </c>
      <c r="AF167" s="243">
        <v>0</v>
      </c>
      <c r="AG167" s="243">
        <v>0</v>
      </c>
    </row>
    <row r="168" spans="1:33">
      <c r="A168" s="240" t="s">
        <v>239</v>
      </c>
      <c r="B168" s="262">
        <v>0</v>
      </c>
      <c r="C168" s="262">
        <v>0</v>
      </c>
      <c r="D168" s="262">
        <v>0</v>
      </c>
      <c r="E168" s="262">
        <v>0</v>
      </c>
      <c r="F168" s="262">
        <v>0</v>
      </c>
      <c r="G168" s="262">
        <v>0</v>
      </c>
      <c r="H168" s="262">
        <v>0</v>
      </c>
      <c r="I168" s="262">
        <v>0</v>
      </c>
      <c r="J168" s="262">
        <v>0</v>
      </c>
      <c r="K168" s="262">
        <v>0</v>
      </c>
      <c r="L168" s="262">
        <v>0</v>
      </c>
      <c r="M168" s="262">
        <v>0</v>
      </c>
      <c r="N168" s="262">
        <v>0</v>
      </c>
      <c r="O168" s="262">
        <v>0</v>
      </c>
      <c r="P168" s="262">
        <v>0</v>
      </c>
      <c r="Q168" s="262">
        <v>0</v>
      </c>
      <c r="R168" s="262">
        <v>0</v>
      </c>
      <c r="S168" s="262">
        <v>0</v>
      </c>
      <c r="T168" s="262">
        <v>0</v>
      </c>
      <c r="U168" s="262">
        <v>0</v>
      </c>
      <c r="V168" s="262">
        <v>0</v>
      </c>
      <c r="W168" s="262">
        <v>0</v>
      </c>
      <c r="X168" s="262">
        <v>0</v>
      </c>
      <c r="Y168" s="262">
        <v>0</v>
      </c>
      <c r="Z168" s="262">
        <v>0</v>
      </c>
      <c r="AA168" s="262">
        <v>0</v>
      </c>
      <c r="AB168" s="262">
        <v>0</v>
      </c>
      <c r="AC168" s="262">
        <v>0</v>
      </c>
      <c r="AD168" s="262">
        <v>0</v>
      </c>
      <c r="AE168" s="242">
        <v>0</v>
      </c>
      <c r="AF168" s="243">
        <v>0</v>
      </c>
      <c r="AG168" s="243">
        <v>0</v>
      </c>
    </row>
    <row r="169" spans="1:33">
      <c r="A169" s="240" t="s">
        <v>240</v>
      </c>
      <c r="B169" s="262">
        <v>0</v>
      </c>
      <c r="C169" s="262">
        <v>0</v>
      </c>
      <c r="D169" s="262">
        <v>0</v>
      </c>
      <c r="E169" s="262">
        <v>0</v>
      </c>
      <c r="F169" s="262">
        <v>0</v>
      </c>
      <c r="G169" s="262">
        <v>0</v>
      </c>
      <c r="H169" s="262">
        <v>0</v>
      </c>
      <c r="I169" s="262">
        <v>0</v>
      </c>
      <c r="J169" s="262">
        <v>0</v>
      </c>
      <c r="K169" s="262">
        <v>0</v>
      </c>
      <c r="L169" s="262">
        <v>0</v>
      </c>
      <c r="M169" s="262">
        <v>0</v>
      </c>
      <c r="N169" s="262">
        <v>0</v>
      </c>
      <c r="O169" s="262">
        <v>0</v>
      </c>
      <c r="P169" s="262">
        <v>0</v>
      </c>
      <c r="Q169" s="262">
        <v>0</v>
      </c>
      <c r="R169" s="262">
        <v>0</v>
      </c>
      <c r="S169" s="262">
        <v>0</v>
      </c>
      <c r="T169" s="262">
        <v>0</v>
      </c>
      <c r="U169" s="262">
        <v>0</v>
      </c>
      <c r="V169" s="262">
        <v>0</v>
      </c>
      <c r="W169" s="262">
        <v>0</v>
      </c>
      <c r="X169" s="262">
        <v>0</v>
      </c>
      <c r="Y169" s="262">
        <v>0</v>
      </c>
      <c r="Z169" s="262">
        <v>0</v>
      </c>
      <c r="AA169" s="262">
        <v>0</v>
      </c>
      <c r="AB169" s="262">
        <v>0</v>
      </c>
      <c r="AC169" s="262">
        <v>0</v>
      </c>
      <c r="AD169" s="262">
        <v>0</v>
      </c>
      <c r="AE169" s="242">
        <v>0</v>
      </c>
      <c r="AF169" s="243">
        <v>0</v>
      </c>
      <c r="AG169" s="243">
        <v>0</v>
      </c>
    </row>
    <row r="170" spans="1:33">
      <c r="A170" s="240" t="s">
        <v>241</v>
      </c>
      <c r="B170" s="262">
        <v>0</v>
      </c>
      <c r="C170" s="262">
        <v>0</v>
      </c>
      <c r="D170" s="262">
        <v>0</v>
      </c>
      <c r="E170" s="262">
        <v>0</v>
      </c>
      <c r="F170" s="262">
        <v>0</v>
      </c>
      <c r="G170" s="262">
        <v>0</v>
      </c>
      <c r="H170" s="262">
        <v>0</v>
      </c>
      <c r="I170" s="262">
        <v>0</v>
      </c>
      <c r="J170" s="262">
        <v>0</v>
      </c>
      <c r="K170" s="262">
        <v>0</v>
      </c>
      <c r="L170" s="262">
        <v>0</v>
      </c>
      <c r="M170" s="262">
        <v>0</v>
      </c>
      <c r="N170" s="262">
        <v>0</v>
      </c>
      <c r="O170" s="262">
        <v>0</v>
      </c>
      <c r="P170" s="262">
        <v>0</v>
      </c>
      <c r="Q170" s="262">
        <v>0</v>
      </c>
      <c r="R170" s="262">
        <v>0</v>
      </c>
      <c r="S170" s="262">
        <v>0</v>
      </c>
      <c r="T170" s="262">
        <v>0</v>
      </c>
      <c r="U170" s="262">
        <v>0</v>
      </c>
      <c r="V170" s="262">
        <v>0</v>
      </c>
      <c r="W170" s="262">
        <v>0</v>
      </c>
      <c r="X170" s="262">
        <v>0</v>
      </c>
      <c r="Y170" s="262">
        <v>0</v>
      </c>
      <c r="Z170" s="262">
        <v>0</v>
      </c>
      <c r="AA170" s="262">
        <v>0</v>
      </c>
      <c r="AB170" s="262">
        <v>0</v>
      </c>
      <c r="AC170" s="262">
        <v>0</v>
      </c>
      <c r="AD170" s="262">
        <v>0</v>
      </c>
      <c r="AE170" s="242">
        <v>0</v>
      </c>
      <c r="AF170" s="243">
        <f t="shared" ref="AF170" si="87">AF171-SUM(AF159:AF169)</f>
        <v>0</v>
      </c>
      <c r="AG170" s="243">
        <f t="shared" ref="AG170" si="88">AG171-SUM(AG159:AG169)</f>
        <v>0</v>
      </c>
    </row>
    <row r="171" spans="1:33" ht="15.75" thickBot="1">
      <c r="A171" s="240" t="s">
        <v>242</v>
      </c>
      <c r="B171" s="262">
        <v>0</v>
      </c>
      <c r="C171" s="262">
        <v>0</v>
      </c>
      <c r="D171" s="262">
        <v>0</v>
      </c>
      <c r="E171" s="262">
        <v>0</v>
      </c>
      <c r="F171" s="262">
        <v>0</v>
      </c>
      <c r="G171" s="262">
        <v>0</v>
      </c>
      <c r="H171" s="262">
        <v>0</v>
      </c>
      <c r="I171" s="262">
        <v>0</v>
      </c>
      <c r="J171" s="262">
        <v>0</v>
      </c>
      <c r="K171" s="262">
        <v>0</v>
      </c>
      <c r="L171" s="262">
        <v>0</v>
      </c>
      <c r="M171" s="262">
        <v>0</v>
      </c>
      <c r="N171" s="262">
        <v>0</v>
      </c>
      <c r="O171" s="262">
        <v>0</v>
      </c>
      <c r="P171" s="262">
        <v>0</v>
      </c>
      <c r="Q171" s="262">
        <v>0</v>
      </c>
      <c r="R171" s="262">
        <v>0</v>
      </c>
      <c r="S171" s="262">
        <v>0</v>
      </c>
      <c r="T171" s="262">
        <v>0</v>
      </c>
      <c r="U171" s="262">
        <v>0</v>
      </c>
      <c r="V171" s="262">
        <v>0</v>
      </c>
      <c r="W171" s="262">
        <v>0</v>
      </c>
      <c r="X171" s="262">
        <v>0</v>
      </c>
      <c r="Y171" s="262">
        <v>0</v>
      </c>
      <c r="Z171" s="262">
        <v>0</v>
      </c>
      <c r="AA171" s="262">
        <v>0</v>
      </c>
      <c r="AB171" s="262">
        <v>0</v>
      </c>
      <c r="AC171" s="262">
        <v>0</v>
      </c>
      <c r="AD171" s="262">
        <v>0</v>
      </c>
      <c r="AE171" s="262">
        <v>0</v>
      </c>
      <c r="AF171" s="243">
        <f>AF24</f>
        <v>0</v>
      </c>
      <c r="AG171" s="243">
        <f>AG24</f>
        <v>0</v>
      </c>
    </row>
    <row r="172" spans="1:33">
      <c r="A172" s="248"/>
      <c r="B172" s="248"/>
      <c r="C172" s="248"/>
      <c r="D172" s="248"/>
      <c r="E172" s="248"/>
      <c r="F172" s="248"/>
      <c r="G172" s="248"/>
      <c r="H172" s="248"/>
      <c r="I172" s="248"/>
      <c r="J172" s="248"/>
      <c r="K172" s="248"/>
      <c r="L172" s="248"/>
      <c r="M172" s="248"/>
      <c r="N172" s="248"/>
      <c r="O172" s="248"/>
      <c r="P172" s="248"/>
      <c r="Q172" s="248"/>
      <c r="R172" s="248"/>
      <c r="S172" s="248"/>
      <c r="T172" s="248"/>
      <c r="U172" s="248"/>
      <c r="V172" s="248"/>
      <c r="W172" s="248"/>
      <c r="X172" s="248"/>
      <c r="Y172" s="248"/>
      <c r="Z172" s="248"/>
      <c r="AA172" s="248"/>
      <c r="AB172" s="248"/>
      <c r="AC172" s="248"/>
      <c r="AD172" s="248"/>
      <c r="AE172" s="248"/>
      <c r="AF172" s="248"/>
      <c r="AG172" s="248"/>
    </row>
    <row r="173" spans="1:33" ht="15.75" thickBot="1">
      <c r="A173" s="235" t="s">
        <v>257</v>
      </c>
    </row>
    <row r="174" spans="1:33" ht="15.75" thickBot="1">
      <c r="A174" s="236"/>
      <c r="B174" s="237">
        <f>B$2</f>
        <v>1993</v>
      </c>
      <c r="C174" s="237">
        <f t="shared" ref="C174:AG174" si="89">C$2</f>
        <v>1994</v>
      </c>
      <c r="D174" s="237">
        <f t="shared" si="89"/>
        <v>1995</v>
      </c>
      <c r="E174" s="237">
        <f t="shared" si="89"/>
        <v>1996</v>
      </c>
      <c r="F174" s="237">
        <f t="shared" si="89"/>
        <v>1997</v>
      </c>
      <c r="G174" s="237">
        <f t="shared" si="89"/>
        <v>1998</v>
      </c>
      <c r="H174" s="237">
        <f t="shared" si="89"/>
        <v>1999</v>
      </c>
      <c r="I174" s="237">
        <f t="shared" si="89"/>
        <v>2000</v>
      </c>
      <c r="J174" s="237">
        <f t="shared" si="89"/>
        <v>2001</v>
      </c>
      <c r="K174" s="237">
        <f t="shared" si="89"/>
        <v>2002</v>
      </c>
      <c r="L174" s="237">
        <f t="shared" si="89"/>
        <v>2003</v>
      </c>
      <c r="M174" s="237">
        <f t="shared" si="89"/>
        <v>2004</v>
      </c>
      <c r="N174" s="237">
        <f t="shared" si="89"/>
        <v>2005</v>
      </c>
      <c r="O174" s="237">
        <f t="shared" si="89"/>
        <v>2006</v>
      </c>
      <c r="P174" s="237">
        <f t="shared" si="89"/>
        <v>2007</v>
      </c>
      <c r="Q174" s="237">
        <f t="shared" si="89"/>
        <v>2008</v>
      </c>
      <c r="R174" s="237">
        <f t="shared" si="89"/>
        <v>2009</v>
      </c>
      <c r="S174" s="237">
        <f t="shared" si="89"/>
        <v>2010</v>
      </c>
      <c r="T174" s="237">
        <f t="shared" si="89"/>
        <v>2011</v>
      </c>
      <c r="U174" s="237">
        <f t="shared" si="89"/>
        <v>2012</v>
      </c>
      <c r="V174" s="237">
        <f t="shared" si="89"/>
        <v>2013</v>
      </c>
      <c r="W174" s="237">
        <f t="shared" si="89"/>
        <v>2014</v>
      </c>
      <c r="X174" s="237">
        <f t="shared" si="89"/>
        <v>2015</v>
      </c>
      <c r="Y174" s="237">
        <f t="shared" si="89"/>
        <v>2016</v>
      </c>
      <c r="Z174" s="237">
        <f t="shared" si="89"/>
        <v>2017</v>
      </c>
      <c r="AA174" s="237">
        <f t="shared" si="89"/>
        <v>2018</v>
      </c>
      <c r="AB174" s="237">
        <f t="shared" si="89"/>
        <v>2019</v>
      </c>
      <c r="AC174" s="237">
        <f t="shared" si="89"/>
        <v>2020</v>
      </c>
      <c r="AD174" s="237">
        <f t="shared" si="89"/>
        <v>2021</v>
      </c>
      <c r="AE174" s="237">
        <f t="shared" si="89"/>
        <v>2022</v>
      </c>
      <c r="AF174" s="237">
        <f t="shared" si="89"/>
        <v>2023</v>
      </c>
      <c r="AG174" s="237">
        <f t="shared" si="89"/>
        <v>2024</v>
      </c>
    </row>
    <row r="175" spans="1:33">
      <c r="A175" s="240" t="s">
        <v>231</v>
      </c>
      <c r="B175" s="241">
        <v>26.262</v>
      </c>
      <c r="C175" s="241">
        <v>49.172000000000004</v>
      </c>
      <c r="D175" s="262">
        <v>58.81</v>
      </c>
      <c r="E175" s="242">
        <v>127.41399999999999</v>
      </c>
      <c r="F175" s="242">
        <v>133.66</v>
      </c>
      <c r="G175" s="242">
        <v>139.08199999999999</v>
      </c>
      <c r="H175" s="242">
        <v>76.685999999999993</v>
      </c>
      <c r="I175" s="242">
        <v>101.803</v>
      </c>
      <c r="J175" s="242">
        <v>105.506</v>
      </c>
      <c r="K175" s="242">
        <f>'[2]Argentina Sun Meal Exports'!EA$290</f>
        <v>86.881</v>
      </c>
      <c r="L175" s="242">
        <f>'[2]Argentina Sun Meal Exports'!EM$290</f>
        <v>99.451000000000008</v>
      </c>
      <c r="M175" s="242">
        <f>'[2]Argentina Sun Meal Exports'!EY$290</f>
        <v>58.786000000000001</v>
      </c>
      <c r="N175" s="242">
        <f>'[2]Argentina Sun Meal Exports'!FK$290</f>
        <v>73.484000000000009</v>
      </c>
      <c r="O175" s="242">
        <f>'[2]Argentina Sun Meal Exports'!FW$290</f>
        <v>74.224000000000004</v>
      </c>
      <c r="P175" s="242">
        <f>'[2]Argentina Sun Meal Exports'!GI$290</f>
        <v>71.637999999999991</v>
      </c>
      <c r="Q175" s="242">
        <f>'[2]Argentina Sun Meal Exports'!GU$290</f>
        <v>50.401000000000003</v>
      </c>
      <c r="R175" s="242">
        <f>'[2]Argentina Sun Meal Exports'!HG$290</f>
        <v>84.37299999999999</v>
      </c>
      <c r="S175" s="242">
        <f>'[2]Argentina Sun Meal Exports'!HS$290</f>
        <v>31.493000000000002</v>
      </c>
      <c r="T175" s="242">
        <f>'[2]Argentina Sun Meal Exports'!IE$290</f>
        <v>29.175000000000001</v>
      </c>
      <c r="U175" s="242">
        <f>'[2]Argentina Sun Meal Exports'!IQ$290</f>
        <v>57.93</v>
      </c>
      <c r="V175" s="242">
        <f>'[2]Argentina Sun Meal Exports'!JC$290</f>
        <v>63.781999999999996</v>
      </c>
      <c r="W175" s="242">
        <f>'[2]Argentina Sun Meal Exports'!JO$290</f>
        <v>14.292999999999999</v>
      </c>
      <c r="X175" s="242">
        <f>'[2]Argentina Sun Meal Exports'!KA$290</f>
        <v>48.758000000000003</v>
      </c>
      <c r="Y175" s="242">
        <f>'[2]Argentina Sun Meal Exports'!KM$290</f>
        <v>37.625999999999998</v>
      </c>
      <c r="Z175" s="242">
        <f>'[2]Argentina Sun Meal Exports'!KY$290</f>
        <v>63.02</v>
      </c>
      <c r="AA175" s="242">
        <f>'[2]Argentina Sun Meal Exports'!LK$290</f>
        <v>41.475999999999999</v>
      </c>
      <c r="AB175" s="242">
        <f>'[2]Argentina Sun Meal Exports'!LW$290</f>
        <v>70.989000000000004</v>
      </c>
      <c r="AC175" s="242">
        <f>'[2]Argentina Sun Meal Exports'!MI$290</f>
        <v>31.849</v>
      </c>
      <c r="AD175" s="242">
        <f>'[2]Argentina Sun Meal Exports'!MU$290</f>
        <v>20.486999999999998</v>
      </c>
      <c r="AE175" s="242">
        <f>'[2]Argentina Sun Meal Exports'!NG$290</f>
        <v>33.183999999999997</v>
      </c>
      <c r="AF175" s="242">
        <f>'[2]Argentina Sun Meal Exports'!NS$290</f>
        <v>0</v>
      </c>
      <c r="AG175" s="243">
        <f t="shared" ref="AF175:AG185" si="90">(SUM(AA175:AE175)/SUM(AA$187:AE$187))*AG$187</f>
        <v>41.149558311727979</v>
      </c>
    </row>
    <row r="176" spans="1:33">
      <c r="A176" s="240" t="s">
        <v>232</v>
      </c>
      <c r="B176" s="241">
        <v>101.73799999999999</v>
      </c>
      <c r="C176" s="241">
        <v>43.557000000000002</v>
      </c>
      <c r="D176" s="262">
        <v>109.461</v>
      </c>
      <c r="E176" s="242">
        <v>66.933999999999997</v>
      </c>
      <c r="F176" s="242">
        <v>80.159000000000006</v>
      </c>
      <c r="G176" s="242">
        <v>82.48</v>
      </c>
      <c r="H176" s="242">
        <v>134.62300000000002</v>
      </c>
      <c r="I176" s="242">
        <v>174.47900000000001</v>
      </c>
      <c r="J176" s="242">
        <v>114.67900000000002</v>
      </c>
      <c r="K176" s="242">
        <f>'[2]Argentina Sun Meal Exports'!EB$290</f>
        <v>49.741</v>
      </c>
      <c r="L176" s="242">
        <f>'[2]Argentina Sun Meal Exports'!EN$290</f>
        <v>157.923</v>
      </c>
      <c r="M176" s="242">
        <f>'[2]Argentina Sun Meal Exports'!EZ$290</f>
        <v>90.044999999999987</v>
      </c>
      <c r="N176" s="242">
        <f>'[2]Argentina Sun Meal Exports'!FL$290</f>
        <v>80.78</v>
      </c>
      <c r="O176" s="242">
        <f>'[2]Argentina Sun Meal Exports'!FX$290</f>
        <v>122.024</v>
      </c>
      <c r="P176" s="242">
        <f>'[2]Argentina Sun Meal Exports'!GJ$290</f>
        <v>103.07299999999999</v>
      </c>
      <c r="Q176" s="242">
        <f>'[2]Argentina Sun Meal Exports'!GV$290</f>
        <v>52.415999999999997</v>
      </c>
      <c r="R176" s="242">
        <f>'[2]Argentina Sun Meal Exports'!HH$290</f>
        <v>68.763999999999996</v>
      </c>
      <c r="S176" s="242">
        <f>'[2]Argentina Sun Meal Exports'!HT$290</f>
        <v>57.507000000000005</v>
      </c>
      <c r="T176" s="242">
        <f>'[2]Argentina Sun Meal Exports'!IF$290</f>
        <v>60.593000000000004</v>
      </c>
      <c r="U176" s="242">
        <f>'[2]Argentina Sun Meal Exports'!IR$290</f>
        <v>53.793999999999997</v>
      </c>
      <c r="V176" s="242">
        <f>'[2]Argentina Sun Meal Exports'!JD$290</f>
        <v>82.00200000000001</v>
      </c>
      <c r="W176" s="242">
        <f>'[2]Argentina Sun Meal Exports'!JP$290</f>
        <v>26.776</v>
      </c>
      <c r="X176" s="242">
        <f>'[2]Argentina Sun Meal Exports'!KB$290</f>
        <v>45.55</v>
      </c>
      <c r="Y176" s="242">
        <f>'[2]Argentina Sun Meal Exports'!KN$290</f>
        <v>72.60299999999998</v>
      </c>
      <c r="Z176" s="242">
        <f>'[2]Argentina Sun Meal Exports'!KZ$290</f>
        <v>74.724999999999994</v>
      </c>
      <c r="AA176" s="242">
        <f>'[2]Argentina Sun Meal Exports'!LL$290</f>
        <v>65.320999999999998</v>
      </c>
      <c r="AB176" s="242">
        <f>'[2]Argentina Sun Meal Exports'!LX$290</f>
        <v>50.371000000000002</v>
      </c>
      <c r="AC176" s="242">
        <f>'[2]Argentina Sun Meal Exports'!MJ$290</f>
        <v>19.937999999999999</v>
      </c>
      <c r="AD176" s="242">
        <f>'[2]Argentina Sun Meal Exports'!MV$290</f>
        <v>35.497</v>
      </c>
      <c r="AE176" s="242">
        <f>'[2]Argentina Sun Meal Exports'!NH$290</f>
        <v>76.444999999999993</v>
      </c>
      <c r="AF176" s="242">
        <f>'[2]Argentina Sun Meal Exports'!NT$290</f>
        <v>0</v>
      </c>
      <c r="AG176" s="243">
        <f t="shared" si="90"/>
        <v>51.455809532798547</v>
      </c>
    </row>
    <row r="177" spans="1:33">
      <c r="A177" s="240" t="s">
        <v>233</v>
      </c>
      <c r="B177" s="241">
        <v>187.92200000000003</v>
      </c>
      <c r="C177" s="241">
        <v>110.069</v>
      </c>
      <c r="D177" s="262">
        <v>235.48700000000002</v>
      </c>
      <c r="E177" s="242">
        <v>215.75300000000001</v>
      </c>
      <c r="F177" s="242">
        <v>274.98599999999999</v>
      </c>
      <c r="G177" s="242">
        <v>213.83399999999997</v>
      </c>
      <c r="H177" s="242">
        <v>232.06900000000002</v>
      </c>
      <c r="I177" s="242">
        <v>254.66899999999998</v>
      </c>
      <c r="J177" s="242">
        <v>109.12699999999998</v>
      </c>
      <c r="K177" s="242">
        <f>'[2]Argentina Sun Meal Exports'!EC$290</f>
        <v>147.50299999999999</v>
      </c>
      <c r="L177" s="242">
        <f>'[2]Argentina Sun Meal Exports'!EO$290</f>
        <v>184.05199999999996</v>
      </c>
      <c r="M177" s="242">
        <f>'[2]Argentina Sun Meal Exports'!FA$290</f>
        <v>94.703000000000003</v>
      </c>
      <c r="N177" s="242">
        <f>'[2]Argentina Sun Meal Exports'!FM$290</f>
        <v>99.067999999999998</v>
      </c>
      <c r="O177" s="242">
        <f>'[2]Argentina Sun Meal Exports'!FY$290</f>
        <v>111.642</v>
      </c>
      <c r="P177" s="242">
        <f>'[2]Argentina Sun Meal Exports'!GK$290</f>
        <v>64.41</v>
      </c>
      <c r="Q177" s="242">
        <f>'[2]Argentina Sun Meal Exports'!GW$290</f>
        <v>114.517</v>
      </c>
      <c r="R177" s="242">
        <f>'[2]Argentina Sun Meal Exports'!HI$290</f>
        <v>78.337999999999994</v>
      </c>
      <c r="S177" s="242">
        <f>'[2]Argentina Sun Meal Exports'!HU$290</f>
        <v>59.295999999999999</v>
      </c>
      <c r="T177" s="242">
        <f>'[2]Argentina Sun Meal Exports'!IG$290</f>
        <v>70.801999999999992</v>
      </c>
      <c r="U177" s="242">
        <f>'[2]Argentina Sun Meal Exports'!IS$290</f>
        <v>86.661000000000001</v>
      </c>
      <c r="V177" s="242">
        <f>'[2]Argentina Sun Meal Exports'!JE$290</f>
        <v>85.173999999999992</v>
      </c>
      <c r="W177" s="242">
        <f>'[2]Argentina Sun Meal Exports'!JQ$290</f>
        <v>18.486000000000001</v>
      </c>
      <c r="X177" s="242">
        <f>'[2]Argentina Sun Meal Exports'!KC$290</f>
        <v>41.930999999999997</v>
      </c>
      <c r="Y177" s="242">
        <f>'[2]Argentina Sun Meal Exports'!KO$290</f>
        <v>92.172999999999988</v>
      </c>
      <c r="Z177" s="242">
        <f>'[2]Argentina Sun Meal Exports'!LA$290</f>
        <v>92.126000000000005</v>
      </c>
      <c r="AA177" s="242">
        <f>'[2]Argentina Sun Meal Exports'!LM$290</f>
        <v>77.584999999999994</v>
      </c>
      <c r="AB177" s="242">
        <f>'[2]Argentina Sun Meal Exports'!LY$290</f>
        <v>104.407</v>
      </c>
      <c r="AC177" s="242">
        <f>'[2]Argentina Sun Meal Exports'!MK$290</f>
        <v>58.317</v>
      </c>
      <c r="AD177" s="242">
        <f>'[2]Argentina Sun Meal Exports'!MW$290</f>
        <v>53.703000000000003</v>
      </c>
      <c r="AE177" s="242">
        <f>'[2]Argentina Sun Meal Exports'!NI$290</f>
        <v>56.08</v>
      </c>
      <c r="AF177" s="242">
        <f>'[2]Argentina Sun Meal Exports'!NU$290</f>
        <v>0</v>
      </c>
      <c r="AG177" s="243">
        <f t="shared" si="90"/>
        <v>72.763750629944042</v>
      </c>
    </row>
    <row r="178" spans="1:33">
      <c r="A178" s="240" t="s">
        <v>234</v>
      </c>
      <c r="B178" s="241">
        <v>121.16399999999999</v>
      </c>
      <c r="C178" s="241">
        <v>220.45500000000001</v>
      </c>
      <c r="D178" s="242">
        <v>234.98500000000001</v>
      </c>
      <c r="E178" s="242">
        <v>262.98300000000006</v>
      </c>
      <c r="F178" s="242">
        <v>262.34799999999996</v>
      </c>
      <c r="G178" s="242">
        <v>277.99899999999997</v>
      </c>
      <c r="H178" s="242">
        <v>370.65700000000004</v>
      </c>
      <c r="I178" s="242">
        <v>234.02100000000004</v>
      </c>
      <c r="J178" s="242">
        <v>84.010999999999996</v>
      </c>
      <c r="K178" s="242">
        <f>'[2]Argentina Sun Meal Exports'!ED$290</f>
        <v>156.375</v>
      </c>
      <c r="L178" s="242">
        <f>'[2]Argentina Sun Meal Exports'!EP$290</f>
        <v>126.279</v>
      </c>
      <c r="M178" s="242">
        <f>'[2]Argentina Sun Meal Exports'!FB$290</f>
        <v>113.33199999999999</v>
      </c>
      <c r="N178" s="242">
        <f>'[2]Argentina Sun Meal Exports'!FN$290</f>
        <v>140.12599999999998</v>
      </c>
      <c r="O178" s="242">
        <f>'[2]Argentina Sun Meal Exports'!FZ$290</f>
        <v>138.52199999999999</v>
      </c>
      <c r="P178" s="242">
        <f>'[2]Argentina Sun Meal Exports'!GL$290</f>
        <v>141.69</v>
      </c>
      <c r="Q178" s="242">
        <f>'[2]Argentina Sun Meal Exports'!GX$290</f>
        <v>149.07599999999999</v>
      </c>
      <c r="R178" s="242">
        <f>'[2]Argentina Sun Meal Exports'!HJ$290</f>
        <v>94.855999999999995</v>
      </c>
      <c r="S178" s="242">
        <f>'[2]Argentina Sun Meal Exports'!HV$290</f>
        <v>46.163000000000004</v>
      </c>
      <c r="T178" s="242">
        <f>'[2]Argentina Sun Meal Exports'!IH$290</f>
        <v>64.661000000000001</v>
      </c>
      <c r="U178" s="242">
        <f>'[2]Argentina Sun Meal Exports'!IT$290</f>
        <v>103.99299999999999</v>
      </c>
      <c r="V178" s="242">
        <f>'[2]Argentina Sun Meal Exports'!JF$290</f>
        <v>48.165000000000006</v>
      </c>
      <c r="W178" s="242">
        <f>'[2]Argentina Sun Meal Exports'!JR$290</f>
        <v>39.162999999999997</v>
      </c>
      <c r="X178" s="242">
        <f>'[2]Argentina Sun Meal Exports'!KD$290</f>
        <v>59.606999999999999</v>
      </c>
      <c r="Y178" s="242">
        <f>'[2]Argentina Sun Meal Exports'!KP$290</f>
        <v>84.409000000000006</v>
      </c>
      <c r="Z178" s="242">
        <f>'[2]Argentina Sun Meal Exports'!LB$290</f>
        <v>120.502</v>
      </c>
      <c r="AA178" s="242">
        <f>'[2]Argentina Sun Meal Exports'!LN$290</f>
        <v>101.08199999999999</v>
      </c>
      <c r="AB178" s="242">
        <f>'[2]Argentina Sun Meal Exports'!LZ$290</f>
        <v>92.811000000000007</v>
      </c>
      <c r="AC178" s="242">
        <f>'[2]Argentina Sun Meal Exports'!ML$290</f>
        <v>87.034999999999997</v>
      </c>
      <c r="AD178" s="242">
        <f>'[2]Argentina Sun Meal Exports'!MX$290</f>
        <v>106.782</v>
      </c>
      <c r="AE178" s="242">
        <f>'[2]Argentina Sun Meal Exports'!NJ$290</f>
        <v>146.14400000000001</v>
      </c>
      <c r="AF178" s="242">
        <f>'[2]Argentina Sun Meal Exports'!NV$290</f>
        <v>0</v>
      </c>
      <c r="AG178" s="243">
        <f t="shared" si="90"/>
        <v>110.95717505340926</v>
      </c>
    </row>
    <row r="179" spans="1:33">
      <c r="A179" s="240" t="s">
        <v>46</v>
      </c>
      <c r="B179" s="241">
        <v>148.38800000000001</v>
      </c>
      <c r="C179" s="241">
        <v>154.32</v>
      </c>
      <c r="D179" s="242">
        <v>292.76399999999995</v>
      </c>
      <c r="E179" s="242">
        <v>260.38699999999994</v>
      </c>
      <c r="F179" s="242">
        <v>245.68300000000002</v>
      </c>
      <c r="G179" s="242">
        <v>288.55299999999994</v>
      </c>
      <c r="H179" s="242">
        <v>267.68300000000005</v>
      </c>
      <c r="I179" s="242">
        <v>140.12800000000001</v>
      </c>
      <c r="J179" s="242">
        <v>178.95100000000002</v>
      </c>
      <c r="K179" s="242">
        <f>'[2]Argentina Sun Meal Exports'!EE$290</f>
        <v>156.58999999999997</v>
      </c>
      <c r="L179" s="242">
        <f>'[2]Argentina Sun Meal Exports'!EQ$290</f>
        <v>139.28200000000001</v>
      </c>
      <c r="M179" s="242">
        <f>'[2]Argentina Sun Meal Exports'!FC$290</f>
        <v>125.506</v>
      </c>
      <c r="N179" s="242">
        <f>'[2]Argentina Sun Meal Exports'!FO$290</f>
        <v>103.32599999999999</v>
      </c>
      <c r="O179" s="242">
        <f>'[2]Argentina Sun Meal Exports'!GA$290</f>
        <v>112.271</v>
      </c>
      <c r="P179" s="242">
        <f>'[2]Argentina Sun Meal Exports'!GM$290</f>
        <v>113.22400000000002</v>
      </c>
      <c r="Q179" s="242">
        <f>'[2]Argentina Sun Meal Exports'!GY$290</f>
        <v>79.483000000000004</v>
      </c>
      <c r="R179" s="242">
        <f>'[2]Argentina Sun Meal Exports'!HK$290</f>
        <v>72.308999999999997</v>
      </c>
      <c r="S179" s="242">
        <f>'[2]Argentina Sun Meal Exports'!HW$290</f>
        <v>81.143000000000001</v>
      </c>
      <c r="T179" s="242">
        <f>'[2]Argentina Sun Meal Exports'!II$290</f>
        <v>75.938999999999993</v>
      </c>
      <c r="U179" s="242">
        <f>'[2]Argentina Sun Meal Exports'!IU$290</f>
        <v>126.23299999999999</v>
      </c>
      <c r="V179" s="242">
        <f>'[2]Argentina Sun Meal Exports'!JG$290</f>
        <v>43.217999999999996</v>
      </c>
      <c r="W179" s="242">
        <f>'[2]Argentina Sun Meal Exports'!JS$290</f>
        <v>41.964999999999996</v>
      </c>
      <c r="X179" s="242">
        <f>'[2]Argentina Sun Meal Exports'!KE$290</f>
        <v>30.983000000000001</v>
      </c>
      <c r="Y179" s="242">
        <f>'[2]Argentina Sun Meal Exports'!KQ$290</f>
        <v>126.51599999999999</v>
      </c>
      <c r="Z179" s="242">
        <f>'[2]Argentina Sun Meal Exports'!LC$290</f>
        <v>76.608999999999995</v>
      </c>
      <c r="AA179" s="242">
        <f>'[2]Argentina Sun Meal Exports'!LO$290</f>
        <v>85.79</v>
      </c>
      <c r="AB179" s="242">
        <f>'[2]Argentina Sun Meal Exports'!MA$290</f>
        <v>152.61500000000001</v>
      </c>
      <c r="AC179" s="242">
        <f>'[2]Argentina Sun Meal Exports'!MM$290</f>
        <v>83.918000000000006</v>
      </c>
      <c r="AD179" s="242">
        <f>'[2]Argentina Sun Meal Exports'!MY$290</f>
        <v>145.38399999999999</v>
      </c>
      <c r="AE179" s="242">
        <f>'[2]Argentina Sun Meal Exports'!NK$290</f>
        <v>99.081999999999994</v>
      </c>
      <c r="AF179" s="242">
        <f>'[2]Argentina Sun Meal Exports'!NW$290</f>
        <v>0</v>
      </c>
      <c r="AG179" s="243">
        <f t="shared" si="90"/>
        <v>117.80244465967618</v>
      </c>
    </row>
    <row r="180" spans="1:33">
      <c r="A180" s="240" t="s">
        <v>235</v>
      </c>
      <c r="B180" s="241">
        <v>81.457999999999998</v>
      </c>
      <c r="C180" s="241">
        <v>158.935</v>
      </c>
      <c r="D180" s="242">
        <v>195.26900000000001</v>
      </c>
      <c r="E180" s="242">
        <v>158.16300000000001</v>
      </c>
      <c r="F180" s="242">
        <v>170.90100000000001</v>
      </c>
      <c r="G180" s="242">
        <v>179.03099999999998</v>
      </c>
      <c r="H180" s="242">
        <v>195.654</v>
      </c>
      <c r="I180" s="242">
        <v>158.66399999999999</v>
      </c>
      <c r="J180" s="242">
        <v>120.92400000000001</v>
      </c>
      <c r="K180" s="242">
        <f>'[2]Argentina Sun Meal Exports'!EF$290</f>
        <v>110.021</v>
      </c>
      <c r="L180" s="242">
        <f>'[2]Argentina Sun Meal Exports'!ER$290</f>
        <v>118.28700000000001</v>
      </c>
      <c r="M180" s="242">
        <f>'[2]Argentina Sun Meal Exports'!FD$290</f>
        <v>89.96</v>
      </c>
      <c r="N180" s="242">
        <f>'[2]Argentina Sun Meal Exports'!FP$290</f>
        <v>150.24699999999999</v>
      </c>
      <c r="O180" s="242">
        <f>'[2]Argentina Sun Meal Exports'!GB$290</f>
        <v>100.282</v>
      </c>
      <c r="P180" s="242">
        <f>'[2]Argentina Sun Meal Exports'!GN$290</f>
        <v>47.991</v>
      </c>
      <c r="Q180" s="242">
        <f>'[2]Argentina Sun Meal Exports'!GZ$290</f>
        <v>100.482</v>
      </c>
      <c r="R180" s="242">
        <f>'[2]Argentina Sun Meal Exports'!HL$290</f>
        <v>91.02600000000001</v>
      </c>
      <c r="S180" s="242">
        <f>'[2]Argentina Sun Meal Exports'!HX$290</f>
        <v>65.356000000000009</v>
      </c>
      <c r="T180" s="242">
        <f>'[2]Argentina Sun Meal Exports'!IJ$290</f>
        <v>66.009</v>
      </c>
      <c r="U180" s="242">
        <f>'[2]Argentina Sun Meal Exports'!IV$290</f>
        <v>122.61799999999999</v>
      </c>
      <c r="V180" s="242">
        <f>'[2]Argentina Sun Meal Exports'!JH$290</f>
        <v>36.588999999999999</v>
      </c>
      <c r="W180" s="242">
        <f>'[2]Argentina Sun Meal Exports'!JT$290</f>
        <v>28.143999999999998</v>
      </c>
      <c r="X180" s="242">
        <f>'[2]Argentina Sun Meal Exports'!KF$290</f>
        <v>105.40900000000001</v>
      </c>
      <c r="Y180" s="242">
        <f>'[2]Argentina Sun Meal Exports'!KR$290</f>
        <v>65.995999999999995</v>
      </c>
      <c r="Z180" s="242">
        <f>'[2]Argentina Sun Meal Exports'!LD$290</f>
        <v>88.227000000000004</v>
      </c>
      <c r="AA180" s="242">
        <f>'[2]Argentina Sun Meal Exports'!LP$290</f>
        <v>33.709000000000003</v>
      </c>
      <c r="AB180" s="242">
        <f>'[2]Argentina Sun Meal Exports'!MB$290</f>
        <v>101.447</v>
      </c>
      <c r="AC180" s="242">
        <f>'[2]Argentina Sun Meal Exports'!MN$290</f>
        <v>85.245999999999995</v>
      </c>
      <c r="AD180" s="242">
        <f>'[2]Argentina Sun Meal Exports'!MZ$290</f>
        <v>112.39</v>
      </c>
      <c r="AE180" s="242">
        <f>'[2]Argentina Sun Meal Exports'!NL$290</f>
        <v>68.472999999999999</v>
      </c>
      <c r="AF180" s="242">
        <f>'[2]Argentina Sun Meal Exports'!NX$290</f>
        <v>0</v>
      </c>
      <c r="AG180" s="243">
        <f t="shared" si="90"/>
        <v>83.399638942119481</v>
      </c>
    </row>
    <row r="181" spans="1:33">
      <c r="A181" s="240" t="s">
        <v>236</v>
      </c>
      <c r="B181" s="241">
        <v>58.183000000000007</v>
      </c>
      <c r="C181" s="241">
        <v>85.528999999999996</v>
      </c>
      <c r="D181" s="242">
        <v>206.26099999999997</v>
      </c>
      <c r="E181" s="242">
        <v>199.03100000000001</v>
      </c>
      <c r="F181" s="242">
        <v>147.46299999999999</v>
      </c>
      <c r="G181" s="242">
        <v>205.04399999999998</v>
      </c>
      <c r="H181" s="242">
        <v>237.88000000000002</v>
      </c>
      <c r="I181" s="242">
        <v>138.92500000000001</v>
      </c>
      <c r="J181" s="242">
        <v>82.576000000000008</v>
      </c>
      <c r="K181" s="242">
        <f>'[2]Argentina Sun Meal Exports'!EG$290</f>
        <v>114.53299999999999</v>
      </c>
      <c r="L181" s="242">
        <f>'[2]Argentina Sun Meal Exports'!ES$290</f>
        <v>81.385999999999996</v>
      </c>
      <c r="M181" s="242">
        <f>'[2]Argentina Sun Meal Exports'!FE$290</f>
        <v>43.381999999999998</v>
      </c>
      <c r="N181" s="242">
        <f>'[2]Argentina Sun Meal Exports'!FQ$290</f>
        <v>101.09099999999999</v>
      </c>
      <c r="O181" s="242">
        <f>'[2]Argentina Sun Meal Exports'!GC$290</f>
        <v>86.542000000000002</v>
      </c>
      <c r="P181" s="242">
        <f>'[2]Argentina Sun Meal Exports'!GO$290</f>
        <v>77.264999999999986</v>
      </c>
      <c r="Q181" s="242">
        <f>'[2]Argentina Sun Meal Exports'!HA$290</f>
        <v>120.62100000000001</v>
      </c>
      <c r="R181" s="242">
        <f>'[2]Argentina Sun Meal Exports'!HM$290</f>
        <v>123.97099999999999</v>
      </c>
      <c r="S181" s="242">
        <f>'[2]Argentina Sun Meal Exports'!HY$290</f>
        <v>47.828999999999994</v>
      </c>
      <c r="T181" s="242">
        <f>'[2]Argentina Sun Meal Exports'!IK$290</f>
        <v>110.077</v>
      </c>
      <c r="U181" s="242">
        <f>'[2]Argentina Sun Meal Exports'!IW$290</f>
        <v>52.880999999999993</v>
      </c>
      <c r="V181" s="242">
        <f>'[2]Argentina Sun Meal Exports'!JI$290</f>
        <v>26.622</v>
      </c>
      <c r="W181" s="242">
        <f>'[2]Argentina Sun Meal Exports'!JU$290</f>
        <v>14.979000000000001</v>
      </c>
      <c r="X181" s="242">
        <f>'[2]Argentina Sun Meal Exports'!KG$290</f>
        <v>38.594999999999999</v>
      </c>
      <c r="Y181" s="242">
        <f>'[2]Argentina Sun Meal Exports'!KS$290</f>
        <v>87.855999999999995</v>
      </c>
      <c r="Z181" s="242">
        <f>'[2]Argentina Sun Meal Exports'!LE$290</f>
        <v>68.23</v>
      </c>
      <c r="AA181" s="242">
        <f>'[2]Argentina Sun Meal Exports'!LQ$290</f>
        <v>83.65</v>
      </c>
      <c r="AB181" s="242">
        <f>'[2]Argentina Sun Meal Exports'!MC$290</f>
        <v>69.117000000000004</v>
      </c>
      <c r="AC181" s="242">
        <f>'[2]Argentina Sun Meal Exports'!MO$290</f>
        <v>67.076999999999998</v>
      </c>
      <c r="AD181" s="242">
        <f>'[2]Argentina Sun Meal Exports'!NA$290</f>
        <v>60.484999999999999</v>
      </c>
      <c r="AE181" s="242">
        <f>'[2]Argentina Sun Meal Exports'!NM$290</f>
        <v>124.79300000000001</v>
      </c>
      <c r="AF181" s="242">
        <f>'[2]Argentina Sun Meal Exports'!NY$290</f>
        <v>0</v>
      </c>
      <c r="AG181" s="243">
        <f t="shared" si="90"/>
        <v>84.201284755733326</v>
      </c>
    </row>
    <row r="182" spans="1:33">
      <c r="A182" s="240" t="s">
        <v>237</v>
      </c>
      <c r="B182" s="241">
        <v>55.025999999999996</v>
      </c>
      <c r="C182" s="241">
        <v>82.567999999999998</v>
      </c>
      <c r="D182" s="242">
        <v>102.476</v>
      </c>
      <c r="E182" s="242">
        <v>147.453</v>
      </c>
      <c r="F182" s="242">
        <v>184.74599999999998</v>
      </c>
      <c r="G182" s="242">
        <v>148.18700000000004</v>
      </c>
      <c r="H182" s="242">
        <v>138.703</v>
      </c>
      <c r="I182" s="242">
        <v>114.501</v>
      </c>
      <c r="J182" s="242">
        <v>54.650999999999996</v>
      </c>
      <c r="K182" s="242">
        <f>'[2]Argentina Sun Meal Exports'!EH$290</f>
        <v>74.057000000000002</v>
      </c>
      <c r="L182" s="242">
        <f>'[2]Argentina Sun Meal Exports'!ET$290</f>
        <v>62.667999999999999</v>
      </c>
      <c r="M182" s="242">
        <f>'[2]Argentina Sun Meal Exports'!FF$290</f>
        <v>46.521999999999998</v>
      </c>
      <c r="N182" s="242">
        <f>'[2]Argentina Sun Meal Exports'!FR$290</f>
        <v>73.655000000000001</v>
      </c>
      <c r="O182" s="242">
        <f>'[2]Argentina Sun Meal Exports'!GD$290</f>
        <v>58.197000000000003</v>
      </c>
      <c r="P182" s="242">
        <f>'[2]Argentina Sun Meal Exports'!GP$290</f>
        <v>48.725000000000001</v>
      </c>
      <c r="Q182" s="242">
        <f>'[2]Argentina Sun Meal Exports'!HB$290</f>
        <v>64.512</v>
      </c>
      <c r="R182" s="242">
        <f>'[2]Argentina Sun Meal Exports'!HN$290</f>
        <v>45.176000000000002</v>
      </c>
      <c r="S182" s="242">
        <f>'[2]Argentina Sun Meal Exports'!HZ$290</f>
        <v>26.082999999999998</v>
      </c>
      <c r="T182" s="242">
        <f>'[2]Argentina Sun Meal Exports'!IL$290</f>
        <v>66.174000000000007</v>
      </c>
      <c r="U182" s="242">
        <f>'[2]Argentina Sun Meal Exports'!IX$290</f>
        <v>66.201999999999998</v>
      </c>
      <c r="V182" s="242">
        <f>'[2]Argentina Sun Meal Exports'!JJ$290</f>
        <v>21.584000000000003</v>
      </c>
      <c r="W182" s="242">
        <f>'[2]Argentina Sun Meal Exports'!JV$290</f>
        <v>36.447999999999993</v>
      </c>
      <c r="X182" s="242">
        <f>'[2]Argentina Sun Meal Exports'!KH$290</f>
        <v>91.703999999999994</v>
      </c>
      <c r="Y182" s="242">
        <f>'[2]Argentina Sun Meal Exports'!KT$290</f>
        <v>84.304999999999993</v>
      </c>
      <c r="Z182" s="242">
        <f>'[2]Argentina Sun Meal Exports'!LF$290</f>
        <v>91.507000000000005</v>
      </c>
      <c r="AA182" s="242">
        <f>'[2]Argentina Sun Meal Exports'!LR$290</f>
        <v>93.521000000000001</v>
      </c>
      <c r="AB182" s="242">
        <f>'[2]Argentina Sun Meal Exports'!MD$290</f>
        <v>116.21899999999999</v>
      </c>
      <c r="AC182" s="242">
        <f>'[2]Argentina Sun Meal Exports'!MP$290</f>
        <v>55.033999999999999</v>
      </c>
      <c r="AD182" s="242">
        <f>'[2]Argentina Sun Meal Exports'!NB$290</f>
        <v>157.22200000000001</v>
      </c>
      <c r="AE182" s="242">
        <f>'[2]Argentina Sun Meal Exports'!NN$290</f>
        <v>112.17</v>
      </c>
      <c r="AF182" s="242">
        <f>'[2]Argentina Sun Meal Exports'!NZ$290</f>
        <v>0</v>
      </c>
      <c r="AG182" s="243">
        <f t="shared" si="90"/>
        <v>111.02202169428232</v>
      </c>
    </row>
    <row r="183" spans="1:33">
      <c r="A183" s="240" t="s">
        <v>238</v>
      </c>
      <c r="B183" s="241">
        <v>78.99799999999999</v>
      </c>
      <c r="C183" s="241">
        <v>130.29900000000001</v>
      </c>
      <c r="D183" s="242">
        <v>135.83699999999999</v>
      </c>
      <c r="E183" s="242">
        <v>90.652000000000015</v>
      </c>
      <c r="F183" s="242">
        <v>152.22900000000001</v>
      </c>
      <c r="G183" s="242">
        <v>100.49100000000001</v>
      </c>
      <c r="H183" s="242">
        <v>194.27799999999999</v>
      </c>
      <c r="I183" s="242">
        <v>164.33199999999999</v>
      </c>
      <c r="J183" s="242">
        <v>70.012999999999991</v>
      </c>
      <c r="K183" s="242">
        <f>'[2]Argentina Sun Meal Exports'!EI$290</f>
        <v>58.476999999999997</v>
      </c>
      <c r="L183" s="242">
        <f>'[2]Argentina Sun Meal Exports'!EU$290</f>
        <v>61.839000000000006</v>
      </c>
      <c r="M183" s="242">
        <f>'[2]Argentina Sun Meal Exports'!FG$290</f>
        <v>79.013000000000005</v>
      </c>
      <c r="N183" s="242">
        <f>'[2]Argentina Sun Meal Exports'!FS$290</f>
        <v>48.253999999999998</v>
      </c>
      <c r="O183" s="242">
        <f>'[2]Argentina Sun Meal Exports'!GE$290</f>
        <v>74.361999999999995</v>
      </c>
      <c r="P183" s="242">
        <f>'[2]Argentina Sun Meal Exports'!GQ$290</f>
        <v>35.219000000000001</v>
      </c>
      <c r="Q183" s="242">
        <f>'[2]Argentina Sun Meal Exports'!HC$290</f>
        <v>30.341000000000001</v>
      </c>
      <c r="R183" s="242">
        <f>'[2]Argentina Sun Meal Exports'!HO$290</f>
        <v>30.001999999999999</v>
      </c>
      <c r="S183" s="242">
        <f>'[2]Argentina Sun Meal Exports'!IA$290</f>
        <v>54.79</v>
      </c>
      <c r="T183" s="242">
        <f>'[2]Argentina Sun Meal Exports'!IM$290</f>
        <v>53.588000000000008</v>
      </c>
      <c r="U183" s="242">
        <f>'[2]Argentina Sun Meal Exports'!IY$290</f>
        <v>47.393000000000001</v>
      </c>
      <c r="V183" s="242">
        <f>'[2]Argentina Sun Meal Exports'!JK$290</f>
        <v>1.9610000000000001</v>
      </c>
      <c r="W183" s="242">
        <f>'[2]Argentina Sun Meal Exports'!JW$290</f>
        <v>36.107999999999997</v>
      </c>
      <c r="X183" s="242">
        <f>'[2]Argentina Sun Meal Exports'!KI$290</f>
        <v>40.234000000000002</v>
      </c>
      <c r="Y183" s="242">
        <f>'[2]Argentina Sun Meal Exports'!KU$290</f>
        <v>1.4419999999999999</v>
      </c>
      <c r="Z183" s="242">
        <f>'[2]Argentina Sun Meal Exports'!LG$290</f>
        <v>52.393999999999998</v>
      </c>
      <c r="AA183" s="242">
        <f>'[2]Argentina Sun Meal Exports'!LS$290</f>
        <v>39.234999999999999</v>
      </c>
      <c r="AB183" s="242">
        <f>'[2]Argentina Sun Meal Exports'!ME$290</f>
        <v>57.953000000000003</v>
      </c>
      <c r="AC183" s="242">
        <f>'[2]Argentina Sun Meal Exports'!MQ$290</f>
        <v>71.106999999999999</v>
      </c>
      <c r="AD183" s="242">
        <f>'[2]Argentina Sun Meal Exports'!NC$290</f>
        <v>56.262999999999998</v>
      </c>
      <c r="AE183" s="242">
        <f>'[2]Argentina Sun Meal Exports'!NO$290</f>
        <v>78.558000000000007</v>
      </c>
      <c r="AF183" s="243">
        <f t="shared" si="90"/>
        <v>67.264477478094619</v>
      </c>
      <c r="AG183" s="243">
        <f t="shared" si="90"/>
        <v>63.000174342590299</v>
      </c>
    </row>
    <row r="184" spans="1:33">
      <c r="A184" s="240" t="s">
        <v>239</v>
      </c>
      <c r="B184" s="241">
        <v>25.763000000000002</v>
      </c>
      <c r="C184" s="241">
        <v>100.565</v>
      </c>
      <c r="D184" s="242">
        <v>70.135000000000005</v>
      </c>
      <c r="E184" s="242">
        <v>153.97599999999997</v>
      </c>
      <c r="F184" s="242">
        <v>177.249</v>
      </c>
      <c r="G184" s="242">
        <v>132.779</v>
      </c>
      <c r="H184" s="242">
        <v>138.077</v>
      </c>
      <c r="I184" s="242">
        <v>146.554</v>
      </c>
      <c r="J184" s="242">
        <v>95.204000000000008</v>
      </c>
      <c r="K184" s="242">
        <f>'[2]Argentina Sun Meal Exports'!EJ$290</f>
        <v>68.832999999999998</v>
      </c>
      <c r="L184" s="242">
        <f>'[2]Argentina Sun Meal Exports'!EV$290</f>
        <v>79.944000000000003</v>
      </c>
      <c r="M184" s="242">
        <f>'[2]Argentina Sun Meal Exports'!FH$290</f>
        <v>75.539000000000001</v>
      </c>
      <c r="N184" s="242">
        <f>'[2]Argentina Sun Meal Exports'!FT$290</f>
        <v>82.367999999999995</v>
      </c>
      <c r="O184" s="242">
        <f>'[2]Argentina Sun Meal Exports'!GF$290</f>
        <v>33.796999999999997</v>
      </c>
      <c r="P184" s="242">
        <f>'[2]Argentina Sun Meal Exports'!GR$290</f>
        <v>57.276000000000003</v>
      </c>
      <c r="Q184" s="242">
        <f>'[2]Argentina Sun Meal Exports'!HD$290</f>
        <v>116.73900000000002</v>
      </c>
      <c r="R184" s="242">
        <f>'[2]Argentina Sun Meal Exports'!HP$290</f>
        <v>33.528000000000006</v>
      </c>
      <c r="S184" s="242">
        <f>'[2]Argentina Sun Meal Exports'!IB$290</f>
        <v>53.390999999999998</v>
      </c>
      <c r="T184" s="242">
        <f>'[2]Argentina Sun Meal Exports'!IN$290</f>
        <v>68.972000000000008</v>
      </c>
      <c r="U184" s="242">
        <f>'[2]Argentina Sun Meal Exports'!IZ$290</f>
        <v>49.387</v>
      </c>
      <c r="V184" s="242">
        <f>'[2]Argentina Sun Meal Exports'!JL$290</f>
        <v>18.451000000000001</v>
      </c>
      <c r="W184" s="242">
        <f>'[2]Argentina Sun Meal Exports'!JX$290</f>
        <v>2.12</v>
      </c>
      <c r="X184" s="242">
        <f>'[2]Argentina Sun Meal Exports'!KJ$290</f>
        <v>14.357000000000001</v>
      </c>
      <c r="Y184" s="242">
        <f>'[2]Argentina Sun Meal Exports'!KV$290</f>
        <v>18.521000000000001</v>
      </c>
      <c r="Z184" s="242">
        <f>'[2]Argentina Sun Meal Exports'!LH$290</f>
        <v>50.122999999999998</v>
      </c>
      <c r="AA184" s="242">
        <f>'[2]Argentina Sun Meal Exports'!LT$290</f>
        <v>54.154000000000003</v>
      </c>
      <c r="AB184" s="242">
        <f>'[2]Argentina Sun Meal Exports'!MF$290</f>
        <v>53.651000000000003</v>
      </c>
      <c r="AC184" s="242">
        <f>'[2]Argentina Sun Meal Exports'!MR$290</f>
        <v>23.724</v>
      </c>
      <c r="AD184" s="242">
        <f>'[2]Argentina Sun Meal Exports'!ND$290</f>
        <v>57.905999999999999</v>
      </c>
      <c r="AE184" s="242">
        <f>'[2]Argentina Sun Meal Exports'!NP$290</f>
        <v>60.204000000000001</v>
      </c>
      <c r="AF184" s="243">
        <f t="shared" si="90"/>
        <v>58.182442068291223</v>
      </c>
      <c r="AG184" s="243">
        <f t="shared" si="90"/>
        <v>51.885418528582782</v>
      </c>
    </row>
    <row r="185" spans="1:33">
      <c r="A185" s="240" t="s">
        <v>240</v>
      </c>
      <c r="B185" s="241">
        <v>25.276</v>
      </c>
      <c r="C185" s="241">
        <v>50.314999999999998</v>
      </c>
      <c r="D185" s="242">
        <v>157.72999999999999</v>
      </c>
      <c r="E185" s="242">
        <v>132.19800000000001</v>
      </c>
      <c r="F185" s="242">
        <v>128.25700000000001</v>
      </c>
      <c r="G185" s="242">
        <v>67.7</v>
      </c>
      <c r="H185" s="242">
        <v>165.12599999999998</v>
      </c>
      <c r="I185" s="242">
        <v>111.26600000000001</v>
      </c>
      <c r="J185" s="242">
        <v>45.766000000000005</v>
      </c>
      <c r="K185" s="242">
        <f>'[2]Argentina Sun Meal Exports'!EK$290</f>
        <v>65.076999999999998</v>
      </c>
      <c r="L185" s="242">
        <f>'[2]Argentina Sun Meal Exports'!EW$290</f>
        <v>56.796999999999997</v>
      </c>
      <c r="M185" s="242">
        <f>'[2]Argentina Sun Meal Exports'!FI$290</f>
        <v>46.518000000000001</v>
      </c>
      <c r="N185" s="242">
        <f>'[2]Argentina Sun Meal Exports'!FU$290</f>
        <v>58.632999999999996</v>
      </c>
      <c r="O185" s="242">
        <f>'[2]Argentina Sun Meal Exports'!GG$290</f>
        <v>37.923999999999999</v>
      </c>
      <c r="P185" s="242">
        <f>'[2]Argentina Sun Meal Exports'!GS$290</f>
        <v>49.566999999999993</v>
      </c>
      <c r="Q185" s="242">
        <f>'[2]Argentina Sun Meal Exports'!HE$290</f>
        <v>86.766999999999996</v>
      </c>
      <c r="R185" s="242">
        <f>'[2]Argentina Sun Meal Exports'!HQ$290</f>
        <v>20.86</v>
      </c>
      <c r="S185" s="242">
        <f>'[2]Argentina Sun Meal Exports'!IC$290</f>
        <v>43.290999999999997</v>
      </c>
      <c r="T185" s="242">
        <f>'[2]Argentina Sun Meal Exports'!IO$290</f>
        <v>14.07</v>
      </c>
      <c r="U185" s="242">
        <f>'[2]Argentina Sun Meal Exports'!JA$290</f>
        <v>9.6649999999999991</v>
      </c>
      <c r="V185" s="242">
        <f>'[2]Argentina Sun Meal Exports'!JM$290</f>
        <v>1.927</v>
      </c>
      <c r="W185" s="242">
        <f>'[2]Argentina Sun Meal Exports'!JY$290</f>
        <v>31.031000000000002</v>
      </c>
      <c r="X185" s="242">
        <f>'[2]Argentina Sun Meal Exports'!KK$290</f>
        <v>10.277000000000001</v>
      </c>
      <c r="Y185" s="242">
        <f>'[2]Argentina Sun Meal Exports'!KW$290</f>
        <v>9.1910000000000007</v>
      </c>
      <c r="Z185" s="242">
        <f>'[2]Argentina Sun Meal Exports'!LI$290</f>
        <v>33.554000000000002</v>
      </c>
      <c r="AA185" s="242">
        <f>'[2]Argentina Sun Meal Exports'!LU$290</f>
        <v>32.933999999999997</v>
      </c>
      <c r="AB185" s="242">
        <f>'[2]Argentina Sun Meal Exports'!MG$290</f>
        <v>60.216999999999999</v>
      </c>
      <c r="AC185" s="242">
        <f>'[2]Argentina Sun Meal Exports'!MS$290</f>
        <v>11.105</v>
      </c>
      <c r="AD185" s="242">
        <f>'[2]Argentina Sun Meal Exports'!NE$290</f>
        <v>73.27</v>
      </c>
      <c r="AE185" s="242">
        <f>'[2]Argentina Sun Meal Exports'!NQ$290</f>
        <v>40.350999999999999</v>
      </c>
      <c r="AF185" s="243">
        <f t="shared" si="90"/>
        <v>51.265872447486252</v>
      </c>
      <c r="AG185" s="243">
        <f t="shared" si="90"/>
        <v>45.283947350982942</v>
      </c>
    </row>
    <row r="186" spans="1:33">
      <c r="A186" s="240" t="s">
        <v>241</v>
      </c>
      <c r="B186" s="241">
        <v>42.219000000000001</v>
      </c>
      <c r="C186" s="241">
        <v>101.369</v>
      </c>
      <c r="D186" s="242">
        <v>64.834000000000003</v>
      </c>
      <c r="E186" s="242">
        <v>122.259</v>
      </c>
      <c r="F186" s="242">
        <v>155.98200000000003</v>
      </c>
      <c r="G186" s="242">
        <v>100.46499999999999</v>
      </c>
      <c r="H186" s="242">
        <v>108.43600000000001</v>
      </c>
      <c r="I186" s="242">
        <v>91.912999999999997</v>
      </c>
      <c r="J186" s="242">
        <v>89.894000000000005</v>
      </c>
      <c r="K186" s="242">
        <f>'[2]Argentina Sun Meal Exports'!EL$290</f>
        <v>71.061000000000007</v>
      </c>
      <c r="L186" s="242">
        <f>'[2]Argentina Sun Meal Exports'!EX$290</f>
        <v>62.234999999999999</v>
      </c>
      <c r="M186" s="242">
        <f>'[2]Argentina Sun Meal Exports'!FJ$290</f>
        <v>69.150000000000006</v>
      </c>
      <c r="N186" s="242">
        <f>'[2]Argentina Sun Meal Exports'!FV$290</f>
        <v>45.323999999999998</v>
      </c>
      <c r="O186" s="242">
        <f>'[2]Argentina Sun Meal Exports'!GH$290</f>
        <v>44.714999999999996</v>
      </c>
      <c r="P186" s="242">
        <f>'[2]Argentina Sun Meal Exports'!GT$290</f>
        <v>27.562999999999999</v>
      </c>
      <c r="Q186" s="242">
        <f>'[2]Argentina Sun Meal Exports'!HF$290</f>
        <v>45.287000000000006</v>
      </c>
      <c r="R186" s="242">
        <f>'[2]Argentina Sun Meal Exports'!HR$290</f>
        <v>40.04</v>
      </c>
      <c r="S186" s="242">
        <f>'[2]Argentina Sun Meal Exports'!ID$290</f>
        <v>19.231999999999999</v>
      </c>
      <c r="T186" s="242">
        <f>'[2]Argentina Sun Meal Exports'!IP$290</f>
        <v>37.676000000000002</v>
      </c>
      <c r="U186" s="242">
        <f>'[2]Argentina Sun Meal Exports'!JB$290</f>
        <v>28.463999999999995</v>
      </c>
      <c r="V186" s="242">
        <f>'[2]Argentina Sun Meal Exports'!JN$290</f>
        <v>2.4870000000000001</v>
      </c>
      <c r="W186" s="242">
        <f>'[2]Argentina Sun Meal Exports'!JZ$290</f>
        <v>19.919999999999998</v>
      </c>
      <c r="X186" s="242">
        <f>'[2]Argentina Sun Meal Exports'!KL$290</f>
        <v>12.532</v>
      </c>
      <c r="Y186" s="242">
        <f>'[2]Argentina Sun Meal Exports'!KX$290</f>
        <v>26.433999999999997</v>
      </c>
      <c r="Z186" s="242">
        <f>'[2]Argentina Sun Meal Exports'!LJ$290</f>
        <v>9.2430000000000003</v>
      </c>
      <c r="AA186" s="242">
        <f>'[2]Argentina Sun Meal Exports'!LV$290</f>
        <v>37.622</v>
      </c>
      <c r="AB186" s="242">
        <f>'[2]Argentina Sun Meal Exports'!MH$290</f>
        <v>22.751999999999999</v>
      </c>
      <c r="AC186" s="242">
        <f>'[2]Argentina Sun Meal Exports'!MT$290</f>
        <v>1.3280000000000001</v>
      </c>
      <c r="AD186" s="242">
        <f>'[2]Argentina Sun Meal Exports'!NF$290</f>
        <v>20.47</v>
      </c>
      <c r="AE186" s="242">
        <f>'[2]Argentina Sun Meal Exports'!NR$290</f>
        <v>0</v>
      </c>
      <c r="AF186" s="243">
        <f t="shared" ref="AF186" si="91">AF187-SUM(AF175:AF185)</f>
        <v>798.28720800612791</v>
      </c>
      <c r="AG186" s="243">
        <f t="shared" ref="AG186" si="92">AG187-SUM(AG175:AG185)</f>
        <v>17.078776198152809</v>
      </c>
    </row>
    <row r="187" spans="1:33" ht="15.75" thickBot="1">
      <c r="A187" s="240" t="s">
        <v>242</v>
      </c>
      <c r="B187" s="242">
        <f>SUM(B175:B186)</f>
        <v>952.39699999999993</v>
      </c>
      <c r="C187" s="242">
        <f>SUM(C175:C186)</f>
        <v>1287.153</v>
      </c>
      <c r="D187" s="242">
        <f>SUM(D175:D186)</f>
        <v>1864.049</v>
      </c>
      <c r="E187" s="242">
        <f t="shared" ref="E187:Z187" si="93">SUM(E175:E186)</f>
        <v>1937.203</v>
      </c>
      <c r="F187" s="242">
        <f t="shared" si="93"/>
        <v>2113.663</v>
      </c>
      <c r="G187" s="242">
        <f t="shared" si="93"/>
        <v>1935.6449999999998</v>
      </c>
      <c r="H187" s="242">
        <f t="shared" si="93"/>
        <v>2259.8720000000003</v>
      </c>
      <c r="I187" s="242">
        <f t="shared" si="93"/>
        <v>1831.2550000000001</v>
      </c>
      <c r="J187" s="242">
        <f t="shared" si="93"/>
        <v>1151.3020000000001</v>
      </c>
      <c r="K187" s="242">
        <f t="shared" si="93"/>
        <v>1159.1489999999997</v>
      </c>
      <c r="L187" s="242">
        <f t="shared" si="93"/>
        <v>1230.1429999999998</v>
      </c>
      <c r="M187" s="242">
        <f t="shared" si="93"/>
        <v>932.45600000000002</v>
      </c>
      <c r="N187" s="242">
        <f t="shared" si="93"/>
        <v>1056.356</v>
      </c>
      <c r="O187" s="242">
        <f t="shared" si="93"/>
        <v>994.50200000000007</v>
      </c>
      <c r="P187" s="242">
        <f t="shared" si="93"/>
        <v>837.64099999999996</v>
      </c>
      <c r="Q187" s="242">
        <f t="shared" si="93"/>
        <v>1010.6420000000001</v>
      </c>
      <c r="R187" s="242">
        <f t="shared" si="93"/>
        <v>783.24299999999994</v>
      </c>
      <c r="S187" s="242">
        <f t="shared" si="93"/>
        <v>585.57400000000007</v>
      </c>
      <c r="T187" s="242">
        <f t="shared" si="93"/>
        <v>717.73599999999999</v>
      </c>
      <c r="U187" s="242">
        <f t="shared" si="93"/>
        <v>805.221</v>
      </c>
      <c r="V187" s="242">
        <f t="shared" si="93"/>
        <v>431.9620000000001</v>
      </c>
      <c r="W187" s="242">
        <f t="shared" si="93"/>
        <v>309.43300000000005</v>
      </c>
      <c r="X187" s="242">
        <f t="shared" si="93"/>
        <v>539.93700000000001</v>
      </c>
      <c r="Y187" s="242">
        <f t="shared" si="93"/>
        <v>707.07199999999989</v>
      </c>
      <c r="Z187" s="242">
        <f t="shared" si="93"/>
        <v>820.26</v>
      </c>
      <c r="AA187" s="242">
        <f>SUM(AA175:AA186)</f>
        <v>746.07899999999995</v>
      </c>
      <c r="AB187" s="242">
        <f>SUM(AB175:AB186)</f>
        <v>952.54899999999975</v>
      </c>
      <c r="AC187" s="242">
        <f>SUM(AC175:AC186)</f>
        <v>595.678</v>
      </c>
      <c r="AD187" s="242">
        <f>SUM(AD175:AD186)</f>
        <v>899.85899999999992</v>
      </c>
      <c r="AE187" s="242">
        <f>SUM(AE175:AE186)</f>
        <v>895.48399999999992</v>
      </c>
      <c r="AF187" s="243">
        <f>AF27</f>
        <v>975</v>
      </c>
      <c r="AG187" s="243">
        <f>AG27</f>
        <v>850</v>
      </c>
    </row>
    <row r="188" spans="1:33">
      <c r="A188" s="248"/>
      <c r="B188" s="248"/>
      <c r="C188" s="248"/>
      <c r="D188" s="248"/>
      <c r="E188" s="248"/>
      <c r="F188" s="263"/>
      <c r="G188" s="263"/>
      <c r="H188" s="263"/>
      <c r="I188" s="263"/>
      <c r="J188" s="263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  <c r="AD188" s="248"/>
      <c r="AE188" s="248"/>
      <c r="AF188" s="248"/>
      <c r="AG188" s="248"/>
    </row>
    <row r="189" spans="1:33" ht="15.75" thickBot="1">
      <c r="A189" s="235" t="s">
        <v>258</v>
      </c>
      <c r="D189" s="264"/>
      <c r="E189" s="264"/>
      <c r="F189" s="264"/>
      <c r="G189" s="264"/>
      <c r="H189" s="264"/>
      <c r="I189" s="264"/>
      <c r="J189" s="264"/>
    </row>
    <row r="190" spans="1:33" ht="15.75" thickBot="1">
      <c r="A190" s="236"/>
      <c r="B190" s="237">
        <f>B$2</f>
        <v>1993</v>
      </c>
      <c r="C190" s="237">
        <f t="shared" ref="C190:AG190" si="94">C$2</f>
        <v>1994</v>
      </c>
      <c r="D190" s="237">
        <f t="shared" si="94"/>
        <v>1995</v>
      </c>
      <c r="E190" s="237">
        <f t="shared" si="94"/>
        <v>1996</v>
      </c>
      <c r="F190" s="237">
        <f t="shared" si="94"/>
        <v>1997</v>
      </c>
      <c r="G190" s="237">
        <f t="shared" si="94"/>
        <v>1998</v>
      </c>
      <c r="H190" s="237">
        <f t="shared" si="94"/>
        <v>1999</v>
      </c>
      <c r="I190" s="237">
        <f t="shared" si="94"/>
        <v>2000</v>
      </c>
      <c r="J190" s="237">
        <f t="shared" si="94"/>
        <v>2001</v>
      </c>
      <c r="K190" s="237">
        <f t="shared" si="94"/>
        <v>2002</v>
      </c>
      <c r="L190" s="237">
        <f t="shared" si="94"/>
        <v>2003</v>
      </c>
      <c r="M190" s="237">
        <f t="shared" si="94"/>
        <v>2004</v>
      </c>
      <c r="N190" s="237">
        <f t="shared" si="94"/>
        <v>2005</v>
      </c>
      <c r="O190" s="237">
        <f t="shared" si="94"/>
        <v>2006</v>
      </c>
      <c r="P190" s="237">
        <f t="shared" si="94"/>
        <v>2007</v>
      </c>
      <c r="Q190" s="237">
        <f t="shared" si="94"/>
        <v>2008</v>
      </c>
      <c r="R190" s="237">
        <f t="shared" si="94"/>
        <v>2009</v>
      </c>
      <c r="S190" s="237">
        <f t="shared" si="94"/>
        <v>2010</v>
      </c>
      <c r="T190" s="237">
        <f t="shared" si="94"/>
        <v>2011</v>
      </c>
      <c r="U190" s="237">
        <f t="shared" si="94"/>
        <v>2012</v>
      </c>
      <c r="V190" s="237">
        <f t="shared" si="94"/>
        <v>2013</v>
      </c>
      <c r="W190" s="237">
        <f t="shared" si="94"/>
        <v>2014</v>
      </c>
      <c r="X190" s="237">
        <f t="shared" si="94"/>
        <v>2015</v>
      </c>
      <c r="Y190" s="237">
        <f t="shared" si="94"/>
        <v>2016</v>
      </c>
      <c r="Z190" s="237">
        <f t="shared" si="94"/>
        <v>2017</v>
      </c>
      <c r="AA190" s="237">
        <f t="shared" si="94"/>
        <v>2018</v>
      </c>
      <c r="AB190" s="237">
        <f t="shared" si="94"/>
        <v>2019</v>
      </c>
      <c r="AC190" s="237">
        <f t="shared" si="94"/>
        <v>2020</v>
      </c>
      <c r="AD190" s="237">
        <f t="shared" si="94"/>
        <v>2021</v>
      </c>
      <c r="AE190" s="237">
        <f t="shared" si="94"/>
        <v>2022</v>
      </c>
      <c r="AF190" s="237">
        <f t="shared" si="94"/>
        <v>2023</v>
      </c>
      <c r="AG190" s="237">
        <f t="shared" si="94"/>
        <v>2024</v>
      </c>
    </row>
    <row r="191" spans="1:33">
      <c r="A191" s="240" t="s">
        <v>231</v>
      </c>
      <c r="B191" s="251">
        <f>B22+B111+B162-B175-B207</f>
        <v>53.575999999999986</v>
      </c>
      <c r="C191" s="251">
        <f>B218+C111+C162-C175-C207</f>
        <v>-4.8109999999999999</v>
      </c>
      <c r="D191" s="251">
        <f t="shared" ref="D191:AF191" si="95">C218+D111+D162-D175-D207</f>
        <v>-12.432999999999993</v>
      </c>
      <c r="E191" s="251">
        <f t="shared" si="95"/>
        <v>13.563999999999993</v>
      </c>
      <c r="F191" s="251">
        <f t="shared" si="95"/>
        <v>3.0180000000000149</v>
      </c>
      <c r="G191" s="251">
        <f t="shared" si="95"/>
        <v>-11.564000000000007</v>
      </c>
      <c r="H191" s="251">
        <f t="shared" si="95"/>
        <v>12.643000000000015</v>
      </c>
      <c r="I191" s="251">
        <f t="shared" si="95"/>
        <v>-2.2669999999999959</v>
      </c>
      <c r="J191" s="251">
        <f t="shared" si="95"/>
        <v>4.5239999999999867</v>
      </c>
      <c r="K191" s="251">
        <f t="shared" si="95"/>
        <v>-7.6540000000000035</v>
      </c>
      <c r="L191" s="251">
        <f t="shared" si="95"/>
        <v>23.307000000000016</v>
      </c>
      <c r="M191" s="251">
        <f t="shared" si="95"/>
        <v>33.303000000000011</v>
      </c>
      <c r="N191" s="251">
        <f t="shared" si="95"/>
        <v>30.488999999999983</v>
      </c>
      <c r="O191" s="251">
        <f t="shared" si="95"/>
        <v>35.770399999999988</v>
      </c>
      <c r="P191" s="251">
        <f t="shared" si="95"/>
        <v>53.385199999999998</v>
      </c>
      <c r="Q191" s="251">
        <f t="shared" si="95"/>
        <v>34.398999999999987</v>
      </c>
      <c r="R191" s="251">
        <f t="shared" si="95"/>
        <v>43.670000000000016</v>
      </c>
      <c r="S191" s="251">
        <f t="shared" si="95"/>
        <v>34.003000000000014</v>
      </c>
      <c r="T191" s="251">
        <f t="shared" si="95"/>
        <v>71.921000000000021</v>
      </c>
      <c r="U191" s="251">
        <f t="shared" si="95"/>
        <v>54.224999999999994</v>
      </c>
      <c r="V191" s="251">
        <f t="shared" si="95"/>
        <v>69.946000000000026</v>
      </c>
      <c r="W191" s="251">
        <f t="shared" si="95"/>
        <v>19.281999999999996</v>
      </c>
      <c r="X191" s="251">
        <f t="shared" si="95"/>
        <v>22.35199999999999</v>
      </c>
      <c r="Y191" s="251">
        <f t="shared" si="95"/>
        <v>43.084999999999994</v>
      </c>
      <c r="Z191" s="251">
        <f t="shared" si="95"/>
        <v>39.282999999999973</v>
      </c>
      <c r="AA191" s="251">
        <f t="shared" si="95"/>
        <v>62.999000000000002</v>
      </c>
      <c r="AB191" s="251">
        <f t="shared" si="95"/>
        <v>13.711000000000013</v>
      </c>
      <c r="AC191" s="251">
        <f t="shared" si="95"/>
        <v>39.547999999999995</v>
      </c>
      <c r="AD191" s="251">
        <f t="shared" si="95"/>
        <v>30.376000000000012</v>
      </c>
      <c r="AE191" s="251">
        <f t="shared" si="95"/>
        <v>22.247000000000007</v>
      </c>
      <c r="AF191" s="251">
        <f t="shared" si="95"/>
        <v>88.929000000000002</v>
      </c>
      <c r="AG191" s="253">
        <f>AG22+AG111+AG159-AG175-AG207</f>
        <v>75.477609150290817</v>
      </c>
    </row>
    <row r="192" spans="1:33">
      <c r="A192" s="240" t="s">
        <v>232</v>
      </c>
      <c r="B192" s="251">
        <f t="shared" ref="B192:AF202" si="96">B207+B112+B163-B176-B208</f>
        <v>-19.820999999999998</v>
      </c>
      <c r="C192" s="251">
        <f t="shared" si="96"/>
        <v>5.2830000000000013</v>
      </c>
      <c r="D192" s="251">
        <f t="shared" si="96"/>
        <v>-23.004000000000005</v>
      </c>
      <c r="E192" s="251">
        <f t="shared" si="96"/>
        <v>14.399999999999991</v>
      </c>
      <c r="F192" s="251">
        <f t="shared" si="96"/>
        <v>31.657000000000011</v>
      </c>
      <c r="G192" s="251">
        <f t="shared" si="96"/>
        <v>7.1059999999999945</v>
      </c>
      <c r="H192" s="251">
        <f t="shared" si="96"/>
        <v>17.794999999999973</v>
      </c>
      <c r="I192" s="251">
        <f t="shared" si="96"/>
        <v>33.927000000000021</v>
      </c>
      <c r="J192" s="251">
        <f t="shared" si="96"/>
        <v>9.6739999999999782</v>
      </c>
      <c r="K192" s="251">
        <f t="shared" si="96"/>
        <v>27.074000000000012</v>
      </c>
      <c r="L192" s="251">
        <f t="shared" si="96"/>
        <v>-26.934000000000026</v>
      </c>
      <c r="M192" s="251">
        <f t="shared" si="96"/>
        <v>1.2620000000000147</v>
      </c>
      <c r="N192" s="251">
        <f t="shared" si="96"/>
        <v>26.002999999999993</v>
      </c>
      <c r="O192" s="251">
        <f t="shared" si="96"/>
        <v>31.948</v>
      </c>
      <c r="P192" s="251">
        <f t="shared" si="96"/>
        <v>27.804000000000002</v>
      </c>
      <c r="Q192" s="251">
        <f t="shared" si="96"/>
        <v>29.921999999999997</v>
      </c>
      <c r="R192" s="251">
        <f t="shared" si="96"/>
        <v>44.379000000000005</v>
      </c>
      <c r="S192" s="251">
        <f t="shared" si="96"/>
        <v>34.864999999999988</v>
      </c>
      <c r="T192" s="251">
        <f t="shared" si="96"/>
        <v>19.77600000000001</v>
      </c>
      <c r="U192" s="251">
        <f t="shared" si="96"/>
        <v>43.768000000000029</v>
      </c>
      <c r="V192" s="251">
        <f t="shared" si="96"/>
        <v>25.025999999999996</v>
      </c>
      <c r="W192" s="251">
        <f t="shared" si="96"/>
        <v>27.243000000000009</v>
      </c>
      <c r="X192" s="251">
        <f t="shared" si="96"/>
        <v>31.681000000000012</v>
      </c>
      <c r="Y192" s="251">
        <f t="shared" si="96"/>
        <v>42.067000000000021</v>
      </c>
      <c r="Z192" s="251">
        <f t="shared" si="96"/>
        <v>14.89200000000001</v>
      </c>
      <c r="AA192" s="251">
        <f t="shared" si="96"/>
        <v>18.04300000000001</v>
      </c>
      <c r="AB192" s="251">
        <f t="shared" si="96"/>
        <v>62.97499999999998</v>
      </c>
      <c r="AC192" s="251">
        <f t="shared" si="96"/>
        <v>38.071999999999989</v>
      </c>
      <c r="AD192" s="251">
        <f t="shared" si="96"/>
        <v>30.896999999999998</v>
      </c>
      <c r="AE192" s="251">
        <f t="shared" si="96"/>
        <v>21.634000000000015</v>
      </c>
      <c r="AF192" s="251">
        <f t="shared" si="96"/>
        <v>104.36500000000001</v>
      </c>
      <c r="AG192" s="253">
        <f t="shared" ref="AG192:AG202" si="97">AG207+AG112+AG160-AG176-AG208</f>
        <v>74.597104739871128</v>
      </c>
    </row>
    <row r="193" spans="1:40">
      <c r="A193" s="240" t="s">
        <v>233</v>
      </c>
      <c r="B193" s="251">
        <f t="shared" si="96"/>
        <v>9.6989999999999696</v>
      </c>
      <c r="C193" s="251">
        <f t="shared" si="96"/>
        <v>8.6610000000000156</v>
      </c>
      <c r="D193" s="251">
        <f t="shared" si="96"/>
        <v>19.243999999999971</v>
      </c>
      <c r="E193" s="251">
        <f t="shared" si="96"/>
        <v>-5.523000000000053</v>
      </c>
      <c r="F193" s="251">
        <f t="shared" si="96"/>
        <v>14.992000000000047</v>
      </c>
      <c r="G193" s="251">
        <f t="shared" si="96"/>
        <v>36.55800000000005</v>
      </c>
      <c r="H193" s="251">
        <f t="shared" si="96"/>
        <v>44.350999999999942</v>
      </c>
      <c r="I193" s="251">
        <f t="shared" si="96"/>
        <v>21.377000000000038</v>
      </c>
      <c r="J193" s="251">
        <f t="shared" si="96"/>
        <v>45.769000000000005</v>
      </c>
      <c r="K193" s="251">
        <f t="shared" si="96"/>
        <v>-11.163000000000011</v>
      </c>
      <c r="L193" s="251">
        <f t="shared" si="96"/>
        <v>18.488000000000014</v>
      </c>
      <c r="M193" s="251">
        <f t="shared" si="96"/>
        <v>50.165999999999983</v>
      </c>
      <c r="N193" s="251">
        <f t="shared" si="96"/>
        <v>39.350999999999999</v>
      </c>
      <c r="O193" s="251">
        <f t="shared" si="96"/>
        <v>48.550000000000011</v>
      </c>
      <c r="P193" s="251">
        <f t="shared" si="96"/>
        <v>65.266590000000008</v>
      </c>
      <c r="Q193" s="251">
        <f t="shared" si="96"/>
        <v>-31.650999999999982</v>
      </c>
      <c r="R193" s="251">
        <f t="shared" si="96"/>
        <v>61.986000000000018</v>
      </c>
      <c r="S193" s="251">
        <f t="shared" si="96"/>
        <v>59.686999999999998</v>
      </c>
      <c r="T193" s="251">
        <f t="shared" si="96"/>
        <v>73.581000000000017</v>
      </c>
      <c r="U193" s="251">
        <f t="shared" si="96"/>
        <v>99.798999999999978</v>
      </c>
      <c r="V193" s="251">
        <f t="shared" si="96"/>
        <v>44.628</v>
      </c>
      <c r="W193" s="251">
        <f t="shared" si="96"/>
        <v>47.082999999999998</v>
      </c>
      <c r="X193" s="251">
        <f t="shared" si="96"/>
        <v>67.640000000000015</v>
      </c>
      <c r="Y193" s="251">
        <f t="shared" si="96"/>
        <v>13.939000000000021</v>
      </c>
      <c r="Z193" s="251">
        <f t="shared" si="96"/>
        <v>36.683000000000021</v>
      </c>
      <c r="AA193" s="251">
        <f t="shared" si="96"/>
        <v>40.487000000000023</v>
      </c>
      <c r="AB193" s="251">
        <f t="shared" si="96"/>
        <v>1.6230000000000189</v>
      </c>
      <c r="AC193" s="251">
        <f t="shared" si="96"/>
        <v>66.786000000000001</v>
      </c>
      <c r="AD193" s="251">
        <f t="shared" si="96"/>
        <v>47.172999999999988</v>
      </c>
      <c r="AE193" s="251">
        <f t="shared" si="96"/>
        <v>39.150999999999982</v>
      </c>
      <c r="AF193" s="251">
        <f t="shared" si="96"/>
        <v>182.607</v>
      </c>
      <c r="AG193" s="253">
        <f t="shared" si="97"/>
        <v>131.87760579440604</v>
      </c>
    </row>
    <row r="194" spans="1:40">
      <c r="A194" s="240" t="s">
        <v>234</v>
      </c>
      <c r="B194" s="251">
        <f t="shared" si="96"/>
        <v>51.712000000000003</v>
      </c>
      <c r="C194" s="251">
        <f t="shared" si="96"/>
        <v>-5.7890000000000157</v>
      </c>
      <c r="D194" s="251">
        <f t="shared" si="96"/>
        <v>7.2259999999999707</v>
      </c>
      <c r="E194" s="251">
        <f t="shared" si="96"/>
        <v>37.380999999999943</v>
      </c>
      <c r="F194" s="251">
        <f t="shared" si="96"/>
        <v>21.685000000000059</v>
      </c>
      <c r="G194" s="251">
        <f t="shared" si="96"/>
        <v>14.164000000000044</v>
      </c>
      <c r="H194" s="251">
        <f t="shared" si="96"/>
        <v>12.366999999999933</v>
      </c>
      <c r="I194" s="251">
        <f t="shared" si="96"/>
        <v>13.242999999999938</v>
      </c>
      <c r="J194" s="251">
        <f t="shared" si="96"/>
        <v>20.476000000000028</v>
      </c>
      <c r="K194" s="251">
        <f t="shared" si="96"/>
        <v>17.318000000000012</v>
      </c>
      <c r="L194" s="251">
        <f t="shared" si="96"/>
        <v>44.219000000000008</v>
      </c>
      <c r="M194" s="251">
        <f t="shared" si="96"/>
        <v>14.638999999999996</v>
      </c>
      <c r="N194" s="251">
        <f t="shared" si="96"/>
        <v>32.828000000000031</v>
      </c>
      <c r="O194" s="251">
        <f t="shared" si="96"/>
        <v>39.255299999999949</v>
      </c>
      <c r="P194" s="251">
        <f t="shared" si="96"/>
        <v>20.119999999999962</v>
      </c>
      <c r="Q194" s="251">
        <f t="shared" si="96"/>
        <v>89.221000000000004</v>
      </c>
      <c r="R194" s="251">
        <f t="shared" si="96"/>
        <v>74.31</v>
      </c>
      <c r="S194" s="251">
        <f t="shared" si="96"/>
        <v>76.461999999999961</v>
      </c>
      <c r="T194" s="251">
        <f t="shared" si="96"/>
        <v>60.756</v>
      </c>
      <c r="U194" s="251">
        <f t="shared" si="96"/>
        <v>92.322000000000031</v>
      </c>
      <c r="V194" s="251">
        <f t="shared" si="96"/>
        <v>70.129000000000005</v>
      </c>
      <c r="W194" s="251">
        <f t="shared" si="96"/>
        <v>82.202999999999975</v>
      </c>
      <c r="X194" s="251">
        <f t="shared" si="96"/>
        <v>98.938999999999965</v>
      </c>
      <c r="Y194" s="251">
        <f t="shared" si="96"/>
        <v>40.765000000000015</v>
      </c>
      <c r="Z194" s="251">
        <f t="shared" si="96"/>
        <v>56.645999999999958</v>
      </c>
      <c r="AA194" s="251">
        <f t="shared" si="96"/>
        <v>51.649999999999991</v>
      </c>
      <c r="AB194" s="251">
        <f t="shared" si="96"/>
        <v>54.466000000000008</v>
      </c>
      <c r="AC194" s="251">
        <f t="shared" si="96"/>
        <v>36.199000000000012</v>
      </c>
      <c r="AD194" s="251">
        <f t="shared" si="96"/>
        <v>35.555000000000035</v>
      </c>
      <c r="AE194" s="251">
        <f t="shared" si="96"/>
        <v>23.844000000000008</v>
      </c>
      <c r="AF194" s="251">
        <f t="shared" si="96"/>
        <v>149.387</v>
      </c>
      <c r="AG194" s="253">
        <f t="shared" si="97"/>
        <v>96.529730286795626</v>
      </c>
    </row>
    <row r="195" spans="1:40">
      <c r="A195" s="240" t="s">
        <v>46</v>
      </c>
      <c r="B195" s="251">
        <f t="shared" si="96"/>
        <v>62.879999999999995</v>
      </c>
      <c r="C195" s="251">
        <f t="shared" si="96"/>
        <v>0.33300000000002683</v>
      </c>
      <c r="D195" s="251">
        <f t="shared" si="96"/>
        <v>-6.0789999999999651</v>
      </c>
      <c r="E195" s="251">
        <f t="shared" si="96"/>
        <v>9.660000000000025</v>
      </c>
      <c r="F195" s="251">
        <f t="shared" si="96"/>
        <v>5.9950000000000045</v>
      </c>
      <c r="G195" s="251">
        <f t="shared" si="96"/>
        <v>27.045000000000044</v>
      </c>
      <c r="H195" s="251">
        <f t="shared" si="96"/>
        <v>26.93199999999996</v>
      </c>
      <c r="I195" s="251">
        <f t="shared" si="96"/>
        <v>35.052999999999997</v>
      </c>
      <c r="J195" s="251">
        <f t="shared" si="96"/>
        <v>5.8040000000000163</v>
      </c>
      <c r="K195" s="251">
        <f t="shared" si="96"/>
        <v>-7.7909999999999826</v>
      </c>
      <c r="L195" s="251">
        <f t="shared" si="96"/>
        <v>-38.460000000000022</v>
      </c>
      <c r="M195" s="251">
        <f t="shared" si="96"/>
        <v>-1.0279999999999916</v>
      </c>
      <c r="N195" s="251">
        <f t="shared" si="96"/>
        <v>36.316999999999993</v>
      </c>
      <c r="O195" s="251">
        <f t="shared" si="96"/>
        <v>91.725689999999958</v>
      </c>
      <c r="P195" s="251">
        <f t="shared" si="96"/>
        <v>41.321999999999974</v>
      </c>
      <c r="Q195" s="251">
        <f t="shared" si="96"/>
        <v>165.87600000000003</v>
      </c>
      <c r="R195" s="251">
        <f t="shared" si="96"/>
        <v>71.589999999999989</v>
      </c>
      <c r="S195" s="251">
        <f t="shared" si="96"/>
        <v>22.385000000000019</v>
      </c>
      <c r="T195" s="251">
        <f t="shared" si="96"/>
        <v>92.489000000000004</v>
      </c>
      <c r="U195" s="251">
        <f t="shared" si="96"/>
        <v>63.547999999999988</v>
      </c>
      <c r="V195" s="251">
        <f t="shared" si="96"/>
        <v>66.747000000000014</v>
      </c>
      <c r="W195" s="251">
        <f t="shared" si="96"/>
        <v>82.530999999999977</v>
      </c>
      <c r="X195" s="251">
        <f t="shared" si="96"/>
        <v>59.76100000000001</v>
      </c>
      <c r="Y195" s="251">
        <f t="shared" si="96"/>
        <v>21.324000000000012</v>
      </c>
      <c r="Z195" s="251">
        <f t="shared" si="96"/>
        <v>60.303000000000011</v>
      </c>
      <c r="AA195" s="251">
        <f t="shared" si="96"/>
        <v>37.050999999999974</v>
      </c>
      <c r="AB195" s="251">
        <f t="shared" si="96"/>
        <v>31.18799999999996</v>
      </c>
      <c r="AC195" s="251">
        <f t="shared" si="96"/>
        <v>45.649999999999977</v>
      </c>
      <c r="AD195" s="251">
        <f t="shared" si="96"/>
        <v>21.544000000000011</v>
      </c>
      <c r="AE195" s="251">
        <f t="shared" si="96"/>
        <v>39.159999999999997</v>
      </c>
      <c r="AF195" s="251">
        <f t="shared" si="96"/>
        <v>122.43800000000002</v>
      </c>
      <c r="AG195" s="253">
        <f t="shared" si="97"/>
        <v>78.254074814754773</v>
      </c>
    </row>
    <row r="196" spans="1:40">
      <c r="A196" s="240" t="s">
        <v>235</v>
      </c>
      <c r="B196" s="251">
        <f t="shared" si="96"/>
        <v>27.527000000000001</v>
      </c>
      <c r="C196" s="251">
        <f t="shared" si="96"/>
        <v>13.067999999999998</v>
      </c>
      <c r="D196" s="251">
        <f t="shared" si="96"/>
        <v>4.4559999999999746</v>
      </c>
      <c r="E196" s="251">
        <f t="shared" si="96"/>
        <v>6.6940000000000168</v>
      </c>
      <c r="F196" s="251">
        <f t="shared" si="96"/>
        <v>-12.418000000000006</v>
      </c>
      <c r="G196" s="251">
        <f t="shared" si="96"/>
        <v>48.878999999999991</v>
      </c>
      <c r="H196" s="251">
        <f t="shared" si="96"/>
        <v>37.716000000000008</v>
      </c>
      <c r="I196" s="251">
        <f t="shared" si="96"/>
        <v>11.813000000000031</v>
      </c>
      <c r="J196" s="251">
        <f t="shared" si="96"/>
        <v>-5.1220000000000283</v>
      </c>
      <c r="K196" s="251">
        <f t="shared" si="96"/>
        <v>1.8400000000000034</v>
      </c>
      <c r="L196" s="251">
        <f t="shared" si="96"/>
        <v>-8.7240000000000038</v>
      </c>
      <c r="M196" s="251">
        <f t="shared" si="96"/>
        <v>9.3510000000000062</v>
      </c>
      <c r="N196" s="251">
        <f t="shared" si="96"/>
        <v>25.605999999999995</v>
      </c>
      <c r="O196" s="251">
        <f t="shared" si="96"/>
        <v>79.782000000000025</v>
      </c>
      <c r="P196" s="251">
        <f t="shared" si="96"/>
        <v>70.795000000000016</v>
      </c>
      <c r="Q196" s="251">
        <f t="shared" si="96"/>
        <v>12.677000000000021</v>
      </c>
      <c r="R196" s="251">
        <f t="shared" si="96"/>
        <v>68.765000000000015</v>
      </c>
      <c r="S196" s="251">
        <f t="shared" si="96"/>
        <v>72.367999999999967</v>
      </c>
      <c r="T196" s="251">
        <f t="shared" si="96"/>
        <v>86.97399999999999</v>
      </c>
      <c r="U196" s="251">
        <f t="shared" si="96"/>
        <v>62.688999999999979</v>
      </c>
      <c r="V196" s="251">
        <f t="shared" si="96"/>
        <v>69.956000000000003</v>
      </c>
      <c r="W196" s="251">
        <f t="shared" si="96"/>
        <v>73.644000000000005</v>
      </c>
      <c r="X196" s="251">
        <f t="shared" si="96"/>
        <v>42.097000000000001</v>
      </c>
      <c r="Y196" s="251">
        <f t="shared" si="96"/>
        <v>55.055999999999997</v>
      </c>
      <c r="Z196" s="251">
        <f t="shared" si="96"/>
        <v>37.165999999999968</v>
      </c>
      <c r="AA196" s="251">
        <f t="shared" si="96"/>
        <v>66.645999999999987</v>
      </c>
      <c r="AB196" s="251">
        <f t="shared" si="96"/>
        <v>56.049999999999983</v>
      </c>
      <c r="AC196" s="251">
        <f t="shared" si="96"/>
        <v>40.970000000000027</v>
      </c>
      <c r="AD196" s="251">
        <f t="shared" si="96"/>
        <v>29.975999999999999</v>
      </c>
      <c r="AE196" s="251">
        <f t="shared" si="96"/>
        <v>32.77200000000002</v>
      </c>
      <c r="AF196" s="251">
        <f t="shared" si="96"/>
        <v>180.81599999999997</v>
      </c>
      <c r="AG196" s="253">
        <f t="shared" si="97"/>
        <v>99.458909223376594</v>
      </c>
    </row>
    <row r="197" spans="1:40">
      <c r="A197" s="240" t="s">
        <v>236</v>
      </c>
      <c r="B197" s="251">
        <f t="shared" si="96"/>
        <v>36.790999999999983</v>
      </c>
      <c r="C197" s="251">
        <f t="shared" si="96"/>
        <v>23.202000000000012</v>
      </c>
      <c r="D197" s="251">
        <f t="shared" si="96"/>
        <v>-7.6609999999999587</v>
      </c>
      <c r="E197" s="251">
        <f t="shared" si="96"/>
        <v>7.5450000000000159</v>
      </c>
      <c r="F197" s="251">
        <f t="shared" si="96"/>
        <v>40.747000000000014</v>
      </c>
      <c r="G197" s="251">
        <f t="shared" si="96"/>
        <v>1.7300000000000466</v>
      </c>
      <c r="H197" s="251">
        <f t="shared" si="96"/>
        <v>26.790000000000006</v>
      </c>
      <c r="I197" s="251">
        <f t="shared" si="96"/>
        <v>29.518999999999963</v>
      </c>
      <c r="J197" s="251">
        <f t="shared" si="96"/>
        <v>20.267999999999972</v>
      </c>
      <c r="K197" s="251">
        <f t="shared" si="96"/>
        <v>0.75400000000003331</v>
      </c>
      <c r="L197" s="251">
        <f t="shared" si="96"/>
        <v>27.307000000000016</v>
      </c>
      <c r="M197" s="251">
        <f t="shared" si="96"/>
        <v>32.848999999999997</v>
      </c>
      <c r="N197" s="251">
        <f t="shared" si="96"/>
        <v>48.78100000000002</v>
      </c>
      <c r="O197" s="251">
        <f t="shared" si="96"/>
        <v>33.65664000000001</v>
      </c>
      <c r="P197" s="251">
        <f t="shared" si="96"/>
        <v>66.937400000000025</v>
      </c>
      <c r="Q197" s="251">
        <f t="shared" si="96"/>
        <v>90.187999999999988</v>
      </c>
      <c r="R197" s="251">
        <f t="shared" si="96"/>
        <v>41.333000000000013</v>
      </c>
      <c r="S197" s="251">
        <f t="shared" si="96"/>
        <v>70.378999999999991</v>
      </c>
      <c r="T197" s="251">
        <f t="shared" si="96"/>
        <v>47.591999999999985</v>
      </c>
      <c r="U197" s="251">
        <f t="shared" si="96"/>
        <v>109.47600000000001</v>
      </c>
      <c r="V197" s="251">
        <f t="shared" si="96"/>
        <v>81.32399999999997</v>
      </c>
      <c r="W197" s="251">
        <f t="shared" si="96"/>
        <v>52.85499999999999</v>
      </c>
      <c r="X197" s="251">
        <f t="shared" si="96"/>
        <v>62.182000000000009</v>
      </c>
      <c r="Y197" s="251">
        <f t="shared" si="96"/>
        <v>33.971999999999987</v>
      </c>
      <c r="Z197" s="251">
        <f t="shared" si="96"/>
        <v>12.691000000000003</v>
      </c>
      <c r="AA197" s="251">
        <f t="shared" si="96"/>
        <v>45.799000000000021</v>
      </c>
      <c r="AB197" s="251">
        <f t="shared" si="96"/>
        <v>34.040000000000006</v>
      </c>
      <c r="AC197" s="251">
        <f>AC212+AC117+AC168-AC181-AC213</f>
        <v>25.567999999999991</v>
      </c>
      <c r="AD197" s="251">
        <f t="shared" si="96"/>
        <v>14.961999999999989</v>
      </c>
      <c r="AE197" s="251">
        <f t="shared" si="96"/>
        <v>69.986999999999966</v>
      </c>
      <c r="AF197" s="251">
        <f t="shared" si="96"/>
        <v>212.024</v>
      </c>
      <c r="AG197" s="253">
        <f t="shared" si="97"/>
        <v>84.512338576447036</v>
      </c>
    </row>
    <row r="198" spans="1:40">
      <c r="A198" s="240" t="s">
        <v>237</v>
      </c>
      <c r="B198" s="251">
        <f t="shared" si="96"/>
        <v>32.415000000000006</v>
      </c>
      <c r="C198" s="251">
        <f t="shared" si="96"/>
        <v>10.019999999999982</v>
      </c>
      <c r="D198" s="251">
        <f t="shared" si="96"/>
        <v>79.555999999999983</v>
      </c>
      <c r="E198" s="251">
        <f t="shared" si="96"/>
        <v>-8.4969999999999999</v>
      </c>
      <c r="F198" s="251">
        <f t="shared" si="96"/>
        <v>0.23600000000004684</v>
      </c>
      <c r="G198" s="251">
        <f t="shared" si="96"/>
        <v>45.069999999999965</v>
      </c>
      <c r="H198" s="251">
        <f t="shared" si="96"/>
        <v>21.842999999999975</v>
      </c>
      <c r="I198" s="251">
        <f t="shared" si="96"/>
        <v>43.717999999999975</v>
      </c>
      <c r="J198" s="251">
        <f t="shared" si="96"/>
        <v>31.923999999999999</v>
      </c>
      <c r="K198" s="251">
        <f t="shared" si="96"/>
        <v>9.7520000000000095</v>
      </c>
      <c r="L198" s="251">
        <f t="shared" si="96"/>
        <v>29.897999999999996</v>
      </c>
      <c r="M198" s="251">
        <f t="shared" si="96"/>
        <v>36.432000000000002</v>
      </c>
      <c r="N198" s="251">
        <f t="shared" si="96"/>
        <v>50.006</v>
      </c>
      <c r="O198" s="251">
        <f t="shared" si="96"/>
        <v>85.675799999999995</v>
      </c>
      <c r="P198" s="251">
        <f t="shared" si="96"/>
        <v>55.094999999999999</v>
      </c>
      <c r="Q198" s="251">
        <f t="shared" si="96"/>
        <v>93.994999999999976</v>
      </c>
      <c r="R198" s="251">
        <f t="shared" si="96"/>
        <v>67.987000000000023</v>
      </c>
      <c r="S198" s="251">
        <f t="shared" si="96"/>
        <v>80.13600000000001</v>
      </c>
      <c r="T198" s="251">
        <f t="shared" si="96"/>
        <v>80.545999999999964</v>
      </c>
      <c r="U198" s="251">
        <f t="shared" si="96"/>
        <v>79.914000000000016</v>
      </c>
      <c r="V198" s="251">
        <f t="shared" si="96"/>
        <v>81.961999999999989</v>
      </c>
      <c r="W198" s="251">
        <f t="shared" si="96"/>
        <v>56.037000000000006</v>
      </c>
      <c r="X198" s="251">
        <f t="shared" si="96"/>
        <v>23.332000000000001</v>
      </c>
      <c r="Y198" s="251">
        <f t="shared" si="96"/>
        <v>23.816000000000006</v>
      </c>
      <c r="Z198" s="251">
        <f t="shared" si="96"/>
        <v>66.927000000000007</v>
      </c>
      <c r="AA198" s="251">
        <f t="shared" si="96"/>
        <v>32.331800000000008</v>
      </c>
      <c r="AB198" s="251">
        <f t="shared" si="96"/>
        <v>34.504000000000005</v>
      </c>
      <c r="AC198" s="251">
        <f t="shared" si="96"/>
        <v>27.849000000000004</v>
      </c>
      <c r="AD198" s="251">
        <f t="shared" si="96"/>
        <v>40.193999999999974</v>
      </c>
      <c r="AE198" s="251">
        <f t="shared" si="96"/>
        <v>55.948999999999984</v>
      </c>
      <c r="AF198" s="251">
        <f t="shared" si="96"/>
        <v>129.845</v>
      </c>
      <c r="AG198" s="253">
        <f t="shared" si="97"/>
        <v>60.462309014463742</v>
      </c>
    </row>
    <row r="199" spans="1:40">
      <c r="A199" s="240" t="s">
        <v>238</v>
      </c>
      <c r="B199" s="251">
        <f t="shared" si="96"/>
        <v>-17.989000000000004</v>
      </c>
      <c r="C199" s="251">
        <f t="shared" si="96"/>
        <v>-23.246000000000009</v>
      </c>
      <c r="D199" s="251">
        <f t="shared" si="96"/>
        <v>39.952000000000012</v>
      </c>
      <c r="E199" s="251">
        <f t="shared" si="96"/>
        <v>42.292999999999978</v>
      </c>
      <c r="F199" s="251">
        <f t="shared" si="96"/>
        <v>5.025999999999982</v>
      </c>
      <c r="G199" s="251">
        <f t="shared" si="96"/>
        <v>52.255999999999943</v>
      </c>
      <c r="H199" s="251">
        <f t="shared" si="96"/>
        <v>17.78100000000002</v>
      </c>
      <c r="I199" s="251">
        <f t="shared" si="96"/>
        <v>-2.4939999999999714</v>
      </c>
      <c r="J199" s="251">
        <f t="shared" si="96"/>
        <v>14.316000000000003</v>
      </c>
      <c r="K199" s="251">
        <f t="shared" si="96"/>
        <v>17.789000000000001</v>
      </c>
      <c r="L199" s="251">
        <f t="shared" si="96"/>
        <v>28.228999999999992</v>
      </c>
      <c r="M199" s="251">
        <f t="shared" si="96"/>
        <v>32.457999999999991</v>
      </c>
      <c r="N199" s="251">
        <f t="shared" si="96"/>
        <v>45.61</v>
      </c>
      <c r="O199" s="251">
        <f t="shared" si="96"/>
        <v>61.492000000000019</v>
      </c>
      <c r="P199" s="251">
        <f t="shared" si="96"/>
        <v>67.052000000000021</v>
      </c>
      <c r="Q199" s="251">
        <f t="shared" si="96"/>
        <v>116.51499999999996</v>
      </c>
      <c r="R199" s="251">
        <f t="shared" si="96"/>
        <v>64.263999999999982</v>
      </c>
      <c r="S199" s="251">
        <f t="shared" si="96"/>
        <v>47.406999999999989</v>
      </c>
      <c r="T199" s="251">
        <f t="shared" si="96"/>
        <v>87.85499999999999</v>
      </c>
      <c r="U199" s="251">
        <f t="shared" si="96"/>
        <v>68.824999999999989</v>
      </c>
      <c r="V199" s="251">
        <f t="shared" si="96"/>
        <v>70.728999999999999</v>
      </c>
      <c r="W199" s="251">
        <f t="shared" si="96"/>
        <v>35.605000000000004</v>
      </c>
      <c r="X199" s="251">
        <f t="shared" si="96"/>
        <v>51.172999999999995</v>
      </c>
      <c r="Y199" s="251">
        <f t="shared" si="96"/>
        <v>55.668000000000013</v>
      </c>
      <c r="Z199" s="251">
        <f t="shared" si="96"/>
        <v>49.050999999999974</v>
      </c>
      <c r="AA199" s="251">
        <f t="shared" si="96"/>
        <v>46.943200000000019</v>
      </c>
      <c r="AB199" s="251">
        <f t="shared" si="96"/>
        <v>9.6900000000000119</v>
      </c>
      <c r="AC199" s="251">
        <f t="shared" si="96"/>
        <v>33.375</v>
      </c>
      <c r="AD199" s="251">
        <f>AD214+AD119+AD170-AD183-AD215</f>
        <v>21.539000000000001</v>
      </c>
      <c r="AE199" s="251">
        <f>AE214+AE119+AE170-AE183-AE215</f>
        <v>30.990000000000023</v>
      </c>
      <c r="AF199" s="253">
        <f t="shared" ref="AF199:AF202" si="98">AF214+AF119+AF167-AF183-AF215</f>
        <v>99.018340910728966</v>
      </c>
      <c r="AG199" s="253">
        <f t="shared" si="97"/>
        <v>50.629090259831401</v>
      </c>
    </row>
    <row r="200" spans="1:40">
      <c r="A200" s="240" t="s">
        <v>239</v>
      </c>
      <c r="B200" s="251">
        <f t="shared" ref="B200:Z202" si="99">B215+B120+C159-B184-B216</f>
        <v>45.821999999999989</v>
      </c>
      <c r="C200" s="251">
        <f t="shared" si="99"/>
        <v>13.054000000000002</v>
      </c>
      <c r="D200" s="251">
        <f t="shared" si="99"/>
        <v>52.213999999999999</v>
      </c>
      <c r="E200" s="251">
        <f t="shared" si="99"/>
        <v>4.4600000000000364</v>
      </c>
      <c r="F200" s="251">
        <f t="shared" si="99"/>
        <v>27.274999999999977</v>
      </c>
      <c r="G200" s="251">
        <f t="shared" si="99"/>
        <v>32.111999999999995</v>
      </c>
      <c r="H200" s="251">
        <f t="shared" si="99"/>
        <v>18.186999999999998</v>
      </c>
      <c r="I200" s="251">
        <f t="shared" si="99"/>
        <v>16.419999999999959</v>
      </c>
      <c r="J200" s="251">
        <f t="shared" si="99"/>
        <v>20.813999999999979</v>
      </c>
      <c r="K200" s="251">
        <f t="shared" si="99"/>
        <v>8.6729999999999876</v>
      </c>
      <c r="L200" s="251">
        <f t="shared" si="99"/>
        <v>1.4639999999999915</v>
      </c>
      <c r="M200" s="251">
        <f t="shared" si="99"/>
        <v>39.297999999999981</v>
      </c>
      <c r="N200" s="251">
        <f t="shared" si="99"/>
        <v>43.788999999999994</v>
      </c>
      <c r="O200" s="251">
        <f t="shared" si="99"/>
        <v>46.86399999999999</v>
      </c>
      <c r="P200" s="251">
        <f t="shared" si="99"/>
        <v>3.6040000000000134</v>
      </c>
      <c r="Q200" s="251">
        <f t="shared" si="99"/>
        <v>51.134999999999991</v>
      </c>
      <c r="R200" s="251">
        <f t="shared" si="99"/>
        <v>73.808000000000007</v>
      </c>
      <c r="S200" s="251">
        <f t="shared" si="99"/>
        <v>19.984000000000023</v>
      </c>
      <c r="T200" s="251">
        <f t="shared" si="99"/>
        <v>59.503999999999991</v>
      </c>
      <c r="U200" s="251">
        <f t="shared" si="99"/>
        <v>51.153999999999989</v>
      </c>
      <c r="V200" s="251">
        <f t="shared" si="99"/>
        <v>58.092000000000027</v>
      </c>
      <c r="W200" s="251">
        <f t="shared" si="99"/>
        <v>55.744999999999976</v>
      </c>
      <c r="X200" s="251">
        <f t="shared" si="99"/>
        <v>46.363000000000007</v>
      </c>
      <c r="Y200" s="251">
        <f t="shared" si="99"/>
        <v>24.510000000000005</v>
      </c>
      <c r="Z200" s="251">
        <f t="shared" si="99"/>
        <v>43.825000000000024</v>
      </c>
      <c r="AA200" s="251">
        <f t="shared" si="96"/>
        <v>28.984999999999999</v>
      </c>
      <c r="AB200" s="251">
        <f t="shared" si="96"/>
        <v>37.141999999999982</v>
      </c>
      <c r="AC200" s="251">
        <f t="shared" si="96"/>
        <v>22.313000000000002</v>
      </c>
      <c r="AD200" s="251">
        <f>AD215+AD120+AD171-AD184-AD216</f>
        <v>5.5999999999999943</v>
      </c>
      <c r="AE200" s="251">
        <f>AE215+AE120+AE171-AE184-AE216</f>
        <v>44.001000000000005</v>
      </c>
      <c r="AF200" s="253">
        <f t="shared" si="98"/>
        <v>13.512715433485283</v>
      </c>
      <c r="AG200" s="253">
        <f t="shared" si="97"/>
        <v>46.115731354073176</v>
      </c>
    </row>
    <row r="201" spans="1:40">
      <c r="A201" s="240" t="s">
        <v>240</v>
      </c>
      <c r="B201" s="251">
        <f t="shared" si="99"/>
        <v>26.035000000000004</v>
      </c>
      <c r="C201" s="251">
        <f t="shared" si="99"/>
        <v>34.02800000000002</v>
      </c>
      <c r="D201" s="251">
        <f t="shared" si="99"/>
        <v>8.5050000000000239</v>
      </c>
      <c r="E201" s="251">
        <f t="shared" si="99"/>
        <v>22.319999999999965</v>
      </c>
      <c r="F201" s="251">
        <f t="shared" si="99"/>
        <v>32.704000000000008</v>
      </c>
      <c r="G201" s="251">
        <f t="shared" si="99"/>
        <v>26.839999999999975</v>
      </c>
      <c r="H201" s="251">
        <f t="shared" si="99"/>
        <v>18.747000000000057</v>
      </c>
      <c r="I201" s="251">
        <f t="shared" si="99"/>
        <v>12.011999999999986</v>
      </c>
      <c r="J201" s="251">
        <f t="shared" si="99"/>
        <v>22.624999999999986</v>
      </c>
      <c r="K201" s="251">
        <f t="shared" si="99"/>
        <v>10.155000000000001</v>
      </c>
      <c r="L201" s="251">
        <f t="shared" si="99"/>
        <v>27.188999999999993</v>
      </c>
      <c r="M201" s="251">
        <f t="shared" si="99"/>
        <v>10.298000000000016</v>
      </c>
      <c r="N201" s="251">
        <f t="shared" si="99"/>
        <v>22.551000000000002</v>
      </c>
      <c r="O201" s="251">
        <f t="shared" si="99"/>
        <v>30.515999999999998</v>
      </c>
      <c r="P201" s="251">
        <f t="shared" si="99"/>
        <v>-11.927000000000007</v>
      </c>
      <c r="Q201" s="251">
        <f t="shared" si="99"/>
        <v>13.641000000000005</v>
      </c>
      <c r="R201" s="251">
        <f t="shared" si="99"/>
        <v>44.290999999999997</v>
      </c>
      <c r="S201" s="251">
        <f t="shared" si="99"/>
        <v>39.307000000000002</v>
      </c>
      <c r="T201" s="251">
        <f t="shared" si="99"/>
        <v>73.563000000000002</v>
      </c>
      <c r="U201" s="251">
        <f t="shared" si="99"/>
        <v>62.844999999999999</v>
      </c>
      <c r="V201" s="251">
        <f t="shared" si="99"/>
        <v>46.937999999999988</v>
      </c>
      <c r="W201" s="251">
        <f t="shared" si="99"/>
        <v>3.8089999999999975</v>
      </c>
      <c r="X201" s="251">
        <f t="shared" si="99"/>
        <v>44.766000000000005</v>
      </c>
      <c r="Y201" s="251">
        <f t="shared" si="99"/>
        <v>21.308</v>
      </c>
      <c r="Z201" s="251">
        <f t="shared" si="99"/>
        <v>25.353999999999989</v>
      </c>
      <c r="AA201" s="251">
        <f t="shared" si="96"/>
        <v>34.673999999999992</v>
      </c>
      <c r="AB201" s="251">
        <f t="shared" si="96"/>
        <v>37.305999999999997</v>
      </c>
      <c r="AC201" s="251">
        <f t="shared" si="96"/>
        <v>41.077999999999989</v>
      </c>
      <c r="AD201" s="251">
        <f>AD216+AD121+AD169-AD185-AD217</f>
        <v>3.6960000000000122</v>
      </c>
      <c r="AE201" s="251">
        <f>AE216+AE121+AE169-AE185-AE217</f>
        <v>10.775000000000006</v>
      </c>
      <c r="AF201" s="253">
        <f t="shared" si="98"/>
        <v>13.477727339490031</v>
      </c>
      <c r="AG201" s="253">
        <f t="shared" si="97"/>
        <v>42.363416048659616</v>
      </c>
    </row>
    <row r="202" spans="1:40">
      <c r="A202" s="240" t="s">
        <v>241</v>
      </c>
      <c r="B202" s="251">
        <f t="shared" si="99"/>
        <v>33.705999999999989</v>
      </c>
      <c r="C202" s="251">
        <f t="shared" si="99"/>
        <v>-6.5280000000000058</v>
      </c>
      <c r="D202" s="251">
        <f t="shared" si="99"/>
        <v>38.993000000000009</v>
      </c>
      <c r="E202" s="251">
        <f t="shared" si="99"/>
        <v>1.3079999999999927</v>
      </c>
      <c r="F202" s="251">
        <f t="shared" si="99"/>
        <v>-21.382000000000062</v>
      </c>
      <c r="G202" s="251">
        <f t="shared" si="99"/>
        <v>31.646000000000029</v>
      </c>
      <c r="H202" s="251">
        <f t="shared" si="99"/>
        <v>10.395999999999987</v>
      </c>
      <c r="I202" s="251">
        <f t="shared" si="99"/>
        <v>-3.8430000000000035</v>
      </c>
      <c r="J202" s="251">
        <f t="shared" si="99"/>
        <v>9.2279999999999944</v>
      </c>
      <c r="K202" s="251">
        <f t="shared" si="99"/>
        <v>17.631999999999977</v>
      </c>
      <c r="L202" s="251">
        <f t="shared" si="99"/>
        <v>-5.4850000000000136</v>
      </c>
      <c r="M202" s="251">
        <f t="shared" si="99"/>
        <v>30.590999999999987</v>
      </c>
      <c r="N202" s="251">
        <f t="shared" si="99"/>
        <v>53.870000000000005</v>
      </c>
      <c r="O202" s="251">
        <f t="shared" si="99"/>
        <v>38.247</v>
      </c>
      <c r="P202" s="251">
        <f t="shared" si="99"/>
        <v>38.757999999999996</v>
      </c>
      <c r="Q202" s="251">
        <f t="shared" si="99"/>
        <v>42.273999999999987</v>
      </c>
      <c r="R202" s="251">
        <f t="shared" si="99"/>
        <v>48.593999999999994</v>
      </c>
      <c r="S202" s="251">
        <f t="shared" si="99"/>
        <v>28.186999999999998</v>
      </c>
      <c r="T202" s="251">
        <f t="shared" si="99"/>
        <v>74.798000000000016</v>
      </c>
      <c r="U202" s="251">
        <f t="shared" si="99"/>
        <v>51.13</v>
      </c>
      <c r="V202" s="251">
        <f t="shared" si="99"/>
        <v>51.189000000000007</v>
      </c>
      <c r="W202" s="251">
        <f t="shared" si="99"/>
        <v>55.385999999999989</v>
      </c>
      <c r="X202" s="251">
        <f t="shared" si="99"/>
        <v>44.872999999999998</v>
      </c>
      <c r="Y202" s="251">
        <f t="shared" si="99"/>
        <v>33.516000000000005</v>
      </c>
      <c r="Z202" s="251">
        <f t="shared" si="99"/>
        <v>33.399999999999991</v>
      </c>
      <c r="AA202" s="251">
        <f t="shared" si="96"/>
        <v>18.051000000000002</v>
      </c>
      <c r="AB202" s="251">
        <f t="shared" si="96"/>
        <v>25.278999999999996</v>
      </c>
      <c r="AC202" s="251">
        <f t="shared" si="96"/>
        <v>12.197999999999993</v>
      </c>
      <c r="AD202" s="251">
        <f>AD217+AD122+AD170-AD186-AD218</f>
        <v>33.396000000000001</v>
      </c>
      <c r="AE202" s="251">
        <f>AE217+AE122+AE170-AE186-AE218</f>
        <v>102.589</v>
      </c>
      <c r="AF202" s="253">
        <f t="shared" si="98"/>
        <v>-634.53387853471315</v>
      </c>
      <c r="AG202" s="253">
        <f t="shared" si="97"/>
        <v>47.47374222253994</v>
      </c>
    </row>
    <row r="203" spans="1:40" ht="15.75" thickBot="1">
      <c r="A203" s="240" t="s">
        <v>242</v>
      </c>
      <c r="B203" s="146">
        <f>SUM(B191:B202)</f>
        <v>342.35299999999995</v>
      </c>
      <c r="C203" s="146">
        <f t="shared" ref="C203:AC203" si="100">SUM(C191:C202)</f>
        <v>67.27500000000002</v>
      </c>
      <c r="D203" s="146">
        <f t="shared" si="100"/>
        <v>200.96900000000005</v>
      </c>
      <c r="E203" s="146">
        <f t="shared" si="100"/>
        <v>145.6049999999999</v>
      </c>
      <c r="F203" s="146">
        <f t="shared" si="100"/>
        <v>149.53500000000008</v>
      </c>
      <c r="G203" s="146">
        <f t="shared" si="100"/>
        <v>311.84200000000004</v>
      </c>
      <c r="H203" s="146">
        <f t="shared" si="100"/>
        <v>265.54799999999989</v>
      </c>
      <c r="I203" s="146">
        <f t="shared" si="100"/>
        <v>208.47799999999995</v>
      </c>
      <c r="J203" s="146">
        <f t="shared" si="100"/>
        <v>200.29999999999995</v>
      </c>
      <c r="K203" s="146">
        <f t="shared" si="100"/>
        <v>84.379000000000048</v>
      </c>
      <c r="L203" s="146">
        <f t="shared" si="100"/>
        <v>120.49799999999996</v>
      </c>
      <c r="M203" s="146">
        <f t="shared" si="100"/>
        <v>289.61899999999997</v>
      </c>
      <c r="N203" s="146">
        <f t="shared" si="100"/>
        <v>455.20099999999996</v>
      </c>
      <c r="O203" s="146">
        <f t="shared" si="100"/>
        <v>623.48282999999981</v>
      </c>
      <c r="P203" s="146">
        <f t="shared" si="100"/>
        <v>498.21219000000002</v>
      </c>
      <c r="Q203" s="146">
        <f t="shared" si="100"/>
        <v>708.19200000000001</v>
      </c>
      <c r="R203" s="146">
        <f t="shared" si="100"/>
        <v>704.97700000000009</v>
      </c>
      <c r="S203" s="146">
        <f t="shared" si="100"/>
        <v>585.17000000000007</v>
      </c>
      <c r="T203" s="146">
        <f t="shared" si="100"/>
        <v>829.35500000000002</v>
      </c>
      <c r="U203" s="146">
        <f t="shared" si="100"/>
        <v>839.69500000000005</v>
      </c>
      <c r="V203" s="146">
        <f t="shared" si="100"/>
        <v>736.66599999999994</v>
      </c>
      <c r="W203" s="146">
        <f t="shared" si="100"/>
        <v>591.423</v>
      </c>
      <c r="X203" s="146">
        <f t="shared" si="100"/>
        <v>595.15899999999999</v>
      </c>
      <c r="Y203" s="146">
        <f t="shared" si="100"/>
        <v>409.02600000000007</v>
      </c>
      <c r="Z203" s="146">
        <f>SUM(Z191:Z202)</f>
        <v>476.22099999999995</v>
      </c>
      <c r="AA203" s="146">
        <f t="shared" si="100"/>
        <v>483.66</v>
      </c>
      <c r="AB203" s="146">
        <f t="shared" si="100"/>
        <v>397.97399999999999</v>
      </c>
      <c r="AC203" s="146">
        <f t="shared" si="100"/>
        <v>429.60599999999994</v>
      </c>
      <c r="AD203" s="146">
        <f>SUM(AD191:AD202)</f>
        <v>314.90800000000007</v>
      </c>
      <c r="AE203" s="146">
        <f>SUM(AE191:AE202)</f>
        <v>493.09899999999999</v>
      </c>
      <c r="AF203" s="253">
        <f t="shared" ref="AF203:AG203" si="101">SUM(AF191:AF202)</f>
        <v>661.8859051489909</v>
      </c>
      <c r="AG203" s="253">
        <f t="shared" si="101"/>
        <v>887.75166148550989</v>
      </c>
    </row>
    <row r="204" spans="1:40">
      <c r="A204" s="248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54"/>
      <c r="T204" s="254"/>
      <c r="U204" s="254"/>
      <c r="V204" s="254"/>
      <c r="W204" s="254"/>
      <c r="X204" s="254"/>
      <c r="Y204" s="254"/>
      <c r="Z204" s="254"/>
      <c r="AA204" s="254"/>
      <c r="AB204" s="254"/>
      <c r="AC204" s="254"/>
      <c r="AD204" s="254"/>
      <c r="AE204" s="254"/>
      <c r="AF204" s="254"/>
      <c r="AG204" s="254"/>
    </row>
    <row r="205" spans="1:40" ht="15.75" thickBot="1">
      <c r="A205" s="235" t="s">
        <v>259</v>
      </c>
      <c r="Y205" s="146"/>
      <c r="AN205" s="265" t="s">
        <v>260</v>
      </c>
    </row>
    <row r="206" spans="1:40" ht="15.75" thickBot="1">
      <c r="A206" s="236"/>
      <c r="B206" s="237">
        <f>B$2</f>
        <v>1993</v>
      </c>
      <c r="C206" s="237">
        <f t="shared" ref="C206:AG206" si="102">C$2</f>
        <v>1994</v>
      </c>
      <c r="D206" s="237">
        <f t="shared" si="102"/>
        <v>1995</v>
      </c>
      <c r="E206" s="237">
        <f t="shared" si="102"/>
        <v>1996</v>
      </c>
      <c r="F206" s="237">
        <f t="shared" si="102"/>
        <v>1997</v>
      </c>
      <c r="G206" s="237">
        <f t="shared" si="102"/>
        <v>1998</v>
      </c>
      <c r="H206" s="237">
        <f t="shared" si="102"/>
        <v>1999</v>
      </c>
      <c r="I206" s="237">
        <f t="shared" si="102"/>
        <v>2000</v>
      </c>
      <c r="J206" s="237">
        <f t="shared" si="102"/>
        <v>2001</v>
      </c>
      <c r="K206" s="237">
        <f t="shared" si="102"/>
        <v>2002</v>
      </c>
      <c r="L206" s="237">
        <f t="shared" si="102"/>
        <v>2003</v>
      </c>
      <c r="M206" s="237">
        <f t="shared" si="102"/>
        <v>2004</v>
      </c>
      <c r="N206" s="237">
        <f t="shared" si="102"/>
        <v>2005</v>
      </c>
      <c r="O206" s="237">
        <f t="shared" si="102"/>
        <v>2006</v>
      </c>
      <c r="P206" s="237">
        <f t="shared" si="102"/>
        <v>2007</v>
      </c>
      <c r="Q206" s="237">
        <f t="shared" si="102"/>
        <v>2008</v>
      </c>
      <c r="R206" s="237">
        <f t="shared" si="102"/>
        <v>2009</v>
      </c>
      <c r="S206" s="237">
        <f t="shared" si="102"/>
        <v>2010</v>
      </c>
      <c r="T206" s="237">
        <f t="shared" si="102"/>
        <v>2011</v>
      </c>
      <c r="U206" s="237">
        <f t="shared" si="102"/>
        <v>2012</v>
      </c>
      <c r="V206" s="237">
        <f t="shared" si="102"/>
        <v>2013</v>
      </c>
      <c r="W206" s="237">
        <f t="shared" si="102"/>
        <v>2014</v>
      </c>
      <c r="X206" s="237">
        <f t="shared" si="102"/>
        <v>2015</v>
      </c>
      <c r="Y206" s="237">
        <f t="shared" si="102"/>
        <v>2016</v>
      </c>
      <c r="Z206" s="237">
        <f t="shared" si="102"/>
        <v>2017</v>
      </c>
      <c r="AA206" s="237">
        <f t="shared" si="102"/>
        <v>2018</v>
      </c>
      <c r="AB206" s="237">
        <f t="shared" si="102"/>
        <v>2019</v>
      </c>
      <c r="AC206" s="237">
        <f t="shared" si="102"/>
        <v>2020</v>
      </c>
      <c r="AD206" s="237">
        <f t="shared" si="102"/>
        <v>2021</v>
      </c>
      <c r="AE206" s="237">
        <f t="shared" si="102"/>
        <v>2022</v>
      </c>
      <c r="AF206" s="237">
        <f t="shared" si="102"/>
        <v>2023</v>
      </c>
      <c r="AG206" s="237">
        <f t="shared" si="102"/>
        <v>2024</v>
      </c>
    </row>
    <row r="207" spans="1:40">
      <c r="A207" s="240" t="s">
        <v>231</v>
      </c>
      <c r="B207" s="251">
        <v>55.338000000000001</v>
      </c>
      <c r="C207" s="251">
        <v>33.710999999999999</v>
      </c>
      <c r="D207" s="251">
        <v>83.793000000000006</v>
      </c>
      <c r="E207" s="251">
        <v>42.042000000000002</v>
      </c>
      <c r="F207" s="251">
        <v>71.793999999999997</v>
      </c>
      <c r="G207" s="251">
        <v>76.674999999999997</v>
      </c>
      <c r="H207" s="251">
        <v>71.108000000000004</v>
      </c>
      <c r="I207" s="251">
        <v>101.47499999999999</v>
      </c>
      <c r="J207" s="251">
        <v>100.127</v>
      </c>
      <c r="K207" s="251">
        <v>45.292999999999999</v>
      </c>
      <c r="L207" s="251">
        <v>105.49299999999999</v>
      </c>
      <c r="M207" s="251">
        <v>74.747</v>
      </c>
      <c r="N207" s="251">
        <v>34.524999999999999</v>
      </c>
      <c r="O207" s="251">
        <v>56.536999999999999</v>
      </c>
      <c r="P207" s="251">
        <v>42.186999999999998</v>
      </c>
      <c r="Q207" s="251">
        <v>45.366</v>
      </c>
      <c r="R207" s="251">
        <v>41.927999999999997</v>
      </c>
      <c r="S207" s="251">
        <v>40.326999999999998</v>
      </c>
      <c r="T207" s="251">
        <v>55.807000000000002</v>
      </c>
      <c r="U207" s="251">
        <v>94.350999999999999</v>
      </c>
      <c r="V207" s="251">
        <v>62.290999999999997</v>
      </c>
      <c r="W207" s="251">
        <v>64.081000000000003</v>
      </c>
      <c r="X207" s="251">
        <v>75.596999999999994</v>
      </c>
      <c r="Y207" s="251">
        <v>34.944000000000003</v>
      </c>
      <c r="Z207" s="251">
        <v>54.765000000000001</v>
      </c>
      <c r="AA207" s="251">
        <v>23.948</v>
      </c>
      <c r="AB207" s="251">
        <v>98.058999999999997</v>
      </c>
      <c r="AC207" s="251">
        <v>50.395000000000003</v>
      </c>
      <c r="AD207" s="251">
        <v>38.508000000000003</v>
      </c>
      <c r="AE207" s="251">
        <v>52.618000000000002</v>
      </c>
      <c r="AF207" s="251">
        <v>57.113</v>
      </c>
      <c r="AG207" s="252">
        <f t="shared" ref="AG207" si="103">(AG$218-AF$218)/13+AF218</f>
        <v>60</v>
      </c>
    </row>
    <row r="208" spans="1:40">
      <c r="A208" s="240" t="s">
        <v>232</v>
      </c>
      <c r="B208" s="251">
        <v>102.111</v>
      </c>
      <c r="C208" s="251">
        <v>50.119</v>
      </c>
      <c r="D208" s="251">
        <v>127.589</v>
      </c>
      <c r="E208" s="251">
        <v>88.043999999999997</v>
      </c>
      <c r="F208" s="251">
        <v>142.06100000000001</v>
      </c>
      <c r="G208" s="251">
        <v>123.214</v>
      </c>
      <c r="H208" s="251">
        <v>121.145</v>
      </c>
      <c r="I208" s="251">
        <v>96.179000000000002</v>
      </c>
      <c r="J208" s="251">
        <v>87.870999999999995</v>
      </c>
      <c r="K208" s="251">
        <v>41.271000000000001</v>
      </c>
      <c r="L208" s="251">
        <v>98.959000000000003</v>
      </c>
      <c r="M208" s="251">
        <v>76.289000000000001</v>
      </c>
      <c r="N208" s="251">
        <v>27.079000000000001</v>
      </c>
      <c r="O208" s="251">
        <v>53.689</v>
      </c>
      <c r="P208" s="251">
        <v>38.710999999999999</v>
      </c>
      <c r="Q208" s="251">
        <v>67.918000000000006</v>
      </c>
      <c r="R208" s="251">
        <v>68.450999999999993</v>
      </c>
      <c r="S208" s="251">
        <v>51.643999999999998</v>
      </c>
      <c r="T208" s="251">
        <v>75.224000000000004</v>
      </c>
      <c r="U208" s="251">
        <v>130.20699999999999</v>
      </c>
      <c r="V208" s="251">
        <v>72.126999999999995</v>
      </c>
      <c r="W208" s="251">
        <v>85.935000000000002</v>
      </c>
      <c r="X208" s="251">
        <v>79.876999999999995</v>
      </c>
      <c r="Y208" s="251">
        <v>34.212000000000003</v>
      </c>
      <c r="Z208" s="251">
        <v>53.896000000000001</v>
      </c>
      <c r="AA208" s="251">
        <v>23.477</v>
      </c>
      <c r="AB208" s="251">
        <v>84.366</v>
      </c>
      <c r="AC208" s="251">
        <v>83.501000000000005</v>
      </c>
      <c r="AD208" s="251">
        <v>55.892000000000003</v>
      </c>
      <c r="AE208" s="251">
        <v>54.209000000000003</v>
      </c>
      <c r="AF208" s="251">
        <v>51.505000000000003</v>
      </c>
      <c r="AG208" s="252">
        <f t="shared" ref="AF208:AG217" si="104">(AG$218-AF$218)/13+AG207</f>
        <v>60</v>
      </c>
    </row>
    <row r="209" spans="1:33">
      <c r="A209" s="240" t="s">
        <v>233</v>
      </c>
      <c r="B209" s="251">
        <v>118.038</v>
      </c>
      <c r="C209" s="251">
        <v>117.35599999999999</v>
      </c>
      <c r="D209" s="251">
        <v>168.435</v>
      </c>
      <c r="E209" s="251">
        <v>185.26900000000001</v>
      </c>
      <c r="F209" s="251">
        <v>181.386</v>
      </c>
      <c r="G209" s="251">
        <v>240.34800000000001</v>
      </c>
      <c r="H209" s="251">
        <v>211.303</v>
      </c>
      <c r="I209" s="251">
        <v>148.958</v>
      </c>
      <c r="J209" s="251">
        <v>134.41200000000001</v>
      </c>
      <c r="K209" s="251">
        <v>94.363</v>
      </c>
      <c r="L209" s="251">
        <v>105.56699999999999</v>
      </c>
      <c r="M209" s="251">
        <v>100.889</v>
      </c>
      <c r="N209" s="251">
        <v>122.029</v>
      </c>
      <c r="O209" s="251">
        <v>128.029</v>
      </c>
      <c r="P209" s="251">
        <v>132.797</v>
      </c>
      <c r="Q209" s="251">
        <v>213.28200000000001</v>
      </c>
      <c r="R209" s="251">
        <v>137.94900000000001</v>
      </c>
      <c r="S209" s="251">
        <v>127.2</v>
      </c>
      <c r="T209" s="251">
        <v>163.87100000000001</v>
      </c>
      <c r="U209" s="251">
        <v>188.17500000000001</v>
      </c>
      <c r="V209" s="251">
        <v>116.605</v>
      </c>
      <c r="W209" s="251">
        <v>159.25</v>
      </c>
      <c r="X209" s="251">
        <v>155.047</v>
      </c>
      <c r="Y209" s="251">
        <v>98.620999999999995</v>
      </c>
      <c r="Z209" s="251">
        <v>98.947000000000003</v>
      </c>
      <c r="AA209" s="251">
        <v>65.102999999999994</v>
      </c>
      <c r="AB209" s="251">
        <v>126.85</v>
      </c>
      <c r="AC209" s="251">
        <v>97.445999999999998</v>
      </c>
      <c r="AD209" s="251">
        <v>108.062</v>
      </c>
      <c r="AE209" s="251">
        <v>108.619</v>
      </c>
      <c r="AF209" s="251">
        <v>62.457000000000001</v>
      </c>
      <c r="AG209" s="252">
        <f t="shared" si="104"/>
        <v>60</v>
      </c>
    </row>
    <row r="210" spans="1:33">
      <c r="A210" s="240" t="s">
        <v>234</v>
      </c>
      <c r="B210" s="251">
        <v>118.502</v>
      </c>
      <c r="C210" s="251">
        <v>105.303</v>
      </c>
      <c r="D210" s="251">
        <v>179.21700000000001</v>
      </c>
      <c r="E210" s="251">
        <v>182.501</v>
      </c>
      <c r="F210" s="251">
        <v>163.61000000000001</v>
      </c>
      <c r="G210" s="251">
        <v>229.15899999999999</v>
      </c>
      <c r="H210" s="251">
        <v>161.256</v>
      </c>
      <c r="I210" s="251">
        <v>137.98400000000001</v>
      </c>
      <c r="J210" s="251">
        <v>156.60300000000001</v>
      </c>
      <c r="K210" s="251">
        <v>80.099999999999994</v>
      </c>
      <c r="L210" s="251">
        <v>73.602999999999994</v>
      </c>
      <c r="M210" s="251">
        <v>87.009</v>
      </c>
      <c r="N210" s="251">
        <v>108.399</v>
      </c>
      <c r="O210" s="251">
        <v>139.852</v>
      </c>
      <c r="P210" s="251">
        <v>114.11</v>
      </c>
      <c r="Q210" s="251">
        <v>203.46600000000001</v>
      </c>
      <c r="R210" s="251">
        <v>104.31</v>
      </c>
      <c r="S210" s="251">
        <v>152.16200000000001</v>
      </c>
      <c r="T210" s="251">
        <v>179.42</v>
      </c>
      <c r="U210" s="251">
        <v>199.74600000000001</v>
      </c>
      <c r="V210" s="251">
        <v>121.705</v>
      </c>
      <c r="W210" s="251">
        <v>157.452</v>
      </c>
      <c r="X210" s="251">
        <v>141.864</v>
      </c>
      <c r="Y210" s="251">
        <v>131.57300000000001</v>
      </c>
      <c r="Z210" s="251">
        <v>101.959</v>
      </c>
      <c r="AA210" s="251">
        <v>69.665000000000006</v>
      </c>
      <c r="AB210" s="251">
        <v>135.71799999999999</v>
      </c>
      <c r="AC210" s="251">
        <v>97.462999999999994</v>
      </c>
      <c r="AD210" s="251">
        <v>122.321</v>
      </c>
      <c r="AE210" s="251">
        <v>110.711</v>
      </c>
      <c r="AF210" s="251">
        <v>96.787000000000006</v>
      </c>
      <c r="AG210" s="252">
        <f t="shared" si="104"/>
        <v>60</v>
      </c>
    </row>
    <row r="211" spans="1:33">
      <c r="A211" s="240" t="s">
        <v>46</v>
      </c>
      <c r="B211" s="251">
        <v>62.679000000000002</v>
      </c>
      <c r="C211" s="251">
        <v>126.76900000000001</v>
      </c>
      <c r="D211" s="251">
        <v>119.89700000000001</v>
      </c>
      <c r="E211" s="251">
        <v>153.209</v>
      </c>
      <c r="F211" s="251">
        <v>141.114</v>
      </c>
      <c r="G211" s="251">
        <v>155.63399999999999</v>
      </c>
      <c r="H211" s="251">
        <v>126.029</v>
      </c>
      <c r="I211" s="251">
        <v>130.41200000000001</v>
      </c>
      <c r="J211" s="251">
        <v>71.834999999999994</v>
      </c>
      <c r="K211" s="251">
        <v>79.995999999999995</v>
      </c>
      <c r="L211" s="251">
        <v>64.843000000000004</v>
      </c>
      <c r="M211" s="251">
        <v>42.899000000000001</v>
      </c>
      <c r="N211" s="251">
        <v>80.460999999999999</v>
      </c>
      <c r="O211" s="251">
        <v>92.123999999999995</v>
      </c>
      <c r="P211" s="251">
        <v>70.311000000000007</v>
      </c>
      <c r="Q211" s="251">
        <v>154.226</v>
      </c>
      <c r="R211" s="251">
        <v>105.93300000000001</v>
      </c>
      <c r="S211" s="251">
        <v>146.37799999999999</v>
      </c>
      <c r="T211" s="251">
        <v>132.17099999999999</v>
      </c>
      <c r="U211" s="251">
        <v>123.849</v>
      </c>
      <c r="V211" s="251">
        <v>104.392</v>
      </c>
      <c r="W211" s="251">
        <v>112.702</v>
      </c>
      <c r="X211" s="251">
        <v>90.611000000000004</v>
      </c>
      <c r="Y211" s="251">
        <v>73.126000000000005</v>
      </c>
      <c r="Z211" s="251">
        <v>96.912999999999997</v>
      </c>
      <c r="AA211" s="251">
        <v>92.132999999999996</v>
      </c>
      <c r="AB211" s="251">
        <v>107.08799999999999</v>
      </c>
      <c r="AC211" s="251">
        <v>75.900000000000006</v>
      </c>
      <c r="AD211" s="251">
        <v>82.44</v>
      </c>
      <c r="AE211" s="251">
        <v>118.376</v>
      </c>
      <c r="AF211" s="251">
        <v>154.94399999999999</v>
      </c>
      <c r="AG211" s="252">
        <f t="shared" si="104"/>
        <v>60</v>
      </c>
    </row>
    <row r="212" spans="1:33">
      <c r="A212" s="240" t="s">
        <v>235</v>
      </c>
      <c r="B212" s="251">
        <v>69.296000000000006</v>
      </c>
      <c r="C212" s="251">
        <v>67.811999999999998</v>
      </c>
      <c r="D212" s="251">
        <v>124.812</v>
      </c>
      <c r="E212" s="251">
        <v>138.15100000000001</v>
      </c>
      <c r="F212" s="251">
        <v>177.43299999999999</v>
      </c>
      <c r="G212" s="251">
        <v>153.40100000000001</v>
      </c>
      <c r="H212" s="251">
        <v>115.517</v>
      </c>
      <c r="I212" s="251">
        <v>125.407</v>
      </c>
      <c r="J212" s="251">
        <v>50.347999999999999</v>
      </c>
      <c r="K212" s="251">
        <v>82.98</v>
      </c>
      <c r="L212" s="251">
        <v>73.942999999999998</v>
      </c>
      <c r="M212" s="251">
        <v>27.966000000000001</v>
      </c>
      <c r="N212" s="251">
        <v>62.231999999999999</v>
      </c>
      <c r="O212" s="251">
        <v>75.293999999999997</v>
      </c>
      <c r="P212" s="251">
        <v>64.394000000000005</v>
      </c>
      <c r="Q212" s="251">
        <v>171.96799999999999</v>
      </c>
      <c r="R212" s="251">
        <v>83.41</v>
      </c>
      <c r="S212" s="251">
        <v>100.792</v>
      </c>
      <c r="T212" s="251">
        <v>154.90199999999999</v>
      </c>
      <c r="U212" s="251">
        <v>98.73</v>
      </c>
      <c r="V212" s="251">
        <v>94.015000000000001</v>
      </c>
      <c r="W212" s="251">
        <v>110.238</v>
      </c>
      <c r="X212" s="251">
        <v>42.137999999999998</v>
      </c>
      <c r="Y212" s="251">
        <v>74.739999999999995</v>
      </c>
      <c r="Z212" s="251">
        <v>71.245000000000005</v>
      </c>
      <c r="AA212" s="251">
        <v>102.84</v>
      </c>
      <c r="AB212" s="251">
        <v>61.820999999999998</v>
      </c>
      <c r="AC212" s="251">
        <v>55.412999999999997</v>
      </c>
      <c r="AD212" s="251">
        <v>84.432000000000002</v>
      </c>
      <c r="AE212" s="251">
        <v>195.50899999999999</v>
      </c>
      <c r="AF212" s="251">
        <v>131.88900000000001</v>
      </c>
      <c r="AG212" s="252">
        <f t="shared" si="104"/>
        <v>60</v>
      </c>
    </row>
    <row r="213" spans="1:33">
      <c r="A213" s="240" t="s">
        <v>236</v>
      </c>
      <c r="B213" s="251">
        <v>50.814999999999998</v>
      </c>
      <c r="C213" s="251">
        <v>89.783000000000001</v>
      </c>
      <c r="D213" s="251">
        <v>123.782</v>
      </c>
      <c r="E213" s="251">
        <v>112.197</v>
      </c>
      <c r="F213" s="251">
        <v>150.02099999999999</v>
      </c>
      <c r="G213" s="251">
        <v>162.47499999999999</v>
      </c>
      <c r="H213" s="251">
        <v>99.323999999999998</v>
      </c>
      <c r="I213" s="251">
        <v>95.206000000000003</v>
      </c>
      <c r="J213" s="251">
        <v>44.116</v>
      </c>
      <c r="K213" s="251">
        <v>84.180999999999997</v>
      </c>
      <c r="L213" s="251">
        <v>66.022999999999996</v>
      </c>
      <c r="M213" s="251">
        <v>57.442</v>
      </c>
      <c r="N213" s="251">
        <v>54.725999999999999</v>
      </c>
      <c r="O213" s="251">
        <v>76.084000000000003</v>
      </c>
      <c r="P213" s="251">
        <v>56.655000000000001</v>
      </c>
      <c r="Q213" s="251">
        <v>134.92699999999999</v>
      </c>
      <c r="R213" s="251">
        <v>55.947000000000003</v>
      </c>
      <c r="S213" s="251">
        <v>73.292000000000002</v>
      </c>
      <c r="T213" s="251">
        <v>138.053</v>
      </c>
      <c r="U213" s="251">
        <v>81.099000000000004</v>
      </c>
      <c r="V213" s="251">
        <v>66.662999999999997</v>
      </c>
      <c r="W213" s="251">
        <v>102.75700000000001</v>
      </c>
      <c r="X213" s="251">
        <v>58.902999999999999</v>
      </c>
      <c r="Y213" s="251">
        <v>40.716000000000001</v>
      </c>
      <c r="Z213" s="251">
        <v>115.45099999999999</v>
      </c>
      <c r="AA213" s="251">
        <v>67.900999999999996</v>
      </c>
      <c r="AB213" s="251">
        <v>93.582999999999998</v>
      </c>
      <c r="AC213" s="251">
        <v>45.603000000000002</v>
      </c>
      <c r="AD213" s="251">
        <v>138.02699999999999</v>
      </c>
      <c r="AE213" s="251">
        <v>164.423</v>
      </c>
      <c r="AF213" s="251">
        <v>103.569</v>
      </c>
      <c r="AG213" s="252">
        <f t="shared" si="104"/>
        <v>60</v>
      </c>
    </row>
    <row r="214" spans="1:33">
      <c r="A214" s="240" t="s">
        <v>237</v>
      </c>
      <c r="B214" s="251">
        <v>46.177999999999997</v>
      </c>
      <c r="C214" s="251">
        <v>113.16500000000001</v>
      </c>
      <c r="D214" s="251">
        <v>105.73099999999999</v>
      </c>
      <c r="E214" s="251">
        <v>120.282</v>
      </c>
      <c r="F214" s="251">
        <v>162.07499999999999</v>
      </c>
      <c r="G214" s="251">
        <v>130.22399999999999</v>
      </c>
      <c r="H214" s="251">
        <v>122.842</v>
      </c>
      <c r="I214" s="251">
        <v>105.991</v>
      </c>
      <c r="J214" s="251">
        <v>60.911999999999999</v>
      </c>
      <c r="K214" s="251">
        <v>77.180999999999997</v>
      </c>
      <c r="L214" s="251">
        <v>64.674000000000007</v>
      </c>
      <c r="M214" s="251">
        <v>82.099000000000004</v>
      </c>
      <c r="N214" s="251">
        <v>68.298000000000002</v>
      </c>
      <c r="O214" s="251">
        <v>75.424999999999997</v>
      </c>
      <c r="P214" s="251">
        <v>63.540999999999997</v>
      </c>
      <c r="Q214" s="251">
        <v>131.03299999999999</v>
      </c>
      <c r="R214" s="251">
        <v>53.055</v>
      </c>
      <c r="S214" s="251">
        <v>66.680999999999997</v>
      </c>
      <c r="T214" s="251">
        <v>149.61799999999999</v>
      </c>
      <c r="U214" s="251">
        <v>59.814</v>
      </c>
      <c r="V214" s="251">
        <v>31.303000000000001</v>
      </c>
      <c r="W214" s="251">
        <v>70.942999999999998</v>
      </c>
      <c r="X214" s="251">
        <v>55.064</v>
      </c>
      <c r="Y214" s="251">
        <v>23.123000000000001</v>
      </c>
      <c r="Z214" s="251">
        <v>77.584999999999994</v>
      </c>
      <c r="AA214" s="251">
        <v>41.577199999999998</v>
      </c>
      <c r="AB214" s="251">
        <v>90.188000000000002</v>
      </c>
      <c r="AC214" s="251">
        <v>69.646000000000001</v>
      </c>
      <c r="AD214" s="251">
        <v>57.456000000000003</v>
      </c>
      <c r="AE214" s="251">
        <v>132.08000000000001</v>
      </c>
      <c r="AF214" s="251">
        <v>159.429</v>
      </c>
      <c r="AG214" s="252">
        <f t="shared" si="104"/>
        <v>60</v>
      </c>
    </row>
    <row r="215" spans="1:33">
      <c r="A215" s="240" t="s">
        <v>238</v>
      </c>
      <c r="B215" s="251">
        <v>68.352000000000004</v>
      </c>
      <c r="C215" s="251">
        <v>104.291</v>
      </c>
      <c r="D215" s="251">
        <v>78.728999999999999</v>
      </c>
      <c r="E215" s="251">
        <v>137.55799999999999</v>
      </c>
      <c r="F215" s="251">
        <v>191.697</v>
      </c>
      <c r="G215" s="251">
        <v>139.976</v>
      </c>
      <c r="H215" s="251">
        <v>109.349</v>
      </c>
      <c r="I215" s="251">
        <v>95.843999999999994</v>
      </c>
      <c r="J215" s="251">
        <v>94.340999999999994</v>
      </c>
      <c r="K215" s="251">
        <v>78.257999999999996</v>
      </c>
      <c r="L215" s="251">
        <v>50.792999999999999</v>
      </c>
      <c r="M215" s="251">
        <v>54.747999999999998</v>
      </c>
      <c r="N215" s="251">
        <v>84.941999999999993</v>
      </c>
      <c r="O215" s="251">
        <v>45.143000000000001</v>
      </c>
      <c r="P215" s="251">
        <v>48.524000000000001</v>
      </c>
      <c r="Q215" s="251">
        <v>128.56100000000001</v>
      </c>
      <c r="R215" s="251">
        <v>75.132000000000005</v>
      </c>
      <c r="S215" s="251">
        <v>53.645000000000003</v>
      </c>
      <c r="T215" s="251">
        <v>137.32599999999999</v>
      </c>
      <c r="U215" s="251">
        <v>47.9</v>
      </c>
      <c r="V215" s="251">
        <v>43.585999999999999</v>
      </c>
      <c r="W215" s="251">
        <v>46.152000000000001</v>
      </c>
      <c r="X215" s="251">
        <v>44.957000000000001</v>
      </c>
      <c r="Y215" s="251">
        <v>19.207000000000001</v>
      </c>
      <c r="Z215" s="251">
        <v>59.878</v>
      </c>
      <c r="AA215" s="251">
        <v>67.566999999999993</v>
      </c>
      <c r="AB215" s="251">
        <v>94.33</v>
      </c>
      <c r="AC215" s="251">
        <v>20.236000000000001</v>
      </c>
      <c r="AD215" s="251">
        <v>61.039000000000001</v>
      </c>
      <c r="AE215" s="251">
        <v>108.961</v>
      </c>
      <c r="AF215" s="252">
        <f t="shared" si="104"/>
        <v>159.53446153846153</v>
      </c>
      <c r="AG215" s="252">
        <f t="shared" si="104"/>
        <v>60</v>
      </c>
    </row>
    <row r="216" spans="1:33">
      <c r="A216" s="240" t="s">
        <v>239</v>
      </c>
      <c r="B216" s="251">
        <v>53.396000000000001</v>
      </c>
      <c r="C216" s="251">
        <v>115.364</v>
      </c>
      <c r="D216" s="251">
        <v>135.23500000000001</v>
      </c>
      <c r="E216" s="251">
        <v>153.184</v>
      </c>
      <c r="F216" s="251">
        <v>188.477</v>
      </c>
      <c r="G216" s="251">
        <v>139.18600000000001</v>
      </c>
      <c r="H216" s="251">
        <v>127.361</v>
      </c>
      <c r="I216" s="251">
        <v>94.393000000000001</v>
      </c>
      <c r="J216" s="251">
        <v>75.828999999999994</v>
      </c>
      <c r="K216" s="251">
        <v>76.849000000000004</v>
      </c>
      <c r="L216" s="251">
        <v>61.107999999999997</v>
      </c>
      <c r="M216" s="251">
        <v>45.261000000000003</v>
      </c>
      <c r="N216" s="251">
        <v>50.655999999999999</v>
      </c>
      <c r="O216" s="251">
        <v>77.680999999999997</v>
      </c>
      <c r="P216" s="251">
        <v>66.438999999999993</v>
      </c>
      <c r="Q216" s="251">
        <v>83.766999999999996</v>
      </c>
      <c r="R216" s="251">
        <v>79.456000000000003</v>
      </c>
      <c r="S216" s="251">
        <v>76.884</v>
      </c>
      <c r="T216" s="251">
        <v>118.36799999999999</v>
      </c>
      <c r="U216" s="251">
        <v>60.005000000000003</v>
      </c>
      <c r="V216" s="251">
        <v>53.686999999999998</v>
      </c>
      <c r="W216" s="251">
        <v>73.506</v>
      </c>
      <c r="X216" s="251">
        <v>37.145000000000003</v>
      </c>
      <c r="Y216" s="251">
        <v>29.524000000000001</v>
      </c>
      <c r="Z216" s="251">
        <v>43.96</v>
      </c>
      <c r="AA216" s="251">
        <v>71.198999999999998</v>
      </c>
      <c r="AB216" s="251">
        <v>77.846999999999994</v>
      </c>
      <c r="AC216" s="251">
        <v>32.948999999999998</v>
      </c>
      <c r="AD216" s="251">
        <v>56.636000000000003</v>
      </c>
      <c r="AE216" s="251">
        <v>66.546999999999997</v>
      </c>
      <c r="AF216" s="252">
        <f t="shared" si="104"/>
        <v>159.63992307692305</v>
      </c>
      <c r="AG216" s="252">
        <f t="shared" si="104"/>
        <v>60</v>
      </c>
    </row>
    <row r="217" spans="1:33">
      <c r="A217" s="240" t="s">
        <v>240</v>
      </c>
      <c r="B217" s="251">
        <v>60.055</v>
      </c>
      <c r="C217" s="251">
        <v>106.411</v>
      </c>
      <c r="D217" s="251">
        <v>89.891999999999996</v>
      </c>
      <c r="E217" s="251">
        <v>150.24799999999999</v>
      </c>
      <c r="F217" s="251">
        <v>181.07</v>
      </c>
      <c r="G217" s="251">
        <v>156.52600000000001</v>
      </c>
      <c r="H217" s="251">
        <v>99.543999999999997</v>
      </c>
      <c r="I217" s="251">
        <v>112.005</v>
      </c>
      <c r="J217" s="251">
        <v>88.561000000000007</v>
      </c>
      <c r="K217" s="251">
        <v>88.262</v>
      </c>
      <c r="L217" s="251">
        <v>70.558999999999997</v>
      </c>
      <c r="M217" s="251">
        <v>86.710999999999999</v>
      </c>
      <c r="N217" s="251">
        <v>65.418000000000006</v>
      </c>
      <c r="O217" s="251">
        <v>58.145000000000003</v>
      </c>
      <c r="P217" s="251">
        <v>79.665000000000006</v>
      </c>
      <c r="Q217" s="251">
        <v>66.248000000000005</v>
      </c>
      <c r="R217" s="251">
        <v>89.375</v>
      </c>
      <c r="S217" s="251">
        <v>52.436999999999998</v>
      </c>
      <c r="T217" s="251">
        <v>115.509</v>
      </c>
      <c r="U217" s="251">
        <v>61.917000000000002</v>
      </c>
      <c r="V217" s="251">
        <v>35.33</v>
      </c>
      <c r="W217" s="251">
        <v>81.858999999999995</v>
      </c>
      <c r="X217" s="251">
        <v>27.858000000000001</v>
      </c>
      <c r="Y217" s="251">
        <v>33.868000000000002</v>
      </c>
      <c r="Z217" s="251">
        <v>27.096</v>
      </c>
      <c r="AA217" s="251">
        <v>80.498000000000005</v>
      </c>
      <c r="AB217" s="251">
        <v>42.536000000000001</v>
      </c>
      <c r="AC217" s="251">
        <v>29.09</v>
      </c>
      <c r="AD217" s="251">
        <v>39.435000000000002</v>
      </c>
      <c r="AE217" s="251">
        <v>78.236999999999995</v>
      </c>
      <c r="AF217" s="252">
        <f t="shared" si="104"/>
        <v>159.74538461538458</v>
      </c>
      <c r="AG217" s="252">
        <f t="shared" si="104"/>
        <v>60</v>
      </c>
    </row>
    <row r="218" spans="1:33" ht="15.75" thickBot="1">
      <c r="A218" s="240" t="s">
        <v>241</v>
      </c>
      <c r="B218" s="266">
        <v>26.573</v>
      </c>
      <c r="C218" s="266">
        <v>64.563000000000002</v>
      </c>
      <c r="D218" s="266">
        <v>97.331000000000003</v>
      </c>
      <c r="E218" s="266">
        <v>139.13900000000001</v>
      </c>
      <c r="F218" s="266">
        <v>137.459</v>
      </c>
      <c r="G218" s="266">
        <v>59.744</v>
      </c>
      <c r="H218" s="266">
        <v>57.28</v>
      </c>
      <c r="I218" s="266">
        <v>127.554</v>
      </c>
      <c r="J218" s="266">
        <v>79.83</v>
      </c>
      <c r="K218" s="266">
        <v>64.137</v>
      </c>
      <c r="L218" s="266">
        <v>84.58</v>
      </c>
      <c r="M218" s="266">
        <v>51.530999999999999</v>
      </c>
      <c r="N218" s="266">
        <v>53.206000000000003</v>
      </c>
      <c r="O218" s="266">
        <v>52.944000000000003</v>
      </c>
      <c r="P218" s="266">
        <v>32.125</v>
      </c>
      <c r="Q218" s="266">
        <v>80.492000000000004</v>
      </c>
      <c r="R218" s="266">
        <v>58.34</v>
      </c>
      <c r="S218" s="266">
        <v>80.058000000000007</v>
      </c>
      <c r="T218" s="266">
        <v>104.913</v>
      </c>
      <c r="U218" s="266">
        <v>52.298999999999999</v>
      </c>
      <c r="V218" s="266">
        <v>15.433999999999999</v>
      </c>
      <c r="W218" s="266">
        <v>53.494999999999997</v>
      </c>
      <c r="X218" s="266">
        <v>33.505000000000003</v>
      </c>
      <c r="Y218" s="266">
        <v>29.678999999999998</v>
      </c>
      <c r="Z218" s="267">
        <v>29.071000000000002</v>
      </c>
      <c r="AA218" s="267">
        <v>72.040999999999997</v>
      </c>
      <c r="AB218" s="267">
        <v>44.837000000000003</v>
      </c>
      <c r="AC218" s="267">
        <v>19.984000000000002</v>
      </c>
      <c r="AD218" s="267">
        <v>36.497</v>
      </c>
      <c r="AE218" s="267">
        <v>58.628999999999998</v>
      </c>
      <c r="AF218" s="268">
        <f>AF29</f>
        <v>60</v>
      </c>
      <c r="AG218" s="268">
        <f>AG29</f>
        <v>60</v>
      </c>
    </row>
    <row r="219" spans="1:33">
      <c r="A219" s="248"/>
      <c r="B219" s="248"/>
      <c r="C219" s="248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  <c r="AA219" s="248"/>
      <c r="AB219" s="248"/>
      <c r="AC219" s="248"/>
      <c r="AD219" s="248"/>
      <c r="AE219" s="248"/>
      <c r="AF219" s="248"/>
      <c r="AG219" s="248"/>
    </row>
    <row r="220" spans="1:33" ht="15.75" thickBot="1">
      <c r="A220" s="235" t="s">
        <v>261</v>
      </c>
    </row>
    <row r="221" spans="1:33" ht="15.75" thickBot="1">
      <c r="A221" s="236"/>
      <c r="B221" s="237">
        <f>B$2</f>
        <v>1993</v>
      </c>
      <c r="C221" s="237">
        <f t="shared" ref="C221:AG221" si="105">C$2</f>
        <v>1994</v>
      </c>
      <c r="D221" s="237">
        <f t="shared" si="105"/>
        <v>1995</v>
      </c>
      <c r="E221" s="237">
        <f t="shared" si="105"/>
        <v>1996</v>
      </c>
      <c r="F221" s="237">
        <f t="shared" si="105"/>
        <v>1997</v>
      </c>
      <c r="G221" s="237">
        <f t="shared" si="105"/>
        <v>1998</v>
      </c>
      <c r="H221" s="237">
        <f t="shared" si="105"/>
        <v>1999</v>
      </c>
      <c r="I221" s="237">
        <f t="shared" si="105"/>
        <v>2000</v>
      </c>
      <c r="J221" s="237">
        <f t="shared" si="105"/>
        <v>2001</v>
      </c>
      <c r="K221" s="237">
        <f t="shared" si="105"/>
        <v>2002</v>
      </c>
      <c r="L221" s="237">
        <f t="shared" si="105"/>
        <v>2003</v>
      </c>
      <c r="M221" s="237">
        <f t="shared" si="105"/>
        <v>2004</v>
      </c>
      <c r="N221" s="237">
        <f t="shared" si="105"/>
        <v>2005</v>
      </c>
      <c r="O221" s="237">
        <f t="shared" si="105"/>
        <v>2006</v>
      </c>
      <c r="P221" s="237">
        <f t="shared" si="105"/>
        <v>2007</v>
      </c>
      <c r="Q221" s="237">
        <f t="shared" si="105"/>
        <v>2008</v>
      </c>
      <c r="R221" s="237">
        <f t="shared" si="105"/>
        <v>2009</v>
      </c>
      <c r="S221" s="237">
        <f t="shared" si="105"/>
        <v>2010</v>
      </c>
      <c r="T221" s="237">
        <f t="shared" si="105"/>
        <v>2011</v>
      </c>
      <c r="U221" s="237">
        <f t="shared" si="105"/>
        <v>2012</v>
      </c>
      <c r="V221" s="237">
        <f t="shared" si="105"/>
        <v>2013</v>
      </c>
      <c r="W221" s="237">
        <f t="shared" si="105"/>
        <v>2014</v>
      </c>
      <c r="X221" s="237">
        <f t="shared" si="105"/>
        <v>2015</v>
      </c>
      <c r="Y221" s="237">
        <f t="shared" si="105"/>
        <v>2016</v>
      </c>
      <c r="Z221" s="237">
        <f t="shared" si="105"/>
        <v>2017</v>
      </c>
      <c r="AA221" s="237">
        <f t="shared" si="105"/>
        <v>2018</v>
      </c>
      <c r="AB221" s="237">
        <f t="shared" si="105"/>
        <v>2019</v>
      </c>
      <c r="AC221" s="237">
        <f t="shared" si="105"/>
        <v>2020</v>
      </c>
      <c r="AD221" s="237">
        <f t="shared" si="105"/>
        <v>2021</v>
      </c>
      <c r="AE221" s="237">
        <f t="shared" si="105"/>
        <v>2022</v>
      </c>
      <c r="AF221" s="237">
        <f t="shared" si="105"/>
        <v>2023</v>
      </c>
      <c r="AG221" s="237">
        <f t="shared" si="105"/>
        <v>2024</v>
      </c>
    </row>
    <row r="222" spans="1:33">
      <c r="A222" s="240" t="s">
        <v>231</v>
      </c>
      <c r="AB222">
        <v>165</v>
      </c>
      <c r="AC222">
        <v>135</v>
      </c>
      <c r="AD222">
        <v>160</v>
      </c>
      <c r="AE222">
        <v>486.4</v>
      </c>
    </row>
    <row r="223" spans="1:33">
      <c r="A223" s="240" t="s">
        <v>232</v>
      </c>
      <c r="AB223">
        <v>165</v>
      </c>
      <c r="AC223">
        <v>140</v>
      </c>
      <c r="AD223">
        <v>220</v>
      </c>
      <c r="AE223">
        <v>605.1</v>
      </c>
    </row>
    <row r="224" spans="1:33">
      <c r="A224" s="240" t="s">
        <v>233</v>
      </c>
      <c r="AB224">
        <v>165</v>
      </c>
      <c r="AC224">
        <v>140</v>
      </c>
      <c r="AD224">
        <v>260</v>
      </c>
      <c r="AE224">
        <v>807</v>
      </c>
    </row>
    <row r="225" spans="1:40">
      <c r="A225" s="240" t="s">
        <v>234</v>
      </c>
      <c r="AB225">
        <v>165</v>
      </c>
      <c r="AC225">
        <v>170</v>
      </c>
      <c r="AD225">
        <v>260</v>
      </c>
    </row>
    <row r="226" spans="1:40">
      <c r="A226" s="240" t="s">
        <v>46</v>
      </c>
      <c r="AB226">
        <v>165</v>
      </c>
      <c r="AC226">
        <v>155</v>
      </c>
      <c r="AD226">
        <v>275</v>
      </c>
    </row>
    <row r="227" spans="1:40">
      <c r="A227" s="240" t="s">
        <v>235</v>
      </c>
      <c r="AA227">
        <v>170</v>
      </c>
      <c r="AB227">
        <v>150</v>
      </c>
      <c r="AC227">
        <v>155</v>
      </c>
      <c r="AD227">
        <v>340</v>
      </c>
    </row>
    <row r="228" spans="1:40">
      <c r="A228" s="240" t="s">
        <v>236</v>
      </c>
      <c r="AA228">
        <v>178</v>
      </c>
      <c r="AB228">
        <v>150</v>
      </c>
      <c r="AC228">
        <v>155</v>
      </c>
      <c r="AD228">
        <v>372.6</v>
      </c>
    </row>
    <row r="229" spans="1:40">
      <c r="A229" s="240" t="s">
        <v>237</v>
      </c>
      <c r="AA229">
        <v>170</v>
      </c>
      <c r="AB229">
        <v>135</v>
      </c>
      <c r="AC229">
        <v>155</v>
      </c>
      <c r="AD229">
        <v>355.6</v>
      </c>
    </row>
    <row r="230" spans="1:40">
      <c r="A230" s="240" t="s">
        <v>238</v>
      </c>
      <c r="AA230">
        <v>180</v>
      </c>
      <c r="AB230">
        <v>125</v>
      </c>
      <c r="AC230">
        <v>155</v>
      </c>
      <c r="AD230">
        <v>366.4</v>
      </c>
    </row>
    <row r="231" spans="1:40">
      <c r="A231" s="240" t="s">
        <v>239</v>
      </c>
      <c r="AA231">
        <v>180</v>
      </c>
      <c r="AB231">
        <v>125</v>
      </c>
      <c r="AC231">
        <v>155</v>
      </c>
      <c r="AD231">
        <v>496.9</v>
      </c>
    </row>
    <row r="232" spans="1:40">
      <c r="A232" s="240" t="s">
        <v>240</v>
      </c>
      <c r="AA232">
        <v>180</v>
      </c>
      <c r="AB232">
        <v>125</v>
      </c>
      <c r="AC232">
        <v>200</v>
      </c>
      <c r="AD232">
        <v>495.5</v>
      </c>
    </row>
    <row r="233" spans="1:40">
      <c r="A233" s="240" t="s">
        <v>241</v>
      </c>
      <c r="AA233">
        <v>170</v>
      </c>
      <c r="AB233">
        <v>145</v>
      </c>
      <c r="AC233">
        <v>200</v>
      </c>
      <c r="AD233">
        <v>462.4</v>
      </c>
    </row>
    <row r="234" spans="1:40" ht="15.75" thickBot="1">
      <c r="A234" s="240" t="s">
        <v>255</v>
      </c>
    </row>
    <row r="235" spans="1:40">
      <c r="A235" s="248"/>
      <c r="B235" s="248"/>
      <c r="C235" s="248"/>
      <c r="D235" s="248"/>
      <c r="E235" s="248"/>
      <c r="F235" s="248"/>
      <c r="G235" s="248"/>
      <c r="H235" s="248"/>
      <c r="I235" s="248"/>
      <c r="J235" s="248"/>
      <c r="K235" s="248"/>
      <c r="L235" s="248"/>
      <c r="M235" s="248"/>
      <c r="N235" s="248"/>
      <c r="O235" s="248"/>
      <c r="P235" s="248"/>
      <c r="Q235" s="248"/>
      <c r="R235" s="248"/>
      <c r="S235" s="248"/>
      <c r="T235" s="248"/>
      <c r="U235" s="248"/>
      <c r="V235" s="248"/>
      <c r="W235" s="248"/>
      <c r="X235" s="248"/>
      <c r="Y235" s="248"/>
      <c r="Z235" s="248"/>
      <c r="AA235" s="248"/>
      <c r="AB235" s="248"/>
      <c r="AC235" s="248"/>
      <c r="AD235" s="248"/>
      <c r="AE235" s="248"/>
      <c r="AF235" s="248"/>
      <c r="AG235" s="248"/>
    </row>
    <row r="236" spans="1:40" ht="15.75" thickBot="1">
      <c r="A236" s="235" t="s">
        <v>262</v>
      </c>
    </row>
    <row r="237" spans="1:40" ht="15.75" thickBot="1">
      <c r="A237" s="236"/>
      <c r="B237" s="237">
        <f>B$2</f>
        <v>1993</v>
      </c>
      <c r="C237" s="237">
        <f t="shared" ref="C237:AG237" si="106">C$2</f>
        <v>1994</v>
      </c>
      <c r="D237" s="237">
        <f t="shared" si="106"/>
        <v>1995</v>
      </c>
      <c r="E237" s="237">
        <f t="shared" si="106"/>
        <v>1996</v>
      </c>
      <c r="F237" s="237">
        <f t="shared" si="106"/>
        <v>1997</v>
      </c>
      <c r="G237" s="237">
        <f t="shared" si="106"/>
        <v>1998</v>
      </c>
      <c r="H237" s="237">
        <f t="shared" si="106"/>
        <v>1999</v>
      </c>
      <c r="I237" s="237">
        <f t="shared" si="106"/>
        <v>2000</v>
      </c>
      <c r="J237" s="237">
        <f t="shared" si="106"/>
        <v>2001</v>
      </c>
      <c r="K237" s="237">
        <f t="shared" si="106"/>
        <v>2002</v>
      </c>
      <c r="L237" s="237">
        <f t="shared" si="106"/>
        <v>2003</v>
      </c>
      <c r="M237" s="237">
        <f t="shared" si="106"/>
        <v>2004</v>
      </c>
      <c r="N237" s="237">
        <f t="shared" si="106"/>
        <v>2005</v>
      </c>
      <c r="O237" s="237">
        <f t="shared" si="106"/>
        <v>2006</v>
      </c>
      <c r="P237" s="237">
        <f t="shared" si="106"/>
        <v>2007</v>
      </c>
      <c r="Q237" s="237">
        <f t="shared" si="106"/>
        <v>2008</v>
      </c>
      <c r="R237" s="237">
        <f t="shared" si="106"/>
        <v>2009</v>
      </c>
      <c r="S237" s="237">
        <f t="shared" si="106"/>
        <v>2010</v>
      </c>
      <c r="T237" s="237">
        <f t="shared" si="106"/>
        <v>2011</v>
      </c>
      <c r="U237" s="237">
        <f t="shared" si="106"/>
        <v>2012</v>
      </c>
      <c r="V237" s="237">
        <f t="shared" si="106"/>
        <v>2013</v>
      </c>
      <c r="W237" s="237">
        <f t="shared" si="106"/>
        <v>2014</v>
      </c>
      <c r="X237" s="237">
        <f t="shared" si="106"/>
        <v>2015</v>
      </c>
      <c r="Y237" s="237">
        <f t="shared" si="106"/>
        <v>2016</v>
      </c>
      <c r="Z237" s="237">
        <f t="shared" si="106"/>
        <v>2017</v>
      </c>
      <c r="AA237" s="237">
        <f t="shared" si="106"/>
        <v>2018</v>
      </c>
      <c r="AB237" s="237">
        <f t="shared" si="106"/>
        <v>2019</v>
      </c>
      <c r="AC237" s="237">
        <f t="shared" si="106"/>
        <v>2020</v>
      </c>
      <c r="AD237" s="237">
        <f t="shared" si="106"/>
        <v>2021</v>
      </c>
      <c r="AE237" s="237">
        <f t="shared" si="106"/>
        <v>2022</v>
      </c>
      <c r="AF237" s="237">
        <f t="shared" si="106"/>
        <v>2023</v>
      </c>
      <c r="AG237" s="237">
        <f t="shared" si="106"/>
        <v>2024</v>
      </c>
    </row>
    <row r="238" spans="1:40">
      <c r="A238" s="240" t="s">
        <v>231</v>
      </c>
      <c r="B238" s="251">
        <v>72.709999999999994</v>
      </c>
      <c r="C238" s="251">
        <v>46.286999999999999</v>
      </c>
      <c r="D238" s="251">
        <v>60.665999999999997</v>
      </c>
      <c r="E238" s="251">
        <v>84.799000000000007</v>
      </c>
      <c r="F238" s="251">
        <v>65.825999999999993</v>
      </c>
      <c r="G238" s="251">
        <v>65.052999999999997</v>
      </c>
      <c r="H238" s="251">
        <v>92.185000000000002</v>
      </c>
      <c r="I238" s="251">
        <v>142.785</v>
      </c>
      <c r="J238" s="251">
        <v>80.652000000000001</v>
      </c>
      <c r="K238" s="251">
        <v>42.09</v>
      </c>
      <c r="L238" s="251">
        <v>162.755</v>
      </c>
      <c r="M238" s="251">
        <v>80.757000000000005</v>
      </c>
      <c r="N238" s="251">
        <v>87.771000000000001</v>
      </c>
      <c r="O238" s="251">
        <v>112.3107</v>
      </c>
      <c r="P238" s="251">
        <v>108.378534</v>
      </c>
      <c r="Q238" s="251">
        <v>97.771000000000001</v>
      </c>
      <c r="R238" s="251">
        <v>86.597999999999999</v>
      </c>
      <c r="S238" s="251">
        <v>45.319000000000003</v>
      </c>
      <c r="T238" s="251">
        <v>71.468000000000004</v>
      </c>
      <c r="U238" s="251">
        <v>98.680999999999997</v>
      </c>
      <c r="V238" s="251">
        <v>131.761</v>
      </c>
      <c r="W238" s="251">
        <v>71.563000000000002</v>
      </c>
      <c r="X238" s="251">
        <v>80.971000000000004</v>
      </c>
      <c r="Y238" s="251">
        <v>81.234999999999999</v>
      </c>
      <c r="Z238" s="251">
        <v>123.01</v>
      </c>
      <c r="AA238" s="251">
        <v>95.355000000000004</v>
      </c>
      <c r="AB238" s="251">
        <v>117.309</v>
      </c>
      <c r="AC238" s="251">
        <v>75.078000000000003</v>
      </c>
      <c r="AD238" s="251">
        <v>71.585999999999999</v>
      </c>
      <c r="AE238" s="251">
        <v>70.796000000000006</v>
      </c>
      <c r="AF238" s="251">
        <v>83.686000000000007</v>
      </c>
      <c r="AG238" s="252">
        <f t="shared" ref="AG238:AG249" si="107">AG254*AG80</f>
        <v>120.7742959897695</v>
      </c>
      <c r="AN238" s="252"/>
    </row>
    <row r="239" spans="1:40">
      <c r="A239" s="240" t="s">
        <v>232</v>
      </c>
      <c r="B239" s="251">
        <v>111.27200000000001</v>
      </c>
      <c r="C239" s="251">
        <v>61.417999999999999</v>
      </c>
      <c r="D239" s="251">
        <v>116.43300000000001</v>
      </c>
      <c r="E239" s="251">
        <v>116.949</v>
      </c>
      <c r="F239" s="251">
        <v>164.524</v>
      </c>
      <c r="G239" s="251">
        <v>110.11</v>
      </c>
      <c r="H239" s="251">
        <v>180.61500000000001</v>
      </c>
      <c r="I239" s="251">
        <v>191.21100000000001</v>
      </c>
      <c r="J239" s="251">
        <v>113.86</v>
      </c>
      <c r="K239" s="251">
        <v>73.825000000000003</v>
      </c>
      <c r="L239" s="251">
        <v>123.828</v>
      </c>
      <c r="M239" s="251">
        <v>100.333</v>
      </c>
      <c r="N239" s="251">
        <v>96.534999999999997</v>
      </c>
      <c r="O239" s="251">
        <v>140.30500000000001</v>
      </c>
      <c r="P239" s="251">
        <v>115.56075999999999</v>
      </c>
      <c r="Q239" s="251">
        <v>104.255</v>
      </c>
      <c r="R239" s="251">
        <v>133.59700000000001</v>
      </c>
      <c r="S239" s="251">
        <v>101.247</v>
      </c>
      <c r="T239" s="251">
        <v>93.125</v>
      </c>
      <c r="U239" s="251">
        <v>127.595</v>
      </c>
      <c r="V239" s="251">
        <v>110.907</v>
      </c>
      <c r="W239" s="251">
        <v>76.135999999999996</v>
      </c>
      <c r="X239" s="251">
        <v>68.965999999999994</v>
      </c>
      <c r="Y239" s="251">
        <v>112.432</v>
      </c>
      <c r="Z239" s="251">
        <v>81.367000000000004</v>
      </c>
      <c r="AA239" s="251">
        <v>80.185000000000002</v>
      </c>
      <c r="AB239" s="251">
        <v>100.863</v>
      </c>
      <c r="AC239" s="251">
        <v>91.262</v>
      </c>
      <c r="AD239" s="251">
        <v>88.174000000000007</v>
      </c>
      <c r="AE239" s="251">
        <v>100.14100000000001</v>
      </c>
      <c r="AF239" s="251">
        <v>95.216999999999999</v>
      </c>
      <c r="AG239" s="252">
        <f t="shared" si="107"/>
        <v>129.54636291983999</v>
      </c>
      <c r="AN239" s="252"/>
    </row>
    <row r="240" spans="1:40">
      <c r="A240" s="240" t="s">
        <v>233</v>
      </c>
      <c r="B240" s="251">
        <v>197.804</v>
      </c>
      <c r="C240" s="251">
        <v>180.98099999999999</v>
      </c>
      <c r="D240" s="251">
        <v>266.14499999999998</v>
      </c>
      <c r="E240" s="251">
        <v>287.435</v>
      </c>
      <c r="F240" s="251">
        <v>301.40300000000002</v>
      </c>
      <c r="G240" s="251">
        <v>320.14100000000002</v>
      </c>
      <c r="H240" s="251">
        <v>353.95299999999997</v>
      </c>
      <c r="I240" s="251">
        <v>324.95299999999997</v>
      </c>
      <c r="J240" s="251">
        <v>206.38200000000001</v>
      </c>
      <c r="K240" s="251">
        <v>201.27500000000001</v>
      </c>
      <c r="L240" s="251">
        <v>213.45599999999999</v>
      </c>
      <c r="M240" s="251">
        <v>178.548</v>
      </c>
      <c r="N240" s="251">
        <v>234.67400000000001</v>
      </c>
      <c r="O240" s="251">
        <v>237.774</v>
      </c>
      <c r="P240" s="251">
        <v>209.0531</v>
      </c>
      <c r="Q240" s="251">
        <v>216.154</v>
      </c>
      <c r="R240" s="251">
        <v>203.602</v>
      </c>
      <c r="S240" s="251">
        <v>185.98699999999999</v>
      </c>
      <c r="T240" s="251">
        <v>224.03299999999999</v>
      </c>
      <c r="U240" s="251">
        <v>236.94800000000001</v>
      </c>
      <c r="V240" s="251">
        <v>172.66300000000001</v>
      </c>
      <c r="W240" s="251">
        <v>134.62299999999999</v>
      </c>
      <c r="X240" s="251">
        <v>179.03399999999999</v>
      </c>
      <c r="Y240" s="251">
        <v>171.65100000000001</v>
      </c>
      <c r="Z240" s="251">
        <v>173.09100000000001</v>
      </c>
      <c r="AA240" s="251">
        <v>166.42599999999999</v>
      </c>
      <c r="AB240" s="251">
        <v>155.113</v>
      </c>
      <c r="AC240" s="251">
        <v>142.869</v>
      </c>
      <c r="AD240" s="251">
        <v>165.45599999999999</v>
      </c>
      <c r="AE240" s="251">
        <v>174.77699999999999</v>
      </c>
      <c r="AF240" s="251">
        <v>190.54300000000001</v>
      </c>
      <c r="AG240" s="252">
        <f t="shared" si="107"/>
        <v>213.83069983821247</v>
      </c>
      <c r="AN240" s="252"/>
    </row>
    <row r="241" spans="1:40">
      <c r="A241" s="240" t="s">
        <v>234</v>
      </c>
      <c r="B241" s="251">
        <v>163.042</v>
      </c>
      <c r="C241" s="251">
        <v>199.02699999999999</v>
      </c>
      <c r="D241" s="251">
        <v>234.34399999999999</v>
      </c>
      <c r="E241" s="251">
        <v>275.7</v>
      </c>
      <c r="F241" s="251">
        <v>251.297</v>
      </c>
      <c r="G241" s="251">
        <v>258.36200000000002</v>
      </c>
      <c r="H241" s="251">
        <v>306.91199999999998</v>
      </c>
      <c r="I241" s="251">
        <v>237.018</v>
      </c>
      <c r="J241" s="251">
        <v>128.93899999999999</v>
      </c>
      <c r="K241" s="251">
        <v>165.03700000000001</v>
      </c>
      <c r="L241" s="251">
        <v>142.47900000000001</v>
      </c>
      <c r="M241" s="251">
        <v>117.67400000000001</v>
      </c>
      <c r="N241" s="251">
        <v>150.05000000000001</v>
      </c>
      <c r="O241" s="251">
        <v>169.87629999999999</v>
      </c>
      <c r="P241" s="251">
        <v>138.095</v>
      </c>
      <c r="Q241" s="251">
        <v>227.93600000000001</v>
      </c>
      <c r="R241" s="251">
        <v>128.209</v>
      </c>
      <c r="S241" s="251">
        <v>134.58600000000001</v>
      </c>
      <c r="T241" s="251">
        <v>132.761</v>
      </c>
      <c r="U241" s="251">
        <v>200.47499999999999</v>
      </c>
      <c r="V241" s="251">
        <v>119.31399999999999</v>
      </c>
      <c r="W241" s="251">
        <v>117.79</v>
      </c>
      <c r="X241" s="251">
        <v>148.11099999999999</v>
      </c>
      <c r="Y241" s="251">
        <v>161.75399999999999</v>
      </c>
      <c r="Z241" s="251">
        <v>182.28399999999999</v>
      </c>
      <c r="AA241" s="251">
        <v>165.68199999999999</v>
      </c>
      <c r="AB241" s="251">
        <v>164.11099999999999</v>
      </c>
      <c r="AC241" s="251">
        <v>132.78100000000001</v>
      </c>
      <c r="AD241" s="251">
        <v>168.69900000000001</v>
      </c>
      <c r="AE241" s="251">
        <v>189.57400000000001</v>
      </c>
      <c r="AF241" s="251">
        <v>180.69800000000001</v>
      </c>
      <c r="AG241" s="252">
        <f t="shared" si="107"/>
        <v>218.8696052256401</v>
      </c>
      <c r="AN241" s="252"/>
    </row>
    <row r="242" spans="1:40">
      <c r="A242" s="240" t="s">
        <v>46</v>
      </c>
      <c r="B242" s="251">
        <v>147.214</v>
      </c>
      <c r="C242" s="251">
        <v>172.91800000000001</v>
      </c>
      <c r="D242" s="251">
        <v>210.518</v>
      </c>
      <c r="E242" s="251">
        <v>234.16200000000001</v>
      </c>
      <c r="F242" s="251">
        <v>219.15899999999999</v>
      </c>
      <c r="G242" s="251">
        <v>229.119</v>
      </c>
      <c r="H242" s="251">
        <v>254.529</v>
      </c>
      <c r="I242" s="251">
        <v>180.32300000000001</v>
      </c>
      <c r="J242" s="251">
        <v>100.857</v>
      </c>
      <c r="K242" s="251">
        <v>153.52500000000001</v>
      </c>
      <c r="L242" s="251">
        <v>97.688999999999993</v>
      </c>
      <c r="M242" s="251">
        <v>81.212999999999994</v>
      </c>
      <c r="N242" s="251">
        <v>111.07299999999999</v>
      </c>
      <c r="O242" s="251">
        <v>146.65485999999999</v>
      </c>
      <c r="P242" s="251">
        <v>94.697999999999993</v>
      </c>
      <c r="Q242" s="251">
        <v>195.30699999999999</v>
      </c>
      <c r="R242" s="251">
        <v>140.67599999999999</v>
      </c>
      <c r="S242" s="251">
        <v>98.352000000000004</v>
      </c>
      <c r="T242" s="251">
        <v>110.453</v>
      </c>
      <c r="U242" s="251">
        <v>110.789</v>
      </c>
      <c r="V242" s="251">
        <v>84.61</v>
      </c>
      <c r="W242" s="251">
        <v>77.563999999999993</v>
      </c>
      <c r="X242" s="251">
        <v>40.43</v>
      </c>
      <c r="Y242" s="251">
        <v>91.838999999999999</v>
      </c>
      <c r="Z242" s="251">
        <v>132.506</v>
      </c>
      <c r="AA242" s="251">
        <v>151.01599999999999</v>
      </c>
      <c r="AB242" s="251">
        <v>163.41399999999999</v>
      </c>
      <c r="AC242" s="251">
        <v>118.033</v>
      </c>
      <c r="AD242" s="251">
        <v>140.01400000000001</v>
      </c>
      <c r="AE242" s="251">
        <v>157.761</v>
      </c>
      <c r="AF242" s="251">
        <v>180.33500000000001</v>
      </c>
      <c r="AG242" s="252">
        <f t="shared" si="107"/>
        <v>204.10163343932618</v>
      </c>
      <c r="AN242" s="252"/>
    </row>
    <row r="243" spans="1:40">
      <c r="A243" s="240" t="s">
        <v>235</v>
      </c>
      <c r="B243" s="251">
        <v>107.224</v>
      </c>
      <c r="C243" s="251">
        <v>111.46899999999999</v>
      </c>
      <c r="D243" s="251">
        <v>197.226</v>
      </c>
      <c r="E243" s="251">
        <v>144.68899999999999</v>
      </c>
      <c r="F243" s="251">
        <v>187.286</v>
      </c>
      <c r="G243" s="251">
        <v>212.20500000000001</v>
      </c>
      <c r="H243" s="251">
        <v>226.76900000000001</v>
      </c>
      <c r="I243" s="251">
        <v>174.70099999999999</v>
      </c>
      <c r="J243" s="251">
        <v>93.781000000000006</v>
      </c>
      <c r="K243" s="251">
        <v>118.693</v>
      </c>
      <c r="L243" s="251">
        <v>121.864</v>
      </c>
      <c r="M243" s="251">
        <v>88.581999999999994</v>
      </c>
      <c r="N243" s="251">
        <v>160.96100000000001</v>
      </c>
      <c r="O243" s="251">
        <v>162.05699999999999</v>
      </c>
      <c r="P243" s="251">
        <v>105.121</v>
      </c>
      <c r="Q243" s="251">
        <v>128.18199999999999</v>
      </c>
      <c r="R243" s="251">
        <v>134.184</v>
      </c>
      <c r="S243" s="251">
        <v>86.108999999999995</v>
      </c>
      <c r="T243" s="251">
        <v>165.477</v>
      </c>
      <c r="U243" s="251">
        <v>155.19999999999999</v>
      </c>
      <c r="V243" s="251">
        <v>89.018000000000001</v>
      </c>
      <c r="W243" s="251">
        <v>101.54300000000001</v>
      </c>
      <c r="X243" s="251">
        <v>104.879</v>
      </c>
      <c r="Y243" s="251">
        <v>130.14599999999999</v>
      </c>
      <c r="Z243" s="251">
        <v>106.154</v>
      </c>
      <c r="AA243" s="251">
        <v>112.62</v>
      </c>
      <c r="AB243" s="251">
        <v>123.08499999999999</v>
      </c>
      <c r="AC243" s="251">
        <v>115.291</v>
      </c>
      <c r="AD243" s="251">
        <v>157.98400000000001</v>
      </c>
      <c r="AE243" s="251">
        <v>185.251</v>
      </c>
      <c r="AF243" s="251">
        <v>151.27099999999999</v>
      </c>
      <c r="AG243" s="252">
        <f t="shared" si="107"/>
        <v>191.68205675008778</v>
      </c>
      <c r="AN243" s="252"/>
    </row>
    <row r="244" spans="1:40">
      <c r="A244" s="240" t="s">
        <v>236</v>
      </c>
      <c r="B244" s="251">
        <v>82.364000000000004</v>
      </c>
      <c r="C244" s="251">
        <v>126.633</v>
      </c>
      <c r="D244" s="251">
        <v>189.04400000000001</v>
      </c>
      <c r="E244" s="251">
        <v>177.148</v>
      </c>
      <c r="F244" s="251">
        <v>157.279</v>
      </c>
      <c r="G244" s="251">
        <v>205.143</v>
      </c>
      <c r="H244" s="251">
        <v>253.49799999999999</v>
      </c>
      <c r="I244" s="251">
        <v>145.42599999999999</v>
      </c>
      <c r="J244" s="251">
        <v>91.337999999999994</v>
      </c>
      <c r="K244" s="251">
        <v>124.69199999999999</v>
      </c>
      <c r="L244" s="251">
        <v>100.684</v>
      </c>
      <c r="M244" s="251">
        <v>103.94199999999999</v>
      </c>
      <c r="N244" s="251">
        <v>142.71</v>
      </c>
      <c r="O244" s="251">
        <v>120.98816000000001</v>
      </c>
      <c r="P244" s="251">
        <v>129.8844</v>
      </c>
      <c r="Q244" s="251">
        <v>169.64699999999999</v>
      </c>
      <c r="R244" s="251">
        <v>129.47200000000001</v>
      </c>
      <c r="S244" s="251">
        <v>84.093000000000004</v>
      </c>
      <c r="T244" s="251">
        <v>131.666</v>
      </c>
      <c r="U244" s="251">
        <v>138.84200000000001</v>
      </c>
      <c r="V244" s="251">
        <v>73.456000000000003</v>
      </c>
      <c r="W244" s="251">
        <v>60.401000000000003</v>
      </c>
      <c r="X244" s="251">
        <v>118.318</v>
      </c>
      <c r="Y244" s="251">
        <v>93.290999999999997</v>
      </c>
      <c r="Z244" s="251">
        <v>135.51599999999999</v>
      </c>
      <c r="AA244" s="251">
        <v>98.453000000000003</v>
      </c>
      <c r="AB244" s="251">
        <v>152.56800000000001</v>
      </c>
      <c r="AC244" s="251">
        <v>86.980999999999995</v>
      </c>
      <c r="AD244" s="251">
        <v>141.45699999999999</v>
      </c>
      <c r="AE244" s="251">
        <v>167.809</v>
      </c>
      <c r="AF244" s="251">
        <v>177.881</v>
      </c>
      <c r="AG244" s="252">
        <f t="shared" si="107"/>
        <v>178.94556451767073</v>
      </c>
      <c r="AN244" s="252"/>
    </row>
    <row r="245" spans="1:40">
      <c r="A245" s="240" t="s">
        <v>237</v>
      </c>
      <c r="B245" s="251">
        <v>78.308000000000007</v>
      </c>
      <c r="C245" s="251">
        <v>114.61199999999999</v>
      </c>
      <c r="D245" s="251">
        <v>159.97399999999999</v>
      </c>
      <c r="E245" s="251">
        <v>139.30000000000001</v>
      </c>
      <c r="F245" s="251">
        <v>197.23500000000001</v>
      </c>
      <c r="G245" s="251">
        <v>161.80199999999999</v>
      </c>
      <c r="H245" s="251">
        <v>187.27600000000001</v>
      </c>
      <c r="I245" s="251">
        <v>175.941</v>
      </c>
      <c r="J245" s="251">
        <v>100.366</v>
      </c>
      <c r="K245" s="251">
        <v>79.058999999999997</v>
      </c>
      <c r="L245" s="251">
        <v>95.06</v>
      </c>
      <c r="M245" s="251">
        <v>103.429</v>
      </c>
      <c r="N245" s="251">
        <v>143.197</v>
      </c>
      <c r="O245" s="251">
        <v>151.76</v>
      </c>
      <c r="P245" s="251">
        <v>103.38160000000001</v>
      </c>
      <c r="Q245" s="251">
        <v>152.34899999999999</v>
      </c>
      <c r="R245" s="251">
        <v>109.324</v>
      </c>
      <c r="S245" s="251">
        <v>94.578999999999994</v>
      </c>
      <c r="T245" s="251">
        <v>148.93899999999999</v>
      </c>
      <c r="U245" s="251">
        <v>124.4</v>
      </c>
      <c r="V245" s="251">
        <v>66.040000000000006</v>
      </c>
      <c r="W245" s="251">
        <v>62.009</v>
      </c>
      <c r="X245" s="251">
        <v>113.51300000000001</v>
      </c>
      <c r="Y245" s="251">
        <v>95.256</v>
      </c>
      <c r="Z245" s="251">
        <v>127.27</v>
      </c>
      <c r="AA245" s="251">
        <v>104.935</v>
      </c>
      <c r="AB245" s="251">
        <v>158.374</v>
      </c>
      <c r="AC245" s="251">
        <v>116.631</v>
      </c>
      <c r="AD245" s="251">
        <v>128.828</v>
      </c>
      <c r="AE245" s="251">
        <v>138.48400000000001</v>
      </c>
      <c r="AF245" s="251">
        <v>174</v>
      </c>
      <c r="AG245" s="252">
        <f t="shared" si="107"/>
        <v>180.22841301540629</v>
      </c>
      <c r="AN245" s="252"/>
    </row>
    <row r="246" spans="1:40">
      <c r="A246" s="240" t="s">
        <v>238</v>
      </c>
      <c r="B246" s="251">
        <v>75.105000000000004</v>
      </c>
      <c r="C246" s="251">
        <v>95.031999999999996</v>
      </c>
      <c r="D246" s="251">
        <v>145.298</v>
      </c>
      <c r="E246" s="251">
        <v>143.63999999999999</v>
      </c>
      <c r="F246" s="251">
        <v>184.27699999999999</v>
      </c>
      <c r="G246" s="251">
        <v>159.19800000000001</v>
      </c>
      <c r="H246" s="251">
        <v>202.471</v>
      </c>
      <c r="I246" s="251">
        <v>157.00800000000001</v>
      </c>
      <c r="J246" s="251">
        <v>118.015</v>
      </c>
      <c r="K246" s="251">
        <v>79.87</v>
      </c>
      <c r="L246" s="251">
        <v>79.501000000000005</v>
      </c>
      <c r="M246" s="251">
        <v>83.587999999999994</v>
      </c>
      <c r="N246" s="251">
        <v>112.911</v>
      </c>
      <c r="O246" s="251">
        <v>105.364</v>
      </c>
      <c r="P246" s="251">
        <v>78.484999999999999</v>
      </c>
      <c r="Q246" s="251">
        <v>142.11500000000001</v>
      </c>
      <c r="R246" s="251">
        <v>111.721</v>
      </c>
      <c r="S246" s="251">
        <v>84.578000000000003</v>
      </c>
      <c r="T246" s="251">
        <v>123.35</v>
      </c>
      <c r="U246" s="251">
        <v>96.891999999999996</v>
      </c>
      <c r="V246" s="251">
        <v>81.436000000000007</v>
      </c>
      <c r="W246" s="251">
        <v>50.732999999999997</v>
      </c>
      <c r="X246" s="251">
        <v>82.323999999999998</v>
      </c>
      <c r="Y246" s="251">
        <v>47.723999999999997</v>
      </c>
      <c r="Z246" s="251">
        <v>89.421999999999997</v>
      </c>
      <c r="AA246" s="251">
        <v>112.45099999999999</v>
      </c>
      <c r="AB246" s="251">
        <v>77.91</v>
      </c>
      <c r="AC246" s="251">
        <v>61.692999999999998</v>
      </c>
      <c r="AD246" s="251">
        <v>91.313000000000002</v>
      </c>
      <c r="AE246" s="251">
        <v>91.191999999999993</v>
      </c>
      <c r="AF246" s="252">
        <f>AF262*AF88</f>
        <v>174.46513272641184</v>
      </c>
      <c r="AG246" s="252">
        <f t="shared" si="107"/>
        <v>121.68020749496574</v>
      </c>
      <c r="AN246" s="252"/>
    </row>
    <row r="247" spans="1:40">
      <c r="A247" s="240" t="s">
        <v>239</v>
      </c>
      <c r="B247" s="251">
        <v>54.73</v>
      </c>
      <c r="C247" s="251">
        <v>124.34399999999999</v>
      </c>
      <c r="D247" s="251">
        <v>167.70099999999999</v>
      </c>
      <c r="E247" s="251">
        <v>171.92099999999999</v>
      </c>
      <c r="F247" s="251">
        <v>201.37899999999999</v>
      </c>
      <c r="G247" s="251">
        <v>159.36199999999999</v>
      </c>
      <c r="H247" s="251">
        <v>182.14500000000001</v>
      </c>
      <c r="I247" s="251">
        <v>166.54900000000001</v>
      </c>
      <c r="J247" s="251">
        <v>98.263000000000005</v>
      </c>
      <c r="K247" s="251">
        <v>80.268000000000001</v>
      </c>
      <c r="L247" s="251">
        <v>95.561000000000007</v>
      </c>
      <c r="M247" s="251">
        <v>100.852</v>
      </c>
      <c r="N247" s="251">
        <v>100.062</v>
      </c>
      <c r="O247" s="251">
        <v>109.152</v>
      </c>
      <c r="P247" s="251">
        <v>74.923000000000002</v>
      </c>
      <c r="Q247" s="251">
        <v>123.42</v>
      </c>
      <c r="R247" s="251">
        <v>110.843</v>
      </c>
      <c r="S247" s="251">
        <v>86.034999999999997</v>
      </c>
      <c r="T247" s="251">
        <v>106.997</v>
      </c>
      <c r="U247" s="251">
        <v>109.175</v>
      </c>
      <c r="V247" s="251">
        <v>84.635999999999996</v>
      </c>
      <c r="W247" s="251">
        <v>86.775000000000006</v>
      </c>
      <c r="X247" s="251">
        <v>52.597000000000001</v>
      </c>
      <c r="Y247" s="251">
        <v>52.051000000000002</v>
      </c>
      <c r="Z247" s="251">
        <v>76.888000000000005</v>
      </c>
      <c r="AA247" s="251">
        <v>89.174000000000007</v>
      </c>
      <c r="AB247" s="251">
        <v>82.320999999999998</v>
      </c>
      <c r="AC247" s="251">
        <v>66.245999999999995</v>
      </c>
      <c r="AD247" s="251">
        <v>68.971000000000004</v>
      </c>
      <c r="AE247" s="251">
        <v>67.899000000000001</v>
      </c>
      <c r="AF247" s="252">
        <f>AF263*AF89</f>
        <v>75.257102147703065</v>
      </c>
      <c r="AG247" s="252">
        <f t="shared" si="107"/>
        <v>104.76344974194853</v>
      </c>
      <c r="AN247" s="252"/>
    </row>
    <row r="248" spans="1:40">
      <c r="A248" s="240" t="s">
        <v>240</v>
      </c>
      <c r="B248" s="251">
        <v>54.106000000000002</v>
      </c>
      <c r="C248" s="251">
        <v>74.174000000000007</v>
      </c>
      <c r="D248" s="251">
        <v>118.68600000000001</v>
      </c>
      <c r="E248" s="251">
        <v>151.16399999999999</v>
      </c>
      <c r="F248" s="251">
        <v>153.27500000000001</v>
      </c>
      <c r="G248" s="251">
        <v>106.785</v>
      </c>
      <c r="H248" s="251">
        <v>154.35599999999999</v>
      </c>
      <c r="I248" s="251">
        <v>146.86600000000001</v>
      </c>
      <c r="J248" s="251">
        <v>80.912000000000006</v>
      </c>
      <c r="K248" s="251">
        <v>88.614000000000004</v>
      </c>
      <c r="L248" s="251">
        <v>94.820999999999998</v>
      </c>
      <c r="M248" s="251">
        <v>101.11199999999999</v>
      </c>
      <c r="N248" s="251">
        <v>95.953999999999994</v>
      </c>
      <c r="O248" s="251">
        <v>46.984000000000002</v>
      </c>
      <c r="P248" s="251">
        <v>48.753</v>
      </c>
      <c r="Q248" s="251">
        <v>81.769000000000005</v>
      </c>
      <c r="R248" s="251">
        <v>73.334999999999994</v>
      </c>
      <c r="S248" s="251">
        <v>54.512999999999998</v>
      </c>
      <c r="T248" s="251">
        <v>77.08</v>
      </c>
      <c r="U248" s="251">
        <v>79.173000000000002</v>
      </c>
      <c r="V248" s="251">
        <v>25.594000000000001</v>
      </c>
      <c r="W248" s="251">
        <v>43.92</v>
      </c>
      <c r="X248" s="251">
        <v>54.597999999999999</v>
      </c>
      <c r="Y248" s="251">
        <v>39.301000000000002</v>
      </c>
      <c r="Z248" s="251">
        <v>44.75</v>
      </c>
      <c r="AA248" s="251">
        <v>79.941000000000003</v>
      </c>
      <c r="AB248" s="251">
        <v>67.192999999999998</v>
      </c>
      <c r="AC248" s="251">
        <v>54.235999999999997</v>
      </c>
      <c r="AD248" s="251">
        <v>63.756999999999998</v>
      </c>
      <c r="AE248" s="251">
        <v>66.891000000000005</v>
      </c>
      <c r="AF248" s="252">
        <f>AF264*AF90</f>
        <v>67.420213317071102</v>
      </c>
      <c r="AG248" s="252">
        <f t="shared" si="107"/>
        <v>92.952771500764044</v>
      </c>
      <c r="AN248" s="252"/>
    </row>
    <row r="249" spans="1:40">
      <c r="A249" s="240" t="s">
        <v>241</v>
      </c>
      <c r="B249" s="251">
        <v>38.046999999999997</v>
      </c>
      <c r="C249" s="251">
        <v>53.066000000000003</v>
      </c>
      <c r="D249" s="251">
        <v>108.765</v>
      </c>
      <c r="E249" s="251">
        <v>107.11499999999999</v>
      </c>
      <c r="F249" s="251">
        <v>92.923000000000002</v>
      </c>
      <c r="G249" s="251">
        <v>33.173000000000002</v>
      </c>
      <c r="H249" s="251">
        <v>76.840999999999994</v>
      </c>
      <c r="I249" s="251">
        <v>115.53</v>
      </c>
      <c r="J249" s="251">
        <v>92.510999999999996</v>
      </c>
      <c r="K249" s="251">
        <v>64.227000000000004</v>
      </c>
      <c r="L249" s="251">
        <v>72.144000000000005</v>
      </c>
      <c r="M249" s="251">
        <v>64.206000000000003</v>
      </c>
      <c r="N249" s="251">
        <v>87.507999999999996</v>
      </c>
      <c r="O249" s="251">
        <v>76.328000000000003</v>
      </c>
      <c r="P249" s="251">
        <v>17.178999999999998</v>
      </c>
      <c r="Q249" s="251">
        <v>101.155</v>
      </c>
      <c r="R249" s="251">
        <v>57.26</v>
      </c>
      <c r="S249" s="251">
        <v>72.301000000000002</v>
      </c>
      <c r="T249" s="251">
        <v>104.357</v>
      </c>
      <c r="U249" s="251">
        <v>63.41</v>
      </c>
      <c r="V249" s="251">
        <v>35.289000000000001</v>
      </c>
      <c r="W249" s="251">
        <v>48.69</v>
      </c>
      <c r="X249" s="251">
        <v>65.320999999999998</v>
      </c>
      <c r="Y249" s="251">
        <v>54.756999999999998</v>
      </c>
      <c r="Z249" s="251">
        <v>45.005000000000003</v>
      </c>
      <c r="AA249" s="251">
        <v>50.552999999999997</v>
      </c>
      <c r="AB249" s="251">
        <v>52.252000000000002</v>
      </c>
      <c r="AC249" s="251">
        <v>6.4029999999999996</v>
      </c>
      <c r="AD249" s="251">
        <v>52.793999999999997</v>
      </c>
      <c r="AE249" s="251">
        <v>87.052000000000007</v>
      </c>
      <c r="AF249" s="252">
        <f>AF265*AF91</f>
        <v>67.13790870870038</v>
      </c>
      <c r="AG249" s="252">
        <f t="shared" si="107"/>
        <v>68.841630446774289</v>
      </c>
      <c r="AN249" s="252"/>
    </row>
    <row r="250" spans="1:40" ht="15.75" thickBot="1">
      <c r="A250" s="240" t="s">
        <v>242</v>
      </c>
      <c r="B250" s="146">
        <f>SUM(B238:B249)</f>
        <v>1181.9259999999999</v>
      </c>
      <c r="C250" s="146">
        <f t="shared" ref="C250:AG250" si="108">SUM(C238:C249)</f>
        <v>1359.961</v>
      </c>
      <c r="D250" s="146">
        <f t="shared" si="108"/>
        <v>1974.8</v>
      </c>
      <c r="E250" s="146">
        <f t="shared" si="108"/>
        <v>2034.0220000000002</v>
      </c>
      <c r="F250" s="146">
        <f t="shared" si="108"/>
        <v>2175.8630000000003</v>
      </c>
      <c r="G250" s="146">
        <f t="shared" si="108"/>
        <v>2020.4530000000002</v>
      </c>
      <c r="H250" s="146">
        <f t="shared" si="108"/>
        <v>2471.5499999999997</v>
      </c>
      <c r="I250" s="146">
        <f t="shared" si="108"/>
        <v>2158.3110000000001</v>
      </c>
      <c r="J250" s="146">
        <f t="shared" si="108"/>
        <v>1305.876</v>
      </c>
      <c r="K250" s="146">
        <f t="shared" si="108"/>
        <v>1271.175</v>
      </c>
      <c r="L250" s="146">
        <f t="shared" si="108"/>
        <v>1399.8419999999999</v>
      </c>
      <c r="M250" s="146">
        <f t="shared" si="108"/>
        <v>1204.2359999999999</v>
      </c>
      <c r="N250" s="146">
        <f t="shared" si="108"/>
        <v>1523.4059999999999</v>
      </c>
      <c r="O250" s="146">
        <f t="shared" si="108"/>
        <v>1579.55402</v>
      </c>
      <c r="P250" s="146">
        <f t="shared" si="108"/>
        <v>1223.5123940000001</v>
      </c>
      <c r="Q250" s="146">
        <f t="shared" si="108"/>
        <v>1740.06</v>
      </c>
      <c r="R250" s="146">
        <f t="shared" si="108"/>
        <v>1418.8210000000001</v>
      </c>
      <c r="S250" s="146">
        <f t="shared" si="108"/>
        <v>1127.6989999999998</v>
      </c>
      <c r="T250" s="146">
        <f t="shared" si="108"/>
        <v>1489.7059999999999</v>
      </c>
      <c r="U250" s="146">
        <f t="shared" si="108"/>
        <v>1541.5800000000004</v>
      </c>
      <c r="V250" s="146">
        <f t="shared" si="108"/>
        <v>1074.7239999999999</v>
      </c>
      <c r="W250" s="146">
        <f t="shared" si="108"/>
        <v>931.74699999999984</v>
      </c>
      <c r="X250" s="146">
        <f t="shared" si="108"/>
        <v>1109.0619999999999</v>
      </c>
      <c r="Y250" s="146">
        <f t="shared" si="108"/>
        <v>1131.4369999999999</v>
      </c>
      <c r="Z250" s="146">
        <f t="shared" si="108"/>
        <v>1317.2629999999999</v>
      </c>
      <c r="AA250" s="146">
        <f t="shared" si="108"/>
        <v>1306.7910000000002</v>
      </c>
      <c r="AB250" s="146">
        <f t="shared" si="108"/>
        <v>1414.5129999999999</v>
      </c>
      <c r="AC250" s="146">
        <f t="shared" si="108"/>
        <v>1067.5040000000001</v>
      </c>
      <c r="AD250" s="146">
        <f t="shared" si="108"/>
        <v>1339.0330000000004</v>
      </c>
      <c r="AE250" s="146">
        <f t="shared" si="108"/>
        <v>1497.6269999999997</v>
      </c>
      <c r="AF250" s="253">
        <f t="shared" si="108"/>
        <v>1617.9113568998866</v>
      </c>
      <c r="AG250" s="253">
        <f t="shared" si="108"/>
        <v>1826.2166908804058</v>
      </c>
    </row>
    <row r="251" spans="1:40">
      <c r="A251" s="248"/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  <c r="N251" s="254"/>
      <c r="O251" s="254"/>
      <c r="P251" s="254"/>
      <c r="Q251" s="254"/>
      <c r="R251" s="254"/>
      <c r="S251" s="254"/>
      <c r="T251" s="254"/>
      <c r="U251" s="254"/>
      <c r="V251" s="254"/>
      <c r="W251" s="254"/>
      <c r="X251" s="254"/>
      <c r="Y251" s="254"/>
      <c r="Z251" s="254"/>
      <c r="AA251" s="254"/>
      <c r="AB251" s="254">
        <f>AB250*0.6</f>
        <v>848.70779999999991</v>
      </c>
      <c r="AC251" s="254"/>
      <c r="AD251" s="254">
        <f>AD33</f>
        <v>1339.0330000000004</v>
      </c>
      <c r="AE251" s="254">
        <f>AE33</f>
        <v>1497.6269999999997</v>
      </c>
      <c r="AF251" s="254">
        <f>AF33</f>
        <v>1617.9113568998866</v>
      </c>
      <c r="AG251" s="254">
        <f>AG33</f>
        <v>1826.2166908804058</v>
      </c>
    </row>
    <row r="252" spans="1:40" ht="15.75" thickBot="1">
      <c r="A252" s="235" t="s">
        <v>263</v>
      </c>
    </row>
    <row r="253" spans="1:40" ht="15.75" thickBot="1">
      <c r="A253" s="236"/>
      <c r="B253" s="237">
        <f>B$2</f>
        <v>1993</v>
      </c>
      <c r="C253" s="237">
        <f t="shared" ref="C253:AG253" si="109">C$2</f>
        <v>1994</v>
      </c>
      <c r="D253" s="237">
        <f t="shared" si="109"/>
        <v>1995</v>
      </c>
      <c r="E253" s="237">
        <f t="shared" si="109"/>
        <v>1996</v>
      </c>
      <c r="F253" s="237">
        <f t="shared" si="109"/>
        <v>1997</v>
      </c>
      <c r="G253" s="237">
        <f t="shared" si="109"/>
        <v>1998</v>
      </c>
      <c r="H253" s="237">
        <f t="shared" si="109"/>
        <v>1999</v>
      </c>
      <c r="I253" s="237">
        <f t="shared" si="109"/>
        <v>2000</v>
      </c>
      <c r="J253" s="237">
        <f t="shared" si="109"/>
        <v>2001</v>
      </c>
      <c r="K253" s="237">
        <f t="shared" si="109"/>
        <v>2002</v>
      </c>
      <c r="L253" s="237">
        <f t="shared" si="109"/>
        <v>2003</v>
      </c>
      <c r="M253" s="237">
        <f t="shared" si="109"/>
        <v>2004</v>
      </c>
      <c r="N253" s="237">
        <f t="shared" si="109"/>
        <v>2005</v>
      </c>
      <c r="O253" s="237">
        <f t="shared" si="109"/>
        <v>2006</v>
      </c>
      <c r="P253" s="237">
        <f t="shared" si="109"/>
        <v>2007</v>
      </c>
      <c r="Q253" s="237">
        <f t="shared" si="109"/>
        <v>2008</v>
      </c>
      <c r="R253" s="237">
        <f t="shared" si="109"/>
        <v>2009</v>
      </c>
      <c r="S253" s="237">
        <f t="shared" si="109"/>
        <v>2010</v>
      </c>
      <c r="T253" s="237">
        <f t="shared" si="109"/>
        <v>2011</v>
      </c>
      <c r="U253" s="237">
        <f t="shared" si="109"/>
        <v>2012</v>
      </c>
      <c r="V253" s="237">
        <f t="shared" si="109"/>
        <v>2013</v>
      </c>
      <c r="W253" s="237">
        <f t="shared" si="109"/>
        <v>2014</v>
      </c>
      <c r="X253" s="237">
        <f t="shared" si="109"/>
        <v>2015</v>
      </c>
      <c r="Y253" s="237">
        <f t="shared" si="109"/>
        <v>2016</v>
      </c>
      <c r="Z253" s="237">
        <f t="shared" si="109"/>
        <v>2017</v>
      </c>
      <c r="AA253" s="237">
        <f t="shared" si="109"/>
        <v>2018</v>
      </c>
      <c r="AB253" s="237">
        <f t="shared" si="109"/>
        <v>2019</v>
      </c>
      <c r="AC253" s="237">
        <f t="shared" si="109"/>
        <v>2020</v>
      </c>
      <c r="AD253" s="237">
        <f t="shared" si="109"/>
        <v>2021</v>
      </c>
      <c r="AE253" s="237">
        <f t="shared" si="109"/>
        <v>2022</v>
      </c>
      <c r="AF253" s="237">
        <f t="shared" si="109"/>
        <v>2023</v>
      </c>
      <c r="AG253" s="237">
        <f t="shared" si="109"/>
        <v>2024</v>
      </c>
    </row>
    <row r="254" spans="1:40">
      <c r="A254" s="240" t="s">
        <v>231</v>
      </c>
      <c r="B254" s="258">
        <f t="shared" ref="B254:AF262" si="110">B238/B80</f>
        <v>0.40201699629000953</v>
      </c>
      <c r="C254" s="258">
        <f t="shared" si="110"/>
        <v>0.39836992538148391</v>
      </c>
      <c r="D254" s="258">
        <f t="shared" si="110"/>
        <v>0.39843165070733338</v>
      </c>
      <c r="E254" s="258">
        <f t="shared" si="110"/>
        <v>0.40842777534280889</v>
      </c>
      <c r="F254" s="258">
        <f t="shared" si="110"/>
        <v>0.41227570225158927</v>
      </c>
      <c r="G254" s="258">
        <f t="shared" si="110"/>
        <v>0.39740856359160132</v>
      </c>
      <c r="H254" s="258">
        <f t="shared" si="110"/>
        <v>0.39979616618960878</v>
      </c>
      <c r="I254" s="258">
        <f t="shared" si="110"/>
        <v>0.41991265605011246</v>
      </c>
      <c r="J254" s="258">
        <f t="shared" si="110"/>
        <v>0.39986316243511372</v>
      </c>
      <c r="K254" s="258">
        <f t="shared" si="110"/>
        <v>0.40690648594824008</v>
      </c>
      <c r="L254" s="258">
        <f t="shared" si="110"/>
        <v>0.41642146954523823</v>
      </c>
      <c r="M254" s="258">
        <f t="shared" si="110"/>
        <v>0.41803151399701843</v>
      </c>
      <c r="N254" s="258">
        <f t="shared" si="110"/>
        <v>0.41034044264088493</v>
      </c>
      <c r="O254" s="258">
        <f t="shared" si="110"/>
        <v>0.41713507872070954</v>
      </c>
      <c r="P254" s="258">
        <f t="shared" si="110"/>
        <v>0.40235122863941969</v>
      </c>
      <c r="Q254" s="258">
        <f t="shared" si="110"/>
        <v>0.40747594220293987</v>
      </c>
      <c r="R254" s="258">
        <f t="shared" si="110"/>
        <v>0.3994575370521567</v>
      </c>
      <c r="S254" s="258">
        <f t="shared" si="110"/>
        <v>0.39781774769792577</v>
      </c>
      <c r="T254" s="258">
        <f t="shared" si="110"/>
        <v>0.39958625702384615</v>
      </c>
      <c r="U254" s="258">
        <f t="shared" si="110"/>
        <v>0.44091613831436627</v>
      </c>
      <c r="V254" s="258">
        <f t="shared" si="110"/>
        <v>0.39708098268961856</v>
      </c>
      <c r="W254" s="258">
        <f t="shared" si="110"/>
        <v>0.39577802849305371</v>
      </c>
      <c r="X254" s="258">
        <f t="shared" si="110"/>
        <v>0.41390926517571885</v>
      </c>
      <c r="Y254" s="258">
        <f t="shared" si="110"/>
        <v>0.40364013992129427</v>
      </c>
      <c r="Z254" s="258">
        <f t="shared" si="110"/>
        <v>0.39812540254326428</v>
      </c>
      <c r="AA254" s="258">
        <f t="shared" si="110"/>
        <v>0.4143707630801321</v>
      </c>
      <c r="AB254" s="258">
        <f t="shared" si="110"/>
        <v>0.41516639002827721</v>
      </c>
      <c r="AC254" s="258">
        <f t="shared" si="110"/>
        <v>0.4299679863469501</v>
      </c>
      <c r="AD254" s="258">
        <f t="shared" si="110"/>
        <v>0.43432045284942028</v>
      </c>
      <c r="AE254" s="258">
        <f t="shared" si="110"/>
        <v>0.42825428127249526</v>
      </c>
      <c r="AF254" s="258">
        <f t="shared" si="110"/>
        <v>0.40940267110219658</v>
      </c>
      <c r="AG254" s="259">
        <f>(SUM(AA254:AE254)-MAX(AA254:AE254)-MIN(AA254:AE254))/3+0.004</f>
        <v>0.42846288588257414</v>
      </c>
    </row>
    <row r="255" spans="1:40">
      <c r="A255" s="240" t="s">
        <v>232</v>
      </c>
      <c r="B255" s="258">
        <f t="shared" si="110"/>
        <v>0.3859282818228168</v>
      </c>
      <c r="C255" s="258">
        <f t="shared" si="110"/>
        <v>0.40518805375414796</v>
      </c>
      <c r="D255" s="258">
        <f t="shared" si="110"/>
        <v>0.39292596254762546</v>
      </c>
      <c r="E255" s="258">
        <f t="shared" si="110"/>
        <v>0.397113053399344</v>
      </c>
      <c r="F255" s="258">
        <f t="shared" si="110"/>
        <v>0.39013447597999579</v>
      </c>
      <c r="G255" s="258">
        <f t="shared" si="110"/>
        <v>0.37304558467297949</v>
      </c>
      <c r="H255" s="258">
        <f t="shared" si="110"/>
        <v>0.39327910045421488</v>
      </c>
      <c r="I255" s="258">
        <f t="shared" si="110"/>
        <v>0.41460352566187475</v>
      </c>
      <c r="J255" s="258">
        <f t="shared" si="110"/>
        <v>0.41432714596061959</v>
      </c>
      <c r="K255" s="258">
        <f t="shared" si="110"/>
        <v>0.41370827192387655</v>
      </c>
      <c r="L255" s="258">
        <f t="shared" si="110"/>
        <v>0.41543401024594973</v>
      </c>
      <c r="M255" s="258">
        <f t="shared" si="110"/>
        <v>0.41961197612804202</v>
      </c>
      <c r="N255" s="258">
        <f t="shared" si="110"/>
        <v>0.41026000628978931</v>
      </c>
      <c r="O255" s="258">
        <f t="shared" si="110"/>
        <v>0.4107734151532807</v>
      </c>
      <c r="P255" s="258">
        <f t="shared" si="110"/>
        <v>0.39728940121633838</v>
      </c>
      <c r="Q255" s="258">
        <f t="shared" si="110"/>
        <v>0.40809416443546748</v>
      </c>
      <c r="R255" s="258">
        <f t="shared" si="110"/>
        <v>0.40786750114486336</v>
      </c>
      <c r="S255" s="258">
        <f t="shared" si="110"/>
        <v>0.38417931175794279</v>
      </c>
      <c r="T255" s="258">
        <f t="shared" si="110"/>
        <v>0.42806054672237775</v>
      </c>
      <c r="U255" s="258">
        <f t="shared" si="110"/>
        <v>0.41832094604563025</v>
      </c>
      <c r="V255" s="258">
        <f t="shared" si="110"/>
        <v>0.40146749006349225</v>
      </c>
      <c r="W255" s="258">
        <f t="shared" si="110"/>
        <v>0.40755630021786721</v>
      </c>
      <c r="X255" s="258">
        <f t="shared" si="110"/>
        <v>0.41479815233604383</v>
      </c>
      <c r="Y255" s="258">
        <f t="shared" si="110"/>
        <v>0.40351720920216777</v>
      </c>
      <c r="Z255" s="258">
        <f t="shared" si="110"/>
        <v>0.39897518878101407</v>
      </c>
      <c r="AA255" s="258">
        <f t="shared" si="110"/>
        <v>0.40786274529751065</v>
      </c>
      <c r="AB255" s="258">
        <f t="shared" si="110"/>
        <v>0.3994621718277841</v>
      </c>
      <c r="AC255" s="258">
        <f t="shared" si="110"/>
        <v>0.43170497495257781</v>
      </c>
      <c r="AD255" s="258">
        <f t="shared" si="110"/>
        <v>0.43429691617371097</v>
      </c>
      <c r="AE255" s="258">
        <f t="shared" si="110"/>
        <v>0.42408368094522203</v>
      </c>
      <c r="AF255" s="258">
        <f t="shared" si="110"/>
        <v>0.42439572292620309</v>
      </c>
      <c r="AG255" s="259">
        <f t="shared" ref="AF255:AG265" si="111">(SUM(AA255:AE255)-MAX(AA255:AE255)-MIN(AA255:AE255))/3+0.004</f>
        <v>0.42521713373177022</v>
      </c>
    </row>
    <row r="256" spans="1:40">
      <c r="A256" s="240" t="s">
        <v>233</v>
      </c>
      <c r="B256" s="258">
        <f t="shared" si="110"/>
        <v>0.40601914286124813</v>
      </c>
      <c r="C256" s="258">
        <f t="shared" si="110"/>
        <v>0.40234988106089237</v>
      </c>
      <c r="D256" s="258">
        <f t="shared" si="110"/>
        <v>0.40027643129900148</v>
      </c>
      <c r="E256" s="258">
        <f t="shared" si="110"/>
        <v>0.39903737361537422</v>
      </c>
      <c r="F256" s="258">
        <f t="shared" si="110"/>
        <v>0.39682830171290145</v>
      </c>
      <c r="G256" s="258">
        <f t="shared" si="110"/>
        <v>0.38939440565054356</v>
      </c>
      <c r="H256" s="258">
        <f t="shared" si="110"/>
        <v>0.40637962964026031</v>
      </c>
      <c r="I256" s="258">
        <f t="shared" si="110"/>
        <v>0.41732817398295258</v>
      </c>
      <c r="J256" s="258">
        <f t="shared" si="110"/>
        <v>0.4209120147821529</v>
      </c>
      <c r="K256" s="258">
        <f t="shared" si="110"/>
        <v>0.42868248423922306</v>
      </c>
      <c r="L256" s="258">
        <f t="shared" si="110"/>
        <v>0.42410779923148145</v>
      </c>
      <c r="M256" s="258">
        <f t="shared" si="110"/>
        <v>0.42837092467257026</v>
      </c>
      <c r="N256" s="258">
        <f t="shared" si="110"/>
        <v>0.42537371598853707</v>
      </c>
      <c r="O256" s="258">
        <f t="shared" si="110"/>
        <v>0.42547625267964828</v>
      </c>
      <c r="P256" s="258">
        <f t="shared" si="110"/>
        <v>0.40108264808469329</v>
      </c>
      <c r="Q256" s="258">
        <f t="shared" si="110"/>
        <v>0.41664305443919514</v>
      </c>
      <c r="R256" s="258">
        <f t="shared" si="110"/>
        <v>0.41220737309462258</v>
      </c>
      <c r="S256" s="258">
        <f t="shared" si="110"/>
        <v>0.40732759092691023</v>
      </c>
      <c r="T256" s="258">
        <f t="shared" si="110"/>
        <v>0.42012988352489561</v>
      </c>
      <c r="U256" s="258">
        <f t="shared" si="110"/>
        <v>0.41849260147581929</v>
      </c>
      <c r="V256" s="258">
        <f t="shared" si="110"/>
        <v>0.42005965298118941</v>
      </c>
      <c r="W256" s="258">
        <f t="shared" si="110"/>
        <v>0.42042885160710042</v>
      </c>
      <c r="X256" s="258">
        <f t="shared" si="110"/>
        <v>0.41768014576368456</v>
      </c>
      <c r="Y256" s="258">
        <f t="shared" si="110"/>
        <v>0.41704973954283941</v>
      </c>
      <c r="Z256" s="258">
        <f t="shared" si="110"/>
        <v>0.41598913709609586</v>
      </c>
      <c r="AA256" s="258">
        <f t="shared" si="110"/>
        <v>0.42300438696821352</v>
      </c>
      <c r="AB256" s="258">
        <f t="shared" si="110"/>
        <v>0.58599546656592372</v>
      </c>
      <c r="AC256" s="258">
        <f t="shared" si="110"/>
        <v>0.42289579232465557</v>
      </c>
      <c r="AD256" s="258">
        <f t="shared" si="110"/>
        <v>0.42544503614030305</v>
      </c>
      <c r="AE256" s="258">
        <f t="shared" si="110"/>
        <v>0.43653968300750479</v>
      </c>
      <c r="AF256" s="258">
        <f t="shared" si="110"/>
        <v>0.4294836540021999</v>
      </c>
      <c r="AG256" s="259">
        <f>(SUM(AA256:AE256)-MAX(AA256:AE256)-MIN(AA256:AE256))/3+0.004</f>
        <v>0.43232970203867377</v>
      </c>
    </row>
    <row r="257" spans="1:33">
      <c r="A257" s="240" t="s">
        <v>234</v>
      </c>
      <c r="B257" s="258">
        <f t="shared" si="110"/>
        <v>0.40206355899810858</v>
      </c>
      <c r="C257" s="258">
        <f t="shared" si="110"/>
        <v>0.40338432040989636</v>
      </c>
      <c r="D257" s="258">
        <f t="shared" si="110"/>
        <v>0.40883247296333064</v>
      </c>
      <c r="E257" s="258">
        <f t="shared" si="110"/>
        <v>0.39780392609533155</v>
      </c>
      <c r="F257" s="258">
        <f t="shared" si="110"/>
        <v>0.39313376563441094</v>
      </c>
      <c r="G257" s="258">
        <f t="shared" si="110"/>
        <v>0.38871244137989147</v>
      </c>
      <c r="H257" s="258">
        <f t="shared" si="110"/>
        <v>0.40206513750771278</v>
      </c>
      <c r="I257" s="258">
        <f t="shared" si="110"/>
        <v>0.4120826675892908</v>
      </c>
      <c r="J257" s="258">
        <f t="shared" si="110"/>
        <v>0.42217500065484453</v>
      </c>
      <c r="K257" s="258">
        <f t="shared" si="110"/>
        <v>0.42150092198617789</v>
      </c>
      <c r="L257" s="258">
        <f t="shared" si="110"/>
        <v>0.43042154297901652</v>
      </c>
      <c r="M257" s="258">
        <f t="shared" si="110"/>
        <v>0.41743911740186956</v>
      </c>
      <c r="N257" s="258">
        <f t="shared" si="110"/>
        <v>0.43634661129819302</v>
      </c>
      <c r="O257" s="258">
        <f t="shared" si="110"/>
        <v>0.39866490813469663</v>
      </c>
      <c r="P257" s="258">
        <f t="shared" si="110"/>
        <v>0.40759072985289602</v>
      </c>
      <c r="Q257" s="258">
        <f t="shared" si="110"/>
        <v>0.41382415523489302</v>
      </c>
      <c r="R257" s="258">
        <f t="shared" si="110"/>
        <v>0.40224450482220286</v>
      </c>
      <c r="S257" s="258">
        <f t="shared" si="110"/>
        <v>0.4193507177376386</v>
      </c>
      <c r="T257" s="258">
        <f t="shared" si="110"/>
        <v>0.41769626951840699</v>
      </c>
      <c r="U257" s="258">
        <f t="shared" si="110"/>
        <v>0.41759100140603028</v>
      </c>
      <c r="V257" s="258">
        <f t="shared" si="110"/>
        <v>0.41934010009559686</v>
      </c>
      <c r="W257" s="258">
        <f t="shared" si="110"/>
        <v>0.42367607969239512</v>
      </c>
      <c r="X257" s="258">
        <f t="shared" si="110"/>
        <v>0.42914056569332487</v>
      </c>
      <c r="Y257" s="258">
        <f t="shared" si="110"/>
        <v>0.41726169593660356</v>
      </c>
      <c r="Z257" s="258">
        <f t="shared" si="110"/>
        <v>0.42024063943046974</v>
      </c>
      <c r="AA257" s="258">
        <f t="shared" si="110"/>
        <v>0.43007475859204647</v>
      </c>
      <c r="AB257" s="258">
        <f t="shared" si="110"/>
        <v>0.57253748630677026</v>
      </c>
      <c r="AC257" s="258">
        <f t="shared" si="110"/>
        <v>0.42564561214545832</v>
      </c>
      <c r="AD257" s="258">
        <f t="shared" si="110"/>
        <v>0.42496341060978959</v>
      </c>
      <c r="AE257" s="258">
        <f t="shared" si="110"/>
        <v>0.44162566625666261</v>
      </c>
      <c r="AF257" s="258">
        <f t="shared" si="110"/>
        <v>0.43092692047199777</v>
      </c>
      <c r="AG257" s="259">
        <f t="shared" si="111"/>
        <v>0.43644867899805578</v>
      </c>
    </row>
    <row r="258" spans="1:33">
      <c r="A258" s="240" t="s">
        <v>46</v>
      </c>
      <c r="B258" s="258">
        <f t="shared" si="110"/>
        <v>0.4025782245582179</v>
      </c>
      <c r="C258" s="258">
        <f t="shared" si="110"/>
        <v>0.39939300430532715</v>
      </c>
      <c r="D258" s="258">
        <f t="shared" si="110"/>
        <v>0.39270764156786081</v>
      </c>
      <c r="E258" s="258">
        <f t="shared" si="110"/>
        <v>0.40065566253227408</v>
      </c>
      <c r="F258" s="258">
        <f t="shared" si="110"/>
        <v>0.39418007975006608</v>
      </c>
      <c r="G258" s="258">
        <f t="shared" si="110"/>
        <v>0.38838139246321191</v>
      </c>
      <c r="H258" s="258">
        <f t="shared" si="110"/>
        <v>0.40342963292878731</v>
      </c>
      <c r="I258" s="258">
        <f t="shared" si="110"/>
        <v>0.41741918309239689</v>
      </c>
      <c r="J258" s="258">
        <f t="shared" si="110"/>
        <v>0.41915468373368797</v>
      </c>
      <c r="K258" s="258">
        <f t="shared" si="110"/>
        <v>0.42484392641296409</v>
      </c>
      <c r="L258" s="258">
        <f t="shared" si="110"/>
        <v>0.42035938965722003</v>
      </c>
      <c r="M258" s="258">
        <f t="shared" si="110"/>
        <v>0.41962518794855758</v>
      </c>
      <c r="N258" s="258">
        <f t="shared" si="110"/>
        <v>0.41936653087114278</v>
      </c>
      <c r="O258" s="258">
        <f t="shared" si="110"/>
        <v>0.43932974851339812</v>
      </c>
      <c r="P258" s="258">
        <f t="shared" si="110"/>
        <v>0.36949116831126871</v>
      </c>
      <c r="Q258" s="258">
        <f t="shared" si="110"/>
        <v>0.41554592437037369</v>
      </c>
      <c r="R258" s="258">
        <f t="shared" si="110"/>
        <v>0.40384101967876668</v>
      </c>
      <c r="S258" s="258">
        <f t="shared" si="110"/>
        <v>0.42764342177349929</v>
      </c>
      <c r="T258" s="258">
        <f t="shared" si="110"/>
        <v>0.41065327231019189</v>
      </c>
      <c r="U258" s="258">
        <f t="shared" si="110"/>
        <v>0.41665507087224191</v>
      </c>
      <c r="V258" s="258">
        <f t="shared" si="110"/>
        <v>0.417969579758041</v>
      </c>
      <c r="W258" s="258">
        <f t="shared" si="110"/>
        <v>0.41877817671354906</v>
      </c>
      <c r="X258" s="258">
        <f t="shared" si="110"/>
        <v>0.42228953415500314</v>
      </c>
      <c r="Y258" s="258">
        <f t="shared" si="110"/>
        <v>0.42218422032519204</v>
      </c>
      <c r="Z258" s="258">
        <f t="shared" si="110"/>
        <v>0.41960694900977247</v>
      </c>
      <c r="AA258" s="258">
        <f t="shared" si="110"/>
        <v>0.43068183114497893</v>
      </c>
      <c r="AB258" s="258">
        <f t="shared" si="110"/>
        <v>0.42194548229091089</v>
      </c>
      <c r="AC258" s="258">
        <f t="shared" si="110"/>
        <v>0.42755820229440383</v>
      </c>
      <c r="AD258" s="258">
        <f t="shared" si="110"/>
        <v>0.41821315387809116</v>
      </c>
      <c r="AE258" s="258">
        <f t="shared" si="110"/>
        <v>0.43632697764723455</v>
      </c>
      <c r="AF258" s="258">
        <f t="shared" si="110"/>
        <v>0.42938949473784466</v>
      </c>
      <c r="AG258" s="259">
        <f t="shared" si="111"/>
        <v>0.43072850524343126</v>
      </c>
    </row>
    <row r="259" spans="1:33">
      <c r="A259" s="240" t="s">
        <v>235</v>
      </c>
      <c r="B259" s="258">
        <f t="shared" si="110"/>
        <v>0.40204426746457589</v>
      </c>
      <c r="C259" s="258">
        <f t="shared" si="110"/>
        <v>0.40220897590404919</v>
      </c>
      <c r="D259" s="258">
        <f t="shared" si="110"/>
        <v>0.39587159554161222</v>
      </c>
      <c r="E259" s="258">
        <f t="shared" si="110"/>
        <v>0.39254301480762027</v>
      </c>
      <c r="F259" s="258">
        <f t="shared" si="110"/>
        <v>0.38524244524849277</v>
      </c>
      <c r="G259" s="258">
        <f t="shared" si="110"/>
        <v>0.38277757935863727</v>
      </c>
      <c r="H259" s="258">
        <f t="shared" si="110"/>
        <v>0.42074122176353262</v>
      </c>
      <c r="I259" s="258">
        <f t="shared" si="110"/>
        <v>0.41779305133061662</v>
      </c>
      <c r="J259" s="258">
        <f t="shared" si="110"/>
        <v>0.41943101466516991</v>
      </c>
      <c r="K259" s="258">
        <f t="shared" si="110"/>
        <v>0.42704694195488935</v>
      </c>
      <c r="L259" s="258">
        <f t="shared" si="110"/>
        <v>0.42979019055310835</v>
      </c>
      <c r="M259" s="258">
        <f t="shared" si="110"/>
        <v>0.42575627949898587</v>
      </c>
      <c r="N259" s="258">
        <f t="shared" si="110"/>
        <v>0.42796825354621715</v>
      </c>
      <c r="O259" s="258">
        <f t="shared" si="110"/>
        <v>0.41971065690103493</v>
      </c>
      <c r="P259" s="258">
        <f t="shared" si="110"/>
        <v>0.39865221035226839</v>
      </c>
      <c r="Q259" s="258">
        <f t="shared" si="110"/>
        <v>0.41677613182639905</v>
      </c>
      <c r="R259" s="258">
        <f t="shared" si="110"/>
        <v>0.40988734390655163</v>
      </c>
      <c r="S259" s="258">
        <f t="shared" si="110"/>
        <v>0.40532563875656641</v>
      </c>
      <c r="T259" s="258">
        <f t="shared" si="110"/>
        <v>0.4192369081097515</v>
      </c>
      <c r="U259" s="258">
        <f t="shared" si="110"/>
        <v>0.41955697810842518</v>
      </c>
      <c r="V259" s="258">
        <f t="shared" si="110"/>
        <v>0.41643704885362626</v>
      </c>
      <c r="W259" s="258">
        <f t="shared" si="110"/>
        <v>0.41779333953243425</v>
      </c>
      <c r="X259" s="258">
        <f t="shared" si="110"/>
        <v>0.42704045277794744</v>
      </c>
      <c r="Y259" s="258">
        <f t="shared" si="110"/>
        <v>0.42069569658552036</v>
      </c>
      <c r="Z259" s="258">
        <f t="shared" si="110"/>
        <v>0.42229170644771175</v>
      </c>
      <c r="AA259" s="258">
        <f t="shared" si="110"/>
        <v>0.42851272373067095</v>
      </c>
      <c r="AB259" s="258">
        <f t="shared" si="110"/>
        <v>0.42585986776321932</v>
      </c>
      <c r="AC259" s="258">
        <f t="shared" si="110"/>
        <v>0.42937960418016735</v>
      </c>
      <c r="AD259" s="258">
        <f t="shared" si="110"/>
        <v>0.43125319036843129</v>
      </c>
      <c r="AE259" s="258">
        <f t="shared" si="110"/>
        <v>0.45345862839602574</v>
      </c>
      <c r="AF259" s="258">
        <f t="shared" si="110"/>
        <v>0.43451946664215496</v>
      </c>
      <c r="AG259" s="259">
        <f t="shared" si="111"/>
        <v>0.43371517275975652</v>
      </c>
    </row>
    <row r="260" spans="1:33">
      <c r="A260" s="240" t="s">
        <v>236</v>
      </c>
      <c r="B260" s="258">
        <f t="shared" si="110"/>
        <v>0.41372312638135422</v>
      </c>
      <c r="C260" s="258">
        <f t="shared" si="110"/>
        <v>0.40404772008640411</v>
      </c>
      <c r="D260" s="258">
        <f t="shared" si="110"/>
        <v>0.40215368055156686</v>
      </c>
      <c r="E260" s="258">
        <f t="shared" si="110"/>
        <v>0.40500413810762736</v>
      </c>
      <c r="F260" s="258">
        <f t="shared" si="110"/>
        <v>0.39955238061366027</v>
      </c>
      <c r="G260" s="258">
        <f t="shared" si="110"/>
        <v>0.39409500097974803</v>
      </c>
      <c r="H260" s="258">
        <f t="shared" si="110"/>
        <v>0.40627218688347505</v>
      </c>
      <c r="I260" s="258">
        <f t="shared" si="110"/>
        <v>0.42044123981971088</v>
      </c>
      <c r="J260" s="258">
        <f t="shared" si="110"/>
        <v>0.3942675846588824</v>
      </c>
      <c r="K260" s="258">
        <f t="shared" si="110"/>
        <v>0.42900198172409992</v>
      </c>
      <c r="L260" s="258">
        <f t="shared" si="110"/>
        <v>0.42652771599839018</v>
      </c>
      <c r="M260" s="258">
        <f t="shared" si="110"/>
        <v>0.41789088569935268</v>
      </c>
      <c r="N260" s="258">
        <f t="shared" si="110"/>
        <v>0.42932308886395298</v>
      </c>
      <c r="O260" s="258">
        <f t="shared" si="110"/>
        <v>0.42096162611470067</v>
      </c>
      <c r="P260" s="258">
        <f t="shared" si="110"/>
        <v>0.40275731189997765</v>
      </c>
      <c r="Q260" s="258">
        <f t="shared" si="110"/>
        <v>0.41302971724067411</v>
      </c>
      <c r="R260" s="258">
        <f t="shared" si="110"/>
        <v>0.42452341449659325</v>
      </c>
      <c r="S260" s="258">
        <f t="shared" si="110"/>
        <v>0.41478452591755904</v>
      </c>
      <c r="T260" s="258">
        <f t="shared" si="110"/>
        <v>0.41928909439466022</v>
      </c>
      <c r="U260" s="258">
        <f t="shared" si="110"/>
        <v>0.4179231169800644</v>
      </c>
      <c r="V260" s="258">
        <f t="shared" si="110"/>
        <v>0.41645972945085102</v>
      </c>
      <c r="W260" s="258">
        <f t="shared" si="110"/>
        <v>0.43185831849738676</v>
      </c>
      <c r="X260" s="258">
        <f t="shared" si="110"/>
        <v>0.41661854392315389</v>
      </c>
      <c r="Y260" s="258">
        <f t="shared" si="110"/>
        <v>0.41906503097247738</v>
      </c>
      <c r="Z260" s="258">
        <f t="shared" si="110"/>
        <v>0.42632925091311769</v>
      </c>
      <c r="AA260" s="258">
        <f t="shared" si="110"/>
        <v>0.42443772875612712</v>
      </c>
      <c r="AB260" s="258">
        <f t="shared" si="110"/>
        <v>0.45919362411663439</v>
      </c>
      <c r="AC260" s="258">
        <f t="shared" si="110"/>
        <v>0.42598696293103866</v>
      </c>
      <c r="AD260" s="258">
        <f t="shared" si="110"/>
        <v>0.43392782644972877</v>
      </c>
      <c r="AE260" s="258">
        <f t="shared" si="110"/>
        <v>0.44461430850020933</v>
      </c>
      <c r="AF260" s="258">
        <f t="shared" si="110"/>
        <v>0.44233490243471812</v>
      </c>
      <c r="AG260" s="259">
        <f t="shared" si="111"/>
        <v>0.43884303262699226</v>
      </c>
    </row>
    <row r="261" spans="1:33">
      <c r="A261" s="240" t="s">
        <v>237</v>
      </c>
      <c r="B261" s="258">
        <f t="shared" si="110"/>
        <v>0.41271648272881556</v>
      </c>
      <c r="C261" s="258">
        <f t="shared" si="110"/>
        <v>0.43446879809551248</v>
      </c>
      <c r="D261" s="258">
        <f t="shared" si="110"/>
        <v>0.40121487545269408</v>
      </c>
      <c r="E261" s="258">
        <f t="shared" si="110"/>
        <v>0.40865299991785875</v>
      </c>
      <c r="F261" s="258">
        <f t="shared" si="110"/>
        <v>0.40224950543511517</v>
      </c>
      <c r="G261" s="258">
        <f t="shared" si="110"/>
        <v>0.39859188932190942</v>
      </c>
      <c r="H261" s="258">
        <f t="shared" si="110"/>
        <v>0.40604835912023868</v>
      </c>
      <c r="I261" s="258">
        <f t="shared" si="110"/>
        <v>0.42123194200372532</v>
      </c>
      <c r="J261" s="258">
        <f t="shared" si="110"/>
        <v>0.41410582255083178</v>
      </c>
      <c r="K261" s="258">
        <f t="shared" si="110"/>
        <v>0.42389066420743343</v>
      </c>
      <c r="L261" s="258">
        <f t="shared" si="110"/>
        <v>0.42791484917644623</v>
      </c>
      <c r="M261" s="258">
        <f t="shared" si="110"/>
        <v>0.41745472451273608</v>
      </c>
      <c r="N261" s="258">
        <f t="shared" si="110"/>
        <v>0.43116561683267296</v>
      </c>
      <c r="O261" s="258">
        <f t="shared" si="110"/>
        <v>0.43665785256179707</v>
      </c>
      <c r="P261" s="258">
        <f t="shared" si="110"/>
        <v>0.40265001772131198</v>
      </c>
      <c r="Q261" s="258">
        <f t="shared" si="110"/>
        <v>0.41064641857907586</v>
      </c>
      <c r="R261" s="258">
        <f t="shared" si="110"/>
        <v>0.41728947348331591</v>
      </c>
      <c r="S261" s="258">
        <f t="shared" si="110"/>
        <v>0.41643477341975021</v>
      </c>
      <c r="T261" s="258">
        <f t="shared" si="110"/>
        <v>0.42271745516366432</v>
      </c>
      <c r="U261" s="258">
        <f t="shared" si="110"/>
        <v>0.42157487359531526</v>
      </c>
      <c r="V261" s="258">
        <f t="shared" si="110"/>
        <v>0.42371087058340451</v>
      </c>
      <c r="W261" s="258">
        <f t="shared" si="110"/>
        <v>0.42542141480114437</v>
      </c>
      <c r="X261" s="258">
        <f t="shared" si="110"/>
        <v>0.42773436028065204</v>
      </c>
      <c r="Y261" s="258">
        <f t="shared" si="110"/>
        <v>0.41045705446131175</v>
      </c>
      <c r="Z261" s="258">
        <f t="shared" si="110"/>
        <v>0.42420788086048172</v>
      </c>
      <c r="AA261" s="258">
        <f t="shared" si="110"/>
        <v>0.42523919324707116</v>
      </c>
      <c r="AB261" s="258">
        <f t="shared" si="110"/>
        <v>0.43335640933729913</v>
      </c>
      <c r="AC261" s="258">
        <f t="shared" si="110"/>
        <v>0.42948519664162615</v>
      </c>
      <c r="AD261" s="258">
        <f t="shared" si="110"/>
        <v>0.42970167573913975</v>
      </c>
      <c r="AE261" s="258">
        <f t="shared" si="110"/>
        <v>0.4432977480433426</v>
      </c>
      <c r="AF261" s="258">
        <f t="shared" si="110"/>
        <v>0.4304437528758096</v>
      </c>
      <c r="AG261" s="259">
        <f t="shared" si="111"/>
        <v>0.43484776057268837</v>
      </c>
    </row>
    <row r="262" spans="1:33">
      <c r="A262" s="240" t="s">
        <v>238</v>
      </c>
      <c r="B262" s="258">
        <f t="shared" si="110"/>
        <v>0.40078657801210288</v>
      </c>
      <c r="C262" s="258">
        <f t="shared" si="110"/>
        <v>0.39890526881359345</v>
      </c>
      <c r="D262" s="258">
        <f t="shared" si="110"/>
        <v>0.40076015843069762</v>
      </c>
      <c r="E262" s="258">
        <f t="shared" si="110"/>
        <v>0.40559314185029982</v>
      </c>
      <c r="F262" s="258">
        <f t="shared" si="110"/>
        <v>0.4012432909104765</v>
      </c>
      <c r="G262" s="258">
        <f t="shared" si="110"/>
        <v>0.40168041783362352</v>
      </c>
      <c r="H262" s="258">
        <f t="shared" si="110"/>
        <v>0.41116205963820684</v>
      </c>
      <c r="I262" s="258">
        <f t="shared" ref="I262:AL262" si="112">I246/I88</f>
        <v>0.42269742598460602</v>
      </c>
      <c r="J262" s="258">
        <f t="shared" si="112"/>
        <v>0.42703203418716823</v>
      </c>
      <c r="K262" s="258">
        <f t="shared" si="112"/>
        <v>0.43240755779329759</v>
      </c>
      <c r="L262" s="258">
        <f t="shared" si="112"/>
        <v>0.43524510286984425</v>
      </c>
      <c r="M262" s="258">
        <f t="shared" si="112"/>
        <v>0.42089468065822067</v>
      </c>
      <c r="N262" s="258">
        <f t="shared" si="112"/>
        <v>0.43016827884684988</v>
      </c>
      <c r="O262" s="258">
        <f t="shared" si="112"/>
        <v>0.42745056674807502</v>
      </c>
      <c r="P262" s="258">
        <f t="shared" si="112"/>
        <v>0.40810012583325533</v>
      </c>
      <c r="Q262" s="258">
        <f t="shared" si="112"/>
        <v>0.41744261871331978</v>
      </c>
      <c r="R262" s="258">
        <f t="shared" si="112"/>
        <v>0.407901654666803</v>
      </c>
      <c r="S262" s="258">
        <f t="shared" si="112"/>
        <v>0.40698110846991115</v>
      </c>
      <c r="T262" s="258">
        <f t="shared" si="112"/>
        <v>0.4232228756510461</v>
      </c>
      <c r="U262" s="258">
        <f t="shared" si="112"/>
        <v>0.41494970086037442</v>
      </c>
      <c r="V262" s="258">
        <f t="shared" si="112"/>
        <v>0.42811931573247541</v>
      </c>
      <c r="W262" s="258">
        <f t="shared" si="112"/>
        <v>0.42001688909494317</v>
      </c>
      <c r="X262" s="258">
        <f t="shared" si="112"/>
        <v>0.42985666919040288</v>
      </c>
      <c r="Y262" s="258">
        <f t="shared" si="112"/>
        <v>0.38971092601665852</v>
      </c>
      <c r="Z262" s="258">
        <f t="shared" si="112"/>
        <v>0.42811045787931595</v>
      </c>
      <c r="AA262" s="258">
        <f t="shared" si="112"/>
        <v>0.42561059153479602</v>
      </c>
      <c r="AB262" s="258">
        <f t="shared" si="112"/>
        <v>0.44072724804272068</v>
      </c>
      <c r="AC262" s="258">
        <f t="shared" si="112"/>
        <v>0.42393985830418557</v>
      </c>
      <c r="AD262" s="258">
        <f t="shared" si="112"/>
        <v>0.45085937461425657</v>
      </c>
      <c r="AE262" s="258">
        <f t="shared" si="112"/>
        <v>0.45092318799014997</v>
      </c>
      <c r="AF262" s="259">
        <f t="shared" si="111"/>
        <v>0.43548276581894418</v>
      </c>
      <c r="AG262" s="259">
        <f t="shared" si="111"/>
        <v>0.44306573806392441</v>
      </c>
    </row>
    <row r="263" spans="1:33">
      <c r="A263" s="240" t="s">
        <v>239</v>
      </c>
      <c r="B263" s="258">
        <f t="shared" ref="B263:AE265" si="113">B247/B89</f>
        <v>0.41251177689843599</v>
      </c>
      <c r="C263" s="258">
        <f t="shared" si="113"/>
        <v>0.4112312729437444</v>
      </c>
      <c r="D263" s="258">
        <f t="shared" si="113"/>
        <v>0.39608452587051868</v>
      </c>
      <c r="E263" s="258">
        <f t="shared" si="113"/>
        <v>0.41247049000978869</v>
      </c>
      <c r="F263" s="258">
        <f t="shared" si="113"/>
        <v>0.40181373771636653</v>
      </c>
      <c r="G263" s="258">
        <f t="shared" si="113"/>
        <v>0.4034021440595375</v>
      </c>
      <c r="H263" s="258">
        <f t="shared" si="113"/>
        <v>0.40187672647362527</v>
      </c>
      <c r="I263" s="258">
        <f t="shared" si="113"/>
        <v>0.42319224299587865</v>
      </c>
      <c r="J263" s="258">
        <f t="shared" si="113"/>
        <v>0.41963862470693242</v>
      </c>
      <c r="K263" s="258">
        <f t="shared" si="113"/>
        <v>0.4283198685179454</v>
      </c>
      <c r="L263" s="258">
        <f t="shared" si="113"/>
        <v>0.44369793939844182</v>
      </c>
      <c r="M263" s="258">
        <f t="shared" si="113"/>
        <v>0.41917745589060457</v>
      </c>
      <c r="N263" s="258">
        <f t="shared" si="113"/>
        <v>0.44280903301751107</v>
      </c>
      <c r="O263" s="258">
        <f t="shared" si="113"/>
        <v>0.4202016468984951</v>
      </c>
      <c r="P263" s="258">
        <f t="shared" si="113"/>
        <v>0.40423970692176131</v>
      </c>
      <c r="Q263" s="258">
        <f t="shared" si="113"/>
        <v>0.41511667799027291</v>
      </c>
      <c r="R263" s="258">
        <f t="shared" si="113"/>
        <v>0.41078370695948974</v>
      </c>
      <c r="S263" s="258">
        <f t="shared" si="113"/>
        <v>0.41467846573546563</v>
      </c>
      <c r="T263" s="258">
        <f t="shared" si="113"/>
        <v>0.43143255753939452</v>
      </c>
      <c r="U263" s="258">
        <f t="shared" si="113"/>
        <v>0.41892099305475611</v>
      </c>
      <c r="V263" s="258">
        <f t="shared" si="113"/>
        <v>0.41921215693461383</v>
      </c>
      <c r="W263" s="258">
        <f t="shared" si="113"/>
        <v>0.4309509974820841</v>
      </c>
      <c r="X263" s="258">
        <f t="shared" si="113"/>
        <v>0.42658091306498835</v>
      </c>
      <c r="Y263" s="258">
        <f t="shared" si="113"/>
        <v>0.40223019025392948</v>
      </c>
      <c r="Z263" s="258">
        <f t="shared" si="113"/>
        <v>0.42010250133863691</v>
      </c>
      <c r="AA263" s="258">
        <f t="shared" si="113"/>
        <v>0.42939621424065721</v>
      </c>
      <c r="AB263" s="258">
        <f t="shared" si="113"/>
        <v>0.43332087568495131</v>
      </c>
      <c r="AC263" s="258">
        <f t="shared" si="113"/>
        <v>0.43123010525904654</v>
      </c>
      <c r="AD263" s="258">
        <f t="shared" si="113"/>
        <v>0.45034933072151484</v>
      </c>
      <c r="AE263" s="258">
        <f t="shared" si="113"/>
        <v>0.45110219375755722</v>
      </c>
      <c r="AF263" s="259">
        <f t="shared" si="111"/>
        <v>0.43531573172821841</v>
      </c>
      <c r="AG263" s="259">
        <f t="shared" si="111"/>
        <v>0.44230010388850421</v>
      </c>
    </row>
    <row r="264" spans="1:33">
      <c r="A264" s="240" t="s">
        <v>240</v>
      </c>
      <c r="B264" s="258">
        <f t="shared" si="113"/>
        <v>0.40835333363522475</v>
      </c>
      <c r="C264" s="258">
        <f t="shared" si="113"/>
        <v>0.40549302165391998</v>
      </c>
      <c r="D264" s="258">
        <f t="shared" si="113"/>
        <v>0.39493544522827106</v>
      </c>
      <c r="E264" s="258">
        <f t="shared" si="113"/>
        <v>0.41322752335209517</v>
      </c>
      <c r="F264" s="258">
        <f t="shared" si="113"/>
        <v>0.41116192979867749</v>
      </c>
      <c r="G264" s="258">
        <f t="shared" si="113"/>
        <v>0.39671954526878922</v>
      </c>
      <c r="H264" s="258">
        <f t="shared" si="113"/>
        <v>0.41529160758822753</v>
      </c>
      <c r="I264" s="258">
        <f t="shared" si="113"/>
        <v>0.42581950815014125</v>
      </c>
      <c r="J264" s="258">
        <f t="shared" si="113"/>
        <v>0.41179524240912846</v>
      </c>
      <c r="K264" s="258">
        <f t="shared" si="113"/>
        <v>0.42667912154581744</v>
      </c>
      <c r="L264" s="258">
        <f t="shared" si="113"/>
        <v>0.42852300767374385</v>
      </c>
      <c r="M264" s="258">
        <f t="shared" si="113"/>
        <v>0.43751541507107161</v>
      </c>
      <c r="N264" s="258">
        <f t="shared" si="113"/>
        <v>0.43310509187583779</v>
      </c>
      <c r="O264" s="258">
        <f t="shared" si="113"/>
        <v>0.43210432895257189</v>
      </c>
      <c r="P264" s="258">
        <f t="shared" si="113"/>
        <v>0.40624114657111904</v>
      </c>
      <c r="Q264" s="258">
        <f t="shared" si="113"/>
        <v>0.40854676086456893</v>
      </c>
      <c r="R264" s="258">
        <f t="shared" si="113"/>
        <v>0.411015334259965</v>
      </c>
      <c r="S264" s="258">
        <f t="shared" si="113"/>
        <v>0.41533081400664368</v>
      </c>
      <c r="T264" s="258">
        <f t="shared" si="113"/>
        <v>0.41876056001347334</v>
      </c>
      <c r="U264" s="258">
        <f t="shared" si="113"/>
        <v>0.41813044626353318</v>
      </c>
      <c r="V264" s="258">
        <f t="shared" si="113"/>
        <v>0.43780362641122134</v>
      </c>
      <c r="W264" s="258">
        <f t="shared" si="113"/>
        <v>0.42041179680096491</v>
      </c>
      <c r="X264" s="258">
        <f t="shared" si="113"/>
        <v>0.42099175720377213</v>
      </c>
      <c r="Y264" s="258">
        <f t="shared" si="113"/>
        <v>0.42113779320838829</v>
      </c>
      <c r="Z264" s="258">
        <f t="shared" si="113"/>
        <v>0.41783380018674138</v>
      </c>
      <c r="AA264" s="258">
        <f t="shared" si="113"/>
        <v>0.42355764900364001</v>
      </c>
      <c r="AB264" s="258">
        <f t="shared" si="113"/>
        <v>0.42642999029009143</v>
      </c>
      <c r="AC264" s="258">
        <f t="shared" si="113"/>
        <v>0.44923010660062451</v>
      </c>
      <c r="AD264" s="258">
        <f t="shared" si="113"/>
        <v>0.43337910220506259</v>
      </c>
      <c r="AE264" s="258">
        <f t="shared" si="113"/>
        <v>0.44457663166290046</v>
      </c>
      <c r="AF264" s="259">
        <f t="shared" si="111"/>
        <v>0.43178891383293133</v>
      </c>
      <c r="AG264" s="259">
        <f t="shared" si="111"/>
        <v>0.43879524138601811</v>
      </c>
    </row>
    <row r="265" spans="1:33">
      <c r="A265" s="240" t="s">
        <v>241</v>
      </c>
      <c r="B265" s="258">
        <f t="shared" si="113"/>
        <v>0.40284821853989095</v>
      </c>
      <c r="C265" s="258">
        <f t="shared" si="113"/>
        <v>0.40435551220701643</v>
      </c>
      <c r="D265" s="258">
        <f t="shared" si="113"/>
        <v>0.40501742731172546</v>
      </c>
      <c r="E265" s="258">
        <f t="shared" si="113"/>
        <v>0.41240427669953372</v>
      </c>
      <c r="F265" s="258">
        <f t="shared" si="113"/>
        <v>0.41972916327894916</v>
      </c>
      <c r="G265" s="258">
        <f t="shared" si="113"/>
        <v>0.39873790492217087</v>
      </c>
      <c r="H265" s="258">
        <f t="shared" si="113"/>
        <v>0.41057851063033984</v>
      </c>
      <c r="I265" s="258">
        <f t="shared" si="113"/>
        <v>0.42676665065937724</v>
      </c>
      <c r="J265" s="258">
        <f t="shared" si="113"/>
        <v>0.42279532741033232</v>
      </c>
      <c r="K265" s="258">
        <f t="shared" si="113"/>
        <v>0.42879746835443044</v>
      </c>
      <c r="L265" s="258">
        <f t="shared" si="113"/>
        <v>0.42545512446260819</v>
      </c>
      <c r="M265" s="258">
        <f t="shared" si="113"/>
        <v>0.44973837759083235</v>
      </c>
      <c r="N265" s="258">
        <f t="shared" si="113"/>
        <v>0.43105902752121844</v>
      </c>
      <c r="O265" s="258">
        <f t="shared" si="113"/>
        <v>0.40345053597479758</v>
      </c>
      <c r="P265" s="258">
        <f t="shared" si="113"/>
        <v>0.39844601646758665</v>
      </c>
      <c r="Q265" s="258">
        <f t="shared" si="113"/>
        <v>0.40609982777240267</v>
      </c>
      <c r="R265" s="258">
        <f t="shared" si="113"/>
        <v>0.40460998169857049</v>
      </c>
      <c r="S265" s="258">
        <f t="shared" si="113"/>
        <v>0.4093011407059356</v>
      </c>
      <c r="T265" s="258">
        <f t="shared" si="113"/>
        <v>0.42272046016121845</v>
      </c>
      <c r="U265" s="258">
        <f t="shared" si="113"/>
        <v>0.41102727649865173</v>
      </c>
      <c r="V265" s="258">
        <f t="shared" si="113"/>
        <v>0.43164332456730481</v>
      </c>
      <c r="W265" s="258">
        <f t="shared" si="113"/>
        <v>0.44165668879939041</v>
      </c>
      <c r="X265" s="258">
        <f t="shared" si="113"/>
        <v>0.40869559776760017</v>
      </c>
      <c r="Y265" s="258">
        <f t="shared" si="113"/>
        <v>0.39203150170037582</v>
      </c>
      <c r="Z265" s="258">
        <f t="shared" si="113"/>
        <v>0.41508720474438082</v>
      </c>
      <c r="AA265" s="258">
        <f t="shared" si="113"/>
        <v>0.44348238018790953</v>
      </c>
      <c r="AB265" s="258">
        <f t="shared" si="113"/>
        <v>0.42665142483873603</v>
      </c>
      <c r="AC265" s="258">
        <f t="shared" si="113"/>
        <v>0.43814150814287667</v>
      </c>
      <c r="AD265" s="258">
        <f t="shared" si="113"/>
        <v>0.43010069410499557</v>
      </c>
      <c r="AE265" s="258">
        <f t="shared" si="113"/>
        <v>0.45981892899777094</v>
      </c>
      <c r="AF265" s="259">
        <f t="shared" si="111"/>
        <v>0.43563120902886948</v>
      </c>
      <c r="AG265" s="259">
        <f t="shared" si="111"/>
        <v>0.44124152747859396</v>
      </c>
    </row>
    <row r="266" spans="1:33" ht="15.75" thickBot="1">
      <c r="A266" s="240" t="s">
        <v>255</v>
      </c>
      <c r="B266" s="258">
        <f>AVERAGE(B254:B265)</f>
        <v>0.40429916568256674</v>
      </c>
      <c r="C266" s="258">
        <f t="shared" ref="C266:AE266" si="114">AVERAGE(C254:C265)</f>
        <v>0.40578297955133236</v>
      </c>
      <c r="D266" s="258">
        <f t="shared" si="114"/>
        <v>0.39910098895601981</v>
      </c>
      <c r="E266" s="258">
        <f t="shared" si="114"/>
        <v>0.40441111464416307</v>
      </c>
      <c r="F266" s="258">
        <f t="shared" si="114"/>
        <v>0.40062873152755851</v>
      </c>
      <c r="G266" s="258">
        <f t="shared" si="114"/>
        <v>0.39274557245855363</v>
      </c>
      <c r="H266" s="258">
        <f t="shared" si="114"/>
        <v>0.40641002823485245</v>
      </c>
      <c r="I266" s="258">
        <f t="shared" si="114"/>
        <v>0.41994068894339032</v>
      </c>
      <c r="J266" s="258">
        <f t="shared" si="114"/>
        <v>0.41545813817957206</v>
      </c>
      <c r="K266" s="258">
        <f t="shared" si="114"/>
        <v>0.42431547455069962</v>
      </c>
      <c r="L266" s="258">
        <f t="shared" si="114"/>
        <v>0.42699151181595746</v>
      </c>
      <c r="M266" s="258">
        <f t="shared" si="114"/>
        <v>0.4242922115891552</v>
      </c>
      <c r="N266" s="258">
        <f t="shared" si="114"/>
        <v>0.42727380813273391</v>
      </c>
      <c r="O266" s="258">
        <f t="shared" si="114"/>
        <v>0.42099305144610044</v>
      </c>
      <c r="P266" s="258">
        <f t="shared" si="114"/>
        <v>0.39990764265599132</v>
      </c>
      <c r="Q266" s="258">
        <f t="shared" si="114"/>
        <v>0.4124367828057986</v>
      </c>
      <c r="R266" s="258">
        <f t="shared" si="114"/>
        <v>0.40930240377199173</v>
      </c>
      <c r="S266" s="258">
        <f t="shared" si="114"/>
        <v>0.40992960474214568</v>
      </c>
      <c r="T266" s="258">
        <f t="shared" si="114"/>
        <v>0.41945884501107722</v>
      </c>
      <c r="U266" s="258">
        <f t="shared" si="114"/>
        <v>0.41950492862293398</v>
      </c>
      <c r="V266" s="258">
        <f t="shared" si="114"/>
        <v>0.41910865651011958</v>
      </c>
      <c r="W266" s="258">
        <f t="shared" si="114"/>
        <v>0.42119390681102603</v>
      </c>
      <c r="X266" s="258">
        <f t="shared" si="114"/>
        <v>0.42127799644435776</v>
      </c>
      <c r="Y266" s="258">
        <f t="shared" si="114"/>
        <v>0.40991509984389657</v>
      </c>
      <c r="Z266" s="258">
        <f t="shared" si="114"/>
        <v>0.41724167660258366</v>
      </c>
      <c r="AA266" s="258">
        <f t="shared" si="114"/>
        <v>0.42551924714864614</v>
      </c>
      <c r="AB266" s="258">
        <f t="shared" si="114"/>
        <v>0.45338720309110991</v>
      </c>
      <c r="AC266" s="258">
        <f t="shared" si="114"/>
        <v>0.43043049251030091</v>
      </c>
      <c r="AD266" s="258">
        <f t="shared" si="114"/>
        <v>0.433067513654537</v>
      </c>
      <c r="AE266" s="258">
        <f t="shared" si="114"/>
        <v>0.44288515970642295</v>
      </c>
      <c r="AF266" s="259">
        <f>AF33/AF92</f>
        <v>0.43144302850663646</v>
      </c>
      <c r="AG266" s="259">
        <f>AG33/AG92</f>
        <v>0.43481349782866807</v>
      </c>
    </row>
    <row r="267" spans="1:33">
      <c r="A267" s="248"/>
      <c r="B267" s="248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48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48"/>
      <c r="AG267" s="248"/>
    </row>
    <row r="268" spans="1:33" ht="15.75" thickBot="1">
      <c r="A268" s="235" t="s">
        <v>264</v>
      </c>
    </row>
    <row r="269" spans="1:33" ht="15.75" thickBot="1">
      <c r="A269" s="236"/>
      <c r="B269" s="237">
        <f>B$2</f>
        <v>1993</v>
      </c>
      <c r="C269" s="237">
        <f t="shared" ref="C269:AG269" si="115">C$2</f>
        <v>1994</v>
      </c>
      <c r="D269" s="237">
        <f t="shared" si="115"/>
        <v>1995</v>
      </c>
      <c r="E269" s="237">
        <f t="shared" si="115"/>
        <v>1996</v>
      </c>
      <c r="F269" s="237">
        <f t="shared" si="115"/>
        <v>1997</v>
      </c>
      <c r="G269" s="237">
        <f t="shared" si="115"/>
        <v>1998</v>
      </c>
      <c r="H269" s="237">
        <f t="shared" si="115"/>
        <v>1999</v>
      </c>
      <c r="I269" s="237">
        <f t="shared" si="115"/>
        <v>2000</v>
      </c>
      <c r="J269" s="237">
        <f t="shared" si="115"/>
        <v>2001</v>
      </c>
      <c r="K269" s="237">
        <f t="shared" si="115"/>
        <v>2002</v>
      </c>
      <c r="L269" s="237">
        <f t="shared" si="115"/>
        <v>2003</v>
      </c>
      <c r="M269" s="237">
        <f t="shared" si="115"/>
        <v>2004</v>
      </c>
      <c r="N269" s="237">
        <f t="shared" si="115"/>
        <v>2005</v>
      </c>
      <c r="O269" s="237">
        <f t="shared" si="115"/>
        <v>2006</v>
      </c>
      <c r="P269" s="237">
        <f t="shared" si="115"/>
        <v>2007</v>
      </c>
      <c r="Q269" s="237">
        <f t="shared" si="115"/>
        <v>2008</v>
      </c>
      <c r="R269" s="237">
        <f t="shared" si="115"/>
        <v>2009</v>
      </c>
      <c r="S269" s="237">
        <f t="shared" si="115"/>
        <v>2010</v>
      </c>
      <c r="T269" s="237">
        <f t="shared" si="115"/>
        <v>2011</v>
      </c>
      <c r="U269" s="237">
        <f t="shared" si="115"/>
        <v>2012</v>
      </c>
      <c r="V269" s="237">
        <f t="shared" si="115"/>
        <v>2013</v>
      </c>
      <c r="W269" s="237">
        <f t="shared" si="115"/>
        <v>2014</v>
      </c>
      <c r="X269" s="237">
        <f t="shared" si="115"/>
        <v>2015</v>
      </c>
      <c r="Y269" s="237">
        <f t="shared" si="115"/>
        <v>2016</v>
      </c>
      <c r="Z269" s="237">
        <f t="shared" si="115"/>
        <v>2017</v>
      </c>
      <c r="AA269" s="237">
        <f t="shared" si="115"/>
        <v>2018</v>
      </c>
      <c r="AB269" s="237">
        <f t="shared" si="115"/>
        <v>2019</v>
      </c>
      <c r="AC269" s="237">
        <f t="shared" si="115"/>
        <v>2020</v>
      </c>
      <c r="AD269" s="237">
        <f t="shared" si="115"/>
        <v>2021</v>
      </c>
      <c r="AE269" s="237">
        <f t="shared" si="115"/>
        <v>2022</v>
      </c>
      <c r="AF269" s="237">
        <f t="shared" si="115"/>
        <v>2023</v>
      </c>
      <c r="AG269" s="237">
        <f t="shared" si="115"/>
        <v>2024</v>
      </c>
    </row>
    <row r="270" spans="1:33">
      <c r="A270" s="240" t="s">
        <v>231</v>
      </c>
      <c r="B270" s="258">
        <f t="shared" ref="B270:AD278" si="116">B254+B143</f>
        <v>0.81678397461061691</v>
      </c>
      <c r="C270" s="258">
        <f t="shared" si="116"/>
        <v>0.84159702558717964</v>
      </c>
      <c r="D270" s="258">
        <f t="shared" si="116"/>
        <v>0.82931394569886119</v>
      </c>
      <c r="E270" s="258">
        <f t="shared" si="116"/>
        <v>0.82114216633031989</v>
      </c>
      <c r="F270" s="258">
        <f t="shared" si="116"/>
        <v>0.8465161431747722</v>
      </c>
      <c r="G270" s="258">
        <f t="shared" si="116"/>
        <v>0.80508635066862966</v>
      </c>
      <c r="H270" s="258">
        <f t="shared" si="116"/>
        <v>0.83649058894960526</v>
      </c>
      <c r="I270" s="258">
        <f t="shared" si="116"/>
        <v>0.84260737865219748</v>
      </c>
      <c r="J270" s="258">
        <f t="shared" si="116"/>
        <v>0.8093991541851967</v>
      </c>
      <c r="K270" s="258">
        <f t="shared" si="116"/>
        <v>0.83894855905412857</v>
      </c>
      <c r="L270" s="258">
        <f t="shared" si="116"/>
        <v>0.83632004748721989</v>
      </c>
      <c r="M270" s="258">
        <f t="shared" si="116"/>
        <v>0.84382246976975317</v>
      </c>
      <c r="N270" s="258">
        <f t="shared" si="116"/>
        <v>0.81692208435796498</v>
      </c>
      <c r="O270" s="258">
        <f t="shared" si="116"/>
        <v>0.83803887194838866</v>
      </c>
      <c r="P270" s="258">
        <f t="shared" si="116"/>
        <v>0.82656019572101591</v>
      </c>
      <c r="Q270" s="258">
        <f t="shared" si="116"/>
        <v>0.8160771516568518</v>
      </c>
      <c r="R270" s="258">
        <f t="shared" si="116"/>
        <v>0.81220449377044046</v>
      </c>
      <c r="S270" s="258">
        <f t="shared" si="116"/>
        <v>0.81797593026624182</v>
      </c>
      <c r="T270" s="258">
        <f t="shared" si="116"/>
        <v>0.82923597327444021</v>
      </c>
      <c r="U270" s="258">
        <f t="shared" si="116"/>
        <v>0.89500869044587128</v>
      </c>
      <c r="V270" s="258">
        <f t="shared" si="116"/>
        <v>0.83039502868990778</v>
      </c>
      <c r="W270" s="258">
        <f t="shared" si="116"/>
        <v>0.85074882753738601</v>
      </c>
      <c r="X270" s="258">
        <f t="shared" si="116"/>
        <v>0.89086773162939303</v>
      </c>
      <c r="Y270" s="258">
        <f t="shared" si="116"/>
        <v>0.8138987160631237</v>
      </c>
      <c r="Z270" s="258">
        <f t="shared" si="116"/>
        <v>0.81181850841335645</v>
      </c>
      <c r="AA270" s="258">
        <f t="shared" si="116"/>
        <v>0.8476360159916565</v>
      </c>
      <c r="AB270" s="258">
        <f t="shared" si="116"/>
        <v>0.80879037652313313</v>
      </c>
      <c r="AC270" s="258">
        <f t="shared" si="116"/>
        <v>0.87520402261000041</v>
      </c>
      <c r="AD270" s="258">
        <f t="shared" si="116"/>
        <v>0.86089320058486973</v>
      </c>
      <c r="AE270" s="258">
        <f>AE254+AE143</f>
        <v>0.86665295530297093</v>
      </c>
      <c r="AF270" s="258">
        <f>AF254+AF143</f>
        <v>0.84896042267990801</v>
      </c>
      <c r="AG270" s="259">
        <f t="shared" ref="AG270:AG282" si="117">AG254+AG143</f>
        <v>0.84221328147436214</v>
      </c>
    </row>
    <row r="271" spans="1:33">
      <c r="A271" s="240" t="s">
        <v>232</v>
      </c>
      <c r="B271" s="258">
        <f t="shared" si="116"/>
        <v>0.83226797723386625</v>
      </c>
      <c r="C271" s="258">
        <f t="shared" si="116"/>
        <v>0.83564345984602084</v>
      </c>
      <c r="D271" s="258">
        <f t="shared" si="116"/>
        <v>0.83249022181875865</v>
      </c>
      <c r="E271" s="258">
        <f t="shared" si="116"/>
        <v>0.82949629539080072</v>
      </c>
      <c r="F271" s="258">
        <f t="shared" si="116"/>
        <v>0.82190647149351093</v>
      </c>
      <c r="G271" s="258">
        <f t="shared" si="116"/>
        <v>0.83422831297748712</v>
      </c>
      <c r="H271" s="258">
        <f t="shared" si="116"/>
        <v>0.83411358420394821</v>
      </c>
      <c r="I271" s="258">
        <f t="shared" si="116"/>
        <v>0.85500769747826277</v>
      </c>
      <c r="J271" s="258">
        <f t="shared" si="116"/>
        <v>0.82223888037786508</v>
      </c>
      <c r="K271" s="258">
        <f t="shared" si="116"/>
        <v>0.82163331409326013</v>
      </c>
      <c r="L271" s="258">
        <f t="shared" si="116"/>
        <v>0.83297156027631181</v>
      </c>
      <c r="M271" s="258">
        <f t="shared" si="116"/>
        <v>0.80792441940704873</v>
      </c>
      <c r="N271" s="258">
        <f t="shared" si="116"/>
        <v>0.8330230937263603</v>
      </c>
      <c r="O271" s="258">
        <f t="shared" si="116"/>
        <v>0.85322180681162774</v>
      </c>
      <c r="P271" s="258">
        <f t="shared" si="116"/>
        <v>0.835284677505303</v>
      </c>
      <c r="Q271" s="258">
        <f t="shared" si="116"/>
        <v>0.81867396307952467</v>
      </c>
      <c r="R271" s="258">
        <f t="shared" si="116"/>
        <v>0.83426347122576705</v>
      </c>
      <c r="S271" s="258">
        <f t="shared" si="116"/>
        <v>0.77852402472480553</v>
      </c>
      <c r="T271" s="258">
        <f t="shared" si="116"/>
        <v>0.88673920138266427</v>
      </c>
      <c r="U271" s="258">
        <f t="shared" si="116"/>
        <v>0.85573263129596056</v>
      </c>
      <c r="V271" s="258">
        <f t="shared" si="116"/>
        <v>0.82482787579546346</v>
      </c>
      <c r="W271" s="258">
        <f t="shared" si="116"/>
        <v>0.81431500286385705</v>
      </c>
      <c r="X271" s="258">
        <f t="shared" si="116"/>
        <v>0.90638983784824123</v>
      </c>
      <c r="Y271" s="258">
        <f t="shared" si="116"/>
        <v>0.81527114811757539</v>
      </c>
      <c r="Z271" s="258">
        <f t="shared" si="116"/>
        <v>0.83595665391781904</v>
      </c>
      <c r="AA271" s="258">
        <f t="shared" si="116"/>
        <v>0.83154965971169603</v>
      </c>
      <c r="AB271" s="258">
        <f t="shared" si="116"/>
        <v>0.79519360626066837</v>
      </c>
      <c r="AC271" s="258">
        <f t="shared" si="116"/>
        <v>0.86456416539340297</v>
      </c>
      <c r="AD271" s="258">
        <f t="shared" si="116"/>
        <v>0.85214281844286732</v>
      </c>
      <c r="AE271" s="258">
        <f t="shared" ref="AE271:AF280" si="118">AE255+AE144</f>
        <v>0.85105977512863407</v>
      </c>
      <c r="AF271" s="258">
        <f t="shared" si="118"/>
        <v>0.87574824277162944</v>
      </c>
      <c r="AG271" s="259">
        <f t="shared" si="117"/>
        <v>0.83896752932355834</v>
      </c>
    </row>
    <row r="272" spans="1:33">
      <c r="A272" s="240" t="s">
        <v>233</v>
      </c>
      <c r="B272" s="258">
        <f t="shared" si="116"/>
        <v>0.84435494961810753</v>
      </c>
      <c r="C272" s="258">
        <f t="shared" si="116"/>
        <v>0.81578444232009073</v>
      </c>
      <c r="D272" s="258">
        <f t="shared" si="116"/>
        <v>0.84481796592886482</v>
      </c>
      <c r="E272" s="258">
        <f t="shared" si="116"/>
        <v>0.82586791166715945</v>
      </c>
      <c r="F272" s="258">
        <f t="shared" si="116"/>
        <v>0.83038984635234958</v>
      </c>
      <c r="G272" s="258">
        <f t="shared" si="116"/>
        <v>0.83642420917811944</v>
      </c>
      <c r="H272" s="258">
        <f t="shared" si="116"/>
        <v>0.82725424258115177</v>
      </c>
      <c r="I272" s="258">
        <f t="shared" si="116"/>
        <v>0.83962905075573013</v>
      </c>
      <c r="J272" s="258">
        <f t="shared" si="116"/>
        <v>0.83173879968428843</v>
      </c>
      <c r="K272" s="258">
        <f t="shared" si="116"/>
        <v>0.8321413358323394</v>
      </c>
      <c r="L272" s="258">
        <f t="shared" si="116"/>
        <v>0.83965619325022955</v>
      </c>
      <c r="M272" s="258">
        <f t="shared" si="116"/>
        <v>0.83495958561156591</v>
      </c>
      <c r="N272" s="258">
        <f t="shared" si="116"/>
        <v>0.84838196882663974</v>
      </c>
      <c r="O272" s="258">
        <f t="shared" si="116"/>
        <v>0.84515122342272053</v>
      </c>
      <c r="P272" s="258">
        <f t="shared" si="116"/>
        <v>0.83038645721017157</v>
      </c>
      <c r="Q272" s="258">
        <f t="shared" si="116"/>
        <v>0.85656294634338148</v>
      </c>
      <c r="R272" s="258">
        <f t="shared" si="116"/>
        <v>0.83700759822728288</v>
      </c>
      <c r="S272" s="258">
        <f t="shared" si="116"/>
        <v>0.83414257024154459</v>
      </c>
      <c r="T272" s="258">
        <f t="shared" si="116"/>
        <v>0.85716750398970842</v>
      </c>
      <c r="U272" s="258">
        <f t="shared" si="116"/>
        <v>0.85058124953637804</v>
      </c>
      <c r="V272" s="258">
        <f t="shared" si="116"/>
        <v>0.84430863849125648</v>
      </c>
      <c r="W272" s="258">
        <f t="shared" si="116"/>
        <v>0.8547988157549562</v>
      </c>
      <c r="X272" s="258">
        <f t="shared" si="116"/>
        <v>0.84999731708967219</v>
      </c>
      <c r="Y272" s="258">
        <f t="shared" si="116"/>
        <v>0.83259067407868137</v>
      </c>
      <c r="Z272" s="258">
        <f t="shared" si="116"/>
        <v>0.83487184417020155</v>
      </c>
      <c r="AA272" s="258">
        <f t="shared" si="116"/>
        <v>0.83120084994332011</v>
      </c>
      <c r="AB272" s="258">
        <f t="shared" si="116"/>
        <v>1.1514242538723085</v>
      </c>
      <c r="AC272" s="258">
        <f t="shared" si="116"/>
        <v>0.8371157517723149</v>
      </c>
      <c r="AD272" s="258">
        <f t="shared" si="116"/>
        <v>0.82336892936762818</v>
      </c>
      <c r="AE272" s="258">
        <f t="shared" si="118"/>
        <v>0.81669889109823901</v>
      </c>
      <c r="AF272" s="258">
        <f t="shared" si="118"/>
        <v>0.87625773121517569</v>
      </c>
      <c r="AG272" s="259">
        <f t="shared" si="117"/>
        <v>0.84608009763046188</v>
      </c>
    </row>
    <row r="273" spans="1:39">
      <c r="A273" s="240" t="s">
        <v>234</v>
      </c>
      <c r="B273" s="258">
        <f t="shared" si="116"/>
        <v>0.82952211149827515</v>
      </c>
      <c r="C273" s="258">
        <f t="shared" si="116"/>
        <v>0.81403668069875335</v>
      </c>
      <c r="D273" s="258">
        <f t="shared" si="116"/>
        <v>0.85019966748254983</v>
      </c>
      <c r="E273" s="258">
        <f t="shared" si="116"/>
        <v>0.82720130436978312</v>
      </c>
      <c r="F273" s="258">
        <f t="shared" si="116"/>
        <v>0.80967123737709534</v>
      </c>
      <c r="G273" s="258">
        <f t="shared" si="116"/>
        <v>0.81144523298343074</v>
      </c>
      <c r="H273" s="258">
        <f t="shared" si="116"/>
        <v>0.83827630973918521</v>
      </c>
      <c r="I273" s="258">
        <f t="shared" si="116"/>
        <v>0.82289962463336974</v>
      </c>
      <c r="J273" s="258">
        <f t="shared" si="116"/>
        <v>0.83694698378604926</v>
      </c>
      <c r="K273" s="258">
        <f t="shared" si="116"/>
        <v>0.82868168746456361</v>
      </c>
      <c r="L273" s="258">
        <f t="shared" si="116"/>
        <v>0.84892544906380851</v>
      </c>
      <c r="M273" s="258">
        <f t="shared" si="116"/>
        <v>0.82216782844676217</v>
      </c>
      <c r="N273" s="258">
        <f t="shared" si="116"/>
        <v>0.89966208946196047</v>
      </c>
      <c r="O273" s="258">
        <f t="shared" si="116"/>
        <v>0.84361800742995396</v>
      </c>
      <c r="P273" s="258">
        <f t="shared" si="116"/>
        <v>0.83002172321786971</v>
      </c>
      <c r="Q273" s="258">
        <f t="shared" si="116"/>
        <v>0.8290535290230282</v>
      </c>
      <c r="R273" s="258">
        <f t="shared" si="116"/>
        <v>0.8275584029315981</v>
      </c>
      <c r="S273" s="258">
        <f t="shared" si="116"/>
        <v>0.87991487478929009</v>
      </c>
      <c r="T273" s="258">
        <f t="shared" si="116"/>
        <v>0.86248470147023193</v>
      </c>
      <c r="U273" s="258">
        <f t="shared" si="116"/>
        <v>0.85113159402176741</v>
      </c>
      <c r="V273" s="258">
        <f t="shared" si="116"/>
        <v>0.85333956587752335</v>
      </c>
      <c r="W273" s="258">
        <f t="shared" si="116"/>
        <v>0.85582640035393265</v>
      </c>
      <c r="X273" s="258">
        <f t="shared" si="116"/>
        <v>0.8525789983021087</v>
      </c>
      <c r="Y273" s="258">
        <f t="shared" si="116"/>
        <v>0.82731855046742475</v>
      </c>
      <c r="Z273" s="258">
        <f t="shared" si="116"/>
        <v>0.83744273920430834</v>
      </c>
      <c r="AA273" s="258">
        <f t="shared" si="116"/>
        <v>0.84069411276087624</v>
      </c>
      <c r="AB273" s="258">
        <f t="shared" si="116"/>
        <v>1.1219761511034827</v>
      </c>
      <c r="AC273" s="258">
        <f t="shared" si="116"/>
        <v>0.8242197517566805</v>
      </c>
      <c r="AD273" s="258">
        <f t="shared" si="116"/>
        <v>0.8246077189128731</v>
      </c>
      <c r="AE273" s="258">
        <f t="shared" si="118"/>
        <v>0.85100544187260052</v>
      </c>
      <c r="AF273" s="258">
        <f t="shared" si="118"/>
        <v>0.87706594423405293</v>
      </c>
      <c r="AG273" s="259">
        <f t="shared" si="117"/>
        <v>0.85019907458984378</v>
      </c>
    </row>
    <row r="274" spans="1:39">
      <c r="A274" s="240" t="s">
        <v>46</v>
      </c>
      <c r="B274" s="258">
        <f t="shared" si="116"/>
        <v>0.82766532304377072</v>
      </c>
      <c r="C274" s="258">
        <f t="shared" si="116"/>
        <v>0.80617943790535673</v>
      </c>
      <c r="D274" s="258">
        <f t="shared" si="116"/>
        <v>0.81684226627965106</v>
      </c>
      <c r="E274" s="258">
        <f t="shared" si="116"/>
        <v>0.81259207421716595</v>
      </c>
      <c r="F274" s="258">
        <f t="shared" si="116"/>
        <v>0.80638755942135343</v>
      </c>
      <c r="G274" s="258">
        <f t="shared" si="116"/>
        <v>0.79872121071375901</v>
      </c>
      <c r="H274" s="258">
        <f t="shared" si="116"/>
        <v>0.81456080315352508</v>
      </c>
      <c r="I274" s="258">
        <f t="shared" si="116"/>
        <v>0.8054074699938657</v>
      </c>
      <c r="J274" s="258">
        <f t="shared" si="116"/>
        <v>0.83469370792120356</v>
      </c>
      <c r="K274" s="258">
        <f t="shared" si="116"/>
        <v>0.83632197648934059</v>
      </c>
      <c r="L274" s="258">
        <f t="shared" si="116"/>
        <v>0.8165055896451715</v>
      </c>
      <c r="M274" s="258">
        <f t="shared" si="116"/>
        <v>0.83488428569214146</v>
      </c>
      <c r="N274" s="258">
        <f t="shared" si="116"/>
        <v>0.84111923702800362</v>
      </c>
      <c r="O274" s="258">
        <f t="shared" si="116"/>
        <v>0.90745937120860354</v>
      </c>
      <c r="P274" s="258">
        <f t="shared" si="116"/>
        <v>0.80160207262781258</v>
      </c>
      <c r="Q274" s="258">
        <f t="shared" si="116"/>
        <v>0.83315567413686353</v>
      </c>
      <c r="R274" s="258">
        <f t="shared" si="116"/>
        <v>0.8216681737932221</v>
      </c>
      <c r="S274" s="258">
        <f t="shared" si="116"/>
        <v>0.85380414460010612</v>
      </c>
      <c r="T274" s="258">
        <f t="shared" si="116"/>
        <v>0.86231870587316761</v>
      </c>
      <c r="U274" s="258">
        <f t="shared" si="116"/>
        <v>0.84624728752430411</v>
      </c>
      <c r="V274" s="258">
        <f t="shared" si="116"/>
        <v>0.87601207324965036</v>
      </c>
      <c r="W274" s="258">
        <f t="shared" si="116"/>
        <v>0.85477958048754132</v>
      </c>
      <c r="X274" s="258">
        <f t="shared" si="116"/>
        <v>0.84946730729057862</v>
      </c>
      <c r="Y274" s="258">
        <f t="shared" si="116"/>
        <v>0.837279860986609</v>
      </c>
      <c r="Z274" s="258">
        <f t="shared" si="116"/>
        <v>0.84021774239516644</v>
      </c>
      <c r="AA274" s="258">
        <f t="shared" si="116"/>
        <v>0.84806242228585116</v>
      </c>
      <c r="AB274" s="258">
        <f t="shared" si="116"/>
        <v>0.82767559974902338</v>
      </c>
      <c r="AC274" s="258">
        <f t="shared" si="116"/>
        <v>0.8240618989143782</v>
      </c>
      <c r="AD274" s="258">
        <f t="shared" si="116"/>
        <v>0.80535319049795251</v>
      </c>
      <c r="AE274" s="258">
        <f t="shared" si="118"/>
        <v>0.84885747000547629</v>
      </c>
      <c r="AF274" s="258">
        <f t="shared" si="118"/>
        <v>0.86806038382780137</v>
      </c>
      <c r="AG274" s="259">
        <f t="shared" si="117"/>
        <v>0.84447890083521937</v>
      </c>
    </row>
    <row r="275" spans="1:39">
      <c r="A275" s="240" t="s">
        <v>235</v>
      </c>
      <c r="B275" s="258">
        <f t="shared" si="116"/>
        <v>0.83550246159499353</v>
      </c>
      <c r="C275" s="258">
        <f t="shared" si="116"/>
        <v>0.81010817559229564</v>
      </c>
      <c r="D275" s="258">
        <f t="shared" si="116"/>
        <v>0.80662455565658453</v>
      </c>
      <c r="E275" s="258">
        <f t="shared" si="116"/>
        <v>0.79894952169595812</v>
      </c>
      <c r="F275" s="258">
        <f t="shared" si="116"/>
        <v>0.78594510759002856</v>
      </c>
      <c r="G275" s="258">
        <f t="shared" si="116"/>
        <v>0.78985609200875939</v>
      </c>
      <c r="H275" s="258">
        <f t="shared" si="116"/>
        <v>0.83422607727631148</v>
      </c>
      <c r="I275" s="258">
        <f t="shared" si="116"/>
        <v>0.81351518108247722</v>
      </c>
      <c r="J275" s="258">
        <f t="shared" si="116"/>
        <v>0.84125031866220024</v>
      </c>
      <c r="K275" s="258">
        <f t="shared" si="116"/>
        <v>0.8402491194110937</v>
      </c>
      <c r="L275" s="258">
        <f t="shared" si="116"/>
        <v>0.84829108812419984</v>
      </c>
      <c r="M275" s="258">
        <f t="shared" si="116"/>
        <v>0.83195551240519472</v>
      </c>
      <c r="N275" s="258">
        <f t="shared" si="116"/>
        <v>0.84706398479148115</v>
      </c>
      <c r="O275" s="258">
        <f t="shared" si="116"/>
        <v>0.84246962052854579</v>
      </c>
      <c r="P275" s="258">
        <f t="shared" si="116"/>
        <v>0.82668729687399267</v>
      </c>
      <c r="Q275" s="258">
        <f t="shared" si="116"/>
        <v>0.84239293006802018</v>
      </c>
      <c r="R275" s="258">
        <f t="shared" si="116"/>
        <v>0.82941521468194812</v>
      </c>
      <c r="S275" s="258">
        <f t="shared" si="116"/>
        <v>0.8390305209843536</v>
      </c>
      <c r="T275" s="258">
        <f t="shared" si="116"/>
        <v>0.86479187251399769</v>
      </c>
      <c r="U275" s="258">
        <f t="shared" si="116"/>
        <v>0.85273874468119604</v>
      </c>
      <c r="V275" s="258">
        <f t="shared" si="116"/>
        <v>0.86650979364804626</v>
      </c>
      <c r="W275" s="258">
        <f t="shared" si="116"/>
        <v>0.8291105387457518</v>
      </c>
      <c r="X275" s="258">
        <f t="shared" si="116"/>
        <v>0.83513508011156579</v>
      </c>
      <c r="Y275" s="258">
        <f t="shared" si="116"/>
        <v>0.81973370744022311</v>
      </c>
      <c r="Z275" s="258">
        <f t="shared" si="116"/>
        <v>0.82218668448857479</v>
      </c>
      <c r="AA275" s="258">
        <f t="shared" si="116"/>
        <v>0.8536086083039085</v>
      </c>
      <c r="AB275" s="258">
        <f t="shared" si="116"/>
        <v>0.82078144948395826</v>
      </c>
      <c r="AC275" s="258">
        <f t="shared" si="116"/>
        <v>0.83101681154238649</v>
      </c>
      <c r="AD275" s="258">
        <f t="shared" si="116"/>
        <v>0.83124008767883129</v>
      </c>
      <c r="AE275" s="258">
        <f t="shared" si="118"/>
        <v>0.89909896237476405</v>
      </c>
      <c r="AF275" s="258">
        <f t="shared" si="118"/>
        <v>0.89626695467837081</v>
      </c>
      <c r="AG275" s="259">
        <f t="shared" si="117"/>
        <v>0.84746556835154463</v>
      </c>
    </row>
    <row r="276" spans="1:39">
      <c r="A276" s="240" t="s">
        <v>236</v>
      </c>
      <c r="B276" s="258">
        <f t="shared" si="116"/>
        <v>0.79795559574040587</v>
      </c>
      <c r="C276" s="258">
        <f t="shared" si="116"/>
        <v>0.821078392270852</v>
      </c>
      <c r="D276" s="258">
        <f t="shared" si="116"/>
        <v>0.82244473801212137</v>
      </c>
      <c r="E276" s="258">
        <f t="shared" si="116"/>
        <v>0.81795069936305143</v>
      </c>
      <c r="F276" s="258">
        <f t="shared" si="116"/>
        <v>0.80804444692839617</v>
      </c>
      <c r="G276" s="258">
        <f t="shared" si="116"/>
        <v>0.80875510525567584</v>
      </c>
      <c r="H276" s="258">
        <f t="shared" si="116"/>
        <v>0.80449739647189489</v>
      </c>
      <c r="I276" s="258">
        <f t="shared" si="116"/>
        <v>0.82011570185811045</v>
      </c>
      <c r="J276" s="258">
        <f t="shared" si="116"/>
        <v>0.81130080072518496</v>
      </c>
      <c r="K276" s="258">
        <f t="shared" si="116"/>
        <v>0.82977815699658697</v>
      </c>
      <c r="L276" s="258">
        <f t="shared" si="116"/>
        <v>0.85343246277350615</v>
      </c>
      <c r="M276" s="258">
        <f t="shared" si="116"/>
        <v>0.84287781932215644</v>
      </c>
      <c r="N276" s="258">
        <f t="shared" si="116"/>
        <v>0.85761130180772382</v>
      </c>
      <c r="O276" s="258">
        <f t="shared" si="116"/>
        <v>0.84192492232323968</v>
      </c>
      <c r="P276" s="258">
        <f t="shared" si="116"/>
        <v>0.82591538289796829</v>
      </c>
      <c r="Q276" s="258">
        <f t="shared" si="116"/>
        <v>0.83660630377515599</v>
      </c>
      <c r="R276" s="258">
        <f t="shared" si="116"/>
        <v>0.87813707038448163</v>
      </c>
      <c r="S276" s="258">
        <f t="shared" si="116"/>
        <v>0.86219720921973564</v>
      </c>
      <c r="T276" s="258">
        <f t="shared" si="116"/>
        <v>0.86878307889256168</v>
      </c>
      <c r="U276" s="258">
        <f t="shared" si="116"/>
        <v>0.85429791793967236</v>
      </c>
      <c r="V276" s="258">
        <f t="shared" si="116"/>
        <v>0.87353017881643247</v>
      </c>
      <c r="W276" s="258">
        <f t="shared" si="116"/>
        <v>0.86903612821117815</v>
      </c>
      <c r="X276" s="258">
        <f t="shared" si="116"/>
        <v>0.8340328737024465</v>
      </c>
      <c r="Y276" s="258">
        <f t="shared" si="116"/>
        <v>0.81715232888773093</v>
      </c>
      <c r="Z276" s="258">
        <f t="shared" si="116"/>
        <v>0.82360232424252899</v>
      </c>
      <c r="AA276" s="258">
        <f t="shared" si="116"/>
        <v>0.83660615362065172</v>
      </c>
      <c r="AB276" s="258">
        <f t="shared" si="116"/>
        <v>0.87101958754198627</v>
      </c>
      <c r="AC276" s="258">
        <f t="shared" si="116"/>
        <v>0.83826590331411877</v>
      </c>
      <c r="AD276" s="258">
        <f t="shared" si="116"/>
        <v>0.83787025448477248</v>
      </c>
      <c r="AE276" s="258">
        <f t="shared" si="118"/>
        <v>0.88896896345243837</v>
      </c>
      <c r="AF276" s="258">
        <f t="shared" si="118"/>
        <v>0.90848234823109297</v>
      </c>
      <c r="AG276" s="259">
        <f t="shared" si="117"/>
        <v>0.85259342821878037</v>
      </c>
    </row>
    <row r="277" spans="1:39">
      <c r="A277" s="240" t="s">
        <v>237</v>
      </c>
      <c r="B277" s="258">
        <f t="shared" si="116"/>
        <v>0.84912879865920377</v>
      </c>
      <c r="C277" s="258">
        <f t="shared" si="116"/>
        <v>0.87408547449184604</v>
      </c>
      <c r="D277" s="258">
        <f t="shared" si="116"/>
        <v>0.81247930899569631</v>
      </c>
      <c r="E277" s="258">
        <f t="shared" si="116"/>
        <v>0.84001513746934375</v>
      </c>
      <c r="F277" s="258">
        <f t="shared" si="116"/>
        <v>0.80409316174821044</v>
      </c>
      <c r="G277" s="258">
        <f t="shared" si="116"/>
        <v>0.79522286874220927</v>
      </c>
      <c r="H277" s="258">
        <f t="shared" si="116"/>
        <v>0.80513251925345175</v>
      </c>
      <c r="I277" s="258">
        <f t="shared" si="116"/>
        <v>0.8258555551831297</v>
      </c>
      <c r="J277" s="258">
        <f t="shared" si="116"/>
        <v>0.84061014655400057</v>
      </c>
      <c r="K277" s="258">
        <f t="shared" si="116"/>
        <v>0.8357175027344671</v>
      </c>
      <c r="L277" s="258">
        <f t="shared" si="116"/>
        <v>0.83853034252094338</v>
      </c>
      <c r="M277" s="258">
        <f t="shared" si="116"/>
        <v>0.8517886188706052</v>
      </c>
      <c r="N277" s="258">
        <f t="shared" si="116"/>
        <v>0.84437365257921937</v>
      </c>
      <c r="O277" s="258">
        <f t="shared" si="116"/>
        <v>0.84872579118340152</v>
      </c>
      <c r="P277" s="258">
        <f t="shared" si="116"/>
        <v>0.83411138331392443</v>
      </c>
      <c r="Q277" s="258">
        <f t="shared" si="116"/>
        <v>0.82811767179337892</v>
      </c>
      <c r="R277" s="258">
        <f t="shared" si="116"/>
        <v>0.83835777484293061</v>
      </c>
      <c r="S277" s="258">
        <f t="shared" si="116"/>
        <v>0.85501241656246141</v>
      </c>
      <c r="T277" s="258">
        <f t="shared" si="116"/>
        <v>0.87250274595060984</v>
      </c>
      <c r="U277" s="258">
        <f t="shared" si="116"/>
        <v>0.84614211546542684</v>
      </c>
      <c r="V277" s="258">
        <f t="shared" si="116"/>
        <v>0.86144064262387654</v>
      </c>
      <c r="W277" s="258">
        <f t="shared" si="116"/>
        <v>0.84800938535527826</v>
      </c>
      <c r="X277" s="258">
        <f t="shared" si="116"/>
        <v>0.85073968844910364</v>
      </c>
      <c r="Y277" s="258">
        <f t="shared" si="116"/>
        <v>0.80383758558729368</v>
      </c>
      <c r="Z277" s="258">
        <f t="shared" si="116"/>
        <v>0.82913025218486891</v>
      </c>
      <c r="AA277" s="258">
        <f t="shared" si="116"/>
        <v>0.83296388901271246</v>
      </c>
      <c r="AB277" s="258">
        <f t="shared" si="116"/>
        <v>0.84049099899031088</v>
      </c>
      <c r="AC277" s="258">
        <f t="shared" si="116"/>
        <v>0.82888496096626896</v>
      </c>
      <c r="AD277" s="258">
        <f t="shared" si="116"/>
        <v>0.82541159675525677</v>
      </c>
      <c r="AE277" s="258">
        <f t="shared" si="118"/>
        <v>0.89334016229453106</v>
      </c>
      <c r="AF277" s="258">
        <f t="shared" si="118"/>
        <v>0.90152980699297935</v>
      </c>
      <c r="AG277" s="259">
        <f t="shared" si="117"/>
        <v>0.84859815616447642</v>
      </c>
    </row>
    <row r="278" spans="1:39">
      <c r="A278" s="240" t="s">
        <v>238</v>
      </c>
      <c r="B278" s="258">
        <f t="shared" si="116"/>
        <v>0.84468019253551341</v>
      </c>
      <c r="C278" s="258">
        <f t="shared" si="116"/>
        <v>0.81102034991101113</v>
      </c>
      <c r="D278" s="258">
        <f t="shared" si="116"/>
        <v>0.81114365780734565</v>
      </c>
      <c r="E278" s="258">
        <f t="shared" si="116"/>
        <v>0.8297689101731478</v>
      </c>
      <c r="F278" s="258">
        <f t="shared" si="116"/>
        <v>0.80814780137828923</v>
      </c>
      <c r="G278" s="258">
        <f t="shared" si="116"/>
        <v>0.81168975348825478</v>
      </c>
      <c r="H278" s="258">
        <f t="shared" si="116"/>
        <v>0.81439415477341226</v>
      </c>
      <c r="I278" s="258">
        <f t="shared" si="116"/>
        <v>0.83108040803030359</v>
      </c>
      <c r="J278" s="258">
        <f t="shared" si="116"/>
        <v>0.85313412529264254</v>
      </c>
      <c r="K278" s="258">
        <f t="shared" si="116"/>
        <v>0.85113421038384496</v>
      </c>
      <c r="L278" s="258">
        <f t="shared" si="116"/>
        <v>0.85234700916466855</v>
      </c>
      <c r="M278" s="258">
        <f t="shared" si="116"/>
        <v>0.84446816652903378</v>
      </c>
      <c r="N278" s="258">
        <f t="shared" si="116"/>
        <v>0.85118160933553288</v>
      </c>
      <c r="O278" s="258">
        <f t="shared" si="116"/>
        <v>0.8557449674231421</v>
      </c>
      <c r="P278" s="258">
        <f t="shared" si="116"/>
        <v>0.8620305951600995</v>
      </c>
      <c r="Q278" s="258">
        <f t="shared" si="116"/>
        <v>0.84221982011620189</v>
      </c>
      <c r="R278" s="258">
        <f t="shared" si="116"/>
        <v>0.83432155740218783</v>
      </c>
      <c r="S278" s="258">
        <f t="shared" si="116"/>
        <v>0.83640011933518754</v>
      </c>
      <c r="T278" s="258">
        <f t="shared" si="116"/>
        <v>0.86662732369430506</v>
      </c>
      <c r="U278" s="258">
        <f t="shared" si="116"/>
        <v>0.86290540164366203</v>
      </c>
      <c r="V278" s="258">
        <f t="shared" si="116"/>
        <v>0.87484360050047849</v>
      </c>
      <c r="W278" s="258">
        <f t="shared" si="116"/>
        <v>0.81460078815776393</v>
      </c>
      <c r="X278" s="258">
        <f t="shared" si="116"/>
        <v>0.85873169203456656</v>
      </c>
      <c r="Y278" s="258">
        <f t="shared" ref="B278:AZ282" si="119">Y262+Y151</f>
        <v>0.83188796341662585</v>
      </c>
      <c r="Z278" s="258">
        <f t="shared" si="119"/>
        <v>0.83287692219307152</v>
      </c>
      <c r="AA278" s="258">
        <f t="shared" si="119"/>
        <v>0.85396141720064644</v>
      </c>
      <c r="AB278" s="258">
        <f t="shared" si="119"/>
        <v>0.8550085984522785</v>
      </c>
      <c r="AC278" s="258">
        <f t="shared" si="119"/>
        <v>0.81673000144307084</v>
      </c>
      <c r="AD278" s="258">
        <f t="shared" si="119"/>
        <v>0.86318143889083654</v>
      </c>
      <c r="AE278" s="258">
        <f t="shared" si="118"/>
        <v>0.90307267818467707</v>
      </c>
      <c r="AF278" s="259">
        <f t="shared" si="119"/>
        <v>0.83061097647749627</v>
      </c>
      <c r="AG278" s="259">
        <f t="shared" si="117"/>
        <v>0.85681613365571252</v>
      </c>
    </row>
    <row r="279" spans="1:39">
      <c r="A279" s="240" t="s">
        <v>239</v>
      </c>
      <c r="B279" s="258">
        <f t="shared" si="119"/>
        <v>0.83933672508008283</v>
      </c>
      <c r="C279" s="258">
        <f t="shared" si="119"/>
        <v>0.82361345371564632</v>
      </c>
      <c r="D279" s="258">
        <f t="shared" si="119"/>
        <v>0.81851312125499232</v>
      </c>
      <c r="E279" s="258">
        <f t="shared" si="119"/>
        <v>0.83007763766530396</v>
      </c>
      <c r="F279" s="258">
        <f t="shared" si="119"/>
        <v>0.80347782710630011</v>
      </c>
      <c r="G279" s="258">
        <f t="shared" si="119"/>
        <v>0.81880038982900682</v>
      </c>
      <c r="H279" s="258">
        <f t="shared" si="119"/>
        <v>0.78639163702795023</v>
      </c>
      <c r="I279" s="258">
        <f t="shared" si="119"/>
        <v>0.83361368452613882</v>
      </c>
      <c r="J279" s="258">
        <f t="shared" si="119"/>
        <v>0.83604443096843628</v>
      </c>
      <c r="K279" s="258">
        <f t="shared" si="119"/>
        <v>0.83438277072816724</v>
      </c>
      <c r="L279" s="258">
        <f t="shared" si="119"/>
        <v>0.86957571480308671</v>
      </c>
      <c r="M279" s="258">
        <f t="shared" si="119"/>
        <v>0.85705022963901989</v>
      </c>
      <c r="N279" s="258">
        <f t="shared" si="119"/>
        <v>0.84937005190931569</v>
      </c>
      <c r="O279" s="258">
        <f t="shared" si="119"/>
        <v>0.85598299975746928</v>
      </c>
      <c r="P279" s="258">
        <f t="shared" si="119"/>
        <v>0.83064912081923792</v>
      </c>
      <c r="Q279" s="258">
        <f t="shared" si="119"/>
        <v>0.83011899876897821</v>
      </c>
      <c r="R279" s="258">
        <f t="shared" si="119"/>
        <v>0.82568477539811647</v>
      </c>
      <c r="S279" s="258">
        <f t="shared" si="119"/>
        <v>0.88034645304953874</v>
      </c>
      <c r="T279" s="258">
        <f t="shared" si="119"/>
        <v>0.87387703424138319</v>
      </c>
      <c r="U279" s="258">
        <f t="shared" si="119"/>
        <v>0.85232723226276808</v>
      </c>
      <c r="V279" s="258">
        <f t="shared" si="119"/>
        <v>0.84858811350566876</v>
      </c>
      <c r="W279" s="258">
        <f t="shared" si="119"/>
        <v>0.8585298747994855</v>
      </c>
      <c r="X279" s="258">
        <f t="shared" si="119"/>
        <v>0.86394050235606135</v>
      </c>
      <c r="Y279" s="258">
        <f t="shared" si="119"/>
        <v>0.82101293603078673</v>
      </c>
      <c r="Z279" s="258">
        <f t="shared" si="119"/>
        <v>0.84982679677852935</v>
      </c>
      <c r="AA279" s="258">
        <f t="shared" si="119"/>
        <v>0.85393864392578722</v>
      </c>
      <c r="AB279" s="258">
        <f t="shared" si="119"/>
        <v>0.83331140085378763</v>
      </c>
      <c r="AC279" s="258">
        <f t="shared" si="119"/>
        <v>0.82391079344620843</v>
      </c>
      <c r="AD279" s="258">
        <f t="shared" si="119"/>
        <v>0.84899118511263461</v>
      </c>
      <c r="AE279" s="258">
        <f t="shared" si="118"/>
        <v>0.88839208599635922</v>
      </c>
      <c r="AF279" s="259">
        <f t="shared" si="119"/>
        <v>0.80546867790244359</v>
      </c>
      <c r="AG279" s="259">
        <f t="shared" si="117"/>
        <v>0.85605049948029222</v>
      </c>
    </row>
    <row r="280" spans="1:39">
      <c r="A280" s="240" t="s">
        <v>240</v>
      </c>
      <c r="B280" s="258">
        <f t="shared" si="119"/>
        <v>0.84586937161315645</v>
      </c>
      <c r="C280" s="258">
        <f t="shared" si="119"/>
        <v>0.81763364913105518</v>
      </c>
      <c r="D280" s="258">
        <f t="shared" si="119"/>
        <v>0.79721150006655139</v>
      </c>
      <c r="E280" s="258">
        <f t="shared" si="119"/>
        <v>0.8275977070251741</v>
      </c>
      <c r="F280" s="258">
        <f t="shared" si="119"/>
        <v>0.82307228026878754</v>
      </c>
      <c r="G280" s="258">
        <f t="shared" si="119"/>
        <v>0.81236764869784883</v>
      </c>
      <c r="H280" s="258">
        <f t="shared" si="119"/>
        <v>0.83515702981858109</v>
      </c>
      <c r="I280" s="258">
        <f t="shared" si="119"/>
        <v>0.83431235539370607</v>
      </c>
      <c r="J280" s="258">
        <f t="shared" si="119"/>
        <v>0.82466435267652671</v>
      </c>
      <c r="K280" s="258">
        <f t="shared" si="119"/>
        <v>0.84387744784118102</v>
      </c>
      <c r="L280" s="258">
        <f t="shared" si="119"/>
        <v>0.85079132659056189</v>
      </c>
      <c r="M280" s="258">
        <f t="shared" si="119"/>
        <v>0.86271608143484568</v>
      </c>
      <c r="N280" s="258">
        <f t="shared" si="119"/>
        <v>0.86617407435826821</v>
      </c>
      <c r="O280" s="258">
        <f t="shared" si="119"/>
        <v>0.88186659063945627</v>
      </c>
      <c r="P280" s="258">
        <f t="shared" si="119"/>
        <v>0.83100574952087314</v>
      </c>
      <c r="Q280" s="258">
        <f t="shared" si="119"/>
        <v>0.82322904279875697</v>
      </c>
      <c r="R280" s="258">
        <f t="shared" si="119"/>
        <v>0.83407501233017967</v>
      </c>
      <c r="S280" s="258">
        <f t="shared" si="119"/>
        <v>0.85837930088684367</v>
      </c>
      <c r="T280" s="258">
        <f t="shared" si="119"/>
        <v>0.87964165222446167</v>
      </c>
      <c r="U280" s="258">
        <f t="shared" si="119"/>
        <v>0.8130604700290468</v>
      </c>
      <c r="V280" s="258">
        <f t="shared" si="119"/>
        <v>0.95971604515908315</v>
      </c>
      <c r="W280" s="258">
        <f t="shared" si="119"/>
        <v>0.84037369937493422</v>
      </c>
      <c r="X280" s="258">
        <f t="shared" si="119"/>
        <v>0.77995049695810748</v>
      </c>
      <c r="Y280" s="258">
        <f t="shared" si="119"/>
        <v>0.80132017445162407</v>
      </c>
      <c r="Z280" s="258">
        <f t="shared" si="119"/>
        <v>0.81433239962651727</v>
      </c>
      <c r="AA280" s="258">
        <f t="shared" si="119"/>
        <v>0.83586154278175451</v>
      </c>
      <c r="AB280" s="258">
        <f t="shared" si="119"/>
        <v>0.83026064440791769</v>
      </c>
      <c r="AC280" s="258">
        <f t="shared" si="119"/>
        <v>0.86493112787933502</v>
      </c>
      <c r="AD280" s="258">
        <f t="shared" si="119"/>
        <v>0.85772451670790384</v>
      </c>
      <c r="AE280" s="258">
        <f t="shared" si="118"/>
        <v>0.88430147547520943</v>
      </c>
      <c r="AF280" s="259">
        <f t="shared" si="119"/>
        <v>0.79667021063494681</v>
      </c>
      <c r="AG280" s="259">
        <f t="shared" si="117"/>
        <v>0.85254563697780616</v>
      </c>
    </row>
    <row r="281" spans="1:39">
      <c r="A281" s="240" t="s">
        <v>241</v>
      </c>
      <c r="B281" s="258">
        <f t="shared" si="119"/>
        <v>0.8522420456350257</v>
      </c>
      <c r="C281" s="258">
        <f t="shared" si="119"/>
        <v>0.80815477460452934</v>
      </c>
      <c r="D281" s="258">
        <f t="shared" si="119"/>
        <v>0.81934803979980941</v>
      </c>
      <c r="E281" s="258">
        <f t="shared" si="119"/>
        <v>0.84537967836201022</v>
      </c>
      <c r="F281" s="258">
        <f t="shared" si="119"/>
        <v>0.83072253238657923</v>
      </c>
      <c r="G281" s="258">
        <f t="shared" si="119"/>
        <v>0.82339082877576786</v>
      </c>
      <c r="H281" s="258">
        <f t="shared" si="119"/>
        <v>0.81969832169401502</v>
      </c>
      <c r="I281" s="258">
        <f t="shared" si="119"/>
        <v>0.80953418787632536</v>
      </c>
      <c r="J281" s="258">
        <f t="shared" si="119"/>
        <v>0.83590179518116337</v>
      </c>
      <c r="K281" s="258">
        <f t="shared" si="119"/>
        <v>0.85987154836297608</v>
      </c>
      <c r="L281" s="258">
        <f t="shared" si="119"/>
        <v>0.84281325006339602</v>
      </c>
      <c r="M281" s="258">
        <f t="shared" si="119"/>
        <v>0.90196339387656466</v>
      </c>
      <c r="N281" s="258">
        <f t="shared" si="119"/>
        <v>0.8595270113838438</v>
      </c>
      <c r="O281" s="258">
        <f t="shared" si="119"/>
        <v>0.81447554813201684</v>
      </c>
      <c r="P281" s="258">
        <f t="shared" si="119"/>
        <v>0.83653020990374571</v>
      </c>
      <c r="Q281" s="258">
        <f t="shared" si="119"/>
        <v>0.8154635491731872</v>
      </c>
      <c r="R281" s="258">
        <f t="shared" si="119"/>
        <v>0.81272479313731716</v>
      </c>
      <c r="S281" s="258">
        <f t="shared" si="119"/>
        <v>0.83430609414362134</v>
      </c>
      <c r="T281" s="258">
        <f t="shared" si="119"/>
        <v>0.83569895086482759</v>
      </c>
      <c r="U281" s="258">
        <f t="shared" si="119"/>
        <v>0.86533525202240202</v>
      </c>
      <c r="V281" s="258">
        <f t="shared" si="119"/>
        <v>0.84573420585896897</v>
      </c>
      <c r="W281" s="258">
        <f t="shared" si="119"/>
        <v>0.8711675918870867</v>
      </c>
      <c r="X281" s="258">
        <f t="shared" si="119"/>
        <v>0.80636058763170415</v>
      </c>
      <c r="Y281" s="258">
        <f t="shared" si="119"/>
        <v>0.79493824950778591</v>
      </c>
      <c r="Z281" s="258">
        <f t="shared" si="119"/>
        <v>0.83272921797035693</v>
      </c>
      <c r="AA281" s="258">
        <f t="shared" si="119"/>
        <v>0.86184874244457887</v>
      </c>
      <c r="AB281" s="258">
        <f t="shared" si="119"/>
        <v>0.8428268147301381</v>
      </c>
      <c r="AC281" s="258">
        <f t="shared" si="119"/>
        <v>0.87334063227042558</v>
      </c>
      <c r="AD281" s="258">
        <f t="shared" si="119"/>
        <v>0.85844983217649162</v>
      </c>
      <c r="AE281" s="258">
        <f t="shared" si="119"/>
        <v>0.91350531909274335</v>
      </c>
      <c r="AF281" s="259">
        <f t="shared" si="119"/>
        <v>0.29885201607667466</v>
      </c>
      <c r="AG281" s="259">
        <f t="shared" si="117"/>
        <v>0.85499192307038197</v>
      </c>
    </row>
    <row r="282" spans="1:39" ht="15.75" thickBot="1">
      <c r="A282" s="240" t="s">
        <v>255</v>
      </c>
      <c r="B282" s="258">
        <f>B266+B155</f>
        <v>0.83460912723858471</v>
      </c>
      <c r="C282" s="258">
        <f t="shared" si="119"/>
        <v>0.82324460967288648</v>
      </c>
      <c r="D282" s="258">
        <f t="shared" si="119"/>
        <v>0.82178574906681545</v>
      </c>
      <c r="E282" s="258">
        <f t="shared" si="119"/>
        <v>0.8255032536441016</v>
      </c>
      <c r="F282" s="258">
        <f t="shared" si="119"/>
        <v>0.81486453460213948</v>
      </c>
      <c r="G282" s="258">
        <f t="shared" si="119"/>
        <v>0.81216566694324577</v>
      </c>
      <c r="H282" s="258">
        <f t="shared" si="119"/>
        <v>0.8208493887452526</v>
      </c>
      <c r="I282" s="258">
        <f t="shared" si="119"/>
        <v>0.82779819128863474</v>
      </c>
      <c r="J282" s="258">
        <f t="shared" si="119"/>
        <v>0.83149362466789656</v>
      </c>
      <c r="K282" s="258">
        <f t="shared" si="119"/>
        <v>0.83772813578266248</v>
      </c>
      <c r="L282" s="258">
        <f t="shared" si="119"/>
        <v>0.84418000281359207</v>
      </c>
      <c r="M282" s="258">
        <f t="shared" si="119"/>
        <v>0.84471486758372438</v>
      </c>
      <c r="N282" s="258">
        <f t="shared" si="119"/>
        <v>0.85120084663052609</v>
      </c>
      <c r="O282" s="258">
        <f t="shared" si="119"/>
        <v>0.85238997673404726</v>
      </c>
      <c r="P282" s="258">
        <f t="shared" si="119"/>
        <v>0.83089873873100117</v>
      </c>
      <c r="Q282" s="258">
        <f t="shared" si="119"/>
        <v>0.83097263172777747</v>
      </c>
      <c r="R282" s="258">
        <f t="shared" si="119"/>
        <v>0.83211819484378924</v>
      </c>
      <c r="S282" s="258">
        <f t="shared" si="119"/>
        <v>0.84416947156697741</v>
      </c>
      <c r="T282" s="258">
        <f t="shared" si="119"/>
        <v>0.86332239536436339</v>
      </c>
      <c r="U282" s="258">
        <f t="shared" si="119"/>
        <v>0.85379238223903786</v>
      </c>
      <c r="V282" s="258">
        <f t="shared" si="119"/>
        <v>0.86327048018469632</v>
      </c>
      <c r="W282" s="258">
        <f t="shared" si="119"/>
        <v>0.84677471946076266</v>
      </c>
      <c r="X282" s="258">
        <f t="shared" si="119"/>
        <v>0.84818267611696252</v>
      </c>
      <c r="Y282" s="258">
        <f t="shared" si="119"/>
        <v>0.81802015791962379</v>
      </c>
      <c r="Z282" s="258">
        <f t="shared" si="119"/>
        <v>0.83041600713210839</v>
      </c>
      <c r="AA282" s="258">
        <f t="shared" si="119"/>
        <v>0.84399433816528668</v>
      </c>
      <c r="AB282" s="258">
        <f t="shared" si="119"/>
        <v>0.88322995683074934</v>
      </c>
      <c r="AC282" s="258">
        <f t="shared" si="119"/>
        <v>0.84185381844238261</v>
      </c>
      <c r="AD282" s="258">
        <f t="shared" si="119"/>
        <v>0.84076956413440995</v>
      </c>
      <c r="AE282" s="258">
        <f t="shared" si="119"/>
        <v>0.87541284835655353</v>
      </c>
      <c r="AF282" s="259">
        <f t="shared" si="119"/>
        <v>0.84676514594209018</v>
      </c>
      <c r="AG282" s="259">
        <f t="shared" si="117"/>
        <v>0.84856389342045613</v>
      </c>
    </row>
    <row r="283" spans="1:39">
      <c r="A283" s="248"/>
      <c r="B283" s="248"/>
      <c r="C283" s="248"/>
      <c r="D283" s="248"/>
      <c r="E283" s="248"/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  <c r="AA283" s="248"/>
      <c r="AB283" s="248"/>
      <c r="AC283" s="248"/>
      <c r="AD283" s="248"/>
      <c r="AE283" s="248"/>
      <c r="AF283" s="248"/>
      <c r="AG283" s="248"/>
    </row>
    <row r="284" spans="1:39" ht="15.75" thickBot="1">
      <c r="A284" s="235" t="s">
        <v>265</v>
      </c>
    </row>
    <row r="285" spans="1:39" ht="15.75" thickBot="1">
      <c r="A285" s="236"/>
      <c r="B285" s="237">
        <f>B$2</f>
        <v>1993</v>
      </c>
      <c r="C285" s="237">
        <f t="shared" ref="C285:AG285" si="120">C$2</f>
        <v>1994</v>
      </c>
      <c r="D285" s="237">
        <f t="shared" si="120"/>
        <v>1995</v>
      </c>
      <c r="E285" s="237">
        <f t="shared" si="120"/>
        <v>1996</v>
      </c>
      <c r="F285" s="237">
        <f t="shared" si="120"/>
        <v>1997</v>
      </c>
      <c r="G285" s="237">
        <f t="shared" si="120"/>
        <v>1998</v>
      </c>
      <c r="H285" s="237">
        <f t="shared" si="120"/>
        <v>1999</v>
      </c>
      <c r="I285" s="237">
        <f t="shared" si="120"/>
        <v>2000</v>
      </c>
      <c r="J285" s="237">
        <f t="shared" si="120"/>
        <v>2001</v>
      </c>
      <c r="K285" s="237">
        <f t="shared" si="120"/>
        <v>2002</v>
      </c>
      <c r="L285" s="237">
        <f t="shared" si="120"/>
        <v>2003</v>
      </c>
      <c r="M285" s="237">
        <f t="shared" si="120"/>
        <v>2004</v>
      </c>
      <c r="N285" s="237">
        <f t="shared" si="120"/>
        <v>2005</v>
      </c>
      <c r="O285" s="237">
        <f t="shared" si="120"/>
        <v>2006</v>
      </c>
      <c r="P285" s="237">
        <f t="shared" si="120"/>
        <v>2007</v>
      </c>
      <c r="Q285" s="237">
        <f t="shared" si="120"/>
        <v>2008</v>
      </c>
      <c r="R285" s="237">
        <f t="shared" si="120"/>
        <v>2009</v>
      </c>
      <c r="S285" s="237">
        <f t="shared" si="120"/>
        <v>2010</v>
      </c>
      <c r="T285" s="237">
        <f t="shared" si="120"/>
        <v>2011</v>
      </c>
      <c r="U285" s="237">
        <f t="shared" si="120"/>
        <v>2012</v>
      </c>
      <c r="V285" s="237">
        <f t="shared" si="120"/>
        <v>2013</v>
      </c>
      <c r="W285" s="237">
        <f t="shared" si="120"/>
        <v>2014</v>
      </c>
      <c r="X285" s="237">
        <f t="shared" si="120"/>
        <v>2015</v>
      </c>
      <c r="Y285" s="237">
        <f t="shared" si="120"/>
        <v>2016</v>
      </c>
      <c r="Z285" s="237">
        <f t="shared" si="120"/>
        <v>2017</v>
      </c>
      <c r="AA285" s="237">
        <f t="shared" si="120"/>
        <v>2018</v>
      </c>
      <c r="AB285" s="237">
        <f t="shared" si="120"/>
        <v>2019</v>
      </c>
      <c r="AC285" s="237">
        <f t="shared" si="120"/>
        <v>2020</v>
      </c>
      <c r="AD285" s="237">
        <f t="shared" si="120"/>
        <v>2021</v>
      </c>
      <c r="AE285" s="237">
        <f t="shared" si="120"/>
        <v>2022</v>
      </c>
      <c r="AF285" s="237">
        <f t="shared" si="120"/>
        <v>2023</v>
      </c>
      <c r="AG285" s="237">
        <f t="shared" si="120"/>
        <v>2024</v>
      </c>
      <c r="AH285" s="269"/>
      <c r="AI285" s="238" t="s">
        <v>229</v>
      </c>
      <c r="AJ285" s="239" t="s">
        <v>266</v>
      </c>
      <c r="AK285" s="270"/>
      <c r="AL285" s="270"/>
      <c r="AM285" s="270"/>
    </row>
    <row r="286" spans="1:39">
      <c r="A286" s="240" t="s">
        <v>231</v>
      </c>
      <c r="B286" s="241">
        <f>(SUM(R286:V286)/SUM(R$298:V$298))*B$298</f>
        <v>0</v>
      </c>
      <c r="C286" s="241">
        <f t="shared" ref="C286:C297" si="121">(SUM(L286:P286)/SUM(L$298:P$298))*C$298</f>
        <v>0</v>
      </c>
      <c r="D286" s="241">
        <f t="shared" ref="D286:D297" si="122">(SUM(M286:Q286)/SUM(M$298:Q$298))*D$298</f>
        <v>0</v>
      </c>
      <c r="E286" s="241">
        <f t="shared" ref="E286:E297" si="123">(SUM(N286:R286)/SUM(N$298:R$298))*E$298</f>
        <v>0</v>
      </c>
      <c r="F286" s="262">
        <v>1E-3</v>
      </c>
      <c r="G286" s="262">
        <v>0</v>
      </c>
      <c r="H286" s="262">
        <v>0</v>
      </c>
      <c r="I286" s="262">
        <v>0</v>
      </c>
      <c r="J286" s="262">
        <v>0</v>
      </c>
      <c r="K286" s="242">
        <f>'[2]Argentina Sun Oil Imports'!EA$290</f>
        <v>2.9250000000000001E-3</v>
      </c>
      <c r="L286" s="242">
        <f>'[2]Argentina Sun Oil Imports'!EM$290</f>
        <v>2.0400000000000001E-3</v>
      </c>
      <c r="M286" s="242">
        <f>'[2]Argentina Sun Oil Imports'!EY$290</f>
        <v>1.5280000000000001E-3</v>
      </c>
      <c r="N286" s="242">
        <f>'[2]Argentina Sun Oil Imports'!FK$290</f>
        <v>0</v>
      </c>
      <c r="O286" s="242">
        <f>'[2]Argentina Sun Oil Imports'!FW$290</f>
        <v>2.7009999999999998E-3</v>
      </c>
      <c r="P286" s="242">
        <f>'[2]Argentina Sun Oil Imports'!GI$290</f>
        <v>1.98E-3</v>
      </c>
      <c r="Q286" s="242">
        <f>'[2]Argentina Sun Oil Imports'!GU$290</f>
        <v>4.5009999999999998E-3</v>
      </c>
      <c r="R286" s="242">
        <f>'[2]Argentina Sun Oil Imports'!HG$290</f>
        <v>2.8830000000000001E-3</v>
      </c>
      <c r="S286" s="242">
        <f>'[2]Argentina Sun Oil Imports'!HS$290</f>
        <v>0</v>
      </c>
      <c r="T286" s="242">
        <f>'[2]Argentina Sun Oil Imports'!IE$290</f>
        <v>9.9999999999999995E-7</v>
      </c>
      <c r="U286" s="242">
        <f>'[2]Argentina Sun Oil Imports'!IQ$290</f>
        <v>0</v>
      </c>
      <c r="V286" s="242">
        <f>'[2]Argentina Sun Oil Imports'!JC$290</f>
        <v>2.0000000000000002E-5</v>
      </c>
      <c r="W286" s="242">
        <f>'[2]Argentina Sun Oil Imports'!JO$290</f>
        <v>2.5000000000000001E-5</v>
      </c>
      <c r="X286" s="242">
        <f>'[2]Argentina Sun Oil Imports'!KA$290</f>
        <v>1E-4</v>
      </c>
      <c r="Y286" s="242">
        <f>'[2]Argentina Sun Oil Imports'!KM$290</f>
        <v>3.3199999999999999E-4</v>
      </c>
      <c r="Z286" s="242">
        <f>'[2]Argentina Sun Oil Imports'!KY$290</f>
        <v>1.5999999999999999E-5</v>
      </c>
      <c r="AA286" s="242">
        <f>'[2]Argentina Sun Oil Imports'!LK$290</f>
        <v>0</v>
      </c>
      <c r="AB286" s="242">
        <f>'[2]Argentina Sun Oil Imports'!LW$290</f>
        <v>1.3999999999999999E-4</v>
      </c>
      <c r="AC286" s="242">
        <f>'[2]Argentina Sun Oil Imports'!MI$290</f>
        <v>0</v>
      </c>
      <c r="AD286" s="242">
        <f>'[2]Argentina Sun Oil Imports'!MU$290</f>
        <v>0</v>
      </c>
      <c r="AE286" s="242">
        <f>'[2]Argentina Sun Oil Imports'!NG$290</f>
        <v>0</v>
      </c>
      <c r="AF286" s="242">
        <f>'[2]Argentina Sun Oil Imports'!NS$290</f>
        <v>0</v>
      </c>
      <c r="AG286" s="243">
        <f t="shared" ref="AF286:AG296" si="124">(SUM(X286:AB286)/SUM(X$298:AB$298))*AG$298</f>
        <v>8.5416696930519064E-4</v>
      </c>
    </row>
    <row r="287" spans="1:39">
      <c r="A287" s="240" t="s">
        <v>232</v>
      </c>
      <c r="B287" s="241">
        <f t="shared" ref="B287:B297" si="125">(SUM(R287:V287)/SUM(R$298:V$298))*B$298</f>
        <v>0</v>
      </c>
      <c r="C287" s="241">
        <f t="shared" si="121"/>
        <v>0</v>
      </c>
      <c r="D287" s="241">
        <f t="shared" si="122"/>
        <v>0</v>
      </c>
      <c r="E287" s="241">
        <f t="shared" si="123"/>
        <v>0</v>
      </c>
      <c r="F287" s="262">
        <v>0</v>
      </c>
      <c r="G287" s="262">
        <v>0</v>
      </c>
      <c r="H287" s="262">
        <v>0</v>
      </c>
      <c r="I287" s="262">
        <v>1E-3</v>
      </c>
      <c r="J287" s="262">
        <v>0</v>
      </c>
      <c r="K287" s="242">
        <f>'[2]Argentina Sun Oil Imports'!EB$290</f>
        <v>2.8500000000000001E-3</v>
      </c>
      <c r="L287" s="242">
        <f>'[2]Argentina Sun Oil Imports'!EN$290</f>
        <v>0</v>
      </c>
      <c r="M287" s="242">
        <f>'[2]Argentina Sun Oil Imports'!EZ$290</f>
        <v>3.189E-3</v>
      </c>
      <c r="N287" s="242">
        <f>'[2]Argentina Sun Oil Imports'!FL$290</f>
        <v>0</v>
      </c>
      <c r="O287" s="242">
        <f>'[2]Argentina Sun Oil Imports'!FX$290</f>
        <v>9.0399999999999996E-4</v>
      </c>
      <c r="P287" s="242">
        <f>'[2]Argentina Sun Oil Imports'!GJ$290</f>
        <v>3.2429999999999998E-3</v>
      </c>
      <c r="Q287" s="242">
        <f>'[2]Argentina Sun Oil Imports'!GV$290</f>
        <v>2.5200000000000001E-3</v>
      </c>
      <c r="R287" s="242">
        <f>'[2]Argentina Sun Oil Imports'!HH$290</f>
        <v>3.96E-3</v>
      </c>
      <c r="S287" s="242">
        <f>'[2]Argentina Sun Oil Imports'!HT$290</f>
        <v>9.9999999999999995E-7</v>
      </c>
      <c r="T287" s="242">
        <f>'[2]Argentina Sun Oil Imports'!IF$290</f>
        <v>2.7789999999999998E-3</v>
      </c>
      <c r="U287" s="242">
        <f>'[2]Argentina Sun Oil Imports'!IR$290</f>
        <v>0</v>
      </c>
      <c r="V287" s="242">
        <f>'[2]Argentina Sun Oil Imports'!JD$290</f>
        <v>2.5000000000000001E-5</v>
      </c>
      <c r="W287" s="242">
        <f>'[2]Argentina Sun Oil Imports'!JP$290</f>
        <v>0</v>
      </c>
      <c r="X287" s="242">
        <f>'[2]Argentina Sun Oil Imports'!KB$290</f>
        <v>6.3E-5</v>
      </c>
      <c r="Y287" s="242">
        <f>'[2]Argentina Sun Oil Imports'!KN$290</f>
        <v>0</v>
      </c>
      <c r="Z287" s="242">
        <f>'[2]Argentina Sun Oil Imports'!KZ$290</f>
        <v>0</v>
      </c>
      <c r="AA287" s="242">
        <f>'[2]Argentina Sun Oil Imports'!LL$290</f>
        <v>9.2E-5</v>
      </c>
      <c r="AB287" s="242">
        <f>'[2]Argentina Sun Oil Imports'!LX$290</f>
        <v>0</v>
      </c>
      <c r="AC287" s="242">
        <f>'[2]Argentina Sun Oil Imports'!MJ$290</f>
        <v>0</v>
      </c>
      <c r="AD287" s="242">
        <f>'[2]Argentina Sun Oil Imports'!MV$290</f>
        <v>0</v>
      </c>
      <c r="AE287" s="242">
        <f>'[2]Argentina Sun Oil Imports'!NH$290</f>
        <v>0</v>
      </c>
      <c r="AF287" s="242">
        <f>'[2]Argentina Sun Oil Imports'!NT$290</f>
        <v>0</v>
      </c>
      <c r="AG287" s="243">
        <f t="shared" si="124"/>
        <v>2.2516306163657235E-4</v>
      </c>
    </row>
    <row r="288" spans="1:39">
      <c r="A288" s="240" t="s">
        <v>233</v>
      </c>
      <c r="B288" s="241">
        <f t="shared" si="125"/>
        <v>0</v>
      </c>
      <c r="C288" s="241">
        <f t="shared" si="121"/>
        <v>0</v>
      </c>
      <c r="D288" s="241">
        <f t="shared" si="122"/>
        <v>0</v>
      </c>
      <c r="E288" s="241">
        <f t="shared" si="123"/>
        <v>0</v>
      </c>
      <c r="F288" s="262">
        <v>0</v>
      </c>
      <c r="G288" s="262">
        <v>5.5E-2</v>
      </c>
      <c r="H288" s="262">
        <v>2.5000000000000001E-2</v>
      </c>
      <c r="I288" s="262">
        <v>0</v>
      </c>
      <c r="J288" s="262">
        <v>0</v>
      </c>
      <c r="K288" s="242">
        <f>'[2]Argentina Sun Oil Imports'!EC$290</f>
        <v>0</v>
      </c>
      <c r="L288" s="242">
        <f>'[2]Argentina Sun Oil Imports'!EO$290</f>
        <v>9.2000000000000003E-4</v>
      </c>
      <c r="M288" s="242">
        <f>'[2]Argentina Sun Oil Imports'!FA$290</f>
        <v>1.1820000000000001E-3</v>
      </c>
      <c r="N288" s="242">
        <f>'[2]Argentina Sun Oil Imports'!FM$290</f>
        <v>2.8800000000000002E-3</v>
      </c>
      <c r="O288" s="242">
        <f>'[2]Argentina Sun Oil Imports'!FY$290</f>
        <v>8.9999999999999998E-4</v>
      </c>
      <c r="P288" s="242">
        <f>'[2]Argentina Sun Oil Imports'!GK$290</f>
        <v>4.3200000000000001E-3</v>
      </c>
      <c r="Q288" s="242">
        <f>'[2]Argentina Sun Oil Imports'!GW$290</f>
        <v>5.0000000000000004E-6</v>
      </c>
      <c r="R288" s="242">
        <f>'[2]Argentina Sun Oil Imports'!HI$290</f>
        <v>5.0000000000000004E-6</v>
      </c>
      <c r="S288" s="242">
        <f>'[2]Argentina Sun Oil Imports'!HU$290</f>
        <v>2.9160000000000002E-3</v>
      </c>
      <c r="T288" s="242">
        <f>'[2]Argentina Sun Oil Imports'!IG$290</f>
        <v>1.7E-5</v>
      </c>
      <c r="U288" s="242">
        <f>'[2]Argentina Sun Oil Imports'!IS$290</f>
        <v>0</v>
      </c>
      <c r="V288" s="242">
        <f>'[2]Argentina Sun Oil Imports'!JE$290</f>
        <v>9.9999999999999995E-7</v>
      </c>
      <c r="W288" s="242">
        <f>'[2]Argentina Sun Oil Imports'!JQ$290</f>
        <v>0</v>
      </c>
      <c r="X288" s="242">
        <f>'[2]Argentina Sun Oil Imports'!KC$290</f>
        <v>3.1999999999999999E-5</v>
      </c>
      <c r="Y288" s="242">
        <f>'[2]Argentina Sun Oil Imports'!KO$290</f>
        <v>1.03E-4</v>
      </c>
      <c r="Z288" s="242">
        <f>'[2]Argentina Sun Oil Imports'!LA$290</f>
        <v>1E-4</v>
      </c>
      <c r="AA288" s="242">
        <f>'[2]Argentina Sun Oil Imports'!LM$290</f>
        <v>0</v>
      </c>
      <c r="AB288" s="242">
        <f>'[2]Argentina Sun Oil Imports'!LY$290</f>
        <v>0</v>
      </c>
      <c r="AC288" s="242">
        <f>'[2]Argentina Sun Oil Imports'!MK$290</f>
        <v>1.8000000000000001E-4</v>
      </c>
      <c r="AD288" s="242">
        <f>'[2]Argentina Sun Oil Imports'!MW$290</f>
        <v>0</v>
      </c>
      <c r="AE288" s="242">
        <f>'[2]Argentina Sun Oil Imports'!NI$290</f>
        <v>0</v>
      </c>
      <c r="AF288" s="242">
        <f>'[2]Argentina Sun Oil Imports'!NU$290</f>
        <v>5.5E-2</v>
      </c>
      <c r="AG288" s="243">
        <f t="shared" si="124"/>
        <v>3.4137625473931943E-4</v>
      </c>
    </row>
    <row r="289" spans="1:39">
      <c r="A289" s="240" t="s">
        <v>234</v>
      </c>
      <c r="B289" s="241">
        <f t="shared" si="125"/>
        <v>0</v>
      </c>
      <c r="C289" s="241">
        <f t="shared" si="121"/>
        <v>0</v>
      </c>
      <c r="D289" s="241">
        <f t="shared" si="122"/>
        <v>0</v>
      </c>
      <c r="E289" s="241">
        <f t="shared" si="123"/>
        <v>0</v>
      </c>
      <c r="F289" s="262">
        <v>2.1999999999999999E-2</v>
      </c>
      <c r="G289" s="262">
        <v>0</v>
      </c>
      <c r="H289" s="262">
        <v>0</v>
      </c>
      <c r="I289" s="262">
        <v>5.0000000000000001E-3</v>
      </c>
      <c r="J289" s="262">
        <v>0</v>
      </c>
      <c r="K289" s="242">
        <f>'[2]Argentina Sun Oil Imports'!ED$290</f>
        <v>1.2E-5</v>
      </c>
      <c r="L289" s="242">
        <f>'[2]Argentina Sun Oil Imports'!EP$290</f>
        <v>1.1E-5</v>
      </c>
      <c r="M289" s="242">
        <f>'[2]Argentina Sun Oil Imports'!FB$290</f>
        <v>0</v>
      </c>
      <c r="N289" s="242">
        <f>'[2]Argentina Sun Oil Imports'!FN$290</f>
        <v>9.6000000000000002E-4</v>
      </c>
      <c r="O289" s="242">
        <f>'[2]Argentina Sun Oil Imports'!FZ$290</f>
        <v>9.0300000000000005E-4</v>
      </c>
      <c r="P289" s="242">
        <f>'[2]Argentina Sun Oil Imports'!GL$290</f>
        <v>1.9999999999999999E-6</v>
      </c>
      <c r="Q289" s="242">
        <f>'[2]Argentina Sun Oil Imports'!GX$290</f>
        <v>2.8860000000000001E-3</v>
      </c>
      <c r="R289" s="242">
        <f>'[2]Argentina Sun Oil Imports'!HJ$290</f>
        <v>2.8800000000000002E-3</v>
      </c>
      <c r="S289" s="242">
        <f>'[2]Argentina Sun Oil Imports'!HV$290</f>
        <v>8.4960000000000001E-3</v>
      </c>
      <c r="T289" s="242">
        <f>'[2]Argentina Sun Oil Imports'!IH$290</f>
        <v>3.9810000000000002E-3</v>
      </c>
      <c r="U289" s="242">
        <f>'[2]Argentina Sun Oil Imports'!IT$290</f>
        <v>0</v>
      </c>
      <c r="V289" s="242">
        <f>'[2]Argentina Sun Oil Imports'!JF$290</f>
        <v>5.0000000000000002E-5</v>
      </c>
      <c r="W289" s="242">
        <f>'[2]Argentina Sun Oil Imports'!JR$290</f>
        <v>5.0000000000000004E-6</v>
      </c>
      <c r="X289" s="242">
        <f>'[2]Argentina Sun Oil Imports'!KD$290</f>
        <v>6.3999999999999997E-5</v>
      </c>
      <c r="Y289" s="242">
        <f>'[2]Argentina Sun Oil Imports'!KP$290</f>
        <v>1.83E-4</v>
      </c>
      <c r="Z289" s="242">
        <f>'[2]Argentina Sun Oil Imports'!LB$290</f>
        <v>4.6E-5</v>
      </c>
      <c r="AA289" s="242">
        <f>'[2]Argentina Sun Oil Imports'!LN$290</f>
        <v>0</v>
      </c>
      <c r="AB289" s="242">
        <f>'[2]Argentina Sun Oil Imports'!LZ$290</f>
        <v>0</v>
      </c>
      <c r="AC289" s="242">
        <f>'[2]Argentina Sun Oil Imports'!ML$290</f>
        <v>9.9999999999999995E-7</v>
      </c>
      <c r="AD289" s="242">
        <f>'[2]Argentina Sun Oil Imports'!MX$290</f>
        <v>0</v>
      </c>
      <c r="AE289" s="242">
        <f>'[2]Argentina Sun Oil Imports'!NJ$290</f>
        <v>6.0000000000000001E-3</v>
      </c>
      <c r="AF289" s="242">
        <f>'[2]Argentina Sun Oil Imports'!NV$290</f>
        <v>0</v>
      </c>
      <c r="AG289" s="243">
        <f t="shared" si="124"/>
        <v>4.2563081973881088E-4</v>
      </c>
    </row>
    <row r="290" spans="1:39">
      <c r="A290" s="240" t="s">
        <v>46</v>
      </c>
      <c r="B290" s="241">
        <f t="shared" si="125"/>
        <v>0</v>
      </c>
      <c r="C290" s="241">
        <f t="shared" si="121"/>
        <v>0</v>
      </c>
      <c r="D290" s="241">
        <f t="shared" si="122"/>
        <v>0</v>
      </c>
      <c r="E290" s="241">
        <f t="shared" si="123"/>
        <v>0</v>
      </c>
      <c r="F290" s="262">
        <v>0</v>
      </c>
      <c r="G290" s="262">
        <v>1E-3</v>
      </c>
      <c r="H290" s="262">
        <v>0</v>
      </c>
      <c r="I290" s="262">
        <v>5.0000000000000001E-3</v>
      </c>
      <c r="J290" s="262">
        <v>0</v>
      </c>
      <c r="K290" s="242">
        <f>'[2]Argentina Sun Oil Imports'!EE$290</f>
        <v>3.114E-3</v>
      </c>
      <c r="L290" s="242">
        <f>'[2]Argentina Sun Oil Imports'!EQ$290</f>
        <v>2.101E-3</v>
      </c>
      <c r="M290" s="242">
        <f>'[2]Argentina Sun Oil Imports'!FC$290</f>
        <v>1.5200000000000001E-3</v>
      </c>
      <c r="N290" s="242">
        <f>'[2]Argentina Sun Oil Imports'!FO$290</f>
        <v>1.9250000000000001E-3</v>
      </c>
      <c r="O290" s="242">
        <f>'[2]Argentina Sun Oil Imports'!GA$290</f>
        <v>9.7439999999999992E-3</v>
      </c>
      <c r="P290" s="242">
        <f>'[2]Argentina Sun Oil Imports'!GM$290</f>
        <v>3.2420000000000001E-3</v>
      </c>
      <c r="Q290" s="242">
        <f>'[2]Argentina Sun Oil Imports'!GY$290</f>
        <v>3.96E-3</v>
      </c>
      <c r="R290" s="242">
        <f>'[2]Argentina Sun Oil Imports'!HK$290</f>
        <v>7.2801000000000005E-2</v>
      </c>
      <c r="S290" s="242">
        <f>'[2]Argentina Sun Oil Imports'!HW$290</f>
        <v>2.1749999999999999E-3</v>
      </c>
      <c r="T290" s="242">
        <f>'[2]Argentina Sun Oil Imports'!II$290</f>
        <v>4.6519999999999999E-3</v>
      </c>
      <c r="U290" s="242">
        <f>'[2]Argentina Sun Oil Imports'!IU$290</f>
        <v>0</v>
      </c>
      <c r="V290" s="242">
        <f>'[2]Argentina Sun Oil Imports'!JG$290</f>
        <v>0</v>
      </c>
      <c r="W290" s="242">
        <f>'[2]Argentina Sun Oil Imports'!JS$290</f>
        <v>4.8000000000000001E-5</v>
      </c>
      <c r="X290" s="242">
        <f>'[2]Argentina Sun Oil Imports'!KE$290</f>
        <v>6.5439999999999998E-2</v>
      </c>
      <c r="Y290" s="242">
        <f>'[2]Argentina Sun Oil Imports'!KQ$290</f>
        <v>4.6E-5</v>
      </c>
      <c r="Z290" s="242">
        <f>'[2]Argentina Sun Oil Imports'!LC$290</f>
        <v>1.3799999999999999E-4</v>
      </c>
      <c r="AA290" s="242">
        <f>'[2]Argentina Sun Oil Imports'!LO$290</f>
        <v>0</v>
      </c>
      <c r="AB290" s="242">
        <f>'[2]Argentina Sun Oil Imports'!MA$290</f>
        <v>9.2E-5</v>
      </c>
      <c r="AC290" s="242">
        <f>'[2]Argentina Sun Oil Imports'!MM$290</f>
        <v>1.9999999999999999E-6</v>
      </c>
      <c r="AD290" s="242">
        <f>'[2]Argentina Sun Oil Imports'!MY$290</f>
        <v>1E-3</v>
      </c>
      <c r="AE290" s="242">
        <f>'[2]Argentina Sun Oil Imports'!NK$290</f>
        <v>0</v>
      </c>
      <c r="AF290" s="242">
        <f>'[2]Argentina Sun Oil Imports'!NW$290</f>
        <v>0</v>
      </c>
      <c r="AG290" s="243">
        <f t="shared" si="124"/>
        <v>9.5463327474251541E-2</v>
      </c>
    </row>
    <row r="291" spans="1:39">
      <c r="A291" s="240" t="s">
        <v>235</v>
      </c>
      <c r="B291" s="241">
        <f t="shared" si="125"/>
        <v>0</v>
      </c>
      <c r="C291" s="241">
        <f t="shared" si="121"/>
        <v>0</v>
      </c>
      <c r="D291" s="241">
        <f t="shared" si="122"/>
        <v>0</v>
      </c>
      <c r="E291" s="241">
        <f t="shared" si="123"/>
        <v>0</v>
      </c>
      <c r="F291" s="262">
        <v>0</v>
      </c>
      <c r="G291" s="262">
        <v>0</v>
      </c>
      <c r="H291" s="262">
        <v>0</v>
      </c>
      <c r="I291" s="262">
        <v>0</v>
      </c>
      <c r="J291" s="262">
        <v>0</v>
      </c>
      <c r="K291" s="242">
        <f>'[2]Argentina Sun Oil Imports'!EF$290</f>
        <v>2.9499999999999999E-3</v>
      </c>
      <c r="L291" s="242">
        <f>'[2]Argentina Sun Oil Imports'!ER$290</f>
        <v>7.1000000000000005E-5</v>
      </c>
      <c r="M291" s="242">
        <f>'[2]Argentina Sun Oil Imports'!FD$290</f>
        <v>9.5E-4</v>
      </c>
      <c r="N291" s="242">
        <f>'[2]Argentina Sun Oil Imports'!FP$290</f>
        <v>1.7099999999999999E-3</v>
      </c>
      <c r="O291" s="242">
        <f>'[2]Argentina Sun Oil Imports'!GB$290</f>
        <v>2.7000000000000001E-3</v>
      </c>
      <c r="P291" s="242">
        <f>'[2]Argentina Sun Oil Imports'!GN$290</f>
        <v>0</v>
      </c>
      <c r="Q291" s="242">
        <f>'[2]Argentina Sun Oil Imports'!GZ$290</f>
        <v>3.96E-3</v>
      </c>
      <c r="R291" s="242">
        <f>'[2]Argentina Sun Oil Imports'!HL$290</f>
        <v>3.7799999999999999E-3</v>
      </c>
      <c r="S291" s="242">
        <f>'[2]Argentina Sun Oil Imports'!HX$290</f>
        <v>1.9819999999999998E-3</v>
      </c>
      <c r="T291" s="242">
        <f>'[2]Argentina Sun Oil Imports'!IJ$290</f>
        <v>5.0000000000000002E-5</v>
      </c>
      <c r="U291" s="242">
        <f>'[2]Argentina Sun Oil Imports'!IV$290</f>
        <v>0</v>
      </c>
      <c r="V291" s="242">
        <f>'[2]Argentina Sun Oil Imports'!JH$290</f>
        <v>1E-4</v>
      </c>
      <c r="W291" s="242">
        <f>'[2]Argentina Sun Oil Imports'!JT$290</f>
        <v>9.9999999999999995E-7</v>
      </c>
      <c r="X291" s="242">
        <f>'[2]Argentina Sun Oil Imports'!KF$290</f>
        <v>8.3999999999999995E-5</v>
      </c>
      <c r="Y291" s="242">
        <f>'[2]Argentina Sun Oil Imports'!KR$290</f>
        <v>0</v>
      </c>
      <c r="Z291" s="242">
        <f>'[2]Argentina Sun Oil Imports'!LD$290</f>
        <v>0</v>
      </c>
      <c r="AA291" s="242">
        <f>'[2]Argentina Sun Oil Imports'!LP$290</f>
        <v>0</v>
      </c>
      <c r="AB291" s="242">
        <f>'[2]Argentina Sun Oil Imports'!MB$290</f>
        <v>1.1E-4</v>
      </c>
      <c r="AC291" s="242">
        <f>'[2]Argentina Sun Oil Imports'!MN$290</f>
        <v>9.2E-5</v>
      </c>
      <c r="AD291" s="242">
        <f>'[2]Argentina Sun Oil Imports'!MZ$290</f>
        <v>4.0000000000000001E-3</v>
      </c>
      <c r="AE291" s="242">
        <f>'[2]Argentina Sun Oil Imports'!NL$290</f>
        <v>0</v>
      </c>
      <c r="AF291" s="242">
        <f>'[2]Argentina Sun Oil Imports'!NX$290</f>
        <v>0</v>
      </c>
      <c r="AG291" s="243">
        <f t="shared" si="124"/>
        <v>2.8181699327416149E-4</v>
      </c>
    </row>
    <row r="292" spans="1:39">
      <c r="A292" s="240" t="s">
        <v>236</v>
      </c>
      <c r="B292" s="241">
        <f t="shared" si="125"/>
        <v>0</v>
      </c>
      <c r="C292" s="241">
        <f t="shared" si="121"/>
        <v>0</v>
      </c>
      <c r="D292" s="241">
        <f t="shared" si="122"/>
        <v>0</v>
      </c>
      <c r="E292" s="241">
        <f t="shared" si="123"/>
        <v>0</v>
      </c>
      <c r="F292" s="262">
        <v>7.0000000000000001E-3</v>
      </c>
      <c r="G292" s="262">
        <v>0</v>
      </c>
      <c r="H292" s="262">
        <v>0</v>
      </c>
      <c r="I292" s="262">
        <v>2E-3</v>
      </c>
      <c r="J292" s="262">
        <v>0</v>
      </c>
      <c r="K292" s="242">
        <f>'[2]Argentina Sun Oil Imports'!EG$290</f>
        <v>3.8999999999999998E-3</v>
      </c>
      <c r="L292" s="242">
        <f>'[2]Argentina Sun Oil Imports'!ES$290</f>
        <v>9.5500000000000001E-4</v>
      </c>
      <c r="M292" s="242">
        <f>'[2]Argentina Sun Oil Imports'!FE$290</f>
        <v>1.1E-5</v>
      </c>
      <c r="N292" s="242">
        <f>'[2]Argentina Sun Oil Imports'!FQ$290</f>
        <v>0.51493299999999997</v>
      </c>
      <c r="O292" s="242">
        <f>'[2]Argentina Sun Oil Imports'!GC$290</f>
        <v>7.6300000000000001E-4</v>
      </c>
      <c r="P292" s="242">
        <f>'[2]Argentina Sun Oil Imports'!GO$290</f>
        <v>3.2439999999999999E-3</v>
      </c>
      <c r="Q292" s="242">
        <f>'[2]Argentina Sun Oil Imports'!HA$290</f>
        <v>0</v>
      </c>
      <c r="R292" s="242">
        <f>'[2]Argentina Sun Oil Imports'!HM$290</f>
        <v>5.2566000000000002E-2</v>
      </c>
      <c r="S292" s="242">
        <f>'[2]Argentina Sun Oil Imports'!HY$290</f>
        <v>1.92E-4</v>
      </c>
      <c r="T292" s="242">
        <f>'[2]Argentina Sun Oil Imports'!IK$290</f>
        <v>3.1000000000000001E-5</v>
      </c>
      <c r="U292" s="242">
        <f>'[2]Argentina Sun Oil Imports'!IW$290</f>
        <v>5.7799999999999995E-4</v>
      </c>
      <c r="V292" s="242">
        <f>'[2]Argentina Sun Oil Imports'!JI$290</f>
        <v>3.0000000000000001E-3</v>
      </c>
      <c r="W292" s="242">
        <f>'[2]Argentina Sun Oil Imports'!JU$290</f>
        <v>2.0100000000000001E-4</v>
      </c>
      <c r="X292" s="242">
        <f>'[2]Argentina Sun Oil Imports'!KG$290</f>
        <v>1.08E-4</v>
      </c>
      <c r="Y292" s="242">
        <f>'[2]Argentina Sun Oil Imports'!KS$290</f>
        <v>0</v>
      </c>
      <c r="Z292" s="242">
        <f>'[2]Argentina Sun Oil Imports'!LE$290</f>
        <v>1.5E-5</v>
      </c>
      <c r="AA292" s="242">
        <f>'[2]Argentina Sun Oil Imports'!LQ$290</f>
        <v>0</v>
      </c>
      <c r="AB292" s="242">
        <f>'[2]Argentina Sun Oil Imports'!MC$290</f>
        <v>2.5999999999999998E-5</v>
      </c>
      <c r="AC292" s="242">
        <f>'[2]Argentina Sun Oil Imports'!MO$290</f>
        <v>1.8526999999999998E-2</v>
      </c>
      <c r="AD292" s="242">
        <f>'[2]Argentina Sun Oil Imports'!NA$290</f>
        <v>0</v>
      </c>
      <c r="AE292" s="242">
        <f>'[2]Argentina Sun Oil Imports'!NM$290</f>
        <v>4.2999999999999997E-2</v>
      </c>
      <c r="AF292" s="242">
        <f>'[2]Argentina Sun Oil Imports'!NY$290</f>
        <v>2.3E-2</v>
      </c>
      <c r="AG292" s="243">
        <f t="shared" si="124"/>
        <v>2.1644707215386636E-4</v>
      </c>
    </row>
    <row r="293" spans="1:39">
      <c r="A293" s="240" t="s">
        <v>237</v>
      </c>
      <c r="B293" s="241">
        <f t="shared" si="125"/>
        <v>0</v>
      </c>
      <c r="C293" s="241">
        <f t="shared" si="121"/>
        <v>0</v>
      </c>
      <c r="D293" s="241">
        <f t="shared" si="122"/>
        <v>0</v>
      </c>
      <c r="E293" s="241">
        <f t="shared" si="123"/>
        <v>0</v>
      </c>
      <c r="F293" s="262">
        <v>0</v>
      </c>
      <c r="G293" s="262">
        <v>0</v>
      </c>
      <c r="H293" s="262">
        <v>4.0000000000000001E-3</v>
      </c>
      <c r="I293" s="262">
        <v>0</v>
      </c>
      <c r="J293" s="262">
        <v>0</v>
      </c>
      <c r="K293" s="242">
        <f>'[2]Argentina Sun Oil Imports'!EH$290</f>
        <v>9.9999999999999995E-7</v>
      </c>
      <c r="L293" s="242">
        <f>'[2]Argentina Sun Oil Imports'!ET$290</f>
        <v>1.0000000000000001E-5</v>
      </c>
      <c r="M293" s="242">
        <f>'[2]Argentina Sun Oil Imports'!FF$290</f>
        <v>0.28094999999999998</v>
      </c>
      <c r="N293" s="242">
        <f>'[2]Argentina Sun Oil Imports'!FR$290</f>
        <v>0.51301099999999999</v>
      </c>
      <c r="O293" s="242">
        <f>'[2]Argentina Sun Oil Imports'!GD$290</f>
        <v>2.6471999999999999E-2</v>
      </c>
      <c r="P293" s="242">
        <f>'[2]Argentina Sun Oil Imports'!GP$290</f>
        <v>0</v>
      </c>
      <c r="Q293" s="242">
        <f>'[2]Argentina Sun Oil Imports'!HB$290</f>
        <v>0</v>
      </c>
      <c r="R293" s="242">
        <f>'[2]Argentina Sun Oil Imports'!HN$290</f>
        <v>2.9190000000000002E-3</v>
      </c>
      <c r="S293" s="242">
        <f>'[2]Argentina Sun Oil Imports'!HZ$290</f>
        <v>6.7999999999999999E-5</v>
      </c>
      <c r="T293" s="242">
        <f>'[2]Argentina Sun Oil Imports'!IL$290</f>
        <v>4.0499999999999998E-4</v>
      </c>
      <c r="U293" s="242">
        <f>'[2]Argentina Sun Oil Imports'!IX$290</f>
        <v>1.15E-4</v>
      </c>
      <c r="V293" s="242">
        <f>'[2]Argentina Sun Oil Imports'!JJ$290</f>
        <v>2.0000000000000001E-4</v>
      </c>
      <c r="W293" s="242">
        <f>'[2]Argentina Sun Oil Imports'!JV$290</f>
        <v>3.1999999999999999E-5</v>
      </c>
      <c r="X293" s="242">
        <f>'[2]Argentina Sun Oil Imports'!KH$290</f>
        <v>1.8000000000000001E-4</v>
      </c>
      <c r="Y293" s="242">
        <f>'[2]Argentina Sun Oil Imports'!KT$290</f>
        <v>1E-4</v>
      </c>
      <c r="Z293" s="242">
        <f>'[2]Argentina Sun Oil Imports'!LF$290</f>
        <v>0</v>
      </c>
      <c r="AA293" s="242">
        <f>'[2]Argentina Sun Oil Imports'!LR$290</f>
        <v>0</v>
      </c>
      <c r="AB293" s="242">
        <f>'[2]Argentina Sun Oil Imports'!MD$290</f>
        <v>0</v>
      </c>
      <c r="AC293" s="242">
        <f>'[2]Argentina Sun Oil Imports'!MP$290</f>
        <v>1.9999999999999999E-6</v>
      </c>
      <c r="AD293" s="242">
        <f>'[2]Argentina Sun Oil Imports'!NB$290</f>
        <v>2E-3</v>
      </c>
      <c r="AE293" s="242">
        <f>'[2]Argentina Sun Oil Imports'!NN$290</f>
        <v>0.03</v>
      </c>
      <c r="AF293" s="242">
        <f>'[2]Argentina Sun Oil Imports'!NZ$290</f>
        <v>0.01</v>
      </c>
      <c r="AG293" s="243">
        <f t="shared" si="124"/>
        <v>4.0674617585961456E-4</v>
      </c>
    </row>
    <row r="294" spans="1:39">
      <c r="A294" s="240" t="s">
        <v>238</v>
      </c>
      <c r="B294" s="241">
        <f t="shared" si="125"/>
        <v>0</v>
      </c>
      <c r="C294" s="241">
        <f t="shared" si="121"/>
        <v>0</v>
      </c>
      <c r="D294" s="241">
        <f t="shared" si="122"/>
        <v>0</v>
      </c>
      <c r="E294" s="241">
        <f t="shared" si="123"/>
        <v>0</v>
      </c>
      <c r="F294" s="262">
        <v>3.9049999999999998</v>
      </c>
      <c r="G294" s="262">
        <v>0</v>
      </c>
      <c r="H294" s="262">
        <v>0</v>
      </c>
      <c r="I294" s="262">
        <v>2E-3</v>
      </c>
      <c r="J294" s="262">
        <v>0</v>
      </c>
      <c r="K294" s="242">
        <f>'[2]Argentina Sun Oil Imports'!EI$290</f>
        <v>5.8500000000000002E-3</v>
      </c>
      <c r="L294" s="242">
        <f>'[2]Argentina Sun Oil Imports'!EU$290</f>
        <v>0</v>
      </c>
      <c r="M294" s="242">
        <f>'[2]Argentina Sun Oil Imports'!FG$290</f>
        <v>1.120968</v>
      </c>
      <c r="N294" s="242">
        <f>'[2]Argentina Sun Oil Imports'!FS$290</f>
        <v>0</v>
      </c>
      <c r="O294" s="242">
        <f>'[2]Argentina Sun Oil Imports'!GE$290</f>
        <v>9.9999999999999995E-7</v>
      </c>
      <c r="P294" s="242">
        <f>'[2]Argentina Sun Oil Imports'!GQ$290</f>
        <v>6.0000000000000002E-6</v>
      </c>
      <c r="Q294" s="242">
        <f>'[2]Argentina Sun Oil Imports'!HC$290</f>
        <v>2.3410000000000002E-3</v>
      </c>
      <c r="R294" s="242">
        <f>'[2]Argentina Sun Oil Imports'!HO$290</f>
        <v>2.036E-3</v>
      </c>
      <c r="S294" s="242">
        <f>'[2]Argentina Sun Oil Imports'!IA$290</f>
        <v>9.9999999999999995E-7</v>
      </c>
      <c r="T294" s="242">
        <f>'[2]Argentina Sun Oil Imports'!IM$290</f>
        <v>4.6E-5</v>
      </c>
      <c r="U294" s="242">
        <f>'[2]Argentina Sun Oil Imports'!IY$290</f>
        <v>1.9999999999999999E-6</v>
      </c>
      <c r="V294" s="242">
        <f>'[2]Argentina Sun Oil Imports'!JK$290</f>
        <v>0</v>
      </c>
      <c r="W294" s="242">
        <f>'[2]Argentina Sun Oil Imports'!JW$290</f>
        <v>8.1000000000000004E-5</v>
      </c>
      <c r="X294" s="242">
        <f>'[2]Argentina Sun Oil Imports'!KI$290</f>
        <v>2.4600000000000002E-4</v>
      </c>
      <c r="Y294" s="242">
        <f>'[2]Argentina Sun Oil Imports'!KU$290</f>
        <v>3.28E-4</v>
      </c>
      <c r="Z294" s="242">
        <f>'[2]Argentina Sun Oil Imports'!LG$290</f>
        <v>0</v>
      </c>
      <c r="AA294" s="242">
        <f>'[2]Argentina Sun Oil Imports'!LS$290</f>
        <v>0</v>
      </c>
      <c r="AB294" s="242">
        <f>'[2]Argentina Sun Oil Imports'!ME$290</f>
        <v>9.9999999999999995E-7</v>
      </c>
      <c r="AC294" s="242">
        <f>'[2]Argentina Sun Oil Imports'!MQ$290</f>
        <v>0</v>
      </c>
      <c r="AD294" s="242">
        <f>'[2]Argentina Sun Oil Imports'!NC$290</f>
        <v>0</v>
      </c>
      <c r="AE294" s="242">
        <f>'[2]Argentina Sun Oil Imports'!NO$290</f>
        <v>0</v>
      </c>
      <c r="AF294" s="243">
        <f t="shared" si="124"/>
        <v>9.5322641674185776E-4</v>
      </c>
      <c r="AG294" s="243">
        <f t="shared" si="124"/>
        <v>8.3528232542599444E-4</v>
      </c>
    </row>
    <row r="295" spans="1:39">
      <c r="A295" s="240" t="s">
        <v>239</v>
      </c>
      <c r="B295" s="241">
        <f t="shared" si="125"/>
        <v>0</v>
      </c>
      <c r="C295" s="241">
        <f t="shared" si="121"/>
        <v>0</v>
      </c>
      <c r="D295" s="241">
        <f t="shared" si="122"/>
        <v>0</v>
      </c>
      <c r="E295" s="241">
        <f t="shared" si="123"/>
        <v>0</v>
      </c>
      <c r="F295" s="262">
        <v>0</v>
      </c>
      <c r="G295" s="262">
        <v>1.526</v>
      </c>
      <c r="H295" s="262">
        <v>0</v>
      </c>
      <c r="I295" s="262">
        <v>0</v>
      </c>
      <c r="J295" s="262">
        <v>0</v>
      </c>
      <c r="K295" s="242">
        <f>'[2]Argentina Sun Oil Imports'!EJ$290</f>
        <v>1.7604999999999999E-2</v>
      </c>
      <c r="L295" s="242">
        <f>'[2]Argentina Sun Oil Imports'!EV$290</f>
        <v>1.9499999999999999E-3</v>
      </c>
      <c r="M295" s="242">
        <f>'[2]Argentina Sun Oil Imports'!FH$290</f>
        <v>1.926E-3</v>
      </c>
      <c r="N295" s="242">
        <f>'[2]Argentina Sun Oil Imports'!FT$290</f>
        <v>2.64E-3</v>
      </c>
      <c r="O295" s="242">
        <f>'[2]Argentina Sun Oil Imports'!GF$290</f>
        <v>5.3360999999999999E-2</v>
      </c>
      <c r="P295" s="242">
        <f>'[2]Argentina Sun Oil Imports'!GR$290</f>
        <v>3.2469999999999999E-3</v>
      </c>
      <c r="Q295" s="242">
        <f>'[2]Argentina Sun Oil Imports'!HD$290</f>
        <v>9.9999999999999995E-7</v>
      </c>
      <c r="R295" s="242">
        <f>'[2]Argentina Sun Oil Imports'!HP$290</f>
        <v>2.9529999999999999E-3</v>
      </c>
      <c r="S295" s="242">
        <f>'[2]Argentina Sun Oil Imports'!IB$290</f>
        <v>1.95E-4</v>
      </c>
      <c r="T295" s="242">
        <f>'[2]Argentina Sun Oil Imports'!IN$290</f>
        <v>3.6000000000000001E-5</v>
      </c>
      <c r="U295" s="242">
        <f>'[2]Argentina Sun Oil Imports'!IZ$290</f>
        <v>3.0000000000000001E-6</v>
      </c>
      <c r="V295" s="242">
        <f>'[2]Argentina Sun Oil Imports'!JL$290</f>
        <v>5.1E-5</v>
      </c>
      <c r="W295" s="242">
        <f>'[2]Argentina Sun Oil Imports'!JX$290</f>
        <v>1.4999999999999999E-4</v>
      </c>
      <c r="X295" s="242">
        <f>'[2]Argentina Sun Oil Imports'!KJ$290</f>
        <v>5.7000000000000003E-5</v>
      </c>
      <c r="Y295" s="242">
        <f>'[2]Argentina Sun Oil Imports'!KV$290</f>
        <v>0</v>
      </c>
      <c r="Z295" s="242">
        <f>'[2]Argentina Sun Oil Imports'!LH$290</f>
        <v>9.6000000000000002E-5</v>
      </c>
      <c r="AA295" s="242">
        <f>'[2]Argentina Sun Oil Imports'!LT$290</f>
        <v>0</v>
      </c>
      <c r="AB295" s="242">
        <f>'[2]Argentina Sun Oil Imports'!MF$290</f>
        <v>1.94E-4</v>
      </c>
      <c r="AC295" s="242">
        <f>'[2]Argentina Sun Oil Imports'!MR$290</f>
        <v>1.92E-4</v>
      </c>
      <c r="AD295" s="242">
        <f>'[2]Argentina Sun Oil Imports'!ND$290</f>
        <v>0</v>
      </c>
      <c r="AE295" s="242">
        <f>'[2]Argentina Sun Oil Imports'!NP$290</f>
        <v>0.01</v>
      </c>
      <c r="AF295" s="243">
        <f t="shared" si="124"/>
        <v>4.40958174462264E-4</v>
      </c>
      <c r="AG295" s="243">
        <f t="shared" si="124"/>
        <v>5.0407472508316514E-4</v>
      </c>
    </row>
    <row r="296" spans="1:39">
      <c r="A296" s="240" t="s">
        <v>240</v>
      </c>
      <c r="B296" s="241">
        <f t="shared" si="125"/>
        <v>0</v>
      </c>
      <c r="C296" s="241">
        <f t="shared" si="121"/>
        <v>0</v>
      </c>
      <c r="D296" s="241">
        <f t="shared" si="122"/>
        <v>0</v>
      </c>
      <c r="E296" s="241">
        <f t="shared" si="123"/>
        <v>0</v>
      </c>
      <c r="F296" s="262">
        <v>1E-3</v>
      </c>
      <c r="G296" s="262">
        <v>1E-3</v>
      </c>
      <c r="H296" s="262">
        <v>1.0999999999999999E-2</v>
      </c>
      <c r="I296" s="262">
        <v>2E-3</v>
      </c>
      <c r="J296" s="262">
        <v>0</v>
      </c>
      <c r="K296" s="242">
        <f>'[2]Argentina Sun Oil Imports'!EK$290</f>
        <v>2.0409999999999998E-3</v>
      </c>
      <c r="L296" s="242">
        <f>'[2]Argentina Sun Oil Imports'!EW$290</f>
        <v>7.2009999999999999E-3</v>
      </c>
      <c r="M296" s="242">
        <f>'[2]Argentina Sun Oil Imports'!FI$290</f>
        <v>1.964E-3</v>
      </c>
      <c r="N296" s="242">
        <f>'[2]Argentina Sun Oil Imports'!FU$290</f>
        <v>0</v>
      </c>
      <c r="O296" s="242">
        <f>'[2]Argentina Sun Oil Imports'!GG$290</f>
        <v>1.2E-5</v>
      </c>
      <c r="P296" s="242">
        <f>'[2]Argentina Sun Oil Imports'!GS$290</f>
        <v>0.82680200000000004</v>
      </c>
      <c r="Q296" s="242">
        <f>'[2]Argentina Sun Oil Imports'!HE$290</f>
        <v>2.7070000000000002E-3</v>
      </c>
      <c r="R296" s="242">
        <f>'[2]Argentina Sun Oil Imports'!HQ$290</f>
        <v>4.8609999999999999E-3</v>
      </c>
      <c r="S296" s="242">
        <f>'[2]Argentina Sun Oil Imports'!IC$290</f>
        <v>0</v>
      </c>
      <c r="T296" s="242">
        <f>'[2]Argentina Sun Oil Imports'!IO$290</f>
        <v>5.4699999999999996E-4</v>
      </c>
      <c r="U296" s="242">
        <f>'[2]Argentina Sun Oil Imports'!JA$290</f>
        <v>2.5000000000000001E-5</v>
      </c>
      <c r="V296" s="242">
        <f>'[2]Argentina Sun Oil Imports'!JM$290</f>
        <v>1.4999999999999999E-4</v>
      </c>
      <c r="W296" s="242">
        <f>'[2]Argentina Sun Oil Imports'!JY$290</f>
        <v>5.0000000000000004E-6</v>
      </c>
      <c r="X296" s="242">
        <f>'[2]Argentina Sun Oil Imports'!KK$290</f>
        <v>9.5000000000000005E-5</v>
      </c>
      <c r="Y296" s="242">
        <f>'[2]Argentina Sun Oil Imports'!KW$290</f>
        <v>4.6E-5</v>
      </c>
      <c r="Z296" s="242">
        <f>'[2]Argentina Sun Oil Imports'!LI$290</f>
        <v>0</v>
      </c>
      <c r="AA296" s="242">
        <f>'[2]Argentina Sun Oil Imports'!LU$290</f>
        <v>0</v>
      </c>
      <c r="AB296" s="242">
        <f>'[2]Argentina Sun Oil Imports'!MB$290</f>
        <v>1.1E-4</v>
      </c>
      <c r="AC296" s="242">
        <f>'[2]Argentina Sun Oil Imports'!MS$290</f>
        <v>6.0000000000000002E-5</v>
      </c>
      <c r="AD296" s="242">
        <f>'[2]Argentina Sun Oil Imports'!NE$290</f>
        <v>0</v>
      </c>
      <c r="AE296" s="242">
        <f>'[2]Argentina Sun Oil Imports'!NQ$290</f>
        <v>0</v>
      </c>
      <c r="AF296" s="243">
        <f t="shared" si="124"/>
        <v>2.1247489594551335E-4</v>
      </c>
      <c r="AG296" s="243">
        <f t="shared" si="124"/>
        <v>3.6461889335986887E-4</v>
      </c>
    </row>
    <row r="297" spans="1:39">
      <c r="A297" s="240" t="s">
        <v>241</v>
      </c>
      <c r="B297" s="241">
        <f t="shared" si="125"/>
        <v>0</v>
      </c>
      <c r="C297" s="241">
        <f t="shared" si="121"/>
        <v>0</v>
      </c>
      <c r="D297" s="241">
        <f t="shared" si="122"/>
        <v>0</v>
      </c>
      <c r="E297" s="241">
        <f t="shared" si="123"/>
        <v>0</v>
      </c>
      <c r="F297" s="262">
        <v>1E-3</v>
      </c>
      <c r="G297" s="262">
        <v>0</v>
      </c>
      <c r="H297" s="262">
        <v>0</v>
      </c>
      <c r="I297" s="262">
        <v>0</v>
      </c>
      <c r="J297" s="262">
        <v>0</v>
      </c>
      <c r="K297" s="242">
        <f>'[2]Argentina Sun Oil Imports'!EL$290</f>
        <v>0</v>
      </c>
      <c r="L297" s="242">
        <f>'[2]Argentina Sun Oil Imports'!EX$290</f>
        <v>1.5250000000000001E-3</v>
      </c>
      <c r="M297" s="242">
        <f>'[2]Argentina Sun Oil Imports'!FJ$290</f>
        <v>9.6000000000000002E-4</v>
      </c>
      <c r="N297" s="242">
        <f>'[2]Argentina Sun Oil Imports'!FV$290</f>
        <v>3.5999999999999999E-3</v>
      </c>
      <c r="O297" s="242">
        <f>'[2]Argentina Sun Oil Imports'!GH$290</f>
        <v>6.0000000000000002E-6</v>
      </c>
      <c r="P297" s="242">
        <f>'[2]Argentina Sun Oil Imports'!GT$290</f>
        <v>1.3040020000000001</v>
      </c>
      <c r="Q297" s="242">
        <f>'[2]Argentina Sun Oil Imports'!HF$290</f>
        <v>7.9830000000000005E-3</v>
      </c>
      <c r="R297" s="242">
        <f>'[2]Argentina Sun Oil Imports'!HR$290</f>
        <v>6.8710000000000004E-3</v>
      </c>
      <c r="S297" s="242">
        <f>'[2]Argentina Sun Oil Imports'!ID$290</f>
        <v>2.1999999999999999E-5</v>
      </c>
      <c r="T297" s="242">
        <f>'[2]Argentina Sun Oil Imports'!IP$290</f>
        <v>2.7599999999999999E-3</v>
      </c>
      <c r="U297" s="242">
        <f>'[2]Argentina Sun Oil Imports'!JB$290</f>
        <v>0</v>
      </c>
      <c r="V297" s="242">
        <f>'[2]Argentina Sun Oil Imports'!JN$290</f>
        <v>3.5E-4</v>
      </c>
      <c r="W297" s="242">
        <f>'[2]Argentina Sun Oil Imports'!JZ$290</f>
        <v>0</v>
      </c>
      <c r="X297" s="242">
        <f>'[2]Argentina Sun Oil Imports'!KL$290</f>
        <v>0</v>
      </c>
      <c r="Y297" s="242">
        <f>'[2]Argentina Sun Oil Imports'!KX$290</f>
        <v>0</v>
      </c>
      <c r="Z297" s="242">
        <f>'[2]Argentina Sun Oil Imports'!LJ$290</f>
        <v>5.5999999999999999E-5</v>
      </c>
      <c r="AA297" s="242">
        <f>'[2]Argentina Sun Oil Imports'!LV$290</f>
        <v>0</v>
      </c>
      <c r="AB297" s="242">
        <f>'[2]Argentina Sun Oil Imports'!MG$290</f>
        <v>0</v>
      </c>
      <c r="AC297" s="242">
        <f>'[2]Argentina Sun Oil Imports'!MT$290</f>
        <v>7.5800000000000006E-2</v>
      </c>
      <c r="AD297" s="242">
        <f>'[2]Argentina Sun Oil Imports'!NF$290</f>
        <v>0</v>
      </c>
      <c r="AE297" s="242">
        <f>'[2]Argentina Sun Oil Imports'!NR$290</f>
        <v>0</v>
      </c>
      <c r="AF297" s="243">
        <f t="shared" ref="AF297" si="126">AF298-SUM(AF286:AF296)</f>
        <v>1.039334051285036E-2</v>
      </c>
      <c r="AG297" s="243">
        <f t="shared" ref="AG297" si="127">AG298-SUM(AG286:AG296)</f>
        <v>8.13492351718903E-5</v>
      </c>
    </row>
    <row r="298" spans="1:39" ht="15.75" thickBot="1">
      <c r="A298" s="240" t="s">
        <v>242</v>
      </c>
      <c r="B298" s="245">
        <f>B34</f>
        <v>0</v>
      </c>
      <c r="C298" s="245">
        <f>C34</f>
        <v>0</v>
      </c>
      <c r="D298" s="245">
        <f>D34</f>
        <v>0</v>
      </c>
      <c r="E298" s="245">
        <f>E34</f>
        <v>0</v>
      </c>
      <c r="F298" s="245">
        <f>SUM(F286:F297)</f>
        <v>3.9369999999999994</v>
      </c>
      <c r="G298" s="245">
        <f>SUM(G286:G297)</f>
        <v>1.583</v>
      </c>
      <c r="H298" s="245">
        <f>SUM(H286:H297)</f>
        <v>0.04</v>
      </c>
      <c r="I298" s="245">
        <f>SUM(I286:I297)</f>
        <v>1.7000000000000001E-2</v>
      </c>
      <c r="J298" s="245">
        <f t="shared" ref="J298:Z298" si="128">SUM(J286:J297)</f>
        <v>0</v>
      </c>
      <c r="K298" s="245">
        <f t="shared" si="128"/>
        <v>4.1248000000000007E-2</v>
      </c>
      <c r="L298" s="245">
        <f t="shared" si="128"/>
        <v>1.6783999999999997E-2</v>
      </c>
      <c r="M298" s="245">
        <f t="shared" si="128"/>
        <v>1.4151480000000003</v>
      </c>
      <c r="N298" s="245">
        <f t="shared" si="128"/>
        <v>1.0416590000000001</v>
      </c>
      <c r="O298" s="245">
        <f t="shared" si="128"/>
        <v>9.8467000000000013E-2</v>
      </c>
      <c r="P298" s="245">
        <f t="shared" si="128"/>
        <v>2.1500880000000002</v>
      </c>
      <c r="Q298" s="245">
        <f t="shared" si="128"/>
        <v>3.0864000000000003E-2</v>
      </c>
      <c r="R298" s="245">
        <f t="shared" si="128"/>
        <v>0.15851500000000004</v>
      </c>
      <c r="S298" s="245">
        <f t="shared" si="128"/>
        <v>1.6048E-2</v>
      </c>
      <c r="T298" s="245">
        <f t="shared" si="128"/>
        <v>1.5304999999999999E-2</v>
      </c>
      <c r="U298" s="245">
        <f t="shared" si="128"/>
        <v>7.229999999999999E-4</v>
      </c>
      <c r="V298" s="245">
        <f t="shared" si="128"/>
        <v>3.947E-3</v>
      </c>
      <c r="W298" s="245">
        <f t="shared" si="128"/>
        <v>5.4799999999999998E-4</v>
      </c>
      <c r="X298" s="245">
        <f t="shared" si="128"/>
        <v>6.6468999999999986E-2</v>
      </c>
      <c r="Y298" s="245">
        <f t="shared" si="128"/>
        <v>1.1380000000000001E-3</v>
      </c>
      <c r="Z298" s="245">
        <f t="shared" si="128"/>
        <v>4.6700000000000002E-4</v>
      </c>
      <c r="AA298" s="246">
        <f>SUM(AA286:AA297)</f>
        <v>9.2E-5</v>
      </c>
      <c r="AB298" s="246">
        <f>SUM(AB286:AB297)</f>
        <v>6.7299999999999999E-4</v>
      </c>
      <c r="AC298" s="246">
        <f>SUM(AC286:AC297)</f>
        <v>9.485600000000001E-2</v>
      </c>
      <c r="AD298" s="246">
        <f>SUM(AD286:AD297)</f>
        <v>7.0000000000000001E-3</v>
      </c>
      <c r="AE298" s="246">
        <f>SUM(AE286:AE297)</f>
        <v>8.8999999999999982E-2</v>
      </c>
      <c r="AF298" s="243">
        <f>AF34</f>
        <v>0.1</v>
      </c>
      <c r="AG298" s="243">
        <f>AG34</f>
        <v>0.1</v>
      </c>
    </row>
    <row r="299" spans="1:39">
      <c r="A299" s="248"/>
      <c r="B299" s="248"/>
      <c r="C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  <c r="AA299" s="248"/>
      <c r="AB299" s="248"/>
      <c r="AC299" s="248"/>
      <c r="AD299" s="248"/>
      <c r="AE299" s="248"/>
      <c r="AF299" s="248"/>
      <c r="AG299" s="248"/>
    </row>
    <row r="300" spans="1:39" ht="15.75" thickBot="1">
      <c r="A300" s="235" t="s">
        <v>267</v>
      </c>
      <c r="D300" s="271"/>
      <c r="E300" s="264"/>
      <c r="F300" s="264"/>
      <c r="G300" s="264"/>
      <c r="H300" s="264"/>
      <c r="I300" s="264"/>
      <c r="J300" s="264"/>
      <c r="K300" s="264"/>
      <c r="L300" s="264"/>
      <c r="M300" s="264"/>
      <c r="N300" s="264"/>
      <c r="O300" s="264"/>
      <c r="P300" s="264"/>
      <c r="Q300" s="264"/>
      <c r="R300" s="264"/>
      <c r="S300" s="264"/>
    </row>
    <row r="301" spans="1:39" ht="15.75" thickBot="1">
      <c r="A301" s="236"/>
      <c r="B301" s="237">
        <f>B$2</f>
        <v>1993</v>
      </c>
      <c r="C301" s="237">
        <f t="shared" ref="C301:AG301" si="129">C$2</f>
        <v>1994</v>
      </c>
      <c r="D301" s="237">
        <f t="shared" si="129"/>
        <v>1995</v>
      </c>
      <c r="E301" s="237">
        <f t="shared" si="129"/>
        <v>1996</v>
      </c>
      <c r="F301" s="237">
        <f t="shared" si="129"/>
        <v>1997</v>
      </c>
      <c r="G301" s="237">
        <f t="shared" si="129"/>
        <v>1998</v>
      </c>
      <c r="H301" s="237">
        <f t="shared" si="129"/>
        <v>1999</v>
      </c>
      <c r="I301" s="237">
        <f t="shared" si="129"/>
        <v>2000</v>
      </c>
      <c r="J301" s="237">
        <f t="shared" si="129"/>
        <v>2001</v>
      </c>
      <c r="K301" s="237">
        <f t="shared" si="129"/>
        <v>2002</v>
      </c>
      <c r="L301" s="237">
        <f t="shared" si="129"/>
        <v>2003</v>
      </c>
      <c r="M301" s="237">
        <f t="shared" si="129"/>
        <v>2004</v>
      </c>
      <c r="N301" s="237">
        <f t="shared" si="129"/>
        <v>2005</v>
      </c>
      <c r="O301" s="237">
        <f t="shared" si="129"/>
        <v>2006</v>
      </c>
      <c r="P301" s="237">
        <f t="shared" si="129"/>
        <v>2007</v>
      </c>
      <c r="Q301" s="237">
        <f t="shared" si="129"/>
        <v>2008</v>
      </c>
      <c r="R301" s="237">
        <f t="shared" si="129"/>
        <v>2009</v>
      </c>
      <c r="S301" s="237">
        <f t="shared" si="129"/>
        <v>2010</v>
      </c>
      <c r="T301" s="237">
        <f t="shared" si="129"/>
        <v>2011</v>
      </c>
      <c r="U301" s="237">
        <f t="shared" si="129"/>
        <v>2012</v>
      </c>
      <c r="V301" s="237">
        <f t="shared" si="129"/>
        <v>2013</v>
      </c>
      <c r="W301" s="237">
        <f t="shared" si="129"/>
        <v>2014</v>
      </c>
      <c r="X301" s="237">
        <f t="shared" si="129"/>
        <v>2015</v>
      </c>
      <c r="Y301" s="237">
        <f t="shared" si="129"/>
        <v>2016</v>
      </c>
      <c r="Z301" s="237">
        <f t="shared" si="129"/>
        <v>2017</v>
      </c>
      <c r="AA301" s="237">
        <f t="shared" si="129"/>
        <v>2018</v>
      </c>
      <c r="AB301" s="237">
        <f t="shared" si="129"/>
        <v>2019</v>
      </c>
      <c r="AC301" s="237">
        <f t="shared" si="129"/>
        <v>2020</v>
      </c>
      <c r="AD301" s="237">
        <f t="shared" si="129"/>
        <v>2021</v>
      </c>
      <c r="AE301" s="237">
        <f t="shared" si="129"/>
        <v>2022</v>
      </c>
      <c r="AF301" s="237">
        <f t="shared" si="129"/>
        <v>2023</v>
      </c>
      <c r="AG301" s="237">
        <f t="shared" si="129"/>
        <v>2024</v>
      </c>
      <c r="AH301" s="269"/>
      <c r="AI301" s="269"/>
      <c r="AJ301" s="270"/>
      <c r="AK301" s="270"/>
      <c r="AL301" s="270"/>
      <c r="AM301" s="270"/>
    </row>
    <row r="302" spans="1:39">
      <c r="A302" s="240" t="s">
        <v>231</v>
      </c>
      <c r="B302" s="262">
        <v>26.58</v>
      </c>
      <c r="C302" s="262">
        <v>41.975000000000001</v>
      </c>
      <c r="D302" s="262">
        <v>59.85</v>
      </c>
      <c r="E302" s="262">
        <v>69.776999999999987</v>
      </c>
      <c r="F302" s="262">
        <v>78.585999999999999</v>
      </c>
      <c r="G302" s="262">
        <v>76.177999999999997</v>
      </c>
      <c r="H302" s="262">
        <v>68.888000000000005</v>
      </c>
      <c r="I302" s="262">
        <v>80.760999999999996</v>
      </c>
      <c r="J302" s="262">
        <v>68.817999999999998</v>
      </c>
      <c r="K302" s="242">
        <f>'[2]Argentina Sun Oil Exports'!EA$290</f>
        <v>43.583705999999999</v>
      </c>
      <c r="L302" s="242">
        <f>'[2]Argentina Sun Oil Exports'!EM$290</f>
        <v>76.379355000000004</v>
      </c>
      <c r="M302" s="242">
        <f>'[2]Argentina Sun Oil Exports'!EY$290</f>
        <v>66.253344999999996</v>
      </c>
      <c r="N302" s="242">
        <f>'[2]Argentina Sun Oil Exports'!FK$290</f>
        <v>108.315111</v>
      </c>
      <c r="O302" s="242">
        <f>'[2]Argentina Sun Oil Exports'!FW$290</f>
        <v>88.804254999999998</v>
      </c>
      <c r="P302" s="242">
        <f>'[2]Argentina Sun Oil Exports'!GI$290</f>
        <v>40.965744000000001</v>
      </c>
      <c r="Q302" s="242">
        <f>'[2]Argentina Sun Oil Exports'!GU$290</f>
        <v>58.738942000000002</v>
      </c>
      <c r="R302" s="242">
        <f>'[2]Argentina Sun Oil Exports'!HG$290</f>
        <v>91.502414000000002</v>
      </c>
      <c r="S302" s="242">
        <f>'[2]Argentina Sun Oil Exports'!HS$290</f>
        <v>43.158453000000002</v>
      </c>
      <c r="T302" s="242">
        <f>'[2]Argentina Sun Oil Exports'!IE$290</f>
        <v>24.882860999999998</v>
      </c>
      <c r="U302" s="242">
        <f>'[2]Argentina Sun Oil Exports'!IQ$290</f>
        <v>39.864379999999997</v>
      </c>
      <c r="V302" s="242">
        <f>'[2]Argentina Sun Oil Exports'!JC$290</f>
        <v>72.427908000000002</v>
      </c>
      <c r="W302" s="242">
        <f>'[2]Argentina Sun Oil Exports'!JO$290</f>
        <v>11.026066999999999</v>
      </c>
      <c r="X302" s="242">
        <f>'[2]Argentina Sun Oil Exports'!KA$290</f>
        <v>14.553969</v>
      </c>
      <c r="Y302" s="242">
        <f>'[2]Argentina Sun Oil Exports'!KM$290</f>
        <v>15.565322999999999</v>
      </c>
      <c r="Z302" s="242">
        <f>'[2]Argentina Sun Oil Exports'!KY$290</f>
        <v>36.714703999999998</v>
      </c>
      <c r="AA302" s="242">
        <f>'[2]Argentina Sun Oil Exports'!LK$290</f>
        <v>47.702457000000003</v>
      </c>
      <c r="AB302" s="242">
        <f>'[2]Argentina Sun Oil Exports'!LW$290</f>
        <v>95.260321000000005</v>
      </c>
      <c r="AC302" s="242">
        <f>'[2]Argentina Sun Oil Exports'!MI$290</f>
        <v>17.299810999999998</v>
      </c>
      <c r="AD302" s="242">
        <f>'[2]Argentina Sun Oil Exports'!MU$290</f>
        <v>21.617999999999999</v>
      </c>
      <c r="AE302" s="242">
        <f>'[2]Argentina Sun Oil Exports'!NG$290</f>
        <v>67.998999999999995</v>
      </c>
      <c r="AF302" s="242">
        <f>'[2]Argentina Sun Oil Exports'!NS$290</f>
        <v>11.150880000000001</v>
      </c>
      <c r="AG302" s="243">
        <f t="shared" ref="AG302:AG304" si="130">(SUM(AA302:AE302)/SUM(AA$314:AE$314))*AG$314</f>
        <v>80.05659460476447</v>
      </c>
      <c r="AH302" s="146"/>
      <c r="AI302" s="146"/>
      <c r="AJ302" s="209"/>
      <c r="AK302" s="209"/>
      <c r="AL302" s="209"/>
      <c r="AM302" s="209"/>
    </row>
    <row r="303" spans="1:39">
      <c r="A303" s="240" t="s">
        <v>232</v>
      </c>
      <c r="B303" s="262">
        <v>26.21</v>
      </c>
      <c r="C303" s="262">
        <v>21.565000000000001</v>
      </c>
      <c r="D303" s="262">
        <v>51.629999999999995</v>
      </c>
      <c r="E303" s="262">
        <v>32.463000000000001</v>
      </c>
      <c r="F303" s="262">
        <v>86.903999999999996</v>
      </c>
      <c r="G303" s="262">
        <v>61.460999999999999</v>
      </c>
      <c r="H303" s="262">
        <v>104.676</v>
      </c>
      <c r="I303" s="262">
        <v>68.028000000000006</v>
      </c>
      <c r="J303" s="262">
        <v>50.302999999999997</v>
      </c>
      <c r="K303" s="242">
        <f>'[2]Argentina Sun Oil Exports'!EB$290</f>
        <v>73.506200000000007</v>
      </c>
      <c r="L303" s="242">
        <f>'[2]Argentina Sun Oil Exports'!EN$290</f>
        <v>161.43884</v>
      </c>
      <c r="M303" s="242">
        <f>'[2]Argentina Sun Oil Exports'!EZ$290</f>
        <v>53.439374999999998</v>
      </c>
      <c r="N303" s="242">
        <f>'[2]Argentina Sun Oil Exports'!FL$290</f>
        <v>81.816688999999997</v>
      </c>
      <c r="O303" s="242">
        <f>'[2]Argentina Sun Oil Exports'!FX$290</f>
        <v>59.595632000000002</v>
      </c>
      <c r="P303" s="242">
        <f>'[2]Argentina Sun Oil Exports'!GJ$290</f>
        <v>95.156395000000003</v>
      </c>
      <c r="Q303" s="242">
        <f>'[2]Argentina Sun Oil Exports'!GV$290</f>
        <v>69.542321000000001</v>
      </c>
      <c r="R303" s="242">
        <f>'[2]Argentina Sun Oil Exports'!HH$290</f>
        <v>90.332241999999994</v>
      </c>
      <c r="S303" s="242">
        <f>'[2]Argentina Sun Oil Exports'!HT$290</f>
        <v>27.202483000000001</v>
      </c>
      <c r="T303" s="242">
        <f>'[2]Argentina Sun Oil Exports'!IF$290</f>
        <v>47.838571000000002</v>
      </c>
      <c r="U303" s="242">
        <f>'[2]Argentina Sun Oil Exports'!IR$290</f>
        <v>90.995617999999993</v>
      </c>
      <c r="V303" s="242">
        <f>'[2]Argentina Sun Oil Exports'!JD$290</f>
        <v>58.216363999999999</v>
      </c>
      <c r="W303" s="242">
        <f>'[2]Argentina Sun Oil Exports'!JP$290</f>
        <v>26.28998</v>
      </c>
      <c r="X303" s="242">
        <f>'[2]Argentina Sun Oil Exports'!KB$290</f>
        <v>17.135192</v>
      </c>
      <c r="Y303" s="242">
        <f>'[2]Argentina Sun Oil Exports'!KN$290</f>
        <v>79.390455000000003</v>
      </c>
      <c r="Z303" s="242">
        <f>'[2]Argentina Sun Oil Exports'!KZ$290</f>
        <v>46.913831999999999</v>
      </c>
      <c r="AA303" s="242">
        <f>'[2]Argentina Sun Oil Exports'!LL$290</f>
        <v>41.497553000000003</v>
      </c>
      <c r="AB303" s="242">
        <f>'[2]Argentina Sun Oil Exports'!LX$290</f>
        <v>65.433747999999994</v>
      </c>
      <c r="AC303" s="242">
        <f>'[2]Argentina Sun Oil Exports'!MJ$290</f>
        <v>45.479976000000001</v>
      </c>
      <c r="AD303" s="242">
        <f>'[2]Argentina Sun Oil Exports'!MV$290</f>
        <v>28.497</v>
      </c>
      <c r="AE303" s="242">
        <f>'[2]Argentina Sun Oil Exports'!NH$290</f>
        <v>32.823999999999998</v>
      </c>
      <c r="AF303" s="242">
        <f>'[2]Argentina Sun Oil Exports'!NT$290</f>
        <v>29.213260999999999</v>
      </c>
      <c r="AG303" s="243">
        <f t="shared" si="130"/>
        <v>68.475693922092319</v>
      </c>
      <c r="AH303" s="146"/>
      <c r="AI303" s="146"/>
      <c r="AJ303" s="209"/>
      <c r="AK303" s="209"/>
      <c r="AL303" s="209"/>
      <c r="AM303" s="209"/>
    </row>
    <row r="304" spans="1:39">
      <c r="A304" s="240" t="s">
        <v>233</v>
      </c>
      <c r="B304" s="262">
        <v>47.695999999999998</v>
      </c>
      <c r="C304" s="262">
        <v>45.83</v>
      </c>
      <c r="D304" s="262">
        <v>149.67400000000001</v>
      </c>
      <c r="E304" s="262">
        <v>101.38200000000001</v>
      </c>
      <c r="F304" s="262">
        <v>132.47500000000002</v>
      </c>
      <c r="G304" s="262">
        <v>194.64100000000002</v>
      </c>
      <c r="H304" s="262">
        <v>218.04000000000002</v>
      </c>
      <c r="I304" s="262">
        <v>213.61199999999999</v>
      </c>
      <c r="J304" s="262">
        <v>117.70099999999999</v>
      </c>
      <c r="K304" s="242">
        <f>'[2]Argentina Sun Oil Exports'!EC$290</f>
        <v>97.851293999999996</v>
      </c>
      <c r="L304" s="242">
        <f>'[2]Argentina Sun Oil Exports'!EO$290</f>
        <v>86.172419000000005</v>
      </c>
      <c r="M304" s="242">
        <f>'[2]Argentina Sun Oil Exports'!FA$290</f>
        <v>126.335542</v>
      </c>
      <c r="N304" s="242">
        <f>'[2]Argentina Sun Oil Exports'!FM$290</f>
        <v>155.50971699999999</v>
      </c>
      <c r="O304" s="242">
        <f>'[2]Argentina Sun Oil Exports'!FY$290</f>
        <v>152.297372</v>
      </c>
      <c r="P304" s="242">
        <f>'[2]Argentina Sun Oil Exports'!GK$290</f>
        <v>97.840258000000006</v>
      </c>
      <c r="Q304" s="242">
        <f>'[2]Argentina Sun Oil Exports'!GW$290</f>
        <v>79.705197999999996</v>
      </c>
      <c r="R304" s="242">
        <f>'[2]Argentina Sun Oil Exports'!HI$290</f>
        <v>81.219706000000002</v>
      </c>
      <c r="S304" s="242">
        <f>'[2]Argentina Sun Oil Exports'!HU$290</f>
        <v>116.632606</v>
      </c>
      <c r="T304" s="242">
        <f>'[2]Argentina Sun Oil Exports'!IG$290</f>
        <v>71.490561999999997</v>
      </c>
      <c r="U304" s="242">
        <f>'[2]Argentina Sun Oil Exports'!IS$290</f>
        <v>87.119309000000001</v>
      </c>
      <c r="V304" s="242">
        <f>'[2]Argentina Sun Oil Exports'!JE$290</f>
        <v>50.869062</v>
      </c>
      <c r="W304" s="242">
        <f>'[2]Argentina Sun Oil Exports'!JQ$290</f>
        <v>24.890408999999998</v>
      </c>
      <c r="X304" s="242">
        <f>'[2]Argentina Sun Oil Exports'!KC$290</f>
        <v>36.824606000000003</v>
      </c>
      <c r="Y304" s="242">
        <f>'[2]Argentina Sun Oil Exports'!KO$290</f>
        <v>113.98446800000001</v>
      </c>
      <c r="Z304" s="242">
        <f>'[2]Argentina Sun Oil Exports'!LA$290</f>
        <v>92.705139000000003</v>
      </c>
      <c r="AA304" s="242">
        <f>'[2]Argentina Sun Oil Exports'!LM$290</f>
        <v>26.798423</v>
      </c>
      <c r="AB304" s="242">
        <f>'[2]Argentina Sun Oil Exports'!LY$290</f>
        <v>127.57771200000001</v>
      </c>
      <c r="AC304" s="242">
        <f>'[2]Argentina Sun Oil Exports'!MK$290</f>
        <v>42.274526999999999</v>
      </c>
      <c r="AD304" s="242">
        <f>'[2]Argentina Sun Oil Exports'!MW$290</f>
        <v>40.140999999999998</v>
      </c>
      <c r="AE304" s="242">
        <f>'[2]Argentina Sun Oil Exports'!NI$290</f>
        <v>78.956999999999994</v>
      </c>
      <c r="AF304" s="242">
        <f>'[2]Argentina Sun Oil Exports'!NU$290</f>
        <v>87.885570999999999</v>
      </c>
      <c r="AG304" s="243">
        <f t="shared" si="130"/>
        <v>101.15977352088088</v>
      </c>
      <c r="AH304" s="146"/>
      <c r="AI304" s="146"/>
      <c r="AJ304" s="209"/>
      <c r="AK304" s="209"/>
      <c r="AL304" s="209"/>
      <c r="AM304" s="209"/>
    </row>
    <row r="305" spans="1:39">
      <c r="A305" s="240" t="s">
        <v>234</v>
      </c>
      <c r="B305" s="262">
        <v>158.91400000000002</v>
      </c>
      <c r="C305" s="262">
        <v>124.59399999999999</v>
      </c>
      <c r="D305" s="262">
        <v>219.27800000000002</v>
      </c>
      <c r="E305" s="262">
        <v>223.489</v>
      </c>
      <c r="F305" s="262">
        <v>279.29700000000003</v>
      </c>
      <c r="G305" s="262">
        <v>243.61499999999998</v>
      </c>
      <c r="H305" s="262">
        <v>248.66600000000003</v>
      </c>
      <c r="I305" s="262">
        <v>198.50799999999998</v>
      </c>
      <c r="J305" s="262">
        <v>104.986</v>
      </c>
      <c r="K305" s="242">
        <f>'[2]Argentina Sun Oil Exports'!ED$290</f>
        <v>137.010265</v>
      </c>
      <c r="L305" s="242">
        <f>'[2]Argentina Sun Oil Exports'!EP$290</f>
        <v>79.604650000000007</v>
      </c>
      <c r="M305" s="242">
        <f>'[2]Argentina Sun Oil Exports'!FB$290</f>
        <v>124.211583</v>
      </c>
      <c r="N305" s="242">
        <f>'[2]Argentina Sun Oil Exports'!FN$290</f>
        <v>156.621745</v>
      </c>
      <c r="O305" s="242">
        <f>'[2]Argentina Sun Oil Exports'!FZ$290</f>
        <v>175.682873</v>
      </c>
      <c r="P305" s="242">
        <f>'[2]Argentina Sun Oil Exports'!GL$290</f>
        <v>101.021201</v>
      </c>
      <c r="Q305" s="242">
        <f>'[2]Argentina Sun Oil Exports'!GX$290</f>
        <v>218.15320600000001</v>
      </c>
      <c r="R305" s="242">
        <f>'[2]Argentina Sun Oil Exports'!HJ$290</f>
        <v>122.20554</v>
      </c>
      <c r="S305" s="242">
        <f>'[2]Argentina Sun Oil Exports'!HV$290</f>
        <v>107.465138</v>
      </c>
      <c r="T305" s="242">
        <f>'[2]Argentina Sun Oil Exports'!IH$290</f>
        <v>140.75083599999999</v>
      </c>
      <c r="U305" s="242">
        <f>'[2]Argentina Sun Oil Exports'!IT$290</f>
        <v>110.008759</v>
      </c>
      <c r="V305" s="242">
        <f>'[2]Argentina Sun Oil Exports'!JF$290</f>
        <v>55.575243</v>
      </c>
      <c r="W305" s="242">
        <f>'[2]Argentina Sun Oil Exports'!JR$290</f>
        <v>76.973072999999999</v>
      </c>
      <c r="X305" s="242">
        <f>'[2]Argentina Sun Oil Exports'!KD$290</f>
        <v>80.948610000000002</v>
      </c>
      <c r="Y305" s="242">
        <f>'[2]Argentina Sun Oil Exports'!KP$290</f>
        <v>77.651393999999996</v>
      </c>
      <c r="Z305" s="242">
        <f>'[2]Argentina Sun Oil Exports'!LB$290</f>
        <v>92.783479999999997</v>
      </c>
      <c r="AA305" s="242">
        <f>'[2]Argentina Sun Oil Exports'!LN$290</f>
        <v>84.107849000000002</v>
      </c>
      <c r="AB305" s="242">
        <f>'[2]Argentina Sun Oil Exports'!LZ$290</f>
        <v>75.521834999999996</v>
      </c>
      <c r="AC305" s="242">
        <f>'[2]Argentina Sun Oil Exports'!ML$290</f>
        <v>67.645115000000004</v>
      </c>
      <c r="AD305" s="242">
        <f>'[2]Argentina Sun Oil Exports'!MX$290</f>
        <v>88.137</v>
      </c>
      <c r="AE305" s="242">
        <f>'[2]Argentina Sun Oil Exports'!NJ$290</f>
        <v>92.995999999999995</v>
      </c>
      <c r="AF305" s="242">
        <f>'[2]Argentina Sun Oil Exports'!NV$290</f>
        <v>124.966566</v>
      </c>
      <c r="AG305" s="243">
        <f t="shared" ref="AF305:AG312" si="131">(SUM(AA305:AE305)/SUM(AA$314:AE$314))*AG$314</f>
        <v>130.84597156899889</v>
      </c>
      <c r="AH305" s="146"/>
      <c r="AI305" s="146"/>
      <c r="AJ305" s="209"/>
      <c r="AK305" s="209"/>
      <c r="AL305" s="209"/>
      <c r="AM305" s="209"/>
    </row>
    <row r="306" spans="1:39">
      <c r="A306" s="240" t="s">
        <v>46</v>
      </c>
      <c r="B306" s="262">
        <v>110.48</v>
      </c>
      <c r="C306" s="262">
        <v>115.806</v>
      </c>
      <c r="D306" s="262">
        <v>152.476</v>
      </c>
      <c r="E306" s="262">
        <v>145.411</v>
      </c>
      <c r="F306" s="262">
        <v>139.858</v>
      </c>
      <c r="G306" s="262">
        <v>139.41400000000002</v>
      </c>
      <c r="H306" s="262">
        <v>240.33600000000001</v>
      </c>
      <c r="I306" s="262">
        <v>85.745999999999995</v>
      </c>
      <c r="J306" s="262">
        <v>84.063999999999993</v>
      </c>
      <c r="K306" s="242">
        <f>'[2]Argentina Sun Oil Exports'!EE$290</f>
        <v>156.169297</v>
      </c>
      <c r="L306" s="242">
        <f>'[2]Argentina Sun Oil Exports'!EQ$290</f>
        <v>83.229341000000005</v>
      </c>
      <c r="M306" s="242">
        <f>'[2]Argentina Sun Oil Exports'!FC$290</f>
        <v>29.795995999999999</v>
      </c>
      <c r="N306" s="242">
        <f>'[2]Argentina Sun Oil Exports'!FO$290</f>
        <v>72.063017000000002</v>
      </c>
      <c r="O306" s="242">
        <f>'[2]Argentina Sun Oil Exports'!GA$290</f>
        <v>122.633646</v>
      </c>
      <c r="P306" s="242">
        <f>'[2]Argentina Sun Oil Exports'!GM$290</f>
        <v>110.670109</v>
      </c>
      <c r="Q306" s="242">
        <f>'[2]Argentina Sun Oil Exports'!GY$290</f>
        <v>141.64825500000001</v>
      </c>
      <c r="R306" s="242">
        <f>'[2]Argentina Sun Oil Exports'!HK$290</f>
        <v>107.056926</v>
      </c>
      <c r="S306" s="242">
        <f>'[2]Argentina Sun Oil Exports'!HW$290</f>
        <v>49.312435000000001</v>
      </c>
      <c r="T306" s="242">
        <f>'[2]Argentina Sun Oil Exports'!II$290</f>
        <v>78.106503000000004</v>
      </c>
      <c r="U306" s="242">
        <f>'[2]Argentina Sun Oil Exports'!IU$290</f>
        <v>92.221371000000005</v>
      </c>
      <c r="V306" s="242">
        <f>'[2]Argentina Sun Oil Exports'!JG$290</f>
        <v>39.841101000000002</v>
      </c>
      <c r="W306" s="242">
        <f>'[2]Argentina Sun Oil Exports'!JS$290</f>
        <v>31.765637999999999</v>
      </c>
      <c r="X306" s="242">
        <f>'[2]Argentina Sun Oil Exports'!KE$290</f>
        <v>50.817819999999998</v>
      </c>
      <c r="Y306" s="242">
        <f>'[2]Argentina Sun Oil Exports'!KQ$290</f>
        <v>92.051759000000004</v>
      </c>
      <c r="Z306" s="242">
        <f>'[2]Argentina Sun Oil Exports'!LC$290</f>
        <v>72.405702000000005</v>
      </c>
      <c r="AA306" s="242">
        <f>'[2]Argentina Sun Oil Exports'!LO$290</f>
        <v>112.39364</v>
      </c>
      <c r="AB306" s="242">
        <f>'[2]Argentina Sun Oil Exports'!MA$290</f>
        <v>106.969503</v>
      </c>
      <c r="AC306" s="242">
        <f>'[2]Argentina Sun Oil Exports'!MM$290</f>
        <v>108.75737100000001</v>
      </c>
      <c r="AD306" s="242">
        <f>'[2]Argentina Sun Oil Exports'!MY$290</f>
        <v>120.06699999999999</v>
      </c>
      <c r="AE306" s="242">
        <f>'[2]Argentina Sun Oil Exports'!NK$290</f>
        <v>166.88</v>
      </c>
      <c r="AF306" s="242">
        <f>'[2]Argentina Sun Oil Exports'!NW$290</f>
        <v>105.768458</v>
      </c>
      <c r="AG306" s="243">
        <f t="shared" si="131"/>
        <v>197.05575321263353</v>
      </c>
      <c r="AH306" s="146"/>
      <c r="AI306" s="146"/>
      <c r="AJ306" s="209"/>
      <c r="AK306" s="209"/>
      <c r="AL306" s="209"/>
      <c r="AM306" s="209"/>
    </row>
    <row r="307" spans="1:39">
      <c r="A307" s="240" t="s">
        <v>235</v>
      </c>
      <c r="B307" s="262">
        <v>62.244</v>
      </c>
      <c r="C307" s="262">
        <v>66.75</v>
      </c>
      <c r="D307" s="262">
        <v>136.62400000000002</v>
      </c>
      <c r="E307" s="262">
        <v>116.294</v>
      </c>
      <c r="F307" s="262">
        <v>179.785</v>
      </c>
      <c r="G307" s="262">
        <v>204.90899999999999</v>
      </c>
      <c r="H307" s="262">
        <v>192.80799999999999</v>
      </c>
      <c r="I307" s="262">
        <v>188.12599999999998</v>
      </c>
      <c r="J307" s="262">
        <v>135.08600000000001</v>
      </c>
      <c r="K307" s="242">
        <f>'[2]Argentina Sun Oil Exports'!EF$290</f>
        <v>93.593487999999994</v>
      </c>
      <c r="L307" s="242">
        <f>'[2]Argentina Sun Oil Exports'!ER$290</f>
        <v>134.734118</v>
      </c>
      <c r="M307" s="242">
        <f>'[2]Argentina Sun Oil Exports'!FD$290</f>
        <v>99.394564000000003</v>
      </c>
      <c r="N307" s="242">
        <f>'[2]Argentina Sun Oil Exports'!FP$290</f>
        <v>105.640159</v>
      </c>
      <c r="O307" s="242">
        <f>'[2]Argentina Sun Oil Exports'!GB$290</f>
        <v>123.925405</v>
      </c>
      <c r="P307" s="242">
        <f>'[2]Argentina Sun Oil Exports'!GN$290</f>
        <v>79.800183000000004</v>
      </c>
      <c r="Q307" s="242">
        <f>'[2]Argentina Sun Oil Exports'!GZ$290</f>
        <v>60.814219000000001</v>
      </c>
      <c r="R307" s="242">
        <f>'[2]Argentina Sun Oil Exports'!HL$290</f>
        <v>129.58276000000001</v>
      </c>
      <c r="S307" s="242">
        <f>'[2]Argentina Sun Oil Exports'!HX$290</f>
        <v>38.662545000000001</v>
      </c>
      <c r="T307" s="242">
        <f>'[2]Argentina Sun Oil Exports'!IJ$290</f>
        <v>160.54584700000001</v>
      </c>
      <c r="U307" s="242">
        <f>'[2]Argentina Sun Oil Exports'!IV$290</f>
        <v>90.633007000000006</v>
      </c>
      <c r="V307" s="242">
        <f>'[2]Argentina Sun Oil Exports'!JH$290</f>
        <v>60.060541000000001</v>
      </c>
      <c r="W307" s="242">
        <f>'[2]Argentina Sun Oil Exports'!JT$290</f>
        <v>68.693543000000005</v>
      </c>
      <c r="X307" s="242">
        <f>'[2]Argentina Sun Oil Exports'!KF$290</f>
        <v>51.442030000000003</v>
      </c>
      <c r="Y307" s="242">
        <f>'[2]Argentina Sun Oil Exports'!KR$290</f>
        <v>43.012244000000003</v>
      </c>
      <c r="Z307" s="242">
        <f>'[2]Argentina Sun Oil Exports'!LD$290</f>
        <v>46.990999000000002</v>
      </c>
      <c r="AA307" s="242">
        <f>'[2]Argentina Sun Oil Exports'!LP$290</f>
        <v>79.669991999999993</v>
      </c>
      <c r="AB307" s="242">
        <f>'[2]Argentina Sun Oil Exports'!MB$290</f>
        <v>99.702363000000005</v>
      </c>
      <c r="AC307" s="242">
        <f>'[2]Argentina Sun Oil Exports'!MN$290</f>
        <v>37.384678999999998</v>
      </c>
      <c r="AD307" s="242">
        <f>'[2]Argentina Sun Oil Exports'!MZ$290</f>
        <v>102.039</v>
      </c>
      <c r="AE307" s="242">
        <f>'[2]Argentina Sun Oil Exports'!NL$290</f>
        <v>131.56100000000001</v>
      </c>
      <c r="AF307" s="242">
        <f>'[2]Argentina Sun Oil Exports'!NX$290</f>
        <v>101.802711</v>
      </c>
      <c r="AG307" s="243">
        <f t="shared" si="131"/>
        <v>144.28569633329326</v>
      </c>
      <c r="AH307" s="146"/>
      <c r="AI307" s="146"/>
      <c r="AJ307" s="209"/>
      <c r="AK307" s="209"/>
      <c r="AL307" s="209"/>
      <c r="AM307" s="209"/>
    </row>
    <row r="308" spans="1:39">
      <c r="A308" s="240" t="s">
        <v>236</v>
      </c>
      <c r="B308" s="262">
        <v>43.01</v>
      </c>
      <c r="C308" s="262">
        <v>80.334999999999994</v>
      </c>
      <c r="D308" s="262">
        <v>106.512</v>
      </c>
      <c r="E308" s="262">
        <v>151.98000000000002</v>
      </c>
      <c r="F308" s="262">
        <v>196.83499999999998</v>
      </c>
      <c r="G308" s="262">
        <v>135.28</v>
      </c>
      <c r="H308" s="262">
        <v>138.779</v>
      </c>
      <c r="I308" s="262">
        <v>208.19</v>
      </c>
      <c r="J308" s="262">
        <v>64.05</v>
      </c>
      <c r="K308" s="242">
        <f>'[2]Argentina Sun Oil Exports'!EG$290</f>
        <v>93.767893000000001</v>
      </c>
      <c r="L308" s="242">
        <f>'[2]Argentina Sun Oil Exports'!ES$290</f>
        <v>94.903817000000004</v>
      </c>
      <c r="M308" s="242">
        <f>'[2]Argentina Sun Oil Exports'!FE$290</f>
        <v>55.718373999999997</v>
      </c>
      <c r="N308" s="242">
        <f>'[2]Argentina Sun Oil Exports'!FQ$290</f>
        <v>94.831854000000007</v>
      </c>
      <c r="O308" s="242">
        <f>'[2]Argentina Sun Oil Exports'!GC$290</f>
        <v>89.026859000000002</v>
      </c>
      <c r="P308" s="242">
        <f>'[2]Argentina Sun Oil Exports'!GO$290</f>
        <v>67.590084000000004</v>
      </c>
      <c r="Q308" s="242">
        <f>'[2]Argentina Sun Oil Exports'!HA$290</f>
        <v>150.63042999999999</v>
      </c>
      <c r="R308" s="242">
        <f>'[2]Argentina Sun Oil Exports'!HM$290</f>
        <v>61.846944000000001</v>
      </c>
      <c r="S308" s="242">
        <f>'[2]Argentina Sun Oil Exports'!HY$290</f>
        <v>32.059893000000002</v>
      </c>
      <c r="T308" s="242">
        <f>'[2]Argentina Sun Oil Exports'!IK$290</f>
        <v>71.333910000000003</v>
      </c>
      <c r="U308" s="242">
        <f>'[2]Argentina Sun Oil Exports'!IW$290</f>
        <v>62.419423999999999</v>
      </c>
      <c r="V308" s="242">
        <f>'[2]Argentina Sun Oil Exports'!JI$290</f>
        <v>17.358252</v>
      </c>
      <c r="W308" s="242">
        <f>'[2]Argentina Sun Oil Exports'!JU$290</f>
        <v>23.281635999999999</v>
      </c>
      <c r="X308" s="242">
        <f>'[2]Argentina Sun Oil Exports'!KG$290</f>
        <v>41.111485999999999</v>
      </c>
      <c r="Y308" s="242">
        <f>'[2]Argentina Sun Oil Exports'!KS$290</f>
        <v>62.747410000000002</v>
      </c>
      <c r="Z308" s="242">
        <f>'[2]Argentina Sun Oil Exports'!LE$290</f>
        <v>111.783585</v>
      </c>
      <c r="AA308" s="242">
        <f>'[2]Argentina Sun Oil Exports'!LQ$290</f>
        <v>56.549536000000003</v>
      </c>
      <c r="AB308" s="242">
        <f>'[2]Argentina Sun Oil Exports'!MC$290</f>
        <v>88.747497999999993</v>
      </c>
      <c r="AC308" s="242">
        <f>'[2]Argentina Sun Oil Exports'!MO$290</f>
        <v>106.67121</v>
      </c>
      <c r="AD308" s="242">
        <f>'[2]Argentina Sun Oil Exports'!NA$290</f>
        <v>121.468</v>
      </c>
      <c r="AE308" s="242">
        <f>'[2]Argentina Sun Oil Exports'!NM$290</f>
        <v>98.82</v>
      </c>
      <c r="AF308" s="242">
        <f>'[2]Argentina Sun Oil Exports'!NY$290</f>
        <v>97.319468000000001</v>
      </c>
      <c r="AG308" s="243">
        <f t="shared" si="131"/>
        <v>151.30178029657608</v>
      </c>
      <c r="AH308" s="146"/>
      <c r="AI308" s="146"/>
      <c r="AJ308" s="209"/>
      <c r="AK308" s="209"/>
      <c r="AL308" s="209"/>
      <c r="AM308" s="209"/>
    </row>
    <row r="309" spans="1:39">
      <c r="A309" s="240" t="s">
        <v>237</v>
      </c>
      <c r="B309" s="262">
        <v>38.68</v>
      </c>
      <c r="C309" s="262">
        <v>57.125</v>
      </c>
      <c r="D309" s="262">
        <v>116.33699999999999</v>
      </c>
      <c r="E309" s="262">
        <v>111.30399999999999</v>
      </c>
      <c r="F309" s="262">
        <v>154.227</v>
      </c>
      <c r="G309" s="262">
        <v>139.46099999999998</v>
      </c>
      <c r="H309" s="262">
        <v>265.04599999999999</v>
      </c>
      <c r="I309" s="262">
        <v>66.470999999999989</v>
      </c>
      <c r="J309" s="262">
        <v>56.042000000000002</v>
      </c>
      <c r="K309" s="242">
        <f>'[2]Argentina Sun Oil Exports'!EH$290</f>
        <v>71.760589999999993</v>
      </c>
      <c r="L309" s="242">
        <f>'[2]Argentina Sun Oil Exports'!ET$290</f>
        <v>53.902619999999999</v>
      </c>
      <c r="M309" s="242">
        <f>'[2]Argentina Sun Oil Exports'!FF$290</f>
        <v>86.869309000000001</v>
      </c>
      <c r="N309" s="242">
        <f>'[2]Argentina Sun Oil Exports'!FR$290</f>
        <v>159.32578599999999</v>
      </c>
      <c r="O309" s="242">
        <f>'[2]Argentina Sun Oil Exports'!GD$290</f>
        <v>102.949792</v>
      </c>
      <c r="P309" s="242">
        <f>'[2]Argentina Sun Oil Exports'!GP$290</f>
        <v>86.705816999999996</v>
      </c>
      <c r="Q309" s="242">
        <f>'[2]Argentina Sun Oil Exports'!HB$290</f>
        <v>134.22339600000001</v>
      </c>
      <c r="R309" s="242">
        <f>'[2]Argentina Sun Oil Exports'!HN$290</f>
        <v>68.306240000000003</v>
      </c>
      <c r="S309" s="242">
        <f>'[2]Argentina Sun Oil Exports'!HZ$290</f>
        <v>47.835926000000001</v>
      </c>
      <c r="T309" s="242">
        <f>'[2]Argentina Sun Oil Exports'!IL$290</f>
        <v>69.194497999999996</v>
      </c>
      <c r="U309" s="242">
        <f>'[2]Argentina Sun Oil Exports'!IX$290</f>
        <v>30.895137999999999</v>
      </c>
      <c r="V309" s="242">
        <f>'[2]Argentina Sun Oil Exports'!JJ$290</f>
        <v>17.876166000000001</v>
      </c>
      <c r="W309" s="242">
        <f>'[2]Argentina Sun Oil Exports'!JV$290</f>
        <v>13.181741000000001</v>
      </c>
      <c r="X309" s="242">
        <f>'[2]Argentina Sun Oil Exports'!KH$290</f>
        <v>53.917631</v>
      </c>
      <c r="Y309" s="242">
        <f>'[2]Argentina Sun Oil Exports'!KT$290</f>
        <v>37.464199999999998</v>
      </c>
      <c r="Z309" s="242">
        <f>'[2]Argentina Sun Oil Exports'!LF$290</f>
        <v>51.912503000000001</v>
      </c>
      <c r="AA309" s="242">
        <f>'[2]Argentina Sun Oil Exports'!LR$290</f>
        <v>108.192027</v>
      </c>
      <c r="AB309" s="242">
        <f>'[2]Argentina Sun Oil Exports'!MD$290</f>
        <v>106.86682399999999</v>
      </c>
      <c r="AC309" s="242">
        <f>'[2]Argentina Sun Oil Exports'!MP$290</f>
        <v>51.545295000000003</v>
      </c>
      <c r="AD309" s="242">
        <f>'[2]Argentina Sun Oil Exports'!NB$290</f>
        <v>128.267</v>
      </c>
      <c r="AE309" s="242">
        <f>'[2]Argentina Sun Oil Exports'!NN$290</f>
        <v>85.634</v>
      </c>
      <c r="AF309" s="242">
        <f>'[2]Argentina Sun Oil Exports'!NZ$290</f>
        <v>147.236243</v>
      </c>
      <c r="AG309" s="243">
        <f t="shared" si="131"/>
        <v>153.94456919338523</v>
      </c>
      <c r="AH309" s="146"/>
      <c r="AI309" s="146"/>
      <c r="AJ309" s="209"/>
      <c r="AK309" s="209"/>
      <c r="AL309" s="209"/>
      <c r="AM309" s="209"/>
    </row>
    <row r="310" spans="1:39">
      <c r="A310" s="240" t="s">
        <v>238</v>
      </c>
      <c r="B310" s="262">
        <v>34.247</v>
      </c>
      <c r="C310" s="262">
        <v>53.59</v>
      </c>
      <c r="D310" s="262">
        <v>93.498999999999995</v>
      </c>
      <c r="E310" s="262">
        <v>78.5</v>
      </c>
      <c r="F310" s="262">
        <v>135.69699999999997</v>
      </c>
      <c r="G310" s="262">
        <v>106.94999999999999</v>
      </c>
      <c r="H310" s="262">
        <v>130.446</v>
      </c>
      <c r="I310" s="262">
        <v>118.101</v>
      </c>
      <c r="J310" s="262">
        <v>86.709000000000003</v>
      </c>
      <c r="K310" s="242">
        <f>'[2]Argentina Sun Oil Exports'!EI$290</f>
        <v>38.509824999999999</v>
      </c>
      <c r="L310" s="242">
        <f>'[2]Argentina Sun Oil Exports'!EU$290</f>
        <v>67.644245999999995</v>
      </c>
      <c r="M310" s="242">
        <f>'[2]Argentina Sun Oil Exports'!FG$290</f>
        <v>85.926542999999995</v>
      </c>
      <c r="N310" s="242">
        <f>'[2]Argentina Sun Oil Exports'!FS$290</f>
        <v>38.832425000000001</v>
      </c>
      <c r="O310" s="242">
        <f>'[2]Argentina Sun Oil Exports'!GE$290</f>
        <v>72.045227999999994</v>
      </c>
      <c r="P310" s="242">
        <f>'[2]Argentina Sun Oil Exports'!GQ$290</f>
        <v>81.490701000000001</v>
      </c>
      <c r="Q310" s="242">
        <f>'[2]Argentina Sun Oil Exports'!HC$290</f>
        <v>70.441378</v>
      </c>
      <c r="R310" s="242">
        <f>'[2]Argentina Sun Oil Exports'!HO$290</f>
        <v>54.833965999999997</v>
      </c>
      <c r="S310" s="242">
        <f>'[2]Argentina Sun Oil Exports'!IA$290</f>
        <v>28.536270999999999</v>
      </c>
      <c r="T310" s="242">
        <f>'[2]Argentina Sun Oil Exports'!IM$290</f>
        <v>60.869292999999999</v>
      </c>
      <c r="U310" s="242">
        <f>'[2]Argentina Sun Oil Exports'!IY$290</f>
        <v>47.272654000000003</v>
      </c>
      <c r="V310" s="242">
        <f>'[2]Argentina Sun Oil Exports'!JK$290</f>
        <v>16.758196999999999</v>
      </c>
      <c r="W310" s="242">
        <f>'[2]Argentina Sun Oil Exports'!JW$290</f>
        <v>23.377573999999999</v>
      </c>
      <c r="X310" s="242">
        <f>'[2]Argentina Sun Oil Exports'!KI$290</f>
        <v>15.799322999999999</v>
      </c>
      <c r="Y310" s="242">
        <f>'[2]Argentina Sun Oil Exports'!KU$290</f>
        <v>17.673978000000002</v>
      </c>
      <c r="Z310" s="242">
        <f>'[2]Argentina Sun Oil Exports'!LG$290</f>
        <v>91.411300999999995</v>
      </c>
      <c r="AA310" s="242">
        <f>'[2]Argentina Sun Oil Exports'!LS$290</f>
        <v>43.445056000000001</v>
      </c>
      <c r="AB310" s="242">
        <f>'[2]Argentina Sun Oil Exports'!ME$290</f>
        <v>54.676372999999998</v>
      </c>
      <c r="AC310" s="242">
        <f>'[2]Argentina Sun Oil Exports'!MQ$290</f>
        <v>29.399238</v>
      </c>
      <c r="AD310" s="242">
        <f>'[2]Argentina Sun Oil Exports'!NC$290</f>
        <v>64.033000000000001</v>
      </c>
      <c r="AE310" s="242">
        <f>'[2]Argentina Sun Oil Exports'!NO$290</f>
        <v>56.118000000000002</v>
      </c>
      <c r="AF310" s="243">
        <f t="shared" si="131"/>
        <v>78.7378148671487</v>
      </c>
      <c r="AG310" s="243">
        <f t="shared" si="131"/>
        <v>79.349219035674111</v>
      </c>
      <c r="AH310" s="146"/>
      <c r="AI310" s="146"/>
      <c r="AJ310" s="209"/>
      <c r="AK310" s="209"/>
      <c r="AL310" s="209"/>
      <c r="AM310" s="209"/>
    </row>
    <row r="311" spans="1:39">
      <c r="A311" s="240" t="s">
        <v>239</v>
      </c>
      <c r="B311" s="262">
        <v>13.5</v>
      </c>
      <c r="C311" s="262">
        <v>61.317999999999998</v>
      </c>
      <c r="D311" s="262">
        <v>61.082999999999998</v>
      </c>
      <c r="E311" s="262">
        <v>132.37799999999999</v>
      </c>
      <c r="F311" s="262">
        <v>151.35999999999999</v>
      </c>
      <c r="G311" s="262">
        <v>122.994</v>
      </c>
      <c r="H311" s="262">
        <v>91.683999999999997</v>
      </c>
      <c r="I311" s="262">
        <v>133.01600000000002</v>
      </c>
      <c r="J311" s="262">
        <v>133.86100000000002</v>
      </c>
      <c r="K311" s="242">
        <f>'[2]Argentina Sun Oil Exports'!EJ$290</f>
        <v>68.859700000000004</v>
      </c>
      <c r="L311" s="242">
        <f>'[2]Argentina Sun Oil Exports'!EV$290</f>
        <v>55.351911999999999</v>
      </c>
      <c r="M311" s="242">
        <f>'[2]Argentina Sun Oil Exports'!FH$290</f>
        <v>58.478290999999999</v>
      </c>
      <c r="N311" s="242">
        <f>'[2]Argentina Sun Oil Exports'!FT$290</f>
        <v>69.620360000000005</v>
      </c>
      <c r="O311" s="242">
        <f>'[2]Argentina Sun Oil Exports'!GF$290</f>
        <v>128.04700700000001</v>
      </c>
      <c r="P311" s="242">
        <f>'[2]Argentina Sun Oil Exports'!GR$290</f>
        <v>35.600974999999998</v>
      </c>
      <c r="Q311" s="242">
        <f>'[2]Argentina Sun Oil Exports'!HD$290</f>
        <v>86.23639</v>
      </c>
      <c r="R311" s="242">
        <f>'[2]Argentina Sun Oil Exports'!HP$290</f>
        <v>68.220924999999994</v>
      </c>
      <c r="S311" s="242">
        <f>'[2]Argentina Sun Oil Exports'!IB$290</f>
        <v>37.700555999999999</v>
      </c>
      <c r="T311" s="242">
        <f>'[2]Argentina Sun Oil Exports'!IN$290</f>
        <v>83.847457000000006</v>
      </c>
      <c r="U311" s="242">
        <f>'[2]Argentina Sun Oil Exports'!IZ$290</f>
        <v>45.475048000000001</v>
      </c>
      <c r="V311" s="242">
        <f>'[2]Argentina Sun Oil Exports'!JL$290</f>
        <v>24.753933</v>
      </c>
      <c r="W311" s="242">
        <f>'[2]Argentina Sun Oil Exports'!JX$290</f>
        <v>35.393740999999999</v>
      </c>
      <c r="X311" s="242">
        <f>'[2]Argentina Sun Oil Exports'!KJ$290</f>
        <v>51.057859000000001</v>
      </c>
      <c r="Y311" s="242">
        <f>'[2]Argentina Sun Oil Exports'!KV$290</f>
        <v>22.088114999999998</v>
      </c>
      <c r="Z311" s="242">
        <f>'[2]Argentina Sun Oil Exports'!LH$290</f>
        <v>77.648448000000002</v>
      </c>
      <c r="AA311" s="242">
        <f>'[2]Argentina Sun Oil Exports'!LT$290</f>
        <v>46.329239999999999</v>
      </c>
      <c r="AB311" s="242">
        <f>'[2]Argentina Sun Oil Exports'!MF$290</f>
        <v>32.402605999999999</v>
      </c>
      <c r="AC311" s="242">
        <f>'[2]Argentina Sun Oil Exports'!MR$290</f>
        <v>32.312645000000003</v>
      </c>
      <c r="AD311" s="242">
        <f>'[2]Argentina Sun Oil Exports'!ND$290</f>
        <v>19.559000000000001</v>
      </c>
      <c r="AE311" s="242">
        <f>'[2]Argentina Sun Oil Exports'!NP$290</f>
        <v>25.291</v>
      </c>
      <c r="AF311" s="243">
        <f t="shared" si="131"/>
        <v>57.948171940163078</v>
      </c>
      <c r="AG311" s="243">
        <f t="shared" si="131"/>
        <v>49.945584259397442</v>
      </c>
      <c r="AH311" s="146"/>
      <c r="AI311" s="146"/>
      <c r="AJ311" s="209"/>
      <c r="AK311" s="209"/>
      <c r="AL311" s="209"/>
      <c r="AM311" s="209"/>
    </row>
    <row r="312" spans="1:39">
      <c r="A312" s="240" t="s">
        <v>240</v>
      </c>
      <c r="B312" s="262">
        <v>11.1</v>
      </c>
      <c r="C312" s="262">
        <v>43.588999999999999</v>
      </c>
      <c r="D312" s="262">
        <v>63.408000000000001</v>
      </c>
      <c r="E312" s="262">
        <v>121.143</v>
      </c>
      <c r="F312" s="262">
        <v>123.63600000000001</v>
      </c>
      <c r="G312" s="262">
        <v>100.35900000000001</v>
      </c>
      <c r="H312" s="262">
        <v>104.917</v>
      </c>
      <c r="I312" s="262">
        <v>95.212000000000003</v>
      </c>
      <c r="J312" s="262">
        <v>55.943000000000005</v>
      </c>
      <c r="K312" s="242">
        <f>'[2]Argentina Sun Oil Exports'!EK$290</f>
        <v>52.441395999999997</v>
      </c>
      <c r="L312" s="242">
        <f>'[2]Argentina Sun Oil Exports'!EW$290</f>
        <v>78.819608000000002</v>
      </c>
      <c r="M312" s="242">
        <f>'[2]Argentina Sun Oil Exports'!FI$290</f>
        <v>71.617572999999993</v>
      </c>
      <c r="N312" s="242">
        <f>'[2]Argentina Sun Oil Exports'!FU$290</f>
        <v>71.652223000000006</v>
      </c>
      <c r="O312" s="242">
        <f>'[2]Argentina Sun Oil Exports'!GG$290</f>
        <v>34.726965</v>
      </c>
      <c r="P312" s="242">
        <f>'[2]Argentina Sun Oil Exports'!GS$290</f>
        <v>40.542019000000003</v>
      </c>
      <c r="Q312" s="242">
        <f>'[2]Argentina Sun Oil Exports'!HE$290</f>
        <v>59.596159</v>
      </c>
      <c r="R312" s="242">
        <f>'[2]Argentina Sun Oil Exports'!HQ$290</f>
        <v>58.800437000000002</v>
      </c>
      <c r="S312" s="242">
        <f>'[2]Argentina Sun Oil Exports'!IC$290</f>
        <v>14.73488</v>
      </c>
      <c r="T312" s="242">
        <f>'[2]Argentina Sun Oil Exports'!IO$290</f>
        <v>67.758516999999998</v>
      </c>
      <c r="U312" s="242">
        <f>'[2]Argentina Sun Oil Exports'!JA$290</f>
        <v>39.415799</v>
      </c>
      <c r="V312" s="242">
        <f>'[2]Argentina Sun Oil Exports'!JM$290</f>
        <v>16.172805</v>
      </c>
      <c r="W312" s="242">
        <f>'[2]Argentina Sun Oil Exports'!JY$290</f>
        <v>4.260904</v>
      </c>
      <c r="X312" s="242">
        <f>'[2]Argentina Sun Oil Exports'!KK$290</f>
        <v>18.311164999999999</v>
      </c>
      <c r="Y312" s="242">
        <f>'[2]Argentina Sun Oil Exports'!KW$290</f>
        <v>20.823384000000001</v>
      </c>
      <c r="Z312" s="242">
        <f>'[2]Argentina Sun Oil Exports'!LI$290</f>
        <v>25.096931999999999</v>
      </c>
      <c r="AA312" s="242">
        <f>'[2]Argentina Sun Oil Exports'!LU$290</f>
        <v>48.000104999999998</v>
      </c>
      <c r="AB312" s="242">
        <f>'[2]Argentina Sun Oil Exports'!MG$290</f>
        <v>54.776338000000003</v>
      </c>
      <c r="AC312" s="242">
        <f>'[2]Argentina Sun Oil Exports'!MS$290</f>
        <v>25.755327999999999</v>
      </c>
      <c r="AD312" s="242">
        <f>'[2]Argentina Sun Oil Exports'!NE$290</f>
        <v>17.559999999999999</v>
      </c>
      <c r="AE312" s="242">
        <f>'[2]Argentina Sun Oil Exports'!NQ$290</f>
        <v>58.188000000000002</v>
      </c>
      <c r="AF312" s="243">
        <f t="shared" si="131"/>
        <v>47.634958134327441</v>
      </c>
      <c r="AG312" s="243">
        <f t="shared" si="131"/>
        <v>65.447293547858038</v>
      </c>
      <c r="AH312" s="146"/>
      <c r="AI312" s="146"/>
      <c r="AJ312" s="209"/>
      <c r="AK312" s="209"/>
      <c r="AL312" s="209"/>
      <c r="AM312" s="209"/>
    </row>
    <row r="313" spans="1:39">
      <c r="A313" s="240" t="s">
        <v>241</v>
      </c>
      <c r="B313" s="262">
        <v>16.835000000000001</v>
      </c>
      <c r="C313" s="262">
        <v>54.55</v>
      </c>
      <c r="D313" s="262">
        <v>115.16300000000001</v>
      </c>
      <c r="E313" s="262">
        <v>92.35199999999999</v>
      </c>
      <c r="F313" s="262">
        <v>91.311999999999998</v>
      </c>
      <c r="G313" s="262">
        <v>33.22</v>
      </c>
      <c r="H313" s="262">
        <v>74.363</v>
      </c>
      <c r="I313" s="262">
        <v>118.036</v>
      </c>
      <c r="J313" s="262">
        <v>47.957000000000008</v>
      </c>
      <c r="K313" s="242">
        <f>'[2]Argentina Sun Oil Exports'!EL$290</f>
        <v>109.46696300000001</v>
      </c>
      <c r="L313" s="242">
        <f>'[2]Argentina Sun Oil Exports'!EX$290</f>
        <v>44.068263999999999</v>
      </c>
      <c r="M313" s="242">
        <f>'[2]Argentina Sun Oil Exports'!FJ$290</f>
        <v>78.858335999999994</v>
      </c>
      <c r="N313" s="242">
        <f>'[2]Argentina Sun Oil Exports'!FV$290</f>
        <v>103.829154</v>
      </c>
      <c r="O313" s="242">
        <f>'[2]Argentina Sun Oil Exports'!GH$290</f>
        <v>83.511815999999996</v>
      </c>
      <c r="P313" s="242">
        <f>'[2]Argentina Sun Oil Exports'!GT$290</f>
        <v>23.890245</v>
      </c>
      <c r="Q313" s="242">
        <f>'[2]Argentina Sun Oil Exports'!HF$290</f>
        <v>35.944938999999998</v>
      </c>
      <c r="R313" s="242">
        <f>'[2]Argentina Sun Oil Exports'!HR$290</f>
        <v>27.834631999999999</v>
      </c>
      <c r="S313" s="242">
        <f>'[2]Argentina Sun Oil Exports'!ID$290</f>
        <v>31.838697</v>
      </c>
      <c r="T313" s="242">
        <f>'[2]Argentina Sun Oil Exports'!IP$290</f>
        <v>43.570447000000001</v>
      </c>
      <c r="U313" s="242">
        <f>'[2]Argentina Sun Oil Exports'!JB$290</f>
        <v>53.905425999999999</v>
      </c>
      <c r="V313" s="242">
        <f>'[2]Argentina Sun Oil Exports'!JN$290</f>
        <v>16.063475</v>
      </c>
      <c r="W313" s="242">
        <f>'[2]Argentina Sun Oil Exports'!JZ$290</f>
        <v>9.6416660000000007</v>
      </c>
      <c r="X313" s="242">
        <f>'[2]Argentina Sun Oil Exports'!KL$290</f>
        <v>7.2473989999999997</v>
      </c>
      <c r="Y313" s="242">
        <f>'[2]Argentina Sun Oil Exports'!KX$290</f>
        <v>34.597279</v>
      </c>
      <c r="Z313" s="242">
        <f>'[2]Argentina Sun Oil Exports'!LJ$290</f>
        <v>18.155925</v>
      </c>
      <c r="AA313" s="242">
        <f>'[2]Argentina Sun Oil Exports'!LV$290</f>
        <v>16.63392</v>
      </c>
      <c r="AB313" s="242">
        <f>'[2]Argentina Sun Oil Exports'!MH$290</f>
        <v>43.580680000000001</v>
      </c>
      <c r="AC313" s="242">
        <f>'[2]Argentina Sun Oil Exports'!MT$290</f>
        <v>6.8741570000000003</v>
      </c>
      <c r="AD313" s="242">
        <f>'[2]Argentina Sun Oil Exports'!NF$290</f>
        <v>26.818999999999999</v>
      </c>
      <c r="AE313" s="242">
        <f>'[2]Argentina Sun Oil Exports'!NR$290</f>
        <v>38.587000000000003</v>
      </c>
      <c r="AF313" s="243">
        <f t="shared" ref="AF313" si="132">AF314-SUM(AF302:AF312)</f>
        <v>161.31325395824729</v>
      </c>
      <c r="AG313" s="243">
        <f t="shared" ref="AG313" si="133">AG314-SUM(AG302:AG312)</f>
        <v>42.448761384851423</v>
      </c>
      <c r="AH313" s="146"/>
      <c r="AI313" s="146"/>
      <c r="AJ313" s="209"/>
      <c r="AK313" s="209"/>
      <c r="AL313" s="209"/>
      <c r="AM313" s="209"/>
    </row>
    <row r="314" spans="1:39" ht="15.75" thickBot="1">
      <c r="A314" s="240" t="s">
        <v>242</v>
      </c>
      <c r="B314" s="245">
        <f t="shared" ref="B314:I314" si="134">SUM(B302:B313)</f>
        <v>589.49599999999998</v>
      </c>
      <c r="C314" s="245">
        <f t="shared" si="134"/>
        <v>767.02700000000004</v>
      </c>
      <c r="D314" s="245">
        <f t="shared" si="134"/>
        <v>1325.5340000000001</v>
      </c>
      <c r="E314" s="245">
        <f t="shared" si="134"/>
        <v>1376.473</v>
      </c>
      <c r="F314" s="245">
        <f t="shared" si="134"/>
        <v>1749.9719999999998</v>
      </c>
      <c r="G314" s="245">
        <f t="shared" si="134"/>
        <v>1558.482</v>
      </c>
      <c r="H314" s="245">
        <f t="shared" si="134"/>
        <v>1878.6490000000001</v>
      </c>
      <c r="I314" s="245">
        <f t="shared" si="134"/>
        <v>1573.8069999999998</v>
      </c>
      <c r="J314" s="245">
        <f t="shared" ref="J314:Z314" si="135">SUM(J302:J313)</f>
        <v>1005.52</v>
      </c>
      <c r="K314" s="245">
        <f t="shared" si="135"/>
        <v>1036.5206169999999</v>
      </c>
      <c r="L314" s="245">
        <f t="shared" si="135"/>
        <v>1016.2491899999999</v>
      </c>
      <c r="M314" s="245">
        <f t="shared" si="135"/>
        <v>936.89883100000009</v>
      </c>
      <c r="N314" s="245">
        <f t="shared" si="135"/>
        <v>1218.0582400000003</v>
      </c>
      <c r="O314" s="245">
        <f t="shared" si="135"/>
        <v>1233.24685</v>
      </c>
      <c r="P314" s="245">
        <f t="shared" si="135"/>
        <v>861.27373100000011</v>
      </c>
      <c r="Q314" s="245">
        <f t="shared" si="135"/>
        <v>1165.6748329999998</v>
      </c>
      <c r="R314" s="245">
        <f t="shared" si="135"/>
        <v>961.74273199999993</v>
      </c>
      <c r="S314" s="245">
        <f t="shared" si="135"/>
        <v>575.13988299999994</v>
      </c>
      <c r="T314" s="245">
        <f t="shared" si="135"/>
        <v>920.189302</v>
      </c>
      <c r="U314" s="245">
        <f t="shared" si="135"/>
        <v>790.22593300000005</v>
      </c>
      <c r="V314" s="245">
        <f t="shared" si="135"/>
        <v>445.97304699999995</v>
      </c>
      <c r="W314" s="245">
        <f t="shared" si="135"/>
        <v>348.77597199999991</v>
      </c>
      <c r="X314" s="245">
        <f t="shared" si="135"/>
        <v>439.16709000000003</v>
      </c>
      <c r="Y314" s="245">
        <f t="shared" si="135"/>
        <v>617.05000900000005</v>
      </c>
      <c r="Z314" s="245">
        <f t="shared" si="135"/>
        <v>764.52255000000014</v>
      </c>
      <c r="AA314" s="246">
        <f>SUM(AA302:AA313)</f>
        <v>711.31979799999999</v>
      </c>
      <c r="AB314" s="246">
        <f>SUM(AB302:AB313)</f>
        <v>951.51580100000001</v>
      </c>
      <c r="AC314" s="246">
        <f>SUM(AC302:AC313)</f>
        <v>571.39935200000002</v>
      </c>
      <c r="AD314" s="246">
        <f>SUM(AD302:AD313)</f>
        <v>778.20499999999981</v>
      </c>
      <c r="AE314" s="246">
        <f>SUM(AE302:AE313)</f>
        <v>933.85500000000013</v>
      </c>
      <c r="AF314" s="243">
        <f>AF40</f>
        <v>1050.9773568998864</v>
      </c>
      <c r="AG314" s="243">
        <f>AG40</f>
        <v>1264.3166908804058</v>
      </c>
      <c r="AH314" s="146"/>
      <c r="AI314" s="146"/>
      <c r="AJ314" s="209"/>
      <c r="AK314" s="209"/>
      <c r="AL314" s="209"/>
      <c r="AM314" s="209"/>
    </row>
    <row r="315" spans="1:39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  <c r="AE315" s="248"/>
      <c r="AF315" s="248"/>
      <c r="AG315" s="248"/>
    </row>
    <row r="316" spans="1:39" ht="15.75" thickBot="1">
      <c r="A316" s="235" t="s">
        <v>268</v>
      </c>
      <c r="D316" s="264"/>
      <c r="E316" s="264"/>
      <c r="F316" s="264"/>
      <c r="G316" s="264"/>
      <c r="H316" s="264"/>
      <c r="I316" s="264"/>
    </row>
    <row r="317" spans="1:39" ht="15.75" thickBot="1">
      <c r="A317" s="236"/>
      <c r="B317" s="237">
        <f>B$2</f>
        <v>1993</v>
      </c>
      <c r="C317" s="237">
        <f t="shared" ref="C317:AG317" si="136">C$2</f>
        <v>1994</v>
      </c>
      <c r="D317" s="237">
        <f t="shared" si="136"/>
        <v>1995</v>
      </c>
      <c r="E317" s="237">
        <f t="shared" si="136"/>
        <v>1996</v>
      </c>
      <c r="F317" s="237">
        <f t="shared" si="136"/>
        <v>1997</v>
      </c>
      <c r="G317" s="237">
        <f t="shared" si="136"/>
        <v>1998</v>
      </c>
      <c r="H317" s="237">
        <f t="shared" si="136"/>
        <v>1999</v>
      </c>
      <c r="I317" s="237">
        <f t="shared" si="136"/>
        <v>2000</v>
      </c>
      <c r="J317" s="237">
        <f t="shared" si="136"/>
        <v>2001</v>
      </c>
      <c r="K317" s="237">
        <f t="shared" si="136"/>
        <v>2002</v>
      </c>
      <c r="L317" s="237">
        <f t="shared" si="136"/>
        <v>2003</v>
      </c>
      <c r="M317" s="237">
        <f t="shared" si="136"/>
        <v>2004</v>
      </c>
      <c r="N317" s="237">
        <f t="shared" si="136"/>
        <v>2005</v>
      </c>
      <c r="O317" s="237">
        <f t="shared" si="136"/>
        <v>2006</v>
      </c>
      <c r="P317" s="237">
        <f t="shared" si="136"/>
        <v>2007</v>
      </c>
      <c r="Q317" s="237">
        <f t="shared" si="136"/>
        <v>2008</v>
      </c>
      <c r="R317" s="237">
        <f t="shared" si="136"/>
        <v>2009</v>
      </c>
      <c r="S317" s="237">
        <f t="shared" si="136"/>
        <v>2010</v>
      </c>
      <c r="T317" s="237">
        <f t="shared" si="136"/>
        <v>2011</v>
      </c>
      <c r="U317" s="237">
        <f t="shared" si="136"/>
        <v>2012</v>
      </c>
      <c r="V317" s="237">
        <f t="shared" si="136"/>
        <v>2013</v>
      </c>
      <c r="W317" s="237">
        <f t="shared" si="136"/>
        <v>2014</v>
      </c>
      <c r="X317" s="237">
        <f t="shared" si="136"/>
        <v>2015</v>
      </c>
      <c r="Y317" s="237">
        <f t="shared" si="136"/>
        <v>2016</v>
      </c>
      <c r="Z317" s="237">
        <f t="shared" si="136"/>
        <v>2017</v>
      </c>
      <c r="AA317" s="237">
        <f t="shared" si="136"/>
        <v>2018</v>
      </c>
      <c r="AB317" s="237">
        <f t="shared" si="136"/>
        <v>2019</v>
      </c>
      <c r="AC317" s="237">
        <f t="shared" si="136"/>
        <v>2020</v>
      </c>
      <c r="AD317" s="237">
        <f t="shared" si="136"/>
        <v>2021</v>
      </c>
      <c r="AE317" s="237">
        <f t="shared" si="136"/>
        <v>2022</v>
      </c>
      <c r="AF317" s="237">
        <f t="shared" si="136"/>
        <v>2023</v>
      </c>
      <c r="AG317" s="237">
        <f t="shared" si="136"/>
        <v>2024</v>
      </c>
      <c r="AH317" s="269"/>
      <c r="AI317" s="269"/>
      <c r="AJ317" s="270"/>
      <c r="AK317" s="270"/>
      <c r="AL317" s="270"/>
      <c r="AM317" s="270"/>
    </row>
    <row r="318" spans="1:39">
      <c r="A318" s="240" t="s">
        <v>231</v>
      </c>
      <c r="B318" s="251">
        <f>B32+B238+B286-B302-B334</f>
        <v>69.903999999999968</v>
      </c>
      <c r="C318" s="251">
        <f>B345+C238+C286-C302-C334</f>
        <v>34.38600000000001</v>
      </c>
      <c r="D318" s="251">
        <f t="shared" ref="D318:AC318" si="137">C345+D238+D286-D302-D334</f>
        <v>45.951000000000001</v>
      </c>
      <c r="E318" s="251">
        <f t="shared" si="137"/>
        <v>44.873000000000019</v>
      </c>
      <c r="F318" s="251">
        <f t="shared" si="137"/>
        <v>13.14100000000002</v>
      </c>
      <c r="G318" s="251">
        <f t="shared" si="137"/>
        <v>41.778999999999996</v>
      </c>
      <c r="H318" s="251">
        <f t="shared" si="137"/>
        <v>36.242000000000004</v>
      </c>
      <c r="I318" s="251">
        <f t="shared" si="137"/>
        <v>40.580000000000013</v>
      </c>
      <c r="J318" s="251">
        <f t="shared" si="137"/>
        <v>22.724999999999994</v>
      </c>
      <c r="K318" s="251">
        <f t="shared" si="137"/>
        <v>23.69121899999999</v>
      </c>
      <c r="L318" s="251">
        <f t="shared" si="137"/>
        <v>31.077685000000031</v>
      </c>
      <c r="M318" s="251">
        <f t="shared" si="137"/>
        <v>30.600183000000015</v>
      </c>
      <c r="N318" s="251">
        <f t="shared" si="137"/>
        <v>13.138888999999985</v>
      </c>
      <c r="O318" s="251">
        <f t="shared" si="137"/>
        <v>7.9841459999999955</v>
      </c>
      <c r="P318" s="251">
        <f t="shared" si="137"/>
        <v>48.296770000000009</v>
      </c>
      <c r="Q318" s="251">
        <f t="shared" si="137"/>
        <v>38.66455899999999</v>
      </c>
      <c r="R318" s="251">
        <f t="shared" si="137"/>
        <v>32.781469000000001</v>
      </c>
      <c r="S318" s="251">
        <f t="shared" si="137"/>
        <v>-21.395453000000018</v>
      </c>
      <c r="T318" s="251">
        <f t="shared" si="137"/>
        <v>37.726140000000029</v>
      </c>
      <c r="U318" s="251">
        <f t="shared" si="137"/>
        <v>58.921620000000004</v>
      </c>
      <c r="V318" s="251">
        <f t="shared" si="137"/>
        <v>81.236112000000006</v>
      </c>
      <c r="W318" s="251">
        <f t="shared" si="137"/>
        <v>20.848957999999996</v>
      </c>
      <c r="X318" s="251">
        <f t="shared" si="137"/>
        <v>38.483131000000014</v>
      </c>
      <c r="Y318" s="251">
        <f t="shared" si="137"/>
        <v>28.813008999999994</v>
      </c>
      <c r="Z318" s="251">
        <f t="shared" si="137"/>
        <v>63.340311999999997</v>
      </c>
      <c r="AA318" s="251">
        <f t="shared" si="137"/>
        <v>50.206542999999989</v>
      </c>
      <c r="AB318" s="251">
        <f t="shared" si="137"/>
        <v>18.981818999999987</v>
      </c>
      <c r="AC318" s="251">
        <f t="shared" si="137"/>
        <v>42.386188999999987</v>
      </c>
      <c r="AD318" s="251">
        <f>AC345+AD238+AD286-AD302-AD334</f>
        <v>45.568000000000012</v>
      </c>
      <c r="AE318" s="251">
        <f>AD345+AE238+AE286-AE302-AE334</f>
        <v>28.623000000000012</v>
      </c>
      <c r="AF318" s="251">
        <f>AE345+AF238+AF286-AF302-AF334</f>
        <v>43.557119999999983</v>
      </c>
      <c r="AG318" s="252">
        <f>(SUM(AA318:AE318)/SUM(AA$330:AE$330))*AG$330</f>
        <v>39.407712820590859</v>
      </c>
      <c r="AH318" s="146"/>
      <c r="AI318" s="146"/>
      <c r="AJ318" s="209"/>
      <c r="AK318" s="209"/>
      <c r="AL318" s="209"/>
      <c r="AM318" s="209"/>
    </row>
    <row r="319" spans="1:39">
      <c r="A319" s="240" t="s">
        <v>232</v>
      </c>
      <c r="B319" s="251">
        <f>B334+B239+B287-B303-B335</f>
        <v>71.48299999999999</v>
      </c>
      <c r="C319" s="251">
        <f>C334+C239+C287-C303-C335</f>
        <v>32.580999999999989</v>
      </c>
      <c r="D319" s="251">
        <f t="shared" ref="D319:AF327" si="138">D334+D239+D287-D303-D335</f>
        <v>41.927000000000007</v>
      </c>
      <c r="E319" s="251">
        <f t="shared" si="138"/>
        <v>55.127000000000024</v>
      </c>
      <c r="F319" s="251">
        <f t="shared" si="138"/>
        <v>34.22999999999999</v>
      </c>
      <c r="G319" s="251">
        <f t="shared" si="138"/>
        <v>17.413999999999987</v>
      </c>
      <c r="H319" s="251">
        <f t="shared" si="138"/>
        <v>42.507000000000033</v>
      </c>
      <c r="I319" s="251">
        <f t="shared" si="138"/>
        <v>76.604999999999961</v>
      </c>
      <c r="J319" s="251">
        <f t="shared" si="138"/>
        <v>54.128999999999991</v>
      </c>
      <c r="K319" s="251">
        <f t="shared" si="138"/>
        <v>36.799649999999986</v>
      </c>
      <c r="L319" s="251">
        <f t="shared" si="138"/>
        <v>6.540159999999986</v>
      </c>
      <c r="M319" s="251">
        <f t="shared" si="138"/>
        <v>36.57681399999997</v>
      </c>
      <c r="N319" s="251">
        <f t="shared" si="138"/>
        <v>28.488311000000003</v>
      </c>
      <c r="O319" s="251">
        <f t="shared" si="138"/>
        <v>43.657272000000006</v>
      </c>
      <c r="P319" s="251">
        <f t="shared" si="138"/>
        <v>24.453607999999988</v>
      </c>
      <c r="Q319" s="251">
        <f t="shared" si="138"/>
        <v>44.671198999999987</v>
      </c>
      <c r="R319" s="251">
        <f t="shared" si="138"/>
        <v>33.726718000000005</v>
      </c>
      <c r="S319" s="251">
        <f t="shared" si="138"/>
        <v>59.049518000000006</v>
      </c>
      <c r="T319" s="251">
        <f t="shared" si="138"/>
        <v>42.545207999999988</v>
      </c>
      <c r="U319" s="251">
        <f t="shared" si="138"/>
        <v>42.524382000000017</v>
      </c>
      <c r="V319" s="251">
        <f t="shared" si="138"/>
        <v>39.757660999999985</v>
      </c>
      <c r="W319" s="251">
        <f t="shared" si="138"/>
        <v>62.342020000000005</v>
      </c>
      <c r="X319" s="251">
        <f t="shared" si="138"/>
        <v>67.399871000000005</v>
      </c>
      <c r="Y319" s="251">
        <f t="shared" si="138"/>
        <v>51.833544999999987</v>
      </c>
      <c r="Z319" s="251">
        <f t="shared" si="138"/>
        <v>25.648167999999998</v>
      </c>
      <c r="AA319" s="251">
        <f t="shared" si="138"/>
        <v>43.440538999999994</v>
      </c>
      <c r="AB319" s="251">
        <f t="shared" si="138"/>
        <v>37.536252000000005</v>
      </c>
      <c r="AC319" s="251">
        <f t="shared" si="138"/>
        <v>43.297024000000022</v>
      </c>
      <c r="AD319" s="251">
        <f t="shared" si="138"/>
        <v>44.715000000000003</v>
      </c>
      <c r="AE319" s="251">
        <f t="shared" si="138"/>
        <v>57.455000000000013</v>
      </c>
      <c r="AF319" s="251">
        <f t="shared" si="138"/>
        <v>55.50073900000001</v>
      </c>
      <c r="AG319" s="252">
        <f>(SUM(AA319:AE319)/SUM(AA$330:AE$330))*AG$330</f>
        <v>48.03707029361437</v>
      </c>
      <c r="AH319" s="146"/>
      <c r="AI319" s="146"/>
      <c r="AJ319" s="209"/>
      <c r="AK319" s="209"/>
      <c r="AL319" s="209"/>
      <c r="AM319" s="209"/>
    </row>
    <row r="320" spans="1:39">
      <c r="A320" s="240" t="s">
        <v>233</v>
      </c>
      <c r="B320" s="251">
        <f t="shared" ref="B320:Q329" si="139">B335+B240+B288-B304-B336</f>
        <v>81.339000000000027</v>
      </c>
      <c r="C320" s="251">
        <f t="shared" si="139"/>
        <v>56.905999999999977</v>
      </c>
      <c r="D320" s="251">
        <f t="shared" si="138"/>
        <v>40.776999999999958</v>
      </c>
      <c r="E320" s="251">
        <f t="shared" si="138"/>
        <v>42.380999999999972</v>
      </c>
      <c r="F320" s="251">
        <f t="shared" si="138"/>
        <v>71.095999999999947</v>
      </c>
      <c r="G320" s="251">
        <f t="shared" si="138"/>
        <v>71.834000000000003</v>
      </c>
      <c r="H320" s="251">
        <f t="shared" si="138"/>
        <v>65.642999999999915</v>
      </c>
      <c r="I320" s="251">
        <f t="shared" si="138"/>
        <v>37.492000000000019</v>
      </c>
      <c r="J320" s="251">
        <f t="shared" si="138"/>
        <v>57.978999999999985</v>
      </c>
      <c r="K320" s="251">
        <f t="shared" si="138"/>
        <v>42.38170599999998</v>
      </c>
      <c r="L320" s="251">
        <f t="shared" si="138"/>
        <v>61.158500999999973</v>
      </c>
      <c r="M320" s="251">
        <f t="shared" si="138"/>
        <v>25.890639999999991</v>
      </c>
      <c r="N320" s="251">
        <f t="shared" si="138"/>
        <v>23.787163000000035</v>
      </c>
      <c r="O320" s="251">
        <f t="shared" si="138"/>
        <v>86.093527999999978</v>
      </c>
      <c r="P320" s="251">
        <f t="shared" si="138"/>
        <v>73.749162000000013</v>
      </c>
      <c r="Q320" s="251">
        <f t="shared" si="138"/>
        <v>43.439806999999988</v>
      </c>
      <c r="R320" s="251">
        <f t="shared" si="138"/>
        <v>55.496299000000022</v>
      </c>
      <c r="S320" s="251">
        <f t="shared" si="138"/>
        <v>67.964310000000012</v>
      </c>
      <c r="T320" s="251">
        <f t="shared" si="138"/>
        <v>89.156454999999966</v>
      </c>
      <c r="U320" s="251">
        <f t="shared" si="138"/>
        <v>119.40969100000002</v>
      </c>
      <c r="V320" s="251">
        <f t="shared" si="138"/>
        <v>82.421938999999995</v>
      </c>
      <c r="W320" s="251">
        <f t="shared" si="138"/>
        <v>57.669590999999983</v>
      </c>
      <c r="X320" s="251">
        <f t="shared" si="138"/>
        <v>76.669426000000016</v>
      </c>
      <c r="Y320" s="251">
        <f t="shared" si="138"/>
        <v>40.013635000000036</v>
      </c>
      <c r="Z320" s="251">
        <f t="shared" si="138"/>
        <v>69.344961000000026</v>
      </c>
      <c r="AA320" s="251">
        <f t="shared" si="138"/>
        <v>76.448577</v>
      </c>
      <c r="AB320" s="251">
        <f t="shared" si="138"/>
        <v>39.003287999999998</v>
      </c>
      <c r="AC320" s="251">
        <f t="shared" si="138"/>
        <v>62.315652999999998</v>
      </c>
      <c r="AD320" s="251">
        <f t="shared" si="138"/>
        <v>63.452000000000027</v>
      </c>
      <c r="AE320" s="251">
        <f t="shared" si="138"/>
        <v>56.227000000000018</v>
      </c>
      <c r="AF320" s="251">
        <f t="shared" si="138"/>
        <v>61.291429000000022</v>
      </c>
      <c r="AG320" s="252">
        <f t="shared" ref="AF320:AG328" si="140">(SUM(AA320:AE320)/SUM(AA$330:AE$330))*AG$330</f>
        <v>63.099357753519712</v>
      </c>
      <c r="AH320" s="146"/>
      <c r="AI320" s="146"/>
      <c r="AJ320" s="209"/>
      <c r="AK320" s="209"/>
      <c r="AL320" s="209"/>
      <c r="AM320" s="209"/>
    </row>
    <row r="321" spans="1:39">
      <c r="A321" s="240" t="s">
        <v>234</v>
      </c>
      <c r="B321" s="251">
        <f t="shared" si="139"/>
        <v>29.730000000000004</v>
      </c>
      <c r="C321" s="251">
        <f t="shared" si="139"/>
        <v>48.489999999999981</v>
      </c>
      <c r="D321" s="251">
        <f t="shared" si="138"/>
        <v>32.424999999999983</v>
      </c>
      <c r="E321" s="251">
        <f t="shared" si="138"/>
        <v>48.668999999999983</v>
      </c>
      <c r="F321" s="251">
        <f t="shared" si="138"/>
        <v>30.037000000000006</v>
      </c>
      <c r="G321" s="251">
        <f t="shared" si="138"/>
        <v>53.606000000000037</v>
      </c>
      <c r="H321" s="251">
        <f t="shared" si="138"/>
        <v>40.408999999999935</v>
      </c>
      <c r="I321" s="251">
        <f t="shared" si="138"/>
        <v>48.713999999999999</v>
      </c>
      <c r="J321" s="251">
        <f t="shared" si="138"/>
        <v>43.773000000000053</v>
      </c>
      <c r="K321" s="251">
        <f t="shared" si="138"/>
        <v>27.855747000000022</v>
      </c>
      <c r="L321" s="251">
        <f t="shared" si="138"/>
        <v>49.267360999999994</v>
      </c>
      <c r="M321" s="251">
        <f t="shared" si="138"/>
        <v>8.8964169999999569</v>
      </c>
      <c r="N321" s="251">
        <f t="shared" si="138"/>
        <v>12.157214999999994</v>
      </c>
      <c r="O321" s="251">
        <f t="shared" si="138"/>
        <v>-11.054670000000002</v>
      </c>
      <c r="P321" s="251">
        <f t="shared" si="138"/>
        <v>40.49780100000001</v>
      </c>
      <c r="Q321" s="251">
        <f t="shared" si="138"/>
        <v>41.096680000000006</v>
      </c>
      <c r="R321" s="251">
        <f t="shared" si="138"/>
        <v>56.659339999999986</v>
      </c>
      <c r="S321" s="251">
        <f t="shared" si="138"/>
        <v>58.474357999999995</v>
      </c>
      <c r="T321" s="251">
        <f t="shared" si="138"/>
        <v>38.07514500000002</v>
      </c>
      <c r="U321" s="251">
        <f t="shared" si="138"/>
        <v>62.587240999999977</v>
      </c>
      <c r="V321" s="251">
        <f t="shared" si="138"/>
        <v>81.842806999999993</v>
      </c>
      <c r="W321" s="251">
        <f t="shared" si="138"/>
        <v>38.037931999999984</v>
      </c>
      <c r="X321" s="251">
        <f t="shared" si="138"/>
        <v>84.522453999999982</v>
      </c>
      <c r="Y321" s="251">
        <f t="shared" si="138"/>
        <v>84.691788999999986</v>
      </c>
      <c r="Z321" s="251">
        <f t="shared" si="138"/>
        <v>66.640566000000007</v>
      </c>
      <c r="AA321" s="251">
        <f t="shared" si="138"/>
        <v>64.796151000000023</v>
      </c>
      <c r="AB321" s="251">
        <f t="shared" si="138"/>
        <v>60.620164999999972</v>
      </c>
      <c r="AC321" s="251">
        <f t="shared" si="138"/>
        <v>59.501885999999999</v>
      </c>
      <c r="AD321" s="251">
        <f t="shared" si="138"/>
        <v>43.936000000000007</v>
      </c>
      <c r="AE321" s="251">
        <f t="shared" si="138"/>
        <v>43.800999999999988</v>
      </c>
      <c r="AF321" s="251">
        <f t="shared" si="138"/>
        <v>75.724434000000031</v>
      </c>
      <c r="AG321" s="252">
        <f t="shared" si="140"/>
        <v>57.840206871596948</v>
      </c>
      <c r="AH321" s="146"/>
      <c r="AI321" s="146"/>
      <c r="AJ321" s="209"/>
      <c r="AK321" s="209"/>
      <c r="AL321" s="209"/>
      <c r="AM321" s="209"/>
    </row>
    <row r="322" spans="1:39">
      <c r="A322" s="240" t="s">
        <v>46</v>
      </c>
      <c r="B322" s="251">
        <f t="shared" si="139"/>
        <v>43.058999999999997</v>
      </c>
      <c r="C322" s="251">
        <f t="shared" si="139"/>
        <v>43.487000000000052</v>
      </c>
      <c r="D322" s="251">
        <f t="shared" si="138"/>
        <v>65.455999999999989</v>
      </c>
      <c r="E322" s="251">
        <f t="shared" si="138"/>
        <v>85.80600000000004</v>
      </c>
      <c r="F322" s="251">
        <f t="shared" si="138"/>
        <v>60.835999999999956</v>
      </c>
      <c r="G322" s="251">
        <f t="shared" si="138"/>
        <v>41.256999999999948</v>
      </c>
      <c r="H322" s="251">
        <f t="shared" si="138"/>
        <v>44.222000000000008</v>
      </c>
      <c r="I322" s="251">
        <f t="shared" si="138"/>
        <v>55.44399999999996</v>
      </c>
      <c r="J322" s="251">
        <f t="shared" si="138"/>
        <v>28.275000000000006</v>
      </c>
      <c r="K322" s="251">
        <f t="shared" si="138"/>
        <v>23.075816999999986</v>
      </c>
      <c r="L322" s="251">
        <f t="shared" si="138"/>
        <v>5.6587599999999441</v>
      </c>
      <c r="M322" s="251">
        <f t="shared" si="138"/>
        <v>50.652524</v>
      </c>
      <c r="N322" s="251">
        <f t="shared" si="138"/>
        <v>26.21990799999999</v>
      </c>
      <c r="O322" s="251">
        <f t="shared" si="138"/>
        <v>62.860958000000011</v>
      </c>
      <c r="P322" s="251">
        <f t="shared" si="138"/>
        <v>3.3521330000000091</v>
      </c>
      <c r="Q322" s="251">
        <f t="shared" si="138"/>
        <v>49.084704999999971</v>
      </c>
      <c r="R322" s="251">
        <f t="shared" si="138"/>
        <v>5.3098749999999768</v>
      </c>
      <c r="S322" s="251">
        <f t="shared" si="138"/>
        <v>45.487740000000002</v>
      </c>
      <c r="T322" s="251">
        <f t="shared" si="138"/>
        <v>40.179148999999995</v>
      </c>
      <c r="U322" s="251">
        <f t="shared" si="138"/>
        <v>46.767629000000014</v>
      </c>
      <c r="V322" s="251">
        <f t="shared" si="138"/>
        <v>40.241899000000004</v>
      </c>
      <c r="W322" s="251">
        <f t="shared" si="138"/>
        <v>55.046409999999995</v>
      </c>
      <c r="X322" s="251">
        <f t="shared" si="138"/>
        <v>16.665620000000004</v>
      </c>
      <c r="Y322" s="251">
        <f t="shared" si="138"/>
        <v>3.5442870000000113</v>
      </c>
      <c r="Z322" s="251">
        <f t="shared" si="138"/>
        <v>45.287435999999971</v>
      </c>
      <c r="AA322" s="251">
        <f t="shared" si="138"/>
        <v>36.235359999999957</v>
      </c>
      <c r="AB322" s="251">
        <f t="shared" si="138"/>
        <v>60.434588999999974</v>
      </c>
      <c r="AC322" s="251">
        <f t="shared" si="138"/>
        <v>36.990630999999993</v>
      </c>
      <c r="AD322" s="251">
        <f t="shared" si="138"/>
        <v>45.631</v>
      </c>
      <c r="AE322" s="251">
        <f t="shared" si="138"/>
        <v>36.94099999999996</v>
      </c>
      <c r="AF322" s="251">
        <f t="shared" si="138"/>
        <v>43.210542000000032</v>
      </c>
      <c r="AG322" s="252">
        <f t="shared" si="140"/>
        <v>45.870891396303257</v>
      </c>
      <c r="AH322" s="146"/>
      <c r="AI322" s="146"/>
      <c r="AJ322" s="209"/>
      <c r="AK322" s="209"/>
      <c r="AL322" s="209"/>
      <c r="AM322" s="209"/>
    </row>
    <row r="323" spans="1:39">
      <c r="A323" s="240" t="s">
        <v>235</v>
      </c>
      <c r="B323" s="251">
        <f t="shared" si="139"/>
        <v>45.417000000000016</v>
      </c>
      <c r="C323" s="251">
        <f t="shared" si="139"/>
        <v>56.44399999999996</v>
      </c>
      <c r="D323" s="251">
        <f t="shared" si="138"/>
        <v>71.863999999999947</v>
      </c>
      <c r="E323" s="251">
        <f t="shared" si="138"/>
        <v>44.556000000000012</v>
      </c>
      <c r="F323" s="251">
        <f t="shared" si="138"/>
        <v>57.688999999999993</v>
      </c>
      <c r="G323" s="251">
        <f t="shared" si="138"/>
        <v>41.346000000000004</v>
      </c>
      <c r="H323" s="251">
        <f t="shared" si="138"/>
        <v>56.128000000000043</v>
      </c>
      <c r="I323" s="251">
        <f t="shared" si="138"/>
        <v>33.844000000000051</v>
      </c>
      <c r="J323" s="251">
        <f t="shared" si="138"/>
        <v>34.503999999999991</v>
      </c>
      <c r="K323" s="251">
        <f t="shared" si="138"/>
        <v>-1.635538000000011</v>
      </c>
      <c r="L323" s="251">
        <f t="shared" si="138"/>
        <v>26.782953000000049</v>
      </c>
      <c r="M323" s="251">
        <f t="shared" si="138"/>
        <v>29.778385999999969</v>
      </c>
      <c r="N323" s="251">
        <f t="shared" si="138"/>
        <v>42.622551000000044</v>
      </c>
      <c r="O323" s="251">
        <f t="shared" si="138"/>
        <v>25.957294999999988</v>
      </c>
      <c r="P323" s="251">
        <f t="shared" si="138"/>
        <v>44.049816999999976</v>
      </c>
      <c r="Q323" s="251">
        <f t="shared" si="138"/>
        <v>40.087740999999994</v>
      </c>
      <c r="R323" s="251">
        <f t="shared" si="138"/>
        <v>30.276020000000031</v>
      </c>
      <c r="S323" s="251">
        <f t="shared" si="138"/>
        <v>55.868436999999986</v>
      </c>
      <c r="T323" s="251">
        <f t="shared" si="138"/>
        <v>6.7512029999999754</v>
      </c>
      <c r="U323" s="251">
        <f t="shared" si="138"/>
        <v>74.47599299999996</v>
      </c>
      <c r="V323" s="251">
        <f t="shared" si="138"/>
        <v>47.745559000000029</v>
      </c>
      <c r="W323" s="251">
        <f t="shared" si="138"/>
        <v>46.02445800000001</v>
      </c>
      <c r="X323" s="251">
        <f t="shared" si="138"/>
        <v>52.267053999999959</v>
      </c>
      <c r="Y323" s="251">
        <f t="shared" si="138"/>
        <v>68.670755999999969</v>
      </c>
      <c r="Z323" s="251">
        <f t="shared" si="138"/>
        <v>55.583001000000024</v>
      </c>
      <c r="AA323" s="251">
        <f t="shared" si="138"/>
        <v>45.345008000000036</v>
      </c>
      <c r="AB323" s="251">
        <f t="shared" si="138"/>
        <v>40.046746999999982</v>
      </c>
      <c r="AC323" s="251">
        <f t="shared" si="138"/>
        <v>55.958412999999993</v>
      </c>
      <c r="AD323" s="251">
        <f t="shared" si="138"/>
        <v>54.216000000000037</v>
      </c>
      <c r="AE323" s="251">
        <f t="shared" si="138"/>
        <v>41.929000000000016</v>
      </c>
      <c r="AF323" s="251">
        <f t="shared" si="138"/>
        <v>61.278288999999972</v>
      </c>
      <c r="AG323" s="252">
        <f t="shared" si="140"/>
        <v>50.381469149907034</v>
      </c>
      <c r="AH323" s="146"/>
      <c r="AI323" s="146"/>
      <c r="AJ323" s="209"/>
      <c r="AK323" s="209"/>
      <c r="AL323" s="209"/>
      <c r="AM323" s="209"/>
    </row>
    <row r="324" spans="1:39">
      <c r="A324" s="240" t="s">
        <v>236</v>
      </c>
      <c r="B324" s="251">
        <f t="shared" si="139"/>
        <v>45.126000000000005</v>
      </c>
      <c r="C324" s="251">
        <f t="shared" si="139"/>
        <v>52.299000000000007</v>
      </c>
      <c r="D324" s="251">
        <f t="shared" si="138"/>
        <v>65.733000000000004</v>
      </c>
      <c r="E324" s="251">
        <f t="shared" si="138"/>
        <v>54.59099999999998</v>
      </c>
      <c r="F324" s="251">
        <f t="shared" si="138"/>
        <v>23.54400000000004</v>
      </c>
      <c r="G324" s="251">
        <f t="shared" si="138"/>
        <v>34.606999999999971</v>
      </c>
      <c r="H324" s="251">
        <f t="shared" si="138"/>
        <v>56.676999999999992</v>
      </c>
      <c r="I324" s="251">
        <f t="shared" si="138"/>
        <v>9.4590000000000032</v>
      </c>
      <c r="J324" s="251">
        <f t="shared" si="138"/>
        <v>33.908999999999992</v>
      </c>
      <c r="K324" s="251">
        <f t="shared" si="138"/>
        <v>40.195006999999961</v>
      </c>
      <c r="L324" s="251">
        <f t="shared" si="138"/>
        <v>13.216137999999916</v>
      </c>
      <c r="M324" s="251">
        <f t="shared" si="138"/>
        <v>23.604637000000011</v>
      </c>
      <c r="N324" s="251">
        <f t="shared" si="138"/>
        <v>27.811078999999992</v>
      </c>
      <c r="O324" s="251">
        <f t="shared" si="138"/>
        <v>15.142064000000019</v>
      </c>
      <c r="P324" s="251">
        <f t="shared" si="138"/>
        <v>29.938559999999981</v>
      </c>
      <c r="Q324" s="251">
        <f t="shared" si="138"/>
        <v>25.314569999999975</v>
      </c>
      <c r="R324" s="251">
        <f t="shared" si="138"/>
        <v>46.403621999999984</v>
      </c>
      <c r="S324" s="251">
        <f t="shared" si="138"/>
        <v>43.257298999999989</v>
      </c>
      <c r="T324" s="251">
        <f t="shared" si="138"/>
        <v>75.478121000000002</v>
      </c>
      <c r="U324" s="251">
        <f t="shared" si="138"/>
        <v>57.569154000000012</v>
      </c>
      <c r="V324" s="251">
        <f t="shared" si="138"/>
        <v>61.254747999999992</v>
      </c>
      <c r="W324" s="251">
        <f t="shared" si="138"/>
        <v>69.265565000000024</v>
      </c>
      <c r="X324" s="251">
        <f t="shared" si="138"/>
        <v>60.282622000000018</v>
      </c>
      <c r="Y324" s="251">
        <f t="shared" si="138"/>
        <v>49.869589999999974</v>
      </c>
      <c r="Z324" s="251">
        <f t="shared" si="138"/>
        <v>36.995430000000027</v>
      </c>
      <c r="AA324" s="251">
        <f t="shared" si="138"/>
        <v>33.724464000000012</v>
      </c>
      <c r="AB324" s="251">
        <f t="shared" si="138"/>
        <v>48.172528000000014</v>
      </c>
      <c r="AC324" s="251">
        <f t="shared" si="138"/>
        <v>26.425316999999986</v>
      </c>
      <c r="AD324" s="251">
        <f t="shared" si="138"/>
        <v>26.05699999999996</v>
      </c>
      <c r="AE324" s="251">
        <f t="shared" si="138"/>
        <v>46.262</v>
      </c>
      <c r="AF324" s="251">
        <f t="shared" si="138"/>
        <v>71.108532000000054</v>
      </c>
      <c r="AG324" s="252">
        <f t="shared" si="140"/>
        <v>38.320672429774746</v>
      </c>
      <c r="AH324" s="146"/>
      <c r="AI324" s="146"/>
      <c r="AJ324" s="209"/>
      <c r="AK324" s="209"/>
      <c r="AL324" s="209"/>
      <c r="AM324" s="209"/>
    </row>
    <row r="325" spans="1:39">
      <c r="A325" s="240" t="s">
        <v>237</v>
      </c>
      <c r="B325" s="251">
        <f t="shared" si="139"/>
        <v>42.215000000000018</v>
      </c>
      <c r="C325" s="251">
        <f t="shared" si="139"/>
        <v>93.591999999999985</v>
      </c>
      <c r="D325" s="251">
        <f t="shared" si="138"/>
        <v>46.174000000000007</v>
      </c>
      <c r="E325" s="251">
        <f t="shared" si="138"/>
        <v>31.624000000000052</v>
      </c>
      <c r="F325" s="251">
        <f t="shared" si="138"/>
        <v>14.245000000000005</v>
      </c>
      <c r="G325" s="251">
        <f t="shared" si="138"/>
        <v>53.793000000000035</v>
      </c>
      <c r="H325" s="251">
        <f t="shared" si="138"/>
        <v>14.686000000000021</v>
      </c>
      <c r="I325" s="251">
        <f t="shared" si="138"/>
        <v>81.074000000000012</v>
      </c>
      <c r="J325" s="251">
        <f t="shared" si="138"/>
        <v>31.837999999999965</v>
      </c>
      <c r="K325" s="251">
        <f t="shared" si="138"/>
        <v>7.5974110000000081</v>
      </c>
      <c r="L325" s="251">
        <f t="shared" si="138"/>
        <v>30.966390000000018</v>
      </c>
      <c r="M325" s="251">
        <f t="shared" si="138"/>
        <v>-0.22835900000001175</v>
      </c>
      <c r="N325" s="251">
        <f t="shared" si="138"/>
        <v>28.229225000000014</v>
      </c>
      <c r="O325" s="251">
        <f t="shared" si="138"/>
        <v>26.711679999999973</v>
      </c>
      <c r="P325" s="251">
        <f t="shared" si="138"/>
        <v>24.107783000000012</v>
      </c>
      <c r="Q325" s="251">
        <f t="shared" si="138"/>
        <v>27.865603999999962</v>
      </c>
      <c r="R325" s="251">
        <f t="shared" si="138"/>
        <v>35.607679000000019</v>
      </c>
      <c r="S325" s="251">
        <f t="shared" si="138"/>
        <v>48.872141999999997</v>
      </c>
      <c r="T325" s="251">
        <f t="shared" si="138"/>
        <v>62.822906999999972</v>
      </c>
      <c r="U325" s="251">
        <f t="shared" si="138"/>
        <v>100.03097700000001</v>
      </c>
      <c r="V325" s="251">
        <f t="shared" si="138"/>
        <v>52.985033999999999</v>
      </c>
      <c r="W325" s="251">
        <f t="shared" si="138"/>
        <v>54.503291000000004</v>
      </c>
      <c r="X325" s="251">
        <f t="shared" si="138"/>
        <v>60.985548999999992</v>
      </c>
      <c r="Y325" s="251">
        <f t="shared" si="138"/>
        <v>55.039899999999989</v>
      </c>
      <c r="Z325" s="251">
        <f t="shared" si="138"/>
        <v>65.246496999999991</v>
      </c>
      <c r="AA325" s="251">
        <f t="shared" si="138"/>
        <v>23.628973000000016</v>
      </c>
      <c r="AB325" s="251">
        <f t="shared" si="138"/>
        <v>39.288175999999979</v>
      </c>
      <c r="AC325" s="251">
        <f t="shared" si="138"/>
        <v>37.82770699999999</v>
      </c>
      <c r="AD325" s="251">
        <f t="shared" si="138"/>
        <v>59.46299999999998</v>
      </c>
      <c r="AE325" s="251">
        <f t="shared" si="138"/>
        <v>69.415999999999997</v>
      </c>
      <c r="AF325" s="251">
        <f t="shared" si="138"/>
        <v>37.361756999999983</v>
      </c>
      <c r="AG325" s="252">
        <f t="shared" si="140"/>
        <v>48.711674071392864</v>
      </c>
      <c r="AH325" s="146"/>
      <c r="AI325" s="146"/>
      <c r="AJ325" s="209"/>
      <c r="AK325" s="209"/>
      <c r="AL325" s="209"/>
      <c r="AM325" s="209"/>
    </row>
    <row r="326" spans="1:39">
      <c r="A326" s="240" t="s">
        <v>238</v>
      </c>
      <c r="B326" s="251">
        <f t="shared" si="139"/>
        <v>19.262999999999991</v>
      </c>
      <c r="C326" s="251">
        <f t="shared" si="139"/>
        <v>41.928999999999974</v>
      </c>
      <c r="D326" s="251">
        <f t="shared" si="138"/>
        <v>64.97199999999998</v>
      </c>
      <c r="E326" s="251">
        <f t="shared" si="138"/>
        <v>73.014000000000038</v>
      </c>
      <c r="F326" s="251">
        <f t="shared" si="138"/>
        <v>49.102000000000032</v>
      </c>
      <c r="G326" s="251">
        <f t="shared" si="138"/>
        <v>53.308000000000021</v>
      </c>
      <c r="H326" s="251">
        <f t="shared" si="138"/>
        <v>40.981999999999999</v>
      </c>
      <c r="I326" s="251">
        <f t="shared" si="138"/>
        <v>32.19</v>
      </c>
      <c r="J326" s="251">
        <f t="shared" si="138"/>
        <v>30.163000000000039</v>
      </c>
      <c r="K326" s="251">
        <f t="shared" si="138"/>
        <v>8.1910250000000246</v>
      </c>
      <c r="L326" s="251">
        <f t="shared" si="138"/>
        <v>31.19675399999997</v>
      </c>
      <c r="M326" s="251">
        <f t="shared" si="138"/>
        <v>22.738424999999992</v>
      </c>
      <c r="N326" s="251">
        <f t="shared" si="138"/>
        <v>34.334575000000001</v>
      </c>
      <c r="O326" s="251">
        <f t="shared" si="138"/>
        <v>36.221773000000013</v>
      </c>
      <c r="P326" s="251">
        <f t="shared" si="138"/>
        <v>13.450305</v>
      </c>
      <c r="Q326" s="251">
        <f t="shared" si="138"/>
        <v>64.044962999999996</v>
      </c>
      <c r="R326" s="251">
        <f t="shared" si="138"/>
        <v>52.140070000000009</v>
      </c>
      <c r="S326" s="251">
        <f t="shared" si="138"/>
        <v>44.125730000000004</v>
      </c>
      <c r="T326" s="251">
        <f t="shared" si="138"/>
        <v>82.919753000000014</v>
      </c>
      <c r="U326" s="251">
        <f t="shared" si="138"/>
        <v>53.282347999999971</v>
      </c>
      <c r="V326" s="251">
        <f t="shared" si="138"/>
        <v>60.862803</v>
      </c>
      <c r="W326" s="251">
        <f t="shared" si="138"/>
        <v>34.387507000000006</v>
      </c>
      <c r="X326" s="251">
        <f t="shared" si="138"/>
        <v>61.167923000000002</v>
      </c>
      <c r="Y326" s="251">
        <f t="shared" si="138"/>
        <v>59.758349999999979</v>
      </c>
      <c r="Z326" s="251">
        <f t="shared" si="138"/>
        <v>39.998698999999988</v>
      </c>
      <c r="AA326" s="251">
        <f t="shared" si="138"/>
        <v>46.856944000000013</v>
      </c>
      <c r="AB326" s="251">
        <f t="shared" si="138"/>
        <v>46.014627999999973</v>
      </c>
      <c r="AC326" s="251">
        <f t="shared" si="138"/>
        <v>38.884762000000009</v>
      </c>
      <c r="AD326" s="251">
        <f t="shared" si="138"/>
        <v>28.487000000000009</v>
      </c>
      <c r="AE326" s="251">
        <f t="shared" si="138"/>
        <v>48.274000000000015</v>
      </c>
      <c r="AF326" s="252">
        <f t="shared" si="140"/>
        <v>42.74936654388739</v>
      </c>
      <c r="AG326" s="252">
        <f t="shared" si="140"/>
        <v>44.234203662374554</v>
      </c>
      <c r="AH326" s="146"/>
      <c r="AI326" s="146"/>
      <c r="AJ326" s="209"/>
      <c r="AK326" s="209"/>
      <c r="AL326" s="209"/>
      <c r="AM326" s="209"/>
    </row>
    <row r="327" spans="1:39">
      <c r="A327" s="240" t="s">
        <v>239</v>
      </c>
      <c r="B327" s="251">
        <f t="shared" si="139"/>
        <v>44.588999999999999</v>
      </c>
      <c r="C327" s="251">
        <f t="shared" si="139"/>
        <v>25.431999999999988</v>
      </c>
      <c r="D327" s="251">
        <f t="shared" si="138"/>
        <v>47.936999999999983</v>
      </c>
      <c r="E327" s="251">
        <f t="shared" si="138"/>
        <v>39.985999999999962</v>
      </c>
      <c r="F327" s="251">
        <f t="shared" si="138"/>
        <v>48.12700000000001</v>
      </c>
      <c r="G327" s="251">
        <f t="shared" si="138"/>
        <v>10.38300000000001</v>
      </c>
      <c r="H327" s="251">
        <f t="shared" si="138"/>
        <v>54.916000000000025</v>
      </c>
      <c r="I327" s="251">
        <f t="shared" si="138"/>
        <v>35.046999999999969</v>
      </c>
      <c r="J327" s="251">
        <f t="shared" si="138"/>
        <v>23.255999999999972</v>
      </c>
      <c r="K327" s="251">
        <f t="shared" si="138"/>
        <v>30.886904999999985</v>
      </c>
      <c r="L327" s="251">
        <f t="shared" si="138"/>
        <v>39.132038000000023</v>
      </c>
      <c r="M327" s="251">
        <f t="shared" si="138"/>
        <v>44.825635000000034</v>
      </c>
      <c r="N327" s="251">
        <f t="shared" si="138"/>
        <v>58.337280000000021</v>
      </c>
      <c r="O327" s="251">
        <f t="shared" si="138"/>
        <v>-0.92064600000000496</v>
      </c>
      <c r="P327" s="251">
        <f t="shared" si="138"/>
        <v>37.774271999999996</v>
      </c>
      <c r="Q327" s="251">
        <f t="shared" si="138"/>
        <v>50.960611000000014</v>
      </c>
      <c r="R327" s="251">
        <f t="shared" si="138"/>
        <v>98.465028000000004</v>
      </c>
      <c r="S327" s="251">
        <f t="shared" si="138"/>
        <v>67.358638999999982</v>
      </c>
      <c r="T327" s="251">
        <f t="shared" si="138"/>
        <v>-1.2834210000000326</v>
      </c>
      <c r="U327" s="251">
        <f t="shared" si="138"/>
        <v>57.052954999999997</v>
      </c>
      <c r="V327" s="251">
        <f t="shared" si="138"/>
        <v>39.973117999999999</v>
      </c>
      <c r="W327" s="251">
        <f t="shared" si="138"/>
        <v>38.877408999999986</v>
      </c>
      <c r="X327" s="251">
        <f t="shared" si="138"/>
        <v>37.051197999999999</v>
      </c>
      <c r="Y327" s="251">
        <f t="shared" si="138"/>
        <v>44.375884999999997</v>
      </c>
      <c r="Z327" s="251">
        <f t="shared" si="138"/>
        <v>19.562648000000003</v>
      </c>
      <c r="AA327" s="251">
        <f t="shared" si="138"/>
        <v>59.816760000000016</v>
      </c>
      <c r="AB327" s="251">
        <f t="shared" ref="AB327:BA327" si="141">AB342+AB247+AB295-AB311-AB343</f>
        <v>47.844587999999973</v>
      </c>
      <c r="AC327" s="251">
        <f t="shared" si="141"/>
        <v>37.483546999999987</v>
      </c>
      <c r="AD327" s="251">
        <f t="shared" si="141"/>
        <v>34.814000000000007</v>
      </c>
      <c r="AE327" s="251">
        <f t="shared" si="141"/>
        <v>49.837000000000003</v>
      </c>
      <c r="AF327" s="252">
        <f t="shared" si="140"/>
        <v>42.595550231499047</v>
      </c>
      <c r="AG327" s="252">
        <f t="shared" si="140"/>
        <v>48.74816987736682</v>
      </c>
      <c r="AH327" s="146"/>
      <c r="AI327" s="146"/>
      <c r="AJ327" s="209"/>
      <c r="AK327" s="209"/>
      <c r="AL327" s="209"/>
      <c r="AM327" s="209"/>
    </row>
    <row r="328" spans="1:39">
      <c r="A328" s="240" t="s">
        <v>240</v>
      </c>
      <c r="B328" s="251">
        <f t="shared" si="139"/>
        <v>50.019000000000005</v>
      </c>
      <c r="C328" s="251">
        <f t="shared" si="139"/>
        <v>53.914000000000016</v>
      </c>
      <c r="D328" s="251">
        <f t="shared" si="139"/>
        <v>87.162000000000035</v>
      </c>
      <c r="E328" s="251">
        <f t="shared" si="139"/>
        <v>17.980000000000018</v>
      </c>
      <c r="F328" s="251">
        <f t="shared" si="139"/>
        <v>37.543999999999954</v>
      </c>
      <c r="G328" s="251">
        <f t="shared" si="139"/>
        <v>31.941000000000003</v>
      </c>
      <c r="H328" s="251">
        <f t="shared" si="139"/>
        <v>46.580000000000013</v>
      </c>
      <c r="I328" s="251">
        <f t="shared" si="139"/>
        <v>49.978000000000009</v>
      </c>
      <c r="J328" s="251">
        <f t="shared" si="139"/>
        <v>34.338999999999999</v>
      </c>
      <c r="K328" s="251">
        <f t="shared" si="139"/>
        <v>25.183645000000013</v>
      </c>
      <c r="L328" s="251">
        <f t="shared" si="139"/>
        <v>34.991593000000009</v>
      </c>
      <c r="M328" s="251">
        <f t="shared" si="139"/>
        <v>28.363390999999993</v>
      </c>
      <c r="N328" s="251">
        <f t="shared" si="139"/>
        <v>-7.0762230000000272</v>
      </c>
      <c r="O328" s="251">
        <f t="shared" si="139"/>
        <v>30.776046999999991</v>
      </c>
      <c r="P328" s="251">
        <f t="shared" si="139"/>
        <v>21.49578299999996</v>
      </c>
      <c r="Q328" s="251">
        <f t="shared" si="139"/>
        <v>24.217548000000008</v>
      </c>
      <c r="R328" s="251">
        <f t="shared" ref="R328:AQ329" si="142">R343+R248+R296-R312-R344</f>
        <v>22.278424000000001</v>
      </c>
      <c r="S328" s="251">
        <f t="shared" si="142"/>
        <v>33.463120000000004</v>
      </c>
      <c r="T328" s="251">
        <f t="shared" si="142"/>
        <v>41.493030000000019</v>
      </c>
      <c r="U328" s="251">
        <f t="shared" si="142"/>
        <v>29.848226000000011</v>
      </c>
      <c r="V328" s="251">
        <f t="shared" si="142"/>
        <v>52.293345000000009</v>
      </c>
      <c r="W328" s="251">
        <f t="shared" si="142"/>
        <v>45.373101000000005</v>
      </c>
      <c r="X328" s="251">
        <f t="shared" si="142"/>
        <v>36.452929999999995</v>
      </c>
      <c r="Y328" s="251">
        <f t="shared" si="142"/>
        <v>18.657661999999995</v>
      </c>
      <c r="Z328" s="251">
        <f t="shared" si="142"/>
        <v>28.548068000000008</v>
      </c>
      <c r="AA328" s="251">
        <f t="shared" si="142"/>
        <v>53.266895000000019</v>
      </c>
      <c r="AB328" s="251">
        <f t="shared" si="142"/>
        <v>39.226771999999997</v>
      </c>
      <c r="AC328" s="251">
        <f t="shared" si="142"/>
        <v>35.12373199999999</v>
      </c>
      <c r="AD328" s="251">
        <f>AD343+AD248+AD296-AD312-AD344</f>
        <v>43.154999999999987</v>
      </c>
      <c r="AE328" s="251">
        <f>AE343+AE248+AE296-AE312-AE344</f>
        <v>34.887</v>
      </c>
      <c r="AF328" s="252">
        <f t="shared" si="140"/>
        <v>42.552622822610928</v>
      </c>
      <c r="AG328" s="252">
        <f t="shared" si="140"/>
        <v>43.627930426386278</v>
      </c>
      <c r="AH328" s="146"/>
      <c r="AI328" s="146"/>
      <c r="AJ328" s="209"/>
      <c r="AK328" s="209"/>
      <c r="AL328" s="209"/>
      <c r="AM328" s="209"/>
    </row>
    <row r="329" spans="1:39">
      <c r="A329" s="240" t="s">
        <v>241</v>
      </c>
      <c r="B329" s="251">
        <f t="shared" si="139"/>
        <v>48.324999999999989</v>
      </c>
      <c r="C329" s="251">
        <f t="shared" si="139"/>
        <v>36.84899999999999</v>
      </c>
      <c r="D329" s="251">
        <f t="shared" si="139"/>
        <v>32.630999999999972</v>
      </c>
      <c r="E329" s="251">
        <f t="shared" si="139"/>
        <v>52.479000000000013</v>
      </c>
      <c r="F329" s="251">
        <f t="shared" si="139"/>
        <v>47.342999999999932</v>
      </c>
      <c r="G329" s="251">
        <f t="shared" si="139"/>
        <v>30.504000000000005</v>
      </c>
      <c r="H329" s="251">
        <f t="shared" si="139"/>
        <v>14.635000000000019</v>
      </c>
      <c r="I329" s="251">
        <f t="shared" si="139"/>
        <v>38.173999999999978</v>
      </c>
      <c r="J329" s="251">
        <f t="shared" si="139"/>
        <v>16.477000000000004</v>
      </c>
      <c r="K329" s="251">
        <f t="shared" si="139"/>
        <v>-8.6719630000000194</v>
      </c>
      <c r="L329" s="251">
        <f t="shared" si="139"/>
        <v>23.623260999999985</v>
      </c>
      <c r="M329" s="251">
        <f t="shared" si="139"/>
        <v>11.523623999999998</v>
      </c>
      <c r="N329" s="251">
        <f t="shared" si="139"/>
        <v>32.018445999999997</v>
      </c>
      <c r="O329" s="251">
        <f t="shared" si="139"/>
        <v>31.134190000000011</v>
      </c>
      <c r="P329" s="251">
        <f t="shared" si="139"/>
        <v>22.460757000000001</v>
      </c>
      <c r="Q329" s="251">
        <f t="shared" si="139"/>
        <v>39.544044</v>
      </c>
      <c r="R329" s="251">
        <f t="shared" si="142"/>
        <v>29.992238999999998</v>
      </c>
      <c r="S329" s="251">
        <f t="shared" si="142"/>
        <v>41.175325000000015</v>
      </c>
      <c r="T329" s="251">
        <f t="shared" si="142"/>
        <v>61.704312999999985</v>
      </c>
      <c r="U329" s="251">
        <f t="shared" si="142"/>
        <v>43.848573999999985</v>
      </c>
      <c r="V329" s="251">
        <f t="shared" si="142"/>
        <v>40.375875000000008</v>
      </c>
      <c r="W329" s="251">
        <f t="shared" si="142"/>
        <v>44.573333999999996</v>
      </c>
      <c r="X329" s="251">
        <f t="shared" si="142"/>
        <v>64.234600999999998</v>
      </c>
      <c r="Y329" s="251">
        <f t="shared" si="142"/>
        <v>32.632721000000004</v>
      </c>
      <c r="Z329" s="251">
        <f t="shared" si="142"/>
        <v>26.370131000000008</v>
      </c>
      <c r="AA329" s="251">
        <f t="shared" si="142"/>
        <v>15.842079999999982</v>
      </c>
      <c r="AB329" s="251">
        <f t="shared" si="142"/>
        <v>35.486319999999999</v>
      </c>
      <c r="AC329" s="251">
        <f t="shared" si="142"/>
        <v>17.396643000000005</v>
      </c>
      <c r="AD329" s="251">
        <f>AD344+AD249+AD297-AD313-AD345</f>
        <v>44.544999999999987</v>
      </c>
      <c r="AE329" s="251">
        <f>AE344+AE249+AE297-AE313-AE345</f>
        <v>45.687000000000026</v>
      </c>
      <c r="AF329" s="252">
        <f>AF330-SUM(AF318:AF328)</f>
        <v>-14.930381597997439</v>
      </c>
      <c r="AG329" s="252">
        <f>AG330-SUM(AG318:AG328)</f>
        <v>33.72064124717258</v>
      </c>
      <c r="AH329" s="146"/>
      <c r="AI329" s="146"/>
      <c r="AJ329" s="209"/>
      <c r="AK329" s="209"/>
      <c r="AL329" s="209"/>
      <c r="AM329" s="209"/>
    </row>
    <row r="330" spans="1:39" ht="15.75" thickBot="1">
      <c r="A330" s="240" t="s">
        <v>242</v>
      </c>
      <c r="B330" s="146">
        <f>SUM(B318:B329)</f>
        <v>590.46900000000005</v>
      </c>
      <c r="C330" s="146">
        <f t="shared" ref="C330:AG330" si="143">C36</f>
        <v>576.30899999999997</v>
      </c>
      <c r="D330" s="146">
        <f t="shared" si="143"/>
        <v>643.00900000000001</v>
      </c>
      <c r="E330" s="146">
        <f t="shared" si="143"/>
        <v>591.08600000000001</v>
      </c>
      <c r="F330" s="146">
        <f t="shared" si="143"/>
        <v>486.93400000000065</v>
      </c>
      <c r="G330" s="146">
        <f t="shared" si="143"/>
        <v>481.77200000000062</v>
      </c>
      <c r="H330" s="146">
        <f t="shared" si="143"/>
        <v>513.62699999999973</v>
      </c>
      <c r="I330" s="146">
        <f t="shared" si="143"/>
        <v>538.60100000000011</v>
      </c>
      <c r="J330" s="146">
        <f t="shared" si="143"/>
        <v>411.36699999999996</v>
      </c>
      <c r="K330" s="146">
        <f t="shared" si="143"/>
        <v>255.55063100000007</v>
      </c>
      <c r="L330" s="146">
        <f t="shared" si="143"/>
        <v>353.61159400000008</v>
      </c>
      <c r="M330" s="146">
        <f t="shared" si="143"/>
        <v>313.22231699999986</v>
      </c>
      <c r="N330" s="146">
        <f t="shared" si="143"/>
        <v>320.06841899999972</v>
      </c>
      <c r="O330" s="146">
        <f t="shared" si="143"/>
        <v>354.56363699999997</v>
      </c>
      <c r="P330" s="146">
        <f t="shared" si="143"/>
        <v>383.62675100000013</v>
      </c>
      <c r="Q330" s="146">
        <f t="shared" si="143"/>
        <v>488.99203100000022</v>
      </c>
      <c r="R330" s="146">
        <f t="shared" si="143"/>
        <v>499.13678300000038</v>
      </c>
      <c r="S330" s="146">
        <f t="shared" si="143"/>
        <v>543.70116499999983</v>
      </c>
      <c r="T330" s="146">
        <f t="shared" si="143"/>
        <v>577.56800299999963</v>
      </c>
      <c r="U330" s="146">
        <f t="shared" si="143"/>
        <v>746.3187900000006</v>
      </c>
      <c r="V330" s="146">
        <f t="shared" si="143"/>
        <v>680.99089999999978</v>
      </c>
      <c r="W330" s="146">
        <f t="shared" si="143"/>
        <v>566.94957599999987</v>
      </c>
      <c r="X330" s="146">
        <f t="shared" si="143"/>
        <v>656.18237899999997</v>
      </c>
      <c r="Y330" s="146">
        <f t="shared" si="143"/>
        <v>537.90112899999986</v>
      </c>
      <c r="Z330" s="146">
        <f t="shared" si="143"/>
        <v>542.5659169999999</v>
      </c>
      <c r="AA330" s="146">
        <f t="shared" si="143"/>
        <v>549.60829400000011</v>
      </c>
      <c r="AB330" s="146">
        <f t="shared" si="143"/>
        <v>512.65587200000004</v>
      </c>
      <c r="AC330" s="146">
        <f t="shared" si="143"/>
        <v>493.5915040000001</v>
      </c>
      <c r="AD330" s="146">
        <f t="shared" si="143"/>
        <v>534.03900000000056</v>
      </c>
      <c r="AE330" s="146">
        <f t="shared" si="143"/>
        <v>559.3389999999996</v>
      </c>
      <c r="AF330" s="253">
        <f t="shared" si="143"/>
        <v>562</v>
      </c>
      <c r="AG330" s="253">
        <f t="shared" si="143"/>
        <v>562</v>
      </c>
      <c r="AH330" s="146"/>
      <c r="AI330" s="146"/>
      <c r="AJ330" s="209"/>
      <c r="AK330" s="209"/>
      <c r="AL330" s="209"/>
      <c r="AM330" s="209"/>
    </row>
    <row r="331" spans="1:39">
      <c r="A331" s="248"/>
      <c r="B331" s="254"/>
      <c r="C331" s="254"/>
      <c r="D331" s="254"/>
      <c r="E331" s="254"/>
      <c r="F331" s="254"/>
      <c r="G331" s="254"/>
      <c r="H331" s="254"/>
      <c r="I331" s="254"/>
      <c r="J331" s="254"/>
      <c r="K331" s="254"/>
      <c r="L331" s="254"/>
      <c r="M331" s="254"/>
      <c r="N331" s="254"/>
      <c r="O331" s="254"/>
      <c r="P331" s="254"/>
      <c r="Q331" s="254"/>
      <c r="R331" s="254"/>
      <c r="S331" s="254"/>
      <c r="T331" s="254">
        <f t="shared" ref="T331:AB331" si="144">SUM(T318:T329)</f>
        <v>577.56800299999986</v>
      </c>
      <c r="U331" s="254">
        <f t="shared" si="144"/>
        <v>746.31878999999992</v>
      </c>
      <c r="V331" s="254">
        <f t="shared" si="144"/>
        <v>680.99090000000001</v>
      </c>
      <c r="W331" s="254">
        <f t="shared" si="144"/>
        <v>566.94957600000009</v>
      </c>
      <c r="X331" s="254">
        <f t="shared" si="144"/>
        <v>656.18237899999997</v>
      </c>
      <c r="Y331" s="254">
        <f t="shared" si="144"/>
        <v>537.90112899999986</v>
      </c>
      <c r="Z331" s="254">
        <f t="shared" si="144"/>
        <v>542.56591700000001</v>
      </c>
      <c r="AA331" s="254">
        <f t="shared" si="144"/>
        <v>549.608294</v>
      </c>
      <c r="AB331" s="254">
        <f t="shared" si="144"/>
        <v>512.65587199999982</v>
      </c>
      <c r="AC331" s="254">
        <f>SUM(AC318:AC329)</f>
        <v>493.59150400000004</v>
      </c>
      <c r="AD331" s="254">
        <f t="shared" ref="AD331:AE331" si="145">SUM(AD318:AD329)</f>
        <v>534.03899999999999</v>
      </c>
      <c r="AE331" s="254">
        <f t="shared" si="145"/>
        <v>559.33900000000006</v>
      </c>
      <c r="AF331" s="254"/>
      <c r="AG331" s="254"/>
    </row>
    <row r="332" spans="1:39" ht="15.75" thickBot="1">
      <c r="A332" s="235" t="s">
        <v>269</v>
      </c>
    </row>
    <row r="333" spans="1:39" ht="15.75" thickBot="1">
      <c r="A333" s="236"/>
      <c r="B333" s="237">
        <f>B$2</f>
        <v>1993</v>
      </c>
      <c r="C333" s="237">
        <f t="shared" ref="C333:AG333" si="146">C$2</f>
        <v>1994</v>
      </c>
      <c r="D333" s="237">
        <f t="shared" si="146"/>
        <v>1995</v>
      </c>
      <c r="E333" s="237">
        <f t="shared" si="146"/>
        <v>1996</v>
      </c>
      <c r="F333" s="237">
        <f t="shared" si="146"/>
        <v>1997</v>
      </c>
      <c r="G333" s="237">
        <f t="shared" si="146"/>
        <v>1998</v>
      </c>
      <c r="H333" s="237">
        <f t="shared" si="146"/>
        <v>1999</v>
      </c>
      <c r="I333" s="237">
        <f t="shared" si="146"/>
        <v>2000</v>
      </c>
      <c r="J333" s="237">
        <f t="shared" si="146"/>
        <v>2001</v>
      </c>
      <c r="K333" s="237">
        <f t="shared" si="146"/>
        <v>2002</v>
      </c>
      <c r="L333" s="237">
        <f t="shared" si="146"/>
        <v>2003</v>
      </c>
      <c r="M333" s="237">
        <f t="shared" si="146"/>
        <v>2004</v>
      </c>
      <c r="N333" s="237">
        <f t="shared" si="146"/>
        <v>2005</v>
      </c>
      <c r="O333" s="237">
        <f t="shared" si="146"/>
        <v>2006</v>
      </c>
      <c r="P333" s="237">
        <f t="shared" si="146"/>
        <v>2007</v>
      </c>
      <c r="Q333" s="237">
        <f t="shared" si="146"/>
        <v>2008</v>
      </c>
      <c r="R333" s="237">
        <f t="shared" si="146"/>
        <v>2009</v>
      </c>
      <c r="S333" s="237">
        <f t="shared" si="146"/>
        <v>2010</v>
      </c>
      <c r="T333" s="237">
        <f t="shared" si="146"/>
        <v>2011</v>
      </c>
      <c r="U333" s="237">
        <f t="shared" si="146"/>
        <v>2012</v>
      </c>
      <c r="V333" s="237">
        <f t="shared" si="146"/>
        <v>2013</v>
      </c>
      <c r="W333" s="237">
        <f t="shared" si="146"/>
        <v>2014</v>
      </c>
      <c r="X333" s="237">
        <f t="shared" si="146"/>
        <v>2015</v>
      </c>
      <c r="Y333" s="237">
        <f t="shared" si="146"/>
        <v>2016</v>
      </c>
      <c r="Z333" s="237">
        <f t="shared" si="146"/>
        <v>2017</v>
      </c>
      <c r="AA333" s="237">
        <f t="shared" si="146"/>
        <v>2018</v>
      </c>
      <c r="AB333" s="237">
        <f t="shared" si="146"/>
        <v>2019</v>
      </c>
      <c r="AC333" s="237">
        <f t="shared" si="146"/>
        <v>2020</v>
      </c>
      <c r="AD333" s="237">
        <f t="shared" si="146"/>
        <v>2021</v>
      </c>
      <c r="AE333" s="237">
        <f t="shared" si="146"/>
        <v>2022</v>
      </c>
      <c r="AF333" s="237">
        <f t="shared" si="146"/>
        <v>2023</v>
      </c>
      <c r="AG333" s="237">
        <f t="shared" si="146"/>
        <v>2024</v>
      </c>
      <c r="AH333" s="269"/>
      <c r="AI333" s="269"/>
      <c r="AJ333" s="270"/>
      <c r="AK333" s="270"/>
      <c r="AL333" s="270"/>
      <c r="AM333" s="270"/>
    </row>
    <row r="334" spans="1:39">
      <c r="A334" s="240" t="s">
        <v>231</v>
      </c>
      <c r="B334" s="251">
        <v>63.633000000000003</v>
      </c>
      <c r="C334" s="251">
        <v>59.293999999999997</v>
      </c>
      <c r="D334" s="251">
        <v>60.857999999999997</v>
      </c>
      <c r="E334" s="251">
        <v>82.399000000000001</v>
      </c>
      <c r="F334" s="251">
        <v>152.81299999999999</v>
      </c>
      <c r="G334" s="251">
        <v>68.703000000000003</v>
      </c>
      <c r="H334" s="251">
        <v>90.444000000000003</v>
      </c>
      <c r="I334" s="251">
        <v>204.14699999999999</v>
      </c>
      <c r="J334" s="251">
        <v>217.732</v>
      </c>
      <c r="K334" s="251">
        <v>92.43</v>
      </c>
      <c r="L334" s="251">
        <v>152.05699999999999</v>
      </c>
      <c r="M334" s="251">
        <v>110.66</v>
      </c>
      <c r="N334" s="251">
        <v>48.601999999999997</v>
      </c>
      <c r="O334" s="251">
        <v>84.131</v>
      </c>
      <c r="P334" s="251">
        <v>79.566000000000003</v>
      </c>
      <c r="Q334" s="251">
        <v>41.582000000000001</v>
      </c>
      <c r="R334" s="251">
        <v>88.950999999999993</v>
      </c>
      <c r="S334" s="251">
        <v>108.29</v>
      </c>
      <c r="T334" s="251">
        <v>102.467</v>
      </c>
      <c r="U334" s="251">
        <v>85.466999999999999</v>
      </c>
      <c r="V334" s="251">
        <v>68.704999999999998</v>
      </c>
      <c r="W334" s="251">
        <v>78.06</v>
      </c>
      <c r="X334" s="251">
        <v>82.328000000000003</v>
      </c>
      <c r="Y334" s="251">
        <v>105.03</v>
      </c>
      <c r="Z334" s="251">
        <v>67.614999999999995</v>
      </c>
      <c r="AA334" s="251">
        <v>52.280999999999999</v>
      </c>
      <c r="AB334" s="251">
        <v>103.765</v>
      </c>
      <c r="AC334" s="251">
        <v>66.432000000000002</v>
      </c>
      <c r="AD334" s="251">
        <v>58.048000000000002</v>
      </c>
      <c r="AE334" s="146">
        <v>54.618000000000002</v>
      </c>
      <c r="AF334" s="146">
        <v>113.944</v>
      </c>
      <c r="AG334" s="253">
        <f>AF345+AG238+AG286-AG302-AG318</f>
        <v>91.310842731383389</v>
      </c>
    </row>
    <row r="335" spans="1:39">
      <c r="A335" s="240" t="s">
        <v>232</v>
      </c>
      <c r="B335" s="251">
        <v>77.212000000000003</v>
      </c>
      <c r="C335" s="251">
        <v>66.566000000000003</v>
      </c>
      <c r="D335" s="251">
        <v>83.733999999999995</v>
      </c>
      <c r="E335" s="251">
        <v>111.758</v>
      </c>
      <c r="F335" s="251">
        <v>196.203</v>
      </c>
      <c r="G335" s="251">
        <v>99.938000000000002</v>
      </c>
      <c r="H335" s="251">
        <v>123.876</v>
      </c>
      <c r="I335" s="251">
        <v>250.726</v>
      </c>
      <c r="J335" s="251">
        <v>227.16</v>
      </c>
      <c r="K335" s="251">
        <v>55.951999999999998</v>
      </c>
      <c r="L335" s="251">
        <v>107.90600000000001</v>
      </c>
      <c r="M335" s="251">
        <v>120.98</v>
      </c>
      <c r="N335" s="251">
        <v>34.832000000000001</v>
      </c>
      <c r="O335" s="251">
        <v>121.184</v>
      </c>
      <c r="P335" s="251">
        <v>75.52</v>
      </c>
      <c r="Q335" s="251">
        <v>31.626000000000001</v>
      </c>
      <c r="R335" s="251">
        <v>98.492999999999995</v>
      </c>
      <c r="S335" s="251">
        <v>123.285</v>
      </c>
      <c r="T335" s="251">
        <v>105.211</v>
      </c>
      <c r="U335" s="251">
        <v>79.542000000000002</v>
      </c>
      <c r="V335" s="251">
        <v>81.638000000000005</v>
      </c>
      <c r="W335" s="251">
        <v>65.563999999999993</v>
      </c>
      <c r="X335" s="251">
        <v>66.759</v>
      </c>
      <c r="Y335" s="251">
        <v>86.238</v>
      </c>
      <c r="Z335" s="251">
        <v>76.42</v>
      </c>
      <c r="AA335" s="251">
        <v>47.527999999999999</v>
      </c>
      <c r="AB335" s="251">
        <v>101.658</v>
      </c>
      <c r="AC335" s="251">
        <v>68.917000000000002</v>
      </c>
      <c r="AD335" s="251">
        <v>73.010000000000005</v>
      </c>
      <c r="AE335" s="146">
        <v>64.48</v>
      </c>
      <c r="AF335" s="146">
        <v>124.447</v>
      </c>
      <c r="AG335" s="253">
        <f t="shared" ref="AG335:AG344" si="147">AG334+AG239+AG287-AG303-AG319</f>
        <v>104.34466659857833</v>
      </c>
    </row>
    <row r="336" spans="1:39">
      <c r="A336" s="240" t="s">
        <v>233</v>
      </c>
      <c r="B336" s="251">
        <v>145.98099999999999</v>
      </c>
      <c r="C336" s="251">
        <v>144.81100000000001</v>
      </c>
      <c r="D336" s="251">
        <v>159.428</v>
      </c>
      <c r="E336" s="251">
        <v>255.43</v>
      </c>
      <c r="F336" s="251">
        <v>294.03500000000003</v>
      </c>
      <c r="G336" s="251">
        <v>153.65899999999999</v>
      </c>
      <c r="H336" s="251">
        <v>194.17099999999999</v>
      </c>
      <c r="I336" s="251">
        <v>324.57499999999999</v>
      </c>
      <c r="J336" s="251">
        <v>257.86200000000002</v>
      </c>
      <c r="K336" s="251">
        <v>116.994</v>
      </c>
      <c r="L336" s="251">
        <v>174.03200000000001</v>
      </c>
      <c r="M336" s="251">
        <v>147.303</v>
      </c>
      <c r="N336" s="251">
        <v>90.212000000000003</v>
      </c>
      <c r="O336" s="251">
        <v>120.568</v>
      </c>
      <c r="P336" s="251">
        <v>112.988</v>
      </c>
      <c r="Q336" s="251">
        <v>124.63500000000001</v>
      </c>
      <c r="R336" s="251">
        <v>165.37899999999999</v>
      </c>
      <c r="S336" s="251">
        <v>124.678</v>
      </c>
      <c r="T336" s="251">
        <v>168.59700000000001</v>
      </c>
      <c r="U336" s="251">
        <v>109.961</v>
      </c>
      <c r="V336" s="251">
        <v>121.01</v>
      </c>
      <c r="W336" s="251">
        <v>117.627</v>
      </c>
      <c r="X336" s="251">
        <v>132.29900000000001</v>
      </c>
      <c r="Y336" s="251">
        <v>103.89100000000001</v>
      </c>
      <c r="Z336" s="251">
        <v>87.460999999999999</v>
      </c>
      <c r="AA336" s="251">
        <v>110.70699999999999</v>
      </c>
      <c r="AB336" s="251">
        <v>90.19</v>
      </c>
      <c r="AC336" s="251">
        <v>107.196</v>
      </c>
      <c r="AD336" s="251">
        <v>134.87299999999999</v>
      </c>
      <c r="AE336" s="146">
        <v>104.07299999999999</v>
      </c>
      <c r="AF336" s="146">
        <v>165.86799999999999</v>
      </c>
      <c r="AG336" s="253">
        <f t="shared" si="147"/>
        <v>153.91657653864496</v>
      </c>
    </row>
    <row r="337" spans="1:39">
      <c r="A337" s="240" t="s">
        <v>234</v>
      </c>
      <c r="B337" s="251">
        <v>120.379</v>
      </c>
      <c r="C337" s="251">
        <v>170.75399999999999</v>
      </c>
      <c r="D337" s="251">
        <v>142.06899999999999</v>
      </c>
      <c r="E337" s="251">
        <v>258.97199999999998</v>
      </c>
      <c r="F337" s="251">
        <v>236.02</v>
      </c>
      <c r="G337" s="251">
        <v>114.8</v>
      </c>
      <c r="H337" s="251">
        <v>212.00800000000001</v>
      </c>
      <c r="I337" s="251">
        <v>314.37599999999998</v>
      </c>
      <c r="J337" s="251">
        <v>238.042</v>
      </c>
      <c r="K337" s="251">
        <v>117.16500000000001</v>
      </c>
      <c r="L337" s="251">
        <v>187.63900000000001</v>
      </c>
      <c r="M337" s="251">
        <v>131.869</v>
      </c>
      <c r="N337" s="251">
        <v>71.483999999999995</v>
      </c>
      <c r="O337" s="251">
        <v>125.81699999999999</v>
      </c>
      <c r="P337" s="251">
        <v>109.56399999999999</v>
      </c>
      <c r="Q337" s="251">
        <v>93.323999999999998</v>
      </c>
      <c r="R337" s="251">
        <v>114.726</v>
      </c>
      <c r="S337" s="251">
        <v>93.332999999999998</v>
      </c>
      <c r="T337" s="251">
        <v>122.536</v>
      </c>
      <c r="U337" s="251">
        <v>137.84</v>
      </c>
      <c r="V337" s="251">
        <v>102.90600000000001</v>
      </c>
      <c r="W337" s="251">
        <v>120.40600000000001</v>
      </c>
      <c r="X337" s="251">
        <v>114.93899999999999</v>
      </c>
      <c r="Y337" s="251">
        <v>103.30200000000001</v>
      </c>
      <c r="Z337" s="251">
        <v>110.321</v>
      </c>
      <c r="AA337" s="251">
        <v>127.485</v>
      </c>
      <c r="AB337" s="251">
        <v>118.15900000000001</v>
      </c>
      <c r="AC337" s="251">
        <v>112.83</v>
      </c>
      <c r="AD337" s="251">
        <v>171.499</v>
      </c>
      <c r="AE337" s="146">
        <v>156.85599999999999</v>
      </c>
      <c r="AF337" s="146">
        <v>145.875</v>
      </c>
      <c r="AG337" s="253">
        <f t="shared" si="147"/>
        <v>184.10042895450897</v>
      </c>
    </row>
    <row r="338" spans="1:39">
      <c r="A338" s="240" t="s">
        <v>46</v>
      </c>
      <c r="B338" s="251">
        <v>114.054</v>
      </c>
      <c r="C338" s="251">
        <v>184.37899999999999</v>
      </c>
      <c r="D338" s="251">
        <v>134.655</v>
      </c>
      <c r="E338" s="251">
        <v>261.91699999999997</v>
      </c>
      <c r="F338" s="251">
        <v>254.48500000000001</v>
      </c>
      <c r="G338" s="251">
        <v>163.249</v>
      </c>
      <c r="H338" s="251">
        <v>181.97900000000001</v>
      </c>
      <c r="I338" s="251">
        <v>353.51400000000001</v>
      </c>
      <c r="J338" s="251">
        <v>226.56</v>
      </c>
      <c r="K338" s="251">
        <v>91.447999999999993</v>
      </c>
      <c r="L338" s="251">
        <v>196.44200000000001</v>
      </c>
      <c r="M338" s="251">
        <v>132.63499999999999</v>
      </c>
      <c r="N338" s="251">
        <v>84.275999999999996</v>
      </c>
      <c r="O338" s="251">
        <v>86.986999999999995</v>
      </c>
      <c r="P338" s="251">
        <v>90.242999999999995</v>
      </c>
      <c r="Q338" s="251">
        <v>97.902000000000001</v>
      </c>
      <c r="R338" s="251">
        <v>143.108</v>
      </c>
      <c r="S338" s="251">
        <v>96.887</v>
      </c>
      <c r="T338" s="251">
        <v>114.708</v>
      </c>
      <c r="U338" s="251">
        <v>109.64</v>
      </c>
      <c r="V338" s="251">
        <v>107.43300000000001</v>
      </c>
      <c r="W338" s="251">
        <v>111.158</v>
      </c>
      <c r="X338" s="251">
        <v>87.950999999999993</v>
      </c>
      <c r="Y338" s="251">
        <v>99.545000000000002</v>
      </c>
      <c r="Z338" s="251">
        <v>125.134</v>
      </c>
      <c r="AA338" s="251">
        <v>129.87200000000001</v>
      </c>
      <c r="AB338" s="251">
        <v>114.169</v>
      </c>
      <c r="AC338" s="251">
        <v>85.114999999999995</v>
      </c>
      <c r="AD338" s="251">
        <v>145.816</v>
      </c>
      <c r="AE338" s="146">
        <v>110.79600000000001</v>
      </c>
      <c r="AF338" s="146">
        <v>177.23099999999999</v>
      </c>
      <c r="AG338" s="253">
        <f t="shared" si="147"/>
        <v>145.37088111237262</v>
      </c>
    </row>
    <row r="339" spans="1:39">
      <c r="A339" s="240" t="s">
        <v>235</v>
      </c>
      <c r="B339" s="251">
        <v>113.617</v>
      </c>
      <c r="C339" s="251">
        <v>172.654</v>
      </c>
      <c r="D339" s="251">
        <v>123.393</v>
      </c>
      <c r="E339" s="251">
        <v>245.756</v>
      </c>
      <c r="F339" s="251">
        <v>204.297</v>
      </c>
      <c r="G339" s="251">
        <v>129.19900000000001</v>
      </c>
      <c r="H339" s="251">
        <v>159.81200000000001</v>
      </c>
      <c r="I339" s="251">
        <v>306.245</v>
      </c>
      <c r="J339" s="251">
        <v>150.751</v>
      </c>
      <c r="K339" s="251">
        <v>118.18600000000001</v>
      </c>
      <c r="L339" s="251">
        <v>156.78899999999999</v>
      </c>
      <c r="M339" s="251">
        <v>92.045000000000002</v>
      </c>
      <c r="N339" s="251">
        <v>96.975999999999999</v>
      </c>
      <c r="O339" s="251">
        <v>99.164000000000001</v>
      </c>
      <c r="P339" s="251">
        <v>71.513999999999996</v>
      </c>
      <c r="Q339" s="251">
        <v>125.18600000000001</v>
      </c>
      <c r="R339" s="251">
        <v>117.437</v>
      </c>
      <c r="S339" s="251">
        <v>88.466999999999999</v>
      </c>
      <c r="T339" s="251">
        <v>112.88800000000001</v>
      </c>
      <c r="U339" s="251">
        <v>99.730999999999995</v>
      </c>
      <c r="V339" s="251">
        <v>88.644999999999996</v>
      </c>
      <c r="W339" s="251">
        <v>97.983000000000004</v>
      </c>
      <c r="X339" s="251">
        <v>89.120999999999995</v>
      </c>
      <c r="Y339" s="251">
        <v>118.008</v>
      </c>
      <c r="Z339" s="251">
        <v>128.714</v>
      </c>
      <c r="AA339" s="251">
        <v>117.477</v>
      </c>
      <c r="AB339" s="251">
        <v>97.504999999999995</v>
      </c>
      <c r="AC339" s="251">
        <v>107.063</v>
      </c>
      <c r="AD339" s="251">
        <v>147.54900000000001</v>
      </c>
      <c r="AE339" s="146">
        <v>122.557</v>
      </c>
      <c r="AF339" s="146">
        <v>165.42099999999999</v>
      </c>
      <c r="AG339" s="253">
        <f t="shared" si="147"/>
        <v>142.38605419625338</v>
      </c>
    </row>
    <row r="340" spans="1:39">
      <c r="A340" s="240" t="s">
        <v>236</v>
      </c>
      <c r="B340" s="251">
        <v>107.845</v>
      </c>
      <c r="C340" s="251">
        <v>166.65299999999999</v>
      </c>
      <c r="D340" s="251">
        <v>140.19200000000001</v>
      </c>
      <c r="E340" s="251">
        <v>216.333</v>
      </c>
      <c r="F340" s="251">
        <v>141.20400000000001</v>
      </c>
      <c r="G340" s="251">
        <v>164.45500000000001</v>
      </c>
      <c r="H340" s="251">
        <v>217.85400000000001</v>
      </c>
      <c r="I340" s="251">
        <v>234.024</v>
      </c>
      <c r="J340" s="251">
        <v>144.13</v>
      </c>
      <c r="K340" s="251">
        <v>108.919</v>
      </c>
      <c r="L340" s="251">
        <v>149.35400000000001</v>
      </c>
      <c r="M340" s="251">
        <v>116.664</v>
      </c>
      <c r="N340" s="251">
        <v>117.55800000000001</v>
      </c>
      <c r="O340" s="251">
        <v>115.98399999999999</v>
      </c>
      <c r="P340" s="251">
        <v>103.873</v>
      </c>
      <c r="Q340" s="251">
        <v>118.88800000000001</v>
      </c>
      <c r="R340" s="251">
        <v>138.71100000000001</v>
      </c>
      <c r="S340" s="251">
        <v>97.242999999999995</v>
      </c>
      <c r="T340" s="251">
        <v>97.742000000000004</v>
      </c>
      <c r="U340" s="251">
        <v>118.58499999999999</v>
      </c>
      <c r="V340" s="251">
        <v>83.491</v>
      </c>
      <c r="W340" s="251">
        <v>65.837000000000003</v>
      </c>
      <c r="X340" s="251">
        <v>106.045</v>
      </c>
      <c r="Y340" s="251">
        <v>98.682000000000002</v>
      </c>
      <c r="Z340" s="251">
        <v>115.45099999999999</v>
      </c>
      <c r="AA340" s="251">
        <v>125.65600000000001</v>
      </c>
      <c r="AB340" s="251">
        <v>113.15300000000001</v>
      </c>
      <c r="AC340" s="251">
        <v>60.966000000000001</v>
      </c>
      <c r="AD340" s="251">
        <v>141.48099999999999</v>
      </c>
      <c r="AE340" s="146">
        <v>145.327</v>
      </c>
      <c r="AF340" s="146">
        <v>174.89699999999999</v>
      </c>
      <c r="AG340" s="253">
        <f t="shared" si="147"/>
        <v>131.70938243464542</v>
      </c>
    </row>
    <row r="341" spans="1:39">
      <c r="A341" s="240" t="s">
        <v>237</v>
      </c>
      <c r="B341" s="251">
        <v>105.258</v>
      </c>
      <c r="C341" s="251">
        <v>130.548</v>
      </c>
      <c r="D341" s="251">
        <v>137.655</v>
      </c>
      <c r="E341" s="251">
        <v>212.70500000000001</v>
      </c>
      <c r="F341" s="251">
        <v>169.96700000000001</v>
      </c>
      <c r="G341" s="251">
        <v>133.00299999999999</v>
      </c>
      <c r="H341" s="251">
        <v>125.402</v>
      </c>
      <c r="I341" s="251">
        <v>262.42</v>
      </c>
      <c r="J341" s="251">
        <v>156.61600000000001</v>
      </c>
      <c r="K341" s="251">
        <v>108.62</v>
      </c>
      <c r="L341" s="251">
        <v>159.54499999999999</v>
      </c>
      <c r="M341" s="251">
        <v>133.733</v>
      </c>
      <c r="N341" s="251">
        <v>73.712999999999994</v>
      </c>
      <c r="O341" s="251">
        <v>138.10900000000001</v>
      </c>
      <c r="P341" s="251">
        <v>96.441000000000003</v>
      </c>
      <c r="Q341" s="251">
        <v>109.148</v>
      </c>
      <c r="R341" s="251">
        <v>144.124</v>
      </c>
      <c r="S341" s="251">
        <v>95.114000000000004</v>
      </c>
      <c r="T341" s="251">
        <v>114.664</v>
      </c>
      <c r="U341" s="251">
        <v>112.059</v>
      </c>
      <c r="V341" s="251">
        <v>78.67</v>
      </c>
      <c r="W341" s="251">
        <v>60.161000000000001</v>
      </c>
      <c r="X341" s="251">
        <v>104.655</v>
      </c>
      <c r="Y341" s="251">
        <v>101.434</v>
      </c>
      <c r="Z341" s="251">
        <v>125.562</v>
      </c>
      <c r="AA341" s="251">
        <v>98.77</v>
      </c>
      <c r="AB341" s="251">
        <v>125.372</v>
      </c>
      <c r="AC341" s="251">
        <v>88.224000000000004</v>
      </c>
      <c r="AD341" s="251">
        <v>82.581000000000003</v>
      </c>
      <c r="AE341" s="146">
        <v>128.791</v>
      </c>
      <c r="AF341" s="146">
        <v>164.309</v>
      </c>
      <c r="AG341" s="253">
        <f t="shared" si="147"/>
        <v>109.28195893144947</v>
      </c>
    </row>
    <row r="342" spans="1:39">
      <c r="A342" s="240" t="s">
        <v>238</v>
      </c>
      <c r="B342" s="251">
        <v>126.85299999999999</v>
      </c>
      <c r="C342" s="251">
        <v>130.06100000000001</v>
      </c>
      <c r="D342" s="251">
        <v>124.482</v>
      </c>
      <c r="E342" s="251">
        <v>204.83099999999999</v>
      </c>
      <c r="F342" s="251">
        <v>173.35</v>
      </c>
      <c r="G342" s="251">
        <v>131.94300000000001</v>
      </c>
      <c r="H342" s="251">
        <v>156.44499999999999</v>
      </c>
      <c r="I342" s="251">
        <v>269.13900000000001</v>
      </c>
      <c r="J342" s="251">
        <v>157.75899999999999</v>
      </c>
      <c r="K342" s="251">
        <v>141.79499999999999</v>
      </c>
      <c r="L342" s="251">
        <v>140.20500000000001</v>
      </c>
      <c r="M342" s="251">
        <v>109.777</v>
      </c>
      <c r="N342" s="251">
        <v>113.45699999999999</v>
      </c>
      <c r="O342" s="251">
        <v>135.20599999999999</v>
      </c>
      <c r="P342" s="251">
        <v>79.984999999999999</v>
      </c>
      <c r="Q342" s="251">
        <v>116.779</v>
      </c>
      <c r="R342" s="251">
        <v>148.87299999999999</v>
      </c>
      <c r="S342" s="251">
        <v>107.03</v>
      </c>
      <c r="T342" s="251">
        <v>94.224999999999994</v>
      </c>
      <c r="U342" s="251">
        <v>108.396</v>
      </c>
      <c r="V342" s="251">
        <v>82.484999999999999</v>
      </c>
      <c r="W342" s="251">
        <v>53.128999999999998</v>
      </c>
      <c r="X342" s="251">
        <v>110.012</v>
      </c>
      <c r="Y342" s="251">
        <v>71.725999999999999</v>
      </c>
      <c r="Z342" s="251">
        <v>83.573999999999998</v>
      </c>
      <c r="AA342" s="251">
        <v>120.919</v>
      </c>
      <c r="AB342" s="251">
        <v>102.59099999999999</v>
      </c>
      <c r="AC342" s="251">
        <v>81.632999999999996</v>
      </c>
      <c r="AD342" s="251">
        <v>81.373999999999995</v>
      </c>
      <c r="AE342" s="146">
        <v>115.59099999999999</v>
      </c>
      <c r="AF342" s="253">
        <f t="shared" ref="AF342:AF344" si="148">AF341+AF246+AF294-AF310-AF326</f>
        <v>217.2879045417925</v>
      </c>
      <c r="AG342" s="253">
        <f t="shared" si="147"/>
        <v>107.37957901069196</v>
      </c>
    </row>
    <row r="343" spans="1:39">
      <c r="A343" s="240" t="s">
        <v>239</v>
      </c>
      <c r="B343" s="251">
        <v>123.494</v>
      </c>
      <c r="C343" s="251">
        <v>167.655</v>
      </c>
      <c r="D343" s="251">
        <v>183.16300000000001</v>
      </c>
      <c r="E343" s="251">
        <v>204.38800000000001</v>
      </c>
      <c r="F343" s="251">
        <v>175.24199999999999</v>
      </c>
      <c r="G343" s="251">
        <v>159.45400000000001</v>
      </c>
      <c r="H343" s="251">
        <v>191.99</v>
      </c>
      <c r="I343" s="251">
        <v>267.625</v>
      </c>
      <c r="J343" s="251">
        <v>98.905000000000001</v>
      </c>
      <c r="K343" s="251">
        <v>122.334</v>
      </c>
      <c r="L343" s="251">
        <v>141.28399999999999</v>
      </c>
      <c r="M343" s="251">
        <v>107.327</v>
      </c>
      <c r="N343" s="251">
        <v>85.563999999999993</v>
      </c>
      <c r="O343" s="251">
        <v>117.285</v>
      </c>
      <c r="P343" s="251">
        <v>81.536000000000001</v>
      </c>
      <c r="Q343" s="251">
        <v>103.002</v>
      </c>
      <c r="R343" s="251">
        <v>93.033000000000001</v>
      </c>
      <c r="S343" s="251">
        <v>88.006</v>
      </c>
      <c r="T343" s="251">
        <v>118.658</v>
      </c>
      <c r="U343" s="251">
        <v>115.04300000000001</v>
      </c>
      <c r="V343" s="251">
        <v>102.39400000000001</v>
      </c>
      <c r="W343" s="251">
        <v>65.632999999999996</v>
      </c>
      <c r="X343" s="251">
        <v>74.5</v>
      </c>
      <c r="Y343" s="251">
        <v>57.313000000000002</v>
      </c>
      <c r="Z343" s="251">
        <v>63.250999999999998</v>
      </c>
      <c r="AA343" s="251">
        <v>103.947</v>
      </c>
      <c r="AB343" s="251">
        <v>104.66500000000001</v>
      </c>
      <c r="AC343" s="251">
        <v>78.082999999999998</v>
      </c>
      <c r="AD343" s="251">
        <v>95.971999999999994</v>
      </c>
      <c r="AE343" s="146">
        <v>108.372</v>
      </c>
      <c r="AF343" s="253">
        <f t="shared" si="148"/>
        <v>192.00172547600789</v>
      </c>
      <c r="AG343" s="253">
        <f t="shared" si="147"/>
        <v>113.44977869060131</v>
      </c>
    </row>
    <row r="344" spans="1:39">
      <c r="A344" s="240" t="s">
        <v>240</v>
      </c>
      <c r="B344" s="251">
        <v>116.48099999999999</v>
      </c>
      <c r="C344" s="251">
        <v>144.32599999999999</v>
      </c>
      <c r="D344" s="251">
        <v>151.279</v>
      </c>
      <c r="E344" s="251">
        <v>216.429</v>
      </c>
      <c r="F344" s="251">
        <v>167.33799999999999</v>
      </c>
      <c r="G344" s="251">
        <v>133.94</v>
      </c>
      <c r="H344" s="251">
        <v>194.86</v>
      </c>
      <c r="I344" s="251">
        <v>269.303</v>
      </c>
      <c r="J344" s="251">
        <v>89.534999999999997</v>
      </c>
      <c r="K344" s="251">
        <v>133.32499999999999</v>
      </c>
      <c r="L344" s="251">
        <v>122.301</v>
      </c>
      <c r="M344" s="251">
        <v>108.46</v>
      </c>
      <c r="N344" s="251">
        <v>116.94199999999999</v>
      </c>
      <c r="O344" s="251">
        <v>98.766000000000005</v>
      </c>
      <c r="P344" s="251">
        <v>69.078000000000003</v>
      </c>
      <c r="Q344" s="251">
        <v>100.96</v>
      </c>
      <c r="R344" s="251">
        <v>85.293999999999997</v>
      </c>
      <c r="S344" s="251">
        <v>94.320999999999998</v>
      </c>
      <c r="T344" s="251">
        <v>86.486999999999995</v>
      </c>
      <c r="U344" s="251">
        <v>124.952</v>
      </c>
      <c r="V344" s="251">
        <v>59.521999999999998</v>
      </c>
      <c r="W344" s="251">
        <v>59.918999999999997</v>
      </c>
      <c r="X344" s="251">
        <v>74.334000000000003</v>
      </c>
      <c r="Y344" s="251">
        <v>57.133000000000003</v>
      </c>
      <c r="Z344" s="251">
        <v>54.356000000000002</v>
      </c>
      <c r="AA344" s="251">
        <v>82.620999999999995</v>
      </c>
      <c r="AB344" s="251">
        <v>77.855000000000004</v>
      </c>
      <c r="AC344" s="251">
        <v>71.44</v>
      </c>
      <c r="AD344" s="251">
        <v>99.013999999999996</v>
      </c>
      <c r="AE344" s="146">
        <v>82.188000000000002</v>
      </c>
      <c r="AF344" s="253">
        <f t="shared" si="148"/>
        <v>169.23457031103658</v>
      </c>
      <c r="AG344" s="253">
        <f t="shared" si="147"/>
        <v>97.327690836014398</v>
      </c>
    </row>
    <row r="345" spans="1:39" ht="15.75" thickBot="1">
      <c r="A345" s="240" t="s">
        <v>241</v>
      </c>
      <c r="B345" s="251">
        <v>89.367999999999995</v>
      </c>
      <c r="C345" s="251">
        <v>105.99299999999999</v>
      </c>
      <c r="D345" s="251">
        <v>112.25</v>
      </c>
      <c r="E345" s="251">
        <v>178.71299999999999</v>
      </c>
      <c r="F345" s="251">
        <v>121.607</v>
      </c>
      <c r="G345" s="251">
        <v>103.389</v>
      </c>
      <c r="H345" s="251">
        <v>182.703</v>
      </c>
      <c r="I345" s="251">
        <v>228.62299999999999</v>
      </c>
      <c r="J345" s="251">
        <v>117.61199999999999</v>
      </c>
      <c r="K345" s="251">
        <v>96.757000000000005</v>
      </c>
      <c r="L345" s="251">
        <v>126.755</v>
      </c>
      <c r="M345" s="251">
        <v>82.284999999999997</v>
      </c>
      <c r="N345" s="251">
        <v>68.605999999999995</v>
      </c>
      <c r="O345" s="251">
        <v>60.448</v>
      </c>
      <c r="P345" s="251">
        <v>41.21</v>
      </c>
      <c r="Q345" s="251">
        <v>126.634</v>
      </c>
      <c r="R345" s="251">
        <v>84.733999999999995</v>
      </c>
      <c r="S345" s="251">
        <v>93.608000000000004</v>
      </c>
      <c r="T345" s="251">
        <v>85.572000000000003</v>
      </c>
      <c r="U345" s="251">
        <v>90.608000000000004</v>
      </c>
      <c r="V345" s="251">
        <v>38.372</v>
      </c>
      <c r="W345" s="251">
        <v>54.393999999999998</v>
      </c>
      <c r="X345" s="251">
        <v>68.173000000000002</v>
      </c>
      <c r="Y345" s="251">
        <v>44.66</v>
      </c>
      <c r="Z345" s="251">
        <v>54.835000000000001</v>
      </c>
      <c r="AA345" s="146">
        <v>100.69799999999999</v>
      </c>
      <c r="AB345" s="146">
        <v>51.04</v>
      </c>
      <c r="AC345" s="146">
        <v>53.648000000000003</v>
      </c>
      <c r="AD345" s="146">
        <v>80.444000000000003</v>
      </c>
      <c r="AE345" s="146">
        <v>84.965999999999994</v>
      </c>
      <c r="AF345" s="253">
        <f>AF344+AF249+AF297-AF313-AF329</f>
        <v>89.999999999999943</v>
      </c>
      <c r="AG345" s="253">
        <f>AG344+AG249+AG297-AG313-AG329</f>
        <v>89.999999999999858</v>
      </c>
    </row>
    <row r="346" spans="1:39">
      <c r="A346" s="248"/>
      <c r="B346" s="248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8"/>
      <c r="P346" s="248"/>
      <c r="Q346" s="248"/>
      <c r="R346" s="248"/>
      <c r="S346" s="248"/>
      <c r="T346" s="248"/>
      <c r="U346" s="254">
        <f t="shared" ref="U346:AB346" si="149">U42</f>
        <v>90.608000000000004</v>
      </c>
      <c r="V346" s="254">
        <f t="shared" si="149"/>
        <v>38.372</v>
      </c>
      <c r="W346" s="254">
        <f t="shared" si="149"/>
        <v>54.393999999999998</v>
      </c>
      <c r="X346" s="254">
        <f t="shared" si="149"/>
        <v>68.173000000000002</v>
      </c>
      <c r="Y346" s="254">
        <f t="shared" si="149"/>
        <v>44.66</v>
      </c>
      <c r="Z346" s="254">
        <f t="shared" si="149"/>
        <v>54.835000000000001</v>
      </c>
      <c r="AA346" s="254">
        <f t="shared" si="149"/>
        <v>100.69799999999999</v>
      </c>
      <c r="AB346" s="254">
        <f t="shared" si="149"/>
        <v>51.04</v>
      </c>
      <c r="AC346" s="254">
        <f>AC42</f>
        <v>53.648000000000003</v>
      </c>
      <c r="AD346" s="254">
        <f t="shared" ref="AD346:AG346" si="150">AD42</f>
        <v>80.444000000000003</v>
      </c>
      <c r="AE346" s="254">
        <f t="shared" si="150"/>
        <v>84.965999999999994</v>
      </c>
      <c r="AF346" s="254">
        <f t="shared" si="150"/>
        <v>90</v>
      </c>
      <c r="AG346" s="254">
        <f t="shared" si="150"/>
        <v>90</v>
      </c>
    </row>
    <row r="347" spans="1:39" ht="15.75" thickBot="1">
      <c r="A347" s="235" t="s">
        <v>270</v>
      </c>
    </row>
    <row r="348" spans="1:39" ht="15.75" thickBot="1">
      <c r="A348" s="236"/>
      <c r="B348" s="237">
        <f>B$2</f>
        <v>1993</v>
      </c>
      <c r="C348" s="237">
        <f t="shared" ref="C348:AG348" si="151">C$2</f>
        <v>1994</v>
      </c>
      <c r="D348" s="237">
        <f t="shared" si="151"/>
        <v>1995</v>
      </c>
      <c r="E348" s="237">
        <f t="shared" si="151"/>
        <v>1996</v>
      </c>
      <c r="F348" s="237">
        <f t="shared" si="151"/>
        <v>1997</v>
      </c>
      <c r="G348" s="237">
        <f t="shared" si="151"/>
        <v>1998</v>
      </c>
      <c r="H348" s="237">
        <f t="shared" si="151"/>
        <v>1999</v>
      </c>
      <c r="I348" s="237">
        <f t="shared" si="151"/>
        <v>2000</v>
      </c>
      <c r="J348" s="237">
        <f t="shared" si="151"/>
        <v>2001</v>
      </c>
      <c r="K348" s="237">
        <f t="shared" si="151"/>
        <v>2002</v>
      </c>
      <c r="L348" s="237">
        <f t="shared" si="151"/>
        <v>2003</v>
      </c>
      <c r="M348" s="237">
        <f t="shared" si="151"/>
        <v>2004</v>
      </c>
      <c r="N348" s="237">
        <f t="shared" si="151"/>
        <v>2005</v>
      </c>
      <c r="O348" s="237">
        <f t="shared" si="151"/>
        <v>2006</v>
      </c>
      <c r="P348" s="237">
        <f t="shared" si="151"/>
        <v>2007</v>
      </c>
      <c r="Q348" s="237">
        <f t="shared" si="151"/>
        <v>2008</v>
      </c>
      <c r="R348" s="237">
        <f t="shared" si="151"/>
        <v>2009</v>
      </c>
      <c r="S348" s="237">
        <f t="shared" si="151"/>
        <v>2010</v>
      </c>
      <c r="T348" s="237">
        <f t="shared" si="151"/>
        <v>2011</v>
      </c>
      <c r="U348" s="237">
        <f t="shared" si="151"/>
        <v>2012</v>
      </c>
      <c r="V348" s="237">
        <f t="shared" si="151"/>
        <v>2013</v>
      </c>
      <c r="W348" s="237">
        <f t="shared" si="151"/>
        <v>2014</v>
      </c>
      <c r="X348" s="237">
        <f t="shared" si="151"/>
        <v>2015</v>
      </c>
      <c r="Y348" s="237">
        <f t="shared" si="151"/>
        <v>2016</v>
      </c>
      <c r="Z348" s="237">
        <f t="shared" si="151"/>
        <v>2017</v>
      </c>
      <c r="AA348" s="237">
        <f t="shared" si="151"/>
        <v>2018</v>
      </c>
      <c r="AB348" s="237">
        <f t="shared" si="151"/>
        <v>2019</v>
      </c>
      <c r="AC348" s="237">
        <f t="shared" si="151"/>
        <v>2020</v>
      </c>
      <c r="AD348" s="237">
        <f t="shared" si="151"/>
        <v>2021</v>
      </c>
      <c r="AE348" s="237">
        <f t="shared" si="151"/>
        <v>2022</v>
      </c>
      <c r="AF348" s="237">
        <f t="shared" si="151"/>
        <v>2023</v>
      </c>
      <c r="AG348" s="237">
        <f t="shared" si="151"/>
        <v>2024</v>
      </c>
      <c r="AH348" s="269"/>
      <c r="AI348" s="269"/>
      <c r="AJ348" s="270"/>
      <c r="AK348" s="270"/>
      <c r="AL348" s="270"/>
      <c r="AM348" s="270"/>
    </row>
    <row r="349" spans="1:39" ht="16.5">
      <c r="A349" s="240" t="s">
        <v>231</v>
      </c>
      <c r="I349" s="272"/>
      <c r="J349" s="272"/>
      <c r="K349" s="272"/>
      <c r="L349" s="272"/>
      <c r="M349" s="272"/>
      <c r="N349" s="272"/>
      <c r="O349" s="272"/>
      <c r="P349" s="272"/>
      <c r="Q349" s="272"/>
      <c r="R349" s="272"/>
      <c r="S349" s="272"/>
      <c r="T349" s="272"/>
      <c r="U349" s="272"/>
      <c r="V349" s="272"/>
      <c r="W349" s="272"/>
      <c r="X349" s="272"/>
      <c r="Y349" s="272"/>
      <c r="Z349" s="273"/>
      <c r="AA349" s="273"/>
      <c r="AB349" s="273">
        <v>616.59090909090912</v>
      </c>
      <c r="AC349" s="273">
        <v>783.86363636363637</v>
      </c>
      <c r="AD349" s="273">
        <v>1260.25</v>
      </c>
      <c r="AE349" s="273">
        <v>1375</v>
      </c>
      <c r="AF349" s="273"/>
      <c r="AG349" s="273"/>
      <c r="AH349" s="27"/>
      <c r="AI349" s="27"/>
      <c r="AJ349" s="274"/>
      <c r="AK349" s="274"/>
      <c r="AL349" s="274"/>
      <c r="AM349" s="274"/>
    </row>
    <row r="350" spans="1:39" ht="16.5">
      <c r="A350" s="240" t="s">
        <v>232</v>
      </c>
      <c r="I350" s="272"/>
      <c r="J350" s="272"/>
      <c r="K350" s="272"/>
      <c r="L350" s="272"/>
      <c r="M350" s="272"/>
      <c r="N350" s="272"/>
      <c r="O350" s="272"/>
      <c r="P350" s="272"/>
      <c r="Q350" s="272"/>
      <c r="R350" s="272"/>
      <c r="S350" s="272"/>
      <c r="T350" s="272"/>
      <c r="U350" s="272"/>
      <c r="V350" s="272"/>
      <c r="W350" s="272"/>
      <c r="X350" s="272"/>
      <c r="Y350" s="272"/>
      <c r="Z350" s="273"/>
      <c r="AA350" s="273"/>
      <c r="AB350" s="273">
        <v>652.5</v>
      </c>
      <c r="AC350" s="273">
        <v>731.84210526315792</v>
      </c>
      <c r="AD350" s="273">
        <v>1290</v>
      </c>
      <c r="AE350" s="273">
        <v>0</v>
      </c>
      <c r="AF350" s="273"/>
      <c r="AG350" s="273"/>
      <c r="AH350" s="27"/>
      <c r="AI350" s="27"/>
      <c r="AJ350" s="274"/>
      <c r="AK350" s="274"/>
      <c r="AL350" s="274"/>
      <c r="AM350" s="274"/>
    </row>
    <row r="351" spans="1:39" ht="16.5">
      <c r="A351" s="240" t="s">
        <v>233</v>
      </c>
      <c r="I351" s="272"/>
      <c r="J351" s="272"/>
      <c r="K351" s="272"/>
      <c r="L351" s="272"/>
      <c r="M351" s="272"/>
      <c r="N351" s="272"/>
      <c r="O351" s="272"/>
      <c r="P351" s="272"/>
      <c r="Q351" s="272"/>
      <c r="R351" s="272"/>
      <c r="S351" s="272"/>
      <c r="T351" s="272"/>
      <c r="U351" s="272"/>
      <c r="V351" s="272"/>
      <c r="W351" s="272"/>
      <c r="X351" s="272"/>
      <c r="Y351" s="272"/>
      <c r="Z351" s="273"/>
      <c r="AA351" s="273"/>
      <c r="AB351" s="273">
        <v>642.36842105263156</v>
      </c>
      <c r="AC351" s="273">
        <v>664.75</v>
      </c>
      <c r="AD351" s="273">
        <v>1528.4782608695652</v>
      </c>
      <c r="AE351" s="273">
        <v>2350</v>
      </c>
      <c r="AF351" s="273"/>
      <c r="AG351" s="273"/>
      <c r="AH351" s="27"/>
      <c r="AI351" s="27"/>
      <c r="AJ351" s="274"/>
      <c r="AK351" s="274"/>
      <c r="AL351" s="274"/>
      <c r="AM351" s="274"/>
    </row>
    <row r="352" spans="1:39" ht="16.5">
      <c r="A352" s="240" t="s">
        <v>234</v>
      </c>
      <c r="I352" s="272"/>
      <c r="J352" s="272"/>
      <c r="K352" s="272"/>
      <c r="L352" s="272"/>
      <c r="M352" s="272"/>
      <c r="N352" s="272"/>
      <c r="O352" s="272"/>
      <c r="P352" s="272"/>
      <c r="Q352" s="272"/>
      <c r="R352" s="272"/>
      <c r="S352" s="272"/>
      <c r="T352" s="272"/>
      <c r="U352" s="272"/>
      <c r="V352" s="272"/>
      <c r="W352" s="272"/>
      <c r="X352" s="272"/>
      <c r="Y352" s="272"/>
      <c r="Z352" s="273"/>
      <c r="AA352" s="273"/>
      <c r="AB352" s="273">
        <v>640.57894736842104</v>
      </c>
      <c r="AC352" s="273">
        <v>675.25</v>
      </c>
      <c r="AD352" s="273">
        <v>1491.5</v>
      </c>
      <c r="AE352" s="273">
        <v>2015</v>
      </c>
      <c r="AF352" s="273"/>
      <c r="AG352" s="273"/>
      <c r="AH352" s="27"/>
      <c r="AI352" s="27"/>
      <c r="AJ352" s="274"/>
      <c r="AK352" s="274"/>
      <c r="AL352" s="274"/>
      <c r="AM352" s="274"/>
    </row>
    <row r="353" spans="1:39" ht="16.5">
      <c r="A353" s="240" t="s">
        <v>46</v>
      </c>
      <c r="I353" s="272"/>
      <c r="J353" s="272"/>
      <c r="K353" s="272"/>
      <c r="L353" s="272"/>
      <c r="M353" s="272"/>
      <c r="N353" s="272"/>
      <c r="O353" s="272"/>
      <c r="P353" s="272"/>
      <c r="Q353" s="272"/>
      <c r="R353" s="272"/>
      <c r="S353" s="272"/>
      <c r="T353" s="272"/>
      <c r="U353" s="272"/>
      <c r="V353" s="272"/>
      <c r="W353" s="272"/>
      <c r="X353" s="272"/>
      <c r="Y353" s="272"/>
      <c r="Z353" s="273"/>
      <c r="AA353" s="273"/>
      <c r="AB353" s="273">
        <v>664</v>
      </c>
      <c r="AC353" s="273">
        <v>703.15789473684208</v>
      </c>
      <c r="AD353" s="273">
        <v>1499.7058823529412</v>
      </c>
      <c r="AE353" s="273"/>
      <c r="AF353" s="273"/>
      <c r="AG353" s="273"/>
      <c r="AH353" s="27"/>
      <c r="AI353" s="27"/>
      <c r="AJ353" s="274"/>
      <c r="AK353" s="274"/>
      <c r="AL353" s="274"/>
      <c r="AM353" s="274"/>
    </row>
    <row r="354" spans="1:39" ht="16.5">
      <c r="A354" s="240" t="s">
        <v>235</v>
      </c>
      <c r="I354" s="272"/>
      <c r="J354" s="272"/>
      <c r="K354" s="272"/>
      <c r="L354" s="272"/>
      <c r="M354" s="272"/>
      <c r="N354" s="272"/>
      <c r="O354" s="272"/>
      <c r="P354" s="272"/>
      <c r="Q354" s="272"/>
      <c r="R354" s="272"/>
      <c r="S354" s="272"/>
      <c r="T354" s="272"/>
      <c r="U354" s="272"/>
      <c r="V354" s="272"/>
      <c r="W354" s="272"/>
      <c r="X354" s="272"/>
      <c r="Y354" s="272"/>
      <c r="Z354" s="273"/>
      <c r="AA354" s="273">
        <v>715.3</v>
      </c>
      <c r="AB354" s="273">
        <v>687.16666666666663</v>
      </c>
      <c r="AC354" s="273">
        <v>750.68181818181813</v>
      </c>
      <c r="AD354" s="273">
        <v>1251.8181818181818</v>
      </c>
      <c r="AE354" s="273"/>
      <c r="AF354" s="273"/>
      <c r="AG354" s="273"/>
      <c r="AH354" s="27"/>
      <c r="AI354" s="27"/>
      <c r="AJ354" s="274"/>
      <c r="AK354" s="274"/>
      <c r="AL354" s="274"/>
      <c r="AM354" s="274"/>
    </row>
    <row r="355" spans="1:39" ht="16.5">
      <c r="A355" s="240" t="s">
        <v>236</v>
      </c>
      <c r="I355" s="272"/>
      <c r="J355" s="272"/>
      <c r="K355" s="272"/>
      <c r="L355" s="272"/>
      <c r="M355" s="272"/>
      <c r="N355" s="272"/>
      <c r="O355" s="272"/>
      <c r="P355" s="272"/>
      <c r="Q355" s="272"/>
      <c r="R355" s="272"/>
      <c r="S355" s="272"/>
      <c r="T355" s="272"/>
      <c r="U355" s="272"/>
      <c r="V355" s="272"/>
      <c r="W355" s="272"/>
      <c r="X355" s="272"/>
      <c r="Y355" s="272"/>
      <c r="Z355" s="273"/>
      <c r="AA355" s="273">
        <v>718.25</v>
      </c>
      <c r="AB355" s="273">
        <v>718.09523809523807</v>
      </c>
      <c r="AC355" s="273">
        <v>759.52380952380952</v>
      </c>
      <c r="AD355" s="273">
        <v>1255</v>
      </c>
      <c r="AE355" s="273"/>
      <c r="AF355" s="273"/>
      <c r="AG355" s="273"/>
      <c r="AH355" s="27"/>
      <c r="AI355" s="27"/>
      <c r="AJ355" s="274"/>
      <c r="AK355" s="274"/>
      <c r="AL355" s="274"/>
      <c r="AM355" s="274"/>
    </row>
    <row r="356" spans="1:39" ht="16.5">
      <c r="A356" s="240" t="s">
        <v>237</v>
      </c>
      <c r="I356" s="272"/>
      <c r="J356" s="272"/>
      <c r="K356" s="272"/>
      <c r="L356" s="272"/>
      <c r="M356" s="272"/>
      <c r="N356" s="272"/>
      <c r="O356" s="272"/>
      <c r="P356" s="272"/>
      <c r="Q356" s="272"/>
      <c r="R356" s="272"/>
      <c r="S356" s="272"/>
      <c r="T356" s="272"/>
      <c r="U356" s="272"/>
      <c r="V356" s="272"/>
      <c r="W356" s="272"/>
      <c r="X356" s="272"/>
      <c r="Y356" s="272"/>
      <c r="Z356" s="273"/>
      <c r="AA356" s="273">
        <v>718.81818181818187</v>
      </c>
      <c r="AB356" s="273">
        <v>719.04761904761904</v>
      </c>
      <c r="AC356" s="273">
        <v>784.73684210526312</v>
      </c>
      <c r="AD356" s="273">
        <v>1307.25</v>
      </c>
      <c r="AE356" s="273"/>
      <c r="AF356" s="273"/>
      <c r="AG356" s="273"/>
      <c r="AH356" s="27"/>
      <c r="AI356" s="27"/>
      <c r="AJ356" s="274"/>
      <c r="AK356" s="274"/>
      <c r="AL356" s="274"/>
      <c r="AM356" s="274"/>
    </row>
    <row r="357" spans="1:39" ht="16.5">
      <c r="A357" s="240" t="s">
        <v>238</v>
      </c>
      <c r="I357" s="272"/>
      <c r="J357" s="272"/>
      <c r="K357" s="272"/>
      <c r="L357" s="272"/>
      <c r="M357" s="272"/>
      <c r="N357" s="272"/>
      <c r="O357" s="272"/>
      <c r="P357" s="272"/>
      <c r="Q357" s="272"/>
      <c r="R357" s="272"/>
      <c r="S357" s="272"/>
      <c r="T357" s="272"/>
      <c r="U357" s="272"/>
      <c r="V357" s="272"/>
      <c r="W357" s="272"/>
      <c r="X357" s="272"/>
      <c r="Y357" s="272"/>
      <c r="Z357" s="273"/>
      <c r="AA357" s="273">
        <v>691.65</v>
      </c>
      <c r="AB357" s="273">
        <v>707.19047619047615</v>
      </c>
      <c r="AC357" s="273">
        <v>901.59090909090912</v>
      </c>
      <c r="AD357" s="273">
        <v>1325</v>
      </c>
      <c r="AE357" s="273"/>
      <c r="AF357" s="273"/>
      <c r="AG357" s="273"/>
      <c r="AH357" s="27"/>
      <c r="AI357" s="27"/>
      <c r="AJ357" s="274"/>
      <c r="AK357" s="274"/>
      <c r="AL357" s="274"/>
      <c r="AM357" s="274"/>
    </row>
    <row r="358" spans="1:39" ht="16.5">
      <c r="A358" s="240" t="s">
        <v>239</v>
      </c>
      <c r="I358" s="272"/>
      <c r="J358" s="272"/>
      <c r="K358" s="272"/>
      <c r="L358" s="272"/>
      <c r="M358" s="272"/>
      <c r="N358" s="272"/>
      <c r="O358" s="272"/>
      <c r="P358" s="272"/>
      <c r="Q358" s="272"/>
      <c r="R358" s="272"/>
      <c r="S358" s="272"/>
      <c r="T358" s="272"/>
      <c r="U358" s="272"/>
      <c r="V358" s="272"/>
      <c r="W358" s="272"/>
      <c r="X358" s="272"/>
      <c r="Y358" s="272"/>
      <c r="Z358" s="273"/>
      <c r="AA358" s="273">
        <v>665.90909090909088</v>
      </c>
      <c r="AB358" s="273">
        <v>678.60869565217388</v>
      </c>
      <c r="AC358" s="273">
        <v>955.71428571428567</v>
      </c>
      <c r="AD358" s="273">
        <v>1387.6315789473683</v>
      </c>
      <c r="AE358" s="273"/>
      <c r="AF358" s="273"/>
      <c r="AG358" s="273"/>
      <c r="AH358" s="27"/>
      <c r="AI358" s="27"/>
      <c r="AJ358" s="274"/>
      <c r="AK358" s="274"/>
      <c r="AL358" s="274"/>
      <c r="AM358" s="274"/>
    </row>
    <row r="359" spans="1:39" ht="16.5">
      <c r="A359" s="240" t="s">
        <v>240</v>
      </c>
      <c r="I359" s="272"/>
      <c r="J359" s="272"/>
      <c r="K359" s="272"/>
      <c r="L359" s="272"/>
      <c r="M359" s="272"/>
      <c r="N359" s="272"/>
      <c r="O359" s="272"/>
      <c r="P359" s="272"/>
      <c r="Q359" s="272"/>
      <c r="R359" s="272"/>
      <c r="S359" s="272"/>
      <c r="T359" s="272"/>
      <c r="U359" s="272"/>
      <c r="V359" s="272"/>
      <c r="W359" s="272"/>
      <c r="X359" s="272"/>
      <c r="Y359" s="272"/>
      <c r="Z359" s="273"/>
      <c r="AA359" s="273">
        <v>645.09523809523807</v>
      </c>
      <c r="AB359" s="273">
        <v>688.25</v>
      </c>
      <c r="AC359" s="273">
        <v>1059.75</v>
      </c>
      <c r="AD359" s="273">
        <v>1400</v>
      </c>
      <c r="AE359" s="273"/>
      <c r="AF359" s="273"/>
      <c r="AG359" s="273"/>
      <c r="AH359" s="27"/>
      <c r="AI359" s="27"/>
      <c r="AJ359" s="274"/>
      <c r="AK359" s="274"/>
      <c r="AL359" s="274"/>
      <c r="AM359" s="274"/>
    </row>
    <row r="360" spans="1:39" ht="16.5">
      <c r="A360" s="240" t="s">
        <v>241</v>
      </c>
      <c r="I360" s="272"/>
      <c r="J360" s="272"/>
      <c r="K360" s="272"/>
      <c r="L360" s="272"/>
      <c r="M360" s="272"/>
      <c r="N360" s="272"/>
      <c r="O360" s="272"/>
      <c r="P360" s="272"/>
      <c r="Q360" s="272"/>
      <c r="R360" s="272"/>
      <c r="S360" s="272"/>
      <c r="T360" s="272"/>
      <c r="U360" s="272"/>
      <c r="V360" s="272"/>
      <c r="W360" s="272"/>
      <c r="X360" s="272"/>
      <c r="Y360" s="272"/>
      <c r="Z360" s="273"/>
      <c r="AA360" s="273">
        <v>618.82352941176475</v>
      </c>
      <c r="AB360" s="273">
        <v>747.5</v>
      </c>
      <c r="AC360" s="273">
        <v>1138.9473684210527</v>
      </c>
      <c r="AD360" s="273">
        <v>1375</v>
      </c>
      <c r="AE360" s="273"/>
      <c r="AF360" s="273"/>
      <c r="AG360" s="273"/>
      <c r="AH360" s="27"/>
      <c r="AI360" s="27"/>
      <c r="AJ360" s="274"/>
      <c r="AK360" s="274"/>
      <c r="AL360" s="274"/>
      <c r="AM360" s="274"/>
    </row>
    <row r="361" spans="1:39" ht="17.25" thickBot="1">
      <c r="A361" s="240" t="s">
        <v>255</v>
      </c>
      <c r="I361" s="272"/>
      <c r="J361" s="272"/>
      <c r="K361" s="272"/>
      <c r="L361" s="272"/>
      <c r="M361" s="272"/>
      <c r="N361" s="272"/>
      <c r="O361" s="272"/>
      <c r="P361" s="272"/>
      <c r="Q361" s="272"/>
      <c r="R361" s="272"/>
      <c r="S361" s="272"/>
      <c r="T361" s="272"/>
      <c r="U361" s="272"/>
      <c r="V361" s="272"/>
      <c r="W361" s="272"/>
      <c r="X361" s="272"/>
      <c r="Y361" s="272"/>
      <c r="Z361" s="273"/>
      <c r="AA361" s="273"/>
      <c r="AB361" s="273">
        <f>AVERAGE(AB349:AB360)</f>
        <v>680.15808109701129</v>
      </c>
      <c r="AC361" s="273">
        <f>AVERAGE(AC349:AC360)</f>
        <v>825.81738911673131</v>
      </c>
      <c r="AD361" s="273">
        <f>AVERAGE(AD349:AD360)</f>
        <v>1364.302825332338</v>
      </c>
      <c r="AE361" s="273"/>
      <c r="AF361" s="273"/>
      <c r="AG361" s="273"/>
      <c r="AH361" s="27"/>
      <c r="AI361" s="27"/>
      <c r="AJ361" s="274"/>
      <c r="AK361" s="274"/>
      <c r="AL361" s="274"/>
      <c r="AM361" s="274"/>
    </row>
    <row r="362" spans="1:39">
      <c r="A362" s="248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  <c r="AA362" s="248"/>
      <c r="AB362" s="248"/>
      <c r="AC362" s="248"/>
      <c r="AD362" s="248"/>
      <c r="AE362" s="248"/>
      <c r="AF362" s="248"/>
      <c r="AG362" s="248"/>
    </row>
  </sheetData>
  <hyperlinks>
    <hyperlink ref="AO3" r:id="rId1" xr:uid="{91F43044-938F-4AA1-ACA8-2011F3A1A2D5}"/>
    <hyperlink ref="AO12" r:id="rId2" xr:uid="{AAEAE38C-FF66-4A1E-8566-9A8667DE0BFC}"/>
    <hyperlink ref="AN205" r:id="rId3" xr:uid="{C3AC7EB9-E7CD-4831-B5A5-2F62B3A1EDE8}"/>
    <hyperlink ref="AQ95" r:id="rId4" xr:uid="{36BE9A6E-C106-4B50-B00D-D00643048739}"/>
    <hyperlink ref="AI79" r:id="rId5" xr:uid="{FDEE6A81-92E4-4CE7-AB58-8098636116C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CB0B-E7CD-485D-955E-C3C5938D029A}">
  <sheetPr>
    <pageSetUpPr fitToPage="1"/>
  </sheetPr>
  <dimension ref="A1:AW331"/>
  <sheetViews>
    <sheetView zoomScaleNormal="100" workbookViewId="0">
      <pane xSplit="1" ySplit="2" topLeftCell="AF24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1.85546875" customWidth="1"/>
    <col min="2" max="27" width="8.85546875" customWidth="1"/>
    <col min="34" max="39" width="8.85546875" customWidth="1"/>
    <col min="40" max="41" width="9.28515625" style="226" customWidth="1"/>
    <col min="42" max="42" width="9.85546875" style="226" customWidth="1"/>
    <col min="43" max="61" width="8.85546875" customWidth="1"/>
    <col min="66" max="89" width="0" hidden="1" customWidth="1"/>
    <col min="94" max="117" width="0" hidden="1" customWidth="1"/>
    <col min="122" max="145" width="0" hidden="1" customWidth="1"/>
  </cols>
  <sheetData>
    <row r="1" spans="1:43" ht="18.75" thickBot="1">
      <c r="A1" s="199" t="s">
        <v>271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Q1" t="s">
        <v>207</v>
      </c>
    </row>
    <row r="2" spans="1:43" ht="15.75" thickBot="1">
      <c r="A2" s="202"/>
      <c r="B2" s="203" t="s">
        <v>272</v>
      </c>
      <c r="C2" s="204" t="s">
        <v>273</v>
      </c>
      <c r="D2" s="203" t="s">
        <v>274</v>
      </c>
      <c r="E2" s="204" t="s">
        <v>275</v>
      </c>
      <c r="F2" s="203" t="s">
        <v>276</v>
      </c>
      <c r="G2" s="204" t="s">
        <v>277</v>
      </c>
      <c r="H2" s="203" t="s">
        <v>278</v>
      </c>
      <c r="I2" s="204" t="s">
        <v>279</v>
      </c>
      <c r="J2" s="203" t="s">
        <v>280</v>
      </c>
      <c r="K2" s="204" t="s">
        <v>281</v>
      </c>
      <c r="L2" s="203" t="s">
        <v>282</v>
      </c>
      <c r="M2" s="204" t="s">
        <v>283</v>
      </c>
      <c r="N2" s="203" t="s">
        <v>284</v>
      </c>
      <c r="O2" s="204" t="s">
        <v>285</v>
      </c>
      <c r="P2" s="203" t="s">
        <v>286</v>
      </c>
      <c r="Q2" s="204" t="s">
        <v>287</v>
      </c>
      <c r="R2" s="203" t="s">
        <v>288</v>
      </c>
      <c r="S2" s="204" t="s">
        <v>289</v>
      </c>
      <c r="T2" s="203" t="s">
        <v>290</v>
      </c>
      <c r="U2" s="204" t="s">
        <v>291</v>
      </c>
      <c r="V2" s="203" t="s">
        <v>292</v>
      </c>
      <c r="W2" s="204" t="s">
        <v>293</v>
      </c>
      <c r="X2" s="203" t="s">
        <v>294</v>
      </c>
      <c r="Y2" s="204" t="s">
        <v>295</v>
      </c>
      <c r="Z2" s="203" t="s">
        <v>296</v>
      </c>
      <c r="AA2" s="204" t="s">
        <v>297</v>
      </c>
      <c r="AB2" s="204" t="s">
        <v>298</v>
      </c>
      <c r="AC2" s="204" t="s">
        <v>299</v>
      </c>
      <c r="AD2" s="204" t="s">
        <v>300</v>
      </c>
      <c r="AE2" s="204" t="s">
        <v>301</v>
      </c>
      <c r="AF2" s="204" t="s">
        <v>302</v>
      </c>
      <c r="AG2" s="204" t="s">
        <v>303</v>
      </c>
      <c r="AH2" s="204" t="s">
        <v>304</v>
      </c>
      <c r="AI2" s="204" t="s">
        <v>305</v>
      </c>
      <c r="AJ2" s="204" t="s">
        <v>306</v>
      </c>
      <c r="AK2" s="204" t="s">
        <v>307</v>
      </c>
      <c r="AL2" s="204" t="s">
        <v>308</v>
      </c>
      <c r="AM2" s="204" t="s">
        <v>309</v>
      </c>
      <c r="AN2" s="201"/>
      <c r="AO2" s="201"/>
      <c r="AP2" s="201"/>
      <c r="AQ2" s="205">
        <v>44656</v>
      </c>
    </row>
    <row r="3" spans="1:43" ht="16.5">
      <c r="A3" s="3" t="s">
        <v>310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N3" s="201"/>
      <c r="AO3" s="206" t="s">
        <v>311</v>
      </c>
      <c r="AP3" s="201"/>
    </row>
    <row r="4" spans="1:43" ht="15.75">
      <c r="A4" s="3" t="s">
        <v>213</v>
      </c>
      <c r="B4" s="207">
        <f>B5/0.97</f>
        <v>4525.7731958762888</v>
      </c>
      <c r="C4" s="207">
        <f t="shared" ref="C4:Z4" si="0">C5/0.97</f>
        <v>4537.1134020618556</v>
      </c>
      <c r="D4" s="207">
        <f t="shared" si="0"/>
        <v>4297.9381443298971</v>
      </c>
      <c r="E4" s="207">
        <f t="shared" si="0"/>
        <v>4411.3402061855668</v>
      </c>
      <c r="F4" s="207">
        <f t="shared" si="0"/>
        <v>4208.2474226804125</v>
      </c>
      <c r="G4" s="207">
        <f t="shared" si="0"/>
        <v>4224.7422680412374</v>
      </c>
      <c r="H4" s="207">
        <f t="shared" si="0"/>
        <v>4435.0515463917527</v>
      </c>
      <c r="I4" s="207">
        <f t="shared" si="0"/>
        <v>3693.8144329896909</v>
      </c>
      <c r="J4" s="207">
        <f t="shared" si="0"/>
        <v>3684.536082474227</v>
      </c>
      <c r="K4" s="207">
        <f t="shared" si="0"/>
        <v>3578.3505154639174</v>
      </c>
      <c r="L4" s="207">
        <f t="shared" si="0"/>
        <v>4309.2783505154639</v>
      </c>
      <c r="M4" s="207">
        <f t="shared" si="0"/>
        <v>3795.8762886597938</v>
      </c>
      <c r="N4" s="207">
        <f t="shared" si="0"/>
        <v>3729.896907216495</v>
      </c>
      <c r="O4" s="207">
        <f t="shared" si="0"/>
        <v>4137.1134020618556</v>
      </c>
      <c r="P4" s="207">
        <f t="shared" si="0"/>
        <v>3612.3711340206187</v>
      </c>
      <c r="Q4" s="207">
        <f t="shared" si="0"/>
        <v>3600.5051546391751</v>
      </c>
      <c r="R4" s="207">
        <f t="shared" si="0"/>
        <v>4040.1340206185569</v>
      </c>
      <c r="S4" s="207">
        <f t="shared" si="0"/>
        <v>3899.1134020618547</v>
      </c>
      <c r="T4" s="207">
        <f t="shared" si="0"/>
        <v>4502.6494845360821</v>
      </c>
      <c r="U4" s="207">
        <f t="shared" si="0"/>
        <v>4446.0103092783511</v>
      </c>
      <c r="V4" s="207">
        <f t="shared" si="0"/>
        <v>4766.216494845361</v>
      </c>
      <c r="W4" s="207">
        <f t="shared" si="0"/>
        <v>4397.9793814432987</v>
      </c>
      <c r="X4" s="7">
        <f t="shared" si="0"/>
        <v>4327.4226804123709</v>
      </c>
      <c r="Y4" s="7">
        <f t="shared" si="0"/>
        <v>4260.9587628865975</v>
      </c>
      <c r="Z4" s="7">
        <f t="shared" si="0"/>
        <v>4444.9896907216498</v>
      </c>
      <c r="AA4" s="7">
        <f t="shared" ref="AA4:AE4" si="1">MROUND(AA5/(SUM(C5:Z5)/SUM(C4:Z4)),25)</f>
        <v>4150</v>
      </c>
      <c r="AB4" s="7">
        <f t="shared" si="1"/>
        <v>4475</v>
      </c>
      <c r="AC4" s="7">
        <f t="shared" si="1"/>
        <v>4525</v>
      </c>
      <c r="AD4" s="7">
        <f t="shared" si="1"/>
        <v>4500</v>
      </c>
      <c r="AE4" s="7">
        <f t="shared" si="1"/>
        <v>5075</v>
      </c>
      <c r="AF4" s="7">
        <f t="shared" ref="AF4:AG4" si="2">MROUND(AF5/(SUM(H5:AE5)/SUM(H4:AE4)),25)</f>
        <v>4825</v>
      </c>
      <c r="AG4" s="7">
        <f t="shared" si="2"/>
        <v>5025</v>
      </c>
      <c r="AH4" s="8">
        <f>MROUND(AH5/(SUM(J5:AG5)/SUM(J4:AG4)),25)</f>
        <v>4775</v>
      </c>
      <c r="AI4" s="8">
        <f t="shared" ref="AI4" si="3">MROUND(AI5/(SUM(K5:AH5)/SUM(K4:AH4)),25)</f>
        <v>4925</v>
      </c>
      <c r="AJ4" s="8">
        <f t="shared" ref="AJ4:AN4" si="4">MROUND(AJ5/(SUM(L5:AI5)/SUM(L4:AI4)),25)</f>
        <v>4975</v>
      </c>
      <c r="AK4" s="8">
        <f t="shared" si="4"/>
        <v>5025</v>
      </c>
      <c r="AL4" s="8">
        <f t="shared" si="4"/>
        <v>5100</v>
      </c>
      <c r="AM4" s="8">
        <f t="shared" si="4"/>
        <v>5175</v>
      </c>
      <c r="AN4" s="8">
        <f t="shared" si="4"/>
        <v>5200</v>
      </c>
      <c r="AO4" s="275" t="s">
        <v>312</v>
      </c>
      <c r="AP4" s="201"/>
    </row>
    <row r="5" spans="1:43" ht="15.75">
      <c r="A5" s="3" t="s">
        <v>2</v>
      </c>
      <c r="B5" s="207">
        <v>4390</v>
      </c>
      <c r="C5" s="207">
        <v>4401</v>
      </c>
      <c r="D5" s="207">
        <v>4169</v>
      </c>
      <c r="E5" s="207">
        <v>4279</v>
      </c>
      <c r="F5" s="207">
        <v>4082</v>
      </c>
      <c r="G5" s="207">
        <v>4098</v>
      </c>
      <c r="H5" s="207">
        <v>4302</v>
      </c>
      <c r="I5" s="207">
        <v>3583</v>
      </c>
      <c r="J5" s="207">
        <v>3574</v>
      </c>
      <c r="K5" s="207">
        <v>3471</v>
      </c>
      <c r="L5" s="207">
        <v>4180</v>
      </c>
      <c r="M5" s="207">
        <v>3682</v>
      </c>
      <c r="N5" s="207">
        <v>3618</v>
      </c>
      <c r="O5" s="207">
        <v>4013</v>
      </c>
      <c r="P5" s="207">
        <v>3504</v>
      </c>
      <c r="Q5" s="207">
        <v>3492.49</v>
      </c>
      <c r="R5" s="207">
        <v>3918.93</v>
      </c>
      <c r="S5" s="207">
        <v>3782.139999999999</v>
      </c>
      <c r="T5" s="207">
        <v>4367.57</v>
      </c>
      <c r="U5" s="207">
        <v>4312.63</v>
      </c>
      <c r="V5" s="207">
        <v>4623.2300000000005</v>
      </c>
      <c r="W5" s="207">
        <v>4266.04</v>
      </c>
      <c r="X5" s="7">
        <v>4197.5999999999995</v>
      </c>
      <c r="Y5" s="7">
        <v>4133.1299999999992</v>
      </c>
      <c r="Z5" s="7">
        <v>4311.6400000000003</v>
      </c>
      <c r="AA5" s="276">
        <v>4025.6499999999996</v>
      </c>
      <c r="AB5" s="276">
        <v>4337.8600000000006</v>
      </c>
      <c r="AC5" s="276">
        <v>4395.6800000000012</v>
      </c>
      <c r="AD5" s="276">
        <v>4368.7699999999995</v>
      </c>
      <c r="AE5" s="276">
        <v>4933.76</v>
      </c>
      <c r="AF5" s="276">
        <v>4687.59</v>
      </c>
      <c r="AG5" s="276">
        <v>4876.8900000000003</v>
      </c>
      <c r="AH5" s="277">
        <v>4623.4866666666676</v>
      </c>
      <c r="AI5" s="277">
        <f t="shared" ref="AI5:AN5" si="5">MROUND(FORECAST(AI45,J5:AH5,J45:AH45),5)</f>
        <v>4780</v>
      </c>
      <c r="AJ5" s="277">
        <f t="shared" si="5"/>
        <v>4825</v>
      </c>
      <c r="AK5" s="277">
        <f t="shared" si="5"/>
        <v>4865</v>
      </c>
      <c r="AL5" s="277">
        <f t="shared" si="5"/>
        <v>4955</v>
      </c>
      <c r="AM5" s="277">
        <f t="shared" si="5"/>
        <v>5010</v>
      </c>
      <c r="AN5" s="277">
        <f t="shared" si="5"/>
        <v>5055</v>
      </c>
      <c r="AO5" s="212"/>
      <c r="AP5" s="278"/>
    </row>
    <row r="6" spans="1:43" s="219" customFormat="1" ht="15.75">
      <c r="A6" s="214" t="s">
        <v>214</v>
      </c>
      <c r="B6" s="215">
        <f>B5/B4</f>
        <v>0.97</v>
      </c>
      <c r="C6" s="215">
        <f t="shared" ref="C6:AM6" si="6">C5/C4</f>
        <v>0.97</v>
      </c>
      <c r="D6" s="215">
        <f t="shared" si="6"/>
        <v>0.97</v>
      </c>
      <c r="E6" s="215">
        <f t="shared" si="6"/>
        <v>0.97000000000000008</v>
      </c>
      <c r="F6" s="215">
        <f t="shared" si="6"/>
        <v>0.97</v>
      </c>
      <c r="G6" s="215">
        <f t="shared" si="6"/>
        <v>0.97</v>
      </c>
      <c r="H6" s="215">
        <f t="shared" si="6"/>
        <v>0.97</v>
      </c>
      <c r="I6" s="215">
        <f t="shared" si="6"/>
        <v>0.97</v>
      </c>
      <c r="J6" s="215">
        <f t="shared" si="6"/>
        <v>0.97</v>
      </c>
      <c r="K6" s="215">
        <f t="shared" si="6"/>
        <v>0.97000000000000008</v>
      </c>
      <c r="L6" s="215">
        <f t="shared" si="6"/>
        <v>0.97</v>
      </c>
      <c r="M6" s="215">
        <f t="shared" si="6"/>
        <v>0.97</v>
      </c>
      <c r="N6" s="215">
        <f t="shared" si="6"/>
        <v>0.97</v>
      </c>
      <c r="O6" s="215">
        <f t="shared" si="6"/>
        <v>0.97</v>
      </c>
      <c r="P6" s="215">
        <f t="shared" si="6"/>
        <v>0.97</v>
      </c>
      <c r="Q6" s="215">
        <f t="shared" si="6"/>
        <v>0.97</v>
      </c>
      <c r="R6" s="215">
        <f t="shared" si="6"/>
        <v>0.97</v>
      </c>
      <c r="S6" s="215">
        <f t="shared" si="6"/>
        <v>0.97</v>
      </c>
      <c r="T6" s="215">
        <f t="shared" si="6"/>
        <v>0.97</v>
      </c>
      <c r="U6" s="215">
        <f t="shared" si="6"/>
        <v>0.96999999999999986</v>
      </c>
      <c r="V6" s="215">
        <f t="shared" si="6"/>
        <v>0.97000000000000008</v>
      </c>
      <c r="W6" s="215">
        <f t="shared" si="6"/>
        <v>0.97000000000000008</v>
      </c>
      <c r="X6" s="279">
        <f t="shared" si="6"/>
        <v>0.97</v>
      </c>
      <c r="Y6" s="279">
        <f t="shared" si="6"/>
        <v>0.97</v>
      </c>
      <c r="Z6" s="279">
        <f t="shared" si="6"/>
        <v>0.97</v>
      </c>
      <c r="AA6" s="279">
        <f t="shared" si="6"/>
        <v>0.97003614457831322</v>
      </c>
      <c r="AB6" s="279">
        <f t="shared" si="6"/>
        <v>0.96935418994413425</v>
      </c>
      <c r="AC6" s="279">
        <f t="shared" si="6"/>
        <v>0.97142099447513841</v>
      </c>
      <c r="AD6" s="279">
        <f t="shared" si="6"/>
        <v>0.97083777777777769</v>
      </c>
      <c r="AE6" s="279">
        <f t="shared" si="6"/>
        <v>0.97216945812807887</v>
      </c>
      <c r="AF6" s="279">
        <f t="shared" si="6"/>
        <v>0.97152124352331615</v>
      </c>
      <c r="AG6" s="279">
        <f t="shared" si="6"/>
        <v>0.97052537313432841</v>
      </c>
      <c r="AH6" s="280">
        <f t="shared" si="6"/>
        <v>0.96826945898778383</v>
      </c>
      <c r="AI6" s="280">
        <f t="shared" si="6"/>
        <v>0.97055837563451774</v>
      </c>
      <c r="AJ6" s="280">
        <f t="shared" si="6"/>
        <v>0.96984924623115576</v>
      </c>
      <c r="AK6" s="280">
        <f t="shared" si="6"/>
        <v>0.96815920398009947</v>
      </c>
      <c r="AL6" s="280">
        <f t="shared" si="6"/>
        <v>0.97156862745098038</v>
      </c>
      <c r="AM6" s="280">
        <f t="shared" si="6"/>
        <v>0.96811594202898554</v>
      </c>
      <c r="AN6" s="281"/>
      <c r="AO6" s="281"/>
      <c r="AP6" s="281"/>
    </row>
    <row r="7" spans="1:43" ht="15.75">
      <c r="A7" s="3" t="s">
        <v>215</v>
      </c>
      <c r="B7" s="23">
        <f t="shared" ref="B7:AG7" si="7">B9/B5</f>
        <v>1.2514806378132119</v>
      </c>
      <c r="C7" s="23">
        <f t="shared" si="7"/>
        <v>1.4024085435128379</v>
      </c>
      <c r="D7" s="23">
        <f t="shared" si="7"/>
        <v>1.3612377068841448</v>
      </c>
      <c r="E7" s="23">
        <f t="shared" si="7"/>
        <v>1.5251226922178078</v>
      </c>
      <c r="F7" s="23">
        <f t="shared" si="7"/>
        <v>1.4862812346888781</v>
      </c>
      <c r="G7" s="23">
        <f t="shared" si="7"/>
        <v>1.4109321620302586</v>
      </c>
      <c r="H7" s="23">
        <f t="shared" si="7"/>
        <v>1.4267782426778242</v>
      </c>
      <c r="I7" s="23">
        <f t="shared" si="7"/>
        <v>1.4432040189785096</v>
      </c>
      <c r="J7" s="23">
        <f t="shared" si="7"/>
        <v>1.4031897034135423</v>
      </c>
      <c r="K7" s="23">
        <f t="shared" si="7"/>
        <v>1.5113800057620281</v>
      </c>
      <c r="L7" s="23">
        <f t="shared" si="7"/>
        <v>1.4889952153110049</v>
      </c>
      <c r="M7" s="23">
        <f t="shared" si="7"/>
        <v>1.7743074416078219</v>
      </c>
      <c r="N7" s="23">
        <f t="shared" si="7"/>
        <v>1.6683250414593698</v>
      </c>
      <c r="O7" s="23">
        <f t="shared" si="7"/>
        <v>1.6406678295539496</v>
      </c>
      <c r="P7" s="23">
        <f t="shared" si="7"/>
        <v>1.391509703196347</v>
      </c>
      <c r="Q7" s="23">
        <f t="shared" si="7"/>
        <v>2.0677539520514019</v>
      </c>
      <c r="R7" s="23">
        <f t="shared" si="7"/>
        <v>1.798261260088851</v>
      </c>
      <c r="S7" s="23">
        <f t="shared" si="7"/>
        <v>1.844080335471453</v>
      </c>
      <c r="T7" s="23">
        <f t="shared" si="7"/>
        <v>1.9596068294268896</v>
      </c>
      <c r="U7" s="23">
        <f t="shared" si="7"/>
        <v>1.6691763494665668</v>
      </c>
      <c r="V7" s="23">
        <f t="shared" si="7"/>
        <v>2.0044233144360111</v>
      </c>
      <c r="W7" s="23">
        <f t="shared" si="7"/>
        <v>2.1798459461233373</v>
      </c>
      <c r="X7" s="10">
        <f t="shared" si="7"/>
        <v>1.8781375071469411</v>
      </c>
      <c r="Y7" s="10">
        <f t="shared" si="7"/>
        <v>2.1118595350255136</v>
      </c>
      <c r="Z7" s="10">
        <f t="shared" si="7"/>
        <v>2.4127501368388824</v>
      </c>
      <c r="AA7" s="10">
        <f t="shared" si="7"/>
        <v>2.4772421844919461</v>
      </c>
      <c r="AB7" s="10">
        <f t="shared" si="7"/>
        <v>2.3615699907327574</v>
      </c>
      <c r="AC7" s="10">
        <f t="shared" si="7"/>
        <v>2.0477446037928146</v>
      </c>
      <c r="AD7" s="10">
        <f t="shared" si="7"/>
        <v>2.3724915708540388</v>
      </c>
      <c r="AE7" s="10">
        <f t="shared" si="7"/>
        <v>1.8853126216111042</v>
      </c>
      <c r="AF7" s="10">
        <f t="shared" si="7"/>
        <v>2.0904579965397994</v>
      </c>
      <c r="AG7" s="10">
        <f t="shared" si="7"/>
        <v>1.6501417911824952</v>
      </c>
      <c r="AH7" s="11">
        <f>FORECAST(AH45,S7:AG7,S45:AG45)-0.02</f>
        <v>2.126316099981636</v>
      </c>
      <c r="AI7" s="11">
        <f>FORECAST(AI45,T7:AH7,T45:AH45)</f>
        <v>2.1277608082014368</v>
      </c>
      <c r="AJ7" s="11">
        <f>FORECAST(AJ45,U7:AI7,U45:AI45)+0.02</f>
        <v>2.1402311824580571</v>
      </c>
      <c r="AK7" s="11">
        <f>FORECAST(AK45,V7:AJ7,V45:AJ45)+0.09</f>
        <v>2.1542005127483552</v>
      </c>
      <c r="AL7" s="11">
        <f>FORECAST(AL45,W7:AK7,W45:AK45)+0.105</f>
        <v>2.1577143683113635</v>
      </c>
      <c r="AM7" s="11">
        <f>FORECAST(AM45,X7:AL7,X45:AL45)+0.1</f>
        <v>2.1662876629173398</v>
      </c>
      <c r="AN7" s="282"/>
      <c r="AO7" s="282"/>
      <c r="AP7" s="282"/>
    </row>
    <row r="8" spans="1:43" ht="15.75">
      <c r="A8" s="221" t="s">
        <v>313</v>
      </c>
      <c r="B8" s="13">
        <v>153.05799999999999</v>
      </c>
      <c r="C8" s="13">
        <f>B17</f>
        <v>119.82299999999999</v>
      </c>
      <c r="D8" s="13">
        <f t="shared" ref="D8:AM8" si="8">C17</f>
        <v>68.218999999999994</v>
      </c>
      <c r="E8" s="13">
        <f t="shared" si="8"/>
        <v>191.995</v>
      </c>
      <c r="F8" s="13">
        <f t="shared" si="8"/>
        <v>145.43299999999999</v>
      </c>
      <c r="G8" s="13">
        <f t="shared" si="8"/>
        <v>92.242999999999995</v>
      </c>
      <c r="H8" s="13">
        <f t="shared" si="8"/>
        <v>60.849999999999994</v>
      </c>
      <c r="I8" s="13">
        <f t="shared" si="8"/>
        <v>196.59800000000001</v>
      </c>
      <c r="J8" s="13">
        <f t="shared" si="8"/>
        <v>474.49200000000002</v>
      </c>
      <c r="K8" s="13">
        <f t="shared" si="8"/>
        <v>177.739</v>
      </c>
      <c r="L8" s="13">
        <f t="shared" si="8"/>
        <v>536.07600000000002</v>
      </c>
      <c r="M8" s="13">
        <f t="shared" si="8"/>
        <v>181.994</v>
      </c>
      <c r="N8" s="13">
        <f t="shared" si="8"/>
        <v>39.167999999999999</v>
      </c>
      <c r="O8" s="13">
        <f t="shared" si="8"/>
        <v>81.569999999999993</v>
      </c>
      <c r="P8" s="13">
        <f t="shared" si="8"/>
        <v>8.6020000000000003</v>
      </c>
      <c r="Q8" s="13">
        <f t="shared" si="8"/>
        <v>15.279</v>
      </c>
      <c r="R8" s="13">
        <f t="shared" si="8"/>
        <v>388.68299999999999</v>
      </c>
      <c r="S8" s="13">
        <f t="shared" si="8"/>
        <v>394.54300000000001</v>
      </c>
      <c r="T8" s="13">
        <f t="shared" si="8"/>
        <v>143.672</v>
      </c>
      <c r="U8" s="13">
        <f t="shared" si="8"/>
        <v>197.46799999999999</v>
      </c>
      <c r="V8" s="13">
        <f t="shared" si="8"/>
        <v>160.124</v>
      </c>
      <c r="W8" s="13">
        <f t="shared" si="8"/>
        <v>100.304</v>
      </c>
      <c r="X8" s="14">
        <f t="shared" si="8"/>
        <v>177.059</v>
      </c>
      <c r="Y8" s="14">
        <f t="shared" si="8"/>
        <v>328.11599999999999</v>
      </c>
      <c r="Z8" s="14">
        <f t="shared" si="8"/>
        <v>871</v>
      </c>
      <c r="AA8" s="14">
        <f t="shared" si="8"/>
        <v>937</v>
      </c>
      <c r="AB8" s="14">
        <f t="shared" si="8"/>
        <v>891</v>
      </c>
      <c r="AC8" s="14">
        <f t="shared" si="8"/>
        <v>825</v>
      </c>
      <c r="AD8" s="14">
        <f t="shared" si="8"/>
        <v>401</v>
      </c>
      <c r="AE8" s="14">
        <f t="shared" si="8"/>
        <v>692</v>
      </c>
      <c r="AF8" s="14">
        <f t="shared" si="8"/>
        <v>324</v>
      </c>
      <c r="AG8" s="14">
        <f t="shared" si="8"/>
        <v>678</v>
      </c>
      <c r="AH8" s="15">
        <f t="shared" si="8"/>
        <v>600</v>
      </c>
      <c r="AI8" s="15">
        <f t="shared" si="8"/>
        <v>425</v>
      </c>
      <c r="AJ8" s="15">
        <f t="shared" si="8"/>
        <v>425</v>
      </c>
      <c r="AK8" s="15">
        <f t="shared" si="8"/>
        <v>500</v>
      </c>
      <c r="AL8" s="15">
        <f t="shared" si="8"/>
        <v>600</v>
      </c>
      <c r="AM8" s="15">
        <f t="shared" si="8"/>
        <v>625</v>
      </c>
      <c r="AN8" s="223"/>
      <c r="AO8" s="223"/>
      <c r="AP8" s="282"/>
    </row>
    <row r="9" spans="1:43" ht="15.75">
      <c r="A9" s="3" t="s">
        <v>5</v>
      </c>
      <c r="B9" s="6">
        <v>5494</v>
      </c>
      <c r="C9" s="6">
        <v>6172</v>
      </c>
      <c r="D9" s="6">
        <v>5675</v>
      </c>
      <c r="E9" s="6">
        <v>6526</v>
      </c>
      <c r="F9" s="6">
        <v>6067</v>
      </c>
      <c r="G9" s="6">
        <v>5782</v>
      </c>
      <c r="H9" s="6">
        <v>6138</v>
      </c>
      <c r="I9" s="6">
        <v>5171</v>
      </c>
      <c r="J9" s="6">
        <v>5015</v>
      </c>
      <c r="K9" s="6">
        <v>5246</v>
      </c>
      <c r="L9" s="6">
        <v>6224</v>
      </c>
      <c r="M9" s="6">
        <v>6533</v>
      </c>
      <c r="N9" s="6">
        <v>6036</v>
      </c>
      <c r="O9" s="6">
        <v>6584</v>
      </c>
      <c r="P9" s="6">
        <v>4875.8500000000004</v>
      </c>
      <c r="Q9" s="6">
        <v>7221.61</v>
      </c>
      <c r="R9" s="6">
        <v>7047.26</v>
      </c>
      <c r="S9" s="6">
        <v>6974.57</v>
      </c>
      <c r="T9" s="6">
        <v>8558.7199999999993</v>
      </c>
      <c r="U9" s="6">
        <v>7198.54</v>
      </c>
      <c r="V9" s="6">
        <v>9266.91</v>
      </c>
      <c r="W9" s="6">
        <v>9299.3100000000013</v>
      </c>
      <c r="X9" s="7">
        <v>7883.6699999999992</v>
      </c>
      <c r="Y9" s="7">
        <v>8728.59</v>
      </c>
      <c r="Z9" s="7">
        <v>10402.91</v>
      </c>
      <c r="AA9" s="7">
        <v>9972.510000000002</v>
      </c>
      <c r="AB9" s="7">
        <v>10244.16</v>
      </c>
      <c r="AC9" s="7">
        <v>9001.2300000000014</v>
      </c>
      <c r="AD9" s="7">
        <v>10364.869999999999</v>
      </c>
      <c r="AE9" s="7">
        <v>9301.6800000000021</v>
      </c>
      <c r="AF9" s="7">
        <v>9799.2099999999991</v>
      </c>
      <c r="AG9" s="7">
        <v>8047.5599999999995</v>
      </c>
      <c r="AH9" s="8">
        <f>MROUND(AH5*AH7,50)</f>
        <v>9850</v>
      </c>
      <c r="AI9" s="8">
        <f t="shared" ref="AI9:AM9" si="9">MROUND(AI5*AI7,50)</f>
        <v>10150</v>
      </c>
      <c r="AJ9" s="8">
        <f t="shared" si="9"/>
        <v>10350</v>
      </c>
      <c r="AK9" s="8">
        <f t="shared" si="9"/>
        <v>10500</v>
      </c>
      <c r="AL9" s="8">
        <f t="shared" si="9"/>
        <v>10700</v>
      </c>
      <c r="AM9" s="8">
        <f t="shared" si="9"/>
        <v>10850</v>
      </c>
      <c r="AN9" s="212"/>
      <c r="AO9" s="212"/>
      <c r="AP9" s="278"/>
    </row>
    <row r="10" spans="1:43" ht="15.75">
      <c r="A10" s="3" t="s">
        <v>6</v>
      </c>
      <c r="B10" s="6">
        <v>1486</v>
      </c>
      <c r="C10" s="6">
        <v>1610</v>
      </c>
      <c r="D10" s="6">
        <v>2518</v>
      </c>
      <c r="E10" s="6">
        <v>2397</v>
      </c>
      <c r="F10" s="6">
        <f t="shared" ref="F10:AF10" si="10">F60</f>
        <v>1782.6519999999998</v>
      </c>
      <c r="G10" s="6">
        <f t="shared" si="10"/>
        <v>2207.181</v>
      </c>
      <c r="H10" s="6">
        <f t="shared" si="10"/>
        <v>1363.7330000000002</v>
      </c>
      <c r="I10" s="6">
        <f t="shared" si="10"/>
        <v>1761.0359999999998</v>
      </c>
      <c r="J10" s="6">
        <f t="shared" si="10"/>
        <v>782.65600000000006</v>
      </c>
      <c r="K10" s="6">
        <f t="shared" si="10"/>
        <v>734.82100000000003</v>
      </c>
      <c r="L10" s="6">
        <f t="shared" si="10"/>
        <v>1018.6450000000001</v>
      </c>
      <c r="M10" s="6">
        <f t="shared" si="10"/>
        <v>435.66200000000003</v>
      </c>
      <c r="N10" s="6">
        <f t="shared" si="10"/>
        <v>601.76800000000003</v>
      </c>
      <c r="O10" s="6">
        <f t="shared" si="10"/>
        <v>593.21100000000001</v>
      </c>
      <c r="P10" s="6">
        <f t="shared" si="10"/>
        <v>299.10199999999998</v>
      </c>
      <c r="Q10" s="6">
        <f t="shared" si="10"/>
        <v>615.55000000000007</v>
      </c>
      <c r="R10" s="6">
        <f t="shared" si="10"/>
        <v>293.89999999999992</v>
      </c>
      <c r="S10" s="6">
        <f t="shared" si="10"/>
        <v>367.06799999999993</v>
      </c>
      <c r="T10" s="6">
        <f t="shared" si="10"/>
        <v>244.05799999999999</v>
      </c>
      <c r="U10" s="6">
        <f t="shared" si="10"/>
        <v>191.97500000000002</v>
      </c>
      <c r="V10" s="6">
        <f t="shared" si="10"/>
        <v>344.41299999999995</v>
      </c>
      <c r="W10" s="6">
        <f t="shared" si="10"/>
        <v>252.98699999999999</v>
      </c>
      <c r="X10" s="7">
        <f t="shared" si="10"/>
        <v>503.34600000000006</v>
      </c>
      <c r="Y10" s="7">
        <f t="shared" si="10"/>
        <v>742.32299999999987</v>
      </c>
      <c r="Z10" s="7">
        <f t="shared" si="10"/>
        <v>548.09400000000005</v>
      </c>
      <c r="AA10" s="7">
        <f t="shared" si="10"/>
        <v>531.18299999999999</v>
      </c>
      <c r="AB10" s="7">
        <f t="shared" si="10"/>
        <v>969.02896899999985</v>
      </c>
      <c r="AC10" s="7">
        <f t="shared" si="10"/>
        <v>817.10107599999992</v>
      </c>
      <c r="AD10" s="7">
        <f t="shared" si="10"/>
        <v>1147.9380720000001</v>
      </c>
      <c r="AE10" s="7">
        <f t="shared" si="10"/>
        <v>2183.3956139999996</v>
      </c>
      <c r="AF10" s="7">
        <f t="shared" si="10"/>
        <v>765.187636</v>
      </c>
      <c r="AG10" s="8">
        <v>750</v>
      </c>
      <c r="AH10" s="8">
        <v>650</v>
      </c>
      <c r="AI10" s="8">
        <v>650</v>
      </c>
      <c r="AJ10" s="8">
        <v>650</v>
      </c>
      <c r="AK10" s="8">
        <v>650</v>
      </c>
      <c r="AL10" s="8">
        <v>650</v>
      </c>
      <c r="AM10" s="8">
        <v>650</v>
      </c>
      <c r="AN10" s="212"/>
      <c r="AO10" s="223"/>
      <c r="AP10" s="282"/>
    </row>
    <row r="11" spans="1:43" ht="15.75">
      <c r="A11" s="221" t="s">
        <v>7</v>
      </c>
      <c r="B11" s="13">
        <f>SUM(B8:B10)</f>
        <v>7133.058</v>
      </c>
      <c r="C11" s="13">
        <f t="shared" ref="C11:Z11" si="11">SUM(C8:C10)</f>
        <v>7901.8230000000003</v>
      </c>
      <c r="D11" s="13">
        <f t="shared" si="11"/>
        <v>8261.219000000001</v>
      </c>
      <c r="E11" s="13">
        <f t="shared" si="11"/>
        <v>9114.994999999999</v>
      </c>
      <c r="F11" s="13">
        <f t="shared" si="11"/>
        <v>7995.085</v>
      </c>
      <c r="G11" s="13">
        <f t="shared" si="11"/>
        <v>8081.4240000000009</v>
      </c>
      <c r="H11" s="13">
        <f t="shared" si="11"/>
        <v>7562.5830000000005</v>
      </c>
      <c r="I11" s="13">
        <f t="shared" si="11"/>
        <v>7128.634</v>
      </c>
      <c r="J11" s="13">
        <f t="shared" si="11"/>
        <v>6272.1480000000001</v>
      </c>
      <c r="K11" s="13">
        <f t="shared" si="11"/>
        <v>6158.5599999999995</v>
      </c>
      <c r="L11" s="13">
        <f t="shared" si="11"/>
        <v>7778.7210000000005</v>
      </c>
      <c r="M11" s="13">
        <f t="shared" si="11"/>
        <v>7150.6559999999999</v>
      </c>
      <c r="N11" s="13">
        <f t="shared" si="11"/>
        <v>6676.9359999999997</v>
      </c>
      <c r="O11" s="13">
        <f t="shared" si="11"/>
        <v>7258.7809999999999</v>
      </c>
      <c r="P11" s="13">
        <f t="shared" si="11"/>
        <v>5183.5540000000001</v>
      </c>
      <c r="Q11" s="13">
        <f t="shared" si="11"/>
        <v>7852.4390000000003</v>
      </c>
      <c r="R11" s="13">
        <f t="shared" si="11"/>
        <v>7729.8429999999998</v>
      </c>
      <c r="S11" s="13">
        <f t="shared" si="11"/>
        <v>7736.1809999999996</v>
      </c>
      <c r="T11" s="13">
        <f t="shared" si="11"/>
        <v>8946.4500000000007</v>
      </c>
      <c r="U11" s="13">
        <f t="shared" si="11"/>
        <v>7587.9830000000002</v>
      </c>
      <c r="V11" s="13">
        <f t="shared" si="11"/>
        <v>9771.4470000000001</v>
      </c>
      <c r="W11" s="13">
        <f t="shared" si="11"/>
        <v>9652.6010000000006</v>
      </c>
      <c r="X11" s="14">
        <f t="shared" si="11"/>
        <v>8564.0749999999989</v>
      </c>
      <c r="Y11" s="14">
        <f t="shared" si="11"/>
        <v>9799.0290000000005</v>
      </c>
      <c r="Z11" s="14">
        <f t="shared" si="11"/>
        <v>11822.004000000001</v>
      </c>
      <c r="AA11" s="14">
        <f>SUM(AA8:AA10)</f>
        <v>11440.693000000003</v>
      </c>
      <c r="AB11" s="14">
        <f>SUM(AB8:AB10)</f>
        <v>12104.188968999999</v>
      </c>
      <c r="AC11" s="14">
        <f>SUM(AC8:AC10)</f>
        <v>10643.331076000002</v>
      </c>
      <c r="AD11" s="14">
        <f>SUM(AD8:AD10)</f>
        <v>11913.808072</v>
      </c>
      <c r="AE11" s="14">
        <f>SUM(AE8:AE10)</f>
        <v>12177.075614000001</v>
      </c>
      <c r="AF11" s="14">
        <f t="shared" ref="AF11:AM11" si="12">SUM(AF8:AF10)</f>
        <v>10888.397636</v>
      </c>
      <c r="AG11" s="15">
        <f t="shared" si="12"/>
        <v>9475.56</v>
      </c>
      <c r="AH11" s="15">
        <f t="shared" si="12"/>
        <v>11100</v>
      </c>
      <c r="AI11" s="15">
        <f t="shared" si="12"/>
        <v>11225</v>
      </c>
      <c r="AJ11" s="15">
        <f t="shared" si="12"/>
        <v>11425</v>
      </c>
      <c r="AK11" s="15">
        <f t="shared" si="12"/>
        <v>11650</v>
      </c>
      <c r="AL11" s="15">
        <f t="shared" si="12"/>
        <v>11950</v>
      </c>
      <c r="AM11" s="15">
        <f t="shared" si="12"/>
        <v>12125</v>
      </c>
      <c r="AN11" s="212"/>
      <c r="AO11" s="212"/>
      <c r="AP11" s="278"/>
    </row>
    <row r="12" spans="1:43" ht="16.5" thickBot="1">
      <c r="A12" s="3" t="s">
        <v>8</v>
      </c>
      <c r="B12" s="6">
        <f>B92</f>
        <v>5995.9999999999991</v>
      </c>
      <c r="C12" s="6">
        <f t="shared" ref="C12:X12" si="13">C92</f>
        <v>6726</v>
      </c>
      <c r="D12" s="6">
        <f t="shared" si="13"/>
        <v>7131.0000000000009</v>
      </c>
      <c r="E12" s="6">
        <f t="shared" si="13"/>
        <v>7824</v>
      </c>
      <c r="F12" s="6">
        <f t="shared" si="13"/>
        <v>7292.0000000000009</v>
      </c>
      <c r="G12" s="6">
        <f t="shared" si="13"/>
        <v>7256.0000000000009</v>
      </c>
      <c r="H12" s="6">
        <f t="shared" si="13"/>
        <v>6789</v>
      </c>
      <c r="I12" s="6">
        <f t="shared" si="13"/>
        <v>6237</v>
      </c>
      <c r="J12" s="6">
        <f t="shared" si="13"/>
        <v>5019.9999999999991</v>
      </c>
      <c r="K12" s="6">
        <f t="shared" si="13"/>
        <v>5055</v>
      </c>
      <c r="L12" s="6">
        <f t="shared" si="13"/>
        <v>6234</v>
      </c>
      <c r="M12" s="6">
        <f t="shared" si="13"/>
        <v>5520</v>
      </c>
      <c r="N12" s="6">
        <f t="shared" si="13"/>
        <v>5291</v>
      </c>
      <c r="O12" s="6">
        <f t="shared" si="13"/>
        <v>5482</v>
      </c>
      <c r="P12" s="6">
        <f t="shared" si="13"/>
        <v>4289</v>
      </c>
      <c r="Q12" s="6">
        <f t="shared" si="13"/>
        <v>5890</v>
      </c>
      <c r="R12" s="6">
        <f t="shared" si="13"/>
        <v>5905</v>
      </c>
      <c r="S12" s="6">
        <f t="shared" si="13"/>
        <v>5932</v>
      </c>
      <c r="T12" s="6">
        <f t="shared" si="13"/>
        <v>6852</v>
      </c>
      <c r="U12" s="6">
        <f t="shared" si="13"/>
        <v>6033</v>
      </c>
      <c r="V12" s="6">
        <f t="shared" si="13"/>
        <v>7692</v>
      </c>
      <c r="W12" s="6">
        <f t="shared" si="13"/>
        <v>7600</v>
      </c>
      <c r="X12" s="7">
        <f t="shared" si="13"/>
        <v>6994.7645055741496</v>
      </c>
      <c r="Y12" s="7">
        <v>7904</v>
      </c>
      <c r="Z12" s="7">
        <v>8906</v>
      </c>
      <c r="AA12" s="7">
        <f t="shared" ref="AA12:AB12" si="14">AA92</f>
        <v>8901.4190753198527</v>
      </c>
      <c r="AB12" s="7">
        <f t="shared" si="14"/>
        <v>8736</v>
      </c>
      <c r="AC12" s="7">
        <f>AC92</f>
        <v>8056</v>
      </c>
      <c r="AD12" s="7">
        <f>AD92</f>
        <v>9482</v>
      </c>
      <c r="AE12" s="7">
        <v>9500</v>
      </c>
      <c r="AF12" s="7">
        <v>9200</v>
      </c>
      <c r="AG12" s="8">
        <v>8050</v>
      </c>
      <c r="AH12" s="8">
        <v>9500</v>
      </c>
      <c r="AI12" s="8">
        <v>9500</v>
      </c>
      <c r="AJ12" s="8">
        <v>9600</v>
      </c>
      <c r="AK12" s="8">
        <v>9700</v>
      </c>
      <c r="AL12" s="8">
        <v>9800</v>
      </c>
      <c r="AM12" s="8">
        <v>10000</v>
      </c>
      <c r="AN12" s="8">
        <v>9250</v>
      </c>
      <c r="AO12" s="212"/>
      <c r="AP12" s="278"/>
    </row>
    <row r="13" spans="1:43" ht="16.5" thickBot="1">
      <c r="A13" s="283" t="s">
        <v>9</v>
      </c>
      <c r="B13" s="6">
        <v>340</v>
      </c>
      <c r="C13" s="6">
        <v>493</v>
      </c>
      <c r="D13" s="6">
        <v>487</v>
      </c>
      <c r="E13" s="6">
        <v>421</v>
      </c>
      <c r="F13" s="6">
        <f t="shared" ref="F13:AF13" si="15">F76</f>
        <v>97.27300000000001</v>
      </c>
      <c r="G13" s="6">
        <f t="shared" si="15"/>
        <v>103.744</v>
      </c>
      <c r="H13" s="6">
        <f t="shared" si="15"/>
        <v>177.72800000000001</v>
      </c>
      <c r="I13" s="6">
        <f t="shared" si="15"/>
        <v>62.201000000000001</v>
      </c>
      <c r="J13" s="6">
        <f t="shared" si="15"/>
        <v>146.04399999999998</v>
      </c>
      <c r="K13" s="6">
        <f t="shared" si="15"/>
        <v>116.515</v>
      </c>
      <c r="L13" s="6">
        <f t="shared" si="15"/>
        <v>386.29899999999998</v>
      </c>
      <c r="M13" s="6">
        <f t="shared" si="15"/>
        <v>601.33799999999997</v>
      </c>
      <c r="N13" s="6">
        <f t="shared" si="15"/>
        <v>323.09100000000001</v>
      </c>
      <c r="O13" s="6">
        <f t="shared" si="15"/>
        <v>793.35800000000006</v>
      </c>
      <c r="P13" s="6">
        <f t="shared" si="15"/>
        <v>497.49399999999997</v>
      </c>
      <c r="Q13" s="6">
        <f t="shared" si="15"/>
        <v>346.80699999999996</v>
      </c>
      <c r="R13" s="6">
        <f t="shared" si="15"/>
        <v>707.80000000000007</v>
      </c>
      <c r="S13" s="6">
        <f t="shared" si="15"/>
        <v>519.95699999999999</v>
      </c>
      <c r="T13" s="6">
        <f t="shared" si="15"/>
        <v>652.87700000000007</v>
      </c>
      <c r="U13" s="6">
        <f t="shared" si="15"/>
        <v>443.71300000000002</v>
      </c>
      <c r="V13" s="6">
        <f t="shared" si="15"/>
        <v>741.86799999999994</v>
      </c>
      <c r="W13" s="6">
        <f t="shared" si="15"/>
        <v>567.37300000000005</v>
      </c>
      <c r="X13" s="7">
        <f t="shared" si="15"/>
        <v>394.66200000000003</v>
      </c>
      <c r="Y13" s="7">
        <f t="shared" si="15"/>
        <v>410.65600000000001</v>
      </c>
      <c r="Z13" s="7">
        <f t="shared" si="15"/>
        <v>653.07699999999988</v>
      </c>
      <c r="AA13" s="7">
        <f t="shared" si="15"/>
        <v>502.58907900000003</v>
      </c>
      <c r="AB13" s="7">
        <f t="shared" si="15"/>
        <v>566.85189600000001</v>
      </c>
      <c r="AC13" s="7">
        <f t="shared" si="15"/>
        <v>666.26487299999997</v>
      </c>
      <c r="AD13" s="7">
        <f t="shared" si="15"/>
        <v>403.27806500000003</v>
      </c>
      <c r="AE13" s="7">
        <f t="shared" si="15"/>
        <v>572.34791299999995</v>
      </c>
      <c r="AF13" s="7">
        <f t="shared" si="15"/>
        <v>529.60144300000002</v>
      </c>
      <c r="AG13" s="8">
        <v>400</v>
      </c>
      <c r="AH13" s="8">
        <v>550</v>
      </c>
      <c r="AI13" s="8">
        <v>550</v>
      </c>
      <c r="AJ13" s="8">
        <v>550</v>
      </c>
      <c r="AK13" s="8">
        <v>550</v>
      </c>
      <c r="AL13" s="8">
        <v>675</v>
      </c>
      <c r="AM13" s="8">
        <v>700</v>
      </c>
      <c r="AN13" s="223"/>
      <c r="AO13" s="223"/>
      <c r="AP13" s="282"/>
    </row>
    <row r="14" spans="1:43" ht="15.75">
      <c r="A14" s="3" t="s">
        <v>10</v>
      </c>
      <c r="B14" s="6">
        <f>ROUND(C4*0.0065,0)</f>
        <v>29</v>
      </c>
      <c r="C14" s="6">
        <f t="shared" ref="C14:AM14" si="16">ROUND(D4*0.0065,0)</f>
        <v>28</v>
      </c>
      <c r="D14" s="6">
        <f t="shared" si="16"/>
        <v>29</v>
      </c>
      <c r="E14" s="6">
        <f t="shared" si="16"/>
        <v>27</v>
      </c>
      <c r="F14" s="6">
        <f t="shared" si="16"/>
        <v>27</v>
      </c>
      <c r="G14" s="6">
        <f t="shared" si="16"/>
        <v>29</v>
      </c>
      <c r="H14" s="6">
        <f t="shared" si="16"/>
        <v>24</v>
      </c>
      <c r="I14" s="6">
        <f t="shared" si="16"/>
        <v>24</v>
      </c>
      <c r="J14" s="6">
        <f t="shared" si="16"/>
        <v>23</v>
      </c>
      <c r="K14" s="6">
        <f t="shared" si="16"/>
        <v>28</v>
      </c>
      <c r="L14" s="6">
        <f t="shared" si="16"/>
        <v>25</v>
      </c>
      <c r="M14" s="6">
        <f t="shared" si="16"/>
        <v>24</v>
      </c>
      <c r="N14" s="6">
        <f t="shared" si="16"/>
        <v>27</v>
      </c>
      <c r="O14" s="6">
        <f t="shared" si="16"/>
        <v>23</v>
      </c>
      <c r="P14" s="6">
        <f t="shared" si="16"/>
        <v>23</v>
      </c>
      <c r="Q14" s="6">
        <f t="shared" si="16"/>
        <v>26</v>
      </c>
      <c r="R14" s="6">
        <f t="shared" si="16"/>
        <v>25</v>
      </c>
      <c r="S14" s="6">
        <f t="shared" si="16"/>
        <v>29</v>
      </c>
      <c r="T14" s="6">
        <f t="shared" si="16"/>
        <v>29</v>
      </c>
      <c r="U14" s="6">
        <f t="shared" si="16"/>
        <v>31</v>
      </c>
      <c r="V14" s="6">
        <f t="shared" si="16"/>
        <v>29</v>
      </c>
      <c r="W14" s="6">
        <f t="shared" si="16"/>
        <v>28</v>
      </c>
      <c r="X14" s="7">
        <f t="shared" si="16"/>
        <v>28</v>
      </c>
      <c r="Y14" s="7">
        <f t="shared" si="16"/>
        <v>29</v>
      </c>
      <c r="Z14" s="7">
        <f t="shared" si="16"/>
        <v>27</v>
      </c>
      <c r="AA14" s="7">
        <f t="shared" si="16"/>
        <v>29</v>
      </c>
      <c r="AB14" s="7">
        <f t="shared" si="16"/>
        <v>29</v>
      </c>
      <c r="AC14" s="7">
        <f>ROUND(AD4*0.0065,0)</f>
        <v>29</v>
      </c>
      <c r="AD14" s="7">
        <f t="shared" si="16"/>
        <v>33</v>
      </c>
      <c r="AE14" s="7">
        <f t="shared" si="16"/>
        <v>31</v>
      </c>
      <c r="AF14" s="7">
        <f t="shared" si="16"/>
        <v>33</v>
      </c>
      <c r="AG14" s="8">
        <f t="shared" si="16"/>
        <v>31</v>
      </c>
      <c r="AH14" s="8">
        <f t="shared" si="16"/>
        <v>32</v>
      </c>
      <c r="AI14" s="8">
        <f t="shared" si="16"/>
        <v>32</v>
      </c>
      <c r="AJ14" s="8">
        <f t="shared" si="16"/>
        <v>33</v>
      </c>
      <c r="AK14" s="8">
        <f t="shared" si="16"/>
        <v>33</v>
      </c>
      <c r="AL14" s="8">
        <f t="shared" si="16"/>
        <v>34</v>
      </c>
      <c r="AM14" s="8">
        <f t="shared" si="16"/>
        <v>34</v>
      </c>
      <c r="AN14" s="282"/>
      <c r="AO14" s="282"/>
      <c r="AP14" s="282"/>
    </row>
    <row r="15" spans="1:43" ht="15.75">
      <c r="A15" s="3" t="s">
        <v>11</v>
      </c>
      <c r="B15" s="6">
        <f>B16-SUM(B12:B14)</f>
        <v>648.23500000000058</v>
      </c>
      <c r="C15" s="6">
        <f t="shared" ref="C15:AB15" si="17">C16-SUM(C12:C14)</f>
        <v>586.60400000000027</v>
      </c>
      <c r="D15" s="6">
        <f t="shared" si="17"/>
        <v>422.22400000000016</v>
      </c>
      <c r="E15" s="6">
        <f t="shared" si="17"/>
        <v>697.56199999999808</v>
      </c>
      <c r="F15" s="6">
        <f t="shared" si="17"/>
        <v>486.5689999999986</v>
      </c>
      <c r="G15" s="6">
        <f t="shared" si="17"/>
        <v>631.82999999999993</v>
      </c>
      <c r="H15" s="6">
        <f t="shared" si="17"/>
        <v>375.25700000000052</v>
      </c>
      <c r="I15" s="6">
        <f t="shared" si="17"/>
        <v>330.9409999999998</v>
      </c>
      <c r="J15" s="6">
        <f t="shared" si="17"/>
        <v>905.3650000000016</v>
      </c>
      <c r="K15" s="6">
        <f t="shared" si="17"/>
        <v>422.96899999999914</v>
      </c>
      <c r="L15" s="6">
        <f t="shared" si="17"/>
        <v>951.42800000000079</v>
      </c>
      <c r="M15" s="6">
        <f t="shared" si="17"/>
        <v>966.15000000000055</v>
      </c>
      <c r="N15" s="6">
        <f t="shared" si="17"/>
        <v>954.27499999999964</v>
      </c>
      <c r="O15" s="6">
        <f t="shared" si="17"/>
        <v>951.82099999999991</v>
      </c>
      <c r="P15" s="6">
        <f t="shared" si="17"/>
        <v>358.78099999999995</v>
      </c>
      <c r="Q15" s="6">
        <f t="shared" si="17"/>
        <v>1200.9490000000005</v>
      </c>
      <c r="R15" s="6">
        <f t="shared" si="17"/>
        <v>697.5</v>
      </c>
      <c r="S15" s="6">
        <f t="shared" si="17"/>
        <v>1111.5519999999997</v>
      </c>
      <c r="T15" s="6">
        <f t="shared" si="17"/>
        <v>1215.1049999999996</v>
      </c>
      <c r="U15" s="6">
        <f t="shared" si="17"/>
        <v>920.14600000000064</v>
      </c>
      <c r="V15" s="6">
        <f t="shared" si="17"/>
        <v>1208.2749999999996</v>
      </c>
      <c r="W15" s="6">
        <f t="shared" si="17"/>
        <v>1280.1690000000017</v>
      </c>
      <c r="X15" s="7">
        <f t="shared" si="17"/>
        <v>818.53249442584911</v>
      </c>
      <c r="Y15" s="7">
        <f t="shared" si="17"/>
        <v>584.37299999999959</v>
      </c>
      <c r="Z15" s="7">
        <f t="shared" si="17"/>
        <v>1298.9270000000015</v>
      </c>
      <c r="AA15" s="7">
        <f t="shared" si="17"/>
        <v>1116.6848456801508</v>
      </c>
      <c r="AB15" s="7">
        <f t="shared" si="17"/>
        <v>1947.3370729999988</v>
      </c>
      <c r="AC15" s="7">
        <f>AC16-SUM(AC12:AC14)</f>
        <v>1491.0662030000021</v>
      </c>
      <c r="AD15" s="7">
        <f t="shared" ref="AD15:AM15" si="18">AD16-SUM(AD12:AD14)</f>
        <v>1303.5300069999994</v>
      </c>
      <c r="AE15" s="7">
        <f t="shared" si="18"/>
        <v>1749.7277010000016</v>
      </c>
      <c r="AF15" s="7">
        <f t="shared" si="18"/>
        <v>447.79619300000013</v>
      </c>
      <c r="AG15" s="8">
        <f t="shared" si="18"/>
        <v>394.55999999999949</v>
      </c>
      <c r="AH15" s="8">
        <f t="shared" si="18"/>
        <v>593</v>
      </c>
      <c r="AI15" s="8">
        <f t="shared" si="18"/>
        <v>718</v>
      </c>
      <c r="AJ15" s="8">
        <f t="shared" si="18"/>
        <v>742</v>
      </c>
      <c r="AK15" s="8">
        <f t="shared" si="18"/>
        <v>767</v>
      </c>
      <c r="AL15" s="8">
        <f t="shared" si="18"/>
        <v>816</v>
      </c>
      <c r="AM15" s="8">
        <f t="shared" si="18"/>
        <v>741</v>
      </c>
      <c r="AN15" s="284"/>
      <c r="AO15" s="282"/>
      <c r="AP15" s="282"/>
    </row>
    <row r="16" spans="1:43" ht="15.75">
      <c r="A16" s="221" t="s">
        <v>12</v>
      </c>
      <c r="B16" s="13">
        <f t="shared" ref="B16:AB16" si="19">B11-B17</f>
        <v>7013.2349999999997</v>
      </c>
      <c r="C16" s="13">
        <f t="shared" si="19"/>
        <v>7833.6040000000003</v>
      </c>
      <c r="D16" s="13">
        <f t="shared" si="19"/>
        <v>8069.2240000000011</v>
      </c>
      <c r="E16" s="13">
        <f t="shared" si="19"/>
        <v>8969.5619999999981</v>
      </c>
      <c r="F16" s="13">
        <f t="shared" si="19"/>
        <v>7902.8419999999996</v>
      </c>
      <c r="G16" s="13">
        <f t="shared" si="19"/>
        <v>8020.5740000000005</v>
      </c>
      <c r="H16" s="13">
        <f t="shared" si="19"/>
        <v>7365.9850000000006</v>
      </c>
      <c r="I16" s="13">
        <f t="shared" si="19"/>
        <v>6654.1419999999998</v>
      </c>
      <c r="J16" s="13">
        <f t="shared" si="19"/>
        <v>6094.4090000000006</v>
      </c>
      <c r="K16" s="13">
        <f t="shared" si="19"/>
        <v>5622.4839999999995</v>
      </c>
      <c r="L16" s="13">
        <f t="shared" si="19"/>
        <v>7596.7270000000008</v>
      </c>
      <c r="M16" s="13">
        <f t="shared" si="19"/>
        <v>7111.4880000000003</v>
      </c>
      <c r="N16" s="13">
        <f t="shared" si="19"/>
        <v>6595.366</v>
      </c>
      <c r="O16" s="13">
        <f t="shared" si="19"/>
        <v>7250.1790000000001</v>
      </c>
      <c r="P16" s="13">
        <f t="shared" si="19"/>
        <v>5168.2749999999996</v>
      </c>
      <c r="Q16" s="13">
        <f t="shared" si="19"/>
        <v>7463.7560000000003</v>
      </c>
      <c r="R16" s="13">
        <f t="shared" si="19"/>
        <v>7335.3</v>
      </c>
      <c r="S16" s="13">
        <f t="shared" si="19"/>
        <v>7592.509</v>
      </c>
      <c r="T16" s="13">
        <f t="shared" si="19"/>
        <v>8748.982</v>
      </c>
      <c r="U16" s="13">
        <f t="shared" si="19"/>
        <v>7427.8590000000004</v>
      </c>
      <c r="V16" s="13">
        <f t="shared" si="19"/>
        <v>9671.143</v>
      </c>
      <c r="W16" s="13">
        <f t="shared" si="19"/>
        <v>9475.5420000000013</v>
      </c>
      <c r="X16" s="14">
        <f t="shared" si="19"/>
        <v>8235.9589999999989</v>
      </c>
      <c r="Y16" s="14">
        <f t="shared" si="19"/>
        <v>8928.0290000000005</v>
      </c>
      <c r="Z16" s="14">
        <f t="shared" si="19"/>
        <v>10885.004000000001</v>
      </c>
      <c r="AA16" s="14">
        <f t="shared" si="19"/>
        <v>10549.693000000003</v>
      </c>
      <c r="AB16" s="14">
        <f t="shared" si="19"/>
        <v>11279.188968999999</v>
      </c>
      <c r="AC16" s="14">
        <f>AC11-AC17</f>
        <v>10242.331076000002</v>
      </c>
      <c r="AD16" s="14">
        <f t="shared" ref="AD16:AM16" si="20">AD11-AD17</f>
        <v>11221.808072</v>
      </c>
      <c r="AE16" s="14">
        <f t="shared" si="20"/>
        <v>11853.075614000001</v>
      </c>
      <c r="AF16" s="14">
        <f t="shared" si="20"/>
        <v>10210.397636</v>
      </c>
      <c r="AG16" s="15">
        <f t="shared" si="20"/>
        <v>8875.56</v>
      </c>
      <c r="AH16" s="15">
        <f t="shared" si="20"/>
        <v>10675</v>
      </c>
      <c r="AI16" s="15">
        <f t="shared" si="20"/>
        <v>10800</v>
      </c>
      <c r="AJ16" s="15">
        <f t="shared" si="20"/>
        <v>10925</v>
      </c>
      <c r="AK16" s="15">
        <f t="shared" si="20"/>
        <v>11050</v>
      </c>
      <c r="AL16" s="15">
        <f t="shared" si="20"/>
        <v>11325</v>
      </c>
      <c r="AM16" s="15">
        <f t="shared" si="20"/>
        <v>11475</v>
      </c>
      <c r="AO16" s="282"/>
      <c r="AP16" s="282"/>
    </row>
    <row r="17" spans="1:42" ht="15.75">
      <c r="A17" s="3" t="s">
        <v>314</v>
      </c>
      <c r="B17" s="6">
        <v>119.82299999999999</v>
      </c>
      <c r="C17" s="6">
        <v>68.218999999999994</v>
      </c>
      <c r="D17" s="6">
        <v>191.995</v>
      </c>
      <c r="E17" s="6">
        <v>145.43299999999999</v>
      </c>
      <c r="F17" s="6">
        <v>92.242999999999995</v>
      </c>
      <c r="G17" s="6">
        <v>60.849999999999994</v>
      </c>
      <c r="H17" s="6">
        <v>196.59800000000001</v>
      </c>
      <c r="I17" s="6">
        <v>474.49200000000002</v>
      </c>
      <c r="J17" s="6">
        <v>177.739</v>
      </c>
      <c r="K17" s="6">
        <v>536.07600000000002</v>
      </c>
      <c r="L17" s="6">
        <v>181.994</v>
      </c>
      <c r="M17" s="6">
        <v>39.167999999999999</v>
      </c>
      <c r="N17" s="6">
        <v>81.569999999999993</v>
      </c>
      <c r="O17" s="6">
        <v>8.6020000000000003</v>
      </c>
      <c r="P17" s="6">
        <v>15.279</v>
      </c>
      <c r="Q17" s="6">
        <v>388.68299999999999</v>
      </c>
      <c r="R17" s="6">
        <v>394.54300000000001</v>
      </c>
      <c r="S17" s="6">
        <v>143.672</v>
      </c>
      <c r="T17" s="6">
        <v>197.46799999999999</v>
      </c>
      <c r="U17" s="6">
        <v>160.124</v>
      </c>
      <c r="V17" s="6">
        <v>100.304</v>
      </c>
      <c r="W17" s="6">
        <v>177.059</v>
      </c>
      <c r="X17" s="7">
        <v>328.11599999999999</v>
      </c>
      <c r="Y17" s="7">
        <v>871</v>
      </c>
      <c r="Z17" s="7">
        <v>937</v>
      </c>
      <c r="AA17" s="7">
        <v>891</v>
      </c>
      <c r="AB17" s="7">
        <v>825</v>
      </c>
      <c r="AC17" s="7">
        <v>401</v>
      </c>
      <c r="AD17" s="7">
        <v>692</v>
      </c>
      <c r="AE17" s="7">
        <v>324</v>
      </c>
      <c r="AF17" s="7">
        <v>678</v>
      </c>
      <c r="AG17" s="8">
        <v>600</v>
      </c>
      <c r="AH17" s="8">
        <v>425</v>
      </c>
      <c r="AI17" s="8">
        <v>425</v>
      </c>
      <c r="AJ17" s="8">
        <v>500</v>
      </c>
      <c r="AK17" s="8">
        <v>600</v>
      </c>
      <c r="AL17" s="8">
        <v>625</v>
      </c>
      <c r="AM17" s="8">
        <v>650</v>
      </c>
      <c r="AN17" s="223"/>
      <c r="AO17" s="223"/>
      <c r="AP17" s="282"/>
    </row>
    <row r="18" spans="1:42" ht="15.75">
      <c r="A18" s="221" t="s">
        <v>221</v>
      </c>
      <c r="B18" s="285">
        <f t="shared" ref="B18:W18" si="21">B17/B16</f>
        <v>1.7085268068159701E-2</v>
      </c>
      <c r="C18" s="285">
        <f t="shared" si="21"/>
        <v>8.7085076039074717E-3</v>
      </c>
      <c r="D18" s="285">
        <f t="shared" si="21"/>
        <v>2.3793489931621677E-2</v>
      </c>
      <c r="E18" s="285">
        <f t="shared" si="21"/>
        <v>1.6214058166942824E-2</v>
      </c>
      <c r="F18" s="285">
        <f t="shared" si="21"/>
        <v>1.1672130102056956E-2</v>
      </c>
      <c r="G18" s="285">
        <f t="shared" si="21"/>
        <v>7.5867388044795784E-3</v>
      </c>
      <c r="H18" s="285">
        <f t="shared" si="21"/>
        <v>2.6689981041232096E-2</v>
      </c>
      <c r="I18" s="285">
        <f t="shared" si="21"/>
        <v>7.1307765899795955E-2</v>
      </c>
      <c r="J18" s="285">
        <f t="shared" si="21"/>
        <v>2.9164271711990448E-2</v>
      </c>
      <c r="K18" s="285">
        <f t="shared" si="21"/>
        <v>9.5345046780035317E-2</v>
      </c>
      <c r="L18" s="285">
        <f t="shared" si="21"/>
        <v>2.3956896173839073E-2</v>
      </c>
      <c r="M18" s="285">
        <f t="shared" si="21"/>
        <v>5.5077080914711519E-3</v>
      </c>
      <c r="N18" s="285">
        <f t="shared" si="21"/>
        <v>1.2367774585974455E-2</v>
      </c>
      <c r="O18" s="285">
        <f t="shared" si="21"/>
        <v>1.1864534654937484E-3</v>
      </c>
      <c r="P18" s="285">
        <f t="shared" si="21"/>
        <v>2.9563055371473078E-3</v>
      </c>
      <c r="Q18" s="285">
        <f t="shared" si="21"/>
        <v>5.2076059292399161E-2</v>
      </c>
      <c r="R18" s="285">
        <f t="shared" si="21"/>
        <v>5.3786893514920997E-2</v>
      </c>
      <c r="S18" s="285">
        <f t="shared" si="21"/>
        <v>1.8922861994631814E-2</v>
      </c>
      <c r="T18" s="285">
        <f t="shared" si="21"/>
        <v>2.2570397333084007E-2</v>
      </c>
      <c r="U18" s="285">
        <f t="shared" si="21"/>
        <v>2.1557221266585699E-2</v>
      </c>
      <c r="V18" s="285">
        <f t="shared" si="21"/>
        <v>1.0371473154724318E-2</v>
      </c>
      <c r="W18" s="285">
        <f t="shared" si="21"/>
        <v>1.8685896806747305E-2</v>
      </c>
      <c r="X18" s="285">
        <f>X17/X16</f>
        <v>3.9839440677157334E-2</v>
      </c>
      <c r="Y18" s="285">
        <f t="shared" ref="Y18:AM18" si="22">Y17/Y16</f>
        <v>9.7557926839171333E-2</v>
      </c>
      <c r="Z18" s="285">
        <f t="shared" si="22"/>
        <v>8.6081732262110328E-2</v>
      </c>
      <c r="AA18" s="285">
        <f t="shared" si="22"/>
        <v>8.4457433974618953E-2</v>
      </c>
      <c r="AB18" s="285">
        <f t="shared" si="22"/>
        <v>7.3143556887596287E-2</v>
      </c>
      <c r="AC18" s="285">
        <f>AC17/AC16</f>
        <v>3.9151243698773784E-2</v>
      </c>
      <c r="AD18" s="285">
        <f t="shared" si="22"/>
        <v>6.1665642074795239E-2</v>
      </c>
      <c r="AE18" s="285">
        <f t="shared" si="22"/>
        <v>2.7334677559747826E-2</v>
      </c>
      <c r="AF18" s="285">
        <f t="shared" si="22"/>
        <v>6.6402898708811858E-2</v>
      </c>
      <c r="AG18" s="286">
        <f t="shared" si="22"/>
        <v>6.7601368251693425E-2</v>
      </c>
      <c r="AH18" s="286">
        <f t="shared" si="22"/>
        <v>3.9812646370023422E-2</v>
      </c>
      <c r="AI18" s="286">
        <f t="shared" si="22"/>
        <v>3.9351851851851853E-2</v>
      </c>
      <c r="AJ18" s="286">
        <f t="shared" si="22"/>
        <v>4.5766590389016017E-2</v>
      </c>
      <c r="AK18" s="286">
        <f t="shared" si="22"/>
        <v>5.4298642533936653E-2</v>
      </c>
      <c r="AL18" s="286">
        <f t="shared" si="22"/>
        <v>5.518763796909492E-2</v>
      </c>
      <c r="AM18" s="286">
        <f t="shared" si="22"/>
        <v>5.6644880174291937E-2</v>
      </c>
    </row>
    <row r="19" spans="1:42" ht="16.5" thickBot="1">
      <c r="A19" s="3" t="s">
        <v>222</v>
      </c>
      <c r="W19" s="17">
        <f t="shared" ref="W19:AE19" si="23">W15/W11</f>
        <v>0.13262425329711666</v>
      </c>
      <c r="X19" s="17">
        <f t="shared" si="23"/>
        <v>9.5577455174767761E-2</v>
      </c>
      <c r="Y19" s="17">
        <f t="shared" si="23"/>
        <v>5.9635806772283209E-2</v>
      </c>
      <c r="Z19" s="17">
        <f t="shared" si="23"/>
        <v>0.10987367285614194</v>
      </c>
      <c r="AA19" s="17">
        <f t="shared" si="23"/>
        <v>9.7606398990004409E-2</v>
      </c>
      <c r="AB19" s="17">
        <f t="shared" si="23"/>
        <v>0.16088125177054965</v>
      </c>
      <c r="AC19" s="17">
        <f t="shared" si="23"/>
        <v>0.14009394167604694</v>
      </c>
      <c r="AD19" s="17">
        <f t="shared" si="23"/>
        <v>0.10941337976256089</v>
      </c>
      <c r="AE19" s="17">
        <f t="shared" si="23"/>
        <v>0.14369030434436469</v>
      </c>
      <c r="AF19" s="17">
        <f>AF15/AF11</f>
        <v>4.1125995575277699E-2</v>
      </c>
      <c r="AG19" s="18">
        <f t="shared" ref="AG19:AM19" si="24">AG15/AG11</f>
        <v>4.1639755328444918E-2</v>
      </c>
      <c r="AH19" s="18">
        <f t="shared" si="24"/>
        <v>5.3423423423423426E-2</v>
      </c>
      <c r="AI19" s="18">
        <f t="shared" si="24"/>
        <v>6.3964365256124728E-2</v>
      </c>
      <c r="AJ19" s="18">
        <f t="shared" si="24"/>
        <v>6.4945295404814002E-2</v>
      </c>
      <c r="AK19" s="18">
        <f t="shared" si="24"/>
        <v>6.5836909871244631E-2</v>
      </c>
      <c r="AL19" s="18">
        <f t="shared" si="24"/>
        <v>6.8284518828451879E-2</v>
      </c>
      <c r="AM19" s="18">
        <f t="shared" si="24"/>
        <v>6.1113402061855671E-2</v>
      </c>
    </row>
    <row r="20" spans="1:42" ht="16.5">
      <c r="A20" s="229" t="s">
        <v>315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  <c r="AI20" s="287"/>
      <c r="AJ20" s="287"/>
      <c r="AK20" s="287"/>
      <c r="AL20" s="287"/>
      <c r="AM20" s="287"/>
    </row>
    <row r="21" spans="1:42">
      <c r="A21" s="3" t="s">
        <v>224</v>
      </c>
      <c r="B21" s="6">
        <f>SUM(B82:B91,C80:C81)</f>
        <v>5913.4496433637432</v>
      </c>
      <c r="C21" s="6">
        <f t="shared" ref="C21:AM21" si="25">SUM(C82:C91,D80:D81)</f>
        <v>6721.8988021096029</v>
      </c>
      <c r="D21" s="6">
        <f t="shared" si="25"/>
        <v>7352.5999344740194</v>
      </c>
      <c r="E21" s="6">
        <f t="shared" si="25"/>
        <v>7775.2114341954129</v>
      </c>
      <c r="F21" s="6">
        <f t="shared" si="25"/>
        <v>7110.3838636861392</v>
      </c>
      <c r="G21" s="6">
        <f t="shared" si="25"/>
        <v>7314.9878783377035</v>
      </c>
      <c r="H21" s="6">
        <f t="shared" si="25"/>
        <v>6941.208907285295</v>
      </c>
      <c r="I21" s="6">
        <f t="shared" si="25"/>
        <v>6178.0387711192407</v>
      </c>
      <c r="J21" s="6">
        <f t="shared" si="25"/>
        <v>4818.6646214273032</v>
      </c>
      <c r="K21" s="6">
        <f t="shared" si="25"/>
        <v>5191.9985465116279</v>
      </c>
      <c r="L21" s="6">
        <f t="shared" si="25"/>
        <v>6121</v>
      </c>
      <c r="M21" s="6">
        <f t="shared" si="25"/>
        <v>5472</v>
      </c>
      <c r="N21" s="6">
        <f t="shared" si="25"/>
        <v>5295</v>
      </c>
      <c r="O21" s="6">
        <f t="shared" si="25"/>
        <v>5438</v>
      </c>
      <c r="P21" s="6">
        <f t="shared" si="25"/>
        <v>4315</v>
      </c>
      <c r="Q21" s="6">
        <f t="shared" si="25"/>
        <v>6135</v>
      </c>
      <c r="R21" s="6">
        <f t="shared" si="25"/>
        <v>5747</v>
      </c>
      <c r="S21" s="6">
        <f t="shared" si="25"/>
        <v>6102</v>
      </c>
      <c r="T21" s="6">
        <f t="shared" si="25"/>
        <v>6858</v>
      </c>
      <c r="U21" s="6">
        <f t="shared" si="25"/>
        <v>6110</v>
      </c>
      <c r="V21" s="6">
        <f t="shared" si="25"/>
        <v>7537</v>
      </c>
      <c r="W21" s="6">
        <f t="shared" si="25"/>
        <v>7619</v>
      </c>
      <c r="X21" s="6">
        <f t="shared" si="25"/>
        <v>6686</v>
      </c>
      <c r="Y21" s="6">
        <f t="shared" si="25"/>
        <v>8081.4703760307402</v>
      </c>
      <c r="Z21" s="6">
        <f t="shared" si="25"/>
        <v>9162.2126472376767</v>
      </c>
      <c r="AA21" s="6">
        <f t="shared" si="25"/>
        <v>8401</v>
      </c>
      <c r="AB21" s="6">
        <f t="shared" si="25"/>
        <v>8670</v>
      </c>
      <c r="AC21" s="6">
        <f t="shared" si="25"/>
        <v>8112</v>
      </c>
      <c r="AD21" s="6">
        <f t="shared" si="25"/>
        <v>9811</v>
      </c>
      <c r="AE21" s="6">
        <f t="shared" si="25"/>
        <v>9213.1532883032487</v>
      </c>
      <c r="AF21" s="6">
        <f t="shared" si="25"/>
        <v>9095.1036280698117</v>
      </c>
      <c r="AG21" s="224">
        <f t="shared" si="25"/>
        <v>8244.8935758864882</v>
      </c>
      <c r="AH21" s="224">
        <f t="shared" si="25"/>
        <v>9503.9463498743262</v>
      </c>
      <c r="AI21" s="224">
        <f t="shared" si="25"/>
        <v>9512.4254768240608</v>
      </c>
      <c r="AJ21" s="224">
        <f t="shared" si="25"/>
        <v>9641.6651811289812</v>
      </c>
      <c r="AK21" s="224">
        <f t="shared" si="25"/>
        <v>9672.125752010601</v>
      </c>
      <c r="AL21" s="224">
        <f t="shared" si="25"/>
        <v>9844.0867629642598</v>
      </c>
      <c r="AM21" s="224">
        <f t="shared" si="25"/>
        <v>9898.0750629258764</v>
      </c>
    </row>
    <row r="22" spans="1:42" ht="15.75">
      <c r="A22" s="221" t="s">
        <v>316</v>
      </c>
      <c r="B22" s="13">
        <v>69</v>
      </c>
      <c r="C22" s="13">
        <f>B29</f>
        <v>70</v>
      </c>
      <c r="D22" s="13">
        <f t="shared" ref="D22:AB22" si="26">C29</f>
        <v>148</v>
      </c>
      <c r="E22" s="13">
        <f t="shared" si="26"/>
        <v>191</v>
      </c>
      <c r="F22" s="13">
        <f t="shared" si="26"/>
        <v>163</v>
      </c>
      <c r="G22" s="13">
        <f t="shared" si="26"/>
        <v>140</v>
      </c>
      <c r="H22" s="13">
        <f t="shared" si="26"/>
        <v>183</v>
      </c>
      <c r="I22" s="13">
        <f t="shared" si="26"/>
        <v>251</v>
      </c>
      <c r="J22" s="13">
        <f t="shared" si="26"/>
        <v>212</v>
      </c>
      <c r="K22" s="13">
        <f t="shared" si="26"/>
        <v>171</v>
      </c>
      <c r="L22" s="13">
        <f t="shared" si="26"/>
        <v>102</v>
      </c>
      <c r="M22" s="13">
        <f t="shared" si="26"/>
        <v>130</v>
      </c>
      <c r="N22" s="13">
        <f t="shared" si="26"/>
        <v>98</v>
      </c>
      <c r="O22" s="13">
        <f t="shared" si="26"/>
        <v>108</v>
      </c>
      <c r="P22" s="13">
        <f t="shared" si="26"/>
        <v>91</v>
      </c>
      <c r="Q22" s="13">
        <f t="shared" si="26"/>
        <v>68</v>
      </c>
      <c r="R22" s="13">
        <f t="shared" si="26"/>
        <v>317</v>
      </c>
      <c r="S22" s="13">
        <f t="shared" si="26"/>
        <v>224</v>
      </c>
      <c r="T22" s="13">
        <f t="shared" si="26"/>
        <v>296</v>
      </c>
      <c r="U22" s="13">
        <f t="shared" si="26"/>
        <v>659</v>
      </c>
      <c r="V22" s="13">
        <f t="shared" si="26"/>
        <v>85</v>
      </c>
      <c r="W22" s="13">
        <f t="shared" si="26"/>
        <v>288</v>
      </c>
      <c r="X22" s="14">
        <f t="shared" si="26"/>
        <v>380</v>
      </c>
      <c r="Y22" s="14">
        <f t="shared" si="26"/>
        <v>494</v>
      </c>
      <c r="Z22" s="14">
        <f t="shared" si="26"/>
        <v>350</v>
      </c>
      <c r="AA22" s="14">
        <f t="shared" si="26"/>
        <v>266</v>
      </c>
      <c r="AB22" s="14">
        <f t="shared" si="26"/>
        <v>396</v>
      </c>
      <c r="AC22" s="14">
        <f>AB29</f>
        <v>214</v>
      </c>
      <c r="AD22" s="14">
        <f t="shared" ref="AD22:AM22" si="27">AC29</f>
        <v>260</v>
      </c>
      <c r="AE22" s="14">
        <f t="shared" si="27"/>
        <v>287</v>
      </c>
      <c r="AF22" s="14">
        <f t="shared" si="27"/>
        <v>311</v>
      </c>
      <c r="AG22" s="14">
        <f t="shared" si="27"/>
        <v>424</v>
      </c>
      <c r="AH22" s="15">
        <f t="shared" si="27"/>
        <v>250</v>
      </c>
      <c r="AI22" s="15">
        <f t="shared" si="27"/>
        <v>300</v>
      </c>
      <c r="AJ22" s="15">
        <f t="shared" si="27"/>
        <v>350</v>
      </c>
      <c r="AK22" s="15">
        <f t="shared" si="27"/>
        <v>400</v>
      </c>
      <c r="AL22" s="15">
        <f t="shared" si="27"/>
        <v>400</v>
      </c>
      <c r="AM22" s="15">
        <f t="shared" si="27"/>
        <v>400</v>
      </c>
      <c r="AN22" s="223"/>
      <c r="AO22" s="223"/>
      <c r="AP22" s="201"/>
    </row>
    <row r="23" spans="1:42" ht="15.75">
      <c r="A23" s="3" t="s">
        <v>5</v>
      </c>
      <c r="B23" s="6">
        <f>B108</f>
        <v>3107.6183832953893</v>
      </c>
      <c r="C23" s="6">
        <f t="shared" ref="C23:AF23" si="28">C108</f>
        <v>3544.8372065243475</v>
      </c>
      <c r="D23" s="6">
        <f t="shared" si="28"/>
        <v>3837.663294925298</v>
      </c>
      <c r="E23" s="6">
        <f t="shared" si="28"/>
        <v>4078.4084516791881</v>
      </c>
      <c r="F23" s="6">
        <f t="shared" si="28"/>
        <v>3724.8582500385419</v>
      </c>
      <c r="G23" s="6">
        <f t="shared" si="28"/>
        <v>3830.8922185340789</v>
      </c>
      <c r="H23" s="6">
        <f t="shared" si="28"/>
        <v>3769.6622832760186</v>
      </c>
      <c r="I23" s="6">
        <f t="shared" si="28"/>
        <v>3354.981131598664</v>
      </c>
      <c r="J23" s="6">
        <f t="shared" si="28"/>
        <v>2616.6692745041491</v>
      </c>
      <c r="K23" s="6">
        <f t="shared" si="28"/>
        <v>2819.3938694707058</v>
      </c>
      <c r="L23" s="6">
        <f t="shared" si="28"/>
        <v>3323.818106174072</v>
      </c>
      <c r="M23" s="6">
        <f t="shared" si="28"/>
        <v>2971.3068984247693</v>
      </c>
      <c r="N23" s="6">
        <f t="shared" si="28"/>
        <v>2874.8230582976348</v>
      </c>
      <c r="O23" s="6">
        <f t="shared" si="28"/>
        <v>2952.8662237385533</v>
      </c>
      <c r="P23" s="6">
        <f t="shared" si="28"/>
        <v>2343.598058680785</v>
      </c>
      <c r="Q23" s="6">
        <f t="shared" si="28"/>
        <v>3331.1656854499579</v>
      </c>
      <c r="R23" s="6">
        <f t="shared" si="28"/>
        <v>3120.6431322207955</v>
      </c>
      <c r="S23" s="6">
        <f t="shared" si="28"/>
        <v>3313.5398319327733</v>
      </c>
      <c r="T23" s="6">
        <f t="shared" si="28"/>
        <v>3724.0284303456529</v>
      </c>
      <c r="U23" s="6">
        <f t="shared" si="28"/>
        <v>3317.9999999999995</v>
      </c>
      <c r="V23" s="6">
        <f t="shared" si="28"/>
        <v>4092.7952412425648</v>
      </c>
      <c r="W23" s="6">
        <f t="shared" si="28"/>
        <v>4114.26</v>
      </c>
      <c r="X23" s="7">
        <f t="shared" si="28"/>
        <v>3610.44</v>
      </c>
      <c r="Y23" s="7">
        <f t="shared" si="28"/>
        <v>4363.9940030566004</v>
      </c>
      <c r="Z23" s="7">
        <f t="shared" si="28"/>
        <v>4947.5948295083472</v>
      </c>
      <c r="AA23" s="7">
        <f t="shared" si="28"/>
        <v>4536.5400000000009</v>
      </c>
      <c r="AB23" s="7">
        <f t="shared" si="28"/>
        <v>4681.8</v>
      </c>
      <c r="AC23" s="7">
        <f t="shared" si="28"/>
        <v>4380.4800000000005</v>
      </c>
      <c r="AD23" s="7">
        <f t="shared" si="28"/>
        <v>5297.9400000000005</v>
      </c>
      <c r="AE23" s="7">
        <f t="shared" si="28"/>
        <v>4975.1027756837539</v>
      </c>
      <c r="AF23" s="7">
        <f t="shared" si="28"/>
        <v>4911.3559591576995</v>
      </c>
      <c r="AG23" s="8">
        <f t="shared" ref="AG23:AM23" si="29">AG21*AG124</f>
        <v>4452.2425309787041</v>
      </c>
      <c r="AH23" s="8">
        <f t="shared" si="29"/>
        <v>5101.6761925700939</v>
      </c>
      <c r="AI23" s="8">
        <f t="shared" si="29"/>
        <v>5100.6987439602344</v>
      </c>
      <c r="AJ23" s="8">
        <f t="shared" si="29"/>
        <v>5164.2128912405442</v>
      </c>
      <c r="AK23" s="8">
        <f t="shared" si="29"/>
        <v>5174.8430078765796</v>
      </c>
      <c r="AL23" s="8">
        <f t="shared" si="29"/>
        <v>5261.6244672383773</v>
      </c>
      <c r="AM23" s="8">
        <f t="shared" si="29"/>
        <v>5286.4116900337767</v>
      </c>
      <c r="AN23" s="212"/>
      <c r="AO23" s="212"/>
      <c r="AP23" s="225"/>
    </row>
    <row r="24" spans="1:42" ht="15.75">
      <c r="A24" s="3" t="s">
        <v>6</v>
      </c>
      <c r="B24" s="6">
        <v>1405</v>
      </c>
      <c r="C24" s="6">
        <v>1724</v>
      </c>
      <c r="D24" s="6">
        <v>1824</v>
      </c>
      <c r="E24" s="6">
        <v>1910</v>
      </c>
      <c r="F24" s="6">
        <f t="shared" ref="F24:AF24" si="30">F140</f>
        <v>1811.029</v>
      </c>
      <c r="G24" s="6">
        <f t="shared" si="30"/>
        <v>1976.7769999999998</v>
      </c>
      <c r="H24" s="6">
        <f t="shared" si="30"/>
        <v>1740.2040000000002</v>
      </c>
      <c r="I24" s="6">
        <f t="shared" si="30"/>
        <v>1718.8200000000004</v>
      </c>
      <c r="J24" s="6">
        <f t="shared" si="30"/>
        <v>1469.9440000000002</v>
      </c>
      <c r="K24" s="6">
        <f t="shared" si="30"/>
        <v>1655.6949999999999</v>
      </c>
      <c r="L24" s="6">
        <f t="shared" si="30"/>
        <v>1760.153</v>
      </c>
      <c r="M24" s="6">
        <f t="shared" si="30"/>
        <v>1631.3519999999999</v>
      </c>
      <c r="N24" s="6">
        <f t="shared" si="30"/>
        <v>1907.27</v>
      </c>
      <c r="O24" s="6">
        <f t="shared" si="30"/>
        <v>1771.2850000000001</v>
      </c>
      <c r="P24" s="6">
        <f t="shared" si="30"/>
        <v>1551.5630000000001</v>
      </c>
      <c r="Q24" s="6">
        <f t="shared" si="30"/>
        <v>2511.422</v>
      </c>
      <c r="R24" s="6">
        <f t="shared" si="30"/>
        <v>2024.0990000000002</v>
      </c>
      <c r="S24" s="6">
        <f t="shared" si="30"/>
        <v>2272.3910000000001</v>
      </c>
      <c r="T24" s="6">
        <f t="shared" si="30"/>
        <v>3856.2780000000002</v>
      </c>
      <c r="U24" s="6">
        <f t="shared" si="30"/>
        <v>3030.808</v>
      </c>
      <c r="V24" s="6">
        <f t="shared" si="30"/>
        <v>3368.4560000000001</v>
      </c>
      <c r="W24" s="6">
        <f t="shared" si="30"/>
        <v>3209.6919999999996</v>
      </c>
      <c r="X24" s="7">
        <f t="shared" si="30"/>
        <v>3296.1579999999999</v>
      </c>
      <c r="Y24" s="7">
        <f t="shared" si="30"/>
        <v>3768.027</v>
      </c>
      <c r="Z24" s="7">
        <f t="shared" si="30"/>
        <v>3514.0119999999997</v>
      </c>
      <c r="AA24" s="7">
        <f t="shared" si="30"/>
        <v>3645.2784109999998</v>
      </c>
      <c r="AB24" s="7">
        <f t="shared" si="30"/>
        <v>2889.5027220000002</v>
      </c>
      <c r="AC24" s="7">
        <f t="shared" si="30"/>
        <v>2571.4286710000001</v>
      </c>
      <c r="AD24" s="7">
        <f t="shared" si="30"/>
        <v>2563.156833</v>
      </c>
      <c r="AE24" s="7">
        <f t="shared" si="30"/>
        <v>2750.1656270000003</v>
      </c>
      <c r="AF24" s="7">
        <f t="shared" si="30"/>
        <v>3156.3241049999992</v>
      </c>
      <c r="AG24" s="8">
        <v>3300</v>
      </c>
      <c r="AH24" s="8">
        <v>3200</v>
      </c>
      <c r="AI24" s="8">
        <v>3200</v>
      </c>
      <c r="AJ24" s="8">
        <v>3100</v>
      </c>
      <c r="AK24" s="8">
        <v>3100</v>
      </c>
      <c r="AL24" s="8">
        <v>3100</v>
      </c>
      <c r="AM24" s="8">
        <v>3100</v>
      </c>
      <c r="AN24" s="212"/>
      <c r="AO24" s="212"/>
      <c r="AP24" s="225"/>
    </row>
    <row r="25" spans="1:42" ht="15.75">
      <c r="A25" s="221" t="s">
        <v>7</v>
      </c>
      <c r="B25" s="13">
        <f>SUM(B22:B24)</f>
        <v>4581.6183832953893</v>
      </c>
      <c r="C25" s="13">
        <f t="shared" ref="C25:AM25" si="31">SUM(C22:C24)</f>
        <v>5338.8372065243475</v>
      </c>
      <c r="D25" s="13">
        <f t="shared" si="31"/>
        <v>5809.663294925298</v>
      </c>
      <c r="E25" s="13">
        <f t="shared" si="31"/>
        <v>6179.4084516791881</v>
      </c>
      <c r="F25" s="13">
        <f t="shared" si="31"/>
        <v>5698.8872500385423</v>
      </c>
      <c r="G25" s="13">
        <f t="shared" si="31"/>
        <v>5947.6692185340789</v>
      </c>
      <c r="H25" s="13">
        <f t="shared" si="31"/>
        <v>5692.8662832760183</v>
      </c>
      <c r="I25" s="13">
        <f t="shared" si="31"/>
        <v>5324.8011315986641</v>
      </c>
      <c r="J25" s="13">
        <f t="shared" si="31"/>
        <v>4298.6132745041496</v>
      </c>
      <c r="K25" s="13">
        <f t="shared" si="31"/>
        <v>4646.0888694707055</v>
      </c>
      <c r="L25" s="13">
        <f t="shared" si="31"/>
        <v>5185.9711061740718</v>
      </c>
      <c r="M25" s="13">
        <f t="shared" si="31"/>
        <v>4732.6588984247692</v>
      </c>
      <c r="N25" s="13">
        <f t="shared" si="31"/>
        <v>4880.0930582976343</v>
      </c>
      <c r="O25" s="13">
        <f t="shared" si="31"/>
        <v>4832.1512237385532</v>
      </c>
      <c r="P25" s="13">
        <f t="shared" si="31"/>
        <v>3986.1610586807851</v>
      </c>
      <c r="Q25" s="13">
        <f t="shared" si="31"/>
        <v>5910.5876854499584</v>
      </c>
      <c r="R25" s="13">
        <f t="shared" si="31"/>
        <v>5461.7421322207956</v>
      </c>
      <c r="S25" s="13">
        <f t="shared" si="31"/>
        <v>5809.9308319327738</v>
      </c>
      <c r="T25" s="13">
        <f t="shared" si="31"/>
        <v>7876.3064303456531</v>
      </c>
      <c r="U25" s="13">
        <f t="shared" si="31"/>
        <v>7007.8079999999991</v>
      </c>
      <c r="V25" s="13">
        <f t="shared" si="31"/>
        <v>7546.2512412425649</v>
      </c>
      <c r="W25" s="13">
        <f t="shared" si="31"/>
        <v>7611.9519999999993</v>
      </c>
      <c r="X25" s="14">
        <f t="shared" si="31"/>
        <v>7286.598</v>
      </c>
      <c r="Y25" s="14">
        <f t="shared" si="31"/>
        <v>8626.0210030566013</v>
      </c>
      <c r="Z25" s="14">
        <f t="shared" si="31"/>
        <v>8811.606829508346</v>
      </c>
      <c r="AA25" s="14">
        <f t="shared" si="31"/>
        <v>8447.8184110000002</v>
      </c>
      <c r="AB25" s="14">
        <f t="shared" si="31"/>
        <v>7967.3027220000004</v>
      </c>
      <c r="AC25" s="14">
        <f t="shared" si="31"/>
        <v>7165.908671000001</v>
      </c>
      <c r="AD25" s="14">
        <f t="shared" si="31"/>
        <v>8121.0968330000005</v>
      </c>
      <c r="AE25" s="14">
        <f t="shared" si="31"/>
        <v>8012.2684026837542</v>
      </c>
      <c r="AF25" s="14">
        <f t="shared" si="31"/>
        <v>8378.6800641576992</v>
      </c>
      <c r="AG25" s="15">
        <f t="shared" si="31"/>
        <v>8176.2425309787041</v>
      </c>
      <c r="AH25" s="15">
        <f t="shared" si="31"/>
        <v>8551.6761925700939</v>
      </c>
      <c r="AI25" s="15">
        <f t="shared" si="31"/>
        <v>8600.6987439602344</v>
      </c>
      <c r="AJ25" s="15">
        <f t="shared" si="31"/>
        <v>8614.2128912405442</v>
      </c>
      <c r="AK25" s="15">
        <f t="shared" si="31"/>
        <v>8674.8430078765796</v>
      </c>
      <c r="AL25" s="15">
        <f t="shared" si="31"/>
        <v>8761.6244672383764</v>
      </c>
      <c r="AM25" s="15">
        <f t="shared" si="31"/>
        <v>8786.4116900337758</v>
      </c>
      <c r="AN25" s="212"/>
      <c r="AO25" s="212"/>
      <c r="AP25" s="225"/>
    </row>
    <row r="26" spans="1:42" ht="15.75">
      <c r="A26" s="3" t="s">
        <v>24</v>
      </c>
      <c r="B26" s="6">
        <f>B28-B27</f>
        <v>4462.6183832953893</v>
      </c>
      <c r="C26" s="6">
        <f t="shared" ref="C26:AB26" si="32">C28-C27</f>
        <v>5134.8372065243475</v>
      </c>
      <c r="D26" s="6">
        <f t="shared" si="32"/>
        <v>5584.663294925298</v>
      </c>
      <c r="E26" s="6">
        <f t="shared" si="32"/>
        <v>5958.4084516791881</v>
      </c>
      <c r="F26" s="6">
        <f t="shared" si="32"/>
        <v>5554.5912500385421</v>
      </c>
      <c r="G26" s="6">
        <f t="shared" si="32"/>
        <v>5659.1162185340791</v>
      </c>
      <c r="H26" s="6">
        <f t="shared" si="32"/>
        <v>5332.6132832760186</v>
      </c>
      <c r="I26" s="6">
        <f t="shared" si="32"/>
        <v>5016.8641315986642</v>
      </c>
      <c r="J26" s="6">
        <f t="shared" si="32"/>
        <v>4086.4872745041494</v>
      </c>
      <c r="K26" s="6">
        <f t="shared" si="32"/>
        <v>4497.9678694707054</v>
      </c>
      <c r="L26" s="6">
        <f t="shared" si="32"/>
        <v>4976.4241061740722</v>
      </c>
      <c r="M26" s="6">
        <f t="shared" si="32"/>
        <v>4481.0218984247695</v>
      </c>
      <c r="N26" s="6">
        <f t="shared" si="32"/>
        <v>4582.4880582976348</v>
      </c>
      <c r="O26" s="6">
        <f t="shared" si="32"/>
        <v>4606.9592237385532</v>
      </c>
      <c r="P26" s="6">
        <f t="shared" si="32"/>
        <v>3879.2530586807852</v>
      </c>
      <c r="Q26" s="6">
        <f t="shared" si="32"/>
        <v>5520.6576854499581</v>
      </c>
      <c r="R26" s="6">
        <f t="shared" si="32"/>
        <v>5160.8721322207957</v>
      </c>
      <c r="S26" s="6">
        <f t="shared" si="32"/>
        <v>5388.6458319327739</v>
      </c>
      <c r="T26" s="6">
        <f t="shared" si="32"/>
        <v>7095.5124303456532</v>
      </c>
      <c r="U26" s="6">
        <f t="shared" si="32"/>
        <v>6799.8829999999989</v>
      </c>
      <c r="V26" s="6">
        <f t="shared" si="32"/>
        <v>7085.1672412425651</v>
      </c>
      <c r="W26" s="6">
        <f t="shared" si="32"/>
        <v>6929.5639999999994</v>
      </c>
      <c r="X26" s="7">
        <f t="shared" si="32"/>
        <v>6577.4660000000003</v>
      </c>
      <c r="Y26" s="7">
        <f t="shared" si="32"/>
        <v>8001.229003056601</v>
      </c>
      <c r="Z26" s="7">
        <f t="shared" si="32"/>
        <v>8139.7328295083462</v>
      </c>
      <c r="AA26" s="7">
        <f t="shared" si="32"/>
        <v>7657.3073679999998</v>
      </c>
      <c r="AB26" s="7">
        <f t="shared" si="32"/>
        <v>7178.1271890000007</v>
      </c>
      <c r="AC26" s="7">
        <f>AC28-AC27</f>
        <v>6208.898548000001</v>
      </c>
      <c r="AD26" s="7">
        <f t="shared" ref="AD26:AM26" si="33">AD28-AD27</f>
        <v>6837.4414400000005</v>
      </c>
      <c r="AE26" s="7">
        <f t="shared" si="33"/>
        <v>6697.3826286837539</v>
      </c>
      <c r="AF26" s="7">
        <f t="shared" si="33"/>
        <v>6999.1192681576995</v>
      </c>
      <c r="AG26" s="8">
        <f t="shared" si="33"/>
        <v>7176.2425309787041</v>
      </c>
      <c r="AH26" s="8">
        <f t="shared" si="33"/>
        <v>7501.6761925700939</v>
      </c>
      <c r="AI26" s="8">
        <f t="shared" si="33"/>
        <v>7550.6987439602344</v>
      </c>
      <c r="AJ26" s="8">
        <f t="shared" si="33"/>
        <v>7414.2128912405442</v>
      </c>
      <c r="AK26" s="8">
        <f t="shared" si="33"/>
        <v>7574.8430078765796</v>
      </c>
      <c r="AL26" s="8">
        <f t="shared" si="33"/>
        <v>7661.6244672383764</v>
      </c>
      <c r="AM26" s="8">
        <f t="shared" si="33"/>
        <v>7786.4116900337758</v>
      </c>
      <c r="AN26" s="212"/>
      <c r="AO26" s="212"/>
      <c r="AP26" s="225"/>
    </row>
    <row r="27" spans="1:42" ht="15.75">
      <c r="A27" s="3" t="s">
        <v>9</v>
      </c>
      <c r="B27" s="6">
        <v>49</v>
      </c>
      <c r="C27" s="6">
        <v>56</v>
      </c>
      <c r="D27" s="6">
        <v>34</v>
      </c>
      <c r="E27" s="6">
        <v>58</v>
      </c>
      <c r="F27" s="6">
        <f t="shared" ref="F27:AF27" si="34">F156</f>
        <v>4.2960000000000003</v>
      </c>
      <c r="G27" s="6">
        <f t="shared" si="34"/>
        <v>105.553</v>
      </c>
      <c r="H27" s="6">
        <f t="shared" si="34"/>
        <v>109.25299999999999</v>
      </c>
      <c r="I27" s="6">
        <f t="shared" si="34"/>
        <v>95.937000000000012</v>
      </c>
      <c r="J27" s="6">
        <f t="shared" si="34"/>
        <v>41.125999999999998</v>
      </c>
      <c r="K27" s="6">
        <f t="shared" si="34"/>
        <v>46.121000000000002</v>
      </c>
      <c r="L27" s="6">
        <f t="shared" si="34"/>
        <v>79.546999999999997</v>
      </c>
      <c r="M27" s="6">
        <f t="shared" si="34"/>
        <v>153.63700000000003</v>
      </c>
      <c r="N27" s="6">
        <f t="shared" si="34"/>
        <v>189.60499999999999</v>
      </c>
      <c r="O27" s="6">
        <f t="shared" si="34"/>
        <v>134.19199999999998</v>
      </c>
      <c r="P27" s="6">
        <f t="shared" si="34"/>
        <v>38.908000000000008</v>
      </c>
      <c r="Q27" s="6">
        <f t="shared" si="34"/>
        <v>72.930000000000007</v>
      </c>
      <c r="R27" s="6">
        <f t="shared" si="34"/>
        <v>76.86999999999999</v>
      </c>
      <c r="S27" s="6">
        <f t="shared" si="34"/>
        <v>125.28500000000001</v>
      </c>
      <c r="T27" s="6">
        <f t="shared" si="34"/>
        <v>121.79400000000001</v>
      </c>
      <c r="U27" s="6">
        <f t="shared" si="34"/>
        <v>122.92500000000001</v>
      </c>
      <c r="V27" s="6">
        <f t="shared" si="34"/>
        <v>173.08400000000003</v>
      </c>
      <c r="W27" s="6">
        <f t="shared" si="34"/>
        <v>302.38799999999998</v>
      </c>
      <c r="X27" s="7">
        <f t="shared" si="34"/>
        <v>215.13200000000003</v>
      </c>
      <c r="Y27" s="7">
        <f t="shared" si="34"/>
        <v>274.79199999999997</v>
      </c>
      <c r="Z27" s="7">
        <f t="shared" si="34"/>
        <v>405.87399999999991</v>
      </c>
      <c r="AA27" s="7">
        <f t="shared" si="34"/>
        <v>394.51104300000003</v>
      </c>
      <c r="AB27" s="7">
        <f t="shared" si="34"/>
        <v>575.17553299999986</v>
      </c>
      <c r="AC27" s="7">
        <f t="shared" si="34"/>
        <v>697.01012300000002</v>
      </c>
      <c r="AD27" s="7">
        <f t="shared" si="34"/>
        <v>996.655393</v>
      </c>
      <c r="AE27" s="7">
        <f t="shared" si="34"/>
        <v>1003.885774</v>
      </c>
      <c r="AF27" s="7">
        <f t="shared" si="34"/>
        <v>955.56079599999998</v>
      </c>
      <c r="AG27" s="8">
        <v>750</v>
      </c>
      <c r="AH27" s="8">
        <v>750</v>
      </c>
      <c r="AI27" s="8">
        <v>700</v>
      </c>
      <c r="AJ27" s="8">
        <v>800</v>
      </c>
      <c r="AK27" s="8">
        <v>700</v>
      </c>
      <c r="AL27" s="8">
        <v>700</v>
      </c>
      <c r="AM27" s="8">
        <v>600</v>
      </c>
      <c r="AN27" s="212"/>
      <c r="AO27" s="223"/>
      <c r="AP27" s="225"/>
    </row>
    <row r="28" spans="1:42" ht="15.75">
      <c r="A28" s="221" t="s">
        <v>12</v>
      </c>
      <c r="B28" s="13">
        <f>B25-B29</f>
        <v>4511.6183832953893</v>
      </c>
      <c r="C28" s="13">
        <f t="shared" ref="C28:AM28" si="35">C25-C29</f>
        <v>5190.8372065243475</v>
      </c>
      <c r="D28" s="13">
        <f t="shared" si="35"/>
        <v>5618.663294925298</v>
      </c>
      <c r="E28" s="13">
        <f t="shared" si="35"/>
        <v>6016.4084516791881</v>
      </c>
      <c r="F28" s="13">
        <f t="shared" si="35"/>
        <v>5558.8872500385423</v>
      </c>
      <c r="G28" s="13">
        <f t="shared" si="35"/>
        <v>5764.6692185340789</v>
      </c>
      <c r="H28" s="13">
        <f t="shared" si="35"/>
        <v>5441.8662832760183</v>
      </c>
      <c r="I28" s="13">
        <f t="shared" si="35"/>
        <v>5112.8011315986641</v>
      </c>
      <c r="J28" s="13">
        <f t="shared" si="35"/>
        <v>4127.6132745041496</v>
      </c>
      <c r="K28" s="13">
        <f t="shared" si="35"/>
        <v>4544.0888694707055</v>
      </c>
      <c r="L28" s="13">
        <f t="shared" si="35"/>
        <v>5055.9711061740718</v>
      </c>
      <c r="M28" s="13">
        <f t="shared" si="35"/>
        <v>4634.6588984247692</v>
      </c>
      <c r="N28" s="13">
        <f t="shared" si="35"/>
        <v>4772.0930582976343</v>
      </c>
      <c r="O28" s="13">
        <f t="shared" si="35"/>
        <v>4741.1512237385532</v>
      </c>
      <c r="P28" s="13">
        <f t="shared" si="35"/>
        <v>3918.1610586807851</v>
      </c>
      <c r="Q28" s="13">
        <f t="shared" si="35"/>
        <v>5593.5876854499584</v>
      </c>
      <c r="R28" s="13">
        <f t="shared" si="35"/>
        <v>5237.7421322207956</v>
      </c>
      <c r="S28" s="13">
        <f t="shared" si="35"/>
        <v>5513.9308319327738</v>
      </c>
      <c r="T28" s="13">
        <f t="shared" si="35"/>
        <v>7217.3064303456531</v>
      </c>
      <c r="U28" s="13">
        <f t="shared" si="35"/>
        <v>6922.8079999999991</v>
      </c>
      <c r="V28" s="13">
        <f t="shared" si="35"/>
        <v>7258.2512412425649</v>
      </c>
      <c r="W28" s="13">
        <f t="shared" si="35"/>
        <v>7231.9519999999993</v>
      </c>
      <c r="X28" s="14">
        <f t="shared" si="35"/>
        <v>6792.598</v>
      </c>
      <c r="Y28" s="14">
        <f t="shared" si="35"/>
        <v>8276.0210030566013</v>
      </c>
      <c r="Z28" s="14">
        <f t="shared" si="35"/>
        <v>8545.606829508346</v>
      </c>
      <c r="AA28" s="14">
        <f t="shared" si="35"/>
        <v>8051.8184110000002</v>
      </c>
      <c r="AB28" s="14">
        <f t="shared" si="35"/>
        <v>7753.3027220000004</v>
      </c>
      <c r="AC28" s="14">
        <f t="shared" si="35"/>
        <v>6905.908671000001</v>
      </c>
      <c r="AD28" s="14">
        <f t="shared" si="35"/>
        <v>7834.0968330000005</v>
      </c>
      <c r="AE28" s="14">
        <f t="shared" si="35"/>
        <v>7701.2684026837542</v>
      </c>
      <c r="AF28" s="14">
        <f t="shared" si="35"/>
        <v>7954.6800641576992</v>
      </c>
      <c r="AG28" s="15">
        <f t="shared" si="35"/>
        <v>7926.2425309787041</v>
      </c>
      <c r="AH28" s="15">
        <f t="shared" si="35"/>
        <v>8251.6761925700939</v>
      </c>
      <c r="AI28" s="15">
        <f t="shared" si="35"/>
        <v>8250.6987439602344</v>
      </c>
      <c r="AJ28" s="15">
        <f t="shared" si="35"/>
        <v>8214.2128912405442</v>
      </c>
      <c r="AK28" s="15">
        <f t="shared" si="35"/>
        <v>8274.8430078765796</v>
      </c>
      <c r="AL28" s="15">
        <f t="shared" si="35"/>
        <v>8361.6244672383764</v>
      </c>
      <c r="AM28" s="15">
        <f t="shared" si="35"/>
        <v>8386.4116900337758</v>
      </c>
      <c r="AN28" s="201"/>
      <c r="AO28" s="201"/>
      <c r="AP28" s="201"/>
    </row>
    <row r="29" spans="1:42" ht="15.75">
      <c r="A29" s="3" t="s">
        <v>317</v>
      </c>
      <c r="B29" s="6">
        <v>70</v>
      </c>
      <c r="C29" s="6">
        <v>148</v>
      </c>
      <c r="D29" s="6">
        <v>191</v>
      </c>
      <c r="E29" s="6">
        <v>163</v>
      </c>
      <c r="F29" s="6">
        <v>140</v>
      </c>
      <c r="G29" s="6">
        <v>183</v>
      </c>
      <c r="H29" s="6">
        <v>251</v>
      </c>
      <c r="I29" s="6">
        <v>212</v>
      </c>
      <c r="J29" s="6">
        <v>171</v>
      </c>
      <c r="K29" s="6">
        <v>102</v>
      </c>
      <c r="L29" s="6">
        <v>130</v>
      </c>
      <c r="M29" s="6">
        <v>98</v>
      </c>
      <c r="N29" s="6">
        <v>108</v>
      </c>
      <c r="O29" s="6">
        <v>91</v>
      </c>
      <c r="P29" s="6">
        <v>68</v>
      </c>
      <c r="Q29" s="6">
        <v>317</v>
      </c>
      <c r="R29" s="6">
        <v>224</v>
      </c>
      <c r="S29" s="6">
        <v>296</v>
      </c>
      <c r="T29" s="6">
        <v>659</v>
      </c>
      <c r="U29" s="6">
        <v>85</v>
      </c>
      <c r="V29" s="6">
        <v>288</v>
      </c>
      <c r="W29" s="6">
        <v>380</v>
      </c>
      <c r="X29" s="7">
        <v>494</v>
      </c>
      <c r="Y29" s="7">
        <v>350</v>
      </c>
      <c r="Z29" s="7">
        <v>266</v>
      </c>
      <c r="AA29" s="7">
        <v>396</v>
      </c>
      <c r="AB29" s="7">
        <v>214</v>
      </c>
      <c r="AC29" s="7">
        <v>260</v>
      </c>
      <c r="AD29" s="7">
        <v>287</v>
      </c>
      <c r="AE29" s="7">
        <v>311</v>
      </c>
      <c r="AF29" s="7">
        <v>424</v>
      </c>
      <c r="AG29" s="8">
        <v>250</v>
      </c>
      <c r="AH29" s="8">
        <v>300</v>
      </c>
      <c r="AI29" s="8">
        <v>350</v>
      </c>
      <c r="AJ29" s="8">
        <v>400</v>
      </c>
      <c r="AK29" s="8">
        <v>400</v>
      </c>
      <c r="AL29" s="8">
        <v>400</v>
      </c>
      <c r="AM29" s="8">
        <v>400</v>
      </c>
      <c r="AN29" s="223"/>
      <c r="AO29" s="223"/>
      <c r="AP29" s="225"/>
    </row>
    <row r="30" spans="1:42" ht="16.5" thickBot="1">
      <c r="A30" s="3" t="s">
        <v>225</v>
      </c>
      <c r="X30" s="288"/>
      <c r="Y30" s="288"/>
      <c r="Z30" s="288"/>
      <c r="AA30" s="288"/>
      <c r="AB30" s="288"/>
      <c r="AC30" s="288"/>
      <c r="AD30" s="288"/>
      <c r="AE30" s="288"/>
      <c r="AF30" s="288"/>
      <c r="AG30" s="288"/>
      <c r="AH30" s="288"/>
      <c r="AI30" s="288"/>
      <c r="AJ30" s="288"/>
      <c r="AK30" s="288"/>
      <c r="AL30" s="288"/>
      <c r="AM30" s="288"/>
    </row>
    <row r="31" spans="1:42" ht="15.75">
      <c r="A31" s="229" t="s">
        <v>318</v>
      </c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89"/>
      <c r="Y31" s="289"/>
      <c r="Z31" s="289"/>
      <c r="AA31" s="289"/>
      <c r="AB31" s="289"/>
      <c r="AC31" s="289"/>
      <c r="AD31" s="289"/>
      <c r="AE31" s="289"/>
      <c r="AF31" s="289"/>
      <c r="AG31" s="289"/>
      <c r="AH31" s="289"/>
      <c r="AI31" s="289"/>
      <c r="AJ31" s="289"/>
      <c r="AK31" s="289"/>
      <c r="AL31" s="289"/>
      <c r="AM31" s="289"/>
    </row>
    <row r="32" spans="1:42" ht="15.75">
      <c r="A32" s="221" t="s">
        <v>316</v>
      </c>
      <c r="B32" s="13">
        <v>202</v>
      </c>
      <c r="C32" s="13">
        <f>B42</f>
        <v>199</v>
      </c>
      <c r="D32" s="13">
        <f t="shared" ref="D32:AM32" si="36">C42</f>
        <v>274</v>
      </c>
      <c r="E32" s="13">
        <f t="shared" si="36"/>
        <v>374</v>
      </c>
      <c r="F32" s="13">
        <f t="shared" si="36"/>
        <v>296</v>
      </c>
      <c r="G32" s="13">
        <f t="shared" si="36"/>
        <v>238</v>
      </c>
      <c r="H32" s="13">
        <f t="shared" si="36"/>
        <v>299</v>
      </c>
      <c r="I32" s="13">
        <f t="shared" si="36"/>
        <v>320</v>
      </c>
      <c r="J32" s="13">
        <f t="shared" si="36"/>
        <v>326</v>
      </c>
      <c r="K32" s="13">
        <f t="shared" si="36"/>
        <v>284</v>
      </c>
      <c r="L32" s="13">
        <f t="shared" si="36"/>
        <v>292</v>
      </c>
      <c r="M32" s="13">
        <f t="shared" si="36"/>
        <v>306</v>
      </c>
      <c r="N32" s="13">
        <f t="shared" si="36"/>
        <v>265</v>
      </c>
      <c r="O32" s="13">
        <f t="shared" si="36"/>
        <v>303</v>
      </c>
      <c r="P32" s="13">
        <f t="shared" si="36"/>
        <v>338</v>
      </c>
      <c r="Q32" s="13">
        <f t="shared" si="36"/>
        <v>315</v>
      </c>
      <c r="R32" s="13">
        <f t="shared" si="36"/>
        <v>525</v>
      </c>
      <c r="S32" s="13">
        <f t="shared" si="36"/>
        <v>452</v>
      </c>
      <c r="T32" s="13">
        <f t="shared" si="36"/>
        <v>295</v>
      </c>
      <c r="U32" s="13">
        <f t="shared" si="36"/>
        <v>499</v>
      </c>
      <c r="V32" s="13">
        <f t="shared" si="36"/>
        <v>186</v>
      </c>
      <c r="W32" s="13">
        <f t="shared" si="36"/>
        <v>329</v>
      </c>
      <c r="X32" s="14">
        <f t="shared" si="36"/>
        <v>252</v>
      </c>
      <c r="Y32" s="14">
        <f t="shared" si="36"/>
        <v>158</v>
      </c>
      <c r="Z32" s="14">
        <f t="shared" si="36"/>
        <v>354</v>
      </c>
      <c r="AA32" s="14">
        <f t="shared" si="36"/>
        <v>258</v>
      </c>
      <c r="AB32" s="14">
        <f t="shared" si="36"/>
        <v>372</v>
      </c>
      <c r="AC32" s="14">
        <f t="shared" si="36"/>
        <v>648</v>
      </c>
      <c r="AD32" s="14">
        <f t="shared" si="36"/>
        <v>211</v>
      </c>
      <c r="AE32" s="14">
        <f t="shared" si="36"/>
        <v>646</v>
      </c>
      <c r="AF32" s="14">
        <f t="shared" si="36"/>
        <v>292</v>
      </c>
      <c r="AG32" s="14">
        <f t="shared" si="36"/>
        <v>741</v>
      </c>
      <c r="AH32" s="15">
        <f t="shared" si="36"/>
        <v>500</v>
      </c>
      <c r="AI32" s="15">
        <f t="shared" si="36"/>
        <v>400</v>
      </c>
      <c r="AJ32" s="15">
        <f t="shared" si="36"/>
        <v>550</v>
      </c>
      <c r="AK32" s="15">
        <f t="shared" si="36"/>
        <v>500</v>
      </c>
      <c r="AL32" s="15">
        <f t="shared" si="36"/>
        <v>550</v>
      </c>
      <c r="AM32" s="15">
        <f t="shared" si="36"/>
        <v>500</v>
      </c>
      <c r="AN32" s="223"/>
      <c r="AO32" s="223"/>
      <c r="AP32" s="201"/>
    </row>
    <row r="33" spans="1:49">
      <c r="A33" s="3" t="s">
        <v>5</v>
      </c>
      <c r="B33" s="6">
        <f>B219</f>
        <v>2446.0116575615757</v>
      </c>
      <c r="C33" s="6">
        <f t="shared" ref="C33:AM33" si="37">C219</f>
        <v>2813.6619361477756</v>
      </c>
      <c r="D33" s="6">
        <f t="shared" si="37"/>
        <v>3050.4713821068221</v>
      </c>
      <c r="E33" s="6">
        <f t="shared" si="37"/>
        <v>3228.1259161930348</v>
      </c>
      <c r="F33" s="6">
        <f t="shared" si="37"/>
        <v>2944.6778473222748</v>
      </c>
      <c r="G33" s="6">
        <f t="shared" si="37"/>
        <v>3043.6632554620423</v>
      </c>
      <c r="H33" s="6">
        <f t="shared" si="37"/>
        <v>2760.5338120003389</v>
      </c>
      <c r="I33" s="6">
        <f t="shared" si="37"/>
        <v>2438.7255819297052</v>
      </c>
      <c r="J33" s="6">
        <f t="shared" si="37"/>
        <v>1910.1877682550466</v>
      </c>
      <c r="K33" s="6">
        <f t="shared" si="37"/>
        <v>2067.5555042785177</v>
      </c>
      <c r="L33" s="6">
        <f t="shared" si="37"/>
        <v>2439.6397071060078</v>
      </c>
      <c r="M33" s="6">
        <f t="shared" si="37"/>
        <v>2182.6572514937534</v>
      </c>
      <c r="N33" s="6">
        <f t="shared" si="37"/>
        <v>2172.6364313652448</v>
      </c>
      <c r="O33" s="6">
        <f t="shared" si="37"/>
        <v>2274.2147602801224</v>
      </c>
      <c r="P33" s="6">
        <f t="shared" si="37"/>
        <v>1805.769909552173</v>
      </c>
      <c r="Q33" s="6">
        <f t="shared" si="37"/>
        <v>2567.5155592935239</v>
      </c>
      <c r="R33" s="6">
        <f t="shared" si="37"/>
        <v>2425.3225288831836</v>
      </c>
      <c r="S33" s="6">
        <f t="shared" si="37"/>
        <v>2578.2231932773111</v>
      </c>
      <c r="T33" s="6">
        <f t="shared" si="37"/>
        <v>2897.9488253778241</v>
      </c>
      <c r="U33" s="6">
        <f t="shared" si="37"/>
        <v>2581</v>
      </c>
      <c r="V33" s="6">
        <f t="shared" si="37"/>
        <v>3184.1707865168537</v>
      </c>
      <c r="W33" s="6">
        <f t="shared" si="37"/>
        <v>3199.98</v>
      </c>
      <c r="X33" s="6">
        <f t="shared" si="37"/>
        <v>2808.12</v>
      </c>
      <c r="Y33" s="6">
        <f t="shared" si="37"/>
        <v>3394.2175579329114</v>
      </c>
      <c r="Z33" s="6">
        <f t="shared" si="37"/>
        <v>3848.1293118398248</v>
      </c>
      <c r="AA33" s="6">
        <f t="shared" si="37"/>
        <v>3528.4200000000005</v>
      </c>
      <c r="AB33" s="6">
        <f t="shared" si="37"/>
        <v>3641.3999999999996</v>
      </c>
      <c r="AC33" s="6">
        <f t="shared" si="37"/>
        <v>3407.0400000000004</v>
      </c>
      <c r="AD33" s="224">
        <f t="shared" si="37"/>
        <v>4120.62</v>
      </c>
      <c r="AE33" s="224">
        <f t="shared" si="37"/>
        <v>3869.5243810873644</v>
      </c>
      <c r="AF33" s="224">
        <f t="shared" si="37"/>
        <v>3819.9435237893208</v>
      </c>
      <c r="AG33" s="224">
        <f t="shared" si="37"/>
        <v>3381.0000000000005</v>
      </c>
      <c r="AH33" s="224">
        <f t="shared" si="37"/>
        <v>3990.0000000000009</v>
      </c>
      <c r="AI33" s="224">
        <f t="shared" si="37"/>
        <v>3990.0000000000018</v>
      </c>
      <c r="AJ33" s="224">
        <f t="shared" si="37"/>
        <v>4032.0000000000009</v>
      </c>
      <c r="AK33" s="224">
        <f t="shared" si="37"/>
        <v>4074.0000000000009</v>
      </c>
      <c r="AL33" s="224">
        <f t="shared" si="37"/>
        <v>4116.0000000000018</v>
      </c>
      <c r="AM33" s="224">
        <f t="shared" si="37"/>
        <v>4200.0000000000018</v>
      </c>
      <c r="AN33" s="212"/>
      <c r="AO33" s="212"/>
      <c r="AP33" s="225"/>
    </row>
    <row r="34" spans="1:49" ht="15.75">
      <c r="A34" s="3" t="s">
        <v>6</v>
      </c>
      <c r="B34" s="6">
        <v>152</v>
      </c>
      <c r="C34" s="6">
        <v>127</v>
      </c>
      <c r="D34" s="6">
        <v>108</v>
      </c>
      <c r="E34" s="6">
        <v>108</v>
      </c>
      <c r="F34" s="6">
        <f t="shared" ref="F34:AF34" si="38">F267</f>
        <v>197.78699999999998</v>
      </c>
      <c r="G34" s="6">
        <f t="shared" si="38"/>
        <v>221.065</v>
      </c>
      <c r="H34" s="6">
        <f t="shared" si="38"/>
        <v>144.74099999999999</v>
      </c>
      <c r="I34" s="6">
        <f t="shared" si="38"/>
        <v>294.95799999999997</v>
      </c>
      <c r="J34" s="6">
        <f t="shared" si="38"/>
        <v>695.428</v>
      </c>
      <c r="K34" s="6">
        <f t="shared" si="38"/>
        <v>741.89300000000003</v>
      </c>
      <c r="L34" s="6">
        <f t="shared" si="38"/>
        <v>494.34799999999996</v>
      </c>
      <c r="M34" s="6">
        <f t="shared" si="38"/>
        <v>882.37499999999989</v>
      </c>
      <c r="N34" s="6">
        <f t="shared" si="38"/>
        <v>1261.4490000000001</v>
      </c>
      <c r="O34" s="6">
        <f t="shared" si="38"/>
        <v>1219.7900000000002</v>
      </c>
      <c r="P34" s="6">
        <f t="shared" si="38"/>
        <v>1208.9880000000001</v>
      </c>
      <c r="Q34" s="6">
        <f t="shared" si="38"/>
        <v>1059.9930000000002</v>
      </c>
      <c r="R34" s="6">
        <f t="shared" si="38"/>
        <v>968.64400000000001</v>
      </c>
      <c r="S34" s="6">
        <f t="shared" si="38"/>
        <v>816.61</v>
      </c>
      <c r="T34" s="6">
        <f t="shared" si="38"/>
        <v>991.74</v>
      </c>
      <c r="U34" s="6">
        <f t="shared" si="38"/>
        <v>942.43300000000011</v>
      </c>
      <c r="V34" s="6">
        <f t="shared" si="38"/>
        <v>1039.377</v>
      </c>
      <c r="W34" s="6">
        <f t="shared" si="38"/>
        <v>824.99</v>
      </c>
      <c r="X34" s="7">
        <f t="shared" si="38"/>
        <v>1355.5339999999999</v>
      </c>
      <c r="Y34" s="7">
        <f t="shared" si="38"/>
        <v>1820.0130000000001</v>
      </c>
      <c r="Z34" s="7">
        <f t="shared" si="38"/>
        <v>1622.6810000000003</v>
      </c>
      <c r="AA34" s="7">
        <f t="shared" si="38"/>
        <v>2010.4709060000002</v>
      </c>
      <c r="AB34" s="7">
        <f t="shared" si="38"/>
        <v>2348.9520310000003</v>
      </c>
      <c r="AC34" s="7">
        <f t="shared" si="38"/>
        <v>1591.662797</v>
      </c>
      <c r="AD34" s="7">
        <f t="shared" si="38"/>
        <v>2103.9279609999994</v>
      </c>
      <c r="AE34" s="7">
        <f t="shared" si="38"/>
        <v>2097.5039350000002</v>
      </c>
      <c r="AF34" s="7">
        <f t="shared" si="38"/>
        <v>2966.6225999999992</v>
      </c>
      <c r="AG34" s="8">
        <v>3000</v>
      </c>
      <c r="AH34" s="8">
        <v>2450</v>
      </c>
      <c r="AI34" s="8">
        <v>2500</v>
      </c>
      <c r="AJ34" s="8">
        <v>2600</v>
      </c>
      <c r="AK34" s="8">
        <v>2700</v>
      </c>
      <c r="AL34" s="8">
        <v>2750</v>
      </c>
      <c r="AM34" s="8">
        <v>2825</v>
      </c>
      <c r="AN34" s="212"/>
      <c r="AO34" s="212"/>
      <c r="AP34" s="225"/>
    </row>
    <row r="35" spans="1:49" ht="15.75">
      <c r="A35" s="221" t="s">
        <v>7</v>
      </c>
      <c r="B35" s="13">
        <f>SUM(B32:B34)</f>
        <v>2800.0116575615757</v>
      </c>
      <c r="C35" s="13">
        <f t="shared" ref="C35:AM35" si="39">SUM(C32:C34)</f>
        <v>3139.6619361477756</v>
      </c>
      <c r="D35" s="13">
        <f t="shared" si="39"/>
        <v>3432.4713821068221</v>
      </c>
      <c r="E35" s="13">
        <f t="shared" si="39"/>
        <v>3710.1259161930348</v>
      </c>
      <c r="F35" s="13">
        <f t="shared" si="39"/>
        <v>3438.4648473222746</v>
      </c>
      <c r="G35" s="13">
        <f t="shared" si="39"/>
        <v>3502.7282554620424</v>
      </c>
      <c r="H35" s="13">
        <f t="shared" si="39"/>
        <v>3204.2748120003389</v>
      </c>
      <c r="I35" s="13">
        <f t="shared" si="39"/>
        <v>3053.6835819297053</v>
      </c>
      <c r="J35" s="13">
        <f t="shared" si="39"/>
        <v>2931.6157682550465</v>
      </c>
      <c r="K35" s="13">
        <f t="shared" si="39"/>
        <v>3093.4485042785177</v>
      </c>
      <c r="L35" s="13">
        <f t="shared" si="39"/>
        <v>3225.9877071060077</v>
      </c>
      <c r="M35" s="13">
        <f t="shared" si="39"/>
        <v>3371.0322514937534</v>
      </c>
      <c r="N35" s="13">
        <f t="shared" si="39"/>
        <v>3699.0854313652449</v>
      </c>
      <c r="O35" s="13">
        <f t="shared" si="39"/>
        <v>3797.0047602801224</v>
      </c>
      <c r="P35" s="13">
        <f t="shared" si="39"/>
        <v>3352.7579095521733</v>
      </c>
      <c r="Q35" s="13">
        <f t="shared" si="39"/>
        <v>3942.5085592935238</v>
      </c>
      <c r="R35" s="13">
        <f t="shared" si="39"/>
        <v>3918.9665288831839</v>
      </c>
      <c r="S35" s="13">
        <f t="shared" si="39"/>
        <v>3846.8331932773112</v>
      </c>
      <c r="T35" s="13">
        <f t="shared" si="39"/>
        <v>4184.6888253778243</v>
      </c>
      <c r="U35" s="13">
        <f t="shared" si="39"/>
        <v>4022.433</v>
      </c>
      <c r="V35" s="13">
        <f t="shared" si="39"/>
        <v>4409.5477865168541</v>
      </c>
      <c r="W35" s="13">
        <f t="shared" si="39"/>
        <v>4353.97</v>
      </c>
      <c r="X35" s="14">
        <f t="shared" si="39"/>
        <v>4415.6539999999995</v>
      </c>
      <c r="Y35" s="14">
        <f t="shared" si="39"/>
        <v>5372.2305579329113</v>
      </c>
      <c r="Z35" s="14">
        <f t="shared" si="39"/>
        <v>5824.8103118398249</v>
      </c>
      <c r="AA35" s="14">
        <f t="shared" si="39"/>
        <v>5796.8909060000005</v>
      </c>
      <c r="AB35" s="14">
        <f t="shared" si="39"/>
        <v>6362.3520310000004</v>
      </c>
      <c r="AC35" s="14">
        <f t="shared" si="39"/>
        <v>5646.7027969999999</v>
      </c>
      <c r="AD35" s="14">
        <f t="shared" si="39"/>
        <v>6435.5479609999993</v>
      </c>
      <c r="AE35" s="14">
        <f t="shared" si="39"/>
        <v>6613.0283160873641</v>
      </c>
      <c r="AF35" s="14">
        <f t="shared" si="39"/>
        <v>7078.56612378932</v>
      </c>
      <c r="AG35" s="15">
        <f t="shared" si="39"/>
        <v>7122</v>
      </c>
      <c r="AH35" s="15">
        <f t="shared" si="39"/>
        <v>6940.0000000000009</v>
      </c>
      <c r="AI35" s="15">
        <f t="shared" si="39"/>
        <v>6890.0000000000018</v>
      </c>
      <c r="AJ35" s="15">
        <f t="shared" si="39"/>
        <v>7182.0000000000009</v>
      </c>
      <c r="AK35" s="15">
        <f t="shared" si="39"/>
        <v>7274.0000000000009</v>
      </c>
      <c r="AL35" s="15">
        <f t="shared" si="39"/>
        <v>7416.0000000000018</v>
      </c>
      <c r="AM35" s="15">
        <f t="shared" si="39"/>
        <v>7525.0000000000018</v>
      </c>
      <c r="AN35" s="212"/>
      <c r="AO35" s="212"/>
      <c r="AP35" s="225"/>
    </row>
    <row r="36" spans="1:49" ht="15.75">
      <c r="A36" s="3" t="s">
        <v>24</v>
      </c>
      <c r="B36" s="6">
        <f>B41-B40</f>
        <v>2487.0116575615757</v>
      </c>
      <c r="C36" s="6">
        <f t="shared" ref="C36:AB36" si="40">C41-C40</f>
        <v>2632.6619361477756</v>
      </c>
      <c r="D36" s="6">
        <f t="shared" si="40"/>
        <v>2917.4713821068221</v>
      </c>
      <c r="E36" s="6">
        <f t="shared" si="40"/>
        <v>2956.1259161930348</v>
      </c>
      <c r="F36" s="6">
        <f t="shared" si="40"/>
        <v>2949.2078473222746</v>
      </c>
      <c r="G36" s="6">
        <f t="shared" si="40"/>
        <v>2913.7562554620426</v>
      </c>
      <c r="H36" s="6">
        <f t="shared" si="40"/>
        <v>2643.3448120003391</v>
      </c>
      <c r="I36" s="6">
        <f t="shared" si="40"/>
        <v>2543.2575819297053</v>
      </c>
      <c r="J36" s="6">
        <f t="shared" si="40"/>
        <v>2544.6947682550467</v>
      </c>
      <c r="K36" s="6">
        <f t="shared" si="40"/>
        <v>2645.1905042785179</v>
      </c>
      <c r="L36" s="6">
        <f t="shared" si="40"/>
        <v>2702.2407071060079</v>
      </c>
      <c r="M36" s="6">
        <f t="shared" si="40"/>
        <v>2918.9032514937535</v>
      </c>
      <c r="N36" s="6">
        <f t="shared" si="40"/>
        <v>3262.838431365245</v>
      </c>
      <c r="O36" s="6">
        <f t="shared" si="40"/>
        <v>3311.9467602801224</v>
      </c>
      <c r="P36" s="6">
        <f t="shared" si="40"/>
        <v>2925.1259095521732</v>
      </c>
      <c r="Q36" s="6">
        <f t="shared" si="40"/>
        <v>3291.1535592935238</v>
      </c>
      <c r="R36" s="6">
        <f t="shared" si="40"/>
        <v>3315.788528883184</v>
      </c>
      <c r="S36" s="6">
        <f t="shared" si="40"/>
        <v>3388.3581932773113</v>
      </c>
      <c r="T36" s="6">
        <f t="shared" si="40"/>
        <v>3481.9938253778241</v>
      </c>
      <c r="U36" s="6">
        <f t="shared" si="40"/>
        <v>3598.5039999999999</v>
      </c>
      <c r="V36" s="6">
        <f t="shared" si="40"/>
        <v>3714.6897865168539</v>
      </c>
      <c r="W36" s="6">
        <f t="shared" si="40"/>
        <v>3692.8620000000001</v>
      </c>
      <c r="X36" s="7">
        <f t="shared" si="40"/>
        <v>3890.3919999999994</v>
      </c>
      <c r="Y36" s="7">
        <f t="shared" si="40"/>
        <v>4554.773557932911</v>
      </c>
      <c r="Z36" s="7">
        <f t="shared" si="40"/>
        <v>5032.8443118398245</v>
      </c>
      <c r="AA36" s="7">
        <f t="shared" si="40"/>
        <v>4900.9808500000008</v>
      </c>
      <c r="AB36" s="7">
        <f t="shared" si="40"/>
        <v>4851.5121340000005</v>
      </c>
      <c r="AC36" s="7">
        <f>AC41-AC40</f>
        <v>4754.0714829999997</v>
      </c>
      <c r="AD36" s="7">
        <f t="shared" ref="AD36:AM36" si="41">AD41-AD40</f>
        <v>4950.3512589999991</v>
      </c>
      <c r="AE36" s="7">
        <f t="shared" si="41"/>
        <v>5093.1978250873644</v>
      </c>
      <c r="AF36" s="7">
        <f t="shared" si="41"/>
        <v>5380.5916527893205</v>
      </c>
      <c r="AG36" s="8">
        <f t="shared" si="41"/>
        <v>5622</v>
      </c>
      <c r="AH36" s="8">
        <f t="shared" si="41"/>
        <v>5690.0000000000009</v>
      </c>
      <c r="AI36" s="8">
        <f t="shared" si="41"/>
        <v>5790.0000000000018</v>
      </c>
      <c r="AJ36" s="8">
        <f t="shared" si="41"/>
        <v>6182.0000000000009</v>
      </c>
      <c r="AK36" s="8">
        <f t="shared" si="41"/>
        <v>6324.0000000000009</v>
      </c>
      <c r="AL36" s="8">
        <f t="shared" si="41"/>
        <v>6516.0000000000018</v>
      </c>
      <c r="AM36" s="8">
        <f t="shared" si="41"/>
        <v>6625.0000000000018</v>
      </c>
      <c r="AN36" s="212"/>
      <c r="AO36" s="212"/>
      <c r="AP36" s="225"/>
    </row>
    <row r="37" spans="1:49" ht="15.75">
      <c r="A37" s="3" t="s">
        <v>30</v>
      </c>
      <c r="B37" s="6">
        <v>73</v>
      </c>
      <c r="C37" s="6">
        <v>147</v>
      </c>
      <c r="D37" s="6">
        <v>152</v>
      </c>
      <c r="E37" s="6">
        <v>181</v>
      </c>
      <c r="F37" s="6">
        <v>147</v>
      </c>
      <c r="G37" s="6">
        <v>149</v>
      </c>
      <c r="H37" s="6">
        <v>149</v>
      </c>
      <c r="I37" s="6">
        <v>130</v>
      </c>
      <c r="J37" s="6">
        <v>98</v>
      </c>
      <c r="K37" s="6">
        <v>102</v>
      </c>
      <c r="L37" s="6">
        <v>102</v>
      </c>
      <c r="M37" s="6">
        <v>154</v>
      </c>
      <c r="N37" s="6">
        <v>142</v>
      </c>
      <c r="O37" s="6">
        <v>173</v>
      </c>
      <c r="P37" s="6">
        <v>271</v>
      </c>
      <c r="Q37" s="6">
        <v>220</v>
      </c>
      <c r="R37" s="6">
        <v>220</v>
      </c>
      <c r="S37" s="6">
        <v>220</v>
      </c>
      <c r="T37" s="6">
        <v>250</v>
      </c>
      <c r="U37" s="6">
        <v>290</v>
      </c>
      <c r="V37" s="6">
        <v>310</v>
      </c>
      <c r="W37" s="6">
        <v>310</v>
      </c>
      <c r="X37" s="7">
        <v>420</v>
      </c>
      <c r="Y37" s="7">
        <v>450</v>
      </c>
      <c r="Z37" s="7">
        <v>470</v>
      </c>
      <c r="AA37" s="7">
        <v>500</v>
      </c>
      <c r="AB37" s="7">
        <v>500</v>
      </c>
      <c r="AC37" s="7">
        <v>500</v>
      </c>
      <c r="AD37" s="7">
        <v>525</v>
      </c>
      <c r="AE37" s="7">
        <v>550</v>
      </c>
      <c r="AF37" s="7">
        <v>550</v>
      </c>
      <c r="AG37" s="8">
        <v>450</v>
      </c>
      <c r="AH37" s="8">
        <v>450</v>
      </c>
      <c r="AI37" s="8">
        <v>450</v>
      </c>
      <c r="AJ37" s="8">
        <v>450</v>
      </c>
      <c r="AK37" s="8">
        <v>450</v>
      </c>
      <c r="AL37" s="8">
        <v>450</v>
      </c>
      <c r="AM37" s="8">
        <v>450</v>
      </c>
      <c r="AN37" s="223"/>
      <c r="AO37" s="223"/>
      <c r="AP37" s="225"/>
    </row>
    <row r="38" spans="1:49" ht="15.75">
      <c r="A38" s="3" t="s">
        <v>31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7</v>
      </c>
      <c r="I38" s="6">
        <v>9</v>
      </c>
      <c r="J38" s="6">
        <v>2</v>
      </c>
      <c r="K38" s="6">
        <v>3</v>
      </c>
      <c r="L38" s="6">
        <v>3</v>
      </c>
      <c r="M38" s="6">
        <v>3</v>
      </c>
      <c r="N38" s="6">
        <v>2</v>
      </c>
      <c r="O38" s="6">
        <v>3</v>
      </c>
      <c r="P38" s="6">
        <v>2</v>
      </c>
      <c r="Q38" s="6">
        <v>3</v>
      </c>
      <c r="R38" s="6">
        <v>3</v>
      </c>
      <c r="S38" s="6">
        <v>3</v>
      </c>
      <c r="T38" s="6">
        <v>5</v>
      </c>
      <c r="U38" s="6">
        <v>5</v>
      </c>
      <c r="V38" s="6">
        <v>10</v>
      </c>
      <c r="W38" s="6">
        <v>10</v>
      </c>
      <c r="X38" s="7">
        <v>10</v>
      </c>
      <c r="Y38" s="7">
        <v>10</v>
      </c>
      <c r="Z38" s="7">
        <v>13</v>
      </c>
      <c r="AA38" s="7">
        <v>13</v>
      </c>
      <c r="AB38" s="7">
        <v>13</v>
      </c>
      <c r="AC38" s="7">
        <v>13</v>
      </c>
      <c r="AD38" s="7">
        <v>13</v>
      </c>
      <c r="AE38" s="7">
        <v>13</v>
      </c>
      <c r="AF38" s="7">
        <v>13</v>
      </c>
      <c r="AG38" s="8">
        <v>13</v>
      </c>
      <c r="AH38" s="8">
        <v>13</v>
      </c>
      <c r="AI38" s="8">
        <v>13</v>
      </c>
      <c r="AJ38" s="8">
        <v>13</v>
      </c>
      <c r="AK38" s="8">
        <v>13</v>
      </c>
      <c r="AL38" s="8">
        <v>13</v>
      </c>
      <c r="AM38" s="8">
        <v>13</v>
      </c>
      <c r="AN38" s="223"/>
      <c r="AO38" s="223"/>
      <c r="AP38" s="225"/>
    </row>
    <row r="39" spans="1:49" ht="15.75">
      <c r="A39" s="3" t="s">
        <v>32</v>
      </c>
      <c r="B39" s="6">
        <f>B36-B37</f>
        <v>2414.0116575615757</v>
      </c>
      <c r="C39" s="6">
        <f t="shared" ref="C39:AB39" si="42">C36-C37</f>
        <v>2485.6619361477756</v>
      </c>
      <c r="D39" s="6">
        <f t="shared" si="42"/>
        <v>2765.4713821068221</v>
      </c>
      <c r="E39" s="6">
        <f t="shared" si="42"/>
        <v>2775.1259161930348</v>
      </c>
      <c r="F39" s="6">
        <f t="shared" si="42"/>
        <v>2802.2078473222746</v>
      </c>
      <c r="G39" s="6">
        <f t="shared" si="42"/>
        <v>2764.7562554620426</v>
      </c>
      <c r="H39" s="6">
        <f t="shared" si="42"/>
        <v>2494.3448120003391</v>
      </c>
      <c r="I39" s="6">
        <f t="shared" si="42"/>
        <v>2413.2575819297053</v>
      </c>
      <c r="J39" s="6">
        <f t="shared" si="42"/>
        <v>2446.6947682550467</v>
      </c>
      <c r="K39" s="6">
        <f t="shared" si="42"/>
        <v>2543.1905042785179</v>
      </c>
      <c r="L39" s="6">
        <f t="shared" si="42"/>
        <v>2600.2407071060079</v>
      </c>
      <c r="M39" s="6">
        <f t="shared" si="42"/>
        <v>2764.9032514937535</v>
      </c>
      <c r="N39" s="6">
        <f t="shared" si="42"/>
        <v>3120.838431365245</v>
      </c>
      <c r="O39" s="6">
        <f t="shared" si="42"/>
        <v>3138.9467602801224</v>
      </c>
      <c r="P39" s="6">
        <f t="shared" si="42"/>
        <v>2654.1259095521732</v>
      </c>
      <c r="Q39" s="6">
        <f t="shared" si="42"/>
        <v>3071.1535592935238</v>
      </c>
      <c r="R39" s="6">
        <f t="shared" si="42"/>
        <v>3095.788528883184</v>
      </c>
      <c r="S39" s="6">
        <f t="shared" si="42"/>
        <v>3168.3581932773113</v>
      </c>
      <c r="T39" s="6">
        <f t="shared" si="42"/>
        <v>3231.9938253778241</v>
      </c>
      <c r="U39" s="6">
        <f t="shared" si="42"/>
        <v>3308.5039999999999</v>
      </c>
      <c r="V39" s="6">
        <f t="shared" si="42"/>
        <v>3404.6897865168539</v>
      </c>
      <c r="W39" s="6">
        <f t="shared" si="42"/>
        <v>3382.8620000000001</v>
      </c>
      <c r="X39" s="7">
        <f t="shared" si="42"/>
        <v>3470.3919999999994</v>
      </c>
      <c r="Y39" s="7">
        <f t="shared" si="42"/>
        <v>4104.773557932911</v>
      </c>
      <c r="Z39" s="7">
        <f t="shared" si="42"/>
        <v>4562.8443118398245</v>
      </c>
      <c r="AA39" s="7">
        <f t="shared" si="42"/>
        <v>4400.9808500000008</v>
      </c>
      <c r="AB39" s="7">
        <f t="shared" si="42"/>
        <v>4351.5121340000005</v>
      </c>
      <c r="AC39" s="7">
        <f>AC36-AC37-AC38</f>
        <v>4241.0714829999997</v>
      </c>
      <c r="AD39" s="7">
        <f t="shared" ref="AD39:AM39" si="43">AD36-AD37-AD38</f>
        <v>4412.3512589999991</v>
      </c>
      <c r="AE39" s="7">
        <f t="shared" si="43"/>
        <v>4530.1978250873644</v>
      </c>
      <c r="AF39" s="7">
        <f t="shared" si="43"/>
        <v>4817.5916527893205</v>
      </c>
      <c r="AG39" s="8">
        <f t="shared" si="43"/>
        <v>5159</v>
      </c>
      <c r="AH39" s="8">
        <f t="shared" si="43"/>
        <v>5227.0000000000009</v>
      </c>
      <c r="AI39" s="8">
        <f t="shared" si="43"/>
        <v>5327.0000000000018</v>
      </c>
      <c r="AJ39" s="8">
        <f t="shared" si="43"/>
        <v>5719.0000000000009</v>
      </c>
      <c r="AK39" s="8">
        <f t="shared" si="43"/>
        <v>5861.0000000000009</v>
      </c>
      <c r="AL39" s="8">
        <f t="shared" si="43"/>
        <v>6053.0000000000018</v>
      </c>
      <c r="AM39" s="8">
        <f t="shared" si="43"/>
        <v>6162.0000000000018</v>
      </c>
      <c r="AN39" s="212"/>
      <c r="AO39" s="212"/>
      <c r="AP39" s="225"/>
    </row>
    <row r="40" spans="1:49" ht="15.75">
      <c r="A40" s="3" t="s">
        <v>9</v>
      </c>
      <c r="B40" s="6">
        <v>114</v>
      </c>
      <c r="C40" s="6">
        <v>233</v>
      </c>
      <c r="D40" s="6">
        <v>141</v>
      </c>
      <c r="E40" s="6">
        <v>458</v>
      </c>
      <c r="F40" s="6">
        <f t="shared" ref="F40:AF40" si="44">F283</f>
        <v>251.25699999999995</v>
      </c>
      <c r="G40" s="6">
        <f t="shared" si="44"/>
        <v>289.97199999999998</v>
      </c>
      <c r="H40" s="6">
        <f t="shared" si="44"/>
        <v>240.92999999999998</v>
      </c>
      <c r="I40" s="6">
        <f t="shared" si="44"/>
        <v>184.42599999999999</v>
      </c>
      <c r="J40" s="6">
        <f t="shared" si="44"/>
        <v>102.92099999999999</v>
      </c>
      <c r="K40" s="6">
        <f t="shared" si="44"/>
        <v>156.25799999999998</v>
      </c>
      <c r="L40" s="6">
        <f t="shared" si="44"/>
        <v>217.74700000000001</v>
      </c>
      <c r="M40" s="6">
        <f t="shared" si="44"/>
        <v>187.12900000000002</v>
      </c>
      <c r="N40" s="6">
        <f t="shared" si="44"/>
        <v>133.24700000000001</v>
      </c>
      <c r="O40" s="6">
        <f t="shared" si="44"/>
        <v>147.05799999999999</v>
      </c>
      <c r="P40" s="6">
        <f t="shared" si="44"/>
        <v>112.63200000000001</v>
      </c>
      <c r="Q40" s="6">
        <f t="shared" si="44"/>
        <v>126.35499999999999</v>
      </c>
      <c r="R40" s="6">
        <f t="shared" si="44"/>
        <v>151.17800000000003</v>
      </c>
      <c r="S40" s="6">
        <f t="shared" si="44"/>
        <v>163.47500000000002</v>
      </c>
      <c r="T40" s="6">
        <f t="shared" si="44"/>
        <v>203.69499999999999</v>
      </c>
      <c r="U40" s="6">
        <f t="shared" si="44"/>
        <v>237.929</v>
      </c>
      <c r="V40" s="6">
        <f t="shared" si="44"/>
        <v>365.858</v>
      </c>
      <c r="W40" s="6">
        <f t="shared" si="44"/>
        <v>409.10799999999995</v>
      </c>
      <c r="X40" s="7">
        <f t="shared" si="44"/>
        <v>367.262</v>
      </c>
      <c r="Y40" s="7">
        <f t="shared" si="44"/>
        <v>463.45699999999994</v>
      </c>
      <c r="Z40" s="7">
        <f t="shared" si="44"/>
        <v>533.96600000000001</v>
      </c>
      <c r="AA40" s="7">
        <f t="shared" si="44"/>
        <v>523.91005599999994</v>
      </c>
      <c r="AB40" s="7">
        <f t="shared" si="44"/>
        <v>862.83989699999961</v>
      </c>
      <c r="AC40" s="7">
        <f t="shared" si="44"/>
        <v>681.63131399999997</v>
      </c>
      <c r="AD40" s="7">
        <f t="shared" si="44"/>
        <v>839.19670200000007</v>
      </c>
      <c r="AE40" s="7">
        <f t="shared" si="44"/>
        <v>1227.8304909999999</v>
      </c>
      <c r="AF40" s="7">
        <f t="shared" si="44"/>
        <v>956.97447099999965</v>
      </c>
      <c r="AG40" s="8">
        <v>1000</v>
      </c>
      <c r="AH40" s="8">
        <v>850</v>
      </c>
      <c r="AI40" s="8">
        <v>550</v>
      </c>
      <c r="AJ40" s="8">
        <v>500</v>
      </c>
      <c r="AK40" s="8">
        <v>400</v>
      </c>
      <c r="AL40" s="8">
        <v>400</v>
      </c>
      <c r="AM40" s="8">
        <v>400</v>
      </c>
      <c r="AN40" s="223"/>
      <c r="AO40" s="223"/>
      <c r="AP40" s="225"/>
    </row>
    <row r="41" spans="1:49" ht="15.75">
      <c r="A41" s="221" t="s">
        <v>12</v>
      </c>
      <c r="B41" s="13">
        <f>B35-B42</f>
        <v>2601.0116575615757</v>
      </c>
      <c r="C41" s="13">
        <f t="shared" ref="C41:AM41" si="45">C35-C42</f>
        <v>2865.6619361477756</v>
      </c>
      <c r="D41" s="13">
        <f t="shared" si="45"/>
        <v>3058.4713821068221</v>
      </c>
      <c r="E41" s="13">
        <f t="shared" si="45"/>
        <v>3414.1259161930348</v>
      </c>
      <c r="F41" s="13">
        <f t="shared" si="45"/>
        <v>3200.4648473222746</v>
      </c>
      <c r="G41" s="13">
        <f t="shared" si="45"/>
        <v>3203.7282554620424</v>
      </c>
      <c r="H41" s="13">
        <f t="shared" si="45"/>
        <v>2884.2748120003389</v>
      </c>
      <c r="I41" s="13">
        <f t="shared" si="45"/>
        <v>2727.6835819297053</v>
      </c>
      <c r="J41" s="13">
        <f t="shared" si="45"/>
        <v>2647.6157682550465</v>
      </c>
      <c r="K41" s="13">
        <f t="shared" si="45"/>
        <v>2801.4485042785177</v>
      </c>
      <c r="L41" s="13">
        <f t="shared" si="45"/>
        <v>2919.9877071060077</v>
      </c>
      <c r="M41" s="13">
        <f t="shared" si="45"/>
        <v>3106.0322514937534</v>
      </c>
      <c r="N41" s="13">
        <f t="shared" si="45"/>
        <v>3396.0854313652449</v>
      </c>
      <c r="O41" s="13">
        <f t="shared" si="45"/>
        <v>3459.0047602801224</v>
      </c>
      <c r="P41" s="13">
        <f t="shared" si="45"/>
        <v>3037.7579095521733</v>
      </c>
      <c r="Q41" s="13">
        <f t="shared" si="45"/>
        <v>3417.5085592935238</v>
      </c>
      <c r="R41" s="13">
        <f t="shared" si="45"/>
        <v>3466.9665288831839</v>
      </c>
      <c r="S41" s="13">
        <f t="shared" si="45"/>
        <v>3551.8331932773112</v>
      </c>
      <c r="T41" s="13">
        <f t="shared" si="45"/>
        <v>3685.6888253778243</v>
      </c>
      <c r="U41" s="13">
        <f t="shared" si="45"/>
        <v>3836.433</v>
      </c>
      <c r="V41" s="13">
        <f t="shared" si="45"/>
        <v>4080.5477865168541</v>
      </c>
      <c r="W41" s="13">
        <f t="shared" si="45"/>
        <v>4101.97</v>
      </c>
      <c r="X41" s="14">
        <f t="shared" si="45"/>
        <v>4257.6539999999995</v>
      </c>
      <c r="Y41" s="14">
        <f t="shared" si="45"/>
        <v>5018.2305579329113</v>
      </c>
      <c r="Z41" s="14">
        <f t="shared" si="45"/>
        <v>5566.8103118398249</v>
      </c>
      <c r="AA41" s="14">
        <f t="shared" si="45"/>
        <v>5424.8909060000005</v>
      </c>
      <c r="AB41" s="14">
        <f t="shared" si="45"/>
        <v>5714.3520310000004</v>
      </c>
      <c r="AC41" s="14">
        <f t="shared" si="45"/>
        <v>5435.7027969999999</v>
      </c>
      <c r="AD41" s="14">
        <f t="shared" si="45"/>
        <v>5789.5479609999993</v>
      </c>
      <c r="AE41" s="14">
        <f t="shared" si="45"/>
        <v>6321.0283160873641</v>
      </c>
      <c r="AF41" s="14">
        <f t="shared" si="45"/>
        <v>6337.56612378932</v>
      </c>
      <c r="AG41" s="15">
        <f t="shared" si="45"/>
        <v>6622</v>
      </c>
      <c r="AH41" s="15">
        <f t="shared" si="45"/>
        <v>6540.0000000000009</v>
      </c>
      <c r="AI41" s="15">
        <f t="shared" si="45"/>
        <v>6340.0000000000018</v>
      </c>
      <c r="AJ41" s="15">
        <f t="shared" si="45"/>
        <v>6682.0000000000009</v>
      </c>
      <c r="AK41" s="15">
        <f t="shared" si="45"/>
        <v>6724.0000000000009</v>
      </c>
      <c r="AL41" s="15">
        <f t="shared" si="45"/>
        <v>6916.0000000000018</v>
      </c>
      <c r="AM41" s="15">
        <f t="shared" si="45"/>
        <v>7025.0000000000018</v>
      </c>
      <c r="AN41" s="201"/>
      <c r="AO41" s="201"/>
      <c r="AP41" s="201"/>
    </row>
    <row r="42" spans="1:49" ht="15.75">
      <c r="A42" s="3" t="s">
        <v>317</v>
      </c>
      <c r="B42" s="6">
        <v>199</v>
      </c>
      <c r="C42" s="6">
        <v>274</v>
      </c>
      <c r="D42" s="6">
        <v>374</v>
      </c>
      <c r="E42" s="6">
        <v>296</v>
      </c>
      <c r="F42" s="6">
        <v>238</v>
      </c>
      <c r="G42" s="6">
        <v>299</v>
      </c>
      <c r="H42" s="6">
        <v>320</v>
      </c>
      <c r="I42" s="6">
        <v>326</v>
      </c>
      <c r="J42" s="6">
        <v>284</v>
      </c>
      <c r="K42" s="6">
        <v>292</v>
      </c>
      <c r="L42" s="6">
        <v>306</v>
      </c>
      <c r="M42" s="6">
        <v>265</v>
      </c>
      <c r="N42" s="6">
        <v>303</v>
      </c>
      <c r="O42" s="6">
        <v>338</v>
      </c>
      <c r="P42" s="6">
        <v>315</v>
      </c>
      <c r="Q42" s="6">
        <v>525</v>
      </c>
      <c r="R42" s="6">
        <v>452</v>
      </c>
      <c r="S42" s="6">
        <v>295</v>
      </c>
      <c r="T42" s="6">
        <v>499</v>
      </c>
      <c r="U42" s="6">
        <v>186</v>
      </c>
      <c r="V42" s="6">
        <v>329</v>
      </c>
      <c r="W42" s="6">
        <v>252</v>
      </c>
      <c r="X42" s="7">
        <v>158</v>
      </c>
      <c r="Y42" s="7">
        <v>354</v>
      </c>
      <c r="Z42" s="7">
        <v>258</v>
      </c>
      <c r="AA42" s="7">
        <v>372</v>
      </c>
      <c r="AB42" s="7">
        <v>648</v>
      </c>
      <c r="AC42" s="7">
        <v>211</v>
      </c>
      <c r="AD42" s="7">
        <v>646</v>
      </c>
      <c r="AE42" s="7">
        <v>292</v>
      </c>
      <c r="AF42" s="7">
        <v>741</v>
      </c>
      <c r="AG42" s="8">
        <v>500</v>
      </c>
      <c r="AH42" s="8">
        <v>400</v>
      </c>
      <c r="AI42" s="8">
        <v>550</v>
      </c>
      <c r="AJ42" s="8">
        <v>500</v>
      </c>
      <c r="AK42" s="8">
        <v>550</v>
      </c>
      <c r="AL42" s="8">
        <v>500</v>
      </c>
      <c r="AM42" s="8">
        <v>500</v>
      </c>
      <c r="AN42" s="223"/>
      <c r="AO42" s="223"/>
      <c r="AP42" s="225"/>
    </row>
    <row r="43" spans="1:49" ht="16.5" thickBot="1">
      <c r="A43" s="3" t="s">
        <v>225</v>
      </c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</row>
    <row r="44" spans="1:49">
      <c r="A44" s="25" t="s">
        <v>319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W44">
        <v>70</v>
      </c>
    </row>
    <row r="45" spans="1:49">
      <c r="A45" s="26"/>
      <c r="B45" s="234">
        <v>1993</v>
      </c>
      <c r="C45" s="234">
        <v>1994</v>
      </c>
      <c r="D45" s="234">
        <v>1995</v>
      </c>
      <c r="E45" s="234">
        <v>1996</v>
      </c>
      <c r="F45" s="234">
        <v>1997</v>
      </c>
      <c r="G45" s="234">
        <v>1998</v>
      </c>
      <c r="H45" s="234">
        <v>1999</v>
      </c>
      <c r="I45" s="234">
        <v>2000</v>
      </c>
      <c r="J45" s="234">
        <v>2001</v>
      </c>
      <c r="K45" s="234">
        <v>2002</v>
      </c>
      <c r="L45" s="234">
        <v>2003</v>
      </c>
      <c r="M45" s="234">
        <v>2004</v>
      </c>
      <c r="N45" s="234">
        <v>2005</v>
      </c>
      <c r="O45" s="234">
        <v>2006</v>
      </c>
      <c r="P45" s="234">
        <v>2007</v>
      </c>
      <c r="Q45" s="234">
        <v>2008</v>
      </c>
      <c r="R45" s="234">
        <v>2009</v>
      </c>
      <c r="S45" s="234">
        <v>2010</v>
      </c>
      <c r="T45" s="234">
        <v>2011</v>
      </c>
      <c r="U45" s="234">
        <v>2012</v>
      </c>
      <c r="V45" s="234">
        <v>2013</v>
      </c>
      <c r="W45" s="234">
        <v>2014</v>
      </c>
      <c r="X45" s="234">
        <v>2015</v>
      </c>
      <c r="Y45" s="234">
        <v>2016</v>
      </c>
      <c r="Z45" s="234">
        <v>2017</v>
      </c>
      <c r="AA45" s="234">
        <v>2018</v>
      </c>
      <c r="AB45" s="234">
        <v>2019</v>
      </c>
      <c r="AC45" s="234">
        <v>2020</v>
      </c>
      <c r="AD45" s="234">
        <v>2021</v>
      </c>
      <c r="AE45" s="234">
        <v>2022</v>
      </c>
      <c r="AF45" s="234">
        <v>2023</v>
      </c>
      <c r="AG45" s="234">
        <v>2024</v>
      </c>
      <c r="AH45" s="234">
        <v>2025</v>
      </c>
      <c r="AI45" s="234">
        <v>2026</v>
      </c>
      <c r="AJ45" s="234">
        <v>2027</v>
      </c>
      <c r="AK45" s="234">
        <v>2028</v>
      </c>
      <c r="AL45" s="234">
        <v>2029</v>
      </c>
      <c r="AM45" s="234">
        <v>2030</v>
      </c>
      <c r="AN45" s="234">
        <v>2031</v>
      </c>
      <c r="AW45">
        <v>85</v>
      </c>
    </row>
    <row r="46" spans="1:49" ht="15.75" thickBot="1">
      <c r="A46" s="235" t="s">
        <v>228</v>
      </c>
      <c r="AW46">
        <f>AW44/AW45</f>
        <v>0.82352941176470584</v>
      </c>
    </row>
    <row r="47" spans="1:49" ht="15.75" thickBot="1">
      <c r="A47" s="236"/>
      <c r="B47" s="237" t="str">
        <f>B$2</f>
        <v xml:space="preserve">93/94 </v>
      </c>
      <c r="C47" s="237" t="str">
        <f t="shared" ref="C47:AM47" si="46">C$2</f>
        <v xml:space="preserve">94/95 </v>
      </c>
      <c r="D47" s="237" t="str">
        <f t="shared" si="46"/>
        <v xml:space="preserve">95/96 </v>
      </c>
      <c r="E47" s="237" t="str">
        <f t="shared" si="46"/>
        <v xml:space="preserve">96/97 </v>
      </c>
      <c r="F47" s="237" t="str">
        <f t="shared" si="46"/>
        <v xml:space="preserve">97/98 </v>
      </c>
      <c r="G47" s="237" t="str">
        <f t="shared" si="46"/>
        <v xml:space="preserve">98/99 </v>
      </c>
      <c r="H47" s="237" t="str">
        <f t="shared" si="46"/>
        <v xml:space="preserve">99/00 </v>
      </c>
      <c r="I47" s="237" t="str">
        <f t="shared" si="46"/>
        <v xml:space="preserve">00/01 </v>
      </c>
      <c r="J47" s="237" t="str">
        <f t="shared" si="46"/>
        <v xml:space="preserve">01/02 </v>
      </c>
      <c r="K47" s="237" t="str">
        <f t="shared" si="46"/>
        <v xml:space="preserve">02/03 </v>
      </c>
      <c r="L47" s="237" t="str">
        <f t="shared" si="46"/>
        <v xml:space="preserve">03/04 </v>
      </c>
      <c r="M47" s="237" t="str">
        <f t="shared" si="46"/>
        <v xml:space="preserve">04/05 </v>
      </c>
      <c r="N47" s="237" t="str">
        <f t="shared" si="46"/>
        <v xml:space="preserve">05/06 </v>
      </c>
      <c r="O47" s="237" t="str">
        <f t="shared" si="46"/>
        <v xml:space="preserve">06/07 </v>
      </c>
      <c r="P47" s="237" t="str">
        <f t="shared" si="46"/>
        <v xml:space="preserve">07/08 </v>
      </c>
      <c r="Q47" s="237" t="str">
        <f t="shared" si="46"/>
        <v xml:space="preserve">08/09 </v>
      </c>
      <c r="R47" s="237" t="str">
        <f t="shared" si="46"/>
        <v xml:space="preserve">09/10 </v>
      </c>
      <c r="S47" s="237" t="str">
        <f t="shared" si="46"/>
        <v xml:space="preserve">10/11 </v>
      </c>
      <c r="T47" s="237" t="str">
        <f t="shared" si="46"/>
        <v xml:space="preserve">11/12 </v>
      </c>
      <c r="U47" s="237" t="str">
        <f t="shared" si="46"/>
        <v xml:space="preserve">12/13 </v>
      </c>
      <c r="V47" s="237" t="str">
        <f t="shared" si="46"/>
        <v xml:space="preserve">13/14 </v>
      </c>
      <c r="W47" s="237" t="str">
        <f t="shared" si="46"/>
        <v xml:space="preserve">14/15 </v>
      </c>
      <c r="X47" s="237" t="str">
        <f t="shared" si="46"/>
        <v xml:space="preserve">15/16 </v>
      </c>
      <c r="Y47" s="237" t="str">
        <f t="shared" si="46"/>
        <v xml:space="preserve">16/17 </v>
      </c>
      <c r="Z47" s="237" t="str">
        <f t="shared" si="46"/>
        <v xml:space="preserve">17/18 </v>
      </c>
      <c r="AA47" s="237" t="str">
        <f t="shared" si="46"/>
        <v xml:space="preserve">18/19 </v>
      </c>
      <c r="AB47" s="237" t="str">
        <f t="shared" si="46"/>
        <v xml:space="preserve">19/20 </v>
      </c>
      <c r="AC47" s="237" t="str">
        <f t="shared" si="46"/>
        <v xml:space="preserve">20/21 </v>
      </c>
      <c r="AD47" s="237" t="str">
        <f t="shared" si="46"/>
        <v>21/22</v>
      </c>
      <c r="AE47" s="237" t="str">
        <f t="shared" si="46"/>
        <v>22/23</v>
      </c>
      <c r="AF47" s="237" t="str">
        <f t="shared" si="46"/>
        <v>23/24</v>
      </c>
      <c r="AG47" s="237" t="str">
        <f t="shared" si="46"/>
        <v>24/25</v>
      </c>
      <c r="AH47" s="237" t="str">
        <f t="shared" si="46"/>
        <v>25/26</v>
      </c>
      <c r="AI47" s="237" t="str">
        <f t="shared" si="46"/>
        <v>26/27</v>
      </c>
      <c r="AJ47" s="237" t="str">
        <f t="shared" si="46"/>
        <v>27/28</v>
      </c>
      <c r="AK47" s="237" t="str">
        <f t="shared" si="46"/>
        <v>28/29</v>
      </c>
      <c r="AL47" s="237" t="str">
        <f t="shared" si="46"/>
        <v>29/30</v>
      </c>
      <c r="AM47" s="237" t="str">
        <f t="shared" si="46"/>
        <v>30/31</v>
      </c>
    </row>
    <row r="48" spans="1:49">
      <c r="A48" s="240" t="s">
        <v>237</v>
      </c>
      <c r="B48" s="290">
        <f>(SUM(F48:J48)/SUM(F$60:J$60))*B$60</f>
        <v>44.990252059638934</v>
      </c>
      <c r="C48" s="290">
        <f t="shared" ref="C48:D59" si="47">(SUM(G48:K48)/SUM(G$60:K$60))*C$60</f>
        <v>60.924205776629194</v>
      </c>
      <c r="D48" s="290">
        <f t="shared" si="47"/>
        <v>117.20601615540731</v>
      </c>
      <c r="E48" s="290">
        <v>113.33472955558888</v>
      </c>
      <c r="F48" s="146">
        <f>'[2]EU Sunflower Imports'!CA$290</f>
        <v>8.3770000000000007</v>
      </c>
      <c r="G48" s="146">
        <f>'[2]EU Sunflower Imports'!CM$290</f>
        <v>10.182</v>
      </c>
      <c r="H48" s="146">
        <f>'[2]EU Sunflower Imports'!CY$290</f>
        <v>98.498000000000005</v>
      </c>
      <c r="I48" s="146">
        <f>'[2]EU Sunflower Imports'!DK$290</f>
        <v>80.08</v>
      </c>
      <c r="J48" s="146">
        <f>'[2]EU Sunflower Imports'!DW$290</f>
        <v>41.960999999999999</v>
      </c>
      <c r="K48" s="146">
        <f>'[2]EU Sunflower Imports'!EI$290</f>
        <v>28.469000000000001</v>
      </c>
      <c r="L48" s="146">
        <f>'[2]EU Sunflower Imports'!EU$290</f>
        <v>14.491</v>
      </c>
      <c r="M48" s="146">
        <f>'[2]EU Sunflower Imports'!FG$290</f>
        <v>50.838000000000001</v>
      </c>
      <c r="N48" s="146">
        <f>'[2]EU Sunflower Imports'!FS$290</f>
        <v>24.491</v>
      </c>
      <c r="O48" s="146">
        <f>'[2]EU Sunflower Imports'!GE$290</f>
        <v>40.506</v>
      </c>
      <c r="P48" s="146">
        <f>'[2]EU Sunflower Imports'!GQ$290</f>
        <v>15.209</v>
      </c>
      <c r="Q48" s="146">
        <f>'[2]EU Sunflower Imports'!HC$290</f>
        <v>14.535</v>
      </c>
      <c r="R48" s="146">
        <f>'[2]EU Sunflower Imports'!HO$290</f>
        <v>32.350999999999999</v>
      </c>
      <c r="S48" s="146">
        <f>'[2]EU Sunflower Imports'!IA$290</f>
        <v>11.47</v>
      </c>
      <c r="T48" s="146">
        <f>'[2]EU Sunflower Imports'!IM$290</f>
        <v>14.824999999999999</v>
      </c>
      <c r="U48" s="146">
        <f>'[2]EU Sunflower Imports'!IY$290</f>
        <v>13.099000000000002</v>
      </c>
      <c r="V48" s="146">
        <f>'[2]EU Sunflower Imports'!JK$290</f>
        <v>12.838999999999999</v>
      </c>
      <c r="W48" s="146">
        <f>'[2]EU Sunflower Imports'!JW$290</f>
        <v>7.7449999999999992</v>
      </c>
      <c r="X48" s="146">
        <f>'[2]EU Sunflower Imports'!KI$290</f>
        <v>8.0180000000000007</v>
      </c>
      <c r="Y48" s="146">
        <f>'[2]EU Sunflower Imports'!KU$290</f>
        <v>86.450999999999993</v>
      </c>
      <c r="Z48" s="146">
        <f>'[2]EU Sunflower Imports'!LG$290</f>
        <v>28.867999999999999</v>
      </c>
      <c r="AA48" s="146">
        <f>'[2]EU Sunflower Imports'!LS$290</f>
        <v>10.907999999999999</v>
      </c>
      <c r="AB48" s="146">
        <f>'[2]EU Sunflower Imports'!ME$290/1000</f>
        <v>15.575692999999999</v>
      </c>
      <c r="AC48" s="146">
        <f>'[2]EU Sunflower Imports'!MQ$290/1000</f>
        <v>17.413120000000003</v>
      </c>
      <c r="AD48" s="146">
        <f>'[2]EU Sunflower Imports'!NC$290/1000</f>
        <v>13.088235999999998</v>
      </c>
      <c r="AE48" s="146">
        <f>'[2]EU Sunflower Imports'!NO$290/1000</f>
        <v>325.26595500000002</v>
      </c>
      <c r="AF48" s="146">
        <f>'[2]EU Sunflower Imports'!OA$290/1000</f>
        <v>26.707501999999998</v>
      </c>
      <c r="AG48" s="146">
        <f>'[2]EU Sunflower Imports'!OM$290/1000</f>
        <v>33.470519999999979</v>
      </c>
      <c r="AH48" s="253">
        <f t="shared" ref="AH48:AH49" si="48">(SUM(AB48:AF48)/SUM(AB$60:AF$60))*AH$60</f>
        <v>43.982349583287828</v>
      </c>
      <c r="AI48" s="253">
        <f t="shared" ref="AI48:AM58" si="49">(SUM(AC48:AG48)/SUM(AC$60:AG$60))*AI$60</f>
        <v>47.737021900590342</v>
      </c>
      <c r="AJ48" s="253">
        <f t="shared" si="49"/>
        <v>52.330273791146965</v>
      </c>
      <c r="AK48" s="253">
        <f t="shared" si="49"/>
        <v>62.048816835154398</v>
      </c>
      <c r="AL48" s="253">
        <f t="shared" si="49"/>
        <v>38.309031912050351</v>
      </c>
      <c r="AM48" s="253">
        <f t="shared" si="49"/>
        <v>46.48353384227363</v>
      </c>
      <c r="AQ48" s="244">
        <f t="shared" ref="AQ48:AQ59" si="50">SUM(R48:V48)/SUM(R$60:V$60)</f>
        <v>5.8681267144623281E-2</v>
      </c>
    </row>
    <row r="49" spans="1:43">
      <c r="A49" s="240" t="s">
        <v>238</v>
      </c>
      <c r="B49" s="290">
        <f t="shared" ref="B49:B59" si="51">(SUM(F49:J49)/SUM(F$60:J$60))*B$60</f>
        <v>25.814760768864332</v>
      </c>
      <c r="C49" s="290">
        <f t="shared" si="47"/>
        <v>37.380040695374959</v>
      </c>
      <c r="D49" s="290">
        <f t="shared" si="47"/>
        <v>71.012436734782554</v>
      </c>
      <c r="E49" s="290">
        <v>65.029840828701168</v>
      </c>
      <c r="F49" s="146">
        <f>'[2]EU Sunflower Imports'!CB$290</f>
        <v>8.6059999999999999</v>
      </c>
      <c r="G49" s="146">
        <f>'[2]EU Sunflower Imports'!CN$290</f>
        <v>11.149999999999999</v>
      </c>
      <c r="H49" s="146">
        <f>'[2]EU Sunflower Imports'!CZ$290</f>
        <v>27.373999999999999</v>
      </c>
      <c r="I49" s="146">
        <f>'[2]EU Sunflower Imports'!DL$290</f>
        <v>68.051000000000002</v>
      </c>
      <c r="J49" s="146">
        <f>'[2]EU Sunflower Imports'!DX$290</f>
        <v>22.01</v>
      </c>
      <c r="K49" s="146">
        <f>'[2]EU Sunflower Imports'!EJ$290</f>
        <v>30.440999999999995</v>
      </c>
      <c r="L49" s="146">
        <f>'[2]EU Sunflower Imports'!EV$290</f>
        <v>11.772000000000002</v>
      </c>
      <c r="M49" s="146">
        <f>'[2]EU Sunflower Imports'!FH$290</f>
        <v>14.34</v>
      </c>
      <c r="N49" s="146">
        <f>'[2]EU Sunflower Imports'!FT$290</f>
        <v>17.401</v>
      </c>
      <c r="O49" s="146">
        <f>'[2]EU Sunflower Imports'!GF$290</f>
        <v>16.860999999999997</v>
      </c>
      <c r="P49" s="146">
        <f>'[2]EU Sunflower Imports'!GR$290</f>
        <v>15.657</v>
      </c>
      <c r="Q49" s="146">
        <f>'[2]EU Sunflower Imports'!HD$290</f>
        <v>17.364999999999998</v>
      </c>
      <c r="R49" s="146">
        <f>'[2]EU Sunflower Imports'!HP$290</f>
        <v>19.052999999999997</v>
      </c>
      <c r="S49" s="146">
        <f>'[2]EU Sunflower Imports'!IB$290</f>
        <v>14.829000000000001</v>
      </c>
      <c r="T49" s="146">
        <f>'[2]EU Sunflower Imports'!IN$290</f>
        <v>23.085999999999999</v>
      </c>
      <c r="U49" s="146">
        <f>'[2]EU Sunflower Imports'!IZ$290</f>
        <v>13.971</v>
      </c>
      <c r="V49" s="146">
        <f>'[2]EU Sunflower Imports'!JL$290</f>
        <v>36.032000000000004</v>
      </c>
      <c r="W49" s="146">
        <f>'[2]EU Sunflower Imports'!JX$290</f>
        <v>15.453999999999999</v>
      </c>
      <c r="X49" s="146">
        <f>'[2]EU Sunflower Imports'!KJ$290</f>
        <v>28.130000000000003</v>
      </c>
      <c r="Y49" s="146">
        <f>'[2]EU Sunflower Imports'!KV$290</f>
        <v>67.149000000000001</v>
      </c>
      <c r="Z49" s="146">
        <f>'[2]EU Sunflower Imports'!LH$290</f>
        <v>47.174999999999997</v>
      </c>
      <c r="AA49" s="146">
        <f>'[2]EU Sunflower Imports'!LT$290</f>
        <v>38.215000000000003</v>
      </c>
      <c r="AB49" s="146">
        <f>'[2]EU Sunflower Imports'!MF$290/1000</f>
        <v>10.715303999999998</v>
      </c>
      <c r="AC49" s="146">
        <f>'[2]EU Sunflower Imports'!MR$290/1000</f>
        <v>13.380051000000003</v>
      </c>
      <c r="AD49" s="146">
        <f>'[2]EU Sunflower Imports'!ND$290/1000</f>
        <v>11.481549000000003</v>
      </c>
      <c r="AE49" s="146">
        <f>'[2]EU Sunflower Imports'!NP$290/1000</f>
        <v>192.33476499999995</v>
      </c>
      <c r="AF49" s="146">
        <f>'[2]EU Sunflower Imports'!OB$290/1000</f>
        <v>15.067623000000003</v>
      </c>
      <c r="AG49" s="146">
        <f>'[2]EU Sunflower Imports'!ON$290/1000</f>
        <v>24.985126000000001</v>
      </c>
      <c r="AH49" s="253">
        <f t="shared" si="48"/>
        <v>26.847849710417826</v>
      </c>
      <c r="AI49" s="253">
        <f t="shared" si="49"/>
        <v>29.523847521870046</v>
      </c>
      <c r="AJ49" s="253">
        <f t="shared" si="49"/>
        <v>32.014065433979511</v>
      </c>
      <c r="AK49" s="253">
        <f t="shared" si="49"/>
        <v>37.549337064854747</v>
      </c>
      <c r="AL49" s="253">
        <f t="shared" si="49"/>
        <v>24.092499844956102</v>
      </c>
      <c r="AM49" s="253">
        <f t="shared" si="49"/>
        <v>29.283028873202795</v>
      </c>
      <c r="AQ49" s="244">
        <f t="shared" si="50"/>
        <v>7.4212544071307771E-2</v>
      </c>
    </row>
    <row r="50" spans="1:43">
      <c r="A50" s="240" t="s">
        <v>239</v>
      </c>
      <c r="B50" s="290">
        <f t="shared" si="51"/>
        <v>63.709251236315183</v>
      </c>
      <c r="C50" s="290">
        <f t="shared" si="47"/>
        <v>72.911599758636754</v>
      </c>
      <c r="D50" s="290">
        <f t="shared" si="47"/>
        <v>125.66534243460967</v>
      </c>
      <c r="E50" s="290">
        <v>160.48967117333359</v>
      </c>
      <c r="F50" s="146">
        <f>'[2]EU Sunflower Imports'!CC$290</f>
        <v>51.042000000000002</v>
      </c>
      <c r="G50" s="146">
        <f>'[2]EU Sunflower Imports'!CO$290</f>
        <v>91.280999999999992</v>
      </c>
      <c r="H50" s="146">
        <f>'[2]EU Sunflower Imports'!DA$290</f>
        <v>108.95699999999999</v>
      </c>
      <c r="I50" s="146">
        <f>'[2]EU Sunflower Imports'!DM$290</f>
        <v>57.685000000000002</v>
      </c>
      <c r="J50" s="146">
        <f>'[2]EU Sunflower Imports'!DY$290</f>
        <v>29.614000000000001</v>
      </c>
      <c r="K50" s="146">
        <f>'[2]EU Sunflower Imports'!EK$290</f>
        <v>22.650999999999996</v>
      </c>
      <c r="L50" s="146">
        <f>'[2]EU Sunflower Imports'!EW$290</f>
        <v>63.61</v>
      </c>
      <c r="M50" s="146">
        <f>'[2]EU Sunflower Imports'!FI$290</f>
        <v>16.234000000000002</v>
      </c>
      <c r="N50" s="146">
        <f>'[2]EU Sunflower Imports'!FU$290</f>
        <v>27.136000000000003</v>
      </c>
      <c r="O50" s="146">
        <f>'[2]EU Sunflower Imports'!GG$290</f>
        <v>31.881</v>
      </c>
      <c r="P50" s="146">
        <f>'[2]EU Sunflower Imports'!GS$290</f>
        <v>19.245999999999999</v>
      </c>
      <c r="Q50" s="146">
        <f>'[2]EU Sunflower Imports'!HE$290</f>
        <v>17.457000000000001</v>
      </c>
      <c r="R50" s="146">
        <f>'[2]EU Sunflower Imports'!HQ$290</f>
        <v>32.975000000000001</v>
      </c>
      <c r="S50" s="146">
        <f>'[2]EU Sunflower Imports'!IC$290</f>
        <v>15.488000000000001</v>
      </c>
      <c r="T50" s="146">
        <f>'[2]EU Sunflower Imports'!IO$290</f>
        <v>29.831000000000003</v>
      </c>
      <c r="U50" s="146">
        <f>'[2]EU Sunflower Imports'!JA$290</f>
        <v>19.856999999999999</v>
      </c>
      <c r="V50" s="146">
        <f>'[2]EU Sunflower Imports'!JM$290</f>
        <v>56.966999999999999</v>
      </c>
      <c r="W50" s="146">
        <f>'[2]EU Sunflower Imports'!JY$290</f>
        <v>20.471999999999998</v>
      </c>
      <c r="X50" s="146">
        <f>'[2]EU Sunflower Imports'!KK$290</f>
        <v>46.966000000000008</v>
      </c>
      <c r="Y50" s="146">
        <f>'[2]EU Sunflower Imports'!KW$290</f>
        <v>53.908000000000001</v>
      </c>
      <c r="Z50" s="146">
        <f>'[2]EU Sunflower Imports'!LI$290</f>
        <v>48.62299999999999</v>
      </c>
      <c r="AA50" s="146">
        <f>'[2]EU Sunflower Imports'!LU$290</f>
        <v>66.942999999999998</v>
      </c>
      <c r="AB50" s="146">
        <f>'[2]EU Sunflower Imports'!MG$290/1000</f>
        <v>62.211615999999999</v>
      </c>
      <c r="AC50" s="146">
        <f>'[2]EU Sunflower Imports'!MS$290/1000</f>
        <v>63.604765</v>
      </c>
      <c r="AD50" s="146">
        <f>'[2]EU Sunflower Imports'!NE$290/1000</f>
        <v>31.156493999999999</v>
      </c>
      <c r="AE50" s="146">
        <f>'[2]EU Sunflower Imports'!NQ$290/1000</f>
        <v>184.04607300000004</v>
      </c>
      <c r="AF50" s="146">
        <f>'[2]EU Sunflower Imports'!OC$290/1000</f>
        <v>23.052089999999996</v>
      </c>
      <c r="AG50" s="146">
        <f>'[2]EU Sunflower Imports'!OO$290/1000</f>
        <v>68.724410999999961</v>
      </c>
      <c r="AH50" s="253">
        <f t="shared" ref="AH50:AH58" si="52">(SUM(AB50:AF50)/SUM(AB$60:AF$60))*AH$60</f>
        <v>40.227808846112779</v>
      </c>
      <c r="AI50" s="253">
        <f t="shared" si="49"/>
        <v>42.530994215832969</v>
      </c>
      <c r="AJ50" s="253">
        <f t="shared" si="49"/>
        <v>41.059509593215644</v>
      </c>
      <c r="AK50" s="253">
        <f t="shared" si="49"/>
        <v>46.628791286063851</v>
      </c>
      <c r="AL50" s="253">
        <f t="shared" si="49"/>
        <v>40.441281568700276</v>
      </c>
      <c r="AM50" s="253">
        <f t="shared" si="49"/>
        <v>46.406413346804889</v>
      </c>
      <c r="AQ50" s="244">
        <f t="shared" si="50"/>
        <v>0.10761516122363181</v>
      </c>
    </row>
    <row r="51" spans="1:43">
      <c r="A51" s="240" t="s">
        <v>240</v>
      </c>
      <c r="B51" s="290">
        <f t="shared" si="51"/>
        <v>130.69504706570311</v>
      </c>
      <c r="C51" s="290">
        <f t="shared" si="47"/>
        <v>132.63795935046832</v>
      </c>
      <c r="D51" s="290">
        <f t="shared" si="47"/>
        <v>209.39523619161713</v>
      </c>
      <c r="E51" s="290">
        <v>329.24369842577164</v>
      </c>
      <c r="F51" s="146">
        <f>'[2]EU Sunflower Imports'!CD$290</f>
        <v>185.39500000000001</v>
      </c>
      <c r="G51" s="146">
        <f>'[2]EU Sunflower Imports'!CP$290</f>
        <v>207.62200000000001</v>
      </c>
      <c r="H51" s="146">
        <f>'[2]EU Sunflower Imports'!DB$290</f>
        <v>45.222999999999999</v>
      </c>
      <c r="I51" s="146">
        <f>'[2]EU Sunflower Imports'!DN$290</f>
        <v>193.49600000000001</v>
      </c>
      <c r="J51" s="146">
        <f>'[2]EU Sunflower Imports'!DZ$290</f>
        <v>62.835000000000001</v>
      </c>
      <c r="K51" s="146">
        <f>'[2]EU Sunflower Imports'!EL$290</f>
        <v>55.106000000000009</v>
      </c>
      <c r="L51" s="146">
        <f>'[2]EU Sunflower Imports'!EX$290</f>
        <v>114.09599999999999</v>
      </c>
      <c r="M51" s="146">
        <f>'[2]EU Sunflower Imports'!FJ$290</f>
        <v>17.664999999999999</v>
      </c>
      <c r="N51" s="146">
        <f>'[2]EU Sunflower Imports'!FV$290</f>
        <v>34.994</v>
      </c>
      <c r="O51" s="146">
        <f>'[2]EU Sunflower Imports'!GH$290</f>
        <v>38.893999999999998</v>
      </c>
      <c r="P51" s="146">
        <f>'[2]EU Sunflower Imports'!GT$290</f>
        <v>19.721</v>
      </c>
      <c r="Q51" s="146">
        <f>'[2]EU Sunflower Imports'!HF$290</f>
        <v>22.977000000000004</v>
      </c>
      <c r="R51" s="146">
        <f>'[2]EU Sunflower Imports'!HR$290</f>
        <v>29.07</v>
      </c>
      <c r="S51" s="146">
        <f>'[2]EU Sunflower Imports'!ID$290</f>
        <v>19.270999999999997</v>
      </c>
      <c r="T51" s="146">
        <f>'[2]EU Sunflower Imports'!IP$290</f>
        <v>32.507000000000005</v>
      </c>
      <c r="U51" s="146">
        <f>'[2]EU Sunflower Imports'!JB$290</f>
        <v>21.013000000000002</v>
      </c>
      <c r="V51" s="146">
        <f>'[2]EU Sunflower Imports'!JN$290</f>
        <v>57.737000000000002</v>
      </c>
      <c r="W51" s="146">
        <f>'[2]EU Sunflower Imports'!JZ$290</f>
        <v>24.289000000000001</v>
      </c>
      <c r="X51" s="146">
        <f>'[2]EU Sunflower Imports'!KL$290</f>
        <v>38.368000000000002</v>
      </c>
      <c r="Y51" s="146">
        <f>'[2]EU Sunflower Imports'!KX$290</f>
        <v>86.67</v>
      </c>
      <c r="Z51" s="146">
        <f>'[2]EU Sunflower Imports'!LJ$290</f>
        <v>64.356999999999999</v>
      </c>
      <c r="AA51" s="146">
        <f>'[2]EU Sunflower Imports'!LV$290</f>
        <v>85.361000000000004</v>
      </c>
      <c r="AB51" s="146">
        <f>'[2]EU Sunflower Imports'!MH$290/1000</f>
        <v>66.645251999999985</v>
      </c>
      <c r="AC51" s="146">
        <f>'[2]EU Sunflower Imports'!MT$290/1000</f>
        <v>200.83143199999995</v>
      </c>
      <c r="AD51" s="146">
        <f>'[2]EU Sunflower Imports'!NF$290/1000</f>
        <v>69.133619000000024</v>
      </c>
      <c r="AE51" s="146">
        <f>'[2]EU Sunflower Imports'!NR$290/1000</f>
        <v>209.75391800000003</v>
      </c>
      <c r="AF51" s="146">
        <f>'[2]EU Sunflower Imports'!OD$290/1000</f>
        <v>57.35712599999998</v>
      </c>
      <c r="AG51" s="146">
        <f>'[2]EU Sunflower Imports'!OP$290/1000</f>
        <v>76.314688999999973</v>
      </c>
      <c r="AH51" s="253">
        <f t="shared" si="52"/>
        <v>66.707824596126528</v>
      </c>
      <c r="AI51" s="253">
        <f t="shared" si="49"/>
        <v>70.397350243687626</v>
      </c>
      <c r="AJ51" s="253">
        <f t="shared" si="49"/>
        <v>56.676513477824415</v>
      </c>
      <c r="AK51" s="253">
        <f t="shared" si="49"/>
        <v>62.486723632317052</v>
      </c>
      <c r="AL51" s="253">
        <f t="shared" si="49"/>
        <v>61.423737908219017</v>
      </c>
      <c r="AM51" s="253">
        <f t="shared" si="49"/>
        <v>64.53104943805107</v>
      </c>
      <c r="AQ51" s="244">
        <f t="shared" si="50"/>
        <v>0.11072322039330827</v>
      </c>
    </row>
    <row r="52" spans="1:43">
      <c r="A52" s="240" t="s">
        <v>241</v>
      </c>
      <c r="B52" s="290">
        <f t="shared" si="51"/>
        <v>188.29264790386742</v>
      </c>
      <c r="C52" s="290">
        <f t="shared" si="47"/>
        <v>197.50476207717813</v>
      </c>
      <c r="D52" s="290">
        <f t="shared" si="47"/>
        <v>306.07522066755917</v>
      </c>
      <c r="E52" s="290">
        <v>474.32806001660498</v>
      </c>
      <c r="F52" s="146">
        <f>'[2]EU Sunflower Imports'!CE$290</f>
        <v>221.95500000000001</v>
      </c>
      <c r="G52" s="146">
        <f>'[2]EU Sunflower Imports'!CQ$290</f>
        <v>325.95799999999997</v>
      </c>
      <c r="H52" s="146">
        <f>'[2]EU Sunflower Imports'!DC$290</f>
        <v>148.59</v>
      </c>
      <c r="I52" s="146">
        <f>'[2]EU Sunflower Imports'!DO$290</f>
        <v>268.81099999999998</v>
      </c>
      <c r="J52" s="146">
        <f>'[2]EU Sunflower Imports'!EA$290</f>
        <v>35.356000000000002</v>
      </c>
      <c r="K52" s="146">
        <f>'[2]EU Sunflower Imports'!EM$290</f>
        <v>61.529999999999994</v>
      </c>
      <c r="L52" s="146">
        <f>'[2]EU Sunflower Imports'!EY$290</f>
        <v>173.82199999999997</v>
      </c>
      <c r="M52" s="146">
        <f>'[2]EU Sunflower Imports'!FK$290</f>
        <v>22.669</v>
      </c>
      <c r="N52" s="146">
        <f>'[2]EU Sunflower Imports'!FW$290</f>
        <v>99.098000000000013</v>
      </c>
      <c r="O52" s="146">
        <f>'[2]EU Sunflower Imports'!GI$290</f>
        <v>46.466999999999999</v>
      </c>
      <c r="P52" s="146">
        <f>'[2]EU Sunflower Imports'!GU$290</f>
        <v>18.856999999999999</v>
      </c>
      <c r="Q52" s="146">
        <f>'[2]EU Sunflower Imports'!HG$290</f>
        <v>55.729000000000006</v>
      </c>
      <c r="R52" s="146">
        <f>'[2]EU Sunflower Imports'!HS$290</f>
        <v>20.91</v>
      </c>
      <c r="S52" s="146">
        <f>'[2]EU Sunflower Imports'!IE$290</f>
        <v>22.981999999999999</v>
      </c>
      <c r="T52" s="146">
        <f>'[2]EU Sunflower Imports'!IQ$290</f>
        <v>22.085999999999999</v>
      </c>
      <c r="U52" s="146">
        <f>'[2]EU Sunflower Imports'!JC$290</f>
        <v>13.795999999999999</v>
      </c>
      <c r="V52" s="146">
        <f>'[2]EU Sunflower Imports'!JO$290</f>
        <v>32.474999999999994</v>
      </c>
      <c r="W52" s="146">
        <f>'[2]EU Sunflower Imports'!KA$290</f>
        <v>16.027000000000001</v>
      </c>
      <c r="X52" s="146">
        <f>'[2]EU Sunflower Imports'!KM$290</f>
        <v>45.256000000000007</v>
      </c>
      <c r="Y52" s="146">
        <f>'[2]EU Sunflower Imports'!KY$290</f>
        <v>162.30899999999997</v>
      </c>
      <c r="Z52" s="146">
        <f>'[2]EU Sunflower Imports'!LK$290</f>
        <v>63.109000000000009</v>
      </c>
      <c r="AA52" s="146">
        <f>'[2]EU Sunflower Imports'!LW$290</f>
        <v>58.683999999999997</v>
      </c>
      <c r="AB52" s="146">
        <f>'[2]EU Sunflower Imports'!MI$290/1000</f>
        <v>116.79419900000001</v>
      </c>
      <c r="AC52" s="146">
        <f>'[2]EU Sunflower Imports'!MU$290/1000</f>
        <v>228.47024599999983</v>
      </c>
      <c r="AD52" s="146">
        <f>'[2]EU Sunflower Imports'!NG$290/1000</f>
        <v>61.745318999999988</v>
      </c>
      <c r="AE52" s="146">
        <f>'[2]EU Sunflower Imports'!NS$290/1000</f>
        <v>331.05910899999986</v>
      </c>
      <c r="AF52" s="146">
        <f>'[2]EU Sunflower Imports'!OE$290/1000</f>
        <v>92.466932999999983</v>
      </c>
      <c r="AG52" s="146">
        <f>'[2]EU Sunflower Imports'!OQ$290/1000</f>
        <v>94.64764900000003</v>
      </c>
      <c r="AH52" s="253">
        <f t="shared" si="52"/>
        <v>91.769550874354891</v>
      </c>
      <c r="AI52" s="253">
        <f t="shared" si="49"/>
        <v>92.776844830890141</v>
      </c>
      <c r="AJ52" s="253">
        <f t="shared" si="49"/>
        <v>79.431614832609682</v>
      </c>
      <c r="AK52" s="253">
        <f t="shared" si="49"/>
        <v>91.37950365404221</v>
      </c>
      <c r="AL52" s="253">
        <f t="shared" si="49"/>
        <v>84.61596194775457</v>
      </c>
      <c r="AM52" s="253">
        <f t="shared" si="49"/>
        <v>87.314434649174032</v>
      </c>
      <c r="AQ52" s="244">
        <f t="shared" si="50"/>
        <v>7.7874226280582826E-2</v>
      </c>
    </row>
    <row r="53" spans="1:43">
      <c r="A53" s="240" t="s">
        <v>231</v>
      </c>
      <c r="B53" s="290">
        <f t="shared" si="51"/>
        <v>191.65330295654516</v>
      </c>
      <c r="C53" s="290">
        <f t="shared" si="47"/>
        <v>191.69769967619186</v>
      </c>
      <c r="D53" s="290">
        <f t="shared" si="47"/>
        <v>272.29485075759271</v>
      </c>
      <c r="E53" s="146">
        <f>'[2]EU Sunflower Imports'!BT$290</f>
        <v>340.45400000000001</v>
      </c>
      <c r="F53" s="146">
        <f>'[2]EU Sunflower Imports'!CF$290</f>
        <v>246.83200000000002</v>
      </c>
      <c r="G53" s="146">
        <f>'[2]EU Sunflower Imports'!CR$290</f>
        <v>371.46899999999999</v>
      </c>
      <c r="H53" s="146">
        <f>'[2]EU Sunflower Imports'!DD$290</f>
        <v>80.313000000000002</v>
      </c>
      <c r="I53" s="146">
        <f>'[2]EU Sunflower Imports'!DP$290</f>
        <v>277.07799999999997</v>
      </c>
      <c r="J53" s="146">
        <f>'[2]EU Sunflower Imports'!EB$290</f>
        <v>42.838000000000001</v>
      </c>
      <c r="K53" s="146">
        <f>'[2]EU Sunflower Imports'!EN$290</f>
        <v>43.841999999999999</v>
      </c>
      <c r="L53" s="146">
        <f>'[2]EU Sunflower Imports'!EZ$290</f>
        <v>168.09399999999999</v>
      </c>
      <c r="M53" s="146">
        <f>'[2]EU Sunflower Imports'!FL$290</f>
        <v>27.190999999999999</v>
      </c>
      <c r="N53" s="146">
        <f>'[2]EU Sunflower Imports'!FX$290</f>
        <v>66.003000000000014</v>
      </c>
      <c r="O53" s="146">
        <f>'[2]EU Sunflower Imports'!GJ$290</f>
        <v>43.573000000000008</v>
      </c>
      <c r="P53" s="146">
        <f>'[2]EU Sunflower Imports'!GV$290</f>
        <v>23.730000000000004</v>
      </c>
      <c r="Q53" s="146">
        <f>'[2]EU Sunflower Imports'!HH$290</f>
        <v>58.790000000000006</v>
      </c>
      <c r="R53" s="146">
        <f>'[2]EU Sunflower Imports'!HT$290</f>
        <v>21.286000000000001</v>
      </c>
      <c r="S53" s="146">
        <f>'[2]EU Sunflower Imports'!IF$290</f>
        <v>56.194000000000003</v>
      </c>
      <c r="T53" s="146">
        <f>'[2]EU Sunflower Imports'!IR$290</f>
        <v>16.872</v>
      </c>
      <c r="U53" s="146">
        <f>'[2]EU Sunflower Imports'!JD$290</f>
        <v>18.500999999999998</v>
      </c>
      <c r="V53" s="146">
        <f>'[2]EU Sunflower Imports'!JP$290</f>
        <v>18.234999999999999</v>
      </c>
      <c r="W53" s="146">
        <f>'[2]EU Sunflower Imports'!KB$290</f>
        <v>18.117000000000001</v>
      </c>
      <c r="X53" s="146">
        <f>'[2]EU Sunflower Imports'!KN$290</f>
        <v>21.842000000000002</v>
      </c>
      <c r="Y53" s="146">
        <f>'[2]EU Sunflower Imports'!KZ$290</f>
        <v>67.686000000000007</v>
      </c>
      <c r="Z53" s="146">
        <f>'[2]EU Sunflower Imports'!LL$290</f>
        <v>52.335999999999999</v>
      </c>
      <c r="AA53" s="146">
        <f>'[2]EU Sunflower Imports'!LX$290</f>
        <v>37.296999999999997</v>
      </c>
      <c r="AB53" s="146">
        <f>'[2]EU Sunflower Imports'!MJ$290/1000</f>
        <v>178.72974999999997</v>
      </c>
      <c r="AC53" s="146">
        <f>'[2]EU Sunflower Imports'!MV$290/1000</f>
        <v>77.625828000000027</v>
      </c>
      <c r="AD53" s="146">
        <f>'[2]EU Sunflower Imports'!NH$290/1000</f>
        <v>46.078235000000006</v>
      </c>
      <c r="AE53" s="146">
        <f>'[2]EU Sunflower Imports'!NT$290/1000</f>
        <v>271.3125829999999</v>
      </c>
      <c r="AF53" s="146">
        <f>'[2]EU Sunflower Imports'!OF$290/1000</f>
        <v>127.69166199999999</v>
      </c>
      <c r="AG53" s="146">
        <f>'[2]EU Sunflower Imports'!OR$290/1000</f>
        <v>62.458079999999981</v>
      </c>
      <c r="AH53" s="253">
        <f t="shared" si="52"/>
        <v>77.504973396462702</v>
      </c>
      <c r="AI53" s="253">
        <f t="shared" si="49"/>
        <v>67.158105797151336</v>
      </c>
      <c r="AJ53" s="253">
        <f t="shared" si="49"/>
        <v>69.18550378138616</v>
      </c>
      <c r="AK53" s="253">
        <f t="shared" si="49"/>
        <v>78.818635805625348</v>
      </c>
      <c r="AL53" s="253">
        <f t="shared" si="49"/>
        <v>75.782017835224124</v>
      </c>
      <c r="AM53" s="253">
        <f t="shared" si="49"/>
        <v>68.904908718628818</v>
      </c>
      <c r="AN53" s="291"/>
      <c r="AO53" s="291"/>
      <c r="AP53" s="291"/>
      <c r="AQ53" s="244">
        <f t="shared" si="50"/>
        <v>9.0944031346996801E-2</v>
      </c>
    </row>
    <row r="54" spans="1:43">
      <c r="A54" s="240" t="s">
        <v>232</v>
      </c>
      <c r="B54" s="290">
        <f t="shared" si="51"/>
        <v>133.74635626694732</v>
      </c>
      <c r="C54" s="290">
        <f t="shared" si="47"/>
        <v>136.65271854127363</v>
      </c>
      <c r="D54" s="290">
        <f t="shared" si="47"/>
        <v>225.24635362171784</v>
      </c>
      <c r="E54" s="146">
        <f>'[2]EU Sunflower Imports'!BU$290</f>
        <v>328.21199999999993</v>
      </c>
      <c r="F54" s="146">
        <f>'[2]EU Sunflower Imports'!CG$290</f>
        <v>205.65299999999996</v>
      </c>
      <c r="G54" s="146">
        <f>'[2]EU Sunflower Imports'!CS$290</f>
        <v>152.68799999999999</v>
      </c>
      <c r="H54" s="146">
        <f>'[2]EU Sunflower Imports'!DE$290</f>
        <v>129.25200000000001</v>
      </c>
      <c r="I54" s="146">
        <f>'[2]EU Sunflower Imports'!DQ$290</f>
        <v>197.46299999999999</v>
      </c>
      <c r="J54" s="146">
        <f>'[2]EU Sunflower Imports'!EC$290</f>
        <v>25.731000000000002</v>
      </c>
      <c r="K54" s="146">
        <f>'[2]EU Sunflower Imports'!EO$290</f>
        <v>76.228000000000009</v>
      </c>
      <c r="L54" s="146">
        <f>'[2]EU Sunflower Imports'!FA$290</f>
        <v>77.718000000000018</v>
      </c>
      <c r="M54" s="146">
        <f>'[2]EU Sunflower Imports'!FM$290</f>
        <v>32.223999999999997</v>
      </c>
      <c r="N54" s="146">
        <f>'[2]EU Sunflower Imports'!FY$290</f>
        <v>27.776</v>
      </c>
      <c r="O54" s="146">
        <f>'[2]EU Sunflower Imports'!GK$290</f>
        <v>108.60799999999999</v>
      </c>
      <c r="P54" s="146">
        <f>'[2]EU Sunflower Imports'!GW$290</f>
        <v>22.939</v>
      </c>
      <c r="Q54" s="146">
        <f>'[2]EU Sunflower Imports'!HI$290</f>
        <v>74.914000000000016</v>
      </c>
      <c r="R54" s="146">
        <f>'[2]EU Sunflower Imports'!HU$290</f>
        <v>20.714999999999996</v>
      </c>
      <c r="S54" s="146">
        <f>'[2]EU Sunflower Imports'!IG$290</f>
        <v>42.826000000000001</v>
      </c>
      <c r="T54" s="146">
        <f>'[2]EU Sunflower Imports'!IS$290</f>
        <v>13.748999999999999</v>
      </c>
      <c r="U54" s="146">
        <f>'[2]EU Sunflower Imports'!JE$290</f>
        <v>14.827999999999999</v>
      </c>
      <c r="V54" s="146">
        <f>'[2]EU Sunflower Imports'!JQ$290</f>
        <v>35.307000000000002</v>
      </c>
      <c r="W54" s="146">
        <f>'[2]EU Sunflower Imports'!KC$290</f>
        <v>24.160999999999998</v>
      </c>
      <c r="X54" s="146">
        <f>'[2]EU Sunflower Imports'!KO$290</f>
        <v>26.650999999999996</v>
      </c>
      <c r="Y54" s="146">
        <f>'[2]EU Sunflower Imports'!LA$290</f>
        <v>42.002000000000002</v>
      </c>
      <c r="Z54" s="146">
        <f>'[2]EU Sunflower Imports'!LM$290</f>
        <v>44.896999999999998</v>
      </c>
      <c r="AA54" s="146">
        <f>'[2]EU Sunflower Imports'!LY$290</f>
        <v>50.075000000000003</v>
      </c>
      <c r="AB54" s="146">
        <f>'[2]EU Sunflower Imports'!MK$290/1000</f>
        <v>165.95374800000002</v>
      </c>
      <c r="AC54" s="146">
        <f>'[2]EU Sunflower Imports'!MW$290/1000</f>
        <v>36.035424999999996</v>
      </c>
      <c r="AD54" s="146">
        <f>'[2]EU Sunflower Imports'!NI$290/1000</f>
        <v>48.692662999999996</v>
      </c>
      <c r="AE54" s="146">
        <f>'[2]EU Sunflower Imports'!NU$290/1000</f>
        <v>129.81146300000003</v>
      </c>
      <c r="AF54" s="146">
        <f>'[2]EU Sunflower Imports'!OG$290/1000</f>
        <v>69.483700999999954</v>
      </c>
      <c r="AG54" s="146">
        <f>'[2]EU Sunflower Imports'!OS$290/1000</f>
        <v>47.923341999999991</v>
      </c>
      <c r="AH54" s="253">
        <f t="shared" si="52"/>
        <v>49.719936088811572</v>
      </c>
      <c r="AI54" s="253">
        <f t="shared" si="49"/>
        <v>38.096693412363322</v>
      </c>
      <c r="AJ54" s="253">
        <f t="shared" si="49"/>
        <v>40.873164160851687</v>
      </c>
      <c r="AK54" s="253">
        <f t="shared" si="49"/>
        <v>43.566912299752865</v>
      </c>
      <c r="AL54" s="253">
        <f t="shared" si="49"/>
        <v>46.16285195308172</v>
      </c>
      <c r="AM54" s="253">
        <f t="shared" si="49"/>
        <v>42.721501843330337</v>
      </c>
      <c r="AN54" s="291"/>
      <c r="AO54" s="291"/>
      <c r="AP54" s="291"/>
      <c r="AQ54" s="244">
        <f t="shared" si="50"/>
        <v>8.8402776717861772E-2</v>
      </c>
    </row>
    <row r="55" spans="1:43">
      <c r="A55" s="240" t="s">
        <v>233</v>
      </c>
      <c r="B55" s="290">
        <f t="shared" si="51"/>
        <v>131.88331899502333</v>
      </c>
      <c r="C55" s="290">
        <f t="shared" si="47"/>
        <v>137.1555036647591</v>
      </c>
      <c r="D55" s="290">
        <f t="shared" si="47"/>
        <v>249.4291379219278</v>
      </c>
      <c r="E55" s="146">
        <f>'[2]EU Sunflower Imports'!BV$290</f>
        <v>243.74299999999999</v>
      </c>
      <c r="F55" s="146">
        <f>'[2]EU Sunflower Imports'!CH$290</f>
        <v>165.404</v>
      </c>
      <c r="G55" s="146">
        <f>'[2]EU Sunflower Imports'!CT$290</f>
        <v>141.583</v>
      </c>
      <c r="H55" s="146">
        <f>'[2]EU Sunflower Imports'!DF$290</f>
        <v>146.465</v>
      </c>
      <c r="I55" s="146">
        <f>'[2]EU Sunflower Imports'!DR$290</f>
        <v>216.42500000000001</v>
      </c>
      <c r="J55" s="146">
        <f>'[2]EU Sunflower Imports'!ED$290</f>
        <v>31.009000000000004</v>
      </c>
      <c r="K55" s="146">
        <f>'[2]EU Sunflower Imports'!EP$290</f>
        <v>48.018999999999998</v>
      </c>
      <c r="L55" s="146">
        <f>'[2]EU Sunflower Imports'!FB$290</f>
        <v>118.84099999999999</v>
      </c>
      <c r="M55" s="146">
        <f>'[2]EU Sunflower Imports'!FN$290</f>
        <v>22.959999999999997</v>
      </c>
      <c r="N55" s="146">
        <f>'[2]EU Sunflower Imports'!FZ$290</f>
        <v>93.539999999999992</v>
      </c>
      <c r="O55" s="146">
        <f>'[2]EU Sunflower Imports'!GL$290</f>
        <v>76.337999999999994</v>
      </c>
      <c r="P55" s="146">
        <f>'[2]EU Sunflower Imports'!GX$290</f>
        <v>22.227</v>
      </c>
      <c r="Q55" s="146">
        <f>'[2]EU Sunflower Imports'!HJ$290</f>
        <v>123.76599999999999</v>
      </c>
      <c r="R55" s="146">
        <f>'[2]EU Sunflower Imports'!HV$290</f>
        <v>24.025999999999996</v>
      </c>
      <c r="S55" s="146">
        <f>'[2]EU Sunflower Imports'!IH$290</f>
        <v>68.174999999999997</v>
      </c>
      <c r="T55" s="146">
        <f>'[2]EU Sunflower Imports'!IT$290</f>
        <v>15.501999999999999</v>
      </c>
      <c r="U55" s="146">
        <f>'[2]EU Sunflower Imports'!JF$290</f>
        <v>17.333000000000002</v>
      </c>
      <c r="V55" s="146">
        <f>'[2]EU Sunflower Imports'!JR$290</f>
        <v>20.545000000000002</v>
      </c>
      <c r="W55" s="146">
        <f>'[2]EU Sunflower Imports'!KD$290</f>
        <v>38.260000000000005</v>
      </c>
      <c r="X55" s="146">
        <f>'[2]EU Sunflower Imports'!KP$290</f>
        <v>40.713000000000001</v>
      </c>
      <c r="Y55" s="146">
        <f>'[2]EU Sunflower Imports'!LB$290</f>
        <v>40.835999999999999</v>
      </c>
      <c r="Z55" s="146">
        <f>'[2]EU Sunflower Imports'!LN$290</f>
        <v>39.862000000000002</v>
      </c>
      <c r="AA55" s="146">
        <f>'[2]EU Sunflower Imports'!LZ$290</f>
        <v>30.625</v>
      </c>
      <c r="AB55" s="146">
        <f>'[2]EU Sunflower Imports'!ML$290/1000</f>
        <v>120.29935900000002</v>
      </c>
      <c r="AC55" s="146">
        <f>'[2]EU Sunflower Imports'!MX$290/1000</f>
        <v>27.234333000000007</v>
      </c>
      <c r="AD55" s="146">
        <f>'[2]EU Sunflower Imports'!NJ$290/1000</f>
        <v>39.208062999999996</v>
      </c>
      <c r="AE55" s="146">
        <f>'[2]EU Sunflower Imports'!NV$290/1000</f>
        <v>123.96226200000007</v>
      </c>
      <c r="AF55" s="146">
        <f>'[2]EU Sunflower Imports'!OH$290/1000</f>
        <v>93.957232999999974</v>
      </c>
      <c r="AG55" s="253">
        <f t="shared" ref="AG55:AG58" si="53">(SUM(AA55:AE55)/SUM(AA$60:AE$60))*AG$60</f>
        <v>45.320016446608278</v>
      </c>
      <c r="AH55" s="253">
        <f t="shared" si="52"/>
        <v>44.712799737805717</v>
      </c>
      <c r="AI55" s="253">
        <f t="shared" si="49"/>
        <v>37.836780911801071</v>
      </c>
      <c r="AJ55" s="253">
        <f t="shared" si="49"/>
        <v>41.054010345903848</v>
      </c>
      <c r="AK55" s="253">
        <f t="shared" si="49"/>
        <v>44.965322896750756</v>
      </c>
      <c r="AL55" s="253">
        <f t="shared" si="49"/>
        <v>49.311195882201069</v>
      </c>
      <c r="AM55" s="253">
        <f t="shared" si="49"/>
        <v>41.500837229929935</v>
      </c>
      <c r="AN55" s="291"/>
      <c r="AO55" s="291"/>
      <c r="AP55" s="291"/>
      <c r="AQ55" s="244">
        <f t="shared" si="50"/>
        <v>0.10099874151354157</v>
      </c>
    </row>
    <row r="56" spans="1:43">
      <c r="A56" s="240" t="s">
        <v>234</v>
      </c>
      <c r="B56" s="290">
        <f t="shared" si="51"/>
        <v>173.35372707843661</v>
      </c>
      <c r="C56" s="290">
        <f t="shared" si="47"/>
        <v>194.12206889715011</v>
      </c>
      <c r="D56" s="290">
        <f t="shared" si="47"/>
        <v>262.93568132649085</v>
      </c>
      <c r="E56" s="146">
        <f>'[2]EU Sunflower Imports'!BW$290</f>
        <v>165.73999999999998</v>
      </c>
      <c r="F56" s="146">
        <f>'[2]EU Sunflower Imports'!CI$290</f>
        <v>191.35499999999999</v>
      </c>
      <c r="G56" s="146">
        <f>'[2]EU Sunflower Imports'!CU$290</f>
        <v>314.97800000000001</v>
      </c>
      <c r="H56" s="146">
        <f>'[2]EU Sunflower Imports'!DG$290</f>
        <v>110.876</v>
      </c>
      <c r="I56" s="146">
        <f>'[2]EU Sunflower Imports'!DS$290</f>
        <v>166.18100000000001</v>
      </c>
      <c r="J56" s="146">
        <f>'[2]EU Sunflower Imports'!EE$290</f>
        <v>137.88800000000001</v>
      </c>
      <c r="K56" s="146">
        <f>'[2]EU Sunflower Imports'!EQ$290</f>
        <v>95.930999999999997</v>
      </c>
      <c r="L56" s="146">
        <f>'[2]EU Sunflower Imports'!FC$290</f>
        <v>80.24799999999999</v>
      </c>
      <c r="M56" s="146">
        <f>'[2]EU Sunflower Imports'!FO$290</f>
        <v>62.08</v>
      </c>
      <c r="N56" s="146">
        <f>'[2]EU Sunflower Imports'!GA$290</f>
        <v>65.257000000000005</v>
      </c>
      <c r="O56" s="146">
        <f>'[2]EU Sunflower Imports'!GM$290</f>
        <v>81.778999999999996</v>
      </c>
      <c r="P56" s="146">
        <f>'[2]EU Sunflower Imports'!GY$290</f>
        <v>21.024000000000001</v>
      </c>
      <c r="Q56" s="146">
        <f>'[2]EU Sunflower Imports'!HK$290</f>
        <v>59.222000000000001</v>
      </c>
      <c r="R56" s="146">
        <f>'[2]EU Sunflower Imports'!HW$290</f>
        <v>18.943999999999996</v>
      </c>
      <c r="S56" s="146">
        <f>'[2]EU Sunflower Imports'!II$290</f>
        <v>33.907999999999994</v>
      </c>
      <c r="T56" s="146">
        <f>'[2]EU Sunflower Imports'!IU$290</f>
        <v>15.332999999999998</v>
      </c>
      <c r="U56" s="146">
        <f>'[2]EU Sunflower Imports'!JG$290</f>
        <v>13.536999999999999</v>
      </c>
      <c r="V56" s="146">
        <f>'[2]EU Sunflower Imports'!JS$290</f>
        <v>15.769</v>
      </c>
      <c r="W56" s="146">
        <f>'[2]EU Sunflower Imports'!KE$290</f>
        <v>46.064999999999998</v>
      </c>
      <c r="X56" s="146">
        <f>'[2]EU Sunflower Imports'!KQ$290</f>
        <v>44.914000000000001</v>
      </c>
      <c r="Y56" s="146">
        <f>'[2]EU Sunflower Imports'!LC$290</f>
        <v>43.323</v>
      </c>
      <c r="Z56" s="146">
        <f>'[2]EU Sunflower Imports'!LO$290</f>
        <v>44.697000000000003</v>
      </c>
      <c r="AA56" s="146">
        <f>'[2]EU Sunflower Imports'!MA$290</f>
        <v>35.51</v>
      </c>
      <c r="AB56" s="146">
        <f>'[2]EU Sunflower Imports'!MM$290/1000</f>
        <v>87.596467999999987</v>
      </c>
      <c r="AC56" s="146">
        <f>'[2]EU Sunflower Imports'!MY$290/1000</f>
        <v>26.298452000000005</v>
      </c>
      <c r="AD56" s="146">
        <f>'[2]EU Sunflower Imports'!NK$290/1000</f>
        <v>98.408185999999972</v>
      </c>
      <c r="AE56" s="146">
        <f>'[2]EU Sunflower Imports'!NW$290/1000</f>
        <v>167.15263399999992</v>
      </c>
      <c r="AF56" s="146">
        <f>'[2]EU Sunflower Imports'!OI$290/1000</f>
        <v>53.644655000000022</v>
      </c>
      <c r="AG56" s="253">
        <f t="shared" si="53"/>
        <v>55.097144470371724</v>
      </c>
      <c r="AH56" s="253">
        <f t="shared" si="52"/>
        <v>47.855165840563053</v>
      </c>
      <c r="AI56" s="253">
        <f t="shared" si="49"/>
        <v>45.975998779101793</v>
      </c>
      <c r="AJ56" s="253">
        <f t="shared" si="49"/>
        <v>49.922950240146022</v>
      </c>
      <c r="AK56" s="253">
        <f t="shared" si="49"/>
        <v>48.077950639018326</v>
      </c>
      <c r="AL56" s="253">
        <f t="shared" si="49"/>
        <v>47.3631911327236</v>
      </c>
      <c r="AM56" s="253">
        <f t="shared" si="49"/>
        <v>47.911637755218088</v>
      </c>
      <c r="AN56" s="291"/>
      <c r="AO56" s="291"/>
      <c r="AP56" s="291"/>
      <c r="AQ56" s="244">
        <f t="shared" si="50"/>
        <v>6.7635668864045997E-2</v>
      </c>
    </row>
    <row r="57" spans="1:43">
      <c r="A57" s="240" t="s">
        <v>46</v>
      </c>
      <c r="B57" s="290">
        <f t="shared" si="51"/>
        <v>197.81989799497492</v>
      </c>
      <c r="C57" s="290">
        <f t="shared" si="47"/>
        <v>212.0455711112769</v>
      </c>
      <c r="D57" s="290">
        <f t="shared" si="47"/>
        <v>286.42323337439279</v>
      </c>
      <c r="E57" s="146">
        <f>'[2]EU Sunflower Imports'!BX$290</f>
        <v>109.55199999999999</v>
      </c>
      <c r="F57" s="146">
        <f>'[2]EU Sunflower Imports'!CJ$290</f>
        <v>270.05099999999999</v>
      </c>
      <c r="G57" s="146">
        <f>'[2]EU Sunflower Imports'!CV$290</f>
        <v>330.524</v>
      </c>
      <c r="H57" s="146">
        <f>'[2]EU Sunflower Imports'!DH$290</f>
        <v>182.92599999999999</v>
      </c>
      <c r="I57" s="146">
        <f>'[2]EU Sunflower Imports'!DT$290</f>
        <v>120.262</v>
      </c>
      <c r="J57" s="146">
        <f>'[2]EU Sunflower Imports'!EF$290</f>
        <v>147.53900000000002</v>
      </c>
      <c r="K57" s="146">
        <f>'[2]EU Sunflower Imports'!ER$290</f>
        <v>120.855</v>
      </c>
      <c r="L57" s="146">
        <f>'[2]EU Sunflower Imports'!FD$290</f>
        <v>72.345999999999989</v>
      </c>
      <c r="M57" s="146">
        <f>'[2]EU Sunflower Imports'!FP$290</f>
        <v>68.962999999999994</v>
      </c>
      <c r="N57" s="146">
        <f>'[2]EU Sunflower Imports'!GB$290</f>
        <v>71.603999999999999</v>
      </c>
      <c r="O57" s="146">
        <f>'[2]EU Sunflower Imports'!GN$290</f>
        <v>55.129000000000005</v>
      </c>
      <c r="P57" s="146">
        <f>'[2]EU Sunflower Imports'!GZ$290</f>
        <v>32.996000000000002</v>
      </c>
      <c r="Q57" s="146">
        <f>'[2]EU Sunflower Imports'!HL$290</f>
        <v>44.899000000000001</v>
      </c>
      <c r="R57" s="146">
        <f>'[2]EU Sunflower Imports'!HX$290</f>
        <v>28.761000000000003</v>
      </c>
      <c r="S57" s="146">
        <f>'[2]EU Sunflower Imports'!IJ$290</f>
        <v>42.373999999999995</v>
      </c>
      <c r="T57" s="146">
        <f>'[2]EU Sunflower Imports'!IV$290</f>
        <v>14.564</v>
      </c>
      <c r="U57" s="146">
        <f>'[2]EU Sunflower Imports'!JH$290</f>
        <v>22.596000000000004</v>
      </c>
      <c r="V57" s="146">
        <f>'[2]EU Sunflower Imports'!JT$290</f>
        <v>31.320999999999998</v>
      </c>
      <c r="W57" s="146">
        <f>'[2]EU Sunflower Imports'!KF$290</f>
        <v>16.163999999999998</v>
      </c>
      <c r="X57" s="146">
        <f>'[2]EU Sunflower Imports'!KR$290</f>
        <v>88.606999999999999</v>
      </c>
      <c r="Y57" s="146">
        <f>'[2]EU Sunflower Imports'!LD$290</f>
        <v>37.293000000000006</v>
      </c>
      <c r="Z57" s="146">
        <f>'[2]EU Sunflower Imports'!LP$290</f>
        <v>62.768999999999998</v>
      </c>
      <c r="AA57" s="146">
        <f>'[2]EU Sunflower Imports'!MB$290</f>
        <v>90.548000000000002</v>
      </c>
      <c r="AB57" s="146">
        <f>'[2]EU Sunflower Imports'!MN$290/1000</f>
        <v>79.995349999999988</v>
      </c>
      <c r="AC57" s="146">
        <f>'[2]EU Sunflower Imports'!MZ$290/1000</f>
        <v>17.620830999999999</v>
      </c>
      <c r="AD57" s="146">
        <f>'[2]EU Sunflower Imports'!NL$290/1000</f>
        <v>96.743510000000029</v>
      </c>
      <c r="AE57" s="146">
        <f>'[2]EU Sunflower Imports'!NX$290/1000</f>
        <v>70.397996000000006</v>
      </c>
      <c r="AF57" s="146">
        <f>'[2]EU Sunflower Imports'!OJ$290/1000</f>
        <v>101.01041900000001</v>
      </c>
      <c r="AG57" s="253">
        <f t="shared" si="53"/>
        <v>47.175771107715263</v>
      </c>
      <c r="AH57" s="253">
        <f t="shared" si="52"/>
        <v>40.415325346952528</v>
      </c>
      <c r="AI57" s="253">
        <f t="shared" si="49"/>
        <v>38.211682808592315</v>
      </c>
      <c r="AJ57" s="253">
        <f t="shared" si="49"/>
        <v>42.068965150743054</v>
      </c>
      <c r="AK57" s="253">
        <f t="shared" si="49"/>
        <v>38.648406280143298</v>
      </c>
      <c r="AL57" s="253">
        <f t="shared" si="49"/>
        <v>50.436924224065898</v>
      </c>
      <c r="AM57" s="253">
        <f t="shared" si="49"/>
        <v>40.07107401528215</v>
      </c>
      <c r="AN57" s="291"/>
      <c r="AO57" s="291"/>
      <c r="AP57" s="291"/>
      <c r="AQ57" s="244">
        <f t="shared" si="50"/>
        <v>9.6860443980702288E-2</v>
      </c>
    </row>
    <row r="58" spans="1:43">
      <c r="A58" s="240" t="s">
        <v>235</v>
      </c>
      <c r="B58" s="290">
        <f t="shared" si="51"/>
        <v>129.23562709993774</v>
      </c>
      <c r="C58" s="290">
        <f t="shared" si="47"/>
        <v>137.36352836521948</v>
      </c>
      <c r="D58" s="290">
        <f t="shared" si="47"/>
        <v>216.65002700104981</v>
      </c>
      <c r="E58" s="146">
        <f>'[2]EU Sunflower Imports'!BY$290</f>
        <v>54.382000000000005</v>
      </c>
      <c r="F58" s="146">
        <f>'[2]EU Sunflower Imports'!CK$290</f>
        <v>164.11600000000001</v>
      </c>
      <c r="G58" s="146">
        <f>'[2]EU Sunflower Imports'!CW$290</f>
        <v>160.39500000000001</v>
      </c>
      <c r="H58" s="146">
        <f>'[2]EU Sunflower Imports'!DI$290</f>
        <v>157.25299999999999</v>
      </c>
      <c r="I58" s="146">
        <f>'[2]EU Sunflower Imports'!DU$290</f>
        <v>79.676000000000002</v>
      </c>
      <c r="J58" s="146">
        <f>'[2]EU Sunflower Imports'!EG$290</f>
        <v>125.375</v>
      </c>
      <c r="K58" s="146">
        <f>'[2]EU Sunflower Imports'!ES$290</f>
        <v>61.686999999999998</v>
      </c>
      <c r="L58" s="146">
        <f>'[2]EU Sunflower Imports'!FE$290</f>
        <v>63.075000000000003</v>
      </c>
      <c r="M58" s="146">
        <f>'[2]EU Sunflower Imports'!FQ$290</f>
        <v>69.412000000000006</v>
      </c>
      <c r="N58" s="146">
        <f>'[2]EU Sunflower Imports'!GC$290</f>
        <v>38.747</v>
      </c>
      <c r="O58" s="146">
        <f>'[2]EU Sunflower Imports'!GO$290</f>
        <v>17.72</v>
      </c>
      <c r="P58" s="146">
        <f>'[2]EU Sunflower Imports'!HA$290</f>
        <v>67.447000000000003</v>
      </c>
      <c r="Q58" s="146">
        <f>'[2]EU Sunflower Imports'!HM$290</f>
        <v>52.143000000000001</v>
      </c>
      <c r="R58" s="146">
        <f>'[2]EU Sunflower Imports'!HY$290</f>
        <v>26.683000000000003</v>
      </c>
      <c r="S58" s="146">
        <f>'[2]EU Sunflower Imports'!IK$290</f>
        <v>24.126000000000001</v>
      </c>
      <c r="T58" s="146">
        <f>'[2]EU Sunflower Imports'!IW$290</f>
        <v>22.693000000000001</v>
      </c>
      <c r="U58" s="146">
        <f>'[2]EU Sunflower Imports'!JI$290</f>
        <v>11.122</v>
      </c>
      <c r="V58" s="146">
        <f>'[2]EU Sunflower Imports'!JU$290</f>
        <v>14.435</v>
      </c>
      <c r="W58" s="146">
        <f>'[2]EU Sunflower Imports'!KG$290</f>
        <v>14.14</v>
      </c>
      <c r="X58" s="146">
        <f>'[2]EU Sunflower Imports'!KS$290</f>
        <v>62.922000000000011</v>
      </c>
      <c r="Y58" s="146">
        <f>'[2]EU Sunflower Imports'!LE$290</f>
        <v>26.678999999999998</v>
      </c>
      <c r="Z58" s="146">
        <f>'[2]EU Sunflower Imports'!LQ$290</f>
        <v>36.887999999999998</v>
      </c>
      <c r="AA58" s="146">
        <f>'[2]EU Sunflower Imports'!MC$290</f>
        <v>12.859</v>
      </c>
      <c r="AB58" s="146">
        <f>'[2]EU Sunflower Imports'!MO$290/1000</f>
        <v>43.845877000000009</v>
      </c>
      <c r="AC58" s="146">
        <f>'[2]EU Sunflower Imports'!NA$290/1000</f>
        <v>94.475709000000009</v>
      </c>
      <c r="AD58" s="146">
        <f>'[2]EU Sunflower Imports'!NM$290/1000</f>
        <v>260.85217800000004</v>
      </c>
      <c r="AE58" s="146">
        <f>'[2]EU Sunflower Imports'!NU$290/1000</f>
        <v>129.81146300000003</v>
      </c>
      <c r="AF58" s="146">
        <f>'[2]EU Sunflower Imports'!OK$290/1000</f>
        <v>66.485775999999987</v>
      </c>
      <c r="AG58" s="253">
        <f t="shared" si="53"/>
        <v>71.943456477770667</v>
      </c>
      <c r="AH58" s="253">
        <f t="shared" si="52"/>
        <v>65.796207832623736</v>
      </c>
      <c r="AI58" s="253">
        <f t="shared" si="49"/>
        <v>71.565431119433711</v>
      </c>
      <c r="AJ58" s="253">
        <f t="shared" si="49"/>
        <v>70.349568426864096</v>
      </c>
      <c r="AK58" s="253">
        <f t="shared" si="49"/>
        <v>52.743248275276464</v>
      </c>
      <c r="AL58" s="253">
        <f t="shared" si="49"/>
        <v>64.929034020958824</v>
      </c>
      <c r="AM58" s="253">
        <f t="shared" si="49"/>
        <v>64.495117279337208</v>
      </c>
      <c r="AN58" s="291"/>
      <c r="AO58" s="291"/>
      <c r="AP58" s="291"/>
      <c r="AQ58" s="244">
        <f t="shared" si="50"/>
        <v>6.8723489573432772E-2</v>
      </c>
    </row>
    <row r="59" spans="1:43">
      <c r="A59" s="240" t="s">
        <v>236</v>
      </c>
      <c r="B59" s="290">
        <f t="shared" si="51"/>
        <v>74.805810573745958</v>
      </c>
      <c r="C59" s="290">
        <f t="shared" si="47"/>
        <v>99.604342085841637</v>
      </c>
      <c r="D59" s="290">
        <f t="shared" si="47"/>
        <v>175.66646381285204</v>
      </c>
      <c r="E59" s="146">
        <f>'[2]EU Sunflower Imports'!BZ$290</f>
        <v>12.273</v>
      </c>
      <c r="F59" s="146">
        <f>'[2]EU Sunflower Imports'!CL$290</f>
        <v>63.866</v>
      </c>
      <c r="G59" s="146">
        <f>'[2]EU Sunflower Imports'!CX$290</f>
        <v>89.350999999999999</v>
      </c>
      <c r="H59" s="146">
        <f>'[2]EU Sunflower Imports'!DJ$290</f>
        <v>128.006</v>
      </c>
      <c r="I59" s="146">
        <f>'[2]EU Sunflower Imports'!DV$290</f>
        <v>35.828000000000003</v>
      </c>
      <c r="J59" s="146">
        <f>'[2]EU Sunflower Imports'!EH$290</f>
        <v>80.5</v>
      </c>
      <c r="K59" s="146">
        <f>'[2]EU Sunflower Imports'!ET$290</f>
        <v>90.061999999999998</v>
      </c>
      <c r="L59" s="146">
        <f>'[2]EU Sunflower Imports'!FF$290</f>
        <v>60.532000000000004</v>
      </c>
      <c r="M59" s="146">
        <f>'[2]EU Sunflower Imports'!FR$290</f>
        <v>31.085999999999999</v>
      </c>
      <c r="N59" s="146">
        <f>'[2]EU Sunflower Imports'!GD$290</f>
        <v>35.721000000000004</v>
      </c>
      <c r="O59" s="146">
        <f>'[2]EU Sunflower Imports'!GP$290</f>
        <v>35.454999999999998</v>
      </c>
      <c r="P59" s="146">
        <f>'[2]EU Sunflower Imports'!HB$290</f>
        <v>20.049000000000003</v>
      </c>
      <c r="Q59" s="146">
        <f>'[2]EU Sunflower Imports'!HN$290</f>
        <v>73.753000000000014</v>
      </c>
      <c r="R59" s="146">
        <f>'[2]EU Sunflower Imports'!HZ$290</f>
        <v>19.125999999999998</v>
      </c>
      <c r="S59" s="146">
        <f>'[2]EU Sunflower Imports'!IL$290</f>
        <v>15.425000000000001</v>
      </c>
      <c r="T59" s="146">
        <f>'[2]EU Sunflower Imports'!IX$290</f>
        <v>23.009999999999998</v>
      </c>
      <c r="U59" s="146">
        <f>'[2]EU Sunflower Imports'!JJ$290</f>
        <v>12.321999999999999</v>
      </c>
      <c r="V59" s="146">
        <f>'[2]EU Sunflower Imports'!JV$290</f>
        <v>12.750999999999999</v>
      </c>
      <c r="W59" s="146">
        <f>'[2]EU Sunflower Imports'!KH$290</f>
        <v>12.093</v>
      </c>
      <c r="X59" s="146">
        <f>'[2]EU Sunflower Imports'!KT$290</f>
        <v>50.959000000000003</v>
      </c>
      <c r="Y59" s="146">
        <f>'[2]EU Sunflower Imports'!LF$290</f>
        <v>28.016999999999996</v>
      </c>
      <c r="Z59" s="146">
        <f>'[2]EU Sunflower Imports'!LR$290</f>
        <v>14.513</v>
      </c>
      <c r="AA59" s="146">
        <f>'[2]EU Sunflower Imports'!MD$290</f>
        <v>14.157999999999999</v>
      </c>
      <c r="AB59" s="146">
        <f>'[2]EU Sunflower Imports'!MP$290/1000</f>
        <v>20.666353000000012</v>
      </c>
      <c r="AC59" s="146">
        <f>'[2]EU Sunflower Imports'!NB$290/1000</f>
        <v>14.110883999999999</v>
      </c>
      <c r="AD59" s="146">
        <f>'[2]EU Sunflower Imports'!NN$290/1000</f>
        <v>371.35002000000003</v>
      </c>
      <c r="AE59" s="146">
        <f>'[2]EU Sunflower Imports'!NZ$290/1000</f>
        <v>48.48739299999999</v>
      </c>
      <c r="AF59" s="146">
        <f>'[2]EU Sunflower Imports'!OL$290/1000</f>
        <v>38.262915999999997</v>
      </c>
      <c r="AG59" s="253">
        <f t="shared" ref="AG59:AH59" si="54">AG60-SUM(AG48:AG58)</f>
        <v>121.93979449753397</v>
      </c>
      <c r="AH59" s="253">
        <f t="shared" si="54"/>
        <v>54.460208146480909</v>
      </c>
      <c r="AI59" s="253">
        <f t="shared" ref="AI59:AM59" si="55">AI60-SUM(AI48:AI58)</f>
        <v>68.18924845868537</v>
      </c>
      <c r="AJ59" s="253">
        <f t="shared" si="55"/>
        <v>75.033860765328882</v>
      </c>
      <c r="AK59" s="253">
        <f t="shared" si="55"/>
        <v>43.086351331000742</v>
      </c>
      <c r="AL59" s="253">
        <f t="shared" si="55"/>
        <v>67.132271770064449</v>
      </c>
      <c r="AM59" s="253">
        <f t="shared" si="55"/>
        <v>70.376463008767018</v>
      </c>
      <c r="AN59" s="291"/>
      <c r="AO59" s="291"/>
      <c r="AP59" s="291"/>
      <c r="AQ59" s="244">
        <f t="shared" si="50"/>
        <v>5.7328428889965005E-2</v>
      </c>
    </row>
    <row r="60" spans="1:43" ht="15.75" thickBot="1">
      <c r="A60" s="240" t="s">
        <v>242</v>
      </c>
      <c r="B60" s="292">
        <f>B10</f>
        <v>1486</v>
      </c>
      <c r="C60" s="292">
        <f>C10</f>
        <v>1610</v>
      </c>
      <c r="D60" s="292">
        <f>D10</f>
        <v>2518</v>
      </c>
      <c r="E60" s="292">
        <f>SUM(E48:E59)</f>
        <v>2396.7820000000002</v>
      </c>
      <c r="F60" s="292">
        <f t="shared" ref="F60:AB60" si="56">SUM(F48:F59)</f>
        <v>1782.6519999999998</v>
      </c>
      <c r="G60" s="292">
        <f t="shared" si="56"/>
        <v>2207.181</v>
      </c>
      <c r="H60" s="292">
        <f t="shared" si="56"/>
        <v>1363.7330000000002</v>
      </c>
      <c r="I60" s="292">
        <f t="shared" si="56"/>
        <v>1761.0359999999998</v>
      </c>
      <c r="J60" s="292">
        <f t="shared" si="56"/>
        <v>782.65600000000006</v>
      </c>
      <c r="K60" s="292">
        <f t="shared" si="56"/>
        <v>734.82100000000003</v>
      </c>
      <c r="L60" s="292">
        <f t="shared" si="56"/>
        <v>1018.6450000000001</v>
      </c>
      <c r="M60" s="292">
        <f t="shared" si="56"/>
        <v>435.66200000000003</v>
      </c>
      <c r="N60" s="292">
        <f t="shared" si="56"/>
        <v>601.76800000000003</v>
      </c>
      <c r="O60" s="292">
        <f t="shared" si="56"/>
        <v>593.21100000000001</v>
      </c>
      <c r="P60" s="292">
        <f t="shared" si="56"/>
        <v>299.10199999999998</v>
      </c>
      <c r="Q60" s="292">
        <f t="shared" si="56"/>
        <v>615.55000000000007</v>
      </c>
      <c r="R60" s="292">
        <f t="shared" si="56"/>
        <v>293.89999999999992</v>
      </c>
      <c r="S60" s="292">
        <f t="shared" si="56"/>
        <v>367.06799999999993</v>
      </c>
      <c r="T60" s="292">
        <f t="shared" si="56"/>
        <v>244.05799999999999</v>
      </c>
      <c r="U60" s="292">
        <f t="shared" si="56"/>
        <v>191.97500000000002</v>
      </c>
      <c r="V60" s="292">
        <f t="shared" si="56"/>
        <v>344.41299999999995</v>
      </c>
      <c r="W60" s="292">
        <f t="shared" si="56"/>
        <v>252.98699999999999</v>
      </c>
      <c r="X60" s="292">
        <f t="shared" si="56"/>
        <v>503.34600000000006</v>
      </c>
      <c r="Y60" s="292">
        <f t="shared" si="56"/>
        <v>742.32299999999987</v>
      </c>
      <c r="Z60" s="292">
        <f t="shared" si="56"/>
        <v>548.09400000000005</v>
      </c>
      <c r="AA60" s="292">
        <f t="shared" si="56"/>
        <v>531.18299999999999</v>
      </c>
      <c r="AB60" s="292">
        <f t="shared" si="56"/>
        <v>969.02896899999985</v>
      </c>
      <c r="AC60" s="292">
        <f>SUM(AC48:AC59)</f>
        <v>817.10107599999992</v>
      </c>
      <c r="AD60" s="292">
        <f>SUM(AD48:AD59)</f>
        <v>1147.9380720000001</v>
      </c>
      <c r="AE60" s="292">
        <f>SUM(AE48:AE59)</f>
        <v>2183.3956139999996</v>
      </c>
      <c r="AF60" s="292">
        <f>SUM(AF48:AF59)</f>
        <v>765.187636</v>
      </c>
      <c r="AG60" s="293">
        <f t="shared" ref="AG60:AM60" si="57">AG10</f>
        <v>750</v>
      </c>
      <c r="AH60" s="293">
        <f t="shared" si="57"/>
        <v>650</v>
      </c>
      <c r="AI60" s="293">
        <f t="shared" si="57"/>
        <v>650</v>
      </c>
      <c r="AJ60" s="293">
        <f t="shared" si="57"/>
        <v>650</v>
      </c>
      <c r="AK60" s="293">
        <f t="shared" si="57"/>
        <v>650</v>
      </c>
      <c r="AL60" s="293">
        <f t="shared" si="57"/>
        <v>650</v>
      </c>
      <c r="AM60" s="293">
        <f t="shared" si="57"/>
        <v>650</v>
      </c>
    </row>
    <row r="61" spans="1:43">
      <c r="A61" s="248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  <c r="AF61" s="248"/>
      <c r="AG61" s="248"/>
      <c r="AH61" s="248"/>
      <c r="AI61" s="248"/>
      <c r="AJ61" s="248"/>
      <c r="AK61" s="248"/>
      <c r="AL61" s="248"/>
      <c r="AM61" s="248"/>
    </row>
    <row r="62" spans="1:43" ht="15.75" thickBot="1">
      <c r="A62" s="235" t="s">
        <v>243</v>
      </c>
      <c r="E62" s="108"/>
      <c r="F62" s="108"/>
      <c r="G62" s="108"/>
      <c r="H62" s="108"/>
      <c r="I62" s="108"/>
      <c r="J62" s="108"/>
    </row>
    <row r="63" spans="1:43" ht="15.75" thickBot="1">
      <c r="A63" s="236"/>
      <c r="B63" s="237" t="str">
        <f>B$2</f>
        <v xml:space="preserve">93/94 </v>
      </c>
      <c r="C63" s="237" t="str">
        <f t="shared" ref="C63:AM63" si="58">C$2</f>
        <v xml:space="preserve">94/95 </v>
      </c>
      <c r="D63" s="237" t="str">
        <f t="shared" si="58"/>
        <v xml:space="preserve">95/96 </v>
      </c>
      <c r="E63" s="237" t="str">
        <f t="shared" si="58"/>
        <v xml:space="preserve">96/97 </v>
      </c>
      <c r="F63" s="237" t="str">
        <f t="shared" si="58"/>
        <v xml:space="preserve">97/98 </v>
      </c>
      <c r="G63" s="237" t="str">
        <f t="shared" si="58"/>
        <v xml:space="preserve">98/99 </v>
      </c>
      <c r="H63" s="237" t="str">
        <f t="shared" si="58"/>
        <v xml:space="preserve">99/00 </v>
      </c>
      <c r="I63" s="237" t="str">
        <f t="shared" si="58"/>
        <v xml:space="preserve">00/01 </v>
      </c>
      <c r="J63" s="237" t="str">
        <f t="shared" si="58"/>
        <v xml:space="preserve">01/02 </v>
      </c>
      <c r="K63" s="237" t="str">
        <f t="shared" si="58"/>
        <v xml:space="preserve">02/03 </v>
      </c>
      <c r="L63" s="237" t="str">
        <f t="shared" si="58"/>
        <v xml:space="preserve">03/04 </v>
      </c>
      <c r="M63" s="237" t="str">
        <f t="shared" si="58"/>
        <v xml:space="preserve">04/05 </v>
      </c>
      <c r="N63" s="237" t="str">
        <f t="shared" si="58"/>
        <v xml:space="preserve">05/06 </v>
      </c>
      <c r="O63" s="237" t="str">
        <f t="shared" si="58"/>
        <v xml:space="preserve">06/07 </v>
      </c>
      <c r="P63" s="237" t="str">
        <f t="shared" si="58"/>
        <v xml:space="preserve">07/08 </v>
      </c>
      <c r="Q63" s="237" t="str">
        <f t="shared" si="58"/>
        <v xml:space="preserve">08/09 </v>
      </c>
      <c r="R63" s="237" t="str">
        <f t="shared" si="58"/>
        <v xml:space="preserve">09/10 </v>
      </c>
      <c r="S63" s="237" t="str">
        <f t="shared" si="58"/>
        <v xml:space="preserve">10/11 </v>
      </c>
      <c r="T63" s="237" t="str">
        <f t="shared" si="58"/>
        <v xml:space="preserve">11/12 </v>
      </c>
      <c r="U63" s="237" t="str">
        <f t="shared" si="58"/>
        <v xml:space="preserve">12/13 </v>
      </c>
      <c r="V63" s="237" t="str">
        <f t="shared" si="58"/>
        <v xml:space="preserve">13/14 </v>
      </c>
      <c r="W63" s="237" t="str">
        <f t="shared" si="58"/>
        <v xml:space="preserve">14/15 </v>
      </c>
      <c r="X63" s="237" t="str">
        <f t="shared" si="58"/>
        <v xml:space="preserve">15/16 </v>
      </c>
      <c r="Y63" s="237" t="str">
        <f t="shared" si="58"/>
        <v xml:space="preserve">16/17 </v>
      </c>
      <c r="Z63" s="237" t="str">
        <f t="shared" si="58"/>
        <v xml:space="preserve">17/18 </v>
      </c>
      <c r="AA63" s="237" t="str">
        <f t="shared" si="58"/>
        <v xml:space="preserve">18/19 </v>
      </c>
      <c r="AB63" s="237" t="str">
        <f t="shared" si="58"/>
        <v xml:space="preserve">19/20 </v>
      </c>
      <c r="AC63" s="237" t="str">
        <f t="shared" si="58"/>
        <v xml:space="preserve">20/21 </v>
      </c>
      <c r="AD63" s="237" t="str">
        <f t="shared" si="58"/>
        <v>21/22</v>
      </c>
      <c r="AE63" s="237" t="str">
        <f t="shared" si="58"/>
        <v>22/23</v>
      </c>
      <c r="AF63" s="237" t="str">
        <f t="shared" si="58"/>
        <v>23/24</v>
      </c>
      <c r="AG63" s="237" t="str">
        <f t="shared" si="58"/>
        <v>24/25</v>
      </c>
      <c r="AH63" s="237" t="str">
        <f t="shared" si="58"/>
        <v>25/26</v>
      </c>
      <c r="AI63" s="237" t="str">
        <f t="shared" si="58"/>
        <v>26/27</v>
      </c>
      <c r="AJ63" s="237" t="str">
        <f t="shared" si="58"/>
        <v>27/28</v>
      </c>
      <c r="AK63" s="237" t="str">
        <f t="shared" si="58"/>
        <v>28/29</v>
      </c>
      <c r="AL63" s="237" t="str">
        <f t="shared" si="58"/>
        <v>29/30</v>
      </c>
      <c r="AM63" s="237" t="str">
        <f t="shared" si="58"/>
        <v>30/31</v>
      </c>
    </row>
    <row r="64" spans="1:43">
      <c r="A64" s="240" t="s">
        <v>237</v>
      </c>
      <c r="B64" s="290">
        <f>(SUM(F64:J64)/SUM(F$76:J$76))*B$76</f>
        <v>9.4703487282577203</v>
      </c>
      <c r="C64" s="290">
        <f t="shared" ref="C64:D75" si="59">(SUM(G64:K64)/SUM(G$76:K$76))*C$76</f>
        <v>8.4095082410694246</v>
      </c>
      <c r="D64" s="290">
        <f t="shared" si="59"/>
        <v>10.549994543124505</v>
      </c>
      <c r="E64" s="290">
        <v>18.767794325394455</v>
      </c>
      <c r="F64" s="146">
        <f>'[2]EU Sunflower Exports'!BZ$290</f>
        <v>7.4989999999999997</v>
      </c>
      <c r="G64" s="146">
        <f>'[2]EU Sunflower Exports'!CL$290</f>
        <v>5.8580000000000005</v>
      </c>
      <c r="H64" s="146">
        <f>'[2]EU Sunflower Exports'!CX$290</f>
        <v>2.08</v>
      </c>
      <c r="I64" s="146">
        <f>'[2]EU Sunflower Exports'!DJ$290</f>
        <v>0.42099999999999999</v>
      </c>
      <c r="J64" s="146">
        <f>'[2]EU Sunflower Exports'!DV$290</f>
        <v>0.49199999999999999</v>
      </c>
      <c r="K64" s="146">
        <f>'[2]EU Sunflower Exports'!EH$290</f>
        <v>1.4899999999999998</v>
      </c>
      <c r="L64" s="146">
        <f>'[2]EU Sunflower Exports'!ET$290</f>
        <v>14.770999999999997</v>
      </c>
      <c r="M64" s="146">
        <f>'[2]EU Sunflower Exports'!FF$290</f>
        <v>23.367000000000001</v>
      </c>
      <c r="N64" s="146">
        <f>'[2]EU Sunflower Exports'!FR$290</f>
        <v>7.456999999999999</v>
      </c>
      <c r="O64" s="146">
        <f>'[2]EU Sunflower Exports'!GD$290</f>
        <v>0.89800000000000013</v>
      </c>
      <c r="P64" s="146">
        <f>'[2]EU Sunflower Exports'!GP$290</f>
        <v>1.3850000000000002</v>
      </c>
      <c r="Q64" s="146">
        <f>'[2]EU Sunflower Exports'!HB$290</f>
        <v>1.0469999999999999</v>
      </c>
      <c r="R64" s="146">
        <f>'[2]EU Sunflower Exports'!HN$290</f>
        <v>46.405000000000008</v>
      </c>
      <c r="S64" s="146">
        <f>'[2]EU Sunflower Exports'!HZ$290</f>
        <v>3.6289999999999996</v>
      </c>
      <c r="T64" s="146">
        <f>'[2]EU Sunflower Exports'!IL$290</f>
        <v>1.839</v>
      </c>
      <c r="U64" s="146">
        <f>'[2]EU Sunflower Exports'!IX$290</f>
        <v>9.5749999999999993</v>
      </c>
      <c r="V64" s="146">
        <f>'[2]EU Sunflower Exports'!JJ$290</f>
        <v>7.5359999999999996</v>
      </c>
      <c r="W64" s="146">
        <f>'[2]EU Sunflower Exports'!JV$290</f>
        <v>2.4170000000000003</v>
      </c>
      <c r="X64" s="146">
        <f>'[2]EU Sunflower Exports'!KH$290</f>
        <v>3.9770000000000003</v>
      </c>
      <c r="Y64" s="146">
        <f>'[2]EU Sunflower Exports'!KT$290</f>
        <v>5.5299999999999994</v>
      </c>
      <c r="Z64" s="146">
        <f>'[2]EU Sunflower Exports'!LF$290</f>
        <v>4.9720000000000004</v>
      </c>
      <c r="AA64" s="146">
        <f>'[2]EU Sunflower Exports'!LR$290</f>
        <v>5.976</v>
      </c>
      <c r="AB64" s="146">
        <f>'[2]EU Sunflower Exports'!MD$290/1000</f>
        <v>24.660541000000006</v>
      </c>
      <c r="AC64" s="146">
        <f>'[2]EU Sunflower Exports'!MP$290/1000</f>
        <v>16.046363000000003</v>
      </c>
      <c r="AD64" s="146">
        <f>'[2]EU Sunflower Exports'!NB$290/1000</f>
        <v>15.180816000000002</v>
      </c>
      <c r="AE64" s="146">
        <f>'[2]EU Sunflower Exports'!NN$290/1000</f>
        <v>13.493242000000004</v>
      </c>
      <c r="AF64" s="146">
        <f>'[2]EU Sunflower Exports'!OA$290/1000</f>
        <v>52.344536000000012</v>
      </c>
      <c r="AG64" s="146">
        <f>'[2]EU Sunflower Exports'!OL$290/1000</f>
        <v>22.334654000000011</v>
      </c>
      <c r="AH64" s="253">
        <f t="shared" ref="AH64" si="60">(SUM(AB64:AF64)/SUM(AB$76:AF$76))*AH$76</f>
        <v>24.448724942791074</v>
      </c>
      <c r="AI64" s="253">
        <f t="shared" ref="AI64:AM74" si="61">(SUM(AC64:AG64)/SUM(AC$76:AG$76))*AI$76</f>
        <v>25.537617282861678</v>
      </c>
      <c r="AJ64" s="253">
        <f t="shared" si="61"/>
        <v>28.629154479671765</v>
      </c>
      <c r="AK64" s="253">
        <f t="shared" si="61"/>
        <v>29.203998782253407</v>
      </c>
      <c r="AL64" s="253">
        <f t="shared" si="61"/>
        <v>40.112364569682114</v>
      </c>
      <c r="AM64" s="253">
        <f t="shared" si="61"/>
        <v>35.041501785117134</v>
      </c>
      <c r="AQ64" s="244">
        <f t="shared" ref="AQ64:AQ75" si="62">SUM(R64:V64)/SUM(R$60:V$60)</f>
        <v>4.7858561107357096E-2</v>
      </c>
    </row>
    <row r="65" spans="1:43">
      <c r="A65" s="240" t="s">
        <v>238</v>
      </c>
      <c r="B65" s="290">
        <f t="shared" ref="B65:B75" si="63">(SUM(F65:J65)/SUM(F$76:J$76))*B$76</f>
        <v>32.801001720642603</v>
      </c>
      <c r="C65" s="290">
        <f t="shared" si="59"/>
        <v>36.975487932012832</v>
      </c>
      <c r="D65" s="290">
        <f t="shared" si="59"/>
        <v>62.386554933859308</v>
      </c>
      <c r="E65" s="290">
        <v>65.0031452509335</v>
      </c>
      <c r="F65" s="146">
        <f>'[2]EU Sunflower Exports'!CA$290</f>
        <v>17.499000000000002</v>
      </c>
      <c r="G65" s="146">
        <f>'[2]EU Sunflower Exports'!CM$290</f>
        <v>2.4849999999999994</v>
      </c>
      <c r="H65" s="146">
        <f>'[2]EU Sunflower Exports'!CY$290</f>
        <v>23.852</v>
      </c>
      <c r="I65" s="146">
        <f>'[2]EU Sunflower Exports'!DK$290</f>
        <v>9.0500000000000007</v>
      </c>
      <c r="J65" s="146">
        <f>'[2]EU Sunflower Exports'!DW$290</f>
        <v>3.7429999999999999</v>
      </c>
      <c r="K65" s="146">
        <f>'[2]EU Sunflower Exports'!EI$290</f>
        <v>6.3380000000000001</v>
      </c>
      <c r="L65" s="146">
        <f>'[2]EU Sunflower Exports'!EU$290</f>
        <v>70.874000000000009</v>
      </c>
      <c r="M65" s="146">
        <f>'[2]EU Sunflower Exports'!FG$290</f>
        <v>68.700999999999993</v>
      </c>
      <c r="N65" s="146">
        <f>'[2]EU Sunflower Exports'!FS$290</f>
        <v>21.002000000000002</v>
      </c>
      <c r="O65" s="146">
        <f>'[2]EU Sunflower Exports'!GE$290</f>
        <v>58.763999999999996</v>
      </c>
      <c r="P65" s="146">
        <f>'[2]EU Sunflower Exports'!GQ$290</f>
        <v>14.95</v>
      </c>
      <c r="Q65" s="146">
        <f>'[2]EU Sunflower Exports'!HC$290</f>
        <v>28.247</v>
      </c>
      <c r="R65" s="146">
        <f>'[2]EU Sunflower Exports'!HO$290</f>
        <v>130.50900000000001</v>
      </c>
      <c r="S65" s="146">
        <f>'[2]EU Sunflower Exports'!IA$290</f>
        <v>32.436</v>
      </c>
      <c r="T65" s="146">
        <f>'[2]EU Sunflower Exports'!IM$290</f>
        <v>110.83499999999997</v>
      </c>
      <c r="U65" s="146">
        <f>'[2]EU Sunflower Exports'!IY$290</f>
        <v>46.039999999999992</v>
      </c>
      <c r="V65" s="146">
        <f>'[2]EU Sunflower Exports'!JK$290</f>
        <v>125.23599999999999</v>
      </c>
      <c r="W65" s="146">
        <f>'[2]EU Sunflower Exports'!JW$290</f>
        <v>100.91799999999999</v>
      </c>
      <c r="X65" s="146">
        <f>'[2]EU Sunflower Exports'!KI$290</f>
        <v>50.57</v>
      </c>
      <c r="Y65" s="146">
        <f>'[2]EU Sunflower Exports'!KU$290</f>
        <v>81.335000000000008</v>
      </c>
      <c r="Z65" s="146">
        <f>'[2]EU Sunflower Exports'!LG$290</f>
        <v>28.038</v>
      </c>
      <c r="AA65" s="146">
        <f>'[2]EU Sunflower Exports'!LS$290</f>
        <v>12.468999999999999</v>
      </c>
      <c r="AB65" s="146">
        <f>'[2]EU Sunflower Exports'!ME$290/1000</f>
        <v>118.50284800000001</v>
      </c>
      <c r="AC65" s="146">
        <f>'[2]EU Sunflower Exports'!MQ$290/1000</f>
        <v>87.953596000000005</v>
      </c>
      <c r="AD65" s="146">
        <f>'[2]EU Sunflower Exports'!NC$290/1000</f>
        <v>45.615023000000008</v>
      </c>
      <c r="AE65" s="146">
        <f>'[2]EU Sunflower Exports'!NO$290/1000</f>
        <v>39.949526999999996</v>
      </c>
      <c r="AF65" s="146">
        <f>'[2]EU Sunflower Exports'!OB$290/1000</f>
        <v>81.060435999999996</v>
      </c>
      <c r="AG65" s="146">
        <f>'[2]EU Sunflower Exports'!OM$290/1000</f>
        <v>28.505301000000014</v>
      </c>
      <c r="AH65" s="253">
        <f t="shared" ref="AH65:AH72" si="64">(SUM(AB65:AF65)/SUM(AB$76:AF$76))*AH$76</f>
        <v>74.933891528077055</v>
      </c>
      <c r="AI65" s="253">
        <f t="shared" si="61"/>
        <v>60.546996782094965</v>
      </c>
      <c r="AJ65" s="253">
        <f t="shared" si="61"/>
        <v>60.497572208583755</v>
      </c>
      <c r="AK65" s="253">
        <f t="shared" si="61"/>
        <v>60.242480665175023</v>
      </c>
      <c r="AL65" s="253">
        <f t="shared" si="61"/>
        <v>79.951239709846959</v>
      </c>
      <c r="AM65" s="253">
        <f t="shared" si="61"/>
        <v>76.657065203365988</v>
      </c>
      <c r="AQ65" s="244">
        <f t="shared" si="62"/>
        <v>0.30876347808471405</v>
      </c>
    </row>
    <row r="66" spans="1:43">
      <c r="A66" s="240" t="s">
        <v>239</v>
      </c>
      <c r="B66" s="290">
        <f t="shared" si="63"/>
        <v>49.955365508782087</v>
      </c>
      <c r="C66" s="290">
        <f t="shared" si="59"/>
        <v>91.945908497077014</v>
      </c>
      <c r="D66" s="290">
        <f t="shared" si="59"/>
        <v>91.469449935698876</v>
      </c>
      <c r="E66" s="290">
        <v>98.998680219794792</v>
      </c>
      <c r="F66" s="146">
        <f>'[2]EU Sunflower Exports'!CB$290</f>
        <v>2.4779999999999998</v>
      </c>
      <c r="G66" s="146">
        <f>'[2]EU Sunflower Exports'!CN$290</f>
        <v>1.4509999999999998</v>
      </c>
      <c r="H66" s="146">
        <f>'[2]EU Sunflower Exports'!CZ$290</f>
        <v>60.177</v>
      </c>
      <c r="I66" s="146">
        <f>'[2]EU Sunflower Exports'!DL$290</f>
        <v>6.3710000000000004</v>
      </c>
      <c r="J66" s="146">
        <f>'[2]EU Sunflower Exports'!DX$290</f>
        <v>15.768000000000001</v>
      </c>
      <c r="K66" s="146">
        <f>'[2]EU Sunflower Exports'!EJ$290</f>
        <v>29.297000000000004</v>
      </c>
      <c r="L66" s="146">
        <f>'[2]EU Sunflower Exports'!EV$290</f>
        <v>55.321000000000005</v>
      </c>
      <c r="M66" s="146">
        <f>'[2]EU Sunflower Exports'!FH$290</f>
        <v>65.536999999999992</v>
      </c>
      <c r="N66" s="146">
        <f>'[2]EU Sunflower Exports'!FT$290</f>
        <v>17.094999999999999</v>
      </c>
      <c r="O66" s="146">
        <f>'[2]EU Sunflower Exports'!GF$290</f>
        <v>111.41100000000002</v>
      </c>
      <c r="P66" s="146">
        <f>'[2]EU Sunflower Exports'!GR$290</f>
        <v>68.173999999999992</v>
      </c>
      <c r="Q66" s="146">
        <f>'[2]EU Sunflower Exports'!HD$290</f>
        <v>64.694999999999993</v>
      </c>
      <c r="R66" s="146">
        <f>'[2]EU Sunflower Exports'!HP$290</f>
        <v>171.23400000000004</v>
      </c>
      <c r="S66" s="146">
        <f>'[2]EU Sunflower Exports'!IB$290</f>
        <v>91.391000000000005</v>
      </c>
      <c r="T66" s="146">
        <f>'[2]EU Sunflower Exports'!IN$290</f>
        <v>167.04300000000001</v>
      </c>
      <c r="U66" s="146">
        <f>'[2]EU Sunflower Exports'!IZ$290</f>
        <v>49.573999999999998</v>
      </c>
      <c r="V66" s="146">
        <f>'[2]EU Sunflower Exports'!JL$290</f>
        <v>237.77700000000002</v>
      </c>
      <c r="W66" s="146">
        <f>'[2]EU Sunflower Exports'!JX$290</f>
        <v>180.29700000000005</v>
      </c>
      <c r="X66" s="146">
        <f>'[2]EU Sunflower Exports'!KJ$290</f>
        <v>73.474999999999994</v>
      </c>
      <c r="Y66" s="146">
        <f>'[2]EU Sunflower Exports'!KV$290</f>
        <v>46.548000000000002</v>
      </c>
      <c r="Z66" s="146">
        <f>'[2]EU Sunflower Exports'!LH$290</f>
        <v>94.658000000000001</v>
      </c>
      <c r="AA66" s="146">
        <f>'[2]EU Sunflower Exports'!LT$290</f>
        <v>34.926000000000002</v>
      </c>
      <c r="AB66" s="146">
        <f>'[2]EU Sunflower Exports'!MF$290/1000</f>
        <v>44.052320000000002</v>
      </c>
      <c r="AC66" s="146">
        <f>'[2]EU Sunflower Exports'!MR$290/1000</f>
        <v>41.887562999999986</v>
      </c>
      <c r="AD66" s="146">
        <f>'[2]EU Sunflower Exports'!ND$290/1000</f>
        <v>47.123078000000007</v>
      </c>
      <c r="AE66" s="146">
        <f>'[2]EU Sunflower Exports'!NP$290/1000</f>
        <v>22.794330999999996</v>
      </c>
      <c r="AF66" s="146">
        <f>'[2]EU Sunflower Exports'!OB$290/1000</f>
        <v>81.060435999999996</v>
      </c>
      <c r="AG66" s="146">
        <f>'[2]EU Sunflower Exports'!ON$290/1000</f>
        <v>25.253893000000012</v>
      </c>
      <c r="AH66" s="253">
        <f t="shared" si="64"/>
        <v>47.585234491650951</v>
      </c>
      <c r="AI66" s="253">
        <f t="shared" si="61"/>
        <v>46.652138849458282</v>
      </c>
      <c r="AJ66" s="253">
        <f t="shared" si="61"/>
        <v>50.137650719243915</v>
      </c>
      <c r="AK66" s="253">
        <f t="shared" si="61"/>
        <v>47.210879817604749</v>
      </c>
      <c r="AL66" s="253">
        <f t="shared" si="61"/>
        <v>65.59746420320883</v>
      </c>
      <c r="AM66" s="253">
        <f t="shared" si="61"/>
        <v>58.379945313296354</v>
      </c>
      <c r="AQ66" s="244">
        <f t="shared" si="62"/>
        <v>0.49744140129067721</v>
      </c>
    </row>
    <row r="67" spans="1:43">
      <c r="A67" s="240" t="s">
        <v>240</v>
      </c>
      <c r="B67" s="290">
        <f t="shared" si="63"/>
        <v>47.257908993338901</v>
      </c>
      <c r="C67" s="290">
        <f t="shared" si="59"/>
        <v>76.106008920677255</v>
      </c>
      <c r="D67" s="290">
        <f t="shared" si="59"/>
        <v>78.189081298443853</v>
      </c>
      <c r="E67" s="290">
        <v>93.653015499711515</v>
      </c>
      <c r="F67" s="146">
        <f>'[2]EU Sunflower Exports'!CC$290</f>
        <v>0.95500000000000007</v>
      </c>
      <c r="G67" s="146">
        <f>'[2]EU Sunflower Exports'!CO$290</f>
        <v>1.8370000000000002</v>
      </c>
      <c r="H67" s="146">
        <f>'[2]EU Sunflower Exports'!DA$290</f>
        <v>39.749000000000002</v>
      </c>
      <c r="I67" s="146">
        <f>'[2]EU Sunflower Exports'!DM$290</f>
        <v>5.2759999999999998</v>
      </c>
      <c r="J67" s="146">
        <f>'[2]EU Sunflower Exports'!DY$290</f>
        <v>33.771000000000001</v>
      </c>
      <c r="K67" s="146">
        <f>'[2]EU Sunflower Exports'!EK$290</f>
        <v>12.952999999999999</v>
      </c>
      <c r="L67" s="146">
        <f>'[2]EU Sunflower Exports'!EW$290</f>
        <v>50.948</v>
      </c>
      <c r="M67" s="146">
        <f>'[2]EU Sunflower Exports'!FI$290</f>
        <v>27.030000000000005</v>
      </c>
      <c r="N67" s="146">
        <f>'[2]EU Sunflower Exports'!FU$290</f>
        <v>19.582000000000001</v>
      </c>
      <c r="O67" s="146">
        <f>'[2]EU Sunflower Exports'!GG$290</f>
        <v>156.416</v>
      </c>
      <c r="P67" s="146">
        <f>'[2]EU Sunflower Exports'!GS$290</f>
        <v>45.684999999999995</v>
      </c>
      <c r="Q67" s="146">
        <f>'[2]EU Sunflower Exports'!HE$290</f>
        <v>32.411000000000001</v>
      </c>
      <c r="R67" s="146">
        <f>'[2]EU Sunflower Exports'!HQ$290</f>
        <v>75.283000000000015</v>
      </c>
      <c r="S67" s="146">
        <f>'[2]EU Sunflower Exports'!IC$290</f>
        <v>36.335000000000001</v>
      </c>
      <c r="T67" s="146">
        <f>'[2]EU Sunflower Exports'!IO$290</f>
        <v>101.90799999999999</v>
      </c>
      <c r="U67" s="146">
        <f>'[2]EU Sunflower Exports'!JA$290</f>
        <v>31.13</v>
      </c>
      <c r="V67" s="146">
        <f>'[2]EU Sunflower Exports'!JM$290</f>
        <v>87.314000000000007</v>
      </c>
      <c r="W67" s="146">
        <f>'[2]EU Sunflower Exports'!JY$290</f>
        <v>96.948999999999998</v>
      </c>
      <c r="X67" s="146">
        <f>'[2]EU Sunflower Exports'!KK$290</f>
        <v>25.535999999999998</v>
      </c>
      <c r="Y67" s="146">
        <f>'[2]EU Sunflower Exports'!KW$290</f>
        <v>38.353000000000002</v>
      </c>
      <c r="Z67" s="146">
        <f>'[2]EU Sunflower Exports'!LI$290</f>
        <v>46.226999999999997</v>
      </c>
      <c r="AA67" s="146">
        <f>'[2]EU Sunflower Exports'!LU$290</f>
        <v>36.472000000000001</v>
      </c>
      <c r="AB67" s="146">
        <f>'[2]EU Sunflower Exports'!MG$290/1000</f>
        <v>42.633420000000008</v>
      </c>
      <c r="AC67" s="146">
        <f>'[2]EU Sunflower Exports'!MS$290/1000</f>
        <v>39.903590999999992</v>
      </c>
      <c r="AD67" s="146">
        <f>'[2]EU Sunflower Exports'!NE$290/1000</f>
        <v>51.96225299999999</v>
      </c>
      <c r="AE67" s="146">
        <f>'[2]EU Sunflower Exports'!NQ$290/1000</f>
        <v>51.653570999999985</v>
      </c>
      <c r="AF67" s="146">
        <f>'[2]EU Sunflower Exports'!OC$290/1000</f>
        <v>30.143258000000003</v>
      </c>
      <c r="AG67" s="146">
        <f>'[2]EU Sunflower Exports'!OO$290/1000</f>
        <v>19.395868000000014</v>
      </c>
      <c r="AH67" s="253">
        <f t="shared" si="64"/>
        <v>43.443352221548167</v>
      </c>
      <c r="AI67" s="253">
        <f t="shared" si="61"/>
        <v>41.292053566620559</v>
      </c>
      <c r="AJ67" s="253">
        <f t="shared" si="61"/>
        <v>44.040346444897203</v>
      </c>
      <c r="AK67" s="253">
        <f t="shared" si="61"/>
        <v>39.301478446413235</v>
      </c>
      <c r="AL67" s="253">
        <f t="shared" si="61"/>
        <v>46.659356286970223</v>
      </c>
      <c r="AM67" s="253">
        <f t="shared" si="61"/>
        <v>50.473526567552078</v>
      </c>
      <c r="AQ67" s="244">
        <f t="shared" si="62"/>
        <v>0.23030857199943949</v>
      </c>
    </row>
    <row r="68" spans="1:43">
      <c r="A68" s="240" t="s">
        <v>241</v>
      </c>
      <c r="B68" s="290">
        <f t="shared" si="63"/>
        <v>35.183359171365787</v>
      </c>
      <c r="C68" s="290">
        <f t="shared" si="59"/>
        <v>32.064452222911363</v>
      </c>
      <c r="D68" s="290">
        <f t="shared" si="59"/>
        <v>52.147789065321625</v>
      </c>
      <c r="E68" s="290">
        <v>69.724364704165765</v>
      </c>
      <c r="F68" s="146">
        <f>'[2]EU Sunflower Exports'!CD$290</f>
        <v>26.596000000000004</v>
      </c>
      <c r="G68" s="146">
        <f>'[2]EU Sunflower Exports'!CP$290</f>
        <v>1.9549999999999998</v>
      </c>
      <c r="H68" s="146">
        <f>'[2]EU Sunflower Exports'!DB$290</f>
        <v>9.9139999999999997</v>
      </c>
      <c r="I68" s="146">
        <f>'[2]EU Sunflower Exports'!DN$290</f>
        <v>5.8879999999999999</v>
      </c>
      <c r="J68" s="146">
        <f>'[2]EU Sunflower Exports'!DZ$290</f>
        <v>16.388999999999999</v>
      </c>
      <c r="K68" s="146">
        <f>'[2]EU Sunflower Exports'!EL$290</f>
        <v>5.2829999999999995</v>
      </c>
      <c r="L68" s="146">
        <f>'[2]EU Sunflower Exports'!EX$290</f>
        <v>57.69700000000001</v>
      </c>
      <c r="M68" s="146">
        <f>'[2]EU Sunflower Exports'!FJ$290</f>
        <v>17.456</v>
      </c>
      <c r="N68" s="146">
        <f>'[2]EU Sunflower Exports'!FV$290</f>
        <v>21.712000000000003</v>
      </c>
      <c r="O68" s="146">
        <f>'[2]EU Sunflower Exports'!GH$290</f>
        <v>83.06</v>
      </c>
      <c r="P68" s="146">
        <f>'[2]EU Sunflower Exports'!GT$290</f>
        <v>34.853000000000002</v>
      </c>
      <c r="Q68" s="146">
        <f>'[2]EU Sunflower Exports'!HF$290</f>
        <v>22.686</v>
      </c>
      <c r="R68" s="146">
        <f>'[2]EU Sunflower Exports'!HR$290</f>
        <v>52.632999999999996</v>
      </c>
      <c r="S68" s="146">
        <f>'[2]EU Sunflower Exports'!ID$290</f>
        <v>30.235000000000003</v>
      </c>
      <c r="T68" s="146">
        <f>'[2]EU Sunflower Exports'!IP$290</f>
        <v>104.50099999999999</v>
      </c>
      <c r="U68" s="146">
        <f>'[2]EU Sunflower Exports'!JB$290</f>
        <v>30.579000000000001</v>
      </c>
      <c r="V68" s="146">
        <f>'[2]EU Sunflower Exports'!JN$290</f>
        <v>106.57599999999998</v>
      </c>
      <c r="W68" s="146">
        <f>'[2]EU Sunflower Exports'!JZ$290</f>
        <v>93.790999999999997</v>
      </c>
      <c r="X68" s="146">
        <f>'[2]EU Sunflower Exports'!KL$290</f>
        <v>38.244999999999997</v>
      </c>
      <c r="Y68" s="146">
        <f>'[2]EU Sunflower Exports'!KX$290</f>
        <v>43.249999999999993</v>
      </c>
      <c r="Z68" s="146">
        <f>'[2]EU Sunflower Exports'!LJ$290</f>
        <v>68.914000000000001</v>
      </c>
      <c r="AA68" s="146">
        <f>'[2]EU Sunflower Exports'!LV$290</f>
        <v>16.864000000000001</v>
      </c>
      <c r="AB68" s="146">
        <f>'[2]EU Sunflower Exports'!MH$290/1000</f>
        <v>28.326658000000013</v>
      </c>
      <c r="AC68" s="146">
        <f>'[2]EU Sunflower Exports'!MT$290/1000</f>
        <v>62.922343999999988</v>
      </c>
      <c r="AD68" s="146">
        <f>'[2]EU Sunflower Exports'!NF$290/1000</f>
        <v>33.522366000000005</v>
      </c>
      <c r="AE68" s="146">
        <f>'[2]EU Sunflower Exports'!NR$290/1000</f>
        <v>42.13341599999999</v>
      </c>
      <c r="AF68" s="146">
        <f>'[2]EU Sunflower Exports'!OD$290/1000</f>
        <v>29.914925000000022</v>
      </c>
      <c r="AG68" s="146">
        <f>'[2]EU Sunflower Exports'!OP$290/1000</f>
        <v>47.793296000000012</v>
      </c>
      <c r="AH68" s="253">
        <f t="shared" si="64"/>
        <v>39.531495107632914</v>
      </c>
      <c r="AI68" s="253">
        <f t="shared" si="61"/>
        <v>46.260100070126825</v>
      </c>
      <c r="AJ68" s="253">
        <f t="shared" si="61"/>
        <v>43.210874500573652</v>
      </c>
      <c r="AK68" s="253">
        <f t="shared" si="61"/>
        <v>43.466748281232817</v>
      </c>
      <c r="AL68" s="253">
        <f t="shared" si="61"/>
        <v>54.089641090294222</v>
      </c>
      <c r="AM68" s="253">
        <f t="shared" si="61"/>
        <v>59.301446066037059</v>
      </c>
      <c r="AQ68" s="244">
        <f t="shared" si="62"/>
        <v>0.22514281115626739</v>
      </c>
    </row>
    <row r="69" spans="1:43">
      <c r="A69" s="240" t="s">
        <v>231</v>
      </c>
      <c r="B69" s="290">
        <f t="shared" si="63"/>
        <v>30.001022163921022</v>
      </c>
      <c r="C69" s="290">
        <f t="shared" si="59"/>
        <v>37.057623154171999</v>
      </c>
      <c r="D69" s="290">
        <f t="shared" si="59"/>
        <v>23.594201985402581</v>
      </c>
      <c r="E69" s="146">
        <f>'[2]EU Sunflower Exports'!BS$290</f>
        <v>1.3149999999999999</v>
      </c>
      <c r="F69" s="146">
        <f>'[2]EU Sunflower Exports'!CE$290</f>
        <v>12.638</v>
      </c>
      <c r="G69" s="146">
        <f>'[2]EU Sunflower Exports'!CQ$290</f>
        <v>8.4619999999999997</v>
      </c>
      <c r="H69" s="146">
        <f>'[2]EU Sunflower Exports'!DC$290</f>
        <v>3.01</v>
      </c>
      <c r="I69" s="146">
        <f>'[2]EU Sunflower Exports'!DO$290</f>
        <v>7.7560000000000002</v>
      </c>
      <c r="J69" s="146">
        <f>'[2]EU Sunflower Exports'!EA$290</f>
        <v>19.928999999999998</v>
      </c>
      <c r="K69" s="146">
        <f>'[2]EU Sunflower Exports'!EM$290</f>
        <v>6.4120000000000008</v>
      </c>
      <c r="L69" s="146">
        <f>'[2]EU Sunflower Exports'!EY$290</f>
        <v>5.9529999999999994</v>
      </c>
      <c r="M69" s="146">
        <f>'[2]EU Sunflower Exports'!FK$290</f>
        <v>38.891999999999996</v>
      </c>
      <c r="N69" s="146">
        <f>'[2]EU Sunflower Exports'!FW$290</f>
        <v>14.255000000000001</v>
      </c>
      <c r="O69" s="146">
        <f>'[2]EU Sunflower Exports'!GI$290</f>
        <v>49.731000000000002</v>
      </c>
      <c r="P69" s="146">
        <f>'[2]EU Sunflower Exports'!GU$290</f>
        <v>68.370999999999995</v>
      </c>
      <c r="Q69" s="146">
        <f>'[2]EU Sunflower Exports'!HG$290</f>
        <v>25.621000000000006</v>
      </c>
      <c r="R69" s="146">
        <f>'[2]EU Sunflower Exports'!HS$290</f>
        <v>25.914000000000001</v>
      </c>
      <c r="S69" s="146">
        <f>'[2]EU Sunflower Exports'!IE$290</f>
        <v>34.481000000000002</v>
      </c>
      <c r="T69" s="146">
        <f>'[2]EU Sunflower Exports'!IQ$290</f>
        <v>54.211999999999996</v>
      </c>
      <c r="U69" s="146">
        <f>'[2]EU Sunflower Exports'!JC$290</f>
        <v>39.499000000000002</v>
      </c>
      <c r="V69" s="146">
        <f>'[2]EU Sunflower Exports'!JO$290</f>
        <v>24.660999999999998</v>
      </c>
      <c r="W69" s="146">
        <f>'[2]EU Sunflower Exports'!KA$290</f>
        <v>20.507999999999999</v>
      </c>
      <c r="X69" s="146">
        <f>'[2]EU Sunflower Exports'!KM$290</f>
        <v>27.411000000000001</v>
      </c>
      <c r="Y69" s="146">
        <f>'[2]EU Sunflower Exports'!KY$290</f>
        <v>32.981000000000002</v>
      </c>
      <c r="Z69" s="146">
        <f>'[2]EU Sunflower Exports'!LK$290</f>
        <v>54.293999999999997</v>
      </c>
      <c r="AA69" s="146">
        <f>'[2]EU Sunflower Exports'!LW$290</f>
        <v>55.161000000000001</v>
      </c>
      <c r="AB69" s="146">
        <f>'[2]EU Sunflower Exports'!MI$290/1000</f>
        <v>33.448140000000002</v>
      </c>
      <c r="AC69" s="146">
        <f>'[2]EU Sunflower Exports'!MU$290/1000</f>
        <v>86.638503999999998</v>
      </c>
      <c r="AD69" s="146">
        <f>'[2]EU Sunflower Exports'!NG$290/1000</f>
        <v>31.641505000000002</v>
      </c>
      <c r="AE69" s="146">
        <f>'[2]EU Sunflower Exports'!NS$290/1000</f>
        <v>49.936107999999976</v>
      </c>
      <c r="AF69" s="146">
        <f>'[2]EU Sunflower Exports'!OE$290/1000</f>
        <v>67.609344000000021</v>
      </c>
      <c r="AG69" s="146">
        <f>'[2]EU Sunflower Exports'!OQ$290/1000</f>
        <v>75.33919600000003</v>
      </c>
      <c r="AH69" s="253">
        <f t="shared" si="64"/>
        <v>54.083953759662329</v>
      </c>
      <c r="AI69" s="253">
        <f t="shared" si="61"/>
        <v>66.553013496994751</v>
      </c>
      <c r="AJ69" s="253">
        <f t="shared" si="61"/>
        <v>62.411961273796109</v>
      </c>
      <c r="AK69" s="253">
        <f t="shared" si="61"/>
        <v>66.272192421243048</v>
      </c>
      <c r="AL69" s="253">
        <f t="shared" si="61"/>
        <v>85.303212965389832</v>
      </c>
      <c r="AM69" s="253">
        <f t="shared" si="61"/>
        <v>87.408546871610554</v>
      </c>
      <c r="AQ69" s="244">
        <f t="shared" si="62"/>
        <v>0.12402196731820284</v>
      </c>
    </row>
    <row r="70" spans="1:43">
      <c r="A70" s="240" t="s">
        <v>232</v>
      </c>
      <c r="B70" s="290">
        <f t="shared" si="63"/>
        <v>19.92306512887783</v>
      </c>
      <c r="C70" s="290">
        <f t="shared" si="59"/>
        <v>30.634811425328913</v>
      </c>
      <c r="D70" s="290">
        <f t="shared" si="59"/>
        <v>29.240153152555113</v>
      </c>
      <c r="E70" s="146">
        <f>'[2]EU Sunflower Exports'!BT$290</f>
        <v>1.3429999999999997</v>
      </c>
      <c r="F70" s="146">
        <f>'[2]EU Sunflower Exports'!CF$290</f>
        <v>1.2719999999999998</v>
      </c>
      <c r="G70" s="146">
        <f>'[2]EU Sunflower Exports'!CR$290</f>
        <v>8.1259999999999994</v>
      </c>
      <c r="H70" s="146">
        <f>'[2]EU Sunflower Exports'!DD$290</f>
        <v>6.6669999999999998</v>
      </c>
      <c r="I70" s="146">
        <f>'[2]EU Sunflower Exports'!DP$290</f>
        <v>7.2960000000000003</v>
      </c>
      <c r="J70" s="146">
        <f>'[2]EU Sunflower Exports'!EB$290</f>
        <v>11.034999999999998</v>
      </c>
      <c r="K70" s="146">
        <f>'[2]EU Sunflower Exports'!EN$290</f>
        <v>4.5469999999999997</v>
      </c>
      <c r="L70" s="146">
        <f>'[2]EU Sunflower Exports'!EZ$290</f>
        <v>23.818999999999999</v>
      </c>
      <c r="M70" s="146">
        <f>'[2]EU Sunflower Exports'!FL$290</f>
        <v>51.727999999999987</v>
      </c>
      <c r="N70" s="146">
        <f>'[2]EU Sunflower Exports'!FX$290</f>
        <v>31.879999999999995</v>
      </c>
      <c r="O70" s="146">
        <f>'[2]EU Sunflower Exports'!GJ$290</f>
        <v>64.26400000000001</v>
      </c>
      <c r="P70" s="146">
        <f>'[2]EU Sunflower Exports'!GV$290</f>
        <v>60.022000000000006</v>
      </c>
      <c r="Q70" s="146">
        <f>'[2]EU Sunflower Exports'!HH$290</f>
        <v>39.092999999999996</v>
      </c>
      <c r="R70" s="146">
        <f>'[2]EU Sunflower Exports'!HT$290</f>
        <v>43.702999999999996</v>
      </c>
      <c r="S70" s="146">
        <f>'[2]EU Sunflower Exports'!IF$290</f>
        <v>31.720999999999997</v>
      </c>
      <c r="T70" s="146">
        <f>'[2]EU Sunflower Exports'!IR$290</f>
        <v>27.032999999999998</v>
      </c>
      <c r="U70" s="146">
        <f>'[2]EU Sunflower Exports'!JD$290</f>
        <v>54.475999999999999</v>
      </c>
      <c r="V70" s="146">
        <f>'[2]EU Sunflower Exports'!JP$290</f>
        <v>55.088999999999999</v>
      </c>
      <c r="W70" s="146">
        <f>'[2]EU Sunflower Exports'!KB$290</f>
        <v>14.91</v>
      </c>
      <c r="X70" s="146">
        <f>'[2]EU Sunflower Exports'!KN$290</f>
        <v>47.26</v>
      </c>
      <c r="Y70" s="146">
        <f>'[2]EU Sunflower Exports'!KZ$290</f>
        <v>53.036000000000001</v>
      </c>
      <c r="Z70" s="146">
        <f>'[2]EU Sunflower Exports'!LL$290</f>
        <v>132.84</v>
      </c>
      <c r="AA70" s="146">
        <f>'[2]EU Sunflower Exports'!LX$290</f>
        <v>63.889000000000003</v>
      </c>
      <c r="AB70" s="146">
        <f>'[2]EU Sunflower Exports'!MJ$290/1000</f>
        <v>32.419257999999992</v>
      </c>
      <c r="AC70" s="146">
        <f>'[2]EU Sunflower Exports'!MV$290/1000</f>
        <v>80.311397999999954</v>
      </c>
      <c r="AD70" s="146">
        <f>'[2]EU Sunflower Exports'!NH$290/1000</f>
        <v>68.023563000000024</v>
      </c>
      <c r="AE70" s="146">
        <f>'[2]EU Sunflower Exports'!NT$290/1000</f>
        <v>52.345335999999996</v>
      </c>
      <c r="AF70" s="146">
        <f>'[2]EU Sunflower Exports'!OF$290/1000</f>
        <v>76.057659999999998</v>
      </c>
      <c r="AG70" s="253">
        <f t="shared" ref="AG70:AG74" si="65">(SUM(AA70:AE70)/SUM(AA$76:AE$76))*AG$76</f>
        <v>43.814416539069526</v>
      </c>
      <c r="AH70" s="253">
        <f t="shared" si="64"/>
        <v>62.094629619952926</v>
      </c>
      <c r="AI70" s="253">
        <f t="shared" si="61"/>
        <v>68.560891999502985</v>
      </c>
      <c r="AJ70" s="253">
        <f t="shared" si="61"/>
        <v>67.726753707294293</v>
      </c>
      <c r="AK70" s="253">
        <f t="shared" si="61"/>
        <v>64.021274435284965</v>
      </c>
      <c r="AL70" s="253">
        <f t="shared" si="61"/>
        <v>83.277084563728991</v>
      </c>
      <c r="AM70" s="253">
        <f t="shared" si="61"/>
        <v>82.443298619528179</v>
      </c>
      <c r="AQ70" s="244">
        <f t="shared" si="62"/>
        <v>0.14709306278418277</v>
      </c>
    </row>
    <row r="71" spans="1:43">
      <c r="A71" s="240" t="s">
        <v>233</v>
      </c>
      <c r="B71" s="290">
        <f t="shared" si="63"/>
        <v>24.746861104959201</v>
      </c>
      <c r="C71" s="290">
        <f t="shared" si="59"/>
        <v>23.780179865134134</v>
      </c>
      <c r="D71" s="290">
        <f t="shared" si="59"/>
        <v>27.429218699193395</v>
      </c>
      <c r="E71" s="146">
        <f>'[2]EU Sunflower Exports'!BU$290</f>
        <v>22.706000000000003</v>
      </c>
      <c r="F71" s="146">
        <f>'[2]EU Sunflower Exports'!CG$290</f>
        <v>16.481000000000002</v>
      </c>
      <c r="G71" s="146">
        <f>'[2]EU Sunflower Exports'!CS$290</f>
        <v>6.3810000000000002</v>
      </c>
      <c r="H71" s="146">
        <f>'[2]EU Sunflower Exports'!DE$290</f>
        <v>3.2669999999999999</v>
      </c>
      <c r="I71" s="146">
        <f>'[2]EU Sunflower Exports'!DQ$290</f>
        <v>3.9689999999999999</v>
      </c>
      <c r="J71" s="146">
        <f>'[2]EU Sunflower Exports'!EC$290</f>
        <v>12.625999999999998</v>
      </c>
      <c r="K71" s="146">
        <f>'[2]EU Sunflower Exports'!EO$290</f>
        <v>2.9990000000000001</v>
      </c>
      <c r="L71" s="146">
        <f>'[2]EU Sunflower Exports'!FA$290</f>
        <v>27.198</v>
      </c>
      <c r="M71" s="146">
        <f>'[2]EU Sunflower Exports'!FM$290</f>
        <v>79.263000000000005</v>
      </c>
      <c r="N71" s="146">
        <f>'[2]EU Sunflower Exports'!FY$290</f>
        <v>52.47</v>
      </c>
      <c r="O71" s="146">
        <f>'[2]EU Sunflower Exports'!GK$290</f>
        <v>68.224999999999994</v>
      </c>
      <c r="P71" s="146">
        <f>'[2]EU Sunflower Exports'!GW$290</f>
        <v>50.150999999999996</v>
      </c>
      <c r="Q71" s="146">
        <f>'[2]EU Sunflower Exports'!HI$290</f>
        <v>26.79</v>
      </c>
      <c r="R71" s="146">
        <f>'[2]EU Sunflower Exports'!HU$290</f>
        <v>76.36399999999999</v>
      </c>
      <c r="S71" s="146">
        <f>'[2]EU Sunflower Exports'!IG$290</f>
        <v>42.865000000000002</v>
      </c>
      <c r="T71" s="146">
        <f>'[2]EU Sunflower Exports'!IS$290</f>
        <v>22.219000000000001</v>
      </c>
      <c r="U71" s="146">
        <f>'[2]EU Sunflower Exports'!JE$290</f>
        <v>19.675999999999998</v>
      </c>
      <c r="V71" s="146">
        <f>'[2]EU Sunflower Exports'!JQ$290</f>
        <v>23.845000000000002</v>
      </c>
      <c r="W71" s="146">
        <f>'[2]EU Sunflower Exports'!KC$290</f>
        <v>16.84</v>
      </c>
      <c r="X71" s="146">
        <f>'[2]EU Sunflower Exports'!KO$290</f>
        <v>45.488999999999997</v>
      </c>
      <c r="Y71" s="146">
        <f>'[2]EU Sunflower Exports'!LA$290</f>
        <v>37.098999999999997</v>
      </c>
      <c r="Z71" s="146">
        <f>'[2]EU Sunflower Exports'!LM$290</f>
        <v>42.716999999999999</v>
      </c>
      <c r="AA71" s="146">
        <f>'[2]EU Sunflower Exports'!LY$290</f>
        <v>89.935000000000002</v>
      </c>
      <c r="AB71" s="146">
        <f>'[2]EU Sunflower Exports'!MK$290/1000</f>
        <v>36.951121999999991</v>
      </c>
      <c r="AC71" s="146">
        <f>'[2]EU Sunflower Exports'!MW$290/1000</f>
        <v>99.632341999999994</v>
      </c>
      <c r="AD71" s="146">
        <f>'[2]EU Sunflower Exports'!NI$290/1000</f>
        <v>29.932648999999977</v>
      </c>
      <c r="AE71" s="146">
        <f>'[2]EU Sunflower Exports'!NU$290/1000</f>
        <v>90.589679999999959</v>
      </c>
      <c r="AF71" s="146">
        <f>'[2]EU Sunflower Exports'!OG$290/1000</f>
        <v>24.291019999999989</v>
      </c>
      <c r="AG71" s="253">
        <f t="shared" si="65"/>
        <v>51.198571812139363</v>
      </c>
      <c r="AH71" s="253">
        <f t="shared" si="64"/>
        <v>56.518916692499488</v>
      </c>
      <c r="AI71" s="253">
        <f t="shared" si="61"/>
        <v>63.233455890992673</v>
      </c>
      <c r="AJ71" s="253">
        <f t="shared" si="61"/>
        <v>56.569896311675038</v>
      </c>
      <c r="AK71" s="253">
        <f t="shared" si="61"/>
        <v>60.419086964580146</v>
      </c>
      <c r="AL71" s="253">
        <f t="shared" si="61"/>
        <v>65.891188903879026</v>
      </c>
      <c r="AM71" s="253">
        <f t="shared" si="61"/>
        <v>77.522288219354124</v>
      </c>
      <c r="AQ71" s="244">
        <f t="shared" si="62"/>
        <v>0.12832468673122363</v>
      </c>
    </row>
    <row r="72" spans="1:43">
      <c r="A72" s="240" t="s">
        <v>234</v>
      </c>
      <c r="B72" s="290">
        <f t="shared" si="63"/>
        <v>29.13160360483143</v>
      </c>
      <c r="C72" s="290">
        <f t="shared" si="59"/>
        <v>35.930500204542163</v>
      </c>
      <c r="D72" s="290">
        <f t="shared" si="59"/>
        <v>25.566778091938794</v>
      </c>
      <c r="E72" s="146">
        <f>'[2]EU Sunflower Exports'!BV$290</f>
        <v>0.90700000000000003</v>
      </c>
      <c r="F72" s="146">
        <f>'[2]EU Sunflower Exports'!CH$290</f>
        <v>9.7690000000000001</v>
      </c>
      <c r="G72" s="146">
        <f>'[2]EU Sunflower Exports'!CT$290</f>
        <v>12.416</v>
      </c>
      <c r="H72" s="146">
        <f>'[2]EU Sunflower Exports'!DF$290</f>
        <v>4.431</v>
      </c>
      <c r="I72" s="146">
        <f>'[2]EU Sunflower Exports'!DR$290</f>
        <v>3.3660000000000001</v>
      </c>
      <c r="J72" s="146">
        <f>'[2]EU Sunflower Exports'!ED$290</f>
        <v>20.312000000000001</v>
      </c>
      <c r="K72" s="146">
        <f>'[2]EU Sunflower Exports'!EP$290</f>
        <v>3.6579999999999999</v>
      </c>
      <c r="L72" s="146">
        <f>'[2]EU Sunflower Exports'!FB$290</f>
        <v>14.892999999999999</v>
      </c>
      <c r="M72" s="146">
        <f>'[2]EU Sunflower Exports'!FN$290</f>
        <v>112.883</v>
      </c>
      <c r="N72" s="146">
        <f>'[2]EU Sunflower Exports'!FZ$290</f>
        <v>62.768000000000001</v>
      </c>
      <c r="O72" s="146">
        <f>'[2]EU Sunflower Exports'!GL$290</f>
        <v>102.83000000000001</v>
      </c>
      <c r="P72" s="146">
        <f>'[2]EU Sunflower Exports'!GX$290</f>
        <v>54.52600000000001</v>
      </c>
      <c r="Q72" s="146">
        <f>'[2]EU Sunflower Exports'!HJ$290</f>
        <v>21.467000000000002</v>
      </c>
      <c r="R72" s="146">
        <f>'[2]EU Sunflower Exports'!HV$290</f>
        <v>53.439</v>
      </c>
      <c r="S72" s="146">
        <f>'[2]EU Sunflower Exports'!IH$290</f>
        <v>53.089000000000006</v>
      </c>
      <c r="T72" s="146">
        <f>'[2]EU Sunflower Exports'!IT$290</f>
        <v>23.865000000000002</v>
      </c>
      <c r="U72" s="146">
        <f>'[2]EU Sunflower Exports'!JF$290</f>
        <v>20.835999999999999</v>
      </c>
      <c r="V72" s="146">
        <f>'[2]EU Sunflower Exports'!JR$290</f>
        <v>19.712</v>
      </c>
      <c r="W72" s="146">
        <f>'[2]EU Sunflower Exports'!KD$290</f>
        <v>17.039000000000001</v>
      </c>
      <c r="X72" s="146">
        <f>'[2]EU Sunflower Exports'!KP$290</f>
        <v>36.152999999999999</v>
      </c>
      <c r="Y72" s="146">
        <f>'[2]EU Sunflower Exports'!LB$290</f>
        <v>18.14</v>
      </c>
      <c r="Z72" s="146">
        <f>'[2]EU Sunflower Exports'!LN$290</f>
        <v>44.603000000000002</v>
      </c>
      <c r="AA72" s="146">
        <f>'[2]EU Sunflower Exports'!LZ$290</f>
        <v>83.099000000000004</v>
      </c>
      <c r="AB72" s="146">
        <f>'[2]EU Sunflower Exports'!ML$290/1000</f>
        <v>55.29825899999998</v>
      </c>
      <c r="AC72" s="146">
        <f>'[2]EU Sunflower Exports'!MX$290/1000</f>
        <v>56.590406000000009</v>
      </c>
      <c r="AD72" s="146">
        <f>'[2]EU Sunflower Exports'!NJ$290/1000</f>
        <v>17.44674400000002</v>
      </c>
      <c r="AE72" s="146">
        <f>'[2]EU Sunflower Exports'!NV$290/1000</f>
        <v>71.234966</v>
      </c>
      <c r="AF72" s="146">
        <f>'[2]EU Sunflower Exports'!OH$290/1000</f>
        <v>29.856045000000002</v>
      </c>
      <c r="AG72" s="253">
        <f t="shared" si="65"/>
        <v>41.849451591249085</v>
      </c>
      <c r="AH72" s="253">
        <f t="shared" si="64"/>
        <v>46.28144681841475</v>
      </c>
      <c r="AI72" s="253">
        <f t="shared" si="61"/>
        <v>46.40795043548632</v>
      </c>
      <c r="AJ72" s="253">
        <f t="shared" si="61"/>
        <v>46.296224293967406</v>
      </c>
      <c r="AK72" s="253">
        <f t="shared" si="61"/>
        <v>49.807434804981114</v>
      </c>
      <c r="AL72" s="253">
        <f t="shared" si="61"/>
        <v>55.131192894089402</v>
      </c>
      <c r="AM72" s="253">
        <f t="shared" si="61"/>
        <v>62.096059831103496</v>
      </c>
      <c r="AQ72" s="244">
        <f t="shared" si="62"/>
        <v>0.11859257645617428</v>
      </c>
    </row>
    <row r="73" spans="1:43">
      <c r="A73" s="240" t="s">
        <v>46</v>
      </c>
      <c r="B73" s="290">
        <f t="shared" si="63"/>
        <v>25.726332646212029</v>
      </c>
      <c r="C73" s="290">
        <f t="shared" si="59"/>
        <v>40.699222409902475</v>
      </c>
      <c r="D73" s="290">
        <f t="shared" si="59"/>
        <v>30.234660272933787</v>
      </c>
      <c r="E73" s="146">
        <f>'[2]EU Sunflower Exports'!BW$290</f>
        <v>34.113</v>
      </c>
      <c r="F73" s="146">
        <f>'[2]EU Sunflower Exports'!CI$290</f>
        <v>0.57400000000000007</v>
      </c>
      <c r="G73" s="146">
        <f>'[2]EU Sunflower Exports'!CU$290</f>
        <v>21.55</v>
      </c>
      <c r="H73" s="146">
        <f>'[2]EU Sunflower Exports'!DG$290</f>
        <v>7.0140000000000002</v>
      </c>
      <c r="I73" s="146">
        <f>'[2]EU Sunflower Exports'!DS$290</f>
        <v>4.2430000000000003</v>
      </c>
      <c r="J73" s="146">
        <f>'[2]EU Sunflower Exports'!EE$290</f>
        <v>11.033999999999999</v>
      </c>
      <c r="K73" s="146">
        <f>'[2]EU Sunflower Exports'!EQ$290</f>
        <v>6.2059999999999995</v>
      </c>
      <c r="L73" s="146">
        <f>'[2]EU Sunflower Exports'!FC$290</f>
        <v>26.681999999999999</v>
      </c>
      <c r="M73" s="146">
        <f>'[2]EU Sunflower Exports'!FO$290</f>
        <v>50.998999999999995</v>
      </c>
      <c r="N73" s="146">
        <f>'[2]EU Sunflower Exports'!GA$290</f>
        <v>38.527000000000001</v>
      </c>
      <c r="O73" s="146">
        <f>'[2]EU Sunflower Exports'!GM$290</f>
        <v>79.396000000000001</v>
      </c>
      <c r="P73" s="146">
        <f>'[2]EU Sunflower Exports'!GY$290</f>
        <v>53.123999999999995</v>
      </c>
      <c r="Q73" s="146">
        <f>'[2]EU Sunflower Exports'!HK$290</f>
        <v>42.143999999999998</v>
      </c>
      <c r="R73" s="146">
        <f>'[2]EU Sunflower Exports'!HW$290</f>
        <v>13.831</v>
      </c>
      <c r="S73" s="146">
        <f>'[2]EU Sunflower Exports'!II$290</f>
        <v>82.414999999999992</v>
      </c>
      <c r="T73" s="146">
        <f>'[2]EU Sunflower Exports'!IU$290</f>
        <v>24.429999999999996</v>
      </c>
      <c r="U73" s="146">
        <f>'[2]EU Sunflower Exports'!JG$290</f>
        <v>62.646999999999998</v>
      </c>
      <c r="V73" s="146">
        <f>'[2]EU Sunflower Exports'!JS$290</f>
        <v>34.320000000000007</v>
      </c>
      <c r="W73" s="146">
        <f>'[2]EU Sunflower Exports'!KE$290</f>
        <v>12.530999999999999</v>
      </c>
      <c r="X73" s="146">
        <f>'[2]EU Sunflower Exports'!KQ$290</f>
        <v>19.93</v>
      </c>
      <c r="Y73" s="146">
        <f>'[2]EU Sunflower Exports'!LC$290</f>
        <v>19.783000000000001</v>
      </c>
      <c r="Z73" s="146">
        <f>'[2]EU Sunflower Exports'!LO$290</f>
        <v>34.247999999999998</v>
      </c>
      <c r="AA73" s="146">
        <f>'[2]EU Sunflower Exports'!MA$290</f>
        <v>70.748000000000005</v>
      </c>
      <c r="AB73" s="146">
        <f>'[2]EU Sunflower Exports'!MM$290/1000</f>
        <v>64.736393999999976</v>
      </c>
      <c r="AC73" s="146">
        <f>'[2]EU Sunflower Exports'!MY$290/1000</f>
        <v>44.404573999999968</v>
      </c>
      <c r="AD73" s="146">
        <f>'[2]EU Sunflower Exports'!NK$290/1000</f>
        <v>17.280528999999994</v>
      </c>
      <c r="AE73" s="146">
        <f>'[2]EU Sunflower Exports'!NW$290/1000</f>
        <v>94.874482</v>
      </c>
      <c r="AF73" s="146">
        <f>'[2]EU Sunflower Exports'!OI$290/1000</f>
        <v>22.305007999999994</v>
      </c>
      <c r="AG73" s="253">
        <f t="shared" si="65"/>
        <v>43.084948319416796</v>
      </c>
      <c r="AH73" s="253">
        <f>(SUM(AB73:AF73)/SUM(AB$76:AF$76))*AH$76</f>
        <v>48.92757577344576</v>
      </c>
      <c r="AI73" s="253">
        <f t="shared" si="61"/>
        <v>47.47136439432753</v>
      </c>
      <c r="AJ73" s="253">
        <f t="shared" si="61"/>
        <v>50.73252996267933</v>
      </c>
      <c r="AK73" s="253">
        <f t="shared" si="61"/>
        <v>54.253499531969574</v>
      </c>
      <c r="AL73" s="253">
        <f t="shared" si="61"/>
        <v>55.610126611974401</v>
      </c>
      <c r="AM73" s="253">
        <f t="shared" si="61"/>
        <v>65.818824072033578</v>
      </c>
      <c r="AQ73" s="244">
        <f t="shared" si="62"/>
        <v>0.15099270577363616</v>
      </c>
    </row>
    <row r="74" spans="1:43">
      <c r="A74" s="240" t="s">
        <v>235</v>
      </c>
      <c r="B74" s="290">
        <f t="shared" si="63"/>
        <v>26.911429496243546</v>
      </c>
      <c r="C74" s="290">
        <f t="shared" si="59"/>
        <v>55.329863814513253</v>
      </c>
      <c r="D74" s="290">
        <f t="shared" si="59"/>
        <v>36.760051620917046</v>
      </c>
      <c r="E74" s="146">
        <f>'[2]EU Sunflower Exports'!BX$290</f>
        <v>4.6349999999999998</v>
      </c>
      <c r="F74" s="146">
        <f>'[2]EU Sunflower Exports'!CJ$290</f>
        <v>0.75000000000000011</v>
      </c>
      <c r="G74" s="146">
        <f>'[2]EU Sunflower Exports'!CV$290</f>
        <v>31.977</v>
      </c>
      <c r="H74" s="146">
        <f>'[2]EU Sunflower Exports'!DH$290</f>
        <v>5.8</v>
      </c>
      <c r="I74" s="146">
        <f>'[2]EU Sunflower Exports'!DT$290</f>
        <v>7.3819999999999997</v>
      </c>
      <c r="J74" s="146">
        <f>'[2]EU Sunflower Exports'!EF$290</f>
        <v>0.55200000000000005</v>
      </c>
      <c r="K74" s="146">
        <f>'[2]EU Sunflower Exports'!ER$290</f>
        <v>22.326999999999998</v>
      </c>
      <c r="L74" s="146">
        <f>'[2]EU Sunflower Exports'!FD$290</f>
        <v>31.027000000000001</v>
      </c>
      <c r="M74" s="146">
        <f>'[2]EU Sunflower Exports'!FP$290</f>
        <v>30.353999999999999</v>
      </c>
      <c r="N74" s="146">
        <f>'[2]EU Sunflower Exports'!GB$290</f>
        <v>5.4209999999999994</v>
      </c>
      <c r="O74" s="146">
        <f>'[2]EU Sunflower Exports'!GN$290</f>
        <v>15.457000000000001</v>
      </c>
      <c r="P74" s="146">
        <f>'[2]EU Sunflower Exports'!GZ$290</f>
        <v>43.094999999999992</v>
      </c>
      <c r="Q74" s="146">
        <f>'[2]EU Sunflower Exports'!HL$290</f>
        <v>28.441000000000003</v>
      </c>
      <c r="R74" s="146">
        <f>'[2]EU Sunflower Exports'!HX$290</f>
        <v>16.201000000000004</v>
      </c>
      <c r="S74" s="146">
        <f>'[2]EU Sunflower Exports'!IJ$290</f>
        <v>73.501000000000005</v>
      </c>
      <c r="T74" s="146">
        <f>'[2]EU Sunflower Exports'!IV$290</f>
        <v>11.767000000000001</v>
      </c>
      <c r="U74" s="146">
        <f>'[2]EU Sunflower Exports'!JH$290</f>
        <v>70.559000000000012</v>
      </c>
      <c r="V74" s="146">
        <f>'[2]EU Sunflower Exports'!JT$290</f>
        <v>10.975999999999999</v>
      </c>
      <c r="W74" s="146">
        <f>'[2]EU Sunflower Exports'!KF$290</f>
        <v>7.8689999999999998</v>
      </c>
      <c r="X74" s="146">
        <f>'[2]EU Sunflower Exports'!KR$290</f>
        <v>21.559000000000001</v>
      </c>
      <c r="Y74" s="146">
        <f>'[2]EU Sunflower Exports'!LD$290</f>
        <v>26.763999999999999</v>
      </c>
      <c r="Z74" s="146">
        <f>'[2]EU Sunflower Exports'!LP$290</f>
        <v>57.526000000000003</v>
      </c>
      <c r="AA74" s="146">
        <f>'[2]EU Sunflower Exports'!MB$290</f>
        <v>18.018000000000001</v>
      </c>
      <c r="AB74" s="146">
        <f>'[2]EU Sunflower Exports'!MN$290/1000</f>
        <v>65.258405999999965</v>
      </c>
      <c r="AC74" s="146">
        <f>'[2]EU Sunflower Exports'!MZ$290/1000</f>
        <v>32.442141000000014</v>
      </c>
      <c r="AD74" s="146">
        <f>'[2]EU Sunflower Exports'!NL$290/1000</f>
        <v>27.031002999999998</v>
      </c>
      <c r="AE74" s="146">
        <f>'[2]EU Sunflower Exports'!NX$290/1000</f>
        <v>24.371746999999996</v>
      </c>
      <c r="AF74" s="146">
        <f>'[2]EU Sunflower Exports'!OJ$290/1000</f>
        <v>16.864439999999998</v>
      </c>
      <c r="AG74" s="253">
        <f t="shared" si="65"/>
        <v>24.655233328124549</v>
      </c>
      <c r="AH74" s="253">
        <f>(SUM(AB74:AF74)/SUM(AB$76:AF$76))*AH$76</f>
        <v>33.334836315810243</v>
      </c>
      <c r="AI74" s="253">
        <f t="shared" si="61"/>
        <v>26.813422906749143</v>
      </c>
      <c r="AJ74" s="253">
        <f t="shared" si="61"/>
        <v>28.283120418996056</v>
      </c>
      <c r="AK74" s="253">
        <f t="shared" si="61"/>
        <v>26.642264805432344</v>
      </c>
      <c r="AL74" s="253">
        <f t="shared" si="61"/>
        <v>34.004074928924581</v>
      </c>
      <c r="AM74" s="253">
        <f t="shared" si="61"/>
        <v>37.619313247145627</v>
      </c>
      <c r="AQ74" s="244">
        <f t="shared" si="62"/>
        <v>0.12696144202845266</v>
      </c>
    </row>
    <row r="75" spans="1:43">
      <c r="A75" s="240" t="s">
        <v>236</v>
      </c>
      <c r="B75" s="290">
        <f t="shared" si="63"/>
        <v>8.8917017325678458</v>
      </c>
      <c r="C75" s="290">
        <f t="shared" si="59"/>
        <v>24.066433312659182</v>
      </c>
      <c r="D75" s="290">
        <f t="shared" si="59"/>
        <v>19.43206640061117</v>
      </c>
      <c r="E75" s="146">
        <f>'[2]EU Sunflower Exports'!BY$290</f>
        <v>9.8339999999999996</v>
      </c>
      <c r="F75" s="146">
        <f>'[2]EU Sunflower Exports'!CK$290</f>
        <v>0.76200000000000023</v>
      </c>
      <c r="G75" s="146">
        <f>'[2]EU Sunflower Exports'!CW$290</f>
        <v>1.246</v>
      </c>
      <c r="H75" s="146">
        <f>'[2]EU Sunflower Exports'!DI$290</f>
        <v>11.766999999999999</v>
      </c>
      <c r="I75" s="146">
        <f>'[2]EU Sunflower Exports'!DU$290</f>
        <v>1.1830000000000001</v>
      </c>
      <c r="J75" s="146">
        <f>'[2]EU Sunflower Exports'!EG$290</f>
        <v>0.39300000000000002</v>
      </c>
      <c r="K75" s="146">
        <f>'[2]EU Sunflower Exports'!ES$290</f>
        <v>15.005000000000001</v>
      </c>
      <c r="L75" s="146">
        <f>'[2]EU Sunflower Exports'!FE$290</f>
        <v>7.1159999999999997</v>
      </c>
      <c r="M75" s="146">
        <f>'[2]EU Sunflower Exports'!FQ$290</f>
        <v>35.128000000000007</v>
      </c>
      <c r="N75" s="146">
        <f>'[2]EU Sunflower Exports'!GC$290</f>
        <v>30.922000000000001</v>
      </c>
      <c r="O75" s="146">
        <f>'[2]EU Sunflower Exports'!GO$290</f>
        <v>2.9060000000000006</v>
      </c>
      <c r="P75" s="146">
        <f>'[2]EU Sunflower Exports'!HA$290</f>
        <v>3.1579999999999999</v>
      </c>
      <c r="Q75" s="146">
        <f>'[2]EU Sunflower Exports'!HM$290</f>
        <v>14.164999999999999</v>
      </c>
      <c r="R75" s="146">
        <f>'[2]EU Sunflower Exports'!HY$290</f>
        <v>2.2839999999999998</v>
      </c>
      <c r="S75" s="146">
        <f>'[2]EU Sunflower Exports'!IK$290</f>
        <v>7.859</v>
      </c>
      <c r="T75" s="146">
        <f>'[2]EU Sunflower Exports'!IW$290</f>
        <v>3.2250000000000005</v>
      </c>
      <c r="U75" s="146">
        <f>'[2]EU Sunflower Exports'!JI$290</f>
        <v>9.1219999999999981</v>
      </c>
      <c r="V75" s="146">
        <f>'[2]EU Sunflower Exports'!JU$290</f>
        <v>8.8259999999999987</v>
      </c>
      <c r="W75" s="146">
        <f>'[2]EU Sunflower Exports'!KG$290</f>
        <v>3.3040000000000003</v>
      </c>
      <c r="X75" s="146">
        <f>'[2]EU Sunflower Exports'!KS$290</f>
        <v>5.0569999999999995</v>
      </c>
      <c r="Y75" s="146">
        <f>'[2]EU Sunflower Exports'!LE$290</f>
        <v>7.8369999999999997</v>
      </c>
      <c r="Z75" s="146">
        <f>'[2]EU Sunflower Exports'!LQ$290</f>
        <v>44.04</v>
      </c>
      <c r="AA75" s="146">
        <f>'[2]EU Sunflower Exports'!MC$290/1000</f>
        <v>15.032079000000008</v>
      </c>
      <c r="AB75" s="146">
        <f>'[2]EU Sunflower Exports'!MO$290/1000</f>
        <v>20.564529999999984</v>
      </c>
      <c r="AC75" s="146">
        <f>'[2]EU Sunflower Exports'!NA$290/1000</f>
        <v>17.532051000000006</v>
      </c>
      <c r="AD75" s="146">
        <f>'[2]EU Sunflower Exports'!NM$290/1000</f>
        <v>18.518536000000001</v>
      </c>
      <c r="AE75" s="146">
        <f>'[2]EU Sunflower Exports'!NZ$290/1000</f>
        <v>18.97150700000001</v>
      </c>
      <c r="AF75" s="146">
        <f>'[2]EU Sunflower Exports'!OK$290/1000</f>
        <v>18.09433499999999</v>
      </c>
      <c r="AG75" s="253">
        <f t="shared" ref="AG75:AH75" si="66">AG76-SUM(AG65:AG74)</f>
        <v>-0.89017558999938728</v>
      </c>
      <c r="AH75" s="253">
        <f t="shared" si="66"/>
        <v>43.264667671305403</v>
      </c>
      <c r="AI75" s="253">
        <f t="shared" ref="AI75:AM75" si="67">AI76-SUM(AI65:AI74)</f>
        <v>36.208611607645935</v>
      </c>
      <c r="AJ75" s="253">
        <f t="shared" si="67"/>
        <v>40.093070158293244</v>
      </c>
      <c r="AK75" s="253">
        <f t="shared" si="67"/>
        <v>38.362659826083075</v>
      </c>
      <c r="AL75" s="253">
        <f t="shared" si="67"/>
        <v>49.485417841693561</v>
      </c>
      <c r="AM75" s="253">
        <f t="shared" si="67"/>
        <v>42.279685988973029</v>
      </c>
      <c r="AQ75" s="244">
        <f t="shared" si="62"/>
        <v>2.1725888606604352E-2</v>
      </c>
    </row>
    <row r="76" spans="1:43" ht="15.75" thickBot="1">
      <c r="A76" s="240" t="s">
        <v>242</v>
      </c>
      <c r="B76" s="292">
        <f>B13</f>
        <v>340</v>
      </c>
      <c r="C76" s="292">
        <f>C13</f>
        <v>493</v>
      </c>
      <c r="D76" s="292">
        <f>D13</f>
        <v>487</v>
      </c>
      <c r="E76" s="292">
        <f t="shared" ref="E76:AB76" si="68">SUM(E64:E75)</f>
        <v>421.00000000000006</v>
      </c>
      <c r="F76" s="292">
        <f t="shared" si="68"/>
        <v>97.27300000000001</v>
      </c>
      <c r="G76" s="292">
        <f t="shared" si="68"/>
        <v>103.744</v>
      </c>
      <c r="H76" s="292">
        <f t="shared" si="68"/>
        <v>177.72800000000001</v>
      </c>
      <c r="I76" s="292">
        <f t="shared" si="68"/>
        <v>62.201000000000001</v>
      </c>
      <c r="J76" s="292">
        <f t="shared" si="68"/>
        <v>146.04399999999998</v>
      </c>
      <c r="K76" s="292">
        <f t="shared" si="68"/>
        <v>116.515</v>
      </c>
      <c r="L76" s="292">
        <f t="shared" si="68"/>
        <v>386.29899999999998</v>
      </c>
      <c r="M76" s="292">
        <f t="shared" si="68"/>
        <v>601.33799999999997</v>
      </c>
      <c r="N76" s="292">
        <f t="shared" si="68"/>
        <v>323.09100000000001</v>
      </c>
      <c r="O76" s="292">
        <f t="shared" si="68"/>
        <v>793.35800000000006</v>
      </c>
      <c r="P76" s="292">
        <f t="shared" si="68"/>
        <v>497.49399999999997</v>
      </c>
      <c r="Q76" s="292">
        <f t="shared" si="68"/>
        <v>346.80699999999996</v>
      </c>
      <c r="R76" s="292">
        <f t="shared" si="68"/>
        <v>707.80000000000007</v>
      </c>
      <c r="S76" s="292">
        <f t="shared" si="68"/>
        <v>519.95699999999999</v>
      </c>
      <c r="T76" s="292">
        <f t="shared" si="68"/>
        <v>652.87700000000007</v>
      </c>
      <c r="U76" s="292">
        <f t="shared" si="68"/>
        <v>443.71300000000002</v>
      </c>
      <c r="V76" s="292">
        <f t="shared" si="68"/>
        <v>741.86799999999994</v>
      </c>
      <c r="W76" s="292">
        <f t="shared" si="68"/>
        <v>567.37300000000005</v>
      </c>
      <c r="X76" s="292">
        <f t="shared" si="68"/>
        <v>394.66200000000003</v>
      </c>
      <c r="Y76" s="292">
        <f t="shared" si="68"/>
        <v>410.65600000000001</v>
      </c>
      <c r="Z76" s="292">
        <f t="shared" si="68"/>
        <v>653.07699999999988</v>
      </c>
      <c r="AA76" s="292">
        <f t="shared" si="68"/>
        <v>502.58907900000003</v>
      </c>
      <c r="AB76" s="292">
        <f t="shared" si="68"/>
        <v>566.85189600000001</v>
      </c>
      <c r="AC76" s="292">
        <f>SUM(AC64:AC75)</f>
        <v>666.26487299999997</v>
      </c>
      <c r="AD76" s="292">
        <f>SUM(AD64:AD75)</f>
        <v>403.27806500000003</v>
      </c>
      <c r="AE76" s="292">
        <f>SUM(AE64:AE75)</f>
        <v>572.34791299999995</v>
      </c>
      <c r="AF76" s="292">
        <f>SUM(AF64:AF75)</f>
        <v>529.60144300000002</v>
      </c>
      <c r="AG76" s="293">
        <f t="shared" ref="AG76:AM76" si="69">AG13</f>
        <v>400</v>
      </c>
      <c r="AH76" s="293">
        <f t="shared" si="69"/>
        <v>550</v>
      </c>
      <c r="AI76" s="293">
        <f t="shared" si="69"/>
        <v>550</v>
      </c>
      <c r="AJ76" s="293">
        <f t="shared" si="69"/>
        <v>550</v>
      </c>
      <c r="AK76" s="293">
        <f t="shared" si="69"/>
        <v>550</v>
      </c>
      <c r="AL76" s="293">
        <f t="shared" si="69"/>
        <v>675</v>
      </c>
      <c r="AM76" s="293">
        <f t="shared" si="69"/>
        <v>700</v>
      </c>
    </row>
    <row r="77" spans="1:43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  <c r="AF77" s="248"/>
      <c r="AG77" s="248"/>
      <c r="AH77" s="248"/>
      <c r="AI77" s="248"/>
      <c r="AJ77" s="248"/>
      <c r="AK77" s="248"/>
      <c r="AL77" s="248"/>
      <c r="AM77" s="248"/>
    </row>
    <row r="78" spans="1:43" ht="15.75" thickBot="1">
      <c r="A78" s="235" t="s">
        <v>244</v>
      </c>
      <c r="E78" s="108"/>
      <c r="F78" s="108"/>
      <c r="G78" s="108"/>
      <c r="H78" s="108"/>
      <c r="I78" s="108"/>
      <c r="J78" s="108"/>
    </row>
    <row r="79" spans="1:43" ht="15.75" thickBot="1">
      <c r="A79" s="236"/>
      <c r="B79" s="237" t="str">
        <f>B$2</f>
        <v xml:space="preserve">93/94 </v>
      </c>
      <c r="C79" s="237" t="str">
        <f t="shared" ref="C79:AM79" si="70">C$2</f>
        <v xml:space="preserve">94/95 </v>
      </c>
      <c r="D79" s="237" t="str">
        <f t="shared" si="70"/>
        <v xml:space="preserve">95/96 </v>
      </c>
      <c r="E79" s="237" t="str">
        <f t="shared" si="70"/>
        <v xml:space="preserve">96/97 </v>
      </c>
      <c r="F79" s="237" t="str">
        <f t="shared" si="70"/>
        <v xml:space="preserve">97/98 </v>
      </c>
      <c r="G79" s="237" t="str">
        <f t="shared" si="70"/>
        <v xml:space="preserve">98/99 </v>
      </c>
      <c r="H79" s="237" t="str">
        <f t="shared" si="70"/>
        <v xml:space="preserve">99/00 </v>
      </c>
      <c r="I79" s="237" t="str">
        <f t="shared" si="70"/>
        <v xml:space="preserve">00/01 </v>
      </c>
      <c r="J79" s="237" t="str">
        <f t="shared" si="70"/>
        <v xml:space="preserve">01/02 </v>
      </c>
      <c r="K79" s="237" t="str">
        <f t="shared" si="70"/>
        <v xml:space="preserve">02/03 </v>
      </c>
      <c r="L79" s="237" t="str">
        <f t="shared" si="70"/>
        <v xml:space="preserve">03/04 </v>
      </c>
      <c r="M79" s="237" t="str">
        <f t="shared" si="70"/>
        <v xml:space="preserve">04/05 </v>
      </c>
      <c r="N79" s="237" t="str">
        <f t="shared" si="70"/>
        <v xml:space="preserve">05/06 </v>
      </c>
      <c r="O79" s="237" t="str">
        <f t="shared" si="70"/>
        <v xml:space="preserve">06/07 </v>
      </c>
      <c r="P79" s="237" t="str">
        <f t="shared" si="70"/>
        <v xml:space="preserve">07/08 </v>
      </c>
      <c r="Q79" s="237" t="str">
        <f t="shared" si="70"/>
        <v xml:space="preserve">08/09 </v>
      </c>
      <c r="R79" s="237" t="str">
        <f t="shared" si="70"/>
        <v xml:space="preserve">09/10 </v>
      </c>
      <c r="S79" s="237" t="str">
        <f t="shared" si="70"/>
        <v xml:space="preserve">10/11 </v>
      </c>
      <c r="T79" s="237" t="str">
        <f t="shared" si="70"/>
        <v xml:space="preserve">11/12 </v>
      </c>
      <c r="U79" s="237" t="str">
        <f t="shared" si="70"/>
        <v xml:space="preserve">12/13 </v>
      </c>
      <c r="V79" s="237" t="str">
        <f t="shared" si="70"/>
        <v xml:space="preserve">13/14 </v>
      </c>
      <c r="W79" s="237" t="str">
        <f t="shared" si="70"/>
        <v xml:space="preserve">14/15 </v>
      </c>
      <c r="X79" s="237" t="str">
        <f t="shared" si="70"/>
        <v xml:space="preserve">15/16 </v>
      </c>
      <c r="Y79" s="237" t="str">
        <f t="shared" si="70"/>
        <v xml:space="preserve">16/17 </v>
      </c>
      <c r="Z79" s="237" t="str">
        <f t="shared" si="70"/>
        <v xml:space="preserve">17/18 </v>
      </c>
      <c r="AA79" s="237" t="str">
        <f t="shared" si="70"/>
        <v xml:space="preserve">18/19 </v>
      </c>
      <c r="AB79" s="237" t="str">
        <f t="shared" si="70"/>
        <v xml:space="preserve">19/20 </v>
      </c>
      <c r="AC79" s="237" t="str">
        <f t="shared" si="70"/>
        <v xml:space="preserve">20/21 </v>
      </c>
      <c r="AD79" s="237" t="str">
        <f t="shared" si="70"/>
        <v>21/22</v>
      </c>
      <c r="AE79" s="237" t="str">
        <f t="shared" si="70"/>
        <v>22/23</v>
      </c>
      <c r="AF79" s="237" t="str">
        <f t="shared" si="70"/>
        <v>23/24</v>
      </c>
      <c r="AG79" s="237" t="str">
        <f t="shared" si="70"/>
        <v>24/25</v>
      </c>
      <c r="AH79" s="237" t="str">
        <f t="shared" si="70"/>
        <v>25/26</v>
      </c>
      <c r="AI79" s="237" t="str">
        <f t="shared" si="70"/>
        <v>26/27</v>
      </c>
      <c r="AJ79" s="237" t="str">
        <f t="shared" si="70"/>
        <v>27/28</v>
      </c>
      <c r="AK79" s="237" t="str">
        <f t="shared" si="70"/>
        <v>28/29</v>
      </c>
      <c r="AL79" s="237" t="str">
        <f t="shared" si="70"/>
        <v>29/30</v>
      </c>
      <c r="AM79" s="237" t="str">
        <f t="shared" si="70"/>
        <v>30/31</v>
      </c>
    </row>
    <row r="80" spans="1:43">
      <c r="A80" s="240" t="s">
        <v>237</v>
      </c>
      <c r="B80" s="251">
        <v>247.25773195876289</v>
      </c>
      <c r="C80" s="251">
        <v>262.734375</v>
      </c>
      <c r="D80" s="251">
        <v>340.73037542662115</v>
      </c>
      <c r="E80" s="251">
        <v>396.53544367738675</v>
      </c>
      <c r="F80" s="251">
        <v>331.3925565737797</v>
      </c>
      <c r="G80" s="251">
        <v>212.29107276819204</v>
      </c>
      <c r="H80" s="251">
        <v>295.65899753492192</v>
      </c>
      <c r="I80" s="251">
        <v>389.30858725761772</v>
      </c>
      <c r="J80" s="251">
        <v>393.98377862595419</v>
      </c>
      <c r="K80" s="251">
        <v>265.73037790697674</v>
      </c>
      <c r="L80" s="251">
        <v>297</v>
      </c>
      <c r="M80" s="251">
        <v>276</v>
      </c>
      <c r="N80" s="251">
        <v>233</v>
      </c>
      <c r="O80" s="251">
        <v>252</v>
      </c>
      <c r="P80" s="251">
        <v>254</v>
      </c>
      <c r="Q80" s="251">
        <v>205</v>
      </c>
      <c r="R80" s="251">
        <v>357</v>
      </c>
      <c r="S80" s="251">
        <v>275</v>
      </c>
      <c r="T80" s="251">
        <v>317</v>
      </c>
      <c r="U80" s="251">
        <v>356</v>
      </c>
      <c r="V80" s="251">
        <v>390</v>
      </c>
      <c r="W80" s="251">
        <v>296</v>
      </c>
      <c r="X80" s="251">
        <v>304</v>
      </c>
      <c r="Y80" s="251">
        <v>336</v>
      </c>
      <c r="Z80" s="252">
        <f>(SUM(T80:X80)/SUM(T$92:X$92))*Z$92</f>
        <v>432.15879788003599</v>
      </c>
      <c r="AA80" s="251">
        <v>490</v>
      </c>
      <c r="AB80" s="251">
        <v>427</v>
      </c>
      <c r="AC80" s="251">
        <v>396</v>
      </c>
      <c r="AD80" s="251">
        <v>498</v>
      </c>
      <c r="AE80" s="251">
        <v>684</v>
      </c>
      <c r="AF80" s="252">
        <f t="shared" ref="AF80:AF90" si="71">(SUM(Z80:AD80)/SUM(Z$92:AD$92))*AF$92</f>
        <v>465.68599555082818</v>
      </c>
      <c r="AG80" s="252">
        <f t="shared" ref="AG80:AG90" si="72">(SUM(AA80:AE80)/SUM(AA$92:AE$92))*AG$92</f>
        <v>449.57048900063859</v>
      </c>
      <c r="AH80" s="252">
        <f t="shared" ref="AH80:AN90" si="73">(SUM(AB80:AF80)/SUM(AB$92:AF$92))*AH$92</f>
        <v>521.89080263558651</v>
      </c>
      <c r="AI80" s="252">
        <f t="shared" si="73"/>
        <v>534.81612633758425</v>
      </c>
      <c r="AJ80" s="252">
        <f t="shared" si="73"/>
        <v>549.80787975587577</v>
      </c>
      <c r="AK80" s="252">
        <f t="shared" si="73"/>
        <v>563.12229751232746</v>
      </c>
      <c r="AL80" s="252">
        <f t="shared" si="73"/>
        <v>539.00455123552956</v>
      </c>
      <c r="AM80" s="252">
        <f t="shared" si="73"/>
        <v>565.09333230679886</v>
      </c>
      <c r="AN80" s="252">
        <f t="shared" si="73"/>
        <v>520.89262643786606</v>
      </c>
    </row>
    <row r="81" spans="1:40">
      <c r="A81" s="240" t="s">
        <v>238</v>
      </c>
      <c r="B81" s="251">
        <v>595.29986553115191</v>
      </c>
      <c r="C81" s="251">
        <v>497.27286585365852</v>
      </c>
      <c r="D81" s="251">
        <v>415.17566753663925</v>
      </c>
      <c r="E81" s="251">
        <v>580.97053375989219</v>
      </c>
      <c r="F81" s="251">
        <v>597.32485505891157</v>
      </c>
      <c r="G81" s="251">
        <v>534.81020255063765</v>
      </c>
      <c r="H81" s="251">
        <v>510.43015612161054</v>
      </c>
      <c r="I81" s="251">
        <v>568.98947368421057</v>
      </c>
      <c r="J81" s="251">
        <v>505.35305343511453</v>
      </c>
      <c r="K81" s="251">
        <v>432.27107558139534</v>
      </c>
      <c r="L81" s="251">
        <v>538</v>
      </c>
      <c r="M81" s="251">
        <v>446</v>
      </c>
      <c r="N81" s="251">
        <v>441</v>
      </c>
      <c r="O81" s="251">
        <v>426</v>
      </c>
      <c r="P81" s="251">
        <v>380</v>
      </c>
      <c r="Q81" s="251">
        <v>455</v>
      </c>
      <c r="R81" s="251">
        <v>548</v>
      </c>
      <c r="S81" s="251">
        <v>472</v>
      </c>
      <c r="T81" s="251">
        <v>600</v>
      </c>
      <c r="U81" s="251">
        <v>567</v>
      </c>
      <c r="V81" s="251">
        <v>610</v>
      </c>
      <c r="W81" s="251">
        <v>549</v>
      </c>
      <c r="X81" s="251">
        <v>560</v>
      </c>
      <c r="Y81" s="251">
        <v>563</v>
      </c>
      <c r="Z81" s="252">
        <f>(SUM(T81:X81)/SUM(T$92:X$92))*Z$92</f>
        <v>749.97612187720017</v>
      </c>
      <c r="AA81" s="251">
        <v>630</v>
      </c>
      <c r="AB81" s="251">
        <v>713</v>
      </c>
      <c r="AC81" s="251">
        <v>678</v>
      </c>
      <c r="AD81" s="251">
        <v>632</v>
      </c>
      <c r="AE81" s="251">
        <v>775</v>
      </c>
      <c r="AF81" s="252">
        <f t="shared" si="71"/>
        <v>706.4672927524191</v>
      </c>
      <c r="AG81" s="252">
        <f t="shared" si="72"/>
        <v>617.68642737242044</v>
      </c>
      <c r="AH81" s="252">
        <f t="shared" si="73"/>
        <v>740.25968962396007</v>
      </c>
      <c r="AI81" s="252">
        <f t="shared" si="73"/>
        <v>731.28071579628738</v>
      </c>
      <c r="AJ81" s="252">
        <f t="shared" si="73"/>
        <v>728.71443920205718</v>
      </c>
      <c r="AK81" s="252">
        <f t="shared" si="73"/>
        <v>757.06520257458669</v>
      </c>
      <c r="AL81" s="252">
        <f t="shared" si="73"/>
        <v>753.30870086198502</v>
      </c>
      <c r="AM81" s="252">
        <f t="shared" si="73"/>
        <v>771.30668275497567</v>
      </c>
      <c r="AN81" s="252">
        <f t="shared" si="73"/>
        <v>713.58245154978397</v>
      </c>
    </row>
    <row r="82" spans="1:40">
      <c r="A82" s="240" t="s">
        <v>239</v>
      </c>
      <c r="B82" s="251">
        <v>775.36799641416405</v>
      </c>
      <c r="C82" s="251">
        <v>722.83993902439022</v>
      </c>
      <c r="D82" s="251">
        <v>785.97048785384459</v>
      </c>
      <c r="E82" s="251">
        <v>790.43610035359484</v>
      </c>
      <c r="F82" s="251">
        <v>780.0680755563867</v>
      </c>
      <c r="G82" s="251">
        <v>808.3390847711928</v>
      </c>
      <c r="H82" s="251">
        <v>712.64975349219389</v>
      </c>
      <c r="I82" s="251">
        <v>678.41052631578953</v>
      </c>
      <c r="J82" s="251">
        <v>644.26526717557249</v>
      </c>
      <c r="K82" s="251">
        <v>597.58720930232562</v>
      </c>
      <c r="L82" s="251">
        <v>684</v>
      </c>
      <c r="M82" s="251">
        <v>632</v>
      </c>
      <c r="N82" s="251">
        <v>634</v>
      </c>
      <c r="O82" s="251">
        <v>614</v>
      </c>
      <c r="P82" s="251">
        <v>485</v>
      </c>
      <c r="Q82" s="251">
        <v>620</v>
      </c>
      <c r="R82" s="251">
        <v>628</v>
      </c>
      <c r="S82" s="251">
        <v>655</v>
      </c>
      <c r="T82" s="251">
        <v>775</v>
      </c>
      <c r="U82" s="251">
        <v>678</v>
      </c>
      <c r="V82" s="251">
        <v>774</v>
      </c>
      <c r="W82" s="251">
        <v>833</v>
      </c>
      <c r="X82" s="251">
        <v>837</v>
      </c>
      <c r="Y82" s="251">
        <v>856</v>
      </c>
      <c r="Z82" s="252">
        <f>(SUM(T82:X82)/SUM(T$92:X$92))*Z$92</f>
        <v>1012.701644821708</v>
      </c>
      <c r="AA82" s="251">
        <v>853</v>
      </c>
      <c r="AB82" s="251">
        <v>936</v>
      </c>
      <c r="AC82" s="251">
        <v>856</v>
      </c>
      <c r="AD82" s="251">
        <v>909</v>
      </c>
      <c r="AE82" s="252">
        <f>(SUM(Y82:AC82)/SUM(Y$92:AC$92))*AE$92-100</f>
        <v>905.82736444104228</v>
      </c>
      <c r="AF82" s="252">
        <f t="shared" si="71"/>
        <v>948.05994290830165</v>
      </c>
      <c r="AG82" s="252">
        <f t="shared" si="72"/>
        <v>803.60992749105742</v>
      </c>
      <c r="AH82" s="252">
        <f t="shared" si="73"/>
        <v>962.14322541510137</v>
      </c>
      <c r="AI82" s="252">
        <f t="shared" si="73"/>
        <v>948.6480249951187</v>
      </c>
      <c r="AJ82" s="252">
        <f t="shared" si="73"/>
        <v>950.64612128165902</v>
      </c>
      <c r="AK82" s="252">
        <f t="shared" si="73"/>
        <v>968.57701217335568</v>
      </c>
      <c r="AL82" s="252">
        <f t="shared" si="73"/>
        <v>986.00765479812719</v>
      </c>
      <c r="AM82" s="252">
        <f t="shared" si="73"/>
        <v>999.7031955461257</v>
      </c>
      <c r="AN82" s="252">
        <f t="shared" si="73"/>
        <v>926.1580843583389</v>
      </c>
    </row>
    <row r="83" spans="1:40">
      <c r="A83" s="240" t="s">
        <v>240</v>
      </c>
      <c r="B83" s="251">
        <v>604.70640968175701</v>
      </c>
      <c r="C83" s="251">
        <v>644.66044207317077</v>
      </c>
      <c r="D83" s="251">
        <v>680.02911062035741</v>
      </c>
      <c r="E83" s="251">
        <v>766.72301734298708</v>
      </c>
      <c r="F83" s="251">
        <v>737.79165887413501</v>
      </c>
      <c r="G83" s="251">
        <v>772.9572393098274</v>
      </c>
      <c r="H83" s="251">
        <v>589.92337715694327</v>
      </c>
      <c r="I83" s="251">
        <v>612.7578947368421</v>
      </c>
      <c r="J83" s="251">
        <v>529.30343511450383</v>
      </c>
      <c r="K83" s="251">
        <v>541.25726744186045</v>
      </c>
      <c r="L83" s="251">
        <v>690</v>
      </c>
      <c r="M83" s="251">
        <v>601</v>
      </c>
      <c r="N83" s="251">
        <v>596</v>
      </c>
      <c r="O83" s="251">
        <v>601</v>
      </c>
      <c r="P83" s="251">
        <v>460</v>
      </c>
      <c r="Q83" s="251">
        <v>590</v>
      </c>
      <c r="R83" s="251">
        <v>626</v>
      </c>
      <c r="S83" s="251">
        <v>664</v>
      </c>
      <c r="T83" s="251">
        <v>740</v>
      </c>
      <c r="U83" s="251">
        <v>563</v>
      </c>
      <c r="V83" s="251">
        <v>741</v>
      </c>
      <c r="W83" s="251">
        <v>796</v>
      </c>
      <c r="X83" s="251">
        <v>755</v>
      </c>
      <c r="Y83" s="252">
        <f t="shared" ref="Y83:Z90" si="74">(SUM(S83:W83)/SUM(S$92:W$92))*Y$92</f>
        <v>801.11898439656284</v>
      </c>
      <c r="Z83" s="252">
        <f t="shared" si="74"/>
        <v>934.22181502028229</v>
      </c>
      <c r="AA83" s="251">
        <v>791</v>
      </c>
      <c r="AB83" s="251">
        <v>852</v>
      </c>
      <c r="AC83" s="251">
        <v>810</v>
      </c>
      <c r="AD83" s="251">
        <v>886</v>
      </c>
      <c r="AE83" s="252">
        <f>(SUM(Y83:AC83)/SUM(Y$92:AC$92))*AE$92-50</f>
        <v>883.32437966770783</v>
      </c>
      <c r="AF83" s="252">
        <f t="shared" si="71"/>
        <v>887.13271526649226</v>
      </c>
      <c r="AG83" s="252">
        <f t="shared" si="72"/>
        <v>760.81460364189547</v>
      </c>
      <c r="AH83" s="252">
        <f t="shared" si="73"/>
        <v>912.20132525180998</v>
      </c>
      <c r="AI83" s="252">
        <f t="shared" si="73"/>
        <v>906.77116005403059</v>
      </c>
      <c r="AJ83" s="252">
        <f t="shared" si="73"/>
        <v>908.8371606041261</v>
      </c>
      <c r="AK83" s="252">
        <f t="shared" si="73"/>
        <v>922.34685428753619</v>
      </c>
      <c r="AL83" s="252">
        <f t="shared" si="73"/>
        <v>935.27629782377039</v>
      </c>
      <c r="AM83" s="252">
        <f t="shared" si="73"/>
        <v>951.6658260710675</v>
      </c>
    </row>
    <row r="84" spans="1:40">
      <c r="A84" s="240" t="s">
        <v>241</v>
      </c>
      <c r="B84" s="251">
        <v>554.98610488570148</v>
      </c>
      <c r="C84" s="251">
        <v>648.50533536585363</v>
      </c>
      <c r="D84" s="251">
        <v>668.57598875727763</v>
      </c>
      <c r="E84" s="251">
        <v>723.24903182353933</v>
      </c>
      <c r="F84" s="251">
        <v>759.61174490368433</v>
      </c>
      <c r="G84" s="251">
        <v>782.48312078019501</v>
      </c>
      <c r="H84" s="251">
        <v>631.76191454396053</v>
      </c>
      <c r="I84" s="251">
        <v>594.32908587257623</v>
      </c>
      <c r="J84" s="251">
        <v>492.18034351145036</v>
      </c>
      <c r="K84" s="251">
        <v>519.21511627906978</v>
      </c>
      <c r="L84" s="251">
        <v>647</v>
      </c>
      <c r="M84" s="251">
        <v>543</v>
      </c>
      <c r="N84" s="251">
        <v>532</v>
      </c>
      <c r="O84" s="251">
        <v>573</v>
      </c>
      <c r="P84" s="251">
        <v>406</v>
      </c>
      <c r="Q84" s="251">
        <v>575</v>
      </c>
      <c r="R84" s="251">
        <v>609</v>
      </c>
      <c r="S84" s="251">
        <v>619</v>
      </c>
      <c r="T84" s="251">
        <v>725</v>
      </c>
      <c r="U84" s="251">
        <v>556</v>
      </c>
      <c r="V84" s="251">
        <v>768</v>
      </c>
      <c r="W84" s="251">
        <v>714</v>
      </c>
      <c r="X84" s="251">
        <v>666</v>
      </c>
      <c r="Y84" s="252">
        <f t="shared" si="74"/>
        <v>773.22614304485592</v>
      </c>
      <c r="Z84" s="252">
        <f t="shared" si="74"/>
        <v>891.08389532810793</v>
      </c>
      <c r="AA84" s="251">
        <v>779</v>
      </c>
      <c r="AB84" s="251">
        <v>868</v>
      </c>
      <c r="AC84" s="251">
        <v>788</v>
      </c>
      <c r="AD84" s="251">
        <v>867</v>
      </c>
      <c r="AE84" s="252">
        <f>(SUM(Y84:AC84)/SUM(Y$92:AC$92))*AE$92-50</f>
        <v>863.48488145061106</v>
      </c>
      <c r="AF84" s="252">
        <f t="shared" si="71"/>
        <v>870.49586060043293</v>
      </c>
      <c r="AG84" s="252">
        <f t="shared" si="72"/>
        <v>750.57277558257238</v>
      </c>
      <c r="AH84" s="252">
        <f t="shared" si="73"/>
        <v>899.21548115544363</v>
      </c>
      <c r="AI84" s="252">
        <f t="shared" si="73"/>
        <v>887.95516658054896</v>
      </c>
      <c r="AJ84" s="252">
        <f t="shared" si="73"/>
        <v>892.31571740520803</v>
      </c>
      <c r="AK84" s="252">
        <f t="shared" si="73"/>
        <v>905.69889407836513</v>
      </c>
      <c r="AL84" s="252">
        <f t="shared" si="73"/>
        <v>919.20259570288385</v>
      </c>
      <c r="AM84" s="252">
        <f t="shared" si="73"/>
        <v>935.43862671027796</v>
      </c>
    </row>
    <row r="85" spans="1:40">
      <c r="A85" s="240" t="s">
        <v>231</v>
      </c>
      <c r="B85" s="251">
        <v>533.48543254146125</v>
      </c>
      <c r="C85" s="251">
        <v>599.80335365853659</v>
      </c>
      <c r="D85" s="251">
        <v>680.02911062035741</v>
      </c>
      <c r="E85" s="251">
        <v>695.58376831116345</v>
      </c>
      <c r="F85" s="251">
        <v>766.43052178791845</v>
      </c>
      <c r="G85" s="251">
        <v>748.46211552888224</v>
      </c>
      <c r="H85" s="251">
        <v>612.23726376335253</v>
      </c>
      <c r="I85" s="251">
        <v>570.1412742382272</v>
      </c>
      <c r="J85" s="251">
        <v>492.18034351145036</v>
      </c>
      <c r="K85" s="251">
        <v>453.0886627906977</v>
      </c>
      <c r="L85" s="251">
        <v>608</v>
      </c>
      <c r="M85" s="251">
        <v>543</v>
      </c>
      <c r="N85" s="251">
        <v>521</v>
      </c>
      <c r="O85" s="251">
        <v>548</v>
      </c>
      <c r="P85" s="251">
        <v>399</v>
      </c>
      <c r="Q85" s="251">
        <v>575</v>
      </c>
      <c r="R85" s="251">
        <v>548</v>
      </c>
      <c r="S85" s="251">
        <v>546</v>
      </c>
      <c r="T85" s="251">
        <v>680</v>
      </c>
      <c r="U85" s="251">
        <v>489</v>
      </c>
      <c r="V85" s="251">
        <v>721</v>
      </c>
      <c r="W85" s="251">
        <v>784</v>
      </c>
      <c r="X85" s="251">
        <v>590</v>
      </c>
      <c r="Y85" s="252">
        <f t="shared" si="74"/>
        <v>736.18810780734373</v>
      </c>
      <c r="Z85" s="252">
        <f t="shared" si="74"/>
        <v>848.20584262203101</v>
      </c>
      <c r="AA85" s="251">
        <v>773</v>
      </c>
      <c r="AB85" s="251">
        <v>807</v>
      </c>
      <c r="AC85" s="251">
        <v>688</v>
      </c>
      <c r="AD85" s="251">
        <v>776</v>
      </c>
      <c r="AE85" s="252">
        <f>(SUM(Y85:AC85)/SUM(Y$92:AC$92))*AE$92-50</f>
        <v>808.46242371698679</v>
      </c>
      <c r="AF85" s="252">
        <f t="shared" si="71"/>
        <v>808.03274133921809</v>
      </c>
      <c r="AG85" s="252">
        <f t="shared" si="72"/>
        <v>694.16970568618478</v>
      </c>
      <c r="AH85" s="252">
        <f t="shared" si="73"/>
        <v>821.16787628483019</v>
      </c>
      <c r="AI85" s="252">
        <f t="shared" si="73"/>
        <v>809.68470628731723</v>
      </c>
      <c r="AJ85" s="252">
        <f t="shared" si="73"/>
        <v>820.327000163153</v>
      </c>
      <c r="AK85" s="252">
        <f t="shared" si="73"/>
        <v>835.68785348963956</v>
      </c>
      <c r="AL85" s="252">
        <f t="shared" si="73"/>
        <v>844.99768575037933</v>
      </c>
      <c r="AM85" s="252">
        <f t="shared" si="73"/>
        <v>858.90768973271304</v>
      </c>
    </row>
    <row r="86" spans="1:40">
      <c r="A86" s="240" t="s">
        <v>232</v>
      </c>
      <c r="B86" s="251">
        <v>511.98476019722096</v>
      </c>
      <c r="C86" s="251">
        <v>548.53810975609758</v>
      </c>
      <c r="D86" s="251">
        <v>628.49006223649872</v>
      </c>
      <c r="E86" s="251">
        <v>715.34467082000333</v>
      </c>
      <c r="F86" s="251">
        <v>669.60389003179353</v>
      </c>
      <c r="G86" s="251">
        <v>670.89422355588897</v>
      </c>
      <c r="H86" s="251">
        <v>628.97267871815939</v>
      </c>
      <c r="I86" s="251">
        <v>521.76565096952913</v>
      </c>
      <c r="J86" s="251">
        <v>387.99618320610688</v>
      </c>
      <c r="K86" s="251">
        <v>432.27107558139534</v>
      </c>
      <c r="L86" s="251">
        <v>528</v>
      </c>
      <c r="M86" s="251">
        <v>469</v>
      </c>
      <c r="N86" s="251">
        <v>458</v>
      </c>
      <c r="O86" s="251">
        <v>480</v>
      </c>
      <c r="P86" s="251">
        <v>380</v>
      </c>
      <c r="Q86" s="251">
        <v>510</v>
      </c>
      <c r="R86" s="251">
        <v>527</v>
      </c>
      <c r="S86" s="251">
        <v>533</v>
      </c>
      <c r="T86" s="251">
        <v>585</v>
      </c>
      <c r="U86" s="251">
        <v>480</v>
      </c>
      <c r="V86" s="251">
        <v>730</v>
      </c>
      <c r="W86" s="251">
        <v>686</v>
      </c>
      <c r="X86" s="251">
        <v>504</v>
      </c>
      <c r="Y86" s="252">
        <f t="shared" si="74"/>
        <v>689.0903592954453</v>
      </c>
      <c r="Z86" s="252">
        <f t="shared" si="74"/>
        <v>775.70295350084632</v>
      </c>
      <c r="AA86" s="251">
        <v>758</v>
      </c>
      <c r="AB86" s="251">
        <v>810</v>
      </c>
      <c r="AC86" s="251">
        <v>581</v>
      </c>
      <c r="AD86" s="251">
        <v>724</v>
      </c>
      <c r="AE86" s="252">
        <f>(SUM(Y86:AC86)/SUM(Y$92:AC$92))*AE$92-50</f>
        <v>755.29297004258126</v>
      </c>
      <c r="AF86" s="252">
        <f t="shared" si="71"/>
        <v>757.48086536544838</v>
      </c>
      <c r="AG86" s="252">
        <f t="shared" si="72"/>
        <v>653.77693177539982</v>
      </c>
      <c r="AH86" s="252">
        <f t="shared" si="73"/>
        <v>766.30611989985937</v>
      </c>
      <c r="AI86" s="252">
        <f t="shared" si="73"/>
        <v>744.66519798235595</v>
      </c>
      <c r="AJ86" s="252">
        <f t="shared" si="73"/>
        <v>767.64248482462108</v>
      </c>
      <c r="AK86" s="252">
        <f t="shared" si="73"/>
        <v>779.71506503031151</v>
      </c>
      <c r="AL86" s="252">
        <f t="shared" si="73"/>
        <v>788.67484576897084</v>
      </c>
      <c r="AM86" s="252">
        <f t="shared" si="73"/>
        <v>800.88582513755068</v>
      </c>
    </row>
    <row r="87" spans="1:40">
      <c r="A87" s="240" t="s">
        <v>233</v>
      </c>
      <c r="B87" s="251">
        <v>525.42268041237116</v>
      </c>
      <c r="C87" s="251">
        <v>652.35022865853659</v>
      </c>
      <c r="D87" s="251">
        <v>629.9217024693836</v>
      </c>
      <c r="E87" s="251">
        <v>810.19700286243472</v>
      </c>
      <c r="F87" s="251">
        <v>709.15279596035157</v>
      </c>
      <c r="G87" s="251">
        <v>591.96549137284319</v>
      </c>
      <c r="H87" s="251">
        <v>626.18344289235824</v>
      </c>
      <c r="I87" s="251">
        <v>537.89085872576175</v>
      </c>
      <c r="J87" s="251">
        <v>331.71278625954199</v>
      </c>
      <c r="K87" s="251">
        <v>391.86046511627904</v>
      </c>
      <c r="L87" s="251">
        <v>536</v>
      </c>
      <c r="M87" s="251">
        <v>488</v>
      </c>
      <c r="N87" s="251">
        <v>455</v>
      </c>
      <c r="O87" s="251">
        <v>510</v>
      </c>
      <c r="P87" s="251">
        <v>380</v>
      </c>
      <c r="Q87" s="251">
        <v>555</v>
      </c>
      <c r="R87" s="251">
        <v>488</v>
      </c>
      <c r="S87" s="251">
        <v>532</v>
      </c>
      <c r="T87" s="251">
        <v>645</v>
      </c>
      <c r="U87" s="251">
        <v>495</v>
      </c>
      <c r="V87" s="251">
        <v>703</v>
      </c>
      <c r="W87" s="251">
        <v>663</v>
      </c>
      <c r="X87" s="251">
        <v>572</v>
      </c>
      <c r="Y87" s="252">
        <f t="shared" si="74"/>
        <v>694.57747562692862</v>
      </c>
      <c r="Z87" s="252">
        <f t="shared" si="74"/>
        <v>799.870583207908</v>
      </c>
      <c r="AA87" s="251">
        <v>763</v>
      </c>
      <c r="AB87" s="251">
        <v>773</v>
      </c>
      <c r="AC87" s="251">
        <v>760</v>
      </c>
      <c r="AD87" s="251">
        <v>875</v>
      </c>
      <c r="AE87" s="252">
        <f t="shared" ref="AE87" si="75">(SUM(Y87:AC87)/SUM(Y$92:AC$92))*AE$92</f>
        <v>844.6584823439531</v>
      </c>
      <c r="AF87" s="252">
        <f t="shared" si="71"/>
        <v>824.36375993188426</v>
      </c>
      <c r="AG87" s="252">
        <f t="shared" si="72"/>
        <v>723.57577056790899</v>
      </c>
      <c r="AH87" s="252">
        <f t="shared" si="73"/>
        <v>861.20227913061888</v>
      </c>
      <c r="AI87" s="252">
        <f t="shared" si="73"/>
        <v>863.94014455418142</v>
      </c>
      <c r="AJ87" s="252">
        <f t="shared" si="73"/>
        <v>866.71221033311258</v>
      </c>
      <c r="AK87" s="252">
        <f t="shared" si="73"/>
        <v>873.05097779949506</v>
      </c>
      <c r="AL87" s="252">
        <f t="shared" si="73"/>
        <v>884.84150081294501</v>
      </c>
      <c r="AM87" s="252">
        <f t="shared" si="73"/>
        <v>903.66372866997142</v>
      </c>
    </row>
    <row r="88" spans="1:40">
      <c r="A88" s="240" t="s">
        <v>234</v>
      </c>
      <c r="B88" s="251">
        <v>471.67099955177048</v>
      </c>
      <c r="C88" s="251">
        <v>584.42378048780483</v>
      </c>
      <c r="D88" s="251">
        <v>639.94318409957839</v>
      </c>
      <c r="E88" s="251">
        <v>675.82286580232358</v>
      </c>
      <c r="F88" s="251">
        <v>582.32354591359638</v>
      </c>
      <c r="G88" s="251">
        <v>597.40885221305325</v>
      </c>
      <c r="H88" s="251">
        <v>552.26869350862773</v>
      </c>
      <c r="I88" s="251">
        <v>495.27423822714684</v>
      </c>
      <c r="J88" s="251">
        <v>336.50286259541986</v>
      </c>
      <c r="K88" s="251">
        <v>367.36918604651163</v>
      </c>
      <c r="L88" s="251">
        <v>460</v>
      </c>
      <c r="M88" s="251">
        <v>421</v>
      </c>
      <c r="N88" s="251">
        <v>392</v>
      </c>
      <c r="O88" s="251">
        <v>424</v>
      </c>
      <c r="P88" s="251">
        <v>299</v>
      </c>
      <c r="Q88" s="251">
        <v>535</v>
      </c>
      <c r="R88" s="251">
        <v>444</v>
      </c>
      <c r="S88" s="251">
        <v>501</v>
      </c>
      <c r="T88" s="251">
        <v>525</v>
      </c>
      <c r="U88" s="251">
        <v>490</v>
      </c>
      <c r="V88" s="251">
        <v>599</v>
      </c>
      <c r="W88" s="251">
        <v>657</v>
      </c>
      <c r="X88" s="251">
        <v>515</v>
      </c>
      <c r="Y88" s="252">
        <f t="shared" si="74"/>
        <v>633.76193628632188</v>
      </c>
      <c r="Z88" s="252">
        <f t="shared" si="74"/>
        <v>723.98942326745657</v>
      </c>
      <c r="AA88" s="251">
        <v>736</v>
      </c>
      <c r="AB88" s="251">
        <v>731</v>
      </c>
      <c r="AC88" s="251">
        <v>664</v>
      </c>
      <c r="AD88" s="251">
        <v>861</v>
      </c>
      <c r="AE88" s="252">
        <f>(SUM(Y88:AC88)/SUM(Y$92:AC$92))*AE$92+100</f>
        <v>877.42878490780026</v>
      </c>
      <c r="AF88" s="252">
        <f t="shared" si="71"/>
        <v>771.44972333929229</v>
      </c>
      <c r="AG88" s="252">
        <f t="shared" si="72"/>
        <v>697.22685009384622</v>
      </c>
      <c r="AH88" s="252">
        <f t="shared" si="73"/>
        <v>824.8398147451278</v>
      </c>
      <c r="AI88" s="252">
        <f t="shared" si="73"/>
        <v>830.37167865423851</v>
      </c>
      <c r="AJ88" s="252">
        <f t="shared" si="73"/>
        <v>846.38051389893815</v>
      </c>
      <c r="AK88" s="252">
        <f t="shared" si="73"/>
        <v>848.36663304657839</v>
      </c>
      <c r="AL88" s="252">
        <f t="shared" si="73"/>
        <v>848.60702488916343</v>
      </c>
      <c r="AM88" s="252">
        <f t="shared" si="73"/>
        <v>873.17917808818322</v>
      </c>
    </row>
    <row r="89" spans="1:40">
      <c r="A89" s="240" t="s">
        <v>46</v>
      </c>
      <c r="B89" s="251">
        <v>493.17167189601076</v>
      </c>
      <c r="C89" s="251">
        <v>634.40739329268297</v>
      </c>
      <c r="D89" s="251">
        <v>615.60530014053404</v>
      </c>
      <c r="E89" s="251">
        <v>677.14025930291291</v>
      </c>
      <c r="F89" s="251">
        <v>591.86983355152427</v>
      </c>
      <c r="G89" s="251">
        <v>634.15153788447117</v>
      </c>
      <c r="H89" s="251">
        <v>637.34038619556281</v>
      </c>
      <c r="I89" s="251">
        <v>492.97063711911358</v>
      </c>
      <c r="J89" s="251">
        <v>368.8358778625954</v>
      </c>
      <c r="K89" s="251">
        <v>380.83938953488371</v>
      </c>
      <c r="L89" s="251">
        <v>509</v>
      </c>
      <c r="M89" s="251">
        <v>398</v>
      </c>
      <c r="N89" s="251">
        <v>372</v>
      </c>
      <c r="O89" s="251">
        <v>425</v>
      </c>
      <c r="P89" s="251">
        <v>287</v>
      </c>
      <c r="Q89" s="251">
        <v>500</v>
      </c>
      <c r="R89" s="251">
        <v>382</v>
      </c>
      <c r="S89" s="251">
        <v>442</v>
      </c>
      <c r="T89" s="251">
        <v>440</v>
      </c>
      <c r="U89" s="251">
        <v>467</v>
      </c>
      <c r="V89" s="251">
        <v>649</v>
      </c>
      <c r="W89" s="251">
        <v>606</v>
      </c>
      <c r="X89" s="251">
        <v>508</v>
      </c>
      <c r="Y89" s="252">
        <f t="shared" si="74"/>
        <v>595.35212196593875</v>
      </c>
      <c r="Z89" s="252">
        <f t="shared" si="74"/>
        <v>693.84485288015401</v>
      </c>
      <c r="AA89" s="251">
        <v>720</v>
      </c>
      <c r="AB89" s="251">
        <v>654</v>
      </c>
      <c r="AC89" s="251">
        <v>652</v>
      </c>
      <c r="AD89" s="251">
        <v>821</v>
      </c>
      <c r="AE89" s="252">
        <f>(SUM(Y89:AC89)/SUM(Y$92:AC$92))*AE$92+50</f>
        <v>788.75415306588695</v>
      </c>
      <c r="AF89" s="252">
        <f t="shared" si="71"/>
        <v>735.08922416142934</v>
      </c>
      <c r="AG89" s="252">
        <f t="shared" si="72"/>
        <v>655.12135169536396</v>
      </c>
      <c r="AH89" s="252">
        <f t="shared" si="73"/>
        <v>771.17917204739422</v>
      </c>
      <c r="AI89" s="252">
        <f t="shared" si="73"/>
        <v>783.36490527378669</v>
      </c>
      <c r="AJ89" s="252">
        <f t="shared" si="73"/>
        <v>791.63346123748613</v>
      </c>
      <c r="AK89" s="252">
        <f t="shared" si="73"/>
        <v>791.58547367356198</v>
      </c>
      <c r="AL89" s="252">
        <f t="shared" si="73"/>
        <v>798.61730689796104</v>
      </c>
      <c r="AM89" s="252">
        <f t="shared" si="73"/>
        <v>818.31377862515501</v>
      </c>
    </row>
    <row r="90" spans="1:40">
      <c r="A90" s="240" t="s">
        <v>235</v>
      </c>
      <c r="B90" s="251">
        <v>450.17032720753025</v>
      </c>
      <c r="C90" s="251">
        <v>549.81974085365857</v>
      </c>
      <c r="D90" s="251">
        <v>645.66974503111828</v>
      </c>
      <c r="E90" s="251">
        <v>566.47920525340965</v>
      </c>
      <c r="F90" s="251">
        <v>493.67944641855246</v>
      </c>
      <c r="G90" s="251">
        <v>567.47036759189803</v>
      </c>
      <c r="H90" s="251">
        <v>610.84264585045196</v>
      </c>
      <c r="I90" s="251">
        <v>473.39002770083101</v>
      </c>
      <c r="J90" s="251">
        <v>305.36736641221376</v>
      </c>
      <c r="K90" s="251">
        <v>345.32703488372096</v>
      </c>
      <c r="L90" s="251">
        <v>440</v>
      </c>
      <c r="M90" s="251">
        <v>422</v>
      </c>
      <c r="N90" s="251">
        <v>378</v>
      </c>
      <c r="O90" s="251">
        <v>360</v>
      </c>
      <c r="P90" s="251">
        <v>315</v>
      </c>
      <c r="Q90" s="251">
        <v>460</v>
      </c>
      <c r="R90" s="251">
        <v>392</v>
      </c>
      <c r="S90" s="251">
        <v>397</v>
      </c>
      <c r="T90" s="251">
        <v>442</v>
      </c>
      <c r="U90" s="251">
        <v>447</v>
      </c>
      <c r="V90" s="251">
        <v>630</v>
      </c>
      <c r="W90" s="251">
        <v>613</v>
      </c>
      <c r="X90" s="251">
        <v>487</v>
      </c>
      <c r="Y90" s="252">
        <f t="shared" si="74"/>
        <v>578.20488343005343</v>
      </c>
      <c r="Z90" s="252">
        <f t="shared" si="74"/>
        <v>680.59163658918476</v>
      </c>
      <c r="AA90" s="251">
        <v>608</v>
      </c>
      <c r="AB90" s="251">
        <v>618</v>
      </c>
      <c r="AC90" s="251">
        <v>613</v>
      </c>
      <c r="AD90" s="251">
        <v>845</v>
      </c>
      <c r="AE90" s="252">
        <f>(SUM(Y90:AC90)/SUM(Y$92:AC$92))*AE$92+100</f>
        <v>790.30892036920602</v>
      </c>
      <c r="AF90" s="252">
        <f t="shared" si="71"/>
        <v>698.49856701532519</v>
      </c>
      <c r="AG90" s="252">
        <f t="shared" si="72"/>
        <v>626.03076563914419</v>
      </c>
      <c r="AH90" s="252">
        <f t="shared" si="73"/>
        <v>753.00553942618058</v>
      </c>
      <c r="AI90" s="252">
        <f t="shared" si="73"/>
        <v>766.39187598728586</v>
      </c>
      <c r="AJ90" s="252">
        <f t="shared" si="73"/>
        <v>779.39518078191668</v>
      </c>
      <c r="AK90" s="252">
        <f t="shared" si="73"/>
        <v>770.53739855388574</v>
      </c>
      <c r="AL90" s="252">
        <f t="shared" si="73"/>
        <v>774.4504886091288</v>
      </c>
      <c r="AM90" s="252">
        <f t="shared" si="73"/>
        <v>797.27308746244091</v>
      </c>
    </row>
    <row r="91" spans="1:40">
      <c r="A91" s="240" t="s">
        <v>236</v>
      </c>
      <c r="B91" s="251">
        <v>232.4760197220977</v>
      </c>
      <c r="C91" s="251">
        <v>380.64443597560978</v>
      </c>
      <c r="D91" s="251">
        <v>400.85926520778958</v>
      </c>
      <c r="E91" s="251">
        <v>425.5181006903519</v>
      </c>
      <c r="F91" s="251">
        <v>272.75107536936599</v>
      </c>
      <c r="G91" s="251">
        <v>334.76669167291823</v>
      </c>
      <c r="H91" s="251">
        <v>380.730690221857</v>
      </c>
      <c r="I91" s="251">
        <v>301.77174515235458</v>
      </c>
      <c r="J91" s="251">
        <v>232.31870229007635</v>
      </c>
      <c r="K91" s="251">
        <v>328.18313953488371</v>
      </c>
      <c r="L91" s="251">
        <v>297</v>
      </c>
      <c r="M91" s="251">
        <v>281</v>
      </c>
      <c r="N91" s="251">
        <v>279</v>
      </c>
      <c r="O91" s="251">
        <v>269</v>
      </c>
      <c r="P91" s="251">
        <v>244</v>
      </c>
      <c r="Q91" s="251">
        <v>310</v>
      </c>
      <c r="R91" s="251">
        <v>356</v>
      </c>
      <c r="S91" s="251">
        <v>296</v>
      </c>
      <c r="T91" s="251">
        <v>378</v>
      </c>
      <c r="U91" s="251">
        <v>445</v>
      </c>
      <c r="V91" s="251">
        <v>377</v>
      </c>
      <c r="W91" s="251">
        <v>403</v>
      </c>
      <c r="X91" s="251">
        <v>353</v>
      </c>
      <c r="Y91" s="252">
        <f t="shared" ref="Y91" si="76">Y92-SUM(Y80:Y90)</f>
        <v>541.81544442005452</v>
      </c>
      <c r="Z91" s="251">
        <v>682</v>
      </c>
      <c r="AA91" s="251">
        <v>480</v>
      </c>
      <c r="AB91" s="251">
        <v>547</v>
      </c>
      <c r="AC91" s="251">
        <v>570</v>
      </c>
      <c r="AD91" s="251">
        <v>788</v>
      </c>
      <c r="AE91" s="252">
        <f t="shared" ref="AE91:AH91" si="77">AE92-SUM(AE80:AE90)</f>
        <v>523.45763999422525</v>
      </c>
      <c r="AF91" s="252">
        <f t="shared" si="77"/>
        <v>727.24331176892883</v>
      </c>
      <c r="AG91" s="252">
        <f t="shared" si="77"/>
        <v>617.84440145356803</v>
      </c>
      <c r="AH91" s="252">
        <f t="shared" si="77"/>
        <v>666.58867438408743</v>
      </c>
      <c r="AI91" s="252">
        <f t="shared" ref="AI91:AM91" si="78">AI92-SUM(AI80:AI90)</f>
        <v>692.11029749726549</v>
      </c>
      <c r="AJ91" s="252">
        <f t="shared" si="78"/>
        <v>697.58783051184582</v>
      </c>
      <c r="AK91" s="252">
        <f t="shared" si="78"/>
        <v>684.24633778035604</v>
      </c>
      <c r="AL91" s="252">
        <f t="shared" si="78"/>
        <v>727.01134684915633</v>
      </c>
      <c r="AM91" s="252">
        <f t="shared" si="78"/>
        <v>724.56904889474026</v>
      </c>
    </row>
    <row r="92" spans="1:40" ht="15.75" thickBot="1">
      <c r="A92" s="240" t="s">
        <v>242</v>
      </c>
      <c r="B92" s="146">
        <f>SUM(B80:B91)</f>
        <v>5995.9999999999991</v>
      </c>
      <c r="C92" s="146">
        <f t="shared" ref="C92:W92" si="79">SUM(C80:C91)</f>
        <v>6726</v>
      </c>
      <c r="D92" s="146">
        <f t="shared" si="79"/>
        <v>7131.0000000000009</v>
      </c>
      <c r="E92" s="146">
        <f t="shared" si="79"/>
        <v>7824</v>
      </c>
      <c r="F92" s="146">
        <f t="shared" si="79"/>
        <v>7292.0000000000009</v>
      </c>
      <c r="G92" s="146">
        <f t="shared" si="79"/>
        <v>7256.0000000000009</v>
      </c>
      <c r="H92" s="146">
        <f t="shared" si="79"/>
        <v>6789</v>
      </c>
      <c r="I92" s="146">
        <f t="shared" si="79"/>
        <v>6237</v>
      </c>
      <c r="J92" s="146">
        <f t="shared" si="79"/>
        <v>5019.9999999999991</v>
      </c>
      <c r="K92" s="146">
        <f t="shared" si="79"/>
        <v>5055</v>
      </c>
      <c r="L92" s="146">
        <f t="shared" si="79"/>
        <v>6234</v>
      </c>
      <c r="M92" s="146">
        <f t="shared" si="79"/>
        <v>5520</v>
      </c>
      <c r="N92" s="146">
        <f t="shared" si="79"/>
        <v>5291</v>
      </c>
      <c r="O92" s="146">
        <f t="shared" si="79"/>
        <v>5482</v>
      </c>
      <c r="P92" s="146">
        <f t="shared" si="79"/>
        <v>4289</v>
      </c>
      <c r="Q92" s="146">
        <f t="shared" si="79"/>
        <v>5890</v>
      </c>
      <c r="R92" s="146">
        <f t="shared" si="79"/>
        <v>5905</v>
      </c>
      <c r="S92" s="146">
        <f t="shared" si="79"/>
        <v>5932</v>
      </c>
      <c r="T92" s="146">
        <f t="shared" si="79"/>
        <v>6852</v>
      </c>
      <c r="U92" s="146">
        <f t="shared" si="79"/>
        <v>6033</v>
      </c>
      <c r="V92" s="146">
        <f t="shared" si="79"/>
        <v>7692</v>
      </c>
      <c r="W92" s="146">
        <f t="shared" si="79"/>
        <v>7600</v>
      </c>
      <c r="X92" s="146">
        <v>6994.7645055741496</v>
      </c>
      <c r="Y92" s="146">
        <v>7798.3354562735049</v>
      </c>
      <c r="Z92" s="253">
        <v>9139.9804377923301</v>
      </c>
      <c r="AA92" s="146">
        <v>8901.4190753198527</v>
      </c>
      <c r="AB92" s="146">
        <f>SUM(AB80:AB91)</f>
        <v>8736</v>
      </c>
      <c r="AC92" s="146">
        <f>SUM(AC80:AC91)</f>
        <v>8056</v>
      </c>
      <c r="AD92" s="146">
        <f>SUM(AD80:AD91)</f>
        <v>9482</v>
      </c>
      <c r="AE92" s="253">
        <f t="shared" ref="AE92:AN92" si="80">AE12</f>
        <v>9500</v>
      </c>
      <c r="AF92" s="253">
        <f t="shared" si="80"/>
        <v>9200</v>
      </c>
      <c r="AG92" s="253">
        <f t="shared" si="80"/>
        <v>8050</v>
      </c>
      <c r="AH92" s="253">
        <f t="shared" si="80"/>
        <v>9500</v>
      </c>
      <c r="AI92" s="253">
        <f t="shared" si="80"/>
        <v>9500</v>
      </c>
      <c r="AJ92" s="253">
        <f t="shared" si="80"/>
        <v>9600</v>
      </c>
      <c r="AK92" s="253">
        <f t="shared" si="80"/>
        <v>9700</v>
      </c>
      <c r="AL92" s="253">
        <f t="shared" si="80"/>
        <v>9800</v>
      </c>
      <c r="AM92" s="253">
        <f t="shared" si="80"/>
        <v>10000</v>
      </c>
      <c r="AN92" s="253">
        <f t="shared" si="80"/>
        <v>9250</v>
      </c>
    </row>
    <row r="93" spans="1:40">
      <c r="A93" s="248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94" t="s">
        <v>320</v>
      </c>
      <c r="X93" s="295">
        <v>6994.7645055741496</v>
      </c>
      <c r="Y93" s="295">
        <v>7798.3354562735049</v>
      </c>
      <c r="Z93" s="295">
        <v>9139.9804377923301</v>
      </c>
      <c r="AA93" s="295">
        <v>8901.4190753198527</v>
      </c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</row>
    <row r="94" spans="1:40" ht="15.75" thickBot="1">
      <c r="A94" s="235" t="s">
        <v>252</v>
      </c>
      <c r="W94" s="296" t="s">
        <v>321</v>
      </c>
      <c r="X94" s="297">
        <f>SUM(W90:W91,X80:X89)</f>
        <v>6827</v>
      </c>
      <c r="Y94" s="297">
        <f t="shared" ref="Y94:AA94" si="81">SUM(X90:X91,Y80:Y89)</f>
        <v>7518.3151284233973</v>
      </c>
      <c r="Z94" s="297">
        <f t="shared" si="81"/>
        <v>8981.7762582558389</v>
      </c>
      <c r="AA94" s="297">
        <f t="shared" si="81"/>
        <v>8655.5916365891844</v>
      </c>
    </row>
    <row r="95" spans="1:40" ht="15.75" thickBot="1">
      <c r="A95" s="236"/>
      <c r="B95" s="237" t="str">
        <f>B$2</f>
        <v xml:space="preserve">93/94 </v>
      </c>
      <c r="C95" s="237" t="str">
        <f t="shared" ref="C95:AM95" si="82">C$2</f>
        <v xml:space="preserve">94/95 </v>
      </c>
      <c r="D95" s="237" t="str">
        <f t="shared" si="82"/>
        <v xml:space="preserve">95/96 </v>
      </c>
      <c r="E95" s="237" t="str">
        <f t="shared" si="82"/>
        <v xml:space="preserve">96/97 </v>
      </c>
      <c r="F95" s="237" t="str">
        <f t="shared" si="82"/>
        <v xml:space="preserve">97/98 </v>
      </c>
      <c r="G95" s="237" t="str">
        <f t="shared" si="82"/>
        <v xml:space="preserve">98/99 </v>
      </c>
      <c r="H95" s="237" t="str">
        <f t="shared" si="82"/>
        <v xml:space="preserve">99/00 </v>
      </c>
      <c r="I95" s="237" t="str">
        <f t="shared" si="82"/>
        <v xml:space="preserve">00/01 </v>
      </c>
      <c r="J95" s="237" t="str">
        <f t="shared" si="82"/>
        <v xml:space="preserve">01/02 </v>
      </c>
      <c r="K95" s="237" t="str">
        <f t="shared" si="82"/>
        <v xml:space="preserve">02/03 </v>
      </c>
      <c r="L95" s="237" t="str">
        <f t="shared" si="82"/>
        <v xml:space="preserve">03/04 </v>
      </c>
      <c r="M95" s="237" t="str">
        <f t="shared" si="82"/>
        <v xml:space="preserve">04/05 </v>
      </c>
      <c r="N95" s="237" t="str">
        <f t="shared" si="82"/>
        <v xml:space="preserve">05/06 </v>
      </c>
      <c r="O95" s="237" t="str">
        <f t="shared" si="82"/>
        <v xml:space="preserve">06/07 </v>
      </c>
      <c r="P95" s="237" t="str">
        <f t="shared" si="82"/>
        <v xml:space="preserve">07/08 </v>
      </c>
      <c r="Q95" s="237" t="str">
        <f t="shared" si="82"/>
        <v xml:space="preserve">08/09 </v>
      </c>
      <c r="R95" s="237" t="str">
        <f t="shared" si="82"/>
        <v xml:space="preserve">09/10 </v>
      </c>
      <c r="S95" s="237" t="str">
        <f t="shared" si="82"/>
        <v xml:space="preserve">10/11 </v>
      </c>
      <c r="T95" s="237" t="str">
        <f t="shared" si="82"/>
        <v xml:space="preserve">11/12 </v>
      </c>
      <c r="U95" s="237" t="str">
        <f t="shared" si="82"/>
        <v xml:space="preserve">12/13 </v>
      </c>
      <c r="V95" s="237" t="str">
        <f t="shared" si="82"/>
        <v xml:space="preserve">13/14 </v>
      </c>
      <c r="W95" s="237" t="str">
        <f t="shared" si="82"/>
        <v xml:space="preserve">14/15 </v>
      </c>
      <c r="X95" s="237" t="str">
        <f t="shared" si="82"/>
        <v xml:space="preserve">15/16 </v>
      </c>
      <c r="Y95" s="237" t="str">
        <f t="shared" si="82"/>
        <v xml:space="preserve">16/17 </v>
      </c>
      <c r="Z95" s="237" t="str">
        <f t="shared" si="82"/>
        <v xml:space="preserve">17/18 </v>
      </c>
      <c r="AA95" s="237" t="str">
        <f t="shared" si="82"/>
        <v xml:space="preserve">18/19 </v>
      </c>
      <c r="AB95" s="237" t="str">
        <f t="shared" si="82"/>
        <v xml:space="preserve">19/20 </v>
      </c>
      <c r="AC95" s="237" t="str">
        <f t="shared" si="82"/>
        <v xml:space="preserve">20/21 </v>
      </c>
      <c r="AD95" s="237" t="str">
        <f t="shared" si="82"/>
        <v>21/22</v>
      </c>
      <c r="AE95" s="237" t="str">
        <f t="shared" si="82"/>
        <v>22/23</v>
      </c>
      <c r="AF95" s="237" t="str">
        <f t="shared" si="82"/>
        <v>23/24</v>
      </c>
      <c r="AG95" s="237" t="str">
        <f t="shared" si="82"/>
        <v>24/25</v>
      </c>
      <c r="AH95" s="237" t="str">
        <f t="shared" si="82"/>
        <v>25/26</v>
      </c>
      <c r="AI95" s="237" t="str">
        <f t="shared" si="82"/>
        <v>26/27</v>
      </c>
      <c r="AJ95" s="237" t="str">
        <f t="shared" si="82"/>
        <v>27/28</v>
      </c>
      <c r="AK95" s="237" t="str">
        <f t="shared" si="82"/>
        <v>28/29</v>
      </c>
      <c r="AL95" s="237" t="str">
        <f t="shared" si="82"/>
        <v>29/30</v>
      </c>
      <c r="AM95" s="237" t="str">
        <f t="shared" si="82"/>
        <v>30/31</v>
      </c>
    </row>
    <row r="96" spans="1:40">
      <c r="A96" s="240" t="s">
        <v>239</v>
      </c>
      <c r="B96" s="290">
        <f t="shared" ref="B96:AA105" si="83">B82*B112</f>
        <v>407.46907216494844</v>
      </c>
      <c r="C96" s="290">
        <f t="shared" si="83"/>
        <v>381.19435975609758</v>
      </c>
      <c r="D96" s="290">
        <f t="shared" si="83"/>
        <v>410.23449106605096</v>
      </c>
      <c r="E96" s="290">
        <f t="shared" si="83"/>
        <v>414.61525509345</v>
      </c>
      <c r="F96" s="290">
        <f t="shared" si="83"/>
        <v>408.64783991023</v>
      </c>
      <c r="G96" s="290">
        <f t="shared" si="83"/>
        <v>423.33083270817707</v>
      </c>
      <c r="H96" s="290">
        <f t="shared" si="83"/>
        <v>387.02896466721444</v>
      </c>
      <c r="I96" s="290">
        <f t="shared" si="83"/>
        <v>368.41052631578947</v>
      </c>
      <c r="J96" s="290">
        <f t="shared" si="83"/>
        <v>349.8540076335878</v>
      </c>
      <c r="K96" s="290">
        <f t="shared" si="83"/>
        <v>324.50581395348837</v>
      </c>
      <c r="L96" s="290">
        <f t="shared" si="83"/>
        <v>371.42486270594105</v>
      </c>
      <c r="M96" s="290">
        <f t="shared" si="83"/>
        <v>343.17725873619412</v>
      </c>
      <c r="N96" s="290">
        <f t="shared" si="83"/>
        <v>344.21866269323897</v>
      </c>
      <c r="O96" s="290">
        <f t="shared" si="83"/>
        <v>333.40563835518043</v>
      </c>
      <c r="P96" s="290">
        <f t="shared" si="83"/>
        <v>263.41716302669312</v>
      </c>
      <c r="Q96" s="290">
        <f t="shared" si="83"/>
        <v>336.64592094196803</v>
      </c>
      <c r="R96" s="290">
        <f t="shared" si="83"/>
        <v>341.00641848523748</v>
      </c>
      <c r="S96" s="290">
        <f t="shared" si="83"/>
        <v>355.68151260504203</v>
      </c>
      <c r="T96" s="290">
        <f t="shared" si="83"/>
        <v>420.84019153074968</v>
      </c>
      <c r="U96" s="290">
        <f t="shared" si="83"/>
        <v>368.18396072013098</v>
      </c>
      <c r="V96" s="290">
        <f t="shared" si="83"/>
        <v>420.30297422339726</v>
      </c>
      <c r="W96" s="290">
        <f t="shared" si="83"/>
        <v>449.82000000000005</v>
      </c>
      <c r="X96" s="290">
        <f t="shared" si="83"/>
        <v>451.98</v>
      </c>
      <c r="Y96" s="290">
        <f t="shared" si="83"/>
        <v>462.24</v>
      </c>
      <c r="Z96" s="290">
        <f t="shared" si="83"/>
        <v>546.85888820372236</v>
      </c>
      <c r="AA96" s="290">
        <f t="shared" si="83"/>
        <v>460.62</v>
      </c>
      <c r="AB96" s="290">
        <f>AB82*AB112</f>
        <v>505.44000000000005</v>
      </c>
      <c r="AC96" s="290">
        <f>AC82*AC112</f>
        <v>462.24</v>
      </c>
      <c r="AD96" s="290">
        <f>AD82*AD112</f>
        <v>490.86</v>
      </c>
      <c r="AE96" s="290">
        <f>AE82*AE112</f>
        <v>489.14677679816288</v>
      </c>
      <c r="AF96" s="290">
        <f>AF82*AF112</f>
        <v>511.95236917048294</v>
      </c>
      <c r="AG96" s="252">
        <f t="shared" ref="AG96:AG106" si="84">(SUM(AA96:AE96)/SUM(AA$108:AE$108))*AG$108</f>
        <v>449.16335017755654</v>
      </c>
      <c r="AH96" s="252">
        <f t="shared" ref="AH96:AH106" si="85">(SUM(AB96:AF96)/SUM(AB$108:AF$108))*AH$108</f>
        <v>517.52582737322803</v>
      </c>
      <c r="AI96" s="252">
        <f t="shared" ref="AI96:AM106" si="86">(SUM(AC96:AG96)/SUM(AC$108:AG$108))*AI$108</f>
        <v>510.42037593490255</v>
      </c>
      <c r="AJ96" s="252">
        <f t="shared" si="86"/>
        <v>513.25169501532469</v>
      </c>
      <c r="AK96" s="252">
        <f t="shared" si="86"/>
        <v>522.56636402937704</v>
      </c>
      <c r="AL96" s="252">
        <f t="shared" si="86"/>
        <v>532.39528348843714</v>
      </c>
      <c r="AM96" s="252">
        <f t="shared" si="86"/>
        <v>531.50930286333278</v>
      </c>
    </row>
    <row r="97" spans="1:39">
      <c r="A97" s="240" t="s">
        <v>240</v>
      </c>
      <c r="B97" s="290">
        <f t="shared" si="83"/>
        <v>317.78350515463916</v>
      </c>
      <c r="C97" s="290">
        <f t="shared" si="83"/>
        <v>339.96589176829275</v>
      </c>
      <c r="D97" s="290">
        <f t="shared" si="83"/>
        <v>354.93876731580008</v>
      </c>
      <c r="E97" s="290">
        <f t="shared" si="83"/>
        <v>402.17679744064657</v>
      </c>
      <c r="F97" s="290">
        <f t="shared" si="83"/>
        <v>386.50084159341685</v>
      </c>
      <c r="G97" s="290">
        <f t="shared" si="83"/>
        <v>404.80120030007504</v>
      </c>
      <c r="H97" s="290">
        <f t="shared" si="83"/>
        <v>320.37818405916187</v>
      </c>
      <c r="I97" s="290">
        <f t="shared" si="83"/>
        <v>332.7578947368421</v>
      </c>
      <c r="J97" s="290">
        <f t="shared" si="83"/>
        <v>287.42652671755729</v>
      </c>
      <c r="K97" s="290">
        <f t="shared" si="83"/>
        <v>293.91715116279067</v>
      </c>
      <c r="L97" s="290">
        <f t="shared" si="83"/>
        <v>374.68297553669493</v>
      </c>
      <c r="M97" s="290">
        <f t="shared" si="83"/>
        <v>326.34419699438712</v>
      </c>
      <c r="N97" s="290">
        <f t="shared" si="83"/>
        <v>323.58726019742966</v>
      </c>
      <c r="O97" s="290">
        <f t="shared" si="83"/>
        <v>326.34656132160171</v>
      </c>
      <c r="P97" s="290">
        <f t="shared" si="83"/>
        <v>249.83895874696668</v>
      </c>
      <c r="Q97" s="290">
        <f t="shared" si="83"/>
        <v>320.35660218671154</v>
      </c>
      <c r="R97" s="290">
        <f t="shared" si="83"/>
        <v>339.92041078305516</v>
      </c>
      <c r="S97" s="290">
        <f t="shared" si="83"/>
        <v>360.5687394957983</v>
      </c>
      <c r="T97" s="290">
        <f t="shared" si="83"/>
        <v>401.83450546161902</v>
      </c>
      <c r="U97" s="290">
        <f t="shared" si="83"/>
        <v>305.73387888707038</v>
      </c>
      <c r="V97" s="290">
        <f t="shared" si="83"/>
        <v>402.38307997356247</v>
      </c>
      <c r="W97" s="290">
        <f t="shared" si="83"/>
        <v>429.84000000000003</v>
      </c>
      <c r="X97" s="290">
        <f t="shared" si="83"/>
        <v>407.70000000000005</v>
      </c>
      <c r="Y97" s="290">
        <f t="shared" si="83"/>
        <v>432.60425157414397</v>
      </c>
      <c r="Z97" s="290">
        <f t="shared" si="83"/>
        <v>504.47978011095245</v>
      </c>
      <c r="AA97" s="290">
        <f t="shared" si="83"/>
        <v>427.14000000000004</v>
      </c>
      <c r="AB97" s="290">
        <f t="shared" ref="AB97:AF104" si="87">AB83*AB113</f>
        <v>460.08000000000004</v>
      </c>
      <c r="AC97" s="290">
        <f t="shared" si="87"/>
        <v>437.40000000000003</v>
      </c>
      <c r="AD97" s="290">
        <f t="shared" si="87"/>
        <v>478.44000000000005</v>
      </c>
      <c r="AE97" s="290">
        <f t="shared" si="87"/>
        <v>476.99516502056224</v>
      </c>
      <c r="AF97" s="290">
        <f t="shared" si="87"/>
        <v>479.05166624390586</v>
      </c>
      <c r="AG97" s="252">
        <f t="shared" si="84"/>
        <v>425.24367176836091</v>
      </c>
      <c r="AH97" s="252">
        <f t="shared" si="85"/>
        <v>490.66265095638261</v>
      </c>
      <c r="AI97" s="252">
        <f t="shared" si="86"/>
        <v>487.8590794396012</v>
      </c>
      <c r="AJ97" s="252">
        <f t="shared" si="86"/>
        <v>490.6530383778346</v>
      </c>
      <c r="AK97" s="252">
        <f t="shared" si="86"/>
        <v>497.60074641270637</v>
      </c>
      <c r="AL97" s="252">
        <f t="shared" si="86"/>
        <v>504.98238167666739</v>
      </c>
      <c r="AM97" s="252">
        <f t="shared" si="86"/>
        <v>505.93596256196685</v>
      </c>
    </row>
    <row r="98" spans="1:39">
      <c r="A98" s="240" t="s">
        <v>241</v>
      </c>
      <c r="B98" s="290">
        <f t="shared" si="83"/>
        <v>291.65463917525773</v>
      </c>
      <c r="C98" s="290">
        <f t="shared" si="83"/>
        <v>341.99352134146341</v>
      </c>
      <c r="D98" s="290">
        <f t="shared" si="83"/>
        <v>348.9608512346918</v>
      </c>
      <c r="E98" s="290">
        <f t="shared" si="83"/>
        <v>379.37295841050678</v>
      </c>
      <c r="F98" s="290">
        <f t="shared" si="83"/>
        <v>397.93155040209462</v>
      </c>
      <c r="G98" s="290">
        <f t="shared" si="83"/>
        <v>409.78994748687177</v>
      </c>
      <c r="H98" s="290">
        <f t="shared" si="83"/>
        <v>343.10004108463431</v>
      </c>
      <c r="I98" s="290">
        <f t="shared" si="83"/>
        <v>322.75013850415513</v>
      </c>
      <c r="J98" s="290">
        <f t="shared" si="83"/>
        <v>267.26765267175574</v>
      </c>
      <c r="K98" s="290">
        <f t="shared" si="83"/>
        <v>281.94767441860466</v>
      </c>
      <c r="L98" s="290">
        <f t="shared" si="83"/>
        <v>351.33316691629221</v>
      </c>
      <c r="M98" s="290">
        <f t="shared" si="83"/>
        <v>294.85008147745793</v>
      </c>
      <c r="N98" s="290">
        <f t="shared" si="83"/>
        <v>288.83963494132985</v>
      </c>
      <c r="O98" s="290">
        <f t="shared" si="83"/>
        <v>311.14239540312445</v>
      </c>
      <c r="P98" s="290">
        <f t="shared" si="83"/>
        <v>220.51003750275754</v>
      </c>
      <c r="Q98" s="290">
        <f t="shared" si="83"/>
        <v>312.21194280908327</v>
      </c>
      <c r="R98" s="290">
        <f t="shared" si="83"/>
        <v>330.68934531450577</v>
      </c>
      <c r="S98" s="290">
        <f t="shared" si="83"/>
        <v>336.13260504201679</v>
      </c>
      <c r="T98" s="290">
        <f t="shared" si="83"/>
        <v>393.68921143199162</v>
      </c>
      <c r="U98" s="290">
        <f t="shared" si="83"/>
        <v>301.93256955810148</v>
      </c>
      <c r="V98" s="290">
        <f t="shared" si="83"/>
        <v>417.04481163251819</v>
      </c>
      <c r="W98" s="290">
        <f t="shared" si="83"/>
        <v>385.56</v>
      </c>
      <c r="X98" s="290">
        <f t="shared" si="83"/>
        <v>359.64000000000004</v>
      </c>
      <c r="Y98" s="290">
        <f t="shared" si="83"/>
        <v>417.5421172442222</v>
      </c>
      <c r="Z98" s="290">
        <f t="shared" si="83"/>
        <v>481.18530347717831</v>
      </c>
      <c r="AA98" s="290">
        <f t="shared" si="83"/>
        <v>420.66</v>
      </c>
      <c r="AB98" s="290">
        <f t="shared" si="87"/>
        <v>468.72</v>
      </c>
      <c r="AC98" s="290">
        <f t="shared" si="87"/>
        <v>425.52000000000004</v>
      </c>
      <c r="AD98" s="290">
        <f t="shared" si="87"/>
        <v>468.18</v>
      </c>
      <c r="AE98" s="290">
        <f t="shared" si="87"/>
        <v>466.28183598332998</v>
      </c>
      <c r="AF98" s="290">
        <f t="shared" si="87"/>
        <v>470.06776472423383</v>
      </c>
      <c r="AG98" s="252">
        <f t="shared" si="84"/>
        <v>419.51918573888821</v>
      </c>
      <c r="AH98" s="252">
        <f t="shared" si="85"/>
        <v>483.67771406487947</v>
      </c>
      <c r="AI98" s="252">
        <f t="shared" si="86"/>
        <v>477.75803588123028</v>
      </c>
      <c r="AJ98" s="252">
        <f t="shared" si="86"/>
        <v>481.74622075423633</v>
      </c>
      <c r="AK98" s="252">
        <f t="shared" si="86"/>
        <v>488.6373799745258</v>
      </c>
      <c r="AL98" s="252">
        <f t="shared" si="86"/>
        <v>496.32274800611543</v>
      </c>
      <c r="AM98" s="252">
        <f t="shared" si="86"/>
        <v>497.3315984325248</v>
      </c>
    </row>
    <row r="99" spans="1:39">
      <c r="A99" s="240" t="s">
        <v>231</v>
      </c>
      <c r="B99" s="290">
        <f t="shared" si="83"/>
        <v>280.35567010309279</v>
      </c>
      <c r="C99" s="290">
        <f t="shared" si="83"/>
        <v>316.31021341463418</v>
      </c>
      <c r="D99" s="290">
        <f t="shared" si="83"/>
        <v>354.93876731580008</v>
      </c>
      <c r="E99" s="290">
        <f t="shared" si="83"/>
        <v>364.86142448223603</v>
      </c>
      <c r="F99" s="290">
        <f t="shared" si="83"/>
        <v>401.50364690480643</v>
      </c>
      <c r="G99" s="290">
        <f t="shared" si="83"/>
        <v>391.97299324831215</v>
      </c>
      <c r="H99" s="290">
        <f t="shared" si="83"/>
        <v>332.49650780608056</v>
      </c>
      <c r="I99" s="290">
        <f t="shared" si="83"/>
        <v>309.61495844875344</v>
      </c>
      <c r="J99" s="290">
        <f t="shared" si="83"/>
        <v>267.26765267175574</v>
      </c>
      <c r="K99" s="290">
        <f t="shared" si="83"/>
        <v>246.03924418604652</v>
      </c>
      <c r="L99" s="290">
        <f t="shared" si="83"/>
        <v>330.15543351639207</v>
      </c>
      <c r="M99" s="290">
        <f t="shared" si="83"/>
        <v>294.85008147745793</v>
      </c>
      <c r="N99" s="290">
        <f t="shared" si="83"/>
        <v>282.8673868504377</v>
      </c>
      <c r="O99" s="290">
        <f t="shared" si="83"/>
        <v>297.56724726162685</v>
      </c>
      <c r="P99" s="290">
        <f t="shared" si="83"/>
        <v>216.70814030443412</v>
      </c>
      <c r="Q99" s="290">
        <f t="shared" si="83"/>
        <v>312.21194280908327</v>
      </c>
      <c r="R99" s="290">
        <f t="shared" si="83"/>
        <v>297.56611039794609</v>
      </c>
      <c r="S99" s="290">
        <f t="shared" si="83"/>
        <v>296.49176470588236</v>
      </c>
      <c r="T99" s="290">
        <f t="shared" si="83"/>
        <v>369.25332934310939</v>
      </c>
      <c r="U99" s="290">
        <f t="shared" si="83"/>
        <v>265.54860883797056</v>
      </c>
      <c r="V99" s="290">
        <f t="shared" si="83"/>
        <v>391.52253800396568</v>
      </c>
      <c r="W99" s="290">
        <f t="shared" si="83"/>
        <v>423.36</v>
      </c>
      <c r="X99" s="290">
        <f t="shared" si="83"/>
        <v>318.60000000000002</v>
      </c>
      <c r="Y99" s="290">
        <f t="shared" si="83"/>
        <v>397.54157821596561</v>
      </c>
      <c r="Z99" s="290">
        <f t="shared" si="83"/>
        <v>458.03115501589679</v>
      </c>
      <c r="AA99" s="290">
        <f t="shared" si="83"/>
        <v>417.42</v>
      </c>
      <c r="AB99" s="290">
        <f t="shared" si="87"/>
        <v>435.78000000000003</v>
      </c>
      <c r="AC99" s="290">
        <f t="shared" si="87"/>
        <v>371.52000000000004</v>
      </c>
      <c r="AD99" s="290">
        <f t="shared" si="87"/>
        <v>419.04</v>
      </c>
      <c r="AE99" s="290">
        <f t="shared" si="87"/>
        <v>436.5697088071729</v>
      </c>
      <c r="AF99" s="290">
        <f t="shared" si="87"/>
        <v>436.33768032317778</v>
      </c>
      <c r="AG99" s="252">
        <f t="shared" si="84"/>
        <v>387.99370183395945</v>
      </c>
      <c r="AH99" s="252">
        <f t="shared" si="85"/>
        <v>441.69680080974882</v>
      </c>
      <c r="AI99" s="252">
        <f t="shared" si="86"/>
        <v>435.68439756585525</v>
      </c>
      <c r="AJ99" s="252">
        <f t="shared" si="86"/>
        <v>442.89955328097579</v>
      </c>
      <c r="AK99" s="252">
        <f t="shared" si="86"/>
        <v>450.88793427882251</v>
      </c>
      <c r="AL99" s="252">
        <f t="shared" si="86"/>
        <v>456.29028147837465</v>
      </c>
      <c r="AM99" s="252">
        <f t="shared" si="86"/>
        <v>456.68442249175388</v>
      </c>
    </row>
    <row r="100" spans="1:39">
      <c r="A100" s="240" t="s">
        <v>232</v>
      </c>
      <c r="B100" s="290">
        <f t="shared" si="83"/>
        <v>269.0567010309278</v>
      </c>
      <c r="C100" s="290">
        <f t="shared" si="83"/>
        <v>289.2751524390244</v>
      </c>
      <c r="D100" s="290">
        <f t="shared" si="83"/>
        <v>328.03814495081309</v>
      </c>
      <c r="E100" s="290">
        <f t="shared" si="83"/>
        <v>375.22680585957227</v>
      </c>
      <c r="F100" s="290">
        <f t="shared" si="83"/>
        <v>350.77987656629887</v>
      </c>
      <c r="G100" s="290">
        <f t="shared" si="83"/>
        <v>351.35033758439613</v>
      </c>
      <c r="H100" s="290">
        <f t="shared" si="83"/>
        <v>341.58525061626949</v>
      </c>
      <c r="I100" s="290">
        <f t="shared" si="83"/>
        <v>283.34459833795012</v>
      </c>
      <c r="J100" s="290">
        <f t="shared" si="83"/>
        <v>210.69274809160308</v>
      </c>
      <c r="K100" s="290">
        <f t="shared" si="83"/>
        <v>234.73473837209301</v>
      </c>
      <c r="L100" s="290">
        <f t="shared" si="83"/>
        <v>286.71392910634046</v>
      </c>
      <c r="M100" s="290">
        <f t="shared" si="83"/>
        <v>254.66793409378963</v>
      </c>
      <c r="N100" s="290">
        <f t="shared" si="83"/>
        <v>248.66269323896441</v>
      </c>
      <c r="O100" s="290">
        <f t="shared" si="83"/>
        <v>260.64284431675344</v>
      </c>
      <c r="P100" s="290">
        <f t="shared" si="83"/>
        <v>206.38870505184204</v>
      </c>
      <c r="Q100" s="290">
        <f t="shared" si="83"/>
        <v>276.91841883936081</v>
      </c>
      <c r="R100" s="290">
        <f t="shared" si="83"/>
        <v>286.16302952503207</v>
      </c>
      <c r="S100" s="290">
        <f t="shared" si="83"/>
        <v>289.43243697478988</v>
      </c>
      <c r="T100" s="290">
        <f t="shared" si="83"/>
        <v>317.66646715546909</v>
      </c>
      <c r="U100" s="290">
        <f t="shared" si="83"/>
        <v>260.66121112929625</v>
      </c>
      <c r="V100" s="290">
        <f t="shared" si="83"/>
        <v>396.40978189028425</v>
      </c>
      <c r="W100" s="290">
        <f t="shared" si="83"/>
        <v>370.44</v>
      </c>
      <c r="X100" s="290">
        <f t="shared" si="83"/>
        <v>272.16000000000003</v>
      </c>
      <c r="Y100" s="290">
        <f t="shared" si="83"/>
        <v>372.10879401954048</v>
      </c>
      <c r="Z100" s="290">
        <f t="shared" si="83"/>
        <v>418.87959489045704</v>
      </c>
      <c r="AA100" s="290">
        <f t="shared" si="83"/>
        <v>409.32000000000005</v>
      </c>
      <c r="AB100" s="290">
        <f t="shared" si="87"/>
        <v>437.40000000000003</v>
      </c>
      <c r="AC100" s="290">
        <f t="shared" si="87"/>
        <v>313.74</v>
      </c>
      <c r="AD100" s="290">
        <f t="shared" si="87"/>
        <v>390.96000000000004</v>
      </c>
      <c r="AE100" s="290">
        <f t="shared" si="87"/>
        <v>407.85820382299391</v>
      </c>
      <c r="AF100" s="290">
        <f t="shared" si="87"/>
        <v>409.03966729734213</v>
      </c>
      <c r="AG100" s="252">
        <f t="shared" si="84"/>
        <v>365.41688560500029</v>
      </c>
      <c r="AH100" s="252">
        <f t="shared" si="85"/>
        <v>412.18729004846801</v>
      </c>
      <c r="AI100" s="252">
        <f t="shared" si="86"/>
        <v>400.75967860316604</v>
      </c>
      <c r="AJ100" s="252">
        <f t="shared" si="86"/>
        <v>414.47235505261051</v>
      </c>
      <c r="AK100" s="252">
        <f t="shared" si="86"/>
        <v>420.72996731340805</v>
      </c>
      <c r="AL100" s="252">
        <f t="shared" si="86"/>
        <v>425.92154209127</v>
      </c>
      <c r="AM100" s="252">
        <f t="shared" si="86"/>
        <v>425.88936882595954</v>
      </c>
    </row>
    <row r="101" spans="1:39">
      <c r="A101" s="240" t="s">
        <v>233</v>
      </c>
      <c r="B101" s="290">
        <f t="shared" si="83"/>
        <v>276.11855670103091</v>
      </c>
      <c r="C101" s="290">
        <f t="shared" si="83"/>
        <v>344.02115091463418</v>
      </c>
      <c r="D101" s="290">
        <f t="shared" si="83"/>
        <v>328.7853844609516</v>
      </c>
      <c r="E101" s="290">
        <f t="shared" si="83"/>
        <v>424.98063647078629</v>
      </c>
      <c r="F101" s="290">
        <f t="shared" si="83"/>
        <v>371.49803628202727</v>
      </c>
      <c r="G101" s="290">
        <f t="shared" si="83"/>
        <v>310.01500375093775</v>
      </c>
      <c r="H101" s="290">
        <f t="shared" si="83"/>
        <v>340.07046014790467</v>
      </c>
      <c r="I101" s="290">
        <f t="shared" si="83"/>
        <v>292.10138504155123</v>
      </c>
      <c r="J101" s="290">
        <f t="shared" si="83"/>
        <v>180.12929389312978</v>
      </c>
      <c r="K101" s="290">
        <f t="shared" si="83"/>
        <v>212.7906976744186</v>
      </c>
      <c r="L101" s="290">
        <f t="shared" si="83"/>
        <v>291.05807954734564</v>
      </c>
      <c r="M101" s="290">
        <f t="shared" si="83"/>
        <v>264.98497193554232</v>
      </c>
      <c r="N101" s="290">
        <f t="shared" si="83"/>
        <v>247.03389830508473</v>
      </c>
      <c r="O101" s="290">
        <f t="shared" si="83"/>
        <v>276.93302208655052</v>
      </c>
      <c r="P101" s="290">
        <f t="shared" si="83"/>
        <v>206.38870505184204</v>
      </c>
      <c r="Q101" s="290">
        <f t="shared" si="83"/>
        <v>301.35239697224557</v>
      </c>
      <c r="R101" s="290">
        <f t="shared" si="83"/>
        <v>264.98587933247751</v>
      </c>
      <c r="S101" s="290">
        <f t="shared" si="83"/>
        <v>288.88941176470587</v>
      </c>
      <c r="T101" s="290">
        <f t="shared" si="83"/>
        <v>350.24764327397878</v>
      </c>
      <c r="U101" s="290">
        <f t="shared" si="83"/>
        <v>268.80687397708675</v>
      </c>
      <c r="V101" s="290">
        <f t="shared" si="83"/>
        <v>381.74805023132853</v>
      </c>
      <c r="W101" s="290">
        <f t="shared" si="83"/>
        <v>358.02000000000004</v>
      </c>
      <c r="X101" s="290">
        <f t="shared" si="83"/>
        <v>308.88</v>
      </c>
      <c r="Y101" s="290">
        <f t="shared" si="83"/>
        <v>375.07183683854146</v>
      </c>
      <c r="Z101" s="290">
        <f t="shared" si="83"/>
        <v>431.93011493227033</v>
      </c>
      <c r="AA101" s="290">
        <f t="shared" si="83"/>
        <v>412.02000000000004</v>
      </c>
      <c r="AB101" s="290">
        <f t="shared" si="87"/>
        <v>417.42</v>
      </c>
      <c r="AC101" s="290">
        <f t="shared" si="87"/>
        <v>410.40000000000003</v>
      </c>
      <c r="AD101" s="290">
        <f t="shared" si="87"/>
        <v>472.50000000000006</v>
      </c>
      <c r="AE101" s="290">
        <f t="shared" si="87"/>
        <v>456.11558046573469</v>
      </c>
      <c r="AF101" s="290">
        <f t="shared" si="87"/>
        <v>445.15643036321751</v>
      </c>
      <c r="AG101" s="252">
        <f t="shared" si="84"/>
        <v>404.42969418045874</v>
      </c>
      <c r="AH101" s="252">
        <f t="shared" si="85"/>
        <v>463.23084782984938</v>
      </c>
      <c r="AI101" s="252">
        <f t="shared" si="86"/>
        <v>464.80999301352</v>
      </c>
      <c r="AJ101" s="252">
        <f t="shared" si="86"/>
        <v>467.90712034835053</v>
      </c>
      <c r="AK101" s="252">
        <f t="shared" si="86"/>
        <v>471.01711838112351</v>
      </c>
      <c r="AL101" s="252">
        <f t="shared" si="86"/>
        <v>477.76255850396461</v>
      </c>
      <c r="AM101" s="252">
        <f t="shared" si="86"/>
        <v>480.42269371594784</v>
      </c>
    </row>
    <row r="102" spans="1:39">
      <c r="A102" s="240" t="s">
        <v>234</v>
      </c>
      <c r="B102" s="290">
        <f t="shared" si="83"/>
        <v>247.87113402061854</v>
      </c>
      <c r="C102" s="290">
        <f t="shared" si="83"/>
        <v>308.19969512195121</v>
      </c>
      <c r="D102" s="290">
        <f t="shared" si="83"/>
        <v>334.01606103192131</v>
      </c>
      <c r="E102" s="290">
        <f t="shared" si="83"/>
        <v>354.4960431048998</v>
      </c>
      <c r="F102" s="290">
        <f t="shared" si="83"/>
        <v>305.05704133158775</v>
      </c>
      <c r="G102" s="290">
        <f t="shared" si="83"/>
        <v>312.86571642910729</v>
      </c>
      <c r="H102" s="290">
        <f t="shared" si="83"/>
        <v>299.9285127362366</v>
      </c>
      <c r="I102" s="290">
        <f t="shared" si="83"/>
        <v>268.95844875346262</v>
      </c>
      <c r="J102" s="290">
        <f t="shared" si="83"/>
        <v>182.73043893129773</v>
      </c>
      <c r="K102" s="290">
        <f t="shared" si="83"/>
        <v>199.49127906976744</v>
      </c>
      <c r="L102" s="290">
        <f t="shared" si="83"/>
        <v>249.78865035779663</v>
      </c>
      <c r="M102" s="290">
        <f t="shared" si="83"/>
        <v>228.60383849357234</v>
      </c>
      <c r="N102" s="290">
        <f t="shared" si="83"/>
        <v>212.82920469361147</v>
      </c>
      <c r="O102" s="290">
        <f t="shared" si="83"/>
        <v>230.23451247979889</v>
      </c>
      <c r="P102" s="290">
        <f t="shared" si="83"/>
        <v>162.39532318552833</v>
      </c>
      <c r="Q102" s="290">
        <f t="shared" si="83"/>
        <v>290.49285113540788</v>
      </c>
      <c r="R102" s="290">
        <f t="shared" si="83"/>
        <v>241.09370988446724</v>
      </c>
      <c r="S102" s="290">
        <f t="shared" si="83"/>
        <v>272.05563025210085</v>
      </c>
      <c r="T102" s="290">
        <f t="shared" si="83"/>
        <v>285.08529103695946</v>
      </c>
      <c r="U102" s="290">
        <f t="shared" si="83"/>
        <v>266.09165302782327</v>
      </c>
      <c r="V102" s="290">
        <f t="shared" si="83"/>
        <v>325.27323198942503</v>
      </c>
      <c r="W102" s="290">
        <f t="shared" si="83"/>
        <v>354.78000000000003</v>
      </c>
      <c r="X102" s="290">
        <f t="shared" si="83"/>
        <v>278.10000000000002</v>
      </c>
      <c r="Y102" s="290">
        <f t="shared" si="83"/>
        <v>342.23144559461383</v>
      </c>
      <c r="Z102" s="290">
        <f t="shared" si="83"/>
        <v>390.95428856442658</v>
      </c>
      <c r="AA102" s="290">
        <f t="shared" si="83"/>
        <v>397.44000000000005</v>
      </c>
      <c r="AB102" s="290">
        <f t="shared" si="87"/>
        <v>394.74</v>
      </c>
      <c r="AC102" s="290">
        <f t="shared" si="87"/>
        <v>358.56</v>
      </c>
      <c r="AD102" s="290">
        <f t="shared" si="87"/>
        <v>464.94000000000005</v>
      </c>
      <c r="AE102" s="290">
        <f t="shared" si="87"/>
        <v>473.81154385021216</v>
      </c>
      <c r="AF102" s="290">
        <f t="shared" si="87"/>
        <v>416.58285060321788</v>
      </c>
      <c r="AG102" s="252">
        <f t="shared" si="84"/>
        <v>389.70243784772288</v>
      </c>
      <c r="AH102" s="252">
        <f t="shared" si="85"/>
        <v>443.67189447515329</v>
      </c>
      <c r="AI102" s="252">
        <f t="shared" si="86"/>
        <v>446.75686155556446</v>
      </c>
      <c r="AJ102" s="252">
        <f t="shared" si="86"/>
        <v>456.90083171583552</v>
      </c>
      <c r="AK102" s="252">
        <f t="shared" si="86"/>
        <v>457.68690303486341</v>
      </c>
      <c r="AL102" s="252">
        <f t="shared" si="86"/>
        <v>458.20571587865749</v>
      </c>
      <c r="AM102" s="252">
        <f t="shared" si="86"/>
        <v>464.2049862160635</v>
      </c>
    </row>
    <row r="103" spans="1:39">
      <c r="A103" s="240" t="s">
        <v>46</v>
      </c>
      <c r="B103" s="290">
        <f t="shared" si="83"/>
        <v>259.17010309278351</v>
      </c>
      <c r="C103" s="290">
        <f t="shared" si="83"/>
        <v>334.55887957317077</v>
      </c>
      <c r="D103" s="290">
        <f t="shared" si="83"/>
        <v>321.31298935956636</v>
      </c>
      <c r="E103" s="290">
        <f t="shared" si="83"/>
        <v>355.18706853005551</v>
      </c>
      <c r="F103" s="290">
        <f t="shared" si="83"/>
        <v>310.05797643538432</v>
      </c>
      <c r="G103" s="290">
        <f t="shared" si="83"/>
        <v>332.10802700675174</v>
      </c>
      <c r="H103" s="290">
        <f t="shared" si="83"/>
        <v>346.12962202136396</v>
      </c>
      <c r="I103" s="290">
        <f t="shared" si="83"/>
        <v>267.7074792243767</v>
      </c>
      <c r="J103" s="290">
        <f t="shared" si="83"/>
        <v>200.28816793893131</v>
      </c>
      <c r="K103" s="290">
        <f t="shared" si="83"/>
        <v>206.80595930232556</v>
      </c>
      <c r="L103" s="290">
        <f t="shared" si="83"/>
        <v>276.39657180895324</v>
      </c>
      <c r="M103" s="290">
        <f t="shared" si="83"/>
        <v>216.11479268513492</v>
      </c>
      <c r="N103" s="290">
        <f t="shared" si="83"/>
        <v>201.97057180108027</v>
      </c>
      <c r="O103" s="290">
        <f t="shared" si="83"/>
        <v>230.77751840545878</v>
      </c>
      <c r="P103" s="290">
        <f t="shared" si="83"/>
        <v>155.87778513125963</v>
      </c>
      <c r="Q103" s="290">
        <f t="shared" si="83"/>
        <v>271.48864592094196</v>
      </c>
      <c r="R103" s="290">
        <f t="shared" si="83"/>
        <v>207.42747111681643</v>
      </c>
      <c r="S103" s="290">
        <f t="shared" si="83"/>
        <v>240.01714285714286</v>
      </c>
      <c r="T103" s="290">
        <f t="shared" si="83"/>
        <v>238.92862486907077</v>
      </c>
      <c r="U103" s="290">
        <f t="shared" si="83"/>
        <v>253.60163666121116</v>
      </c>
      <c r="V103" s="290">
        <f t="shared" si="83"/>
        <v>352.4245869134171</v>
      </c>
      <c r="W103" s="290">
        <f t="shared" si="83"/>
        <v>327.24</v>
      </c>
      <c r="X103" s="290">
        <f t="shared" si="83"/>
        <v>274.32</v>
      </c>
      <c r="Y103" s="290">
        <f t="shared" si="83"/>
        <v>321.49014586160695</v>
      </c>
      <c r="Z103" s="290">
        <f t="shared" si="83"/>
        <v>374.67622055528318</v>
      </c>
      <c r="AA103" s="290">
        <f t="shared" si="83"/>
        <v>388.8</v>
      </c>
      <c r="AB103" s="290">
        <f t="shared" si="87"/>
        <v>353.16</v>
      </c>
      <c r="AC103" s="290">
        <f t="shared" si="87"/>
        <v>352.08000000000004</v>
      </c>
      <c r="AD103" s="290">
        <f t="shared" si="87"/>
        <v>443.34000000000003</v>
      </c>
      <c r="AE103" s="290">
        <f t="shared" si="87"/>
        <v>425.92724265557899</v>
      </c>
      <c r="AF103" s="290">
        <f t="shared" si="87"/>
        <v>396.94818104717189</v>
      </c>
      <c r="AG103" s="252">
        <f t="shared" si="84"/>
        <v>366.16832499697233</v>
      </c>
      <c r="AH103" s="252">
        <f t="shared" si="85"/>
        <v>414.80844901718353</v>
      </c>
      <c r="AI103" s="252">
        <f t="shared" si="86"/>
        <v>421.4556623333782</v>
      </c>
      <c r="AJ103" s="252">
        <f t="shared" si="86"/>
        <v>427.35874644987479</v>
      </c>
      <c r="AK103" s="252">
        <f t="shared" si="86"/>
        <v>427.06563200251526</v>
      </c>
      <c r="AL103" s="252">
        <f t="shared" si="86"/>
        <v>431.21152782411372</v>
      </c>
      <c r="AM103" s="252">
        <f t="shared" si="86"/>
        <v>435.0457714232237</v>
      </c>
    </row>
    <row r="104" spans="1:39">
      <c r="A104" s="240" t="s">
        <v>235</v>
      </c>
      <c r="B104" s="290">
        <f t="shared" si="83"/>
        <v>236.5721649484536</v>
      </c>
      <c r="C104" s="290">
        <f t="shared" si="83"/>
        <v>289.95102896341467</v>
      </c>
      <c r="D104" s="290">
        <f t="shared" si="83"/>
        <v>337.00501907247542</v>
      </c>
      <c r="E104" s="290">
        <f t="shared" si="83"/>
        <v>297.14093281697251</v>
      </c>
      <c r="F104" s="290">
        <f t="shared" si="83"/>
        <v>258.61978679633438</v>
      </c>
      <c r="G104" s="290">
        <f t="shared" si="83"/>
        <v>297.18679669917486</v>
      </c>
      <c r="H104" s="290">
        <f t="shared" si="83"/>
        <v>331.73911257189815</v>
      </c>
      <c r="I104" s="290">
        <f t="shared" si="83"/>
        <v>257.07423822714679</v>
      </c>
      <c r="J104" s="290">
        <f t="shared" si="83"/>
        <v>165.82299618320613</v>
      </c>
      <c r="K104" s="290">
        <f t="shared" si="83"/>
        <v>187.5218023255814</v>
      </c>
      <c r="L104" s="290">
        <f t="shared" si="83"/>
        <v>238.92827425528372</v>
      </c>
      <c r="M104" s="290">
        <f t="shared" si="83"/>
        <v>229.14684048524353</v>
      </c>
      <c r="N104" s="290">
        <f t="shared" si="83"/>
        <v>205.22816166883962</v>
      </c>
      <c r="O104" s="290">
        <f t="shared" si="83"/>
        <v>195.48213323756508</v>
      </c>
      <c r="P104" s="290">
        <f t="shared" si="83"/>
        <v>171.08537392455327</v>
      </c>
      <c r="Q104" s="290">
        <f t="shared" si="83"/>
        <v>249.7695542472666</v>
      </c>
      <c r="R104" s="290">
        <f t="shared" si="83"/>
        <v>212.85750962772784</v>
      </c>
      <c r="S104" s="290">
        <f t="shared" si="83"/>
        <v>215.58100840336132</v>
      </c>
      <c r="T104" s="290">
        <f t="shared" si="83"/>
        <v>240.01466407302109</v>
      </c>
      <c r="U104" s="290">
        <f t="shared" si="83"/>
        <v>242.74075286415714</v>
      </c>
      <c r="V104" s="290">
        <f t="shared" si="83"/>
        <v>342.1070720423001</v>
      </c>
      <c r="W104" s="290">
        <f t="shared" si="83"/>
        <v>331.02000000000004</v>
      </c>
      <c r="X104" s="290">
        <f t="shared" si="83"/>
        <v>262.98</v>
      </c>
      <c r="Y104" s="290">
        <f t="shared" si="83"/>
        <v>312.23063705222887</v>
      </c>
      <c r="Z104" s="290">
        <f t="shared" si="83"/>
        <v>367.51948375815982</v>
      </c>
      <c r="AA104" s="290">
        <f t="shared" si="83"/>
        <v>328.32000000000005</v>
      </c>
      <c r="AB104" s="290">
        <f t="shared" si="87"/>
        <v>333.72</v>
      </c>
      <c r="AC104" s="290">
        <f t="shared" si="87"/>
        <v>331.02000000000004</v>
      </c>
      <c r="AD104" s="290">
        <f t="shared" si="87"/>
        <v>456.3</v>
      </c>
      <c r="AE104" s="290">
        <f t="shared" si="87"/>
        <v>426.76681699937126</v>
      </c>
      <c r="AF104" s="290">
        <f t="shared" si="87"/>
        <v>377.18922618827565</v>
      </c>
      <c r="AG104" s="252">
        <f t="shared" si="84"/>
        <v>349.90866387950109</v>
      </c>
      <c r="AH104" s="252">
        <f t="shared" si="85"/>
        <v>405.03306006237091</v>
      </c>
      <c r="AI104" s="252">
        <f t="shared" si="86"/>
        <v>412.26416303369973</v>
      </c>
      <c r="AJ104" s="252">
        <f t="shared" si="86"/>
        <v>420.679793802218</v>
      </c>
      <c r="AK104" s="252">
        <f t="shared" si="86"/>
        <v>415.6481748229387</v>
      </c>
      <c r="AL104" s="252">
        <f t="shared" si="86"/>
        <v>418.09172310852927</v>
      </c>
      <c r="AM104" s="252">
        <f t="shared" si="86"/>
        <v>423.76743267233712</v>
      </c>
    </row>
    <row r="105" spans="1:39">
      <c r="A105" s="240" t="s">
        <v>236</v>
      </c>
      <c r="B105" s="290">
        <f t="shared" si="83"/>
        <v>122.17010309278349</v>
      </c>
      <c r="C105" s="290">
        <f t="shared" si="83"/>
        <v>200.73532774390247</v>
      </c>
      <c r="D105" s="290">
        <f t="shared" si="83"/>
        <v>209.22706283878739</v>
      </c>
      <c r="E105" s="290">
        <f t="shared" si="83"/>
        <v>223.20121232530727</v>
      </c>
      <c r="F105" s="290">
        <f t="shared" si="83"/>
        <v>142.88386010847202</v>
      </c>
      <c r="G105" s="290">
        <f t="shared" si="83"/>
        <v>175.31882970742689</v>
      </c>
      <c r="H105" s="290">
        <f t="shared" si="83"/>
        <v>206.7688989317995</v>
      </c>
      <c r="I105" s="290">
        <f t="shared" si="83"/>
        <v>163.87700831024929</v>
      </c>
      <c r="J105" s="290">
        <f t="shared" si="83"/>
        <v>126.15553435114505</v>
      </c>
      <c r="K105" s="290">
        <f t="shared" si="83"/>
        <v>178.21220930232556</v>
      </c>
      <c r="L105" s="290">
        <f t="shared" si="83"/>
        <v>161.2765851223165</v>
      </c>
      <c r="M105" s="290">
        <f t="shared" si="83"/>
        <v>152.5835596596053</v>
      </c>
      <c r="N105" s="290">
        <f t="shared" si="83"/>
        <v>151.4779288508102</v>
      </c>
      <c r="O105" s="290">
        <f t="shared" si="83"/>
        <v>146.06859400251392</v>
      </c>
      <c r="P105" s="290">
        <f t="shared" si="83"/>
        <v>132.52327377013015</v>
      </c>
      <c r="Q105" s="290">
        <f t="shared" si="83"/>
        <v>168.32296047098401</v>
      </c>
      <c r="R105" s="290">
        <f t="shared" si="83"/>
        <v>193.30937098844672</v>
      </c>
      <c r="S105" s="290">
        <f t="shared" si="83"/>
        <v>160.73546218487394</v>
      </c>
      <c r="T105" s="290">
        <f t="shared" si="83"/>
        <v>205.26140954661079</v>
      </c>
      <c r="U105" s="290">
        <f t="shared" si="83"/>
        <v>241.65466448445173</v>
      </c>
      <c r="V105" s="290">
        <f t="shared" si="83"/>
        <v>204.72121612690023</v>
      </c>
      <c r="W105" s="290">
        <f t="shared" ref="W105:AS105" si="88">W91*W121</f>
        <v>217.62</v>
      </c>
      <c r="X105" s="290">
        <f t="shared" si="88"/>
        <v>190.62</v>
      </c>
      <c r="Y105" s="290">
        <f t="shared" si="88"/>
        <v>292.58033998682947</v>
      </c>
      <c r="Z105" s="290">
        <f t="shared" si="88"/>
        <v>368.28000000000003</v>
      </c>
      <c r="AA105" s="290">
        <f t="shared" si="88"/>
        <v>259.20000000000005</v>
      </c>
      <c r="AB105" s="290">
        <f>AB91*AB121</f>
        <v>295.38</v>
      </c>
      <c r="AC105" s="290">
        <f>AC91*AC121</f>
        <v>307.8</v>
      </c>
      <c r="AD105" s="290">
        <f>AD91*AD121</f>
        <v>425.52000000000004</v>
      </c>
      <c r="AE105" s="290">
        <f>AE91*AE121</f>
        <v>282.66712559688165</v>
      </c>
      <c r="AF105" s="290">
        <f>AF91*AF121</f>
        <v>392.71138835522157</v>
      </c>
      <c r="AG105" s="252">
        <f t="shared" si="84"/>
        <v>292.91998785541455</v>
      </c>
      <c r="AH105" s="252">
        <f t="shared" si="85"/>
        <v>358.55041756326199</v>
      </c>
      <c r="AI105" s="252">
        <f t="shared" si="86"/>
        <v>361.38566561768607</v>
      </c>
      <c r="AJ105" s="252">
        <f t="shared" si="86"/>
        <v>365.81332497027103</v>
      </c>
      <c r="AK105" s="252">
        <f t="shared" si="86"/>
        <v>355.9888272930034</v>
      </c>
      <c r="AL105" s="252">
        <f t="shared" si="86"/>
        <v>376.8811264088751</v>
      </c>
      <c r="AM105" s="252">
        <f t="shared" si="86"/>
        <v>366.89754944582108</v>
      </c>
    </row>
    <row r="106" spans="1:39">
      <c r="A106" s="240" t="s">
        <v>237</v>
      </c>
      <c r="B106" s="290">
        <f t="shared" ref="B106:AF107" si="89">C80*B122</f>
        <v>138.07138352651768</v>
      </c>
      <c r="C106" s="290">
        <f t="shared" si="89"/>
        <v>179.68638739789256</v>
      </c>
      <c r="D106" s="290">
        <f t="shared" si="89"/>
        <v>206.97025962238584</v>
      </c>
      <c r="E106" s="290">
        <f t="shared" si="89"/>
        <v>173.82861096354702</v>
      </c>
      <c r="F106" s="290">
        <f t="shared" si="89"/>
        <v>111.21117635415436</v>
      </c>
      <c r="G106" s="290">
        <f t="shared" si="89"/>
        <v>154.83795350505835</v>
      </c>
      <c r="H106" s="290">
        <f t="shared" si="89"/>
        <v>211.42742100734077</v>
      </c>
      <c r="I106" s="290">
        <f t="shared" si="89"/>
        <v>213.95271095175673</v>
      </c>
      <c r="J106" s="290">
        <f t="shared" si="89"/>
        <v>144.29900601084037</v>
      </c>
      <c r="K106" s="290">
        <f t="shared" si="89"/>
        <v>161.27893175074183</v>
      </c>
      <c r="L106" s="290">
        <f t="shared" si="89"/>
        <v>149.87319021467798</v>
      </c>
      <c r="M106" s="290">
        <f t="shared" si="89"/>
        <v>126.51946405938803</v>
      </c>
      <c r="N106" s="290">
        <f t="shared" si="89"/>
        <v>136.81877444589307</v>
      </c>
      <c r="O106" s="290">
        <f t="shared" si="89"/>
        <v>137.92350511761538</v>
      </c>
      <c r="P106" s="290">
        <f t="shared" si="89"/>
        <v>111.34127509375689</v>
      </c>
      <c r="Q106" s="290">
        <f t="shared" si="89"/>
        <v>193.84289318755256</v>
      </c>
      <c r="R106" s="290">
        <f t="shared" si="89"/>
        <v>149.32605905006417</v>
      </c>
      <c r="S106" s="290">
        <f t="shared" si="89"/>
        <v>172.13899159663865</v>
      </c>
      <c r="T106" s="290">
        <f t="shared" si="89"/>
        <v>193.31497830315726</v>
      </c>
      <c r="U106" s="290">
        <f t="shared" si="89"/>
        <v>211.78723404255319</v>
      </c>
      <c r="V106" s="290">
        <f t="shared" si="89"/>
        <v>160.73602115003305</v>
      </c>
      <c r="W106" s="290">
        <f t="shared" si="89"/>
        <v>164.16000000000003</v>
      </c>
      <c r="X106" s="290">
        <f t="shared" si="89"/>
        <v>181.44</v>
      </c>
      <c r="Y106" s="290">
        <f t="shared" si="89"/>
        <v>233.36575085521946</v>
      </c>
      <c r="Z106" s="290">
        <f t="shared" si="89"/>
        <v>264.60000000000002</v>
      </c>
      <c r="AA106" s="290">
        <f t="shared" si="89"/>
        <v>230.58</v>
      </c>
      <c r="AB106" s="290">
        <f t="shared" si="89"/>
        <v>213.84</v>
      </c>
      <c r="AC106" s="290">
        <f t="shared" si="89"/>
        <v>268.92</v>
      </c>
      <c r="AD106" s="290">
        <f t="shared" si="89"/>
        <v>369.36</v>
      </c>
      <c r="AE106" s="290">
        <f t="shared" si="89"/>
        <v>251.47043759744724</v>
      </c>
      <c r="AF106" s="290">
        <f t="shared" si="89"/>
        <v>242.76806406034484</v>
      </c>
      <c r="AG106" s="252">
        <f t="shared" si="84"/>
        <v>248.83061793972988</v>
      </c>
      <c r="AH106" s="252">
        <f t="shared" si="85"/>
        <v>283.28354533364978</v>
      </c>
      <c r="AI106" s="252">
        <f t="shared" si="86"/>
        <v>293.36762059526734</v>
      </c>
      <c r="AJ106" s="252">
        <f t="shared" si="86"/>
        <v>291.36004697282544</v>
      </c>
      <c r="AK106" s="252">
        <f t="shared" si="86"/>
        <v>278.28222509880305</v>
      </c>
      <c r="AL106" s="252">
        <f t="shared" si="86"/>
        <v>289.27225201432162</v>
      </c>
      <c r="AM106" s="252">
        <f t="shared" si="86"/>
        <v>295.0826799320364</v>
      </c>
    </row>
    <row r="107" spans="1:39">
      <c r="A107" s="240" t="s">
        <v>238</v>
      </c>
      <c r="B107" s="290">
        <f t="shared" si="89"/>
        <v>261.32535028433585</v>
      </c>
      <c r="C107" s="290">
        <f t="shared" si="89"/>
        <v>218.94559808986909</v>
      </c>
      <c r="D107" s="290">
        <f t="shared" si="89"/>
        <v>303.23549665605367</v>
      </c>
      <c r="E107" s="290">
        <f t="shared" si="89"/>
        <v>313.32070618120821</v>
      </c>
      <c r="F107" s="290">
        <f t="shared" si="89"/>
        <v>280.16661735373503</v>
      </c>
      <c r="G107" s="290">
        <f t="shared" si="89"/>
        <v>267.31458010778942</v>
      </c>
      <c r="H107" s="290">
        <f t="shared" si="89"/>
        <v>309.00930762611347</v>
      </c>
      <c r="I107" s="290">
        <f t="shared" si="89"/>
        <v>274.43174474663022</v>
      </c>
      <c r="J107" s="290">
        <f t="shared" si="89"/>
        <v>234.73524940933939</v>
      </c>
      <c r="K107" s="290">
        <f t="shared" si="89"/>
        <v>292.14836795252222</v>
      </c>
      <c r="L107" s="290">
        <f t="shared" si="89"/>
        <v>242.1863870860376</v>
      </c>
      <c r="M107" s="290">
        <f t="shared" si="89"/>
        <v>239.46387832699622</v>
      </c>
      <c r="N107" s="290">
        <f t="shared" si="89"/>
        <v>231.2888806109145</v>
      </c>
      <c r="O107" s="290">
        <f t="shared" si="89"/>
        <v>206.34225175076315</v>
      </c>
      <c r="P107" s="290">
        <f t="shared" si="89"/>
        <v>247.12331789102137</v>
      </c>
      <c r="Q107" s="290">
        <f t="shared" si="89"/>
        <v>297.55155592935239</v>
      </c>
      <c r="R107" s="290">
        <f t="shared" si="89"/>
        <v>256.29781771501922</v>
      </c>
      <c r="S107" s="290">
        <f t="shared" si="89"/>
        <v>325.81512605042013</v>
      </c>
      <c r="T107" s="290">
        <f t="shared" si="89"/>
        <v>307.89211431991623</v>
      </c>
      <c r="U107" s="290">
        <f t="shared" si="89"/>
        <v>331.2569558101473</v>
      </c>
      <c r="V107" s="290">
        <f t="shared" si="89"/>
        <v>298.12187706543295</v>
      </c>
      <c r="W107" s="290">
        <f t="shared" si="89"/>
        <v>302.40000000000003</v>
      </c>
      <c r="X107" s="290">
        <f t="shared" si="89"/>
        <v>304.02000000000004</v>
      </c>
      <c r="Y107" s="290">
        <f t="shared" si="89"/>
        <v>404.98710581368812</v>
      </c>
      <c r="Z107" s="290">
        <f t="shared" si="89"/>
        <v>340.20000000000005</v>
      </c>
      <c r="AA107" s="290">
        <f t="shared" si="89"/>
        <v>385.02000000000004</v>
      </c>
      <c r="AB107" s="290">
        <f t="shared" si="89"/>
        <v>366.12</v>
      </c>
      <c r="AC107" s="290">
        <f t="shared" si="89"/>
        <v>341.28000000000003</v>
      </c>
      <c r="AD107" s="290">
        <f t="shared" si="89"/>
        <v>418.5</v>
      </c>
      <c r="AE107" s="290">
        <f t="shared" si="89"/>
        <v>381.49233808630635</v>
      </c>
      <c r="AF107" s="290">
        <f t="shared" si="89"/>
        <v>333.55067078110704</v>
      </c>
      <c r="AG107" s="252">
        <f t="shared" ref="AG107:AH107" si="90">AG108-SUM(AG96:AG106)</f>
        <v>352.94600915513911</v>
      </c>
      <c r="AH107" s="252">
        <f t="shared" si="90"/>
        <v>387.34769503591724</v>
      </c>
      <c r="AI107" s="252">
        <f t="shared" ref="AI107:AM107" si="91">AI108-SUM(AI96:AI106)</f>
        <v>388.17721038636319</v>
      </c>
      <c r="AJ107" s="252">
        <f t="shared" si="91"/>
        <v>391.17016450018673</v>
      </c>
      <c r="AK107" s="252">
        <f t="shared" si="91"/>
        <v>388.73173523449259</v>
      </c>
      <c r="AL107" s="252">
        <f t="shared" si="91"/>
        <v>394.2873267590503</v>
      </c>
      <c r="AM107" s="252">
        <f t="shared" si="91"/>
        <v>403.63992145280918</v>
      </c>
    </row>
    <row r="108" spans="1:39" ht="15.75" thickBot="1">
      <c r="A108" s="240" t="s">
        <v>242</v>
      </c>
      <c r="B108" s="146">
        <f>SUM(B96:B107)</f>
        <v>3107.6183832953893</v>
      </c>
      <c r="C108" s="146">
        <f t="shared" ref="C108:AF108" si="92">SUM(C96:C107)</f>
        <v>3544.8372065243475</v>
      </c>
      <c r="D108" s="146">
        <f t="shared" si="92"/>
        <v>3837.663294925298</v>
      </c>
      <c r="E108" s="146">
        <f t="shared" si="92"/>
        <v>4078.4084516791881</v>
      </c>
      <c r="F108" s="146">
        <f t="shared" si="92"/>
        <v>3724.8582500385419</v>
      </c>
      <c r="G108" s="146">
        <f t="shared" si="92"/>
        <v>3830.8922185340789</v>
      </c>
      <c r="H108" s="146">
        <f t="shared" si="92"/>
        <v>3769.6622832760186</v>
      </c>
      <c r="I108" s="146">
        <f t="shared" si="92"/>
        <v>3354.981131598664</v>
      </c>
      <c r="J108" s="146">
        <f t="shared" si="92"/>
        <v>2616.6692745041491</v>
      </c>
      <c r="K108" s="146">
        <f t="shared" si="92"/>
        <v>2819.3938694707058</v>
      </c>
      <c r="L108" s="146">
        <f t="shared" si="92"/>
        <v>3323.818106174072</v>
      </c>
      <c r="M108" s="146">
        <f t="shared" si="92"/>
        <v>2971.3068984247693</v>
      </c>
      <c r="N108" s="146">
        <f t="shared" si="92"/>
        <v>2874.8230582976348</v>
      </c>
      <c r="O108" s="146">
        <f t="shared" si="92"/>
        <v>2952.8662237385533</v>
      </c>
      <c r="P108" s="146">
        <f t="shared" si="92"/>
        <v>2343.598058680785</v>
      </c>
      <c r="Q108" s="146">
        <f t="shared" si="92"/>
        <v>3331.1656854499579</v>
      </c>
      <c r="R108" s="146">
        <f t="shared" si="92"/>
        <v>3120.6431322207955</v>
      </c>
      <c r="S108" s="146">
        <f t="shared" si="92"/>
        <v>3313.5398319327733</v>
      </c>
      <c r="T108" s="146">
        <f t="shared" si="92"/>
        <v>3724.0284303456529</v>
      </c>
      <c r="U108" s="146">
        <f t="shared" si="92"/>
        <v>3317.9999999999995</v>
      </c>
      <c r="V108" s="146">
        <f t="shared" si="92"/>
        <v>4092.7952412425648</v>
      </c>
      <c r="W108" s="146">
        <f t="shared" si="92"/>
        <v>4114.26</v>
      </c>
      <c r="X108" s="146">
        <f t="shared" si="92"/>
        <v>3610.44</v>
      </c>
      <c r="Y108" s="146">
        <f t="shared" si="92"/>
        <v>4363.9940030566004</v>
      </c>
      <c r="Z108" s="146">
        <f t="shared" si="92"/>
        <v>4947.5948295083472</v>
      </c>
      <c r="AA108" s="146">
        <f t="shared" si="92"/>
        <v>4536.5400000000009</v>
      </c>
      <c r="AB108" s="146">
        <f t="shared" si="92"/>
        <v>4681.8</v>
      </c>
      <c r="AC108" s="146">
        <f t="shared" si="92"/>
        <v>4380.4800000000005</v>
      </c>
      <c r="AD108" s="146">
        <f t="shared" si="92"/>
        <v>5297.9400000000005</v>
      </c>
      <c r="AE108" s="146">
        <f t="shared" si="92"/>
        <v>4975.1027756837539</v>
      </c>
      <c r="AF108" s="146">
        <f t="shared" si="92"/>
        <v>4911.3559591576995</v>
      </c>
      <c r="AG108" s="253">
        <f t="shared" ref="AG108:AM108" si="93">AG23</f>
        <v>4452.2425309787041</v>
      </c>
      <c r="AH108" s="253">
        <f t="shared" si="93"/>
        <v>5101.6761925700939</v>
      </c>
      <c r="AI108" s="253">
        <f t="shared" si="93"/>
        <v>5100.6987439602344</v>
      </c>
      <c r="AJ108" s="253">
        <f t="shared" si="93"/>
        <v>5164.2128912405442</v>
      </c>
      <c r="AK108" s="253">
        <f t="shared" si="93"/>
        <v>5174.8430078765796</v>
      </c>
      <c r="AL108" s="253">
        <f t="shared" si="93"/>
        <v>5261.6244672383773</v>
      </c>
      <c r="AM108" s="253">
        <f t="shared" si="93"/>
        <v>5286.4116900337767</v>
      </c>
    </row>
    <row r="109" spans="1:39">
      <c r="A109" s="248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48"/>
      <c r="AB109" s="248"/>
      <c r="AC109" s="254"/>
      <c r="AD109" s="254"/>
      <c r="AE109" s="254"/>
      <c r="AF109" s="254"/>
      <c r="AG109" s="254"/>
      <c r="AH109" s="254"/>
      <c r="AI109" s="254"/>
      <c r="AJ109" s="254"/>
      <c r="AK109" s="254"/>
      <c r="AL109" s="254"/>
      <c r="AM109" s="254"/>
    </row>
    <row r="110" spans="1:39" ht="15.75" thickBot="1">
      <c r="A110" s="235" t="s">
        <v>254</v>
      </c>
    </row>
    <row r="111" spans="1:39" ht="15.75" thickBot="1">
      <c r="A111" s="236"/>
      <c r="B111" s="237" t="str">
        <f>B$2</f>
        <v xml:space="preserve">93/94 </v>
      </c>
      <c r="C111" s="237" t="str">
        <f t="shared" ref="C111:AM111" si="94">C$2</f>
        <v xml:space="preserve">94/95 </v>
      </c>
      <c r="D111" s="237" t="str">
        <f t="shared" si="94"/>
        <v xml:space="preserve">95/96 </v>
      </c>
      <c r="E111" s="237" t="str">
        <f t="shared" si="94"/>
        <v xml:space="preserve">96/97 </v>
      </c>
      <c r="F111" s="237" t="str">
        <f t="shared" si="94"/>
        <v xml:space="preserve">97/98 </v>
      </c>
      <c r="G111" s="237" t="str">
        <f t="shared" si="94"/>
        <v xml:space="preserve">98/99 </v>
      </c>
      <c r="H111" s="237" t="str">
        <f t="shared" si="94"/>
        <v xml:space="preserve">99/00 </v>
      </c>
      <c r="I111" s="237" t="str">
        <f t="shared" si="94"/>
        <v xml:space="preserve">00/01 </v>
      </c>
      <c r="J111" s="237" t="str">
        <f t="shared" si="94"/>
        <v xml:space="preserve">01/02 </v>
      </c>
      <c r="K111" s="237" t="str">
        <f t="shared" si="94"/>
        <v xml:space="preserve">02/03 </v>
      </c>
      <c r="L111" s="237" t="str">
        <f t="shared" si="94"/>
        <v xml:space="preserve">03/04 </v>
      </c>
      <c r="M111" s="237" t="str">
        <f t="shared" si="94"/>
        <v xml:space="preserve">04/05 </v>
      </c>
      <c r="N111" s="237" t="str">
        <f t="shared" si="94"/>
        <v xml:space="preserve">05/06 </v>
      </c>
      <c r="O111" s="237" t="str">
        <f t="shared" si="94"/>
        <v xml:space="preserve">06/07 </v>
      </c>
      <c r="P111" s="237" t="str">
        <f t="shared" si="94"/>
        <v xml:space="preserve">07/08 </v>
      </c>
      <c r="Q111" s="237" t="str">
        <f t="shared" si="94"/>
        <v xml:space="preserve">08/09 </v>
      </c>
      <c r="R111" s="237" t="str">
        <f t="shared" si="94"/>
        <v xml:space="preserve">09/10 </v>
      </c>
      <c r="S111" s="237" t="str">
        <f t="shared" si="94"/>
        <v xml:space="preserve">10/11 </v>
      </c>
      <c r="T111" s="237" t="str">
        <f t="shared" si="94"/>
        <v xml:space="preserve">11/12 </v>
      </c>
      <c r="U111" s="237" t="str">
        <f t="shared" si="94"/>
        <v xml:space="preserve">12/13 </v>
      </c>
      <c r="V111" s="237" t="str">
        <f t="shared" si="94"/>
        <v xml:space="preserve">13/14 </v>
      </c>
      <c r="W111" s="237" t="str">
        <f t="shared" si="94"/>
        <v xml:space="preserve">14/15 </v>
      </c>
      <c r="X111" s="237" t="str">
        <f t="shared" si="94"/>
        <v xml:space="preserve">15/16 </v>
      </c>
      <c r="Y111" s="237" t="str">
        <f t="shared" si="94"/>
        <v xml:space="preserve">16/17 </v>
      </c>
      <c r="Z111" s="237" t="str">
        <f t="shared" si="94"/>
        <v xml:space="preserve">17/18 </v>
      </c>
      <c r="AA111" s="237" t="str">
        <f t="shared" si="94"/>
        <v xml:space="preserve">18/19 </v>
      </c>
      <c r="AB111" s="237" t="str">
        <f t="shared" si="94"/>
        <v xml:space="preserve">19/20 </v>
      </c>
      <c r="AC111" s="237" t="str">
        <f t="shared" si="94"/>
        <v xml:space="preserve">20/21 </v>
      </c>
      <c r="AD111" s="237" t="str">
        <f t="shared" si="94"/>
        <v>21/22</v>
      </c>
      <c r="AE111" s="237" t="str">
        <f t="shared" si="94"/>
        <v>22/23</v>
      </c>
      <c r="AF111" s="237" t="str">
        <f t="shared" si="94"/>
        <v>23/24</v>
      </c>
      <c r="AG111" s="237" t="str">
        <f t="shared" si="94"/>
        <v>24/25</v>
      </c>
      <c r="AH111" s="237" t="str">
        <f t="shared" si="94"/>
        <v>25/26</v>
      </c>
      <c r="AI111" s="237" t="str">
        <f t="shared" si="94"/>
        <v>26/27</v>
      </c>
      <c r="AJ111" s="237" t="str">
        <f t="shared" si="94"/>
        <v>27/28</v>
      </c>
      <c r="AK111" s="237" t="str">
        <f t="shared" si="94"/>
        <v>28/29</v>
      </c>
      <c r="AL111" s="237" t="str">
        <f t="shared" si="94"/>
        <v>29/30</v>
      </c>
      <c r="AM111" s="237" t="str">
        <f t="shared" si="94"/>
        <v>30/31</v>
      </c>
    </row>
    <row r="112" spans="1:39">
      <c r="A112" s="240" t="s">
        <v>239</v>
      </c>
      <c r="B112" s="298">
        <f t="shared" ref="B112:Q123" si="95">B$124</f>
        <v>0.5255170113408939</v>
      </c>
      <c r="C112" s="298">
        <f t="shared" si="95"/>
        <v>0.52735652691049661</v>
      </c>
      <c r="D112" s="298">
        <f t="shared" si="95"/>
        <v>0.52194643107558547</v>
      </c>
      <c r="E112" s="298">
        <f t="shared" si="95"/>
        <v>0.52453987730061347</v>
      </c>
      <c r="F112" s="298">
        <f t="shared" si="95"/>
        <v>0.52386176631925396</v>
      </c>
      <c r="G112" s="298">
        <f t="shared" si="95"/>
        <v>0.52370452039691295</v>
      </c>
      <c r="H112" s="298">
        <f t="shared" si="95"/>
        <v>0.54308440123729562</v>
      </c>
      <c r="I112" s="298">
        <f t="shared" si="95"/>
        <v>0.543049543049543</v>
      </c>
      <c r="J112" s="298">
        <f t="shared" si="95"/>
        <v>0.54302788844621519</v>
      </c>
      <c r="K112" s="298">
        <f t="shared" si="95"/>
        <v>0.54302670623145399</v>
      </c>
      <c r="L112" s="298">
        <f t="shared" si="95"/>
        <v>0.54301880512564482</v>
      </c>
      <c r="M112" s="298">
        <f t="shared" si="95"/>
        <v>0.54300199167119323</v>
      </c>
      <c r="N112" s="298">
        <f t="shared" si="95"/>
        <v>0.54293164462655985</v>
      </c>
      <c r="O112" s="298">
        <f t="shared" si="95"/>
        <v>0.54300592565990302</v>
      </c>
      <c r="P112" s="298">
        <f t="shared" si="95"/>
        <v>0.54312817118905798</v>
      </c>
      <c r="Q112" s="298">
        <f t="shared" si="95"/>
        <v>0.54297729184188392</v>
      </c>
      <c r="R112" s="298">
        <f t="shared" ref="R112:AO123" si="96">R$124</f>
        <v>0.54300385109114246</v>
      </c>
      <c r="S112" s="298">
        <f t="shared" si="96"/>
        <v>0.54302521008403359</v>
      </c>
      <c r="T112" s="298">
        <f t="shared" si="96"/>
        <v>0.54301960197516086</v>
      </c>
      <c r="U112" s="298">
        <f t="shared" si="96"/>
        <v>0.54304418985270053</v>
      </c>
      <c r="V112" s="298">
        <f t="shared" si="96"/>
        <v>0.54302709847984143</v>
      </c>
      <c r="W112" s="298">
        <f t="shared" si="96"/>
        <v>0.54</v>
      </c>
      <c r="X112" s="298">
        <f t="shared" si="96"/>
        <v>0.54</v>
      </c>
      <c r="Y112" s="298">
        <f t="shared" si="96"/>
        <v>0.54</v>
      </c>
      <c r="Z112" s="298">
        <f t="shared" si="96"/>
        <v>0.54</v>
      </c>
      <c r="AA112" s="298">
        <f t="shared" si="96"/>
        <v>0.54</v>
      </c>
      <c r="AB112" s="298">
        <f t="shared" si="96"/>
        <v>0.54</v>
      </c>
      <c r="AC112" s="298">
        <f t="shared" si="96"/>
        <v>0.54</v>
      </c>
      <c r="AD112" s="298">
        <f t="shared" si="96"/>
        <v>0.54</v>
      </c>
      <c r="AE112" s="298">
        <f t="shared" si="96"/>
        <v>0.54</v>
      </c>
      <c r="AF112" s="298">
        <f t="shared" si="96"/>
        <v>0.54</v>
      </c>
      <c r="AG112" s="259">
        <f t="shared" ref="AG112:AM121" si="97">AG96/AG82</f>
        <v>0.55893205747206853</v>
      </c>
      <c r="AH112" s="259">
        <f t="shared" si="97"/>
        <v>0.53788855307893457</v>
      </c>
      <c r="AI112" s="259">
        <f t="shared" si="97"/>
        <v>0.53805032265526398</v>
      </c>
      <c r="AJ112" s="259">
        <f t="shared" si="97"/>
        <v>0.53989774273034419</v>
      </c>
      <c r="AK112" s="259">
        <f t="shared" si="97"/>
        <v>0.53951968450790388</v>
      </c>
      <c r="AL112" s="259">
        <f t="shared" si="97"/>
        <v>0.53995045667007369</v>
      </c>
      <c r="AM112" s="259">
        <f t="shared" si="97"/>
        <v>0.53166710402778672</v>
      </c>
    </row>
    <row r="113" spans="1:39">
      <c r="A113" s="240" t="s">
        <v>240</v>
      </c>
      <c r="B113" s="298">
        <f t="shared" si="95"/>
        <v>0.5255170113408939</v>
      </c>
      <c r="C113" s="298">
        <f t="shared" si="95"/>
        <v>0.52735652691049661</v>
      </c>
      <c r="D113" s="298">
        <f t="shared" si="95"/>
        <v>0.52194643107558547</v>
      </c>
      <c r="E113" s="298">
        <f t="shared" si="95"/>
        <v>0.52453987730061347</v>
      </c>
      <c r="F113" s="298">
        <f t="shared" si="95"/>
        <v>0.52386176631925396</v>
      </c>
      <c r="G113" s="298">
        <f t="shared" si="95"/>
        <v>0.52370452039691295</v>
      </c>
      <c r="H113" s="298">
        <f t="shared" si="95"/>
        <v>0.54308440123729562</v>
      </c>
      <c r="I113" s="298">
        <f t="shared" si="95"/>
        <v>0.543049543049543</v>
      </c>
      <c r="J113" s="298">
        <f t="shared" si="95"/>
        <v>0.54302788844621519</v>
      </c>
      <c r="K113" s="298">
        <f t="shared" si="95"/>
        <v>0.54302670623145399</v>
      </c>
      <c r="L113" s="298">
        <f t="shared" si="95"/>
        <v>0.54301880512564482</v>
      </c>
      <c r="M113" s="298">
        <f t="shared" si="95"/>
        <v>0.54300199167119323</v>
      </c>
      <c r="N113" s="298">
        <f t="shared" si="95"/>
        <v>0.54293164462655985</v>
      </c>
      <c r="O113" s="298">
        <f t="shared" si="95"/>
        <v>0.54300592565990302</v>
      </c>
      <c r="P113" s="298">
        <f t="shared" si="95"/>
        <v>0.54312817118905798</v>
      </c>
      <c r="Q113" s="298">
        <f t="shared" si="95"/>
        <v>0.54297729184188392</v>
      </c>
      <c r="R113" s="298">
        <f t="shared" si="96"/>
        <v>0.54300385109114246</v>
      </c>
      <c r="S113" s="298">
        <f t="shared" si="96"/>
        <v>0.54302521008403359</v>
      </c>
      <c r="T113" s="298">
        <f t="shared" si="96"/>
        <v>0.54301960197516086</v>
      </c>
      <c r="U113" s="298">
        <f t="shared" si="96"/>
        <v>0.54304418985270053</v>
      </c>
      <c r="V113" s="298">
        <f t="shared" si="96"/>
        <v>0.54302709847984143</v>
      </c>
      <c r="W113" s="298">
        <f t="shared" si="96"/>
        <v>0.54</v>
      </c>
      <c r="X113" s="298">
        <f t="shared" si="96"/>
        <v>0.54</v>
      </c>
      <c r="Y113" s="298">
        <f t="shared" si="96"/>
        <v>0.54</v>
      </c>
      <c r="Z113" s="298">
        <f t="shared" si="96"/>
        <v>0.54</v>
      </c>
      <c r="AA113" s="298">
        <f t="shared" si="96"/>
        <v>0.54</v>
      </c>
      <c r="AB113" s="298">
        <f t="shared" si="96"/>
        <v>0.54</v>
      </c>
      <c r="AC113" s="298">
        <f t="shared" si="96"/>
        <v>0.54</v>
      </c>
      <c r="AD113" s="298">
        <f t="shared" si="96"/>
        <v>0.54</v>
      </c>
      <c r="AE113" s="298">
        <f t="shared" si="96"/>
        <v>0.54</v>
      </c>
      <c r="AF113" s="298">
        <f t="shared" si="96"/>
        <v>0.54</v>
      </c>
      <c r="AG113" s="259">
        <f t="shared" si="97"/>
        <v>0.55893205747206842</v>
      </c>
      <c r="AH113" s="259">
        <f t="shared" si="97"/>
        <v>0.53788855307893457</v>
      </c>
      <c r="AI113" s="259">
        <f t="shared" si="97"/>
        <v>0.53801786043849453</v>
      </c>
      <c r="AJ113" s="259">
        <f t="shared" si="97"/>
        <v>0.53986903226061489</v>
      </c>
      <c r="AK113" s="259">
        <f t="shared" si="97"/>
        <v>0.5394941654537071</v>
      </c>
      <c r="AL113" s="259">
        <f t="shared" si="97"/>
        <v>0.53992855678228546</v>
      </c>
      <c r="AM113" s="259">
        <f t="shared" si="97"/>
        <v>0.53163195388733553</v>
      </c>
    </row>
    <row r="114" spans="1:39">
      <c r="A114" s="240" t="s">
        <v>241</v>
      </c>
      <c r="B114" s="298">
        <f t="shared" si="95"/>
        <v>0.5255170113408939</v>
      </c>
      <c r="C114" s="298">
        <f t="shared" si="95"/>
        <v>0.52735652691049661</v>
      </c>
      <c r="D114" s="298">
        <f t="shared" si="95"/>
        <v>0.52194643107558547</v>
      </c>
      <c r="E114" s="298">
        <f t="shared" si="95"/>
        <v>0.52453987730061347</v>
      </c>
      <c r="F114" s="298">
        <f t="shared" si="95"/>
        <v>0.52386176631925396</v>
      </c>
      <c r="G114" s="298">
        <f t="shared" si="95"/>
        <v>0.52370452039691295</v>
      </c>
      <c r="H114" s="298">
        <f t="shared" si="95"/>
        <v>0.54308440123729562</v>
      </c>
      <c r="I114" s="298">
        <f t="shared" si="95"/>
        <v>0.543049543049543</v>
      </c>
      <c r="J114" s="298">
        <f t="shared" si="95"/>
        <v>0.54302788844621519</v>
      </c>
      <c r="K114" s="298">
        <f t="shared" si="95"/>
        <v>0.54302670623145399</v>
      </c>
      <c r="L114" s="298">
        <f t="shared" si="95"/>
        <v>0.54301880512564482</v>
      </c>
      <c r="M114" s="298">
        <f t="shared" si="95"/>
        <v>0.54300199167119323</v>
      </c>
      <c r="N114" s="298">
        <f t="shared" si="95"/>
        <v>0.54293164462655985</v>
      </c>
      <c r="O114" s="298">
        <f t="shared" si="95"/>
        <v>0.54300592565990302</v>
      </c>
      <c r="P114" s="298">
        <f t="shared" si="95"/>
        <v>0.54312817118905798</v>
      </c>
      <c r="Q114" s="298">
        <f t="shared" si="95"/>
        <v>0.54297729184188392</v>
      </c>
      <c r="R114" s="298">
        <f t="shared" si="96"/>
        <v>0.54300385109114246</v>
      </c>
      <c r="S114" s="298">
        <f t="shared" si="96"/>
        <v>0.54302521008403359</v>
      </c>
      <c r="T114" s="298">
        <f t="shared" si="96"/>
        <v>0.54301960197516086</v>
      </c>
      <c r="U114" s="298">
        <f t="shared" si="96"/>
        <v>0.54304418985270053</v>
      </c>
      <c r="V114" s="298">
        <f t="shared" si="96"/>
        <v>0.54302709847984143</v>
      </c>
      <c r="W114" s="298">
        <f t="shared" si="96"/>
        <v>0.54</v>
      </c>
      <c r="X114" s="298">
        <f t="shared" si="96"/>
        <v>0.54</v>
      </c>
      <c r="Y114" s="298">
        <f t="shared" si="96"/>
        <v>0.54</v>
      </c>
      <c r="Z114" s="298">
        <f t="shared" si="96"/>
        <v>0.54</v>
      </c>
      <c r="AA114" s="298">
        <f t="shared" si="96"/>
        <v>0.54</v>
      </c>
      <c r="AB114" s="298">
        <f t="shared" si="96"/>
        <v>0.54</v>
      </c>
      <c r="AC114" s="298">
        <f t="shared" si="96"/>
        <v>0.54</v>
      </c>
      <c r="AD114" s="298">
        <f t="shared" si="96"/>
        <v>0.54</v>
      </c>
      <c r="AE114" s="298">
        <f t="shared" si="96"/>
        <v>0.54</v>
      </c>
      <c r="AF114" s="298">
        <f t="shared" si="96"/>
        <v>0.54</v>
      </c>
      <c r="AG114" s="259">
        <f t="shared" si="97"/>
        <v>0.55893205747206831</v>
      </c>
      <c r="AH114" s="259">
        <f t="shared" si="97"/>
        <v>0.53788855307893446</v>
      </c>
      <c r="AI114" s="259">
        <f t="shared" si="97"/>
        <v>0.5380429709317891</v>
      </c>
      <c r="AJ114" s="259">
        <f t="shared" si="97"/>
        <v>0.53988315050094693</v>
      </c>
      <c r="AK114" s="259">
        <f t="shared" si="97"/>
        <v>0.5395141621231202</v>
      </c>
      <c r="AL114" s="259">
        <f t="shared" si="97"/>
        <v>0.53994924549423606</v>
      </c>
      <c r="AM114" s="259">
        <f t="shared" si="97"/>
        <v>0.53165604266473943</v>
      </c>
    </row>
    <row r="115" spans="1:39">
      <c r="A115" s="240" t="s">
        <v>231</v>
      </c>
      <c r="B115" s="298">
        <f t="shared" si="95"/>
        <v>0.5255170113408939</v>
      </c>
      <c r="C115" s="298">
        <f t="shared" si="95"/>
        <v>0.52735652691049661</v>
      </c>
      <c r="D115" s="298">
        <f t="shared" si="95"/>
        <v>0.52194643107558547</v>
      </c>
      <c r="E115" s="298">
        <f t="shared" si="95"/>
        <v>0.52453987730061347</v>
      </c>
      <c r="F115" s="298">
        <f t="shared" si="95"/>
        <v>0.52386176631925396</v>
      </c>
      <c r="G115" s="298">
        <f t="shared" si="95"/>
        <v>0.52370452039691295</v>
      </c>
      <c r="H115" s="298">
        <f t="shared" si="95"/>
        <v>0.54308440123729562</v>
      </c>
      <c r="I115" s="298">
        <f t="shared" si="95"/>
        <v>0.543049543049543</v>
      </c>
      <c r="J115" s="298">
        <f t="shared" si="95"/>
        <v>0.54302788844621519</v>
      </c>
      <c r="K115" s="298">
        <f t="shared" si="95"/>
        <v>0.54302670623145399</v>
      </c>
      <c r="L115" s="298">
        <f t="shared" si="95"/>
        <v>0.54301880512564482</v>
      </c>
      <c r="M115" s="298">
        <f t="shared" si="95"/>
        <v>0.54300199167119323</v>
      </c>
      <c r="N115" s="298">
        <f t="shared" si="95"/>
        <v>0.54293164462655985</v>
      </c>
      <c r="O115" s="298">
        <f t="shared" si="95"/>
        <v>0.54300592565990302</v>
      </c>
      <c r="P115" s="298">
        <f t="shared" si="95"/>
        <v>0.54312817118905798</v>
      </c>
      <c r="Q115" s="298">
        <f t="shared" si="95"/>
        <v>0.54297729184188392</v>
      </c>
      <c r="R115" s="298">
        <f t="shared" si="96"/>
        <v>0.54300385109114246</v>
      </c>
      <c r="S115" s="298">
        <f t="shared" si="96"/>
        <v>0.54302521008403359</v>
      </c>
      <c r="T115" s="298">
        <f t="shared" si="96"/>
        <v>0.54301960197516086</v>
      </c>
      <c r="U115" s="298">
        <f t="shared" si="96"/>
        <v>0.54304418985270053</v>
      </c>
      <c r="V115" s="298">
        <f t="shared" si="96"/>
        <v>0.54302709847984143</v>
      </c>
      <c r="W115" s="298">
        <f t="shared" si="96"/>
        <v>0.54</v>
      </c>
      <c r="X115" s="298">
        <f t="shared" si="96"/>
        <v>0.54</v>
      </c>
      <c r="Y115" s="298">
        <f t="shared" si="96"/>
        <v>0.54</v>
      </c>
      <c r="Z115" s="298">
        <f t="shared" si="96"/>
        <v>0.54</v>
      </c>
      <c r="AA115" s="298">
        <f t="shared" si="96"/>
        <v>0.54</v>
      </c>
      <c r="AB115" s="298">
        <f t="shared" si="96"/>
        <v>0.54</v>
      </c>
      <c r="AC115" s="298">
        <f t="shared" si="96"/>
        <v>0.54</v>
      </c>
      <c r="AD115" s="298">
        <f t="shared" si="96"/>
        <v>0.54</v>
      </c>
      <c r="AE115" s="298">
        <f t="shared" si="96"/>
        <v>0.54</v>
      </c>
      <c r="AF115" s="298">
        <f t="shared" si="96"/>
        <v>0.54</v>
      </c>
      <c r="AG115" s="259">
        <f t="shared" si="97"/>
        <v>0.55893205747206842</v>
      </c>
      <c r="AH115" s="259">
        <f t="shared" si="97"/>
        <v>0.53788855307893457</v>
      </c>
      <c r="AI115" s="259">
        <f t="shared" si="97"/>
        <v>0.53809142519638042</v>
      </c>
      <c r="AJ115" s="259">
        <f t="shared" si="97"/>
        <v>0.53990610231394132</v>
      </c>
      <c r="AK115" s="259">
        <f t="shared" si="97"/>
        <v>0.53954108869240902</v>
      </c>
      <c r="AL115" s="259">
        <f t="shared" si="97"/>
        <v>0.53998997769227897</v>
      </c>
      <c r="AM115" s="259">
        <f t="shared" si="97"/>
        <v>0.5317037301573948</v>
      </c>
    </row>
    <row r="116" spans="1:39">
      <c r="A116" s="240" t="s">
        <v>232</v>
      </c>
      <c r="B116" s="298">
        <f t="shared" si="95"/>
        <v>0.5255170113408939</v>
      </c>
      <c r="C116" s="298">
        <f t="shared" si="95"/>
        <v>0.52735652691049661</v>
      </c>
      <c r="D116" s="298">
        <f t="shared" si="95"/>
        <v>0.52194643107558547</v>
      </c>
      <c r="E116" s="298">
        <f t="shared" si="95"/>
        <v>0.52453987730061347</v>
      </c>
      <c r="F116" s="298">
        <f t="shared" si="95"/>
        <v>0.52386176631925396</v>
      </c>
      <c r="G116" s="298">
        <f t="shared" si="95"/>
        <v>0.52370452039691295</v>
      </c>
      <c r="H116" s="298">
        <f t="shared" si="95"/>
        <v>0.54308440123729562</v>
      </c>
      <c r="I116" s="298">
        <f t="shared" si="95"/>
        <v>0.543049543049543</v>
      </c>
      <c r="J116" s="298">
        <f t="shared" si="95"/>
        <v>0.54302788844621519</v>
      </c>
      <c r="K116" s="298">
        <f t="shared" si="95"/>
        <v>0.54302670623145399</v>
      </c>
      <c r="L116" s="298">
        <f t="shared" si="95"/>
        <v>0.54301880512564482</v>
      </c>
      <c r="M116" s="298">
        <f t="shared" si="95"/>
        <v>0.54300199167119323</v>
      </c>
      <c r="N116" s="298">
        <f t="shared" si="95"/>
        <v>0.54293164462655985</v>
      </c>
      <c r="O116" s="298">
        <f t="shared" si="95"/>
        <v>0.54300592565990302</v>
      </c>
      <c r="P116" s="298">
        <f t="shared" si="95"/>
        <v>0.54312817118905798</v>
      </c>
      <c r="Q116" s="298">
        <f t="shared" si="95"/>
        <v>0.54297729184188392</v>
      </c>
      <c r="R116" s="298">
        <f t="shared" si="96"/>
        <v>0.54300385109114246</v>
      </c>
      <c r="S116" s="298">
        <f t="shared" si="96"/>
        <v>0.54302521008403359</v>
      </c>
      <c r="T116" s="298">
        <f t="shared" si="96"/>
        <v>0.54301960197516086</v>
      </c>
      <c r="U116" s="298">
        <f t="shared" si="96"/>
        <v>0.54304418985270053</v>
      </c>
      <c r="V116" s="298">
        <f t="shared" si="96"/>
        <v>0.54302709847984143</v>
      </c>
      <c r="W116" s="298">
        <f t="shared" si="96"/>
        <v>0.54</v>
      </c>
      <c r="X116" s="298">
        <f t="shared" si="96"/>
        <v>0.54</v>
      </c>
      <c r="Y116" s="298">
        <f t="shared" si="96"/>
        <v>0.54</v>
      </c>
      <c r="Z116" s="298">
        <f t="shared" si="96"/>
        <v>0.54</v>
      </c>
      <c r="AA116" s="298">
        <f t="shared" si="96"/>
        <v>0.54</v>
      </c>
      <c r="AB116" s="298">
        <f t="shared" si="96"/>
        <v>0.54</v>
      </c>
      <c r="AC116" s="298">
        <f t="shared" si="96"/>
        <v>0.54</v>
      </c>
      <c r="AD116" s="298">
        <f t="shared" si="96"/>
        <v>0.54</v>
      </c>
      <c r="AE116" s="298">
        <f t="shared" si="96"/>
        <v>0.54</v>
      </c>
      <c r="AF116" s="298">
        <f t="shared" si="96"/>
        <v>0.54</v>
      </c>
      <c r="AG116" s="259">
        <f t="shared" si="97"/>
        <v>0.55893205747206831</v>
      </c>
      <c r="AH116" s="259">
        <f t="shared" si="97"/>
        <v>0.53788855307893468</v>
      </c>
      <c r="AI116" s="259">
        <f t="shared" si="97"/>
        <v>0.53817430932586918</v>
      </c>
      <c r="AJ116" s="259">
        <f t="shared" si="97"/>
        <v>0.53992889039655312</v>
      </c>
      <c r="AK116" s="259">
        <f t="shared" si="97"/>
        <v>0.53959450853633584</v>
      </c>
      <c r="AL116" s="259">
        <f t="shared" si="97"/>
        <v>0.54004707310778954</v>
      </c>
      <c r="AM116" s="259">
        <f t="shared" si="97"/>
        <v>0.53177288879199958</v>
      </c>
    </row>
    <row r="117" spans="1:39">
      <c r="A117" s="240" t="s">
        <v>233</v>
      </c>
      <c r="B117" s="298">
        <f t="shared" si="95"/>
        <v>0.5255170113408939</v>
      </c>
      <c r="C117" s="298">
        <f t="shared" si="95"/>
        <v>0.52735652691049661</v>
      </c>
      <c r="D117" s="298">
        <f t="shared" si="95"/>
        <v>0.52194643107558547</v>
      </c>
      <c r="E117" s="298">
        <f t="shared" si="95"/>
        <v>0.52453987730061347</v>
      </c>
      <c r="F117" s="298">
        <f t="shared" si="95"/>
        <v>0.52386176631925396</v>
      </c>
      <c r="G117" s="298">
        <f t="shared" si="95"/>
        <v>0.52370452039691295</v>
      </c>
      <c r="H117" s="298">
        <f t="shared" si="95"/>
        <v>0.54308440123729562</v>
      </c>
      <c r="I117" s="298">
        <f t="shared" si="95"/>
        <v>0.543049543049543</v>
      </c>
      <c r="J117" s="298">
        <f t="shared" si="95"/>
        <v>0.54302788844621519</v>
      </c>
      <c r="K117" s="298">
        <f t="shared" si="95"/>
        <v>0.54302670623145399</v>
      </c>
      <c r="L117" s="298">
        <f t="shared" si="95"/>
        <v>0.54301880512564482</v>
      </c>
      <c r="M117" s="298">
        <f t="shared" si="95"/>
        <v>0.54300199167119323</v>
      </c>
      <c r="N117" s="298">
        <f t="shared" si="95"/>
        <v>0.54293164462655985</v>
      </c>
      <c r="O117" s="298">
        <f t="shared" si="95"/>
        <v>0.54300592565990302</v>
      </c>
      <c r="P117" s="298">
        <f t="shared" si="95"/>
        <v>0.54312817118905798</v>
      </c>
      <c r="Q117" s="298">
        <f t="shared" si="95"/>
        <v>0.54297729184188392</v>
      </c>
      <c r="R117" s="298">
        <f t="shared" si="96"/>
        <v>0.54300385109114246</v>
      </c>
      <c r="S117" s="298">
        <f t="shared" si="96"/>
        <v>0.54302521008403359</v>
      </c>
      <c r="T117" s="298">
        <f t="shared" si="96"/>
        <v>0.54301960197516086</v>
      </c>
      <c r="U117" s="298">
        <f t="shared" si="96"/>
        <v>0.54304418985270053</v>
      </c>
      <c r="V117" s="298">
        <f t="shared" si="96"/>
        <v>0.54302709847984143</v>
      </c>
      <c r="W117" s="298">
        <f t="shared" si="96"/>
        <v>0.54</v>
      </c>
      <c r="X117" s="298">
        <f t="shared" si="96"/>
        <v>0.54</v>
      </c>
      <c r="Y117" s="298">
        <f t="shared" si="96"/>
        <v>0.54</v>
      </c>
      <c r="Z117" s="298">
        <f t="shared" si="96"/>
        <v>0.54</v>
      </c>
      <c r="AA117" s="298">
        <f t="shared" si="96"/>
        <v>0.54</v>
      </c>
      <c r="AB117" s="298">
        <f t="shared" si="96"/>
        <v>0.54</v>
      </c>
      <c r="AC117" s="298">
        <f t="shared" si="96"/>
        <v>0.54</v>
      </c>
      <c r="AD117" s="298">
        <f t="shared" si="96"/>
        <v>0.54</v>
      </c>
      <c r="AE117" s="298">
        <f t="shared" si="96"/>
        <v>0.54</v>
      </c>
      <c r="AF117" s="298">
        <f t="shared" si="96"/>
        <v>0.54</v>
      </c>
      <c r="AG117" s="259">
        <f t="shared" si="97"/>
        <v>0.55893205747206842</v>
      </c>
      <c r="AH117" s="259">
        <f t="shared" si="97"/>
        <v>0.53788855307893468</v>
      </c>
      <c r="AI117" s="259">
        <f t="shared" si="97"/>
        <v>0.5380118008677276</v>
      </c>
      <c r="AJ117" s="259">
        <f t="shared" si="97"/>
        <v>0.53986446108624098</v>
      </c>
      <c r="AK117" s="259">
        <f t="shared" si="97"/>
        <v>0.53950700515600059</v>
      </c>
      <c r="AL117" s="259">
        <f t="shared" si="97"/>
        <v>0.53994139974788924</v>
      </c>
      <c r="AM117" s="259">
        <f t="shared" si="97"/>
        <v>0.53163879269896408</v>
      </c>
    </row>
    <row r="118" spans="1:39">
      <c r="A118" s="240" t="s">
        <v>234</v>
      </c>
      <c r="B118" s="298">
        <f t="shared" si="95"/>
        <v>0.5255170113408939</v>
      </c>
      <c r="C118" s="298">
        <f t="shared" si="95"/>
        <v>0.52735652691049661</v>
      </c>
      <c r="D118" s="298">
        <f t="shared" si="95"/>
        <v>0.52194643107558547</v>
      </c>
      <c r="E118" s="298">
        <f t="shared" si="95"/>
        <v>0.52453987730061347</v>
      </c>
      <c r="F118" s="298">
        <f t="shared" si="95"/>
        <v>0.52386176631925396</v>
      </c>
      <c r="G118" s="298">
        <f t="shared" si="95"/>
        <v>0.52370452039691295</v>
      </c>
      <c r="H118" s="298">
        <f t="shared" si="95"/>
        <v>0.54308440123729562</v>
      </c>
      <c r="I118" s="298">
        <f t="shared" si="95"/>
        <v>0.543049543049543</v>
      </c>
      <c r="J118" s="298">
        <f t="shared" si="95"/>
        <v>0.54302788844621519</v>
      </c>
      <c r="K118" s="298">
        <f t="shared" si="95"/>
        <v>0.54302670623145399</v>
      </c>
      <c r="L118" s="298">
        <f t="shared" si="95"/>
        <v>0.54301880512564482</v>
      </c>
      <c r="M118" s="298">
        <f t="shared" si="95"/>
        <v>0.54300199167119323</v>
      </c>
      <c r="N118" s="298">
        <f t="shared" si="95"/>
        <v>0.54293164462655985</v>
      </c>
      <c r="O118" s="298">
        <f t="shared" si="95"/>
        <v>0.54300592565990302</v>
      </c>
      <c r="P118" s="298">
        <f t="shared" si="95"/>
        <v>0.54312817118905798</v>
      </c>
      <c r="Q118" s="298">
        <f t="shared" si="95"/>
        <v>0.54297729184188392</v>
      </c>
      <c r="R118" s="298">
        <f t="shared" si="96"/>
        <v>0.54300385109114246</v>
      </c>
      <c r="S118" s="298">
        <f t="shared" si="96"/>
        <v>0.54302521008403359</v>
      </c>
      <c r="T118" s="298">
        <f t="shared" si="96"/>
        <v>0.54301960197516086</v>
      </c>
      <c r="U118" s="298">
        <f t="shared" si="96"/>
        <v>0.54304418985270053</v>
      </c>
      <c r="V118" s="298">
        <f t="shared" si="96"/>
        <v>0.54302709847984143</v>
      </c>
      <c r="W118" s="298">
        <f t="shared" si="96"/>
        <v>0.54</v>
      </c>
      <c r="X118" s="298">
        <f t="shared" si="96"/>
        <v>0.54</v>
      </c>
      <c r="Y118" s="298">
        <f t="shared" si="96"/>
        <v>0.54</v>
      </c>
      <c r="Z118" s="298">
        <f t="shared" si="96"/>
        <v>0.54</v>
      </c>
      <c r="AA118" s="298">
        <f t="shared" si="96"/>
        <v>0.54</v>
      </c>
      <c r="AB118" s="298">
        <f t="shared" si="96"/>
        <v>0.54</v>
      </c>
      <c r="AC118" s="298">
        <f t="shared" si="96"/>
        <v>0.54</v>
      </c>
      <c r="AD118" s="298">
        <f t="shared" si="96"/>
        <v>0.54</v>
      </c>
      <c r="AE118" s="298">
        <f t="shared" si="96"/>
        <v>0.54</v>
      </c>
      <c r="AF118" s="298">
        <f t="shared" si="96"/>
        <v>0.54</v>
      </c>
      <c r="AG118" s="259">
        <f t="shared" si="97"/>
        <v>0.55893205747206842</v>
      </c>
      <c r="AH118" s="259">
        <f t="shared" si="97"/>
        <v>0.53788855307893468</v>
      </c>
      <c r="AI118" s="259">
        <f t="shared" si="97"/>
        <v>0.53802035045271723</v>
      </c>
      <c r="AJ118" s="259">
        <f t="shared" si="97"/>
        <v>0.53982910075643786</v>
      </c>
      <c r="AK118" s="259">
        <f t="shared" si="97"/>
        <v>0.53949187203563054</v>
      </c>
      <c r="AL118" s="259">
        <f t="shared" si="97"/>
        <v>0.53995041572806179</v>
      </c>
      <c r="AM118" s="259">
        <f t="shared" si="97"/>
        <v>0.53162626625206011</v>
      </c>
    </row>
    <row r="119" spans="1:39">
      <c r="A119" s="240" t="s">
        <v>46</v>
      </c>
      <c r="B119" s="298">
        <f t="shared" si="95"/>
        <v>0.5255170113408939</v>
      </c>
      <c r="C119" s="298">
        <f t="shared" si="95"/>
        <v>0.52735652691049661</v>
      </c>
      <c r="D119" s="298">
        <f t="shared" si="95"/>
        <v>0.52194643107558547</v>
      </c>
      <c r="E119" s="298">
        <f t="shared" si="95"/>
        <v>0.52453987730061347</v>
      </c>
      <c r="F119" s="298">
        <f t="shared" si="95"/>
        <v>0.52386176631925396</v>
      </c>
      <c r="G119" s="298">
        <f t="shared" si="95"/>
        <v>0.52370452039691295</v>
      </c>
      <c r="H119" s="298">
        <f t="shared" si="95"/>
        <v>0.54308440123729562</v>
      </c>
      <c r="I119" s="298">
        <f t="shared" si="95"/>
        <v>0.543049543049543</v>
      </c>
      <c r="J119" s="298">
        <f t="shared" si="95"/>
        <v>0.54302788844621519</v>
      </c>
      <c r="K119" s="298">
        <f t="shared" si="95"/>
        <v>0.54302670623145399</v>
      </c>
      <c r="L119" s="298">
        <f t="shared" si="95"/>
        <v>0.54301880512564482</v>
      </c>
      <c r="M119" s="298">
        <f t="shared" si="95"/>
        <v>0.54300199167119323</v>
      </c>
      <c r="N119" s="298">
        <f t="shared" si="95"/>
        <v>0.54293164462655985</v>
      </c>
      <c r="O119" s="298">
        <f t="shared" si="95"/>
        <v>0.54300592565990302</v>
      </c>
      <c r="P119" s="298">
        <f t="shared" si="95"/>
        <v>0.54312817118905798</v>
      </c>
      <c r="Q119" s="298">
        <f t="shared" si="95"/>
        <v>0.54297729184188392</v>
      </c>
      <c r="R119" s="298">
        <f t="shared" si="96"/>
        <v>0.54300385109114246</v>
      </c>
      <c r="S119" s="298">
        <f t="shared" si="96"/>
        <v>0.54302521008403359</v>
      </c>
      <c r="T119" s="298">
        <f t="shared" si="96"/>
        <v>0.54301960197516086</v>
      </c>
      <c r="U119" s="298">
        <f t="shared" si="96"/>
        <v>0.54304418985270053</v>
      </c>
      <c r="V119" s="298">
        <f t="shared" si="96"/>
        <v>0.54302709847984143</v>
      </c>
      <c r="W119" s="298">
        <f t="shared" si="96"/>
        <v>0.54</v>
      </c>
      <c r="X119" s="298">
        <f t="shared" si="96"/>
        <v>0.54</v>
      </c>
      <c r="Y119" s="298">
        <f t="shared" si="96"/>
        <v>0.54</v>
      </c>
      <c r="Z119" s="298">
        <f t="shared" si="96"/>
        <v>0.54</v>
      </c>
      <c r="AA119" s="298">
        <f t="shared" si="96"/>
        <v>0.54</v>
      </c>
      <c r="AB119" s="298">
        <f t="shared" si="96"/>
        <v>0.54</v>
      </c>
      <c r="AC119" s="298">
        <f t="shared" si="96"/>
        <v>0.54</v>
      </c>
      <c r="AD119" s="298">
        <f t="shared" si="96"/>
        <v>0.54</v>
      </c>
      <c r="AE119" s="298">
        <f t="shared" si="96"/>
        <v>0.54</v>
      </c>
      <c r="AF119" s="298">
        <f t="shared" si="96"/>
        <v>0.54</v>
      </c>
      <c r="AG119" s="259">
        <f t="shared" si="97"/>
        <v>0.55893205747206842</v>
      </c>
      <c r="AH119" s="259">
        <f t="shared" si="97"/>
        <v>0.53788855307893446</v>
      </c>
      <c r="AI119" s="259">
        <f t="shared" si="97"/>
        <v>0.53800682095412367</v>
      </c>
      <c r="AJ119" s="259">
        <f t="shared" si="97"/>
        <v>0.53984421752691591</v>
      </c>
      <c r="AK119" s="259">
        <f t="shared" si="97"/>
        <v>0.53950665620555682</v>
      </c>
      <c r="AL119" s="259">
        <f t="shared" si="97"/>
        <v>0.53994763712178029</v>
      </c>
      <c r="AM119" s="259">
        <f t="shared" si="97"/>
        <v>0.53163686447287006</v>
      </c>
    </row>
    <row r="120" spans="1:39">
      <c r="A120" s="240" t="s">
        <v>235</v>
      </c>
      <c r="B120" s="298">
        <f t="shared" si="95"/>
        <v>0.5255170113408939</v>
      </c>
      <c r="C120" s="298">
        <f t="shared" si="95"/>
        <v>0.52735652691049661</v>
      </c>
      <c r="D120" s="298">
        <f t="shared" si="95"/>
        <v>0.52194643107558547</v>
      </c>
      <c r="E120" s="298">
        <f t="shared" si="95"/>
        <v>0.52453987730061347</v>
      </c>
      <c r="F120" s="298">
        <f t="shared" si="95"/>
        <v>0.52386176631925396</v>
      </c>
      <c r="G120" s="298">
        <f t="shared" si="95"/>
        <v>0.52370452039691295</v>
      </c>
      <c r="H120" s="298">
        <f t="shared" si="95"/>
        <v>0.54308440123729562</v>
      </c>
      <c r="I120" s="298">
        <f t="shared" si="95"/>
        <v>0.543049543049543</v>
      </c>
      <c r="J120" s="298">
        <f t="shared" si="95"/>
        <v>0.54302788844621519</v>
      </c>
      <c r="K120" s="298">
        <f t="shared" si="95"/>
        <v>0.54302670623145399</v>
      </c>
      <c r="L120" s="298">
        <f t="shared" si="95"/>
        <v>0.54301880512564482</v>
      </c>
      <c r="M120" s="298">
        <f t="shared" si="95"/>
        <v>0.54300199167119323</v>
      </c>
      <c r="N120" s="298">
        <f t="shared" si="95"/>
        <v>0.54293164462655985</v>
      </c>
      <c r="O120" s="298">
        <f t="shared" si="95"/>
        <v>0.54300592565990302</v>
      </c>
      <c r="P120" s="298">
        <f t="shared" si="95"/>
        <v>0.54312817118905798</v>
      </c>
      <c r="Q120" s="298">
        <f t="shared" si="95"/>
        <v>0.54297729184188392</v>
      </c>
      <c r="R120" s="298">
        <f t="shared" si="96"/>
        <v>0.54300385109114246</v>
      </c>
      <c r="S120" s="298">
        <f t="shared" si="96"/>
        <v>0.54302521008403359</v>
      </c>
      <c r="T120" s="298">
        <f t="shared" si="96"/>
        <v>0.54301960197516086</v>
      </c>
      <c r="U120" s="298">
        <f t="shared" si="96"/>
        <v>0.54304418985270053</v>
      </c>
      <c r="V120" s="298">
        <f t="shared" si="96"/>
        <v>0.54302709847984143</v>
      </c>
      <c r="W120" s="298">
        <f t="shared" si="96"/>
        <v>0.54</v>
      </c>
      <c r="X120" s="298">
        <f t="shared" si="96"/>
        <v>0.54</v>
      </c>
      <c r="Y120" s="298">
        <f t="shared" si="96"/>
        <v>0.54</v>
      </c>
      <c r="Z120" s="298">
        <f t="shared" si="96"/>
        <v>0.54</v>
      </c>
      <c r="AA120" s="298">
        <f t="shared" si="96"/>
        <v>0.54</v>
      </c>
      <c r="AB120" s="298">
        <f t="shared" si="96"/>
        <v>0.54</v>
      </c>
      <c r="AC120" s="298">
        <f t="shared" si="96"/>
        <v>0.54</v>
      </c>
      <c r="AD120" s="298">
        <f t="shared" si="96"/>
        <v>0.54</v>
      </c>
      <c r="AE120" s="298">
        <f t="shared" si="96"/>
        <v>0.54</v>
      </c>
      <c r="AF120" s="298">
        <f t="shared" si="96"/>
        <v>0.54</v>
      </c>
      <c r="AG120" s="259">
        <f t="shared" si="97"/>
        <v>0.55893205747206831</v>
      </c>
      <c r="AH120" s="259">
        <f t="shared" si="97"/>
        <v>0.53788855307893457</v>
      </c>
      <c r="AI120" s="259">
        <f t="shared" si="97"/>
        <v>0.53792867063290617</v>
      </c>
      <c r="AJ120" s="259">
        <f t="shared" si="97"/>
        <v>0.53975159736063194</v>
      </c>
      <c r="AK120" s="259">
        <f t="shared" si="97"/>
        <v>0.53942634790084276</v>
      </c>
      <c r="AL120" s="259">
        <f t="shared" si="97"/>
        <v>0.539855974343046</v>
      </c>
      <c r="AM120" s="259">
        <f t="shared" si="97"/>
        <v>0.53152105512692416</v>
      </c>
    </row>
    <row r="121" spans="1:39">
      <c r="A121" s="240" t="s">
        <v>236</v>
      </c>
      <c r="B121" s="298">
        <f t="shared" si="95"/>
        <v>0.5255170113408939</v>
      </c>
      <c r="C121" s="298">
        <f t="shared" si="95"/>
        <v>0.52735652691049661</v>
      </c>
      <c r="D121" s="298">
        <f t="shared" si="95"/>
        <v>0.52194643107558547</v>
      </c>
      <c r="E121" s="298">
        <f t="shared" si="95"/>
        <v>0.52453987730061347</v>
      </c>
      <c r="F121" s="298">
        <f t="shared" si="95"/>
        <v>0.52386176631925396</v>
      </c>
      <c r="G121" s="298">
        <f t="shared" si="95"/>
        <v>0.52370452039691295</v>
      </c>
      <c r="H121" s="298">
        <f t="shared" si="95"/>
        <v>0.54308440123729562</v>
      </c>
      <c r="I121" s="298">
        <f t="shared" si="95"/>
        <v>0.543049543049543</v>
      </c>
      <c r="J121" s="298">
        <f t="shared" si="95"/>
        <v>0.54302788844621519</v>
      </c>
      <c r="K121" s="298">
        <f t="shared" si="95"/>
        <v>0.54302670623145399</v>
      </c>
      <c r="L121" s="298">
        <f t="shared" si="95"/>
        <v>0.54301880512564482</v>
      </c>
      <c r="M121" s="298">
        <f t="shared" si="95"/>
        <v>0.54300199167119323</v>
      </c>
      <c r="N121" s="298">
        <f t="shared" si="95"/>
        <v>0.54293164462655985</v>
      </c>
      <c r="O121" s="298">
        <f t="shared" si="95"/>
        <v>0.54300592565990302</v>
      </c>
      <c r="P121" s="298">
        <f t="shared" si="95"/>
        <v>0.54312817118905798</v>
      </c>
      <c r="Q121" s="298">
        <f t="shared" si="95"/>
        <v>0.54297729184188392</v>
      </c>
      <c r="R121" s="298">
        <f t="shared" si="96"/>
        <v>0.54300385109114246</v>
      </c>
      <c r="S121" s="298">
        <f t="shared" si="96"/>
        <v>0.54302521008403359</v>
      </c>
      <c r="T121" s="298">
        <f t="shared" si="96"/>
        <v>0.54301960197516086</v>
      </c>
      <c r="U121" s="298">
        <f t="shared" si="96"/>
        <v>0.54304418985270053</v>
      </c>
      <c r="V121" s="298">
        <f t="shared" si="96"/>
        <v>0.54302709847984143</v>
      </c>
      <c r="W121" s="298">
        <f t="shared" si="96"/>
        <v>0.54</v>
      </c>
      <c r="X121" s="298">
        <f t="shared" si="96"/>
        <v>0.54</v>
      </c>
      <c r="Y121" s="298">
        <f t="shared" si="96"/>
        <v>0.54</v>
      </c>
      <c r="Z121" s="298">
        <f t="shared" si="96"/>
        <v>0.54</v>
      </c>
      <c r="AA121" s="298">
        <f t="shared" si="96"/>
        <v>0.54</v>
      </c>
      <c r="AB121" s="298">
        <f t="shared" si="96"/>
        <v>0.54</v>
      </c>
      <c r="AC121" s="298">
        <f t="shared" si="96"/>
        <v>0.54</v>
      </c>
      <c r="AD121" s="298">
        <f t="shared" si="96"/>
        <v>0.54</v>
      </c>
      <c r="AE121" s="298">
        <f t="shared" si="96"/>
        <v>0.54</v>
      </c>
      <c r="AF121" s="298">
        <f t="shared" si="96"/>
        <v>0.54</v>
      </c>
      <c r="AG121" s="259">
        <f t="shared" si="97"/>
        <v>0.47409993060757377</v>
      </c>
      <c r="AH121" s="259">
        <f t="shared" si="97"/>
        <v>0.53788855307893479</v>
      </c>
      <c r="AI121" s="259">
        <f t="shared" si="97"/>
        <v>0.52215039557204956</v>
      </c>
      <c r="AJ121" s="259">
        <f t="shared" si="97"/>
        <v>0.52439751522307998</v>
      </c>
      <c r="AK121" s="259">
        <f t="shared" si="97"/>
        <v>0.52026413242897951</v>
      </c>
      <c r="AL121" s="259">
        <f t="shared" si="97"/>
        <v>0.518397860009016</v>
      </c>
      <c r="AM121" s="259">
        <f t="shared" si="97"/>
        <v>0.50636657749249392</v>
      </c>
    </row>
    <row r="122" spans="1:39">
      <c r="A122" s="240" t="s">
        <v>237</v>
      </c>
      <c r="B122" s="298">
        <f t="shared" si="95"/>
        <v>0.5255170113408939</v>
      </c>
      <c r="C122" s="298">
        <f t="shared" si="95"/>
        <v>0.52735652691049661</v>
      </c>
      <c r="D122" s="298">
        <f t="shared" si="95"/>
        <v>0.52194643107558547</v>
      </c>
      <c r="E122" s="298">
        <f t="shared" si="95"/>
        <v>0.52453987730061347</v>
      </c>
      <c r="F122" s="298">
        <f t="shared" si="95"/>
        <v>0.52386176631925396</v>
      </c>
      <c r="G122" s="298">
        <f t="shared" si="95"/>
        <v>0.52370452039691295</v>
      </c>
      <c r="H122" s="298">
        <f t="shared" si="95"/>
        <v>0.54308440123729562</v>
      </c>
      <c r="I122" s="298">
        <f t="shared" si="95"/>
        <v>0.543049543049543</v>
      </c>
      <c r="J122" s="298">
        <f t="shared" si="95"/>
        <v>0.54302788844621519</v>
      </c>
      <c r="K122" s="298">
        <f t="shared" si="95"/>
        <v>0.54302670623145399</v>
      </c>
      <c r="L122" s="298">
        <f t="shared" si="95"/>
        <v>0.54301880512564482</v>
      </c>
      <c r="M122" s="298">
        <f t="shared" si="95"/>
        <v>0.54300199167119323</v>
      </c>
      <c r="N122" s="298">
        <f t="shared" si="95"/>
        <v>0.54293164462655985</v>
      </c>
      <c r="O122" s="298">
        <f t="shared" si="95"/>
        <v>0.54300592565990302</v>
      </c>
      <c r="P122" s="298">
        <f t="shared" si="95"/>
        <v>0.54312817118905798</v>
      </c>
      <c r="Q122" s="298">
        <f t="shared" si="95"/>
        <v>0.54297729184188392</v>
      </c>
      <c r="R122" s="298">
        <f t="shared" si="96"/>
        <v>0.54300385109114246</v>
      </c>
      <c r="S122" s="298">
        <f t="shared" si="96"/>
        <v>0.54302521008403359</v>
      </c>
      <c r="T122" s="298">
        <f t="shared" si="96"/>
        <v>0.54301960197516086</v>
      </c>
      <c r="U122" s="298">
        <f t="shared" si="96"/>
        <v>0.54304418985270053</v>
      </c>
      <c r="V122" s="298">
        <f t="shared" si="96"/>
        <v>0.54302709847984143</v>
      </c>
      <c r="W122" s="298">
        <f t="shared" si="96"/>
        <v>0.54</v>
      </c>
      <c r="X122" s="298">
        <f t="shared" si="96"/>
        <v>0.54</v>
      </c>
      <c r="Y122" s="298">
        <f t="shared" si="96"/>
        <v>0.54</v>
      </c>
      <c r="Z122" s="298">
        <f t="shared" si="96"/>
        <v>0.54</v>
      </c>
      <c r="AA122" s="298">
        <f t="shared" si="96"/>
        <v>0.54</v>
      </c>
      <c r="AB122" s="298">
        <f t="shared" si="96"/>
        <v>0.54</v>
      </c>
      <c r="AC122" s="298">
        <f t="shared" si="96"/>
        <v>0.54</v>
      </c>
      <c r="AD122" s="298">
        <f t="shared" si="96"/>
        <v>0.54</v>
      </c>
      <c r="AE122" s="298">
        <f t="shared" si="96"/>
        <v>0.54</v>
      </c>
      <c r="AF122" s="298">
        <f t="shared" si="96"/>
        <v>0.54</v>
      </c>
      <c r="AG122" s="259">
        <f t="shared" ref="AG122:AM123" si="98">AG106/AH80</f>
        <v>0.47678674673536525</v>
      </c>
      <c r="AH122" s="259">
        <f t="shared" si="98"/>
        <v>0.52968400050606701</v>
      </c>
      <c r="AI122" s="259">
        <f t="shared" si="98"/>
        <v>0.53358205911040713</v>
      </c>
      <c r="AJ122" s="259">
        <f t="shared" si="98"/>
        <v>0.51740101263961613</v>
      </c>
      <c r="AK122" s="259">
        <f t="shared" si="98"/>
        <v>0.51628919359013292</v>
      </c>
      <c r="AL122" s="259">
        <f t="shared" si="98"/>
        <v>0.51190172574407722</v>
      </c>
      <c r="AM122" s="259">
        <f t="shared" si="98"/>
        <v>0.56649425419968946</v>
      </c>
    </row>
    <row r="123" spans="1:39">
      <c r="A123" s="240" t="s">
        <v>238</v>
      </c>
      <c r="B123" s="298">
        <f t="shared" si="95"/>
        <v>0.5255170113408939</v>
      </c>
      <c r="C123" s="298">
        <f t="shared" si="95"/>
        <v>0.52735652691049661</v>
      </c>
      <c r="D123" s="298">
        <f t="shared" si="95"/>
        <v>0.52194643107558547</v>
      </c>
      <c r="E123" s="298">
        <f t="shared" si="95"/>
        <v>0.52453987730061347</v>
      </c>
      <c r="F123" s="298">
        <f t="shared" si="95"/>
        <v>0.52386176631925396</v>
      </c>
      <c r="G123" s="298">
        <f t="shared" si="95"/>
        <v>0.52370452039691295</v>
      </c>
      <c r="H123" s="298">
        <f t="shared" si="95"/>
        <v>0.54308440123729562</v>
      </c>
      <c r="I123" s="298">
        <f t="shared" si="95"/>
        <v>0.543049543049543</v>
      </c>
      <c r="J123" s="298">
        <f t="shared" si="95"/>
        <v>0.54302788844621519</v>
      </c>
      <c r="K123" s="298">
        <f t="shared" si="95"/>
        <v>0.54302670623145399</v>
      </c>
      <c r="L123" s="298">
        <f t="shared" si="95"/>
        <v>0.54301880512564482</v>
      </c>
      <c r="M123" s="298">
        <f t="shared" si="95"/>
        <v>0.54300199167119323</v>
      </c>
      <c r="N123" s="298">
        <f t="shared" si="95"/>
        <v>0.54293164462655985</v>
      </c>
      <c r="O123" s="298">
        <f t="shared" si="95"/>
        <v>0.54300592565990302</v>
      </c>
      <c r="P123" s="298">
        <f t="shared" si="95"/>
        <v>0.54312817118905798</v>
      </c>
      <c r="Q123" s="298">
        <f t="shared" si="95"/>
        <v>0.54297729184188392</v>
      </c>
      <c r="R123" s="298">
        <f t="shared" si="96"/>
        <v>0.54300385109114246</v>
      </c>
      <c r="S123" s="298">
        <f t="shared" si="96"/>
        <v>0.54302521008403359</v>
      </c>
      <c r="T123" s="298">
        <f t="shared" si="96"/>
        <v>0.54301960197516086</v>
      </c>
      <c r="U123" s="298">
        <f t="shared" si="96"/>
        <v>0.54304418985270053</v>
      </c>
      <c r="V123" s="298">
        <f t="shared" si="96"/>
        <v>0.54302709847984143</v>
      </c>
      <c r="W123" s="298">
        <f t="shared" si="96"/>
        <v>0.54</v>
      </c>
      <c r="X123" s="298">
        <f t="shared" si="96"/>
        <v>0.54</v>
      </c>
      <c r="Y123" s="298">
        <f t="shared" si="96"/>
        <v>0.54</v>
      </c>
      <c r="Z123" s="298">
        <f t="shared" si="96"/>
        <v>0.54</v>
      </c>
      <c r="AA123" s="298">
        <f t="shared" si="96"/>
        <v>0.54</v>
      </c>
      <c r="AB123" s="298">
        <f t="shared" si="96"/>
        <v>0.54</v>
      </c>
      <c r="AC123" s="298">
        <f t="shared" si="96"/>
        <v>0.54</v>
      </c>
      <c r="AD123" s="298">
        <f t="shared" si="96"/>
        <v>0.54</v>
      </c>
      <c r="AE123" s="298">
        <f t="shared" si="96"/>
        <v>0.54</v>
      </c>
      <c r="AF123" s="298">
        <f t="shared" si="96"/>
        <v>0.54</v>
      </c>
      <c r="AG123" s="259">
        <f t="shared" si="98"/>
        <v>0.4767867467353652</v>
      </c>
      <c r="AH123" s="259">
        <f t="shared" si="98"/>
        <v>0.52968400050606634</v>
      </c>
      <c r="AI123" s="259">
        <f t="shared" si="98"/>
        <v>0.53268768876244244</v>
      </c>
      <c r="AJ123" s="259">
        <f t="shared" si="98"/>
        <v>0.51669283328558258</v>
      </c>
      <c r="AK123" s="259">
        <f t="shared" si="98"/>
        <v>0.51603245095892336</v>
      </c>
      <c r="AL123" s="259">
        <f t="shared" si="98"/>
        <v>0.51119397196290761</v>
      </c>
      <c r="AM123" s="259">
        <f t="shared" si="98"/>
        <v>0.56565281359732078</v>
      </c>
    </row>
    <row r="124" spans="1:39" ht="15.75" thickBot="1">
      <c r="A124" s="240" t="s">
        <v>255</v>
      </c>
      <c r="B124" s="258">
        <v>0.5255170113408939</v>
      </c>
      <c r="C124" s="258">
        <v>0.52735652691049661</v>
      </c>
      <c r="D124" s="258">
        <v>0.52194643107558547</v>
      </c>
      <c r="E124" s="258">
        <v>0.52453987730061347</v>
      </c>
      <c r="F124" s="258">
        <v>0.52386176631925396</v>
      </c>
      <c r="G124" s="258">
        <v>0.52370452039691295</v>
      </c>
      <c r="H124" s="258">
        <v>0.54308440123729562</v>
      </c>
      <c r="I124" s="258">
        <v>0.543049543049543</v>
      </c>
      <c r="J124" s="258">
        <v>0.54302788844621519</v>
      </c>
      <c r="K124" s="258">
        <v>0.54302670623145399</v>
      </c>
      <c r="L124" s="258">
        <v>0.54301880512564482</v>
      </c>
      <c r="M124" s="258">
        <v>0.54300199167119323</v>
      </c>
      <c r="N124" s="258">
        <v>0.54293164462655985</v>
      </c>
      <c r="O124" s="258">
        <v>0.54300592565990302</v>
      </c>
      <c r="P124" s="258">
        <v>0.54312817118905798</v>
      </c>
      <c r="Q124" s="258">
        <v>0.54297729184188392</v>
      </c>
      <c r="R124" s="258">
        <v>0.54300385109114246</v>
      </c>
      <c r="S124" s="258">
        <v>0.54302521008403359</v>
      </c>
      <c r="T124" s="258">
        <v>0.54301960197516086</v>
      </c>
      <c r="U124" s="258">
        <v>0.54304418985270053</v>
      </c>
      <c r="V124" s="258">
        <v>0.54302709847984143</v>
      </c>
      <c r="W124" s="258">
        <v>0.54</v>
      </c>
      <c r="X124" s="258">
        <v>0.54</v>
      </c>
      <c r="Y124" s="258">
        <v>0.54</v>
      </c>
      <c r="Z124" s="258">
        <v>0.54</v>
      </c>
      <c r="AA124" s="258">
        <v>0.54</v>
      </c>
      <c r="AB124" s="258">
        <v>0.54</v>
      </c>
      <c r="AC124" s="258">
        <v>0.54</v>
      </c>
      <c r="AD124" s="258">
        <v>0.54</v>
      </c>
      <c r="AE124" s="258">
        <v>0.54</v>
      </c>
      <c r="AF124" s="258">
        <v>0.54</v>
      </c>
      <c r="AG124" s="259">
        <v>0.54</v>
      </c>
      <c r="AH124" s="259">
        <f t="shared" ref="AH124:AM124" si="99">AH251-AH235</f>
        <v>0.53679555889302288</v>
      </c>
      <c r="AI124" s="259">
        <f t="shared" si="99"/>
        <v>0.53621431846036582</v>
      </c>
      <c r="AJ124" s="259">
        <f t="shared" si="99"/>
        <v>0.53561421126177766</v>
      </c>
      <c r="AK124" s="259">
        <f t="shared" si="99"/>
        <v>0.53502643995306354</v>
      </c>
      <c r="AL124" s="259">
        <f t="shared" si="99"/>
        <v>0.53449594603674466</v>
      </c>
      <c r="AM124" s="259">
        <f t="shared" si="99"/>
        <v>0.5340848252236946</v>
      </c>
    </row>
    <row r="125" spans="1:39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  <c r="AE125" s="248"/>
      <c r="AF125" s="248"/>
      <c r="AG125" s="248"/>
      <c r="AH125" s="248"/>
      <c r="AI125" s="248"/>
      <c r="AJ125" s="248"/>
      <c r="AK125" s="248"/>
      <c r="AL125" s="248"/>
      <c r="AM125" s="248"/>
    </row>
    <row r="126" spans="1:39" ht="15.75" thickBot="1">
      <c r="A126" s="235" t="s">
        <v>256</v>
      </c>
    </row>
    <row r="127" spans="1:39" ht="15.75" thickBot="1">
      <c r="A127" s="236"/>
      <c r="B127" s="237" t="str">
        <f>B$2</f>
        <v xml:space="preserve">93/94 </v>
      </c>
      <c r="C127" s="237" t="str">
        <f t="shared" ref="C127:AM127" si="100">C$2</f>
        <v xml:space="preserve">94/95 </v>
      </c>
      <c r="D127" s="237" t="str">
        <f t="shared" si="100"/>
        <v xml:space="preserve">95/96 </v>
      </c>
      <c r="E127" s="237" t="str">
        <f t="shared" si="100"/>
        <v xml:space="preserve">96/97 </v>
      </c>
      <c r="F127" s="237" t="str">
        <f t="shared" si="100"/>
        <v xml:space="preserve">97/98 </v>
      </c>
      <c r="G127" s="237" t="str">
        <f t="shared" si="100"/>
        <v xml:space="preserve">98/99 </v>
      </c>
      <c r="H127" s="237" t="str">
        <f t="shared" si="100"/>
        <v xml:space="preserve">99/00 </v>
      </c>
      <c r="I127" s="237" t="str">
        <f t="shared" si="100"/>
        <v xml:space="preserve">00/01 </v>
      </c>
      <c r="J127" s="237" t="str">
        <f t="shared" si="100"/>
        <v xml:space="preserve">01/02 </v>
      </c>
      <c r="K127" s="237" t="str">
        <f t="shared" si="100"/>
        <v xml:space="preserve">02/03 </v>
      </c>
      <c r="L127" s="237" t="str">
        <f t="shared" si="100"/>
        <v xml:space="preserve">03/04 </v>
      </c>
      <c r="M127" s="237" t="str">
        <f t="shared" si="100"/>
        <v xml:space="preserve">04/05 </v>
      </c>
      <c r="N127" s="237" t="str">
        <f t="shared" si="100"/>
        <v xml:space="preserve">05/06 </v>
      </c>
      <c r="O127" s="237" t="str">
        <f t="shared" si="100"/>
        <v xml:space="preserve">06/07 </v>
      </c>
      <c r="P127" s="237" t="str">
        <f t="shared" si="100"/>
        <v xml:space="preserve">07/08 </v>
      </c>
      <c r="Q127" s="237" t="str">
        <f t="shared" si="100"/>
        <v xml:space="preserve">08/09 </v>
      </c>
      <c r="R127" s="237" t="str">
        <f t="shared" si="100"/>
        <v xml:space="preserve">09/10 </v>
      </c>
      <c r="S127" s="237" t="str">
        <f t="shared" si="100"/>
        <v xml:space="preserve">10/11 </v>
      </c>
      <c r="T127" s="237" t="str">
        <f t="shared" si="100"/>
        <v xml:space="preserve">11/12 </v>
      </c>
      <c r="U127" s="237" t="str">
        <f t="shared" si="100"/>
        <v xml:space="preserve">12/13 </v>
      </c>
      <c r="V127" s="237" t="str">
        <f t="shared" si="100"/>
        <v xml:space="preserve">13/14 </v>
      </c>
      <c r="W127" s="237" t="str">
        <f t="shared" si="100"/>
        <v xml:space="preserve">14/15 </v>
      </c>
      <c r="X127" s="237" t="str">
        <f t="shared" si="100"/>
        <v xml:space="preserve">15/16 </v>
      </c>
      <c r="Y127" s="237" t="str">
        <f t="shared" si="100"/>
        <v xml:space="preserve">16/17 </v>
      </c>
      <c r="Z127" s="237" t="str">
        <f t="shared" si="100"/>
        <v xml:space="preserve">17/18 </v>
      </c>
      <c r="AA127" s="237" t="str">
        <f t="shared" si="100"/>
        <v xml:space="preserve">18/19 </v>
      </c>
      <c r="AB127" s="237" t="str">
        <f t="shared" si="100"/>
        <v xml:space="preserve">19/20 </v>
      </c>
      <c r="AC127" s="237" t="str">
        <f t="shared" si="100"/>
        <v xml:space="preserve">20/21 </v>
      </c>
      <c r="AD127" s="237" t="str">
        <f t="shared" si="100"/>
        <v>21/22</v>
      </c>
      <c r="AE127" s="237" t="str">
        <f t="shared" si="100"/>
        <v>22/23</v>
      </c>
      <c r="AF127" s="237" t="str">
        <f t="shared" si="100"/>
        <v>23/24</v>
      </c>
      <c r="AG127" s="237" t="str">
        <f t="shared" si="100"/>
        <v>24/25</v>
      </c>
      <c r="AH127" s="237" t="str">
        <f t="shared" si="100"/>
        <v>25/26</v>
      </c>
      <c r="AI127" s="237" t="str">
        <f t="shared" si="100"/>
        <v>26/27</v>
      </c>
      <c r="AJ127" s="237" t="str">
        <f t="shared" si="100"/>
        <v>27/28</v>
      </c>
      <c r="AK127" s="237" t="str">
        <f t="shared" si="100"/>
        <v>28/29</v>
      </c>
      <c r="AL127" s="237" t="str">
        <f t="shared" si="100"/>
        <v>29/30</v>
      </c>
      <c r="AM127" s="237" t="str">
        <f t="shared" si="100"/>
        <v>30/31</v>
      </c>
    </row>
    <row r="128" spans="1:39">
      <c r="A128" s="240" t="s">
        <v>239</v>
      </c>
      <c r="B128" s="290">
        <f t="shared" ref="B128:B139" si="101">(SUM(T128:X128)/SUM(T$140:X$140))*B$140</f>
        <v>93.243597846765965</v>
      </c>
      <c r="C128" s="290">
        <f t="shared" ref="C128:D139" si="102">(SUM(L128:P128)/SUM(L$140:P$140))*C$140</f>
        <v>110.04947954694842</v>
      </c>
      <c r="D128" s="290">
        <f t="shared" si="102"/>
        <v>107.96752677828786</v>
      </c>
      <c r="E128" s="290">
        <v>199.82029875912363</v>
      </c>
      <c r="F128" s="146">
        <f>'[2]EU Sun Meal Imports'!CB$290</f>
        <v>116.268</v>
      </c>
      <c r="G128" s="146">
        <f>'[2]EU Sun Meal Imports'!CN$290</f>
        <v>99.84</v>
      </c>
      <c r="H128" s="146">
        <f>'[2]EU Sun Meal Imports'!CZ$290</f>
        <v>131.249</v>
      </c>
      <c r="I128" s="146">
        <f>'[2]EU Sun Meal Imports'!DL$290</f>
        <v>172.89699999999999</v>
      </c>
      <c r="J128" s="146">
        <f>'[2]EU Sun Meal Imports'!DX$290</f>
        <v>108.04600000000001</v>
      </c>
      <c r="K128" s="146">
        <f>'[2]EU Sun Meal Imports'!EJ$290</f>
        <v>82.794999999999987</v>
      </c>
      <c r="L128" s="146">
        <f>'[2]EU Sun Meal Imports'!EV$290</f>
        <v>115.30499999999999</v>
      </c>
      <c r="M128" s="146">
        <f>'[2]EU Sun Meal Imports'!FH$290</f>
        <v>105.03400000000001</v>
      </c>
      <c r="N128" s="146">
        <f>'[2]EU Sun Meal Imports'!FT$290</f>
        <v>122.25800000000001</v>
      </c>
      <c r="O128" s="146">
        <f>'[2]EU Sun Meal Imports'!GF$290</f>
        <v>109.78200000000001</v>
      </c>
      <c r="P128" s="146">
        <f>'[2]EU Sun Meal Imports'!GR$290</f>
        <v>97.972000000000008</v>
      </c>
      <c r="Q128" s="146">
        <f>'[2]EU Sun Meal Imports'!HD$290</f>
        <v>119.761</v>
      </c>
      <c r="R128" s="146">
        <f>'[2]EU Sun Meal Imports'!HP$290</f>
        <v>173.56800000000004</v>
      </c>
      <c r="S128" s="146">
        <f>'[2]EU Sun Meal Imports'!IB$290</f>
        <v>148.16300000000001</v>
      </c>
      <c r="T128" s="146">
        <f>'[2]EU Sun Meal Imports'!IN$290</f>
        <v>187.79600000000002</v>
      </c>
      <c r="U128" s="146">
        <f>'[2]EU Sun Meal Imports'!IZ$290</f>
        <v>288.63900000000001</v>
      </c>
      <c r="V128" s="146">
        <f>'[2]EU Sun Meal Imports'!JL$290</f>
        <v>204.85599999999999</v>
      </c>
      <c r="W128" s="146">
        <f>'[2]EU Sun Meal Imports'!JX$290</f>
        <v>233.858</v>
      </c>
      <c r="X128" s="146">
        <f>'[2]EU Sun Meal Imports'!KJ$290</f>
        <v>197.23000000000002</v>
      </c>
      <c r="Y128" s="146">
        <f>'[2]EU Sun Meal Imports'!KV$290</f>
        <v>180.61</v>
      </c>
      <c r="Z128" s="146">
        <f>'[2]EU Sun Meal Imports'!LH$290</f>
        <v>249.36500000000001</v>
      </c>
      <c r="AA128" s="146">
        <f>'[2]EU Sun Meal Imports'!LT$290</f>
        <v>260.13600000000002</v>
      </c>
      <c r="AB128" s="146">
        <f>'[2]EU Sun Meal Imports'!MF$290/1000</f>
        <v>185.79978400000002</v>
      </c>
      <c r="AC128" s="146">
        <f>'[2]EU Sun Meal Imports'!MR$290/1000</f>
        <v>169.24566299999998</v>
      </c>
      <c r="AD128" s="146">
        <f>'[2]EU Sun Meal Imports'!ND$290/1000</f>
        <v>88.733796000000012</v>
      </c>
      <c r="AE128" s="146">
        <f>'[2]EU Sun Meal Imports'!NP$290/1000</f>
        <v>226.37002299999997</v>
      </c>
      <c r="AF128" s="146">
        <f>'[2]EU Sun Meal Imports'!OB$290/1000</f>
        <v>204.49188499999997</v>
      </c>
      <c r="AG128" s="146">
        <f>'[2]EU Sun Meal Imports'!ON$290/1000</f>
        <v>260.18820199999999</v>
      </c>
      <c r="AH128" s="253">
        <f t="shared" ref="AH128:AM138" si="103">(SUM(AB128:AF128)/SUM(AB$140:AF$140))*AH$140</f>
        <v>200.91425435745722</v>
      </c>
      <c r="AI128" s="253">
        <f t="shared" si="103"/>
        <v>211.7619893086237</v>
      </c>
      <c r="AJ128" s="253">
        <f t="shared" si="103"/>
        <v>203.08858221250313</v>
      </c>
      <c r="AK128" s="253">
        <f t="shared" si="103"/>
        <v>219.23903165419711</v>
      </c>
      <c r="AL128" s="253">
        <f t="shared" si="103"/>
        <v>209.90920013175619</v>
      </c>
      <c r="AM128" s="253">
        <f t="shared" si="103"/>
        <v>213.52801160702023</v>
      </c>
    </row>
    <row r="129" spans="1:42">
      <c r="A129" s="240" t="s">
        <v>240</v>
      </c>
      <c r="B129" s="290">
        <f t="shared" si="101"/>
        <v>111.76098262005925</v>
      </c>
      <c r="C129" s="290">
        <f t="shared" si="102"/>
        <v>135.05977053276396</v>
      </c>
      <c r="D129" s="290">
        <f t="shared" si="102"/>
        <v>127.7244786347693</v>
      </c>
      <c r="E129" s="290">
        <v>226.5840016937108</v>
      </c>
      <c r="F129" s="146">
        <f>'[2]EU Sun Meal Imports'!CC$290</f>
        <v>130.982</v>
      </c>
      <c r="G129" s="146">
        <f>'[2]EU Sun Meal Imports'!CO$290</f>
        <v>112.10299999999999</v>
      </c>
      <c r="H129" s="146">
        <f>'[2]EU Sun Meal Imports'!DA$290</f>
        <v>134.595</v>
      </c>
      <c r="I129" s="146">
        <f>'[2]EU Sun Meal Imports'!DM$290</f>
        <v>180.49900000000002</v>
      </c>
      <c r="J129" s="146">
        <f>'[2]EU Sun Meal Imports'!DY$290</f>
        <v>153.303</v>
      </c>
      <c r="K129" s="146">
        <f>'[2]EU Sun Meal Imports'!EK$290</f>
        <v>80.143000000000001</v>
      </c>
      <c r="L129" s="146">
        <f>'[2]EU Sun Meal Imports'!EW$290</f>
        <v>152.07599999999999</v>
      </c>
      <c r="M129" s="146">
        <f>'[2]EU Sun Meal Imports'!FI$290</f>
        <v>124.66900000000001</v>
      </c>
      <c r="N129" s="146">
        <f>'[2]EU Sun Meal Imports'!FU$290</f>
        <v>162.68200000000002</v>
      </c>
      <c r="O129" s="146">
        <f>'[2]EU Sun Meal Imports'!GG$290</f>
        <v>128.77199999999999</v>
      </c>
      <c r="P129" s="146">
        <f>'[2]EU Sun Meal Imports'!GS$290</f>
        <v>107.227</v>
      </c>
      <c r="Q129" s="146">
        <f>'[2]EU Sun Meal Imports'!HE$290</f>
        <v>132.98099999999999</v>
      </c>
      <c r="R129" s="146">
        <f>'[2]EU Sun Meal Imports'!HQ$290</f>
        <v>237.01199999999997</v>
      </c>
      <c r="S129" s="146">
        <f>'[2]EU Sun Meal Imports'!IC$290</f>
        <v>216.38799999999998</v>
      </c>
      <c r="T129" s="146">
        <f>'[2]EU Sun Meal Imports'!IO$290</f>
        <v>240.101</v>
      </c>
      <c r="U129" s="146">
        <f>'[2]EU Sun Meal Imports'!JA$290</f>
        <v>337.42699999999996</v>
      </c>
      <c r="V129" s="146">
        <f>'[2]EU Sun Meal Imports'!JM$290</f>
        <v>237.05100000000002</v>
      </c>
      <c r="W129" s="146">
        <f>'[2]EU Sun Meal Imports'!JY$290</f>
        <v>246.72900000000001</v>
      </c>
      <c r="X129" s="146">
        <f>'[2]EU Sun Meal Imports'!KK$290</f>
        <v>271.97999999999996</v>
      </c>
      <c r="Y129" s="146">
        <f>'[2]EU Sun Meal Imports'!KW$290</f>
        <v>307.08500000000004</v>
      </c>
      <c r="Z129" s="146">
        <f>'[2]EU Sun Meal Imports'!LI$290</f>
        <v>360.05900000000003</v>
      </c>
      <c r="AA129" s="146">
        <f>'[2]EU Sun Meal Imports'!LU$290</f>
        <v>344.16899999999998</v>
      </c>
      <c r="AB129" s="146">
        <f>'[2]EU Sun Meal Imports'!MG$290/1000</f>
        <v>247.50602800000001</v>
      </c>
      <c r="AC129" s="146">
        <f>'[2]EU Sun Meal Imports'!MS$290/1000</f>
        <v>228.41884399999995</v>
      </c>
      <c r="AD129" s="146">
        <f>'[2]EU Sun Meal Imports'!NE$290/1000</f>
        <v>156.47339099999999</v>
      </c>
      <c r="AE129" s="146">
        <f>'[2]EU Sun Meal Imports'!NQ$290/1000</f>
        <v>197.50284200000004</v>
      </c>
      <c r="AF129" s="146">
        <f>'[2]EU Sun Meal Imports'!OC$290/1000</f>
        <v>226.44535300000001</v>
      </c>
      <c r="AG129" s="146">
        <f>'[2]EU Sun Meal Imports'!OO$290/1000</f>
        <v>245.31424800000002</v>
      </c>
      <c r="AH129" s="253">
        <f t="shared" si="103"/>
        <v>242.65387091558313</v>
      </c>
      <c r="AI129" s="253">
        <f t="shared" si="103"/>
        <v>235.21911112579002</v>
      </c>
      <c r="AJ129" s="253">
        <f t="shared" si="103"/>
        <v>221.24824863814734</v>
      </c>
      <c r="AK129" s="253">
        <f t="shared" si="103"/>
        <v>227.86160620967098</v>
      </c>
      <c r="AL129" s="253">
        <f t="shared" si="103"/>
        <v>227.47912077501093</v>
      </c>
      <c r="AM129" s="253">
        <f t="shared" si="103"/>
        <v>228.56106686518825</v>
      </c>
    </row>
    <row r="130" spans="1:42">
      <c r="A130" s="240" t="s">
        <v>241</v>
      </c>
      <c r="B130" s="290">
        <f t="shared" si="101"/>
        <v>137.9809167997503</v>
      </c>
      <c r="C130" s="290">
        <f t="shared" si="102"/>
        <v>131.68260639557079</v>
      </c>
      <c r="D130" s="290">
        <f t="shared" si="102"/>
        <v>138.62462428885343</v>
      </c>
      <c r="E130" s="290">
        <v>194.34969954716544</v>
      </c>
      <c r="F130" s="146">
        <f>'[2]EU Sun Meal Imports'!CD$290</f>
        <v>165.434</v>
      </c>
      <c r="G130" s="146">
        <f>'[2]EU Sun Meal Imports'!CP$290</f>
        <v>51.506</v>
      </c>
      <c r="H130" s="146">
        <f>'[2]EU Sun Meal Imports'!DB$290</f>
        <v>193.51</v>
      </c>
      <c r="I130" s="146">
        <f>'[2]EU Sun Meal Imports'!DN$290</f>
        <v>121.22200000000001</v>
      </c>
      <c r="J130" s="146">
        <f>'[2]EU Sun Meal Imports'!DZ$290</f>
        <v>77.762</v>
      </c>
      <c r="K130" s="146">
        <f>'[2]EU Sun Meal Imports'!EL$290</f>
        <v>101.357</v>
      </c>
      <c r="L130" s="146">
        <f>'[2]EU Sun Meal Imports'!EX$290</f>
        <v>161.745</v>
      </c>
      <c r="M130" s="146">
        <f>'[2]EU Sun Meal Imports'!FJ$290</f>
        <v>89.661000000000001</v>
      </c>
      <c r="N130" s="146">
        <f>'[2]EU Sun Meal Imports'!FV$290</f>
        <v>144.32999999999998</v>
      </c>
      <c r="O130" s="146">
        <f>'[2]EU Sun Meal Imports'!GH$290</f>
        <v>141.03400000000002</v>
      </c>
      <c r="P130" s="146">
        <f>'[2]EU Sun Meal Imports'!GT$290</f>
        <v>121.767</v>
      </c>
      <c r="Q130" s="146">
        <f>'[2]EU Sun Meal Imports'!HF$290</f>
        <v>215.55100000000002</v>
      </c>
      <c r="R130" s="146">
        <f>'[2]EU Sun Meal Imports'!HR$290</f>
        <v>194.33500000000001</v>
      </c>
      <c r="S130" s="146">
        <f>'[2]EU Sun Meal Imports'!ID$290</f>
        <v>171.05799999999999</v>
      </c>
      <c r="T130" s="146">
        <f>'[2]EU Sun Meal Imports'!IP$290</f>
        <v>279.613</v>
      </c>
      <c r="U130" s="146">
        <f>'[2]EU Sun Meal Imports'!JB$290</f>
        <v>358.57400000000001</v>
      </c>
      <c r="V130" s="146">
        <f>'[2]EU Sun Meal Imports'!JN$290</f>
        <v>317.11199999999997</v>
      </c>
      <c r="W130" s="146">
        <f>'[2]EU Sun Meal Imports'!JZ$290</f>
        <v>352.89499999999998</v>
      </c>
      <c r="X130" s="146">
        <f>'[2]EU Sun Meal Imports'!KL$290</f>
        <v>337.89300000000003</v>
      </c>
      <c r="Y130" s="146">
        <f>'[2]EU Sun Meal Imports'!KX$290</f>
        <v>359.935</v>
      </c>
      <c r="Z130" s="146">
        <f>'[2]EU Sun Meal Imports'!LJ$290</f>
        <v>362.197</v>
      </c>
      <c r="AA130" s="146">
        <f>'[2]EU Sun Meal Imports'!LV$290</f>
        <v>282.74900000000002</v>
      </c>
      <c r="AB130" s="146">
        <f>'[2]EU Sun Meal Imports'!MH$290/1000</f>
        <v>287.19302700000009</v>
      </c>
      <c r="AC130" s="146">
        <f>'[2]EU Sun Meal Imports'!MT$290/1000</f>
        <v>281.51090900000003</v>
      </c>
      <c r="AD130" s="146">
        <f>'[2]EU Sun Meal Imports'!NF$290/1000</f>
        <v>206.27942099999999</v>
      </c>
      <c r="AE130" s="146">
        <f>'[2]EU Sun Meal Imports'!NR$290/1000</f>
        <v>220.00601500000002</v>
      </c>
      <c r="AF130" s="146">
        <f>'[2]EU Sun Meal Imports'!OD$290/1000</f>
        <v>235.93025400000002</v>
      </c>
      <c r="AG130" s="146">
        <f>'[2]EU Sun Meal Imports'!OP$290/1000</f>
        <v>187.54154899999997</v>
      </c>
      <c r="AH130" s="253">
        <f t="shared" si="103"/>
        <v>282.75516027229571</v>
      </c>
      <c r="AI130" s="253">
        <f t="shared" si="103"/>
        <v>252.42584771556525</v>
      </c>
      <c r="AJ130" s="253">
        <f t="shared" si="103"/>
        <v>234.52714280860624</v>
      </c>
      <c r="AK130" s="253">
        <f t="shared" si="103"/>
        <v>234.12326687854892</v>
      </c>
      <c r="AL130" s="253">
        <f t="shared" si="103"/>
        <v>231.81140170059544</v>
      </c>
      <c r="AM130" s="253">
        <f t="shared" si="103"/>
        <v>232.28026394292769</v>
      </c>
    </row>
    <row r="131" spans="1:42">
      <c r="A131" s="240" t="s">
        <v>231</v>
      </c>
      <c r="B131" s="290">
        <f t="shared" si="101"/>
        <v>128.62226478564548</v>
      </c>
      <c r="C131" s="290">
        <f t="shared" si="102"/>
        <v>135.24253612109922</v>
      </c>
      <c r="D131" s="290">
        <f t="shared" si="102"/>
        <v>135.3492484496781</v>
      </c>
      <c r="E131" s="146">
        <f>'[2]EU Sun Meal Imports'!BS$290</f>
        <v>138.93700000000001</v>
      </c>
      <c r="F131" s="146">
        <f>'[2]EU Sun Meal Imports'!CE$290</f>
        <v>120.17599999999999</v>
      </c>
      <c r="G131" s="146">
        <f>'[2]EU Sun Meal Imports'!CQ$290</f>
        <v>108.45700000000001</v>
      </c>
      <c r="H131" s="146">
        <f>'[2]EU Sun Meal Imports'!DC$290</f>
        <v>62.686</v>
      </c>
      <c r="I131" s="146">
        <f>'[2]EU Sun Meal Imports'!DO$290</f>
        <v>157.80199999999999</v>
      </c>
      <c r="J131" s="146">
        <f>'[2]EU Sun Meal Imports'!EA$290</f>
        <v>155.93699999999998</v>
      </c>
      <c r="K131" s="146">
        <f>'[2]EU Sun Meal Imports'!EM$290</f>
        <v>137.81</v>
      </c>
      <c r="L131" s="146">
        <f>'[2]EU Sun Meal Imports'!EY$290</f>
        <v>164.71600000000001</v>
      </c>
      <c r="M131" s="146">
        <f>'[2]EU Sun Meal Imports'!FK$290</f>
        <v>130.458</v>
      </c>
      <c r="N131" s="146">
        <f>'[2]EU Sun Meal Imports'!FW$290</f>
        <v>136.14699999999999</v>
      </c>
      <c r="O131" s="146">
        <f>'[2]EU Sun Meal Imports'!GI$290</f>
        <v>135.733</v>
      </c>
      <c r="P131" s="146">
        <f>'[2]EU Sun Meal Imports'!GU$290</f>
        <v>109.286</v>
      </c>
      <c r="Q131" s="146">
        <f>'[2]EU Sun Meal Imports'!HG$290</f>
        <v>183.88800000000001</v>
      </c>
      <c r="R131" s="146">
        <f>'[2]EU Sun Meal Imports'!HS$290</f>
        <v>175.191</v>
      </c>
      <c r="S131" s="146">
        <f>'[2]EU Sun Meal Imports'!IE$290</f>
        <v>203.702</v>
      </c>
      <c r="T131" s="146">
        <f>'[2]EU Sun Meal Imports'!IQ$290</f>
        <v>258.23600000000005</v>
      </c>
      <c r="U131" s="146">
        <f>'[2]EU Sun Meal Imports'!JC$290</f>
        <v>376.67499999999995</v>
      </c>
      <c r="V131" s="146">
        <f>'[2]EU Sun Meal Imports'!JO$290</f>
        <v>332.71199999999999</v>
      </c>
      <c r="W131" s="146">
        <f>'[2]EU Sun Meal Imports'!KA$290</f>
        <v>290.68899999999996</v>
      </c>
      <c r="X131" s="146">
        <f>'[2]EU Sun Meal Imports'!KM$290</f>
        <v>276.12800000000004</v>
      </c>
      <c r="Y131" s="146">
        <f>'[2]EU Sun Meal Imports'!KY$290</f>
        <v>336.31200000000001</v>
      </c>
      <c r="Z131" s="146">
        <f>'[2]EU Sun Meal Imports'!LK$290</f>
        <v>418.43099999999998</v>
      </c>
      <c r="AA131" s="146">
        <f>'[2]EU Sun Meal Imports'!LW$290</f>
        <v>390.49</v>
      </c>
      <c r="AB131" s="146">
        <f>'[2]EU Sun Meal Imports'!MI$290/1000</f>
        <v>256.99205599999999</v>
      </c>
      <c r="AC131" s="146">
        <f>'[2]EU Sun Meal Imports'!MU$290/1000</f>
        <v>252.19652400000001</v>
      </c>
      <c r="AD131" s="146">
        <f>'[2]EU Sun Meal Imports'!NG$290/1000</f>
        <v>248.45089800000008</v>
      </c>
      <c r="AE131" s="146">
        <f>'[2]EU Sun Meal Imports'!NS$290/1000</f>
        <v>281.72537800000003</v>
      </c>
      <c r="AF131" s="146">
        <f>'[2]EU Sun Meal Imports'!OE$290/1000</f>
        <v>306.26699999999994</v>
      </c>
      <c r="AG131" s="146">
        <f>'[2]EU Sun Meal Imports'!OQ$290/1000</f>
        <v>256.51553900000005</v>
      </c>
      <c r="AH131" s="253">
        <f t="shared" si="103"/>
        <v>309.10576375096866</v>
      </c>
      <c r="AI131" s="253">
        <f t="shared" si="103"/>
        <v>300.15162837961697</v>
      </c>
      <c r="AJ131" s="253">
        <f t="shared" si="103"/>
        <v>290.34754930621864</v>
      </c>
      <c r="AK131" s="253">
        <f t="shared" si="103"/>
        <v>288.76912974633899</v>
      </c>
      <c r="AL131" s="253">
        <f t="shared" si="103"/>
        <v>284.11313028754086</v>
      </c>
      <c r="AM131" s="253">
        <f t="shared" si="103"/>
        <v>281.70803720551851</v>
      </c>
      <c r="AN131" s="291"/>
      <c r="AO131" s="291"/>
      <c r="AP131" s="291"/>
    </row>
    <row r="132" spans="1:42">
      <c r="A132" s="240" t="s">
        <v>232</v>
      </c>
      <c r="B132" s="290">
        <f t="shared" si="101"/>
        <v>123.04984037125318</v>
      </c>
      <c r="C132" s="290">
        <f t="shared" si="102"/>
        <v>152.54927755481768</v>
      </c>
      <c r="D132" s="290">
        <f t="shared" si="102"/>
        <v>146.83398379070195</v>
      </c>
      <c r="E132" s="146">
        <f>'[2]EU Sun Meal Imports'!BT$290</f>
        <v>77.271999999999991</v>
      </c>
      <c r="F132" s="146">
        <f>'[2]EU Sun Meal Imports'!CF$290</f>
        <v>158.529</v>
      </c>
      <c r="G132" s="146">
        <f>'[2]EU Sun Meal Imports'!CR$290</f>
        <v>99.332999999999998</v>
      </c>
      <c r="H132" s="146">
        <f>'[2]EU Sun Meal Imports'!DD$290</f>
        <v>87.244</v>
      </c>
      <c r="I132" s="146">
        <f>'[2]EU Sun Meal Imports'!DP$290</f>
        <v>190.56700000000001</v>
      </c>
      <c r="J132" s="146">
        <f>'[2]EU Sun Meal Imports'!EB$290</f>
        <v>83.555999999999983</v>
      </c>
      <c r="K132" s="146">
        <f>'[2]EU Sun Meal Imports'!EN$290</f>
        <v>158.922</v>
      </c>
      <c r="L132" s="146">
        <f>'[2]EU Sun Meal Imports'!EZ$290</f>
        <v>184.32099999999997</v>
      </c>
      <c r="M132" s="146">
        <f>'[2]EU Sun Meal Imports'!FL$290</f>
        <v>139.73099999999999</v>
      </c>
      <c r="N132" s="146">
        <f>'[2]EU Sun Meal Imports'!FX$290</f>
        <v>151.18</v>
      </c>
      <c r="O132" s="146">
        <f>'[2]EU Sun Meal Imports'!GJ$290</f>
        <v>157.79900000000001</v>
      </c>
      <c r="P132" s="146">
        <f>'[2]EU Sun Meal Imports'!GV$290</f>
        <v>129.85899999999998</v>
      </c>
      <c r="Q132" s="146">
        <f>'[2]EU Sun Meal Imports'!HH$290</f>
        <v>175.95899999999997</v>
      </c>
      <c r="R132" s="146">
        <f>'[2]EU Sun Meal Imports'!HT$290</f>
        <v>161.93299999999999</v>
      </c>
      <c r="S132" s="146">
        <f>'[2]EU Sun Meal Imports'!IF$290</f>
        <v>178.66600000000003</v>
      </c>
      <c r="T132" s="146">
        <f>'[2]EU Sun Meal Imports'!IR$290</f>
        <v>256.31099999999998</v>
      </c>
      <c r="U132" s="146">
        <f>'[2]EU Sun Meal Imports'!JD$290</f>
        <v>293.36899999999997</v>
      </c>
      <c r="V132" s="146">
        <f>'[2]EU Sun Meal Imports'!JP$290</f>
        <v>271.27199999999999</v>
      </c>
      <c r="W132" s="146">
        <f>'[2]EU Sun Meal Imports'!KB$290</f>
        <v>352.483</v>
      </c>
      <c r="X132" s="146">
        <f>'[2]EU Sun Meal Imports'!KN$290</f>
        <v>294.52699999999999</v>
      </c>
      <c r="Y132" s="146">
        <f>'[2]EU Sun Meal Imports'!KZ$290</f>
        <v>303.70999999999998</v>
      </c>
      <c r="Z132" s="146">
        <f>'[2]EU Sun Meal Imports'!LL$290</f>
        <v>338.55900000000003</v>
      </c>
      <c r="AA132" s="146">
        <f>'[2]EU Sun Meal Imports'!LX$290</f>
        <v>323.99400000000003</v>
      </c>
      <c r="AB132" s="146">
        <f>'[2]EU Sun Meal Imports'!MJ$290/1000</f>
        <v>257.44800799999996</v>
      </c>
      <c r="AC132" s="146">
        <f>'[2]EU Sun Meal Imports'!MV$290/1000</f>
        <v>232.30699100000004</v>
      </c>
      <c r="AD132" s="146">
        <f>'[2]EU Sun Meal Imports'!NH$290/1000</f>
        <v>302.84898100000004</v>
      </c>
      <c r="AE132" s="146">
        <f>'[2]EU Sun Meal Imports'!NT$290/1000</f>
        <v>201.97402899999994</v>
      </c>
      <c r="AF132" s="146">
        <f>'[2]EU Sun Meal Imports'!OF$290/1000</f>
        <v>299.97382099999993</v>
      </c>
      <c r="AG132" s="253">
        <f>(SUM(AA132:AE132)/SUM(AA$140:AE$140))*AG$140</f>
        <v>301.7634379558541</v>
      </c>
      <c r="AH132" s="253">
        <f t="shared" si="103"/>
        <v>297.37214554124239</v>
      </c>
      <c r="AI132" s="253">
        <f t="shared" si="103"/>
        <v>298.7485360305331</v>
      </c>
      <c r="AJ132" s="253">
        <f t="shared" si="103"/>
        <v>290.73435141192323</v>
      </c>
      <c r="AK132" s="253">
        <f t="shared" si="103"/>
        <v>278.05606385898921</v>
      </c>
      <c r="AL132" s="253">
        <f t="shared" si="103"/>
        <v>289.20420985724354</v>
      </c>
      <c r="AM132" s="253">
        <f t="shared" si="103"/>
        <v>285.95541244499879</v>
      </c>
      <c r="AN132" s="291"/>
      <c r="AO132" s="291"/>
      <c r="AP132" s="291"/>
    </row>
    <row r="133" spans="1:42">
      <c r="A133" s="240" t="s">
        <v>233</v>
      </c>
      <c r="B133" s="290">
        <f t="shared" si="101"/>
        <v>130.11885110735432</v>
      </c>
      <c r="C133" s="290">
        <f t="shared" si="102"/>
        <v>150.90118786219256</v>
      </c>
      <c r="D133" s="290">
        <f t="shared" si="102"/>
        <v>170.76654846764478</v>
      </c>
      <c r="E133" s="146">
        <f>'[2]EU Sun Meal Imports'!BU$290</f>
        <v>98.574999999999989</v>
      </c>
      <c r="F133" s="146">
        <f>'[2]EU Sun Meal Imports'!CG$290</f>
        <v>77.891999999999996</v>
      </c>
      <c r="G133" s="146">
        <f>'[2]EU Sun Meal Imports'!CS$290</f>
        <v>173.10399999999998</v>
      </c>
      <c r="H133" s="146">
        <f>'[2]EU Sun Meal Imports'!DE$290</f>
        <v>161.41200000000001</v>
      </c>
      <c r="I133" s="146">
        <f>'[2]EU Sun Meal Imports'!DQ$290</f>
        <v>185.96800000000002</v>
      </c>
      <c r="J133" s="146">
        <f>'[2]EU Sun Meal Imports'!EC$290</f>
        <v>104.68700000000001</v>
      </c>
      <c r="K133" s="146">
        <f>'[2]EU Sun Meal Imports'!EO$290</f>
        <v>165.63600000000002</v>
      </c>
      <c r="L133" s="146">
        <f>'[2]EU Sun Meal Imports'!FA$290</f>
        <v>123.33700000000002</v>
      </c>
      <c r="M133" s="146">
        <f>'[2]EU Sun Meal Imports'!FM$290</f>
        <v>132.67599999999999</v>
      </c>
      <c r="N133" s="146">
        <f>'[2]EU Sun Meal Imports'!FY$290</f>
        <v>187.018</v>
      </c>
      <c r="O133" s="146">
        <f>'[2]EU Sun Meal Imports'!GK$290</f>
        <v>191.76499999999999</v>
      </c>
      <c r="P133" s="146">
        <f>'[2]EU Sun Meal Imports'!GW$290</f>
        <v>119.852</v>
      </c>
      <c r="Q133" s="146">
        <f>'[2]EU Sun Meal Imports'!HI$290</f>
        <v>246.19800000000004</v>
      </c>
      <c r="R133" s="146">
        <f>'[2]EU Sun Meal Imports'!HU$290</f>
        <v>175.00500000000002</v>
      </c>
      <c r="S133" s="146">
        <f>'[2]EU Sun Meal Imports'!IG$290</f>
        <v>214.26400000000001</v>
      </c>
      <c r="T133" s="146">
        <f>'[2]EU Sun Meal Imports'!IS$290</f>
        <v>294.012</v>
      </c>
      <c r="U133" s="146">
        <f>'[2]EU Sun Meal Imports'!JE$290</f>
        <v>220.959</v>
      </c>
      <c r="V133" s="146">
        <f>'[2]EU Sun Meal Imports'!JQ$290</f>
        <v>387.05399999999997</v>
      </c>
      <c r="W133" s="146">
        <f>'[2]EU Sun Meal Imports'!KC$290</f>
        <v>303.97899999999998</v>
      </c>
      <c r="X133" s="146">
        <f>'[2]EU Sun Meal Imports'!KO$290</f>
        <v>346.29</v>
      </c>
      <c r="Y133" s="146">
        <f>'[2]EU Sun Meal Imports'!LA$290</f>
        <v>442.78100000000001</v>
      </c>
      <c r="Z133" s="146">
        <f>'[2]EU Sun Meal Imports'!LM$290</f>
        <v>347.791</v>
      </c>
      <c r="AA133" s="146">
        <f>'[2]EU Sun Meal Imports'!LY$290</f>
        <v>348.66800000000001</v>
      </c>
      <c r="AB133" s="146">
        <f>'[2]EU Sun Meal Imports'!MK$290/1000</f>
        <v>287.11764099999999</v>
      </c>
      <c r="AC133" s="146">
        <f>'[2]EU Sun Meal Imports'!MW$290/1000</f>
        <v>318.19003600000002</v>
      </c>
      <c r="AD133" s="146">
        <f>'[2]EU Sun Meal Imports'!NI$290/1000</f>
        <v>252.08417600000001</v>
      </c>
      <c r="AE133" s="146">
        <f>'[2]EU Sun Meal Imports'!NU$290/1000</f>
        <v>273.64910000000003</v>
      </c>
      <c r="AF133" s="146">
        <f>'[2]EU Sun Meal Imports'!OG$290/1000</f>
        <v>322.99457899999999</v>
      </c>
      <c r="AG133" s="253">
        <f t="shared" ref="AG133:AG138" si="104">(SUM(AA133:AE133)/SUM(AA$140:AE$140))*AG$140</f>
        <v>338.64063379441666</v>
      </c>
      <c r="AH133" s="253">
        <f t="shared" si="103"/>
        <v>334.00722614871421</v>
      </c>
      <c r="AI133" s="253">
        <f t="shared" si="103"/>
        <v>335.94323996349846</v>
      </c>
      <c r="AJ133" s="253">
        <f t="shared" si="103"/>
        <v>315.05518155322636</v>
      </c>
      <c r="AK133" s="253">
        <f t="shared" si="103"/>
        <v>318.85631554975163</v>
      </c>
      <c r="AL133" s="253">
        <f t="shared" si="103"/>
        <v>319.90993877004558</v>
      </c>
      <c r="AM133" s="253">
        <f t="shared" si="103"/>
        <v>320.23635539181026</v>
      </c>
      <c r="AN133" s="291"/>
      <c r="AO133" s="291"/>
      <c r="AP133" s="291"/>
    </row>
    <row r="134" spans="1:42">
      <c r="A134" s="240" t="s">
        <v>234</v>
      </c>
      <c r="B134" s="290">
        <f t="shared" si="101"/>
        <v>145.29418946827329</v>
      </c>
      <c r="C134" s="290">
        <f t="shared" si="102"/>
        <v>176.75052087060638</v>
      </c>
      <c r="D134" s="290">
        <f t="shared" si="102"/>
        <v>188.37020974956289</v>
      </c>
      <c r="E134" s="146">
        <f>'[2]EU Sun Meal Imports'!BV$290</f>
        <v>215.601</v>
      </c>
      <c r="F134" s="146">
        <f>'[2]EU Sun Meal Imports'!CH$290</f>
        <v>167.501</v>
      </c>
      <c r="G134" s="146">
        <f>'[2]EU Sun Meal Imports'!CT$290</f>
        <v>240.30400000000003</v>
      </c>
      <c r="H134" s="146">
        <f>'[2]EU Sun Meal Imports'!DF$290</f>
        <v>222.83699999999999</v>
      </c>
      <c r="I134" s="146">
        <f>'[2]EU Sun Meal Imports'!DR$290</f>
        <v>117.03300000000002</v>
      </c>
      <c r="J134" s="146">
        <f>'[2]EU Sun Meal Imports'!ED$290</f>
        <v>169.88200000000001</v>
      </c>
      <c r="K134" s="146">
        <f>'[2]EU Sun Meal Imports'!EP$290</f>
        <v>185.12400000000002</v>
      </c>
      <c r="L134" s="146">
        <f>'[2]EU Sun Meal Imports'!FB$290</f>
        <v>174.30599999999998</v>
      </c>
      <c r="M134" s="146">
        <f>'[2]EU Sun Meal Imports'!FN$290</f>
        <v>179.72899999999998</v>
      </c>
      <c r="N134" s="146">
        <f>'[2]EU Sun Meal Imports'!FZ$290</f>
        <v>186.70700000000002</v>
      </c>
      <c r="O134" s="146">
        <f>'[2]EU Sun Meal Imports'!GL$290</f>
        <v>165.834</v>
      </c>
      <c r="P134" s="146">
        <f>'[2]EU Sun Meal Imports'!GX$290</f>
        <v>177.34299999999999</v>
      </c>
      <c r="Q134" s="146">
        <f>'[2]EU Sun Meal Imports'!HJ$290</f>
        <v>258.35500000000002</v>
      </c>
      <c r="R134" s="146">
        <f>'[2]EU Sun Meal Imports'!HV$290</f>
        <v>150.19500000000002</v>
      </c>
      <c r="S134" s="146">
        <f>'[2]EU Sun Meal Imports'!IH$290</f>
        <v>239.70300000000003</v>
      </c>
      <c r="T134" s="146">
        <f>'[2]EU Sun Meal Imports'!IT$290</f>
        <v>391.202</v>
      </c>
      <c r="U134" s="146">
        <f>'[2]EU Sun Meal Imports'!JF$290</f>
        <v>342.96700000000004</v>
      </c>
      <c r="V134" s="146">
        <f>'[2]EU Sun Meal Imports'!JR$290</f>
        <v>374.98200000000003</v>
      </c>
      <c r="W134" s="146">
        <f>'[2]EU Sun Meal Imports'!KD$290</f>
        <v>337.565</v>
      </c>
      <c r="X134" s="146">
        <f>'[2]EU Sun Meal Imports'!KP$290</f>
        <v>286.61700000000002</v>
      </c>
      <c r="Y134" s="146">
        <f>'[2]EU Sun Meal Imports'!LB$290</f>
        <v>362.63400000000001</v>
      </c>
      <c r="Z134" s="146">
        <f>'[2]EU Sun Meal Imports'!LN$290</f>
        <v>320.49</v>
      </c>
      <c r="AA134" s="146">
        <f>'[2]EU Sun Meal Imports'!LZ$290</f>
        <v>348.798</v>
      </c>
      <c r="AB134" s="146">
        <f>'[2]EU Sun Meal Imports'!ML$290/1000</f>
        <v>336.63033399999995</v>
      </c>
      <c r="AC134" s="146">
        <f>'[2]EU Sun Meal Imports'!MX$290/1000</f>
        <v>211.48596099999997</v>
      </c>
      <c r="AD134" s="146">
        <f>'[2]EU Sun Meal Imports'!NJ$290/1000</f>
        <v>210.22265000000002</v>
      </c>
      <c r="AE134" s="146">
        <f>'[2]EU Sun Meal Imports'!NV$290/1000</f>
        <v>207.53757700000003</v>
      </c>
      <c r="AF134" s="146">
        <f>'[2]EU Sun Meal Imports'!OH$290/1000</f>
        <v>378.46413099999995</v>
      </c>
      <c r="AG134" s="253">
        <f t="shared" si="104"/>
        <v>300.87147371842104</v>
      </c>
      <c r="AH134" s="253">
        <f t="shared" si="103"/>
        <v>308.80916086683442</v>
      </c>
      <c r="AI134" s="253">
        <f t="shared" si="103"/>
        <v>291.99077947707013</v>
      </c>
      <c r="AJ134" s="253">
        <f t="shared" si="103"/>
        <v>291.14284416068256</v>
      </c>
      <c r="AK134" s="253">
        <f t="shared" si="103"/>
        <v>295.50441884039225</v>
      </c>
      <c r="AL134" s="253">
        <f t="shared" si="103"/>
        <v>305.26849257624337</v>
      </c>
      <c r="AM134" s="253">
        <f t="shared" si="103"/>
        <v>290.17533955324154</v>
      </c>
      <c r="AN134" s="291"/>
      <c r="AO134" s="291"/>
      <c r="AP134" s="291"/>
    </row>
    <row r="135" spans="1:42">
      <c r="A135" s="240" t="s">
        <v>46</v>
      </c>
      <c r="B135" s="290">
        <f t="shared" si="101"/>
        <v>153.23999492404926</v>
      </c>
      <c r="C135" s="290">
        <f t="shared" si="102"/>
        <v>216.10571095488635</v>
      </c>
      <c r="D135" s="290">
        <f t="shared" si="102"/>
        <v>219.4285802076883</v>
      </c>
      <c r="E135" s="146">
        <f>'[2]EU Sun Meal Imports'!BW$290</f>
        <v>222.584</v>
      </c>
      <c r="F135" s="146">
        <f>'[2]EU Sun Meal Imports'!CI$290</f>
        <v>219.10300000000001</v>
      </c>
      <c r="G135" s="146">
        <f>'[2]EU Sun Meal Imports'!CU$290</f>
        <v>264.87</v>
      </c>
      <c r="H135" s="146">
        <f>'[2]EU Sun Meal Imports'!DG$290</f>
        <v>222.67099999999999</v>
      </c>
      <c r="I135" s="146">
        <f>'[2]EU Sun Meal Imports'!DS$290</f>
        <v>169.05600000000001</v>
      </c>
      <c r="J135" s="146">
        <f>'[2]EU Sun Meal Imports'!EE$290</f>
        <v>159.696</v>
      </c>
      <c r="K135" s="146">
        <f>'[2]EU Sun Meal Imports'!EQ$290</f>
        <v>187.84399999999999</v>
      </c>
      <c r="L135" s="146">
        <f>'[2]EU Sun Meal Imports'!FC$290</f>
        <v>216.83600000000001</v>
      </c>
      <c r="M135" s="146">
        <f>'[2]EU Sun Meal Imports'!FO$290</f>
        <v>181.619</v>
      </c>
      <c r="N135" s="146">
        <f>'[2]EU Sun Meal Imports'!GA$290</f>
        <v>235.28899999999999</v>
      </c>
      <c r="O135" s="146">
        <f>'[2]EU Sun Meal Imports'!GM$290</f>
        <v>253.81800000000001</v>
      </c>
      <c r="P135" s="146">
        <f>'[2]EU Sun Meal Imports'!GY$290</f>
        <v>193.17000000000002</v>
      </c>
      <c r="Q135" s="146">
        <f>'[2]EU Sun Meal Imports'!HK$290</f>
        <v>263.67</v>
      </c>
      <c r="R135" s="146">
        <f>'[2]EU Sun Meal Imports'!HW$290</f>
        <v>165.19</v>
      </c>
      <c r="S135" s="146">
        <f>'[2]EU Sun Meal Imports'!II$290</f>
        <v>221.82900000000004</v>
      </c>
      <c r="T135" s="146">
        <f>'[2]EU Sun Meal Imports'!IU$290</f>
        <v>505.85399999999998</v>
      </c>
      <c r="U135" s="146">
        <f>'[2]EU Sun Meal Imports'!JG$290</f>
        <v>310.00600000000003</v>
      </c>
      <c r="V135" s="146">
        <f>'[2]EU Sun Meal Imports'!JS$290</f>
        <v>368.03300000000002</v>
      </c>
      <c r="W135" s="146">
        <f>'[2]EU Sun Meal Imports'!KE$290</f>
        <v>307.98599999999999</v>
      </c>
      <c r="X135" s="146">
        <f>'[2]EU Sun Meal Imports'!KQ$290</f>
        <v>336.24599999999998</v>
      </c>
      <c r="Y135" s="146">
        <f>'[2]EU Sun Meal Imports'!LC$290</f>
        <v>419.09100000000001</v>
      </c>
      <c r="Z135" s="146">
        <f>'[2]EU Sun Meal Imports'!LO$290</f>
        <v>341.113</v>
      </c>
      <c r="AA135" s="146">
        <f>'[2]EU Sun Meal Imports'!MA$290</f>
        <v>367.57799999999997</v>
      </c>
      <c r="AB135" s="146">
        <f>'[2]EU Sun Meal Imports'!MM$290/1000</f>
        <v>268.95570500000008</v>
      </c>
      <c r="AC135" s="146">
        <f>'[2]EU Sun Meal Imports'!MY$290/1000</f>
        <v>237.18301400000001</v>
      </c>
      <c r="AD135" s="146">
        <f>'[2]EU Sun Meal Imports'!NK$290/1000</f>
        <v>256.79758499999997</v>
      </c>
      <c r="AE135" s="146">
        <f>'[2]EU Sun Meal Imports'!NW$290/1000</f>
        <v>276.83520600000003</v>
      </c>
      <c r="AF135" s="146">
        <f>'[2]EU Sun Meal Imports'!OI$290/1000</f>
        <v>308.55071099999992</v>
      </c>
      <c r="AG135" s="253">
        <f t="shared" si="104"/>
        <v>322.08072342227814</v>
      </c>
      <c r="AH135" s="253">
        <f t="shared" si="103"/>
        <v>309.72376883488948</v>
      </c>
      <c r="AI135" s="253">
        <f t="shared" si="103"/>
        <v>312.71233797683766</v>
      </c>
      <c r="AJ135" s="253">
        <f t="shared" si="103"/>
        <v>305.2418614131268</v>
      </c>
      <c r="AK135" s="253">
        <f t="shared" si="103"/>
        <v>303.89271372798521</v>
      </c>
      <c r="AL135" s="253">
        <f t="shared" si="103"/>
        <v>302.74887351356602</v>
      </c>
      <c r="AM135" s="253">
        <f t="shared" si="103"/>
        <v>302.91316708571469</v>
      </c>
      <c r="AN135" s="291"/>
      <c r="AO135" s="291"/>
      <c r="AP135" s="291"/>
    </row>
    <row r="136" spans="1:42">
      <c r="A136" s="240" t="s">
        <v>235</v>
      </c>
      <c r="B136" s="290">
        <f t="shared" si="101"/>
        <v>128.17640712656802</v>
      </c>
      <c r="C136" s="290">
        <f t="shared" si="102"/>
        <v>169.72684331012849</v>
      </c>
      <c r="D136" s="290">
        <f t="shared" si="102"/>
        <v>184.59703749920516</v>
      </c>
      <c r="E136" s="146">
        <f>'[2]EU Sun Meal Imports'!BX$290</f>
        <v>188.411</v>
      </c>
      <c r="F136" s="146">
        <f>'[2]EU Sun Meal Imports'!CJ$290</f>
        <v>160.59899999999999</v>
      </c>
      <c r="G136" s="146">
        <f>'[2]EU Sun Meal Imports'!CV$290</f>
        <v>254.04599999999999</v>
      </c>
      <c r="H136" s="146">
        <f>'[2]EU Sun Meal Imports'!DH$290</f>
        <v>164.208</v>
      </c>
      <c r="I136" s="146">
        <f>'[2]EU Sun Meal Imports'!DT$290</f>
        <v>154.51400000000001</v>
      </c>
      <c r="J136" s="146">
        <f>'[2]EU Sun Meal Imports'!EF$290</f>
        <v>158.93400000000003</v>
      </c>
      <c r="K136" s="146">
        <f>'[2]EU Sun Meal Imports'!ER$290</f>
        <v>175.29999999999998</v>
      </c>
      <c r="L136" s="146">
        <f>'[2]EU Sun Meal Imports'!FD$290</f>
        <v>181.512</v>
      </c>
      <c r="M136" s="146">
        <f>'[2]EU Sun Meal Imports'!FP$290</f>
        <v>136.327</v>
      </c>
      <c r="N136" s="146">
        <f>'[2]EU Sun Meal Imports'!GB$290</f>
        <v>213.55799999999999</v>
      </c>
      <c r="O136" s="146">
        <f>'[2]EU Sun Meal Imports'!GN$290</f>
        <v>190.32300000000001</v>
      </c>
      <c r="P136" s="146">
        <f>'[2]EU Sun Meal Imports'!GZ$290</f>
        <v>127.07400000000001</v>
      </c>
      <c r="Q136" s="146">
        <f>'[2]EU Sun Meal Imports'!HL$290</f>
        <v>281.29700000000003</v>
      </c>
      <c r="R136" s="146">
        <f>'[2]EU Sun Meal Imports'!HX$290</f>
        <v>171</v>
      </c>
      <c r="S136" s="146">
        <f>'[2]EU Sun Meal Imports'!IJ$290</f>
        <v>186.86199999999999</v>
      </c>
      <c r="T136" s="146">
        <f>'[2]EU Sun Meal Imports'!IV$290</f>
        <v>465.23899999999998</v>
      </c>
      <c r="U136" s="146">
        <f>'[2]EU Sun Meal Imports'!JH$290</f>
        <v>186.458</v>
      </c>
      <c r="V136" s="146">
        <f>'[2]EU Sun Meal Imports'!JT$290</f>
        <v>311.83999999999997</v>
      </c>
      <c r="W136" s="146">
        <f>'[2]EU Sun Meal Imports'!KF$290</f>
        <v>239.39</v>
      </c>
      <c r="X136" s="146">
        <f>'[2]EU Sun Meal Imports'!KR$290</f>
        <v>326.19400000000002</v>
      </c>
      <c r="Y136" s="146">
        <f>'[2]EU Sun Meal Imports'!LD$290</f>
        <v>348.55099999999999</v>
      </c>
      <c r="Z136" s="146">
        <f>'[2]EU Sun Meal Imports'!LP$290</f>
        <v>298.565</v>
      </c>
      <c r="AA136" s="146">
        <f>'[2]EU Sun Meal Imports'!MB$290</f>
        <v>336.596</v>
      </c>
      <c r="AB136" s="146">
        <f>'[2]EU Sun Meal Imports'!MN$290/1000</f>
        <v>249.02182399999998</v>
      </c>
      <c r="AC136" s="146">
        <f>'[2]EU Sun Meal Imports'!MZ$290/1000</f>
        <v>230.41413999999997</v>
      </c>
      <c r="AD136" s="146">
        <f>'[2]EU Sun Meal Imports'!NL$290/1000</f>
        <v>219.49165199999996</v>
      </c>
      <c r="AE136" s="146">
        <f>'[2]EU Sun Meal Imports'!NX$290/1000</f>
        <v>243.00130200000001</v>
      </c>
      <c r="AF136" s="146">
        <f>'[2]EU Sun Meal Imports'!OJ$290/1000</f>
        <v>343.36125400000003</v>
      </c>
      <c r="AG136" s="253">
        <f t="shared" si="104"/>
        <v>292.5984111102926</v>
      </c>
      <c r="AH136" s="253">
        <f t="shared" si="103"/>
        <v>295.24464546986309</v>
      </c>
      <c r="AI136" s="253">
        <f t="shared" si="103"/>
        <v>296.51707136145006</v>
      </c>
      <c r="AJ136" s="253">
        <f t="shared" si="103"/>
        <v>288.6147980474035</v>
      </c>
      <c r="AK136" s="253">
        <f t="shared" si="103"/>
        <v>292.13746322919621</v>
      </c>
      <c r="AL136" s="253">
        <f t="shared" si="103"/>
        <v>294.5943017347559</v>
      </c>
      <c r="AM136" s="253">
        <f t="shared" si="103"/>
        <v>285.65084318090794</v>
      </c>
      <c r="AN136" s="291"/>
      <c r="AO136" s="291"/>
      <c r="AP136" s="291"/>
    </row>
    <row r="137" spans="1:42">
      <c r="A137" s="240" t="s">
        <v>236</v>
      </c>
      <c r="B137" s="290">
        <f t="shared" si="101"/>
        <v>118.08228696041475</v>
      </c>
      <c r="C137" s="290">
        <f t="shared" si="102"/>
        <v>123.20980168119158</v>
      </c>
      <c r="D137" s="290">
        <f t="shared" si="102"/>
        <v>153.35437728291333</v>
      </c>
      <c r="E137" s="146">
        <f>'[2]EU Sun Meal Imports'!BY$290</f>
        <v>118.54899999999999</v>
      </c>
      <c r="F137" s="146">
        <f>'[2]EU Sun Meal Imports'!CK$290</f>
        <v>171.99199999999999</v>
      </c>
      <c r="G137" s="146">
        <f>'[2]EU Sun Meal Imports'!CW$290</f>
        <v>205.89099999999999</v>
      </c>
      <c r="H137" s="146">
        <f>'[2]EU Sun Meal Imports'!DI$290</f>
        <v>122.14000000000001</v>
      </c>
      <c r="I137" s="146">
        <f>'[2]EU Sun Meal Imports'!DU$290</f>
        <v>123.22399999999999</v>
      </c>
      <c r="J137" s="146">
        <f>'[2]EU Sun Meal Imports'!EG$290</f>
        <v>108.952</v>
      </c>
      <c r="K137" s="146">
        <f>'[2]EU Sun Meal Imports'!ES$290</f>
        <v>185.93899999999999</v>
      </c>
      <c r="L137" s="146">
        <f>'[2]EU Sun Meal Imports'!FE$290</f>
        <v>109.443</v>
      </c>
      <c r="M137" s="146">
        <f>'[2]EU Sun Meal Imports'!FQ$290</f>
        <v>161.85500000000002</v>
      </c>
      <c r="N137" s="146">
        <f>'[2]EU Sun Meal Imports'!GC$290</f>
        <v>117.64699999999999</v>
      </c>
      <c r="O137" s="146">
        <f>'[2]EU Sun Meal Imports'!GO$290</f>
        <v>95.512</v>
      </c>
      <c r="P137" s="146">
        <f>'[2]EU Sun Meal Imports'!HA$290</f>
        <v>131.708</v>
      </c>
      <c r="Q137" s="146">
        <f>'[2]EU Sun Meal Imports'!HM$290</f>
        <v>281.31200000000001</v>
      </c>
      <c r="R137" s="146">
        <f>'[2]EU Sun Meal Imports'!HY$290</f>
        <v>164.7</v>
      </c>
      <c r="S137" s="146">
        <f>'[2]EU Sun Meal Imports'!IK$290</f>
        <v>184.63899999999995</v>
      </c>
      <c r="T137" s="146">
        <f>'[2]EU Sun Meal Imports'!IW$290</f>
        <v>464.65899999999999</v>
      </c>
      <c r="U137" s="146">
        <f>'[2]EU Sun Meal Imports'!JI$290</f>
        <v>170.00300000000004</v>
      </c>
      <c r="V137" s="146">
        <f>'[2]EU Sun Meal Imports'!JU$290</f>
        <v>260.95799999999997</v>
      </c>
      <c r="W137" s="146">
        <f>'[2]EU Sun Meal Imports'!KG$290</f>
        <v>250.45500000000001</v>
      </c>
      <c r="X137" s="146">
        <f>'[2]EU Sun Meal Imports'!KS$290</f>
        <v>262.625</v>
      </c>
      <c r="Y137" s="146">
        <f>'[2]EU Sun Meal Imports'!LE$290</f>
        <v>329.15800000000002</v>
      </c>
      <c r="Z137" s="146">
        <f>'[2]EU Sun Meal Imports'!LQ$290</f>
        <v>203.06700000000001</v>
      </c>
      <c r="AA137" s="146">
        <f>'[2]EU Sun Meal Imports'!MC$290/1000</f>
        <v>342.59382599999998</v>
      </c>
      <c r="AB137" s="146">
        <f>'[2]EU Sun Meal Imports'!MO$290/1000</f>
        <v>217.495116</v>
      </c>
      <c r="AC137" s="146">
        <f>'[2]EU Sun Meal Imports'!NA$290/1000</f>
        <v>192.22304699999998</v>
      </c>
      <c r="AD137" s="146">
        <f>'[2]EU Sun Meal Imports'!NM$290/1000</f>
        <v>182.68085599999995</v>
      </c>
      <c r="AE137" s="146">
        <f>'[2]EU Sun Meal Imports'!NY$290/1000</f>
        <v>209.42541999999995</v>
      </c>
      <c r="AF137" s="146">
        <f>'[2]EU Sun Meal Imports'!OK$290/1000</f>
        <v>140.46801200000004</v>
      </c>
      <c r="AG137" s="253">
        <f t="shared" si="104"/>
        <v>261.90726615513466</v>
      </c>
      <c r="AH137" s="253">
        <f t="shared" si="103"/>
        <v>216.45446817002761</v>
      </c>
      <c r="AI137" s="253">
        <f t="shared" si="103"/>
        <v>220.1686185824031</v>
      </c>
      <c r="AJ137" s="253">
        <f t="shared" si="103"/>
        <v>209.35041155448971</v>
      </c>
      <c r="AK137" s="253">
        <f t="shared" si="103"/>
        <v>208.25398850257304</v>
      </c>
      <c r="AL137" s="253">
        <f t="shared" si="103"/>
        <v>203.67355198143682</v>
      </c>
      <c r="AM137" s="253">
        <f t="shared" si="103"/>
        <v>217.61117825096525</v>
      </c>
      <c r="AN137" s="291"/>
      <c r="AO137" s="291"/>
      <c r="AP137" s="291"/>
    </row>
    <row r="138" spans="1:42">
      <c r="A138" s="240" t="s">
        <v>237</v>
      </c>
      <c r="B138" s="290">
        <f t="shared" si="101"/>
        <v>70.94761342017415</v>
      </c>
      <c r="C138" s="290">
        <f t="shared" si="102"/>
        <v>131.76619065806983</v>
      </c>
      <c r="D138" s="290">
        <f t="shared" si="102"/>
        <v>151.25849481675453</v>
      </c>
      <c r="E138" s="146">
        <f>'[2]EU Sun Meal Imports'!BZ$290</f>
        <v>123.271</v>
      </c>
      <c r="F138" s="146">
        <f>'[2]EU Sun Meal Imports'!CL$290</f>
        <v>190.79599999999999</v>
      </c>
      <c r="G138" s="146">
        <f>'[2]EU Sun Meal Imports'!CX$290</f>
        <v>217.28200000000001</v>
      </c>
      <c r="H138" s="146">
        <f>'[2]EU Sun Meal Imports'!DJ$290</f>
        <v>147.238</v>
      </c>
      <c r="I138" s="146">
        <f>'[2]EU Sun Meal Imports'!DV$290</f>
        <v>99.372</v>
      </c>
      <c r="J138" s="146">
        <f>'[2]EU Sun Meal Imports'!EH$290</f>
        <v>137.21199999999999</v>
      </c>
      <c r="K138" s="146">
        <f>'[2]EU Sun Meal Imports'!ET$290</f>
        <v>115.80199999999999</v>
      </c>
      <c r="L138" s="146">
        <f>'[2]EU Sun Meal Imports'!FF$290</f>
        <v>99.700999999999993</v>
      </c>
      <c r="M138" s="146">
        <f>'[2]EU Sun Meal Imports'!FR$290</f>
        <v>126.99299999999999</v>
      </c>
      <c r="N138" s="146">
        <f>'[2]EU Sun Meal Imports'!GD$290</f>
        <v>168.51400000000001</v>
      </c>
      <c r="O138" s="146">
        <f>'[2]EU Sun Meal Imports'!GP$290</f>
        <v>136.99700000000001</v>
      </c>
      <c r="P138" s="146">
        <f>'[2]EU Sun Meal Imports'!HB$290</f>
        <v>126.75</v>
      </c>
      <c r="Q138" s="146">
        <f>'[2]EU Sun Meal Imports'!HN$290</f>
        <v>218.01</v>
      </c>
      <c r="R138" s="146">
        <f>'[2]EU Sun Meal Imports'!HZ$290</f>
        <v>121.98099999999999</v>
      </c>
      <c r="S138" s="146">
        <f>'[2]EU Sun Meal Imports'!IL$290</f>
        <v>171.22800000000001</v>
      </c>
      <c r="T138" s="146">
        <f>'[2]EU Sun Meal Imports'!IX$290</f>
        <v>265.13200000000001</v>
      </c>
      <c r="U138" s="146">
        <f>'[2]EU Sun Meal Imports'!JJ$290</f>
        <v>88.587000000000003</v>
      </c>
      <c r="V138" s="146">
        <f>'[2]EU Sun Meal Imports'!JV$290</f>
        <v>169.53399999999999</v>
      </c>
      <c r="W138" s="146">
        <f>'[2]EU Sun Meal Imports'!KH$290</f>
        <v>125.30000000000001</v>
      </c>
      <c r="X138" s="146">
        <f>'[2]EU Sun Meal Imports'!KT$290</f>
        <v>197.839</v>
      </c>
      <c r="Y138" s="146">
        <f>'[2]EU Sun Meal Imports'!LF$290</f>
        <v>226.32400000000001</v>
      </c>
      <c r="Z138" s="146">
        <f>'[2]EU Sun Meal Imports'!LR$290</f>
        <v>169.09399999999999</v>
      </c>
      <c r="AA138" s="146">
        <f>'[2]EU Sun Meal Imports'!MD$290/1000</f>
        <v>155.17399000000003</v>
      </c>
      <c r="AB138" s="146">
        <f>'[2]EU Sun Meal Imports'!MP$290/1000</f>
        <v>175.65294500000002</v>
      </c>
      <c r="AC138" s="146">
        <f>'[2]EU Sun Meal Imports'!NB$290/1000</f>
        <v>135.32688300000001</v>
      </c>
      <c r="AD138" s="146">
        <f>'[2]EU Sun Meal Imports'!NN$290/1000</f>
        <v>176.42199399999996</v>
      </c>
      <c r="AE138" s="146">
        <f>'[2]EU Sun Meal Imports'!NZ$290/1000</f>
        <v>257.97330900000003</v>
      </c>
      <c r="AF138" s="146">
        <f>'[2]EU Sun Meal Imports'!OL$290/1000</f>
        <v>246.29848699999997</v>
      </c>
      <c r="AG138" s="253">
        <f t="shared" si="104"/>
        <v>206.09628973329924</v>
      </c>
      <c r="AH138" s="253">
        <f t="shared" si="103"/>
        <v>227.79784063285163</v>
      </c>
      <c r="AI138" s="253">
        <f t="shared" si="103"/>
        <v>228.07036619792805</v>
      </c>
      <c r="AJ138" s="253">
        <f t="shared" si="103"/>
        <v>230.81523923307591</v>
      </c>
      <c r="AK138" s="253">
        <f t="shared" si="103"/>
        <v>231.65571304197007</v>
      </c>
      <c r="AL138" s="253">
        <f t="shared" si="103"/>
        <v>221.3004992524987</v>
      </c>
      <c r="AM138" s="253">
        <f t="shared" si="103"/>
        <v>219.22955291831994</v>
      </c>
      <c r="AN138" s="291"/>
      <c r="AO138" s="291"/>
      <c r="AP138" s="291"/>
    </row>
    <row r="139" spans="1:42">
      <c r="A139" s="240" t="s">
        <v>238</v>
      </c>
      <c r="B139" s="290">
        <f t="shared" si="101"/>
        <v>64.483054569692058</v>
      </c>
      <c r="C139" s="290">
        <f t="shared" si="102"/>
        <v>90.956074511724765</v>
      </c>
      <c r="D139" s="290">
        <f t="shared" si="102"/>
        <v>99.72489003394044</v>
      </c>
      <c r="E139" s="146">
        <f>'[2]EU Sun Meal Imports'!CA$290</f>
        <v>106.04600000000001</v>
      </c>
      <c r="F139" s="146">
        <f>'[2]EU Sun Meal Imports'!CM$290</f>
        <v>131.75700000000001</v>
      </c>
      <c r="G139" s="146">
        <f>'[2]EU Sun Meal Imports'!CY$290</f>
        <v>150.041</v>
      </c>
      <c r="H139" s="146">
        <f>'[2]EU Sun Meal Imports'!DK$290</f>
        <v>90.414000000000001</v>
      </c>
      <c r="I139" s="146">
        <f>'[2]EU Sun Meal Imports'!DW$290</f>
        <v>46.665999999999997</v>
      </c>
      <c r="J139" s="146">
        <f>'[2]EU Sun Meal Imports'!EI$290</f>
        <v>51.977000000000004</v>
      </c>
      <c r="K139" s="146">
        <f>'[2]EU Sun Meal Imports'!EU$290</f>
        <v>79.022999999999996</v>
      </c>
      <c r="L139" s="146">
        <f>'[2]EU Sun Meal Imports'!FG$290</f>
        <v>76.855000000000004</v>
      </c>
      <c r="M139" s="146">
        <f>'[2]EU Sun Meal Imports'!FS$290</f>
        <v>122.6</v>
      </c>
      <c r="N139" s="146">
        <f>'[2]EU Sun Meal Imports'!GE$290</f>
        <v>81.94</v>
      </c>
      <c r="O139" s="146">
        <f>'[2]EU Sun Meal Imports'!GQ$290</f>
        <v>63.916000000000004</v>
      </c>
      <c r="P139" s="146">
        <f>'[2]EU Sun Meal Imports'!HC$290</f>
        <v>109.55500000000001</v>
      </c>
      <c r="Q139" s="146">
        <f>'[2]EU Sun Meal Imports'!HO$290</f>
        <v>134.44</v>
      </c>
      <c r="R139" s="146">
        <f>'[2]EU Sun Meal Imports'!IA$290</f>
        <v>133.989</v>
      </c>
      <c r="S139" s="146">
        <f>'[2]EU Sun Meal Imports'!IM$290</f>
        <v>135.88900000000001</v>
      </c>
      <c r="T139" s="146">
        <f>'[2]EU Sun Meal Imports'!IY$290</f>
        <v>248.12299999999999</v>
      </c>
      <c r="U139" s="146">
        <f>'[2]EU Sun Meal Imports'!JK$290</f>
        <v>57.143999999999991</v>
      </c>
      <c r="V139" s="146">
        <f>'[2]EU Sun Meal Imports'!JW$290</f>
        <v>133.05199999999999</v>
      </c>
      <c r="W139" s="146">
        <f>'[2]EU Sun Meal Imports'!KI$290</f>
        <v>168.363</v>
      </c>
      <c r="X139" s="146">
        <f>'[2]EU Sun Meal Imports'!KU$290</f>
        <v>162.589</v>
      </c>
      <c r="Y139" s="146">
        <f>'[2]EU Sun Meal Imports'!LG$290</f>
        <v>151.83600000000001</v>
      </c>
      <c r="Z139" s="146">
        <f>'[2]EU Sun Meal Imports'!LS$290</f>
        <v>105.28100000000001</v>
      </c>
      <c r="AA139" s="146">
        <f>'[2]EU Sun Meal Imports'!ME$290/1000</f>
        <v>144.332595</v>
      </c>
      <c r="AB139" s="146">
        <f>'[2]EU Sun Meal Imports'!MQ$290/1000</f>
        <v>119.69025400000001</v>
      </c>
      <c r="AC139" s="146">
        <f>'[2]EU Sun Meal Imports'!NC$290/1000</f>
        <v>82.926658999999987</v>
      </c>
      <c r="AD139" s="146">
        <f>'[2]EU Sun Meal Imports'!NO$290/1000</f>
        <v>262.67143299999998</v>
      </c>
      <c r="AE139" s="146">
        <f>'[2]EU Sun Meal Imports'!OA$290/1000</f>
        <v>154.165426</v>
      </c>
      <c r="AF139" s="146">
        <f>'[2]EU Sun Meal Imports'!OM$290/1000</f>
        <v>143.07861800000001</v>
      </c>
      <c r="AG139" s="253">
        <f t="shared" ref="AG139:AH139" si="105">AG140-SUM(AG128:AG138)</f>
        <v>326.48222611030405</v>
      </c>
      <c r="AH139" s="253">
        <f t="shared" si="105"/>
        <v>175.16169503927267</v>
      </c>
      <c r="AI139" s="253">
        <f t="shared" ref="AI139:AM139" si="106">AI140-SUM(AI128:AI138)</f>
        <v>216.29047388068284</v>
      </c>
      <c r="AJ139" s="253">
        <f t="shared" si="106"/>
        <v>219.83378966059672</v>
      </c>
      <c r="AK139" s="253">
        <f t="shared" si="106"/>
        <v>201.6502887603865</v>
      </c>
      <c r="AL139" s="253">
        <f t="shared" si="106"/>
        <v>209.98727941930611</v>
      </c>
      <c r="AM139" s="253">
        <f t="shared" si="106"/>
        <v>222.15077155338713</v>
      </c>
    </row>
    <row r="140" spans="1:42" ht="15.75" thickBot="1">
      <c r="A140" s="240" t="s">
        <v>242</v>
      </c>
      <c r="B140" s="146">
        <f>B24</f>
        <v>1405</v>
      </c>
      <c r="C140" s="146">
        <f>C24</f>
        <v>1724</v>
      </c>
      <c r="D140" s="146">
        <f>D24</f>
        <v>1824</v>
      </c>
      <c r="E140" s="146">
        <f t="shared" ref="E140:AB140" si="107">SUM(E128:E139)</f>
        <v>1910.0000000000002</v>
      </c>
      <c r="F140" s="146">
        <f t="shared" si="107"/>
        <v>1811.029</v>
      </c>
      <c r="G140" s="146">
        <f t="shared" si="107"/>
        <v>1976.7769999999998</v>
      </c>
      <c r="H140" s="146">
        <f t="shared" si="107"/>
        <v>1740.2040000000002</v>
      </c>
      <c r="I140" s="146">
        <f t="shared" si="107"/>
        <v>1718.8200000000004</v>
      </c>
      <c r="J140" s="146">
        <f t="shared" si="107"/>
        <v>1469.9440000000002</v>
      </c>
      <c r="K140" s="146">
        <f t="shared" si="107"/>
        <v>1655.6949999999999</v>
      </c>
      <c r="L140" s="146">
        <f t="shared" si="107"/>
        <v>1760.153</v>
      </c>
      <c r="M140" s="146">
        <f t="shared" si="107"/>
        <v>1631.3519999999999</v>
      </c>
      <c r="N140" s="146">
        <f t="shared" si="107"/>
        <v>1907.27</v>
      </c>
      <c r="O140" s="146">
        <f t="shared" si="107"/>
        <v>1771.2850000000001</v>
      </c>
      <c r="P140" s="146">
        <f t="shared" si="107"/>
        <v>1551.5630000000001</v>
      </c>
      <c r="Q140" s="146">
        <f t="shared" si="107"/>
        <v>2511.422</v>
      </c>
      <c r="R140" s="146">
        <f t="shared" si="107"/>
        <v>2024.0990000000002</v>
      </c>
      <c r="S140" s="146">
        <f t="shared" si="107"/>
        <v>2272.3910000000001</v>
      </c>
      <c r="T140" s="146">
        <f t="shared" si="107"/>
        <v>3856.2780000000002</v>
      </c>
      <c r="U140" s="146">
        <f t="shared" si="107"/>
        <v>3030.808</v>
      </c>
      <c r="V140" s="146">
        <f t="shared" si="107"/>
        <v>3368.4560000000001</v>
      </c>
      <c r="W140" s="146">
        <f t="shared" si="107"/>
        <v>3209.6919999999996</v>
      </c>
      <c r="X140" s="146">
        <f t="shared" si="107"/>
        <v>3296.1579999999999</v>
      </c>
      <c r="Y140" s="146">
        <f t="shared" si="107"/>
        <v>3768.027</v>
      </c>
      <c r="Z140" s="146">
        <f t="shared" si="107"/>
        <v>3514.0119999999997</v>
      </c>
      <c r="AA140" s="146">
        <f t="shared" si="107"/>
        <v>3645.2784109999998</v>
      </c>
      <c r="AB140" s="146">
        <f t="shared" si="107"/>
        <v>2889.5027220000002</v>
      </c>
      <c r="AC140" s="146">
        <f>SUM(AC128:AC139)</f>
        <v>2571.4286710000001</v>
      </c>
      <c r="AD140" s="146">
        <f>SUM(AD128:AD139)</f>
        <v>2563.156833</v>
      </c>
      <c r="AE140" s="146">
        <f>SUM(AE128:AE139)</f>
        <v>2750.1656270000003</v>
      </c>
      <c r="AF140" s="146">
        <f>SUM(AF128:AF139)</f>
        <v>3156.3241049999992</v>
      </c>
      <c r="AG140" s="253">
        <f t="shared" ref="AG140:AM140" si="108">AG24</f>
        <v>3300</v>
      </c>
      <c r="AH140" s="253">
        <f t="shared" si="108"/>
        <v>3200</v>
      </c>
      <c r="AI140" s="253">
        <f t="shared" si="108"/>
        <v>3200</v>
      </c>
      <c r="AJ140" s="253">
        <f t="shared" si="108"/>
        <v>3100</v>
      </c>
      <c r="AK140" s="253">
        <f t="shared" si="108"/>
        <v>3100</v>
      </c>
      <c r="AL140" s="253">
        <f t="shared" si="108"/>
        <v>3100</v>
      </c>
      <c r="AM140" s="253">
        <f t="shared" si="108"/>
        <v>3100</v>
      </c>
    </row>
    <row r="141" spans="1:42">
      <c r="A141" s="248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  <c r="AB141" s="248"/>
      <c r="AC141" s="248"/>
      <c r="AD141" s="248"/>
      <c r="AE141" s="248"/>
      <c r="AF141" s="248"/>
      <c r="AG141" s="248"/>
      <c r="AH141" s="248"/>
      <c r="AI141" s="248"/>
      <c r="AJ141" s="248"/>
      <c r="AK141" s="248"/>
      <c r="AL141" s="248"/>
      <c r="AM141" s="248"/>
    </row>
    <row r="142" spans="1:42" ht="15.75" thickBot="1">
      <c r="A142" s="235" t="s">
        <v>257</v>
      </c>
    </row>
    <row r="143" spans="1:42" ht="15.75" thickBot="1">
      <c r="A143" s="236"/>
      <c r="B143" s="237" t="str">
        <f>B$2</f>
        <v xml:space="preserve">93/94 </v>
      </c>
      <c r="C143" s="237" t="str">
        <f t="shared" ref="C143:AM143" si="109">C$2</f>
        <v xml:space="preserve">94/95 </v>
      </c>
      <c r="D143" s="237" t="str">
        <f t="shared" si="109"/>
        <v xml:space="preserve">95/96 </v>
      </c>
      <c r="E143" s="237" t="str">
        <f t="shared" si="109"/>
        <v xml:space="preserve">96/97 </v>
      </c>
      <c r="F143" s="237" t="str">
        <f t="shared" si="109"/>
        <v xml:space="preserve">97/98 </v>
      </c>
      <c r="G143" s="237" t="str">
        <f t="shared" si="109"/>
        <v xml:space="preserve">98/99 </v>
      </c>
      <c r="H143" s="237" t="str">
        <f t="shared" si="109"/>
        <v xml:space="preserve">99/00 </v>
      </c>
      <c r="I143" s="237" t="str">
        <f t="shared" si="109"/>
        <v xml:space="preserve">00/01 </v>
      </c>
      <c r="J143" s="237" t="str">
        <f t="shared" si="109"/>
        <v xml:space="preserve">01/02 </v>
      </c>
      <c r="K143" s="237" t="str">
        <f t="shared" si="109"/>
        <v xml:space="preserve">02/03 </v>
      </c>
      <c r="L143" s="237" t="str">
        <f t="shared" si="109"/>
        <v xml:space="preserve">03/04 </v>
      </c>
      <c r="M143" s="237" t="str">
        <f t="shared" si="109"/>
        <v xml:space="preserve">04/05 </v>
      </c>
      <c r="N143" s="237" t="str">
        <f t="shared" si="109"/>
        <v xml:space="preserve">05/06 </v>
      </c>
      <c r="O143" s="237" t="str">
        <f t="shared" si="109"/>
        <v xml:space="preserve">06/07 </v>
      </c>
      <c r="P143" s="237" t="str">
        <f t="shared" si="109"/>
        <v xml:space="preserve">07/08 </v>
      </c>
      <c r="Q143" s="237" t="str">
        <f t="shared" si="109"/>
        <v xml:space="preserve">08/09 </v>
      </c>
      <c r="R143" s="237" t="str">
        <f t="shared" si="109"/>
        <v xml:space="preserve">09/10 </v>
      </c>
      <c r="S143" s="237" t="str">
        <f t="shared" si="109"/>
        <v xml:space="preserve">10/11 </v>
      </c>
      <c r="T143" s="237" t="str">
        <f t="shared" si="109"/>
        <v xml:space="preserve">11/12 </v>
      </c>
      <c r="U143" s="237" t="str">
        <f t="shared" si="109"/>
        <v xml:space="preserve">12/13 </v>
      </c>
      <c r="V143" s="237" t="str">
        <f t="shared" si="109"/>
        <v xml:space="preserve">13/14 </v>
      </c>
      <c r="W143" s="237" t="str">
        <f t="shared" si="109"/>
        <v xml:space="preserve">14/15 </v>
      </c>
      <c r="X143" s="237" t="str">
        <f t="shared" si="109"/>
        <v xml:space="preserve">15/16 </v>
      </c>
      <c r="Y143" s="237" t="str">
        <f t="shared" si="109"/>
        <v xml:space="preserve">16/17 </v>
      </c>
      <c r="Z143" s="237" t="str">
        <f t="shared" si="109"/>
        <v xml:space="preserve">17/18 </v>
      </c>
      <c r="AA143" s="237" t="str">
        <f t="shared" si="109"/>
        <v xml:space="preserve">18/19 </v>
      </c>
      <c r="AB143" s="237" t="str">
        <f t="shared" si="109"/>
        <v xml:space="preserve">19/20 </v>
      </c>
      <c r="AC143" s="237" t="str">
        <f t="shared" si="109"/>
        <v xml:space="preserve">20/21 </v>
      </c>
      <c r="AD143" s="237" t="str">
        <f t="shared" si="109"/>
        <v>21/22</v>
      </c>
      <c r="AE143" s="237" t="str">
        <f t="shared" si="109"/>
        <v>22/23</v>
      </c>
      <c r="AF143" s="237" t="str">
        <f t="shared" si="109"/>
        <v>23/24</v>
      </c>
      <c r="AG143" s="237" t="str">
        <f t="shared" si="109"/>
        <v>24/25</v>
      </c>
      <c r="AH143" s="237" t="str">
        <f t="shared" si="109"/>
        <v>25/26</v>
      </c>
      <c r="AI143" s="237" t="str">
        <f t="shared" si="109"/>
        <v>26/27</v>
      </c>
      <c r="AJ143" s="237" t="str">
        <f t="shared" si="109"/>
        <v>27/28</v>
      </c>
      <c r="AK143" s="237" t="str">
        <f t="shared" si="109"/>
        <v>28/29</v>
      </c>
      <c r="AL143" s="237" t="str">
        <f t="shared" si="109"/>
        <v>29/30</v>
      </c>
      <c r="AM143" s="237" t="str">
        <f t="shared" si="109"/>
        <v>30/31</v>
      </c>
    </row>
    <row r="144" spans="1:42">
      <c r="A144" s="240" t="s">
        <v>239</v>
      </c>
      <c r="B144" s="241">
        <f t="shared" ref="B144:C155" si="110">(SUM(K144:O144)/SUM(K$156:O$156))*B$156</f>
        <v>5.8869677102712306</v>
      </c>
      <c r="C144" s="241">
        <f t="shared" si="110"/>
        <v>7.4250472822958642</v>
      </c>
      <c r="D144" s="241">
        <f>(SUM(M144:Q144)/SUM(M$156:Q$156))*D$156</f>
        <v>4.6844105947677814</v>
      </c>
      <c r="E144" s="241">
        <v>16.287434070272401</v>
      </c>
      <c r="F144" s="242">
        <f>'[2]EU Sun Meal Exports'!CB$290</f>
        <v>3.4999999999999996E-2</v>
      </c>
      <c r="G144" s="242">
        <f>'[2]EU Sun Meal Exports'!CN$290</f>
        <v>0.27600000000000002</v>
      </c>
      <c r="H144" s="242">
        <f>'[2]EU Sun Meal Exports'!CZ$290</f>
        <v>19.445</v>
      </c>
      <c r="I144" s="242">
        <f>'[2]EU Sun Meal Exports'!DL$290</f>
        <v>12.648</v>
      </c>
      <c r="J144" s="242">
        <f>'[2]EU Sun Meal Exports'!DX$290</f>
        <v>7.9550000000000001</v>
      </c>
      <c r="K144" s="242">
        <f>'[2]EU Sun Meal Exports'!EJ$290</f>
        <v>2.1059999999999999</v>
      </c>
      <c r="L144" s="242">
        <f>'[2]EU Sun Meal Exports'!EV$290</f>
        <v>8.6739999999999995</v>
      </c>
      <c r="M144" s="242">
        <f>'[2]EU Sun Meal Exports'!FH$290</f>
        <v>14.547000000000001</v>
      </c>
      <c r="N144" s="242">
        <f>'[2]EU Sun Meal Exports'!FT$290</f>
        <v>18.271999999999998</v>
      </c>
      <c r="O144" s="242">
        <f>'[2]EU Sun Meal Exports'!GF$290</f>
        <v>28.859000000000002</v>
      </c>
      <c r="P144" s="242">
        <f>'[2]EU Sun Meal Exports'!GR$290</f>
        <v>8.657</v>
      </c>
      <c r="Q144" s="242">
        <f>'[2]EU Sun Meal Exports'!HD$290</f>
        <v>10.853</v>
      </c>
      <c r="R144" s="242">
        <f>'[2]EU Sun Meal Exports'!HP$290</f>
        <v>6.6779999999999999</v>
      </c>
      <c r="S144" s="242">
        <f>'[2]EU Sun Meal Exports'!IB$290</f>
        <v>10.303000000000001</v>
      </c>
      <c r="T144" s="242">
        <f>'[2]EU Sun Meal Exports'!IN$290</f>
        <v>12.477</v>
      </c>
      <c r="U144" s="242">
        <f>'[2]EU Sun Meal Exports'!IZ$290</f>
        <v>6.7770000000000001</v>
      </c>
      <c r="V144" s="242">
        <f>'[2]EU Sun Meal Exports'!JL$290</f>
        <v>18.105</v>
      </c>
      <c r="W144" s="242">
        <f>'[2]EU Sun Meal Exports'!JX$290</f>
        <v>32.121000000000002</v>
      </c>
      <c r="X144" s="242">
        <f>'[2]EU Sun Meal Exports'!KJ$290</f>
        <v>20.547999999999998</v>
      </c>
      <c r="Y144" s="242">
        <f>'[2]EU Sun Meal Exports'!KV$290</f>
        <v>34.642000000000003</v>
      </c>
      <c r="Z144" s="242">
        <f>'[2]EU Sun Meal Exports'!LH$290</f>
        <v>33.345999999999997</v>
      </c>
      <c r="AA144" s="242">
        <f>'[2]EU Sun Meal Exports'!LT$290</f>
        <v>52.69</v>
      </c>
      <c r="AB144" s="242">
        <f>'[2]EU Sun Meal Exports'!MF$290/1000</f>
        <v>85.082528999999994</v>
      </c>
      <c r="AC144" s="242">
        <f>'[2]EU Sun Meal Exports'!MR$290/1000</f>
        <v>83.129255000000029</v>
      </c>
      <c r="AD144" s="242">
        <f>'[2]EU Sun Meal Exports'!ND$290/1000</f>
        <v>108.20120899999999</v>
      </c>
      <c r="AE144" s="242">
        <f>'[2]EU Sun Meal Exports'!NP$290/1000</f>
        <v>87.824763999999988</v>
      </c>
      <c r="AF144" s="242">
        <f>'[2]EU Sun Meal Exports'!OB$290/1000</f>
        <v>110.746242</v>
      </c>
      <c r="AG144" s="242">
        <f>'[2]EU Sun Meal Exports'!ON$290/1000</f>
        <v>96.632933000000008</v>
      </c>
      <c r="AH144" s="243">
        <f t="shared" ref="AH144:AH154" si="111">(SUM(AB144:AF144)/SUM(AB$156:AF$156))*AH$156</f>
        <v>84.251127489347837</v>
      </c>
      <c r="AI144" s="243">
        <f t="shared" ref="AI144:AI154" si="112">(SUM(AC144:AG144)/SUM(AC$156:AG$156))*AI$156</f>
        <v>77.348492486230114</v>
      </c>
      <c r="AJ144" s="243">
        <f t="shared" ref="AJ144:AM154" si="113">(SUM(AD144:AH144)/SUM(AD$156:AH$156))*AJ$156</f>
        <v>87.548494991984597</v>
      </c>
      <c r="AK144" s="243">
        <f t="shared" si="113"/>
        <v>76.876210789481192</v>
      </c>
      <c r="AL144" s="243">
        <f t="shared" si="113"/>
        <v>80.789834731007829</v>
      </c>
      <c r="AM144" s="243">
        <f t="shared" si="113"/>
        <v>68.539014933574663</v>
      </c>
    </row>
    <row r="145" spans="1:39">
      <c r="A145" s="240" t="s">
        <v>240</v>
      </c>
      <c r="B145" s="241">
        <f t="shared" si="110"/>
        <v>6.9575544435269654</v>
      </c>
      <c r="C145" s="241">
        <f t="shared" si="110"/>
        <v>8.2022390076004079</v>
      </c>
      <c r="D145" s="241">
        <f t="shared" ref="D145:D155" si="114">(SUM(M145:Q145)/SUM(M$156:Q$156))*D$156</f>
        <v>4.2932160360580518</v>
      </c>
      <c r="E145" s="241">
        <v>14.048461741377455</v>
      </c>
      <c r="F145" s="242">
        <f>'[2]EU Sun Meal Exports'!CC$290</f>
        <v>1E-3</v>
      </c>
      <c r="G145" s="242">
        <f>'[2]EU Sun Meal Exports'!CO$290</f>
        <v>0.86499999999999999</v>
      </c>
      <c r="H145" s="242">
        <f>'[2]EU Sun Meal Exports'!DA$290</f>
        <v>18.016999999999999</v>
      </c>
      <c r="I145" s="242">
        <f>'[2]EU Sun Meal Exports'!DM$290</f>
        <v>12.282</v>
      </c>
      <c r="J145" s="242">
        <f>'[2]EU Sun Meal Exports'!DY$290</f>
        <v>3.6459999999999999</v>
      </c>
      <c r="K145" s="242">
        <f>'[2]EU Sun Meal Exports'!EK$290</f>
        <v>2.258</v>
      </c>
      <c r="L145" s="242">
        <f>'[2]EU Sun Meal Exports'!EW$290</f>
        <v>15.26</v>
      </c>
      <c r="M145" s="242">
        <f>'[2]EU Sun Meal Exports'!FI$290</f>
        <v>18.114000000000001</v>
      </c>
      <c r="N145" s="242">
        <f>'[2]EU Sun Meal Exports'!FU$290</f>
        <v>24.498000000000001</v>
      </c>
      <c r="O145" s="242">
        <f>'[2]EU Sun Meal Exports'!GG$290</f>
        <v>25.504999999999999</v>
      </c>
      <c r="P145" s="242">
        <f>'[2]EU Sun Meal Exports'!GS$290</f>
        <v>3.9020000000000001</v>
      </c>
      <c r="Q145" s="242">
        <f>'[2]EU Sun Meal Exports'!HE$290</f>
        <v>2.3889999999999998</v>
      </c>
      <c r="R145" s="242">
        <f>'[2]EU Sun Meal Exports'!HQ$290</f>
        <v>7.5060000000000002</v>
      </c>
      <c r="S145" s="242">
        <f>'[2]EU Sun Meal Exports'!IC$290</f>
        <v>23.765000000000001</v>
      </c>
      <c r="T145" s="242">
        <f>'[2]EU Sun Meal Exports'!IO$290</f>
        <v>14.632999999999999</v>
      </c>
      <c r="U145" s="242">
        <f>'[2]EU Sun Meal Exports'!JA$290</f>
        <v>1.7030000000000001</v>
      </c>
      <c r="V145" s="242">
        <f>'[2]EU Sun Meal Exports'!JM$290</f>
        <v>15.994</v>
      </c>
      <c r="W145" s="242">
        <f>'[2]EU Sun Meal Exports'!JY$290</f>
        <v>50.987000000000002</v>
      </c>
      <c r="X145" s="242">
        <f>'[2]EU Sun Meal Exports'!KK$290</f>
        <v>50.465000000000003</v>
      </c>
      <c r="Y145" s="242">
        <f>'[2]EU Sun Meal Exports'!KW$290</f>
        <v>31.884</v>
      </c>
      <c r="Z145" s="242">
        <f>'[2]EU Sun Meal Exports'!LI$290</f>
        <v>42.832999999999998</v>
      </c>
      <c r="AA145" s="242">
        <f>'[2]EU Sun Meal Exports'!LU$290</f>
        <v>26.344000000000001</v>
      </c>
      <c r="AB145" s="242">
        <f>'[2]EU Sun Meal Exports'!MG$290/1000</f>
        <v>87.972488999999982</v>
      </c>
      <c r="AC145" s="242">
        <f>'[2]EU Sun Meal Exports'!MS$290/1000</f>
        <v>70.570282999999989</v>
      </c>
      <c r="AD145" s="242">
        <f>'[2]EU Sun Meal Exports'!NE$290/1000</f>
        <v>65.109486000000004</v>
      </c>
      <c r="AE145" s="242">
        <f>'[2]EU Sun Meal Exports'!NQ$290/1000</f>
        <v>91.690003000000033</v>
      </c>
      <c r="AF145" s="242">
        <f>'[2]EU Sun Meal Exports'!OC$290/1000</f>
        <v>128.15208699999997</v>
      </c>
      <c r="AG145" s="242">
        <f>'[2]EU Sun Meal Exports'!OO$290/1000</f>
        <v>57.87277799999999</v>
      </c>
      <c r="AH145" s="243">
        <f t="shared" si="111"/>
        <v>78.665594910183898</v>
      </c>
      <c r="AI145" s="243">
        <f t="shared" si="112"/>
        <v>65.720844767974853</v>
      </c>
      <c r="AJ145" s="243">
        <f t="shared" si="113"/>
        <v>75.669713558604926</v>
      </c>
      <c r="AK145" s="243">
        <f t="shared" si="113"/>
        <v>71.036112714079437</v>
      </c>
      <c r="AL145" s="243">
        <f t="shared" si="113"/>
        <v>71.862556897920712</v>
      </c>
      <c r="AM145" s="243">
        <f t="shared" si="113"/>
        <v>56.588926046082669</v>
      </c>
    </row>
    <row r="146" spans="1:39">
      <c r="A146" s="240" t="s">
        <v>241</v>
      </c>
      <c r="B146" s="241">
        <f t="shared" si="110"/>
        <v>6.8302409874283274</v>
      </c>
      <c r="C146" s="241">
        <f t="shared" si="110"/>
        <v>8.0698250848731909</v>
      </c>
      <c r="D146" s="241">
        <f t="shared" si="114"/>
        <v>5.1264373667847787</v>
      </c>
      <c r="E146" s="241">
        <v>14.642104188350144</v>
      </c>
      <c r="F146" s="242">
        <f>'[2]EU Sun Meal Exports'!CD$290</f>
        <v>0.17600000000000002</v>
      </c>
      <c r="G146" s="242">
        <f>'[2]EU Sun Meal Exports'!CP$290</f>
        <v>0.35300000000000004</v>
      </c>
      <c r="H146" s="242">
        <f>'[2]EU Sun Meal Exports'!DB$290</f>
        <v>20.673999999999999</v>
      </c>
      <c r="I146" s="242">
        <f>'[2]EU Sun Meal Exports'!DN$290</f>
        <v>12.146000000000001</v>
      </c>
      <c r="J146" s="242">
        <f>'[2]EU Sun Meal Exports'!DZ$290</f>
        <v>2.9329999999999998</v>
      </c>
      <c r="K146" s="242">
        <f>'[2]EU Sun Meal Exports'!EL$290</f>
        <v>0.51100000000000001</v>
      </c>
      <c r="L146" s="242">
        <f>'[2]EU Sun Meal Exports'!EX$290</f>
        <v>8.6150000000000002</v>
      </c>
      <c r="M146" s="242">
        <f>'[2]EU Sun Meal Exports'!FJ$290</f>
        <v>21.988</v>
      </c>
      <c r="N146" s="242">
        <f>'[2]EU Sun Meal Exports'!FV$290</f>
        <v>18.399999999999999</v>
      </c>
      <c r="O146" s="242">
        <f>'[2]EU Sun Meal Exports'!GH$290</f>
        <v>34.554000000000002</v>
      </c>
      <c r="P146" s="242">
        <f>'[2]EU Sun Meal Exports'!GT$290</f>
        <v>2.3130000000000002</v>
      </c>
      <c r="Q146" s="242">
        <f>'[2]EU Sun Meal Exports'!HF$290</f>
        <v>11.593999999999999</v>
      </c>
      <c r="R146" s="242">
        <f>'[2]EU Sun Meal Exports'!HR$290</f>
        <v>21.111000000000001</v>
      </c>
      <c r="S146" s="242">
        <f>'[2]EU Sun Meal Exports'!ID$290</f>
        <v>17.004000000000001</v>
      </c>
      <c r="T146" s="242">
        <f>'[2]EU Sun Meal Exports'!IP$290</f>
        <v>31.734000000000002</v>
      </c>
      <c r="U146" s="242">
        <f>'[2]EU Sun Meal Exports'!JB$290</f>
        <v>11.068</v>
      </c>
      <c r="V146" s="242">
        <f>'[2]EU Sun Meal Exports'!JN$290</f>
        <v>13.321999999999999</v>
      </c>
      <c r="W146" s="242">
        <f>'[2]EU Sun Meal Exports'!JZ$290</f>
        <v>23.274000000000001</v>
      </c>
      <c r="X146" s="242">
        <f>'[2]EU Sun Meal Exports'!KL$290</f>
        <v>16.178000000000001</v>
      </c>
      <c r="Y146" s="242">
        <f>'[2]EU Sun Meal Exports'!KX$290</f>
        <v>6.9</v>
      </c>
      <c r="Z146" s="242">
        <f>'[2]EU Sun Meal Exports'!LJ$290</f>
        <v>28.907</v>
      </c>
      <c r="AA146" s="242">
        <f>'[2]EU Sun Meal Exports'!LV$290</f>
        <v>29.305</v>
      </c>
      <c r="AB146" s="242">
        <f>'[2]EU Sun Meal Exports'!MH$290/1000</f>
        <v>63.042698999999985</v>
      </c>
      <c r="AC146" s="242">
        <f>'[2]EU Sun Meal Exports'!MT$290/1000</f>
        <v>57.721809999999998</v>
      </c>
      <c r="AD146" s="242">
        <f>'[2]EU Sun Meal Exports'!NF$290/1000</f>
        <v>85.220827999999969</v>
      </c>
      <c r="AE146" s="242">
        <f>'[2]EU Sun Meal Exports'!NR$290/1000</f>
        <v>95.521896999999996</v>
      </c>
      <c r="AF146" s="242">
        <f>'[2]EU Sun Meal Exports'!OD$290/1000</f>
        <v>124.25384799999998</v>
      </c>
      <c r="AG146" s="242">
        <f>'[2]EU Sun Meal Exports'!OP$290/1000</f>
        <v>48.290167000000011</v>
      </c>
      <c r="AH146" s="243">
        <f t="shared" si="111"/>
        <v>75.520125467604785</v>
      </c>
      <c r="AI146" s="243">
        <f t="shared" si="112"/>
        <v>65.341508319713469</v>
      </c>
      <c r="AJ146" s="243">
        <f t="shared" si="113"/>
        <v>76.983313044105884</v>
      </c>
      <c r="AK146" s="243">
        <f t="shared" si="113"/>
        <v>68.819078988944128</v>
      </c>
      <c r="AL146" s="243">
        <f t="shared" si="113"/>
        <v>69.085595538902922</v>
      </c>
      <c r="AM146" s="243">
        <f t="shared" si="113"/>
        <v>54.316896133032699</v>
      </c>
    </row>
    <row r="147" spans="1:39">
      <c r="A147" s="240" t="s">
        <v>231</v>
      </c>
      <c r="B147" s="241">
        <f t="shared" si="110"/>
        <v>4.544611027653696</v>
      </c>
      <c r="C147" s="241">
        <f t="shared" si="110"/>
        <v>5.0956335827645747</v>
      </c>
      <c r="D147" s="241">
        <f t="shared" si="114"/>
        <v>3.2881691307240124</v>
      </c>
      <c r="E147" s="242">
        <f>'[2]EU Sun Meal Exports'!BS$290</f>
        <v>0</v>
      </c>
      <c r="F147" s="242">
        <f>'[2]EU Sun Meal Exports'!CE$290</f>
        <v>1.0999999999999999E-2</v>
      </c>
      <c r="G147" s="242">
        <f>'[2]EU Sun Meal Exports'!CQ$290</f>
        <v>18.654</v>
      </c>
      <c r="H147" s="242">
        <f>'[2]EU Sun Meal Exports'!DC$290</f>
        <v>19.100999999999999</v>
      </c>
      <c r="I147" s="242">
        <f>'[2]EU Sun Meal Exports'!DO$290</f>
        <v>9.1210000000000004</v>
      </c>
      <c r="J147" s="242">
        <f>'[2]EU Sun Meal Exports'!EA$290</f>
        <v>4.4000000000000004</v>
      </c>
      <c r="K147" s="242">
        <f>'[2]EU Sun Meal Exports'!EM$290</f>
        <v>5.4370000000000003</v>
      </c>
      <c r="L147" s="242">
        <f>'[2]EU Sun Meal Exports'!EY$290</f>
        <v>3.726</v>
      </c>
      <c r="M147" s="242">
        <f>'[2]EU Sun Meal Exports'!FK$290</f>
        <v>24.466999999999999</v>
      </c>
      <c r="N147" s="242">
        <f>'[2]EU Sun Meal Exports'!FW$290</f>
        <v>16.178000000000001</v>
      </c>
      <c r="O147" s="242">
        <f>'[2]EU Sun Meal Exports'!GI$290</f>
        <v>6.1280000000000001</v>
      </c>
      <c r="P147" s="242">
        <f>'[2]EU Sun Meal Exports'!GU$290</f>
        <v>3.7229999999999999</v>
      </c>
      <c r="Q147" s="242">
        <f>'[2]EU Sun Meal Exports'!HG$290</f>
        <v>6.4930000000000003</v>
      </c>
      <c r="R147" s="242">
        <f>'[2]EU Sun Meal Exports'!HS$290</f>
        <v>4.6230000000000002</v>
      </c>
      <c r="S147" s="242">
        <f>'[2]EU Sun Meal Exports'!IE$290</f>
        <v>9.7789999999999999</v>
      </c>
      <c r="T147" s="242">
        <f>'[2]EU Sun Meal Exports'!IQ$290</f>
        <v>10.474</v>
      </c>
      <c r="U147" s="242">
        <f>'[2]EU Sun Meal Exports'!JC$290</f>
        <v>2.5670000000000002</v>
      </c>
      <c r="V147" s="242">
        <f>'[2]EU Sun Meal Exports'!JO$290</f>
        <v>15.339</v>
      </c>
      <c r="W147" s="242">
        <f>'[2]EU Sun Meal Exports'!KA$290</f>
        <v>49.633000000000003</v>
      </c>
      <c r="X147" s="242">
        <f>'[2]EU Sun Meal Exports'!KM$290</f>
        <v>14.909000000000001</v>
      </c>
      <c r="Y147" s="242">
        <f>'[2]EU Sun Meal Exports'!KY$290</f>
        <v>30.568000000000001</v>
      </c>
      <c r="Z147" s="242">
        <f>'[2]EU Sun Meal Exports'!LK$290</f>
        <v>37.106000000000002</v>
      </c>
      <c r="AA147" s="242">
        <f>'[2]EU Sun Meal Exports'!LW$290</f>
        <v>43.018999999999998</v>
      </c>
      <c r="AB147" s="242">
        <f>'[2]EU Sun Meal Exports'!MI$290/1000</f>
        <v>61.675457000000009</v>
      </c>
      <c r="AC147" s="242">
        <f>'[2]EU Sun Meal Exports'!MU$290/1000</f>
        <v>54.054037999999998</v>
      </c>
      <c r="AD147" s="242">
        <f>'[2]EU Sun Meal Exports'!NG$290/1000</f>
        <v>30.505141999999996</v>
      </c>
      <c r="AE147" s="242">
        <f>'[2]EU Sun Meal Exports'!NS$290/1000</f>
        <v>91.963735999999969</v>
      </c>
      <c r="AF147" s="242">
        <f>'[2]EU Sun Meal Exports'!OE$290/1000</f>
        <v>89.300703999999996</v>
      </c>
      <c r="AG147" s="242">
        <f>'[2]EU Sun Meal Exports'!OQ$290/1000</f>
        <v>23.501545</v>
      </c>
      <c r="AH147" s="243">
        <f t="shared" si="111"/>
        <v>58.090728418349826</v>
      </c>
      <c r="AI147" s="243">
        <f t="shared" si="112"/>
        <v>45.99647057451719</v>
      </c>
      <c r="AJ147" s="243">
        <f t="shared" si="113"/>
        <v>52.666991528326434</v>
      </c>
      <c r="AK147" s="243">
        <f t="shared" si="113"/>
        <v>51.977402559833074</v>
      </c>
      <c r="AL147" s="243">
        <f t="shared" si="113"/>
        <v>47.702340425571201</v>
      </c>
      <c r="AM147" s="243">
        <f t="shared" si="113"/>
        <v>37.659427796923218</v>
      </c>
    </row>
    <row r="148" spans="1:39">
      <c r="A148" s="240" t="s">
        <v>232</v>
      </c>
      <c r="B148" s="241">
        <f t="shared" si="110"/>
        <v>4.7718578283607078</v>
      </c>
      <c r="C148" s="241">
        <f t="shared" si="110"/>
        <v>5.9619157259153965</v>
      </c>
      <c r="D148" s="241">
        <f t="shared" si="114"/>
        <v>4.2435954873131596</v>
      </c>
      <c r="E148" s="242">
        <f>'[2]EU Sun Meal Exports'!BT$290</f>
        <v>2.3050000000000002</v>
      </c>
      <c r="F148" s="242">
        <f>'[2]EU Sun Meal Exports'!CF$290</f>
        <v>7.0000000000000001E-3</v>
      </c>
      <c r="G148" s="242">
        <f>'[2]EU Sun Meal Exports'!CR$290</f>
        <v>18.050999999999998</v>
      </c>
      <c r="H148" s="242">
        <f>'[2]EU Sun Meal Exports'!DD$290</f>
        <v>10.132999999999999</v>
      </c>
      <c r="I148" s="242">
        <f>'[2]EU Sun Meal Exports'!DP$290</f>
        <v>6.2190000000000003</v>
      </c>
      <c r="J148" s="242">
        <f>'[2]EU Sun Meal Exports'!EB$290</f>
        <v>0.96</v>
      </c>
      <c r="K148" s="242">
        <f>'[2]EU Sun Meal Exports'!EN$290</f>
        <v>3.4009999999999998</v>
      </c>
      <c r="L148" s="242">
        <f>'[2]EU Sun Meal Exports'!EZ$290</f>
        <v>4.7510000000000003</v>
      </c>
      <c r="M148" s="242">
        <f>'[2]EU Sun Meal Exports'!FL$290</f>
        <v>4.641</v>
      </c>
      <c r="N148" s="242">
        <f>'[2]EU Sun Meal Exports'!FX$290</f>
        <v>32.566000000000003</v>
      </c>
      <c r="O148" s="242">
        <f>'[2]EU Sun Meal Exports'!GJ$290</f>
        <v>13.374000000000001</v>
      </c>
      <c r="P148" s="242">
        <f>'[2]EU Sun Meal Exports'!GV$290</f>
        <v>8.1080000000000005</v>
      </c>
      <c r="Q148" s="242">
        <f>'[2]EU Sun Meal Exports'!HH$290</f>
        <v>14.859</v>
      </c>
      <c r="R148" s="242">
        <f>'[2]EU Sun Meal Exports'!HT$290</f>
        <v>3.6219999999999999</v>
      </c>
      <c r="S148" s="242">
        <f>'[2]EU Sun Meal Exports'!IF$290</f>
        <v>7.76</v>
      </c>
      <c r="T148" s="242">
        <f>'[2]EU Sun Meal Exports'!IR$290</f>
        <v>14.302</v>
      </c>
      <c r="U148" s="242">
        <f>'[2]EU Sun Meal Exports'!JD$290</f>
        <v>11.24</v>
      </c>
      <c r="V148" s="242">
        <f>'[2]EU Sun Meal Exports'!JP$290</f>
        <v>14.706</v>
      </c>
      <c r="W148" s="242">
        <f>'[2]EU Sun Meal Exports'!KB$290</f>
        <v>8.6850000000000005</v>
      </c>
      <c r="X148" s="242">
        <f>'[2]EU Sun Meal Exports'!KN$290</f>
        <v>10.308999999999999</v>
      </c>
      <c r="Y148" s="242">
        <f>'[2]EU Sun Meal Exports'!KZ$290</f>
        <v>28.297000000000001</v>
      </c>
      <c r="Z148" s="242">
        <f>'[2]EU Sun Meal Exports'!LL$290</f>
        <v>32.875</v>
      </c>
      <c r="AA148" s="242">
        <f>'[2]EU Sun Meal Exports'!LX$290</f>
        <v>57.872</v>
      </c>
      <c r="AB148" s="242">
        <f>'[2]EU Sun Meal Exports'!MJ$290/1000</f>
        <v>45.383326999999994</v>
      </c>
      <c r="AC148" s="242">
        <f>'[2]EU Sun Meal Exports'!MV$290/1000</f>
        <v>56.606930999999989</v>
      </c>
      <c r="AD148" s="242">
        <f>'[2]EU Sun Meal Exports'!NH$290/1000</f>
        <v>99.999157000000025</v>
      </c>
      <c r="AE148" s="242">
        <f>'[2]EU Sun Meal Exports'!NT$290/1000</f>
        <v>70.560082000000008</v>
      </c>
      <c r="AF148" s="242">
        <f>'[2]EU Sun Meal Exports'!OF$290/1000</f>
        <v>45.778274000000003</v>
      </c>
      <c r="AG148" s="243">
        <f t="shared" ref="AG148:AG154" si="115">(SUM(AA148:AE148)/SUM(AA$156:AE$156))*AG$156</f>
        <v>67.575688244161483</v>
      </c>
      <c r="AH148" s="243">
        <f t="shared" si="111"/>
        <v>56.463951784449328</v>
      </c>
      <c r="AI148" s="243">
        <f t="shared" si="112"/>
        <v>54.135367875100926</v>
      </c>
      <c r="AJ148" s="243">
        <f t="shared" si="113"/>
        <v>61.107605859082689</v>
      </c>
      <c r="AK148" s="243">
        <f t="shared" si="113"/>
        <v>49.564131011928886</v>
      </c>
      <c r="AL148" s="243">
        <f t="shared" si="113"/>
        <v>50.446101507462735</v>
      </c>
      <c r="AM148" s="243">
        <f t="shared" si="113"/>
        <v>46.840012666171347</v>
      </c>
    </row>
    <row r="149" spans="1:39">
      <c r="A149" s="240" t="s">
        <v>233</v>
      </c>
      <c r="B149" s="241">
        <f t="shared" si="110"/>
        <v>3.5478774734621994</v>
      </c>
      <c r="C149" s="241">
        <f t="shared" si="110"/>
        <v>4.2203296251483069</v>
      </c>
      <c r="D149" s="241">
        <f t="shared" si="114"/>
        <v>2.787059286713097</v>
      </c>
      <c r="E149" s="242">
        <f>'[2]EU Sun Meal Exports'!BU$290</f>
        <v>0</v>
      </c>
      <c r="F149" s="242">
        <f>'[2]EU Sun Meal Exports'!CG$290</f>
        <v>4.1000000000000002E-2</v>
      </c>
      <c r="G149" s="242">
        <f>'[2]EU Sun Meal Exports'!CS$290</f>
        <v>24.294</v>
      </c>
      <c r="H149" s="242">
        <f>'[2]EU Sun Meal Exports'!DE$290</f>
        <v>7.0019999999999998</v>
      </c>
      <c r="I149" s="242">
        <f>'[2]EU Sun Meal Exports'!DQ$290</f>
        <v>3.4350000000000001</v>
      </c>
      <c r="J149" s="242">
        <f>'[2]EU Sun Meal Exports'!EC$290</f>
        <v>5.84</v>
      </c>
      <c r="K149" s="242">
        <f>'[2]EU Sun Meal Exports'!EO$290</f>
        <v>3.0539999999999998</v>
      </c>
      <c r="L149" s="242">
        <f>'[2]EU Sun Meal Exports'!FA$290</f>
        <v>6.7859999999999996</v>
      </c>
      <c r="M149" s="242">
        <f>'[2]EU Sun Meal Exports'!FM$290</f>
        <v>12.798999999999999</v>
      </c>
      <c r="N149" s="242">
        <f>'[2]EU Sun Meal Exports'!FY$290</f>
        <v>14.443</v>
      </c>
      <c r="O149" s="242">
        <f>'[2]EU Sun Meal Exports'!GK$290</f>
        <v>6.5860000000000003</v>
      </c>
      <c r="P149" s="242">
        <f>'[2]EU Sun Meal Exports'!GW$290</f>
        <v>4.2939999999999996</v>
      </c>
      <c r="Q149" s="242">
        <f>'[2]EU Sun Meal Exports'!HI$290</f>
        <v>10.182</v>
      </c>
      <c r="R149" s="242">
        <f>'[2]EU Sun Meal Exports'!HU$290</f>
        <v>11.715</v>
      </c>
      <c r="S149" s="242">
        <f>'[2]EU Sun Meal Exports'!IG$290</f>
        <v>12.034000000000001</v>
      </c>
      <c r="T149" s="242">
        <f>'[2]EU Sun Meal Exports'!IS$290</f>
        <v>10.804</v>
      </c>
      <c r="U149" s="242">
        <f>'[2]EU Sun Meal Exports'!JE$290</f>
        <v>12.895</v>
      </c>
      <c r="V149" s="242">
        <f>'[2]EU Sun Meal Exports'!JQ$290</f>
        <v>6.8579999999999997</v>
      </c>
      <c r="W149" s="242">
        <f>'[2]EU Sun Meal Exports'!KC$290</f>
        <v>9.0510000000000002</v>
      </c>
      <c r="X149" s="242">
        <f>'[2]EU Sun Meal Exports'!KO$290</f>
        <v>21.606999999999999</v>
      </c>
      <c r="Y149" s="242">
        <f>'[2]EU Sun Meal Exports'!LA$290</f>
        <v>16.623000000000001</v>
      </c>
      <c r="Z149" s="242">
        <f>'[2]EU Sun Meal Exports'!LM$290</f>
        <v>26.26</v>
      </c>
      <c r="AA149" s="242">
        <f>'[2]EU Sun Meal Exports'!LY$290</f>
        <v>19.797000000000001</v>
      </c>
      <c r="AB149" s="242">
        <f>'[2]EU Sun Meal Exports'!MK$290/1000</f>
        <v>50.317640000000004</v>
      </c>
      <c r="AC149" s="242">
        <f>'[2]EU Sun Meal Exports'!MW$290/1000</f>
        <v>63.506283000000018</v>
      </c>
      <c r="AD149" s="242">
        <f>'[2]EU Sun Meal Exports'!NI$290/1000</f>
        <v>82.48978799999999</v>
      </c>
      <c r="AE149" s="242">
        <f>'[2]EU Sun Meal Exports'!NU$290/1000</f>
        <v>96.210543999999999</v>
      </c>
      <c r="AF149" s="242">
        <f>'[2]EU Sun Meal Exports'!OG$290/1000</f>
        <v>116.403228</v>
      </c>
      <c r="AG149" s="243">
        <f t="shared" si="115"/>
        <v>63.873942680870016</v>
      </c>
      <c r="AH149" s="243">
        <f t="shared" si="111"/>
        <v>72.534236051457228</v>
      </c>
      <c r="AI149" s="243">
        <f t="shared" si="112"/>
        <v>67.165823672063794</v>
      </c>
      <c r="AJ149" s="243">
        <f t="shared" si="113"/>
        <v>77.468916522155851</v>
      </c>
      <c r="AK149" s="243">
        <f t="shared" si="113"/>
        <v>70.040914621743468</v>
      </c>
      <c r="AL149" s="243">
        <f t="shared" si="113"/>
        <v>70.334477763537535</v>
      </c>
      <c r="AM149" s="243">
        <f t="shared" si="113"/>
        <v>56.932513548371418</v>
      </c>
    </row>
    <row r="150" spans="1:39">
      <c r="A150" s="240" t="s">
        <v>234</v>
      </c>
      <c r="B150" s="241">
        <f t="shared" si="110"/>
        <v>3.7217452437564451</v>
      </c>
      <c r="C150" s="241">
        <f t="shared" si="110"/>
        <v>4.570300844620391</v>
      </c>
      <c r="D150" s="241">
        <f t="shared" si="114"/>
        <v>2.9067832851382724</v>
      </c>
      <c r="E150" s="242">
        <f>'[2]EU Sun Meal Exports'!BV$290</f>
        <v>2.0699999999999998</v>
      </c>
      <c r="F150" s="242">
        <f>'[2]EU Sun Meal Exports'!CH$290</f>
        <v>5.6000000000000001E-2</v>
      </c>
      <c r="G150" s="242">
        <f>'[2]EU Sun Meal Exports'!CT$290</f>
        <v>17.178000000000001</v>
      </c>
      <c r="H150" s="242">
        <f>'[2]EU Sun Meal Exports'!DF$290</f>
        <v>4.8040000000000003</v>
      </c>
      <c r="I150" s="242">
        <f>'[2]EU Sun Meal Exports'!DR$290</f>
        <v>12.77</v>
      </c>
      <c r="J150" s="242">
        <f>'[2]EU Sun Meal Exports'!ED$290</f>
        <v>8.6890000000000001</v>
      </c>
      <c r="K150" s="242">
        <f>'[2]EU Sun Meal Exports'!EP$290</f>
        <v>0.35199999999999998</v>
      </c>
      <c r="L150" s="242">
        <f>'[2]EU Sun Meal Exports'!FB$290</f>
        <v>5.6710000000000003</v>
      </c>
      <c r="M150" s="242">
        <f>'[2]EU Sun Meal Exports'!FN$290</f>
        <v>15.276999999999999</v>
      </c>
      <c r="N150" s="242">
        <f>'[2]EU Sun Meal Exports'!FZ$290</f>
        <v>19.41</v>
      </c>
      <c r="O150" s="242">
        <f>'[2]EU Sun Meal Exports'!GL$290</f>
        <v>5.0979999999999999</v>
      </c>
      <c r="P150" s="242">
        <f>'[2]EU Sun Meal Exports'!GX$290</f>
        <v>3.1760000000000002</v>
      </c>
      <c r="Q150" s="242">
        <f>'[2]EU Sun Meal Exports'!HJ$290</f>
        <v>7.4180000000000001</v>
      </c>
      <c r="R150" s="242">
        <f>'[2]EU Sun Meal Exports'!HV$290</f>
        <v>3.302</v>
      </c>
      <c r="S150" s="242">
        <f>'[2]EU Sun Meal Exports'!IH$290</f>
        <v>7.0979999999999999</v>
      </c>
      <c r="T150" s="242">
        <f>'[2]EU Sun Meal Exports'!IT$290</f>
        <v>2.532</v>
      </c>
      <c r="U150" s="242">
        <f>'[2]EU Sun Meal Exports'!JF$290</f>
        <v>8.4149999999999991</v>
      </c>
      <c r="V150" s="242">
        <f>'[2]EU Sun Meal Exports'!JR$290</f>
        <v>17.300999999999998</v>
      </c>
      <c r="W150" s="242">
        <f>'[2]EU Sun Meal Exports'!KD$290</f>
        <v>35.722999999999999</v>
      </c>
      <c r="X150" s="242">
        <f>'[2]EU Sun Meal Exports'!KP$290</f>
        <v>7.5819999999999999</v>
      </c>
      <c r="Y150" s="242">
        <f>'[2]EU Sun Meal Exports'!LB$290</f>
        <v>15.866</v>
      </c>
      <c r="Z150" s="242">
        <f>'[2]EU Sun Meal Exports'!LN$290</f>
        <v>41.978999999999999</v>
      </c>
      <c r="AA150" s="242">
        <f>'[2]EU Sun Meal Exports'!LZ$290</f>
        <v>12.675000000000001</v>
      </c>
      <c r="AB150" s="242">
        <f>'[2]EU Sun Meal Exports'!ML$290/1000</f>
        <v>37.878213000000002</v>
      </c>
      <c r="AC150" s="242">
        <f>'[2]EU Sun Meal Exports'!MX$290/1000</f>
        <v>40.73368</v>
      </c>
      <c r="AD150" s="242">
        <f>'[2]EU Sun Meal Exports'!NJ$290/1000</f>
        <v>52.76598700000001</v>
      </c>
      <c r="AE150" s="242">
        <f>'[2]EU Sun Meal Exports'!NV$290/1000</f>
        <v>62.609493999999991</v>
      </c>
      <c r="AF150" s="242">
        <f>'[2]EU Sun Meal Exports'!OH$290/1000</f>
        <v>33.711228000000006</v>
      </c>
      <c r="AG150" s="243">
        <f t="shared" si="115"/>
        <v>42.265265075117988</v>
      </c>
      <c r="AH150" s="243">
        <f t="shared" si="111"/>
        <v>40.388442529930934</v>
      </c>
      <c r="AI150" s="243">
        <f t="shared" si="112"/>
        <v>36.896620998846544</v>
      </c>
      <c r="AJ150" s="243">
        <f t="shared" si="113"/>
        <v>41.604149730727144</v>
      </c>
      <c r="AK150" s="243">
        <f t="shared" si="113"/>
        <v>36.329288735815354</v>
      </c>
      <c r="AL150" s="243">
        <f t="shared" si="113"/>
        <v>34.484615827969144</v>
      </c>
      <c r="AM150" s="243">
        <f t="shared" si="113"/>
        <v>32.024394660071025</v>
      </c>
    </row>
    <row r="151" spans="1:39">
      <c r="A151" s="240" t="s">
        <v>46</v>
      </c>
      <c r="B151" s="241">
        <f t="shared" si="110"/>
        <v>4.5339677202197963</v>
      </c>
      <c r="C151" s="241">
        <f t="shared" si="110"/>
        <v>4.8883198045273533</v>
      </c>
      <c r="D151" s="241">
        <f t="shared" si="114"/>
        <v>2.2223659023337272</v>
      </c>
      <c r="E151" s="242">
        <f>'[2]EU Sun Meal Exports'!BW$290</f>
        <v>2.65</v>
      </c>
      <c r="F151" s="242">
        <f>'[2]EU Sun Meal Exports'!CI$290</f>
        <v>5.8000000000000003E-2</v>
      </c>
      <c r="G151" s="242">
        <f>'[2]EU Sun Meal Exports'!CU$290</f>
        <v>14.271000000000001</v>
      </c>
      <c r="H151" s="242">
        <f>'[2]EU Sun Meal Exports'!DG$290</f>
        <v>3.5049999999999999</v>
      </c>
      <c r="I151" s="242">
        <f>'[2]EU Sun Meal Exports'!DS$290</f>
        <v>4.8120000000000003</v>
      </c>
      <c r="J151" s="242">
        <f>'[2]EU Sun Meal Exports'!EE$290</f>
        <v>0.97099999999999997</v>
      </c>
      <c r="K151" s="242">
        <f>'[2]EU Sun Meal Exports'!EQ$290</f>
        <v>5.5839999999999996</v>
      </c>
      <c r="L151" s="242">
        <f>'[2]EU Sun Meal Exports'!FC$290</f>
        <v>14.909000000000001</v>
      </c>
      <c r="M151" s="242">
        <f>'[2]EU Sun Meal Exports'!FO$290</f>
        <v>15.477</v>
      </c>
      <c r="N151" s="242">
        <f>'[2]EU Sun Meal Exports'!GA$290</f>
        <v>14.244</v>
      </c>
      <c r="O151" s="242">
        <f>'[2]EU Sun Meal Exports'!GM$290</f>
        <v>5.5910000000000002</v>
      </c>
      <c r="P151" s="242">
        <f>'[2]EU Sun Meal Exports'!GY$290</f>
        <v>1.7949999999999999</v>
      </c>
      <c r="Q151" s="242">
        <f>'[2]EU Sun Meal Exports'!HK$290</f>
        <v>1.41</v>
      </c>
      <c r="R151" s="242">
        <f>'[2]EU Sun Meal Exports'!HW$290</f>
        <v>4.1580000000000004</v>
      </c>
      <c r="S151" s="242">
        <f>'[2]EU Sun Meal Exports'!II$290</f>
        <v>9.3320000000000007</v>
      </c>
      <c r="T151" s="242">
        <f>'[2]EU Sun Meal Exports'!IU$290</f>
        <v>8.1750000000000007</v>
      </c>
      <c r="U151" s="242">
        <f>'[2]EU Sun Meal Exports'!JG$290</f>
        <v>11.846</v>
      </c>
      <c r="V151" s="242">
        <f>'[2]EU Sun Meal Exports'!JS$290</f>
        <v>14.382</v>
      </c>
      <c r="W151" s="242">
        <f>'[2]EU Sun Meal Exports'!KE$290</f>
        <v>15.933</v>
      </c>
      <c r="X151" s="242">
        <f>'[2]EU Sun Meal Exports'!KQ$290</f>
        <v>10.122</v>
      </c>
      <c r="Y151" s="242">
        <f>'[2]EU Sun Meal Exports'!LC$290</f>
        <v>21.975000000000001</v>
      </c>
      <c r="Z151" s="242">
        <f>'[2]EU Sun Meal Exports'!LO$290</f>
        <v>63.892000000000003</v>
      </c>
      <c r="AA151" s="242">
        <f>'[2]EU Sun Meal Exports'!MA$290</f>
        <v>25.251999999999999</v>
      </c>
      <c r="AB151" s="242">
        <f>'[2]EU Sun Meal Exports'!MM$290/1000</f>
        <v>33.619637000000004</v>
      </c>
      <c r="AC151" s="242">
        <f>'[2]EU Sun Meal Exports'!MY$290/1000</f>
        <v>81.633647000000011</v>
      </c>
      <c r="AD151" s="242">
        <f>'[2]EU Sun Meal Exports'!NK$290/1000</f>
        <v>82.532394999999994</v>
      </c>
      <c r="AE151" s="242">
        <f>'[2]EU Sun Meal Exports'!NW$290/1000</f>
        <v>90.438908999999995</v>
      </c>
      <c r="AF151" s="242">
        <f>'[2]EU Sun Meal Exports'!OI$290/1000</f>
        <v>68.045418999999981</v>
      </c>
      <c r="AG151" s="243">
        <f t="shared" si="115"/>
        <v>64.110223986217974</v>
      </c>
      <c r="AH151" s="243">
        <f t="shared" si="111"/>
        <v>63.194023048317149</v>
      </c>
      <c r="AI151" s="243">
        <f t="shared" si="112"/>
        <v>61.486605496863241</v>
      </c>
      <c r="AJ151" s="243">
        <f t="shared" si="113"/>
        <v>66.124334333960135</v>
      </c>
      <c r="AK151" s="243">
        <f t="shared" si="113"/>
        <v>58.443502586445973</v>
      </c>
      <c r="AL151" s="243">
        <f t="shared" si="113"/>
        <v>57.153065207432341</v>
      </c>
      <c r="AM151" s="243">
        <f t="shared" si="113"/>
        <v>50.814922613806132</v>
      </c>
    </row>
    <row r="152" spans="1:39">
      <c r="A152" s="240" t="s">
        <v>235</v>
      </c>
      <c r="B152" s="241">
        <f t="shared" si="110"/>
        <v>2.8408693720133571</v>
      </c>
      <c r="C152" s="241">
        <f t="shared" si="110"/>
        <v>2.9983436512504849</v>
      </c>
      <c r="D152" s="241">
        <f t="shared" si="114"/>
        <v>1.8263246853744963</v>
      </c>
      <c r="E152" s="242">
        <f>'[2]EU Sun Meal Exports'!BX$290</f>
        <v>0.83499999999999996</v>
      </c>
      <c r="F152" s="242">
        <f>'[2]EU Sun Meal Exports'!CJ$290</f>
        <v>1.794</v>
      </c>
      <c r="G152" s="242">
        <f>'[2]EU Sun Meal Exports'!CV$290</f>
        <v>5.3140000000000001</v>
      </c>
      <c r="H152" s="242">
        <f>'[2]EU Sun Meal Exports'!DH$290</f>
        <v>0.36399999999999999</v>
      </c>
      <c r="I152" s="242">
        <f>'[2]EU Sun Meal Exports'!DT$290</f>
        <v>13.537000000000001</v>
      </c>
      <c r="J152" s="242">
        <f>'[2]EU Sun Meal Exports'!EF$290</f>
        <v>3.0739999999999998</v>
      </c>
      <c r="K152" s="242">
        <f>'[2]EU Sun Meal Exports'!ER$290</f>
        <v>4.9720000000000004</v>
      </c>
      <c r="L152" s="242">
        <f>'[2]EU Sun Meal Exports'!FD$290</f>
        <v>3.052</v>
      </c>
      <c r="M152" s="242">
        <f>'[2]EU Sun Meal Exports'!FP$290</f>
        <v>12.177</v>
      </c>
      <c r="N152" s="242">
        <f>'[2]EU Sun Meal Exports'!GB$290</f>
        <v>9.9039999999999999</v>
      </c>
      <c r="O152" s="242">
        <f>'[2]EU Sun Meal Exports'!GN$290</f>
        <v>4.8609999999999998</v>
      </c>
      <c r="P152" s="242">
        <f>'[2]EU Sun Meal Exports'!GZ$290</f>
        <v>1.911</v>
      </c>
      <c r="Q152" s="242">
        <f>'[2]EU Sun Meal Exports'!HL$290</f>
        <v>2.8</v>
      </c>
      <c r="R152" s="242">
        <f>'[2]EU Sun Meal Exports'!HX$290</f>
        <v>5.4740000000000002</v>
      </c>
      <c r="S152" s="242">
        <f>'[2]EU Sun Meal Exports'!IJ$290</f>
        <v>4.5759999999999996</v>
      </c>
      <c r="T152" s="242">
        <f>'[2]EU Sun Meal Exports'!IV$290</f>
        <v>8.4779999999999998</v>
      </c>
      <c r="U152" s="242">
        <f>'[2]EU Sun Meal Exports'!JH$290</f>
        <v>14.959</v>
      </c>
      <c r="V152" s="242">
        <f>'[2]EU Sun Meal Exports'!JT$290</f>
        <v>19.611999999999998</v>
      </c>
      <c r="W152" s="242">
        <f>'[2]EU Sun Meal Exports'!KF$290</f>
        <v>14.755000000000001</v>
      </c>
      <c r="X152" s="242">
        <f>'[2]EU Sun Meal Exports'!KR$290</f>
        <v>14.484</v>
      </c>
      <c r="Y152" s="242">
        <f>'[2]EU Sun Meal Exports'!LD$290</f>
        <v>29.658000000000001</v>
      </c>
      <c r="Z152" s="242">
        <f>'[2]EU Sun Meal Exports'!LP$290</f>
        <v>39.012999999999998</v>
      </c>
      <c r="AA152" s="242">
        <f>'[2]EU Sun Meal Exports'!MB$290</f>
        <v>25.683</v>
      </c>
      <c r="AB152" s="242">
        <f>'[2]EU Sun Meal Exports'!MN$290/1000</f>
        <v>34.047867000000004</v>
      </c>
      <c r="AC152" s="242">
        <f>'[2]EU Sun Meal Exports'!MZ$290/1000</f>
        <v>26.28538</v>
      </c>
      <c r="AD152" s="242">
        <f>'[2]EU Sun Meal Exports'!NL$290/1000</f>
        <v>144.91353999999998</v>
      </c>
      <c r="AE152" s="242">
        <f>'[2]EU Sun Meal Exports'!NX$290/1000</f>
        <v>82.808060000000012</v>
      </c>
      <c r="AF152" s="242">
        <f>'[2]EU Sun Meal Exports'!OJ$290/1000</f>
        <v>30.145680999999996</v>
      </c>
      <c r="AG152" s="243">
        <f t="shared" si="115"/>
        <v>64.163655003555746</v>
      </c>
      <c r="AH152" s="243">
        <f t="shared" si="111"/>
        <v>56.441381832118921</v>
      </c>
      <c r="AI152" s="243">
        <f t="shared" si="112"/>
        <v>55.374793200867195</v>
      </c>
      <c r="AJ152" s="243">
        <f t="shared" si="113"/>
        <v>67.946796725607086</v>
      </c>
      <c r="AK152" s="243">
        <f t="shared" si="113"/>
        <v>48.625098633152852</v>
      </c>
      <c r="AL152" s="243">
        <f t="shared" si="113"/>
        <v>48.501495825196329</v>
      </c>
      <c r="AM152" s="243">
        <f t="shared" si="113"/>
        <v>47.440820334373257</v>
      </c>
    </row>
    <row r="153" spans="1:39">
      <c r="A153" s="240" t="s">
        <v>236</v>
      </c>
      <c r="B153" s="241">
        <f t="shared" si="110"/>
        <v>2.4196056388471598</v>
      </c>
      <c r="C153" s="241">
        <f t="shared" si="110"/>
        <v>2.0749233498185067</v>
      </c>
      <c r="D153" s="241">
        <f t="shared" si="114"/>
        <v>1.1960860180018738</v>
      </c>
      <c r="E153" s="242">
        <f>'[2]EU Sun Meal Exports'!BY$290</f>
        <v>3.6599999999999997</v>
      </c>
      <c r="F153" s="242">
        <f>'[2]EU Sun Meal Exports'!CK$290</f>
        <v>0.34300000000000003</v>
      </c>
      <c r="G153" s="242">
        <f>'[2]EU Sun Meal Exports'!CW$290</f>
        <v>0.623</v>
      </c>
      <c r="H153" s="242">
        <f>'[2]EU Sun Meal Exports'!DI$290</f>
        <v>8.2000000000000003E-2</v>
      </c>
      <c r="I153" s="242">
        <f>'[2]EU Sun Meal Exports'!DU$290</f>
        <v>4.6340000000000003</v>
      </c>
      <c r="J153" s="242">
        <f>'[2]EU Sun Meal Exports'!EG$290</f>
        <v>0.35899999999999999</v>
      </c>
      <c r="K153" s="242">
        <f>'[2]EU Sun Meal Exports'!ES$290</f>
        <v>8.2959999999999994</v>
      </c>
      <c r="L153" s="242">
        <f>'[2]EU Sun Meal Exports'!FE$290</f>
        <v>2.0259999999999998</v>
      </c>
      <c r="M153" s="242">
        <f>'[2]EU Sun Meal Exports'!FQ$290</f>
        <v>10.294</v>
      </c>
      <c r="N153" s="242">
        <f>'[2]EU Sun Meal Exports'!GC$290</f>
        <v>8.0359999999999996</v>
      </c>
      <c r="O153" s="242">
        <f>'[2]EU Sun Meal Exports'!GO$290</f>
        <v>1.129</v>
      </c>
      <c r="P153" s="242">
        <f>'[2]EU Sun Meal Exports'!HA$290</f>
        <v>0.59399999999999997</v>
      </c>
      <c r="Q153" s="242">
        <f>'[2]EU Sun Meal Exports'!HM$290</f>
        <v>0.67700000000000005</v>
      </c>
      <c r="R153" s="242">
        <f>'[2]EU Sun Meal Exports'!HY$290</f>
        <v>4.6950000000000003</v>
      </c>
      <c r="S153" s="242">
        <f>'[2]EU Sun Meal Exports'!IK$290</f>
        <v>2.9849999999999999</v>
      </c>
      <c r="T153" s="242">
        <f>'[2]EU Sun Meal Exports'!IW$290</f>
        <v>1.4390000000000001</v>
      </c>
      <c r="U153" s="242">
        <f>'[2]EU Sun Meal Exports'!JI$290</f>
        <v>11.648999999999999</v>
      </c>
      <c r="V153" s="242">
        <f>'[2]EU Sun Meal Exports'!JU$290</f>
        <v>8.8379999999999992</v>
      </c>
      <c r="W153" s="242">
        <f>'[2]EU Sun Meal Exports'!KG$290</f>
        <v>13.856</v>
      </c>
      <c r="X153" s="242">
        <f>'[2]EU Sun Meal Exports'!KS$290</f>
        <v>9.8550000000000004</v>
      </c>
      <c r="Y153" s="242">
        <f>'[2]EU Sun Meal Exports'!LE$290</f>
        <v>26.731999999999999</v>
      </c>
      <c r="Z153" s="242">
        <f>'[2]EU Sun Meal Exports'!LQ$290</f>
        <v>34.223999999999997</v>
      </c>
      <c r="AA153" s="242">
        <f>'[2]EU Sun Meal Exports'!MC$290/1000</f>
        <v>28.382521999999994</v>
      </c>
      <c r="AB153" s="242">
        <f>'[2]EU Sun Meal Exports'!MO$290/1000</f>
        <v>22.918127999999999</v>
      </c>
      <c r="AC153" s="242">
        <f>'[2]EU Sun Meal Exports'!NA$290/1000</f>
        <v>72.887270000000015</v>
      </c>
      <c r="AD153" s="242">
        <f>'[2]EU Sun Meal Exports'!NM$290/1000</f>
        <v>105.151516</v>
      </c>
      <c r="AE153" s="242">
        <f>'[2]EU Sun Meal Exports'!NY$290/1000</f>
        <v>34.326551999999985</v>
      </c>
      <c r="AF153" s="242">
        <f>'[2]EU Sun Meal Exports'!OK$290/1000</f>
        <v>109.95590000000003</v>
      </c>
      <c r="AG153" s="243">
        <f t="shared" si="115"/>
        <v>53.923279106978981</v>
      </c>
      <c r="AH153" s="243">
        <f t="shared" si="111"/>
        <v>61.237443577983818</v>
      </c>
      <c r="AI153" s="243">
        <f t="shared" si="112"/>
        <v>59.81477573834475</v>
      </c>
      <c r="AJ153" s="243">
        <f t="shared" si="113"/>
        <v>65.455358735015153</v>
      </c>
      <c r="AK153" s="243">
        <f t="shared" si="113"/>
        <v>53.728437554209343</v>
      </c>
      <c r="AL153" s="243">
        <f t="shared" si="113"/>
        <v>62.006563079210444</v>
      </c>
      <c r="AM153" s="243">
        <f t="shared" si="113"/>
        <v>47.701507250680876</v>
      </c>
    </row>
    <row r="154" spans="1:39">
      <c r="A154" s="240" t="s">
        <v>237</v>
      </c>
      <c r="B154" s="241">
        <f t="shared" si="110"/>
        <v>1.2825591690957747</v>
      </c>
      <c r="C154" s="241">
        <f t="shared" si="110"/>
        <v>0.80745239465739427</v>
      </c>
      <c r="D154" s="241">
        <f t="shared" si="114"/>
        <v>0.4791844852631722</v>
      </c>
      <c r="E154" s="242">
        <f>'[2]EU Sun Meal Exports'!BZ$290</f>
        <v>0</v>
      </c>
      <c r="F154" s="242">
        <f>'[2]EU Sun Meal Exports'!CL$290</f>
        <v>0.10999999999999999</v>
      </c>
      <c r="G154" s="242">
        <f>'[2]EU Sun Meal Exports'!CX$290</f>
        <v>0.98799999999999999</v>
      </c>
      <c r="H154" s="242">
        <f>'[2]EU Sun Meal Exports'!DJ$290</f>
        <v>0.223</v>
      </c>
      <c r="I154" s="242">
        <f>'[2]EU Sun Meal Exports'!DV$290</f>
        <v>0.68700000000000006</v>
      </c>
      <c r="J154" s="242">
        <f>'[2]EU Sun Meal Exports'!EH$290</f>
        <v>0.22</v>
      </c>
      <c r="K154" s="242">
        <f>'[2]EU Sun Meal Exports'!ET$290</f>
        <v>7.3179999999999996</v>
      </c>
      <c r="L154" s="242">
        <f>'[2]EU Sun Meal Exports'!FF$290</f>
        <v>0.89100000000000001</v>
      </c>
      <c r="M154" s="242">
        <f>'[2]EU Sun Meal Exports'!FR$290</f>
        <v>2.3380000000000001</v>
      </c>
      <c r="N154" s="242">
        <f>'[2]EU Sun Meal Exports'!GD$290</f>
        <v>4.9649999999999999</v>
      </c>
      <c r="O154" s="242">
        <f>'[2]EU Sun Meal Exports'!GP$290</f>
        <v>0.27400000000000002</v>
      </c>
      <c r="P154" s="242">
        <f>'[2]EU Sun Meal Exports'!HB$290</f>
        <v>0.124</v>
      </c>
      <c r="Q154" s="242">
        <f>'[2]EU Sun Meal Exports'!HN$290</f>
        <v>0.60399999999999998</v>
      </c>
      <c r="R154" s="242">
        <f>'[2]EU Sun Meal Exports'!HZ$290</f>
        <v>1.524</v>
      </c>
      <c r="S154" s="242">
        <f>'[2]EU Sun Meal Exports'!IL$290</f>
        <v>6.8920000000000003</v>
      </c>
      <c r="T154" s="242">
        <f>'[2]EU Sun Meal Exports'!IX$290</f>
        <v>0.94099999999999995</v>
      </c>
      <c r="U154" s="242">
        <f>'[2]EU Sun Meal Exports'!JJ$290</f>
        <v>4.1740000000000004</v>
      </c>
      <c r="V154" s="242">
        <f>'[2]EU Sun Meal Exports'!JV$290</f>
        <v>3.012</v>
      </c>
      <c r="W154" s="242">
        <f>'[2]EU Sun Meal Exports'!KH$290</f>
        <v>9.1010000000000009</v>
      </c>
      <c r="X154" s="242">
        <f>'[2]EU Sun Meal Exports'!KT$290</f>
        <v>19.233000000000001</v>
      </c>
      <c r="Y154" s="242">
        <f>'[2]EU Sun Meal Exports'!LF$290</f>
        <v>19.742000000000001</v>
      </c>
      <c r="Z154" s="242">
        <f>'[2]EU Sun Meal Exports'!LR$290</f>
        <v>11.798999999999999</v>
      </c>
      <c r="AA154" s="242">
        <f>'[2]EU Sun Meal Exports'!MD$290/1000</f>
        <v>18.149125999999999</v>
      </c>
      <c r="AB154" s="242">
        <f>'[2]EU Sun Meal Exports'!MP$290/1000</f>
        <v>27.231379999999998</v>
      </c>
      <c r="AC154" s="242">
        <f>'[2]EU Sun Meal Exports'!NB$290/1000</f>
        <v>62.089433999999997</v>
      </c>
      <c r="AD154" s="242">
        <f>'[2]EU Sun Meal Exports'!NN$290/1000</f>
        <v>22.932034999999999</v>
      </c>
      <c r="AE154" s="242">
        <f>'[2]EU Sun Meal Exports'!NZ$290/1000</f>
        <v>86.411163999999985</v>
      </c>
      <c r="AF154" s="242">
        <f>'[2]EU Sun Meal Exports'!OL$290/1000</f>
        <v>58.899686000000003</v>
      </c>
      <c r="AG154" s="243">
        <f t="shared" si="115"/>
        <v>44.341234518110198</v>
      </c>
      <c r="AH154" s="243">
        <f t="shared" si="111"/>
        <v>45.685816968072253</v>
      </c>
      <c r="AI154" s="243">
        <f t="shared" si="112"/>
        <v>43.667179873530273</v>
      </c>
      <c r="AJ154" s="243">
        <f t="shared" si="113"/>
        <v>46.366970707700105</v>
      </c>
      <c r="AK154" s="243">
        <f t="shared" si="113"/>
        <v>46.954217025030545</v>
      </c>
      <c r="AL154" s="243">
        <f t="shared" si="113"/>
        <v>42.28796630210838</v>
      </c>
      <c r="AM154" s="243">
        <f t="shared" si="113"/>
        <v>36.813311204180003</v>
      </c>
    </row>
    <row r="155" spans="1:39">
      <c r="A155" s="240" t="s">
        <v>238</v>
      </c>
      <c r="B155" s="241">
        <f t="shared" si="110"/>
        <v>1.662143385364333</v>
      </c>
      <c r="C155" s="241">
        <f t="shared" si="110"/>
        <v>1.6856696465281287</v>
      </c>
      <c r="D155" s="241">
        <f t="shared" si="114"/>
        <v>0.94636772152757986</v>
      </c>
      <c r="E155" s="242">
        <f>'[2]EU Sun Meal Exports'!CA$290</f>
        <v>1.502</v>
      </c>
      <c r="F155" s="242">
        <f>'[2]EU Sun Meal Exports'!CM$290</f>
        <v>1.6640000000000001</v>
      </c>
      <c r="G155" s="242">
        <f>'[2]EU Sun Meal Exports'!CY$290</f>
        <v>4.6859999999999999</v>
      </c>
      <c r="H155" s="242">
        <f>'[2]EU Sun Meal Exports'!DK$290</f>
        <v>5.9029999999999996</v>
      </c>
      <c r="I155" s="242">
        <f>'[2]EU Sun Meal Exports'!DW$290</f>
        <v>3.6459999999999999</v>
      </c>
      <c r="J155" s="242">
        <f>'[2]EU Sun Meal Exports'!EI$290</f>
        <v>2.0790000000000002</v>
      </c>
      <c r="K155" s="242">
        <f>'[2]EU Sun Meal Exports'!EU$290</f>
        <v>2.8319999999999999</v>
      </c>
      <c r="L155" s="242">
        <f>'[2]EU Sun Meal Exports'!FG$290</f>
        <v>5.1859999999999999</v>
      </c>
      <c r="M155" s="242">
        <f>'[2]EU Sun Meal Exports'!FS$290</f>
        <v>1.518</v>
      </c>
      <c r="N155" s="242">
        <f>'[2]EU Sun Meal Exports'!GE$290</f>
        <v>8.6890000000000001</v>
      </c>
      <c r="O155" s="242">
        <f>'[2]EU Sun Meal Exports'!GQ$290</f>
        <v>2.2330000000000001</v>
      </c>
      <c r="P155" s="242">
        <f>'[2]EU Sun Meal Exports'!HC$290</f>
        <v>0.311</v>
      </c>
      <c r="Q155" s="242">
        <f>'[2]EU Sun Meal Exports'!HO$290</f>
        <v>3.6509999999999998</v>
      </c>
      <c r="R155" s="242">
        <f>'[2]EU Sun Meal Exports'!IA$290</f>
        <v>2.4620000000000002</v>
      </c>
      <c r="S155" s="242">
        <f>'[2]EU Sun Meal Exports'!IM$290</f>
        <v>13.757</v>
      </c>
      <c r="T155" s="242">
        <f>'[2]EU Sun Meal Exports'!IY$290</f>
        <v>5.8049999999999997</v>
      </c>
      <c r="U155" s="242">
        <f>'[2]EU Sun Meal Exports'!JK$290</f>
        <v>25.632000000000001</v>
      </c>
      <c r="V155" s="242">
        <f>'[2]EU Sun Meal Exports'!JW$290</f>
        <v>25.614999999999998</v>
      </c>
      <c r="W155" s="242">
        <f>'[2]EU Sun Meal Exports'!KI$290</f>
        <v>39.268999999999998</v>
      </c>
      <c r="X155" s="242">
        <f>'[2]EU Sun Meal Exports'!KU$290</f>
        <v>19.84</v>
      </c>
      <c r="Y155" s="242">
        <f>'[2]EU Sun Meal Exports'!LG$290</f>
        <v>11.904999999999999</v>
      </c>
      <c r="Z155" s="242">
        <f>'[2]EU Sun Meal Exports'!LS$290</f>
        <v>13.64</v>
      </c>
      <c r="AA155" s="242">
        <f>'[2]EU Sun Meal Exports'!ME$290/1000</f>
        <v>55.342395000000003</v>
      </c>
      <c r="AB155" s="242">
        <f>'[2]EU Sun Meal Exports'!MQ$290/1000</f>
        <v>26.006167000000005</v>
      </c>
      <c r="AC155" s="242">
        <f>'[2]EU Sun Meal Exports'!NC$290/1000</f>
        <v>27.792111999999999</v>
      </c>
      <c r="AD155" s="242">
        <f>'[2]EU Sun Meal Exports'!NO$290/1000</f>
        <v>116.83430999999997</v>
      </c>
      <c r="AE155" s="242">
        <f>'[2]EU Sun Meal Exports'!OA$290/1000</f>
        <v>113.52056900000001</v>
      </c>
      <c r="AF155" s="242">
        <f>'[2]EU Sun Meal Exports'!OM$290/1000</f>
        <v>40.168499000000004</v>
      </c>
      <c r="AG155" s="243">
        <f t="shared" ref="AG155:AH155" si="116">AG156-SUM(AG144:AG154)</f>
        <v>123.44928838498754</v>
      </c>
      <c r="AH155" s="243">
        <f t="shared" si="116"/>
        <v>57.527127922183922</v>
      </c>
      <c r="AI155" s="243">
        <f t="shared" ref="AI155:AM155" si="117">AI156-SUM(AI144:AI154)</f>
        <v>67.051516995947622</v>
      </c>
      <c r="AJ155" s="243">
        <f t="shared" si="117"/>
        <v>81.057354262729973</v>
      </c>
      <c r="AK155" s="243">
        <f t="shared" si="117"/>
        <v>67.605604779335749</v>
      </c>
      <c r="AL155" s="243">
        <f t="shared" si="117"/>
        <v>65.34538689368037</v>
      </c>
      <c r="AM155" s="243">
        <f t="shared" si="117"/>
        <v>64.328252812732671</v>
      </c>
    </row>
    <row r="156" spans="1:39" ht="15.75" thickBot="1">
      <c r="A156" s="240" t="s">
        <v>242</v>
      </c>
      <c r="B156" s="242">
        <f>B27</f>
        <v>49</v>
      </c>
      <c r="C156" s="242">
        <f>C27</f>
        <v>56</v>
      </c>
      <c r="D156" s="242">
        <f>D27</f>
        <v>34</v>
      </c>
      <c r="E156" s="242">
        <f t="shared" ref="E156:AB156" si="118">SUM(E144:E155)</f>
        <v>58</v>
      </c>
      <c r="F156" s="242">
        <f t="shared" si="118"/>
        <v>4.2960000000000003</v>
      </c>
      <c r="G156" s="242">
        <f t="shared" si="118"/>
        <v>105.553</v>
      </c>
      <c r="H156" s="242">
        <f t="shared" si="118"/>
        <v>109.25299999999999</v>
      </c>
      <c r="I156" s="242">
        <f t="shared" si="118"/>
        <v>95.937000000000012</v>
      </c>
      <c r="J156" s="242">
        <f t="shared" si="118"/>
        <v>41.125999999999998</v>
      </c>
      <c r="K156" s="242">
        <f t="shared" si="118"/>
        <v>46.121000000000002</v>
      </c>
      <c r="L156" s="242">
        <f t="shared" si="118"/>
        <v>79.546999999999997</v>
      </c>
      <c r="M156" s="242">
        <f t="shared" si="118"/>
        <v>153.63700000000003</v>
      </c>
      <c r="N156" s="242">
        <f t="shared" si="118"/>
        <v>189.60499999999999</v>
      </c>
      <c r="O156" s="242">
        <f t="shared" si="118"/>
        <v>134.19199999999998</v>
      </c>
      <c r="P156" s="242">
        <f t="shared" si="118"/>
        <v>38.908000000000008</v>
      </c>
      <c r="Q156" s="242">
        <f t="shared" si="118"/>
        <v>72.930000000000007</v>
      </c>
      <c r="R156" s="242">
        <f t="shared" si="118"/>
        <v>76.86999999999999</v>
      </c>
      <c r="S156" s="242">
        <f t="shared" si="118"/>
        <v>125.28500000000001</v>
      </c>
      <c r="T156" s="242">
        <f t="shared" si="118"/>
        <v>121.79400000000001</v>
      </c>
      <c r="U156" s="242">
        <f t="shared" si="118"/>
        <v>122.92500000000001</v>
      </c>
      <c r="V156" s="242">
        <f t="shared" si="118"/>
        <v>173.08400000000003</v>
      </c>
      <c r="W156" s="242">
        <f t="shared" si="118"/>
        <v>302.38799999999998</v>
      </c>
      <c r="X156" s="242">
        <f t="shared" si="118"/>
        <v>215.13200000000003</v>
      </c>
      <c r="Y156" s="242">
        <f t="shared" si="118"/>
        <v>274.79199999999997</v>
      </c>
      <c r="Z156" s="242">
        <f t="shared" si="118"/>
        <v>405.87399999999991</v>
      </c>
      <c r="AA156" s="242">
        <f t="shared" si="118"/>
        <v>394.51104300000003</v>
      </c>
      <c r="AB156" s="242">
        <f t="shared" si="118"/>
        <v>575.17553299999986</v>
      </c>
      <c r="AC156" s="242">
        <f>SUM(AC144:AC155)</f>
        <v>697.01012300000002</v>
      </c>
      <c r="AD156" s="242">
        <f>SUM(AD144:AD155)</f>
        <v>996.655393</v>
      </c>
      <c r="AE156" s="242">
        <f>SUM(AE144:AE155)</f>
        <v>1003.885774</v>
      </c>
      <c r="AF156" s="242">
        <f>SUM(AF144:AF155)</f>
        <v>955.56079599999998</v>
      </c>
      <c r="AG156" s="243">
        <f t="shared" ref="AG156:AM156" si="119">AG27</f>
        <v>750</v>
      </c>
      <c r="AH156" s="243">
        <f t="shared" si="119"/>
        <v>750</v>
      </c>
      <c r="AI156" s="243">
        <f t="shared" si="119"/>
        <v>700</v>
      </c>
      <c r="AJ156" s="243">
        <f t="shared" si="119"/>
        <v>800</v>
      </c>
      <c r="AK156" s="243">
        <f t="shared" si="119"/>
        <v>700</v>
      </c>
      <c r="AL156" s="243">
        <f t="shared" si="119"/>
        <v>700</v>
      </c>
      <c r="AM156" s="243">
        <f t="shared" si="119"/>
        <v>600</v>
      </c>
    </row>
    <row r="157" spans="1:39">
      <c r="A157" s="248"/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  <c r="AA157" s="254"/>
      <c r="AB157" s="248"/>
      <c r="AC157" s="248"/>
      <c r="AD157" s="248"/>
      <c r="AE157" s="248"/>
      <c r="AF157" s="248"/>
      <c r="AG157" s="248"/>
      <c r="AH157" s="248"/>
      <c r="AI157" s="248"/>
      <c r="AJ157" s="248"/>
      <c r="AK157" s="248"/>
      <c r="AL157" s="248"/>
      <c r="AM157" s="248"/>
    </row>
    <row r="158" spans="1:39" ht="15.75" thickBot="1">
      <c r="A158" s="235" t="s">
        <v>258</v>
      </c>
      <c r="D158" s="264"/>
      <c r="E158" s="264"/>
      <c r="F158" s="264"/>
      <c r="G158" s="264"/>
      <c r="H158" s="264"/>
      <c r="I158" s="264"/>
      <c r="J158" s="264"/>
    </row>
    <row r="159" spans="1:39" ht="15.75" thickBot="1">
      <c r="A159" s="236"/>
      <c r="B159" s="237" t="str">
        <f>B$2</f>
        <v xml:space="preserve">93/94 </v>
      </c>
      <c r="C159" s="237" t="str">
        <f t="shared" ref="C159:AM159" si="120">C$2</f>
        <v xml:space="preserve">94/95 </v>
      </c>
      <c r="D159" s="237" t="str">
        <f t="shared" si="120"/>
        <v xml:space="preserve">95/96 </v>
      </c>
      <c r="E159" s="237" t="str">
        <f t="shared" si="120"/>
        <v xml:space="preserve">96/97 </v>
      </c>
      <c r="F159" s="237" t="str">
        <f t="shared" si="120"/>
        <v xml:space="preserve">97/98 </v>
      </c>
      <c r="G159" s="237" t="str">
        <f t="shared" si="120"/>
        <v xml:space="preserve">98/99 </v>
      </c>
      <c r="H159" s="237" t="str">
        <f t="shared" si="120"/>
        <v xml:space="preserve">99/00 </v>
      </c>
      <c r="I159" s="237" t="str">
        <f t="shared" si="120"/>
        <v xml:space="preserve">00/01 </v>
      </c>
      <c r="J159" s="237" t="str">
        <f t="shared" si="120"/>
        <v xml:space="preserve">01/02 </v>
      </c>
      <c r="K159" s="237" t="str">
        <f t="shared" si="120"/>
        <v xml:space="preserve">02/03 </v>
      </c>
      <c r="L159" s="237" t="str">
        <f t="shared" si="120"/>
        <v xml:space="preserve">03/04 </v>
      </c>
      <c r="M159" s="237" t="str">
        <f t="shared" si="120"/>
        <v xml:space="preserve">04/05 </v>
      </c>
      <c r="N159" s="237" t="str">
        <f t="shared" si="120"/>
        <v xml:space="preserve">05/06 </v>
      </c>
      <c r="O159" s="237" t="str">
        <f t="shared" si="120"/>
        <v xml:space="preserve">06/07 </v>
      </c>
      <c r="P159" s="237" t="str">
        <f t="shared" si="120"/>
        <v xml:space="preserve">07/08 </v>
      </c>
      <c r="Q159" s="237" t="str">
        <f t="shared" si="120"/>
        <v xml:space="preserve">08/09 </v>
      </c>
      <c r="R159" s="237" t="str">
        <f t="shared" si="120"/>
        <v xml:space="preserve">09/10 </v>
      </c>
      <c r="S159" s="237" t="str">
        <f t="shared" si="120"/>
        <v xml:space="preserve">10/11 </v>
      </c>
      <c r="T159" s="237" t="str">
        <f t="shared" si="120"/>
        <v xml:space="preserve">11/12 </v>
      </c>
      <c r="U159" s="237" t="str">
        <f t="shared" si="120"/>
        <v xml:space="preserve">12/13 </v>
      </c>
      <c r="V159" s="237" t="str">
        <f t="shared" si="120"/>
        <v xml:space="preserve">13/14 </v>
      </c>
      <c r="W159" s="237" t="str">
        <f t="shared" si="120"/>
        <v xml:space="preserve">14/15 </v>
      </c>
      <c r="X159" s="237" t="str">
        <f t="shared" si="120"/>
        <v xml:space="preserve">15/16 </v>
      </c>
      <c r="Y159" s="237" t="str">
        <f t="shared" si="120"/>
        <v xml:space="preserve">16/17 </v>
      </c>
      <c r="Z159" s="237" t="str">
        <f t="shared" si="120"/>
        <v xml:space="preserve">17/18 </v>
      </c>
      <c r="AA159" s="237" t="str">
        <f t="shared" si="120"/>
        <v xml:space="preserve">18/19 </v>
      </c>
      <c r="AB159" s="237" t="str">
        <f t="shared" si="120"/>
        <v xml:space="preserve">19/20 </v>
      </c>
      <c r="AC159" s="237" t="str">
        <f t="shared" si="120"/>
        <v xml:space="preserve">20/21 </v>
      </c>
      <c r="AD159" s="237" t="str">
        <f t="shared" si="120"/>
        <v>21/22</v>
      </c>
      <c r="AE159" s="237" t="str">
        <f t="shared" si="120"/>
        <v>22/23</v>
      </c>
      <c r="AF159" s="237" t="str">
        <f t="shared" si="120"/>
        <v>23/24</v>
      </c>
      <c r="AG159" s="237" t="str">
        <f t="shared" si="120"/>
        <v>24/25</v>
      </c>
      <c r="AH159" s="237" t="str">
        <f t="shared" si="120"/>
        <v>25/26</v>
      </c>
      <c r="AI159" s="237" t="str">
        <f t="shared" si="120"/>
        <v>26/27</v>
      </c>
      <c r="AJ159" s="237" t="str">
        <f t="shared" si="120"/>
        <v>27/28</v>
      </c>
      <c r="AK159" s="237" t="str">
        <f t="shared" si="120"/>
        <v>28/29</v>
      </c>
      <c r="AL159" s="237" t="str">
        <f t="shared" si="120"/>
        <v>29/30</v>
      </c>
      <c r="AM159" s="237" t="str">
        <f t="shared" si="120"/>
        <v>30/31</v>
      </c>
    </row>
    <row r="160" spans="1:39">
      <c r="A160" s="240" t="s">
        <v>239</v>
      </c>
      <c r="B160" s="290">
        <f>B22+B96+B128-B144-B176</f>
        <v>494.74877922452004</v>
      </c>
      <c r="C160" s="290">
        <f>B187+C96+C128-C144-C176</f>
        <v>477.81879202075015</v>
      </c>
      <c r="D160" s="290">
        <f t="shared" ref="D160:AF160" si="121">C187+D96+D128-D144-D176</f>
        <v>510.20991494187871</v>
      </c>
      <c r="E160" s="290">
        <f t="shared" si="121"/>
        <v>600.30196593614744</v>
      </c>
      <c r="F160" s="290">
        <f t="shared" si="121"/>
        <v>526.6500706794609</v>
      </c>
      <c r="G160" s="290">
        <f t="shared" si="121"/>
        <v>519.58714040048471</v>
      </c>
      <c r="H160" s="290">
        <f t="shared" si="121"/>
        <v>493.60219543644524</v>
      </c>
      <c r="I160" s="290">
        <f t="shared" si="121"/>
        <v>531.65952631578932</v>
      </c>
      <c r="J160" s="290">
        <f t="shared" si="121"/>
        <v>453.098853787434</v>
      </c>
      <c r="K160" s="290">
        <f t="shared" si="121"/>
        <v>410.50250626118071</v>
      </c>
      <c r="L160" s="290">
        <f t="shared" si="121"/>
        <v>475.90201655209489</v>
      </c>
      <c r="M160" s="290">
        <f t="shared" si="121"/>
        <v>436.1257971977326</v>
      </c>
      <c r="N160" s="290">
        <f t="shared" si="121"/>
        <v>447.43543192400813</v>
      </c>
      <c r="O160" s="290">
        <f t="shared" si="121"/>
        <v>415.63633066287269</v>
      </c>
      <c r="P160" s="290">
        <f t="shared" si="121"/>
        <v>354.50139379592395</v>
      </c>
      <c r="Q160" s="290">
        <f t="shared" si="121"/>
        <v>426.40007478812186</v>
      </c>
      <c r="R160" s="290">
        <f t="shared" si="121"/>
        <v>515.05026463908348</v>
      </c>
      <c r="S160" s="290">
        <f t="shared" si="121"/>
        <v>488.0030510665805</v>
      </c>
      <c r="T160" s="290">
        <f t="shared" si="121"/>
        <v>568.2361146076729</v>
      </c>
      <c r="U160" s="290">
        <f t="shared" si="121"/>
        <v>694.1998068739772</v>
      </c>
      <c r="V160" s="290">
        <f t="shared" si="121"/>
        <v>591.43858960801265</v>
      </c>
      <c r="W160" s="290">
        <f t="shared" si="121"/>
        <v>644.48007692307704</v>
      </c>
      <c r="X160" s="290">
        <f t="shared" si="121"/>
        <v>619.89276923076932</v>
      </c>
      <c r="Y160" s="290">
        <f t="shared" si="121"/>
        <v>619.28492307692295</v>
      </c>
      <c r="Z160" s="290">
        <f t="shared" si="121"/>
        <v>769.3394266652607</v>
      </c>
      <c r="AA160" s="290">
        <f t="shared" si="121"/>
        <v>658.06600000000003</v>
      </c>
      <c r="AB160" s="290">
        <f t="shared" si="121"/>
        <v>620.15725500000008</v>
      </c>
      <c r="AC160" s="290">
        <f t="shared" si="121"/>
        <v>544.81794646153833</v>
      </c>
      <c r="AD160" s="290">
        <f t="shared" si="121"/>
        <v>469.31566392307695</v>
      </c>
      <c r="AE160" s="290">
        <f t="shared" si="121"/>
        <v>625.84588195200899</v>
      </c>
      <c r="AF160" s="290">
        <f t="shared" si="121"/>
        <v>597.0057044781754</v>
      </c>
      <c r="AG160" s="253">
        <f t="shared" ref="AG160:AM160" si="122">AG22+AG96+AG128-AG144-AG176</f>
        <v>626.10323456217191</v>
      </c>
      <c r="AH160" s="253">
        <f t="shared" si="122"/>
        <v>630.34280039518364</v>
      </c>
      <c r="AI160" s="253">
        <f t="shared" si="122"/>
        <v>640.98771891114211</v>
      </c>
      <c r="AJ160" s="253">
        <f t="shared" si="122"/>
        <v>624.94562838968932</v>
      </c>
      <c r="AK160" s="253">
        <f t="shared" si="122"/>
        <v>664.92918489409317</v>
      </c>
      <c r="AL160" s="253">
        <f t="shared" si="122"/>
        <v>661.51464888918554</v>
      </c>
      <c r="AM160" s="253">
        <f t="shared" si="122"/>
        <v>676.4982995367784</v>
      </c>
    </row>
    <row r="161" spans="1:39">
      <c r="A161" s="240" t="s">
        <v>240</v>
      </c>
      <c r="B161" s="290">
        <f>B176+B97+B129-B145-B177</f>
        <v>422.5100102542483</v>
      </c>
      <c r="C161" s="290">
        <f>C176+C97+C129-C145-C177</f>
        <v>460.82342329345636</v>
      </c>
      <c r="D161" s="290">
        <f t="shared" ref="D161:AM168" si="123">D176+D97+D129-D145-D177</f>
        <v>475.06233760681891</v>
      </c>
      <c r="E161" s="290">
        <f t="shared" si="123"/>
        <v>616.86618354682605</v>
      </c>
      <c r="F161" s="290">
        <f t="shared" si="123"/>
        <v>519.25107236264762</v>
      </c>
      <c r="G161" s="290">
        <f t="shared" si="123"/>
        <v>512.7315079923826</v>
      </c>
      <c r="H161" s="290">
        <f t="shared" si="123"/>
        <v>431.72541482839256</v>
      </c>
      <c r="I161" s="290">
        <f t="shared" si="123"/>
        <v>503.97489473684209</v>
      </c>
      <c r="J161" s="290">
        <f t="shared" si="123"/>
        <v>440.23737287140347</v>
      </c>
      <c r="K161" s="290">
        <f t="shared" si="123"/>
        <v>377.10984347048293</v>
      </c>
      <c r="L161" s="290">
        <f t="shared" si="123"/>
        <v>509.34512938284882</v>
      </c>
      <c r="M161" s="290">
        <f t="shared" si="123"/>
        <v>435.36073545592558</v>
      </c>
      <c r="N161" s="290">
        <f t="shared" si="123"/>
        <v>461.00202942819885</v>
      </c>
      <c r="O161" s="290">
        <f t="shared" si="123"/>
        <v>430.92125362929403</v>
      </c>
      <c r="P161" s="290">
        <f t="shared" si="123"/>
        <v>354.9331895161975</v>
      </c>
      <c r="Q161" s="290">
        <f t="shared" si="123"/>
        <v>431.79475603286534</v>
      </c>
      <c r="R161" s="290">
        <f t="shared" si="123"/>
        <v>576.58025693690126</v>
      </c>
      <c r="S161" s="290">
        <f t="shared" si="123"/>
        <v>547.65327795733663</v>
      </c>
      <c r="T161" s="290">
        <f t="shared" si="123"/>
        <v>599.37942853854213</v>
      </c>
      <c r="U161" s="290">
        <f t="shared" si="123"/>
        <v>685.61172504091655</v>
      </c>
      <c r="V161" s="290">
        <f t="shared" si="123"/>
        <v>607.82469535817791</v>
      </c>
      <c r="W161" s="290">
        <f t="shared" si="123"/>
        <v>618.50507692307701</v>
      </c>
      <c r="X161" s="290">
        <f t="shared" si="123"/>
        <v>620.4457692307692</v>
      </c>
      <c r="Y161" s="290">
        <f t="shared" si="123"/>
        <v>718.88217465106709</v>
      </c>
      <c r="Z161" s="290">
        <f t="shared" si="123"/>
        <v>828.16731857249079</v>
      </c>
      <c r="AA161" s="290">
        <f t="shared" si="123"/>
        <v>734.96500000000015</v>
      </c>
      <c r="AB161" s="290">
        <f t="shared" si="123"/>
        <v>633.61353900000017</v>
      </c>
      <c r="AC161" s="290">
        <f t="shared" si="123"/>
        <v>591.71009946153833</v>
      </c>
      <c r="AD161" s="290">
        <f t="shared" si="123"/>
        <v>567.72698192307689</v>
      </c>
      <c r="AE161" s="290">
        <f t="shared" si="123"/>
        <v>580.96185017440848</v>
      </c>
      <c r="AF161" s="290">
        <f t="shared" si="123"/>
        <v>568.65262455159825</v>
      </c>
      <c r="AG161" s="253">
        <f t="shared" si="123"/>
        <v>626.06975715297642</v>
      </c>
      <c r="AH161" s="253">
        <f t="shared" si="123"/>
        <v>650.804773115628</v>
      </c>
      <c r="AI161" s="253">
        <f t="shared" si="123"/>
        <v>653.51119195126239</v>
      </c>
      <c r="AJ161" s="253">
        <f t="shared" si="123"/>
        <v>632.38541961122314</v>
      </c>
      <c r="AK161" s="253">
        <f t="shared" si="123"/>
        <v>654.4262399082977</v>
      </c>
      <c r="AL161" s="253">
        <f t="shared" si="123"/>
        <v>660.59894555375763</v>
      </c>
      <c r="AM161" s="253">
        <f t="shared" si="123"/>
        <v>677.90810338107235</v>
      </c>
    </row>
    <row r="162" spans="1:39">
      <c r="A162" s="240" t="s">
        <v>241</v>
      </c>
      <c r="B162" s="290">
        <f t="shared" ref="B162:Q171" si="124">B177+B98+B130-B146-B178</f>
        <v>422.72839191065657</v>
      </c>
      <c r="C162" s="290">
        <f t="shared" si="124"/>
        <v>459.60630265216105</v>
      </c>
      <c r="D162" s="290">
        <f t="shared" si="123"/>
        <v>479.15134584906815</v>
      </c>
      <c r="E162" s="290">
        <f t="shared" si="123"/>
        <v>561.23439992316821</v>
      </c>
      <c r="F162" s="290">
        <f t="shared" si="123"/>
        <v>564.9587811713252</v>
      </c>
      <c r="G162" s="290">
        <f t="shared" si="123"/>
        <v>457.63525517917941</v>
      </c>
      <c r="H162" s="290">
        <f t="shared" si="123"/>
        <v>510.7052718538651</v>
      </c>
      <c r="I162" s="290">
        <f t="shared" si="123"/>
        <v>434.8261385041551</v>
      </c>
      <c r="J162" s="290">
        <f t="shared" si="123"/>
        <v>345.25049882560188</v>
      </c>
      <c r="K162" s="290">
        <f t="shared" si="123"/>
        <v>388.10136672629704</v>
      </c>
      <c r="L162" s="290">
        <f t="shared" si="123"/>
        <v>502.30932076244608</v>
      </c>
      <c r="M162" s="290">
        <f t="shared" si="123"/>
        <v>364.98461993899645</v>
      </c>
      <c r="N162" s="290">
        <f t="shared" si="123"/>
        <v>414.00040417209908</v>
      </c>
      <c r="O162" s="290">
        <f t="shared" si="123"/>
        <v>418.93008771081679</v>
      </c>
      <c r="P162" s="290">
        <f t="shared" si="123"/>
        <v>341.73326827198832</v>
      </c>
      <c r="Q162" s="290">
        <f t="shared" si="123"/>
        <v>497.01509665523713</v>
      </c>
      <c r="R162" s="290">
        <f t="shared" si="123"/>
        <v>511.06719146835195</v>
      </c>
      <c r="S162" s="290">
        <f t="shared" si="123"/>
        <v>484.64814350355527</v>
      </c>
      <c r="T162" s="290">
        <f t="shared" si="123"/>
        <v>613.64513450891479</v>
      </c>
      <c r="U162" s="290">
        <f t="shared" si="123"/>
        <v>693.59241571194775</v>
      </c>
      <c r="V162" s="290">
        <f t="shared" si="123"/>
        <v>705.21942701713351</v>
      </c>
      <c r="W162" s="290">
        <f t="shared" si="123"/>
        <v>708.10407692307683</v>
      </c>
      <c r="X162" s="290">
        <f t="shared" si="123"/>
        <v>672.58576923076907</v>
      </c>
      <c r="Y162" s="290">
        <f t="shared" si="123"/>
        <v>781.6540403211452</v>
      </c>
      <c r="Z162" s="290">
        <f t="shared" si="123"/>
        <v>820.93684193871684</v>
      </c>
      <c r="AA162" s="290">
        <f t="shared" si="123"/>
        <v>664.10400000000016</v>
      </c>
      <c r="AB162" s="290">
        <f t="shared" si="123"/>
        <v>706.87032799999997</v>
      </c>
      <c r="AC162" s="290">
        <f t="shared" si="123"/>
        <v>645.77063746153851</v>
      </c>
      <c r="AD162" s="290">
        <f t="shared" si="123"/>
        <v>587.16166992307694</v>
      </c>
      <c r="AE162" s="290">
        <f t="shared" si="123"/>
        <v>588.91980013717625</v>
      </c>
      <c r="AF162" s="290">
        <f t="shared" si="123"/>
        <v>573.05186303192636</v>
      </c>
      <c r="AG162" s="253">
        <f t="shared" si="123"/>
        <v>572.15518312350355</v>
      </c>
      <c r="AH162" s="253">
        <f t="shared" si="123"/>
        <v>687.06659502341654</v>
      </c>
      <c r="AI162" s="253">
        <f t="shared" si="123"/>
        <v>660.99622143092802</v>
      </c>
      <c r="AJ162" s="253">
        <f t="shared" si="123"/>
        <v>635.4438966725827</v>
      </c>
      <c r="AK162" s="253">
        <f t="shared" si="123"/>
        <v>653.94156786413077</v>
      </c>
      <c r="AL162" s="253">
        <f t="shared" si="123"/>
        <v>659.04855416780811</v>
      </c>
      <c r="AM162" s="253">
        <f t="shared" si="123"/>
        <v>675.2949662424196</v>
      </c>
    </row>
    <row r="163" spans="1:39">
      <c r="A163" s="240" t="s">
        <v>231</v>
      </c>
      <c r="B163" s="290">
        <f t="shared" si="124"/>
        <v>404.35640078416151</v>
      </c>
      <c r="C163" s="290">
        <f t="shared" si="124"/>
        <v>440.45711595296882</v>
      </c>
      <c r="D163" s="290">
        <f t="shared" si="123"/>
        <v>483.69215432706176</v>
      </c>
      <c r="E163" s="290">
        <f t="shared" si="123"/>
        <v>505.95227063608218</v>
      </c>
      <c r="F163" s="290">
        <f t="shared" si="123"/>
        <v>523.43787767403728</v>
      </c>
      <c r="G163" s="290">
        <f t="shared" si="123"/>
        <v>478.46830094061977</v>
      </c>
      <c r="H163" s="290">
        <f t="shared" si="123"/>
        <v>370.85073857531142</v>
      </c>
      <c r="I163" s="290">
        <f t="shared" si="123"/>
        <v>461.29595844875348</v>
      </c>
      <c r="J163" s="290">
        <f t="shared" si="123"/>
        <v>421.95849882560196</v>
      </c>
      <c r="K163" s="290">
        <f t="shared" si="123"/>
        <v>383.71993649373883</v>
      </c>
      <c r="L163" s="290">
        <f t="shared" si="123"/>
        <v>488.99158736254594</v>
      </c>
      <c r="M163" s="290">
        <f t="shared" si="123"/>
        <v>403.30261993899643</v>
      </c>
      <c r="N163" s="290">
        <f t="shared" si="123"/>
        <v>402.06715608120692</v>
      </c>
      <c r="O163" s="290">
        <f t="shared" si="123"/>
        <v>428.47993956931913</v>
      </c>
      <c r="P163" s="290">
        <f t="shared" si="123"/>
        <v>324.04037107366491</v>
      </c>
      <c r="Q163" s="290">
        <f t="shared" si="123"/>
        <v>470.45309665523712</v>
      </c>
      <c r="R163" s="290">
        <f t="shared" si="123"/>
        <v>475.28795655179215</v>
      </c>
      <c r="S163" s="290">
        <f t="shared" si="123"/>
        <v>484.87630316742082</v>
      </c>
      <c r="T163" s="290">
        <f t="shared" si="123"/>
        <v>589.09225242003242</v>
      </c>
      <c r="U163" s="290">
        <f t="shared" si="123"/>
        <v>683.81045499181664</v>
      </c>
      <c r="V163" s="290">
        <f t="shared" si="123"/>
        <v>693.28015338858097</v>
      </c>
      <c r="W163" s="290">
        <f t="shared" si="123"/>
        <v>657.33907692307685</v>
      </c>
      <c r="X163" s="290">
        <f t="shared" si="123"/>
        <v>571.04976923076924</v>
      </c>
      <c r="Y163" s="290">
        <f t="shared" si="123"/>
        <v>714.36250129288874</v>
      </c>
      <c r="Z163" s="290">
        <f t="shared" si="123"/>
        <v>845.81769347743534</v>
      </c>
      <c r="AA163" s="290">
        <f t="shared" si="123"/>
        <v>754.89100000000008</v>
      </c>
      <c r="AB163" s="290">
        <f t="shared" si="123"/>
        <v>645.09659899999997</v>
      </c>
      <c r="AC163" s="290">
        <f t="shared" si="123"/>
        <v>566.12402446153851</v>
      </c>
      <c r="AD163" s="290">
        <f t="shared" si="123"/>
        <v>634.90883292307694</v>
      </c>
      <c r="AE163" s="290">
        <f t="shared" si="123"/>
        <v>624.48519696101926</v>
      </c>
      <c r="AF163" s="290">
        <f t="shared" si="123"/>
        <v>644.6116686308701</v>
      </c>
      <c r="AG163" s="253">
        <f t="shared" si="123"/>
        <v>634.39231121857495</v>
      </c>
      <c r="AH163" s="253">
        <f t="shared" si="123"/>
        <v>688.86568229621389</v>
      </c>
      <c r="AI163" s="253">
        <f t="shared" si="123"/>
        <v>685.99340152480113</v>
      </c>
      <c r="AJ163" s="253">
        <f t="shared" si="123"/>
        <v>676.73395721271413</v>
      </c>
      <c r="AK163" s="253">
        <f t="shared" si="123"/>
        <v>687.67966146532854</v>
      </c>
      <c r="AL163" s="253">
        <f t="shared" si="123"/>
        <v>692.70107134034424</v>
      </c>
      <c r="AM163" s="253">
        <f t="shared" si="123"/>
        <v>700.73303190034926</v>
      </c>
    </row>
    <row r="164" spans="1:39">
      <c r="A164" s="240" t="s">
        <v>232</v>
      </c>
      <c r="B164" s="290">
        <f t="shared" si="124"/>
        <v>387.25776049689722</v>
      </c>
      <c r="C164" s="290">
        <f t="shared" si="124"/>
        <v>429.8625142679266</v>
      </c>
      <c r="D164" s="290">
        <f t="shared" si="123"/>
        <v>467.32084094650958</v>
      </c>
      <c r="E164" s="290">
        <f t="shared" si="123"/>
        <v>452.34765201341838</v>
      </c>
      <c r="F164" s="290">
        <f t="shared" si="123"/>
        <v>511.07110733552969</v>
      </c>
      <c r="G164" s="290">
        <f t="shared" si="123"/>
        <v>429.32464527670373</v>
      </c>
      <c r="H164" s="290">
        <f t="shared" si="123"/>
        <v>413.46548138550025</v>
      </c>
      <c r="I164" s="290">
        <f t="shared" si="123"/>
        <v>470.69259833795013</v>
      </c>
      <c r="J164" s="290">
        <f t="shared" si="123"/>
        <v>296.4425942454493</v>
      </c>
      <c r="K164" s="290">
        <f t="shared" si="123"/>
        <v>395.56343067978543</v>
      </c>
      <c r="L164" s="290">
        <f t="shared" si="123"/>
        <v>464.13008295249426</v>
      </c>
      <c r="M164" s="290">
        <f t="shared" si="123"/>
        <v>392.21947255532803</v>
      </c>
      <c r="N164" s="290">
        <f t="shared" si="123"/>
        <v>366.50746246973364</v>
      </c>
      <c r="O164" s="290">
        <f t="shared" si="123"/>
        <v>406.37553662444577</v>
      </c>
      <c r="P164" s="290">
        <f t="shared" si="123"/>
        <v>329.90893582107282</v>
      </c>
      <c r="Q164" s="290">
        <f t="shared" si="123"/>
        <v>418.86457268551453</v>
      </c>
      <c r="R164" s="290">
        <f t="shared" si="123"/>
        <v>451.62787567887818</v>
      </c>
      <c r="S164" s="290">
        <f t="shared" si="123"/>
        <v>454.7999754363284</v>
      </c>
      <c r="T164" s="290">
        <f t="shared" si="123"/>
        <v>531.75239023239203</v>
      </c>
      <c r="U164" s="290">
        <f t="shared" si="123"/>
        <v>586.94405728314234</v>
      </c>
      <c r="V164" s="290">
        <f t="shared" si="123"/>
        <v>637.36039727489958</v>
      </c>
      <c r="W164" s="290">
        <f t="shared" si="123"/>
        <v>707.16107692307696</v>
      </c>
      <c r="X164" s="290">
        <f t="shared" si="123"/>
        <v>547.60876923076944</v>
      </c>
      <c r="Y164" s="290">
        <f t="shared" si="123"/>
        <v>658.59871709646359</v>
      </c>
      <c r="Z164" s="290">
        <f t="shared" si="123"/>
        <v>731.02513335199558</v>
      </c>
      <c r="AA164" s="290">
        <f t="shared" si="123"/>
        <v>665.44200000000012</v>
      </c>
      <c r="AB164" s="290">
        <f t="shared" si="123"/>
        <v>663.46468099999993</v>
      </c>
      <c r="AC164" s="290">
        <f t="shared" si="123"/>
        <v>485.90159846153847</v>
      </c>
      <c r="AD164" s="290">
        <f t="shared" si="123"/>
        <v>591.73290092307707</v>
      </c>
      <c r="AE164" s="290">
        <f t="shared" si="123"/>
        <v>537.42599697684</v>
      </c>
      <c r="AF164" s="290">
        <f t="shared" si="123"/>
        <v>654.54290660503443</v>
      </c>
      <c r="AG164" s="253">
        <f t="shared" si="123"/>
        <v>612.98925070130838</v>
      </c>
      <c r="AH164" s="253">
        <f t="shared" si="123"/>
        <v>649.24932995910717</v>
      </c>
      <c r="AI164" s="253">
        <f t="shared" si="123"/>
        <v>641.52669291244456</v>
      </c>
      <c r="AJ164" s="253">
        <f t="shared" si="123"/>
        <v>640.25294675929717</v>
      </c>
      <c r="AK164" s="253">
        <f t="shared" si="123"/>
        <v>649.22190016046829</v>
      </c>
      <c r="AL164" s="253">
        <f t="shared" si="123"/>
        <v>664.67965044105063</v>
      </c>
      <c r="AM164" s="253">
        <f t="shared" si="123"/>
        <v>665.00476860478693</v>
      </c>
    </row>
    <row r="165" spans="1:39">
      <c r="A165" s="240" t="s">
        <v>233</v>
      </c>
      <c r="B165" s="290">
        <f t="shared" si="124"/>
        <v>402.61260725799991</v>
      </c>
      <c r="C165" s="290">
        <f t="shared" si="124"/>
        <v>484.70200915167845</v>
      </c>
      <c r="D165" s="290">
        <f t="shared" si="123"/>
        <v>493.45718133419098</v>
      </c>
      <c r="E165" s="290">
        <f t="shared" si="123"/>
        <v>525.7094826246323</v>
      </c>
      <c r="F165" s="290">
        <f t="shared" si="123"/>
        <v>451.11826705125804</v>
      </c>
      <c r="G165" s="290">
        <f t="shared" si="123"/>
        <v>455.51731144324549</v>
      </c>
      <c r="H165" s="290">
        <f t="shared" si="123"/>
        <v>489.24969091713558</v>
      </c>
      <c r="I165" s="290">
        <f t="shared" si="123"/>
        <v>477.63438504155124</v>
      </c>
      <c r="J165" s="290">
        <f t="shared" si="123"/>
        <v>282.13014004697595</v>
      </c>
      <c r="K165" s="290">
        <f t="shared" si="123"/>
        <v>380.68038998211091</v>
      </c>
      <c r="L165" s="290">
        <f t="shared" si="123"/>
        <v>405.45523339349955</v>
      </c>
      <c r="M165" s="290">
        <f t="shared" si="123"/>
        <v>387.3235103970809</v>
      </c>
      <c r="N165" s="290">
        <f t="shared" si="123"/>
        <v>418.83966753585401</v>
      </c>
      <c r="O165" s="290">
        <f t="shared" si="123"/>
        <v>463.41971439424276</v>
      </c>
      <c r="P165" s="290">
        <f t="shared" si="123"/>
        <v>323.71593582107278</v>
      </c>
      <c r="Q165" s="290">
        <f t="shared" si="123"/>
        <v>518.2145508183994</v>
      </c>
      <c r="R165" s="290">
        <f t="shared" si="123"/>
        <v>435.4297254863236</v>
      </c>
      <c r="S165" s="290">
        <f t="shared" si="123"/>
        <v>485.58095022624434</v>
      </c>
      <c r="T165" s="290">
        <f t="shared" si="123"/>
        <v>605.53256635090179</v>
      </c>
      <c r="U165" s="290">
        <f t="shared" si="123"/>
        <v>521.02472013093279</v>
      </c>
      <c r="V165" s="290">
        <f t="shared" si="123"/>
        <v>746.32866561594392</v>
      </c>
      <c r="W165" s="290">
        <f t="shared" si="123"/>
        <v>645.87107692307688</v>
      </c>
      <c r="X165" s="290">
        <f t="shared" si="123"/>
        <v>624.79376923076927</v>
      </c>
      <c r="Y165" s="290">
        <f t="shared" si="123"/>
        <v>812.30675991546445</v>
      </c>
      <c r="Z165" s="290">
        <f t="shared" si="123"/>
        <v>759.92265339380879</v>
      </c>
      <c r="AA165" s="290">
        <f t="shared" si="123"/>
        <v>730.89100000000008</v>
      </c>
      <c r="AB165" s="290">
        <f t="shared" si="123"/>
        <v>668.22000100000014</v>
      </c>
      <c r="AC165" s="290">
        <f t="shared" si="123"/>
        <v>661.54529146153834</v>
      </c>
      <c r="AD165" s="290">
        <f t="shared" si="123"/>
        <v>640.017464923077</v>
      </c>
      <c r="AE165" s="290">
        <f t="shared" si="123"/>
        <v>631.70798261958078</v>
      </c>
      <c r="AF165" s="290">
        <f t="shared" si="123"/>
        <v>643.05547367090981</v>
      </c>
      <c r="AG165" s="253">
        <f t="shared" si="123"/>
        <v>692.58100067862097</v>
      </c>
      <c r="AH165" s="253">
        <f t="shared" si="123"/>
        <v>720.85768408095237</v>
      </c>
      <c r="AI165" s="253">
        <f t="shared" si="123"/>
        <v>729.74125545880077</v>
      </c>
      <c r="AJ165" s="253">
        <f t="shared" si="123"/>
        <v>701.64723153326702</v>
      </c>
      <c r="AK165" s="253">
        <f t="shared" si="123"/>
        <v>719.83251930913161</v>
      </c>
      <c r="AL165" s="253">
        <f t="shared" si="123"/>
        <v>727.33801951047258</v>
      </c>
      <c r="AM165" s="253">
        <f t="shared" si="123"/>
        <v>743.72653555938678</v>
      </c>
    </row>
    <row r="166" spans="1:39">
      <c r="A166" s="240" t="s">
        <v>234</v>
      </c>
      <c r="B166" s="290">
        <f t="shared" si="124"/>
        <v>389.36665516821233</v>
      </c>
      <c r="C166" s="290">
        <f t="shared" si="124"/>
        <v>474.37991514793714</v>
      </c>
      <c r="D166" s="290">
        <f t="shared" si="123"/>
        <v>516.1717951886535</v>
      </c>
      <c r="E166" s="290">
        <f t="shared" si="123"/>
        <v>570.18088925874588</v>
      </c>
      <c r="F166" s="290">
        <f t="shared" si="123"/>
        <v>474.27127210081852</v>
      </c>
      <c r="G166" s="290">
        <f t="shared" si="123"/>
        <v>532.68402412141495</v>
      </c>
      <c r="H166" s="290">
        <f t="shared" si="123"/>
        <v>512.73074350546744</v>
      </c>
      <c r="I166" s="290">
        <f t="shared" si="123"/>
        <v>376.22144875346271</v>
      </c>
      <c r="J166" s="290">
        <f t="shared" si="123"/>
        <v>347.0772850851439</v>
      </c>
      <c r="K166" s="290">
        <f t="shared" si="123"/>
        <v>389.57097137745978</v>
      </c>
      <c r="L166" s="290">
        <f t="shared" si="123"/>
        <v>416.26980420395034</v>
      </c>
      <c r="M166" s="290">
        <f t="shared" si="123"/>
        <v>395.51737695511082</v>
      </c>
      <c r="N166" s="290">
        <f t="shared" si="123"/>
        <v>379.35697392438067</v>
      </c>
      <c r="O166" s="290">
        <f t="shared" si="123"/>
        <v>392.27820478749118</v>
      </c>
      <c r="P166" s="290">
        <f t="shared" si="123"/>
        <v>338.3315539547591</v>
      </c>
      <c r="Q166" s="290">
        <f t="shared" si="123"/>
        <v>522.27600498156175</v>
      </c>
      <c r="R166" s="290">
        <f t="shared" si="123"/>
        <v>395.14055603831338</v>
      </c>
      <c r="S166" s="290">
        <f t="shared" si="123"/>
        <v>499.12216871363933</v>
      </c>
      <c r="T166" s="290">
        <f t="shared" si="123"/>
        <v>645.83221411388263</v>
      </c>
      <c r="U166" s="290">
        <f t="shared" si="123"/>
        <v>644.79749918166954</v>
      </c>
      <c r="V166" s="290">
        <f t="shared" si="123"/>
        <v>667.33884737404037</v>
      </c>
      <c r="W166" s="290">
        <f t="shared" si="123"/>
        <v>649.54507692307698</v>
      </c>
      <c r="X166" s="290">
        <f t="shared" si="123"/>
        <v>548.36576923076927</v>
      </c>
      <c r="Y166" s="290">
        <f t="shared" si="123"/>
        <v>700.07636867153701</v>
      </c>
      <c r="Z166" s="290">
        <f t="shared" si="123"/>
        <v>675.92682702596505</v>
      </c>
      <c r="AA166" s="290">
        <f t="shared" si="123"/>
        <v>723.5630000000001</v>
      </c>
      <c r="AB166" s="290">
        <f t="shared" si="123"/>
        <v>707.492121</v>
      </c>
      <c r="AC166" s="290">
        <f t="shared" si="123"/>
        <v>525.77381946153832</v>
      </c>
      <c r="AD166" s="290">
        <f t="shared" si="123"/>
        <v>620.31973992307701</v>
      </c>
      <c r="AE166" s="290">
        <f t="shared" si="123"/>
        <v>616.89347300405825</v>
      </c>
      <c r="AF166" s="290">
        <f t="shared" si="123"/>
        <v>752.64344591091003</v>
      </c>
      <c r="AG166" s="253">
        <f t="shared" si="123"/>
        <v>661.69326187564116</v>
      </c>
      <c r="AH166" s="253">
        <f t="shared" si="123"/>
        <v>708.24645896590289</v>
      </c>
      <c r="AI166" s="253">
        <f t="shared" si="123"/>
        <v>698.00486618763398</v>
      </c>
      <c r="AJ166" s="253">
        <f t="shared" si="123"/>
        <v>702.59337229963717</v>
      </c>
      <c r="AK166" s="253">
        <f t="shared" si="123"/>
        <v>716.8620331394402</v>
      </c>
      <c r="AL166" s="253">
        <f t="shared" si="123"/>
        <v>728.98959262693165</v>
      </c>
      <c r="AM166" s="253">
        <f t="shared" si="123"/>
        <v>722.35593110923401</v>
      </c>
    </row>
    <row r="167" spans="1:39">
      <c r="A167" s="240" t="s">
        <v>46</v>
      </c>
      <c r="B167" s="290">
        <f t="shared" si="124"/>
        <v>407.79920721968989</v>
      </c>
      <c r="C167" s="290">
        <f t="shared" si="124"/>
        <v>539.77627072352982</v>
      </c>
      <c r="D167" s="290">
        <f t="shared" si="123"/>
        <v>535.21151135722857</v>
      </c>
      <c r="E167" s="290">
        <f t="shared" si="123"/>
        <v>577.27491468390178</v>
      </c>
      <c r="F167" s="290">
        <f t="shared" si="123"/>
        <v>530.87220720461505</v>
      </c>
      <c r="G167" s="290">
        <f t="shared" si="123"/>
        <v>579.39933469905941</v>
      </c>
      <c r="H167" s="290">
        <f t="shared" si="123"/>
        <v>560.06485279059473</v>
      </c>
      <c r="I167" s="290">
        <f t="shared" si="123"/>
        <v>434.95147922437673</v>
      </c>
      <c r="J167" s="290">
        <f t="shared" si="123"/>
        <v>362.16701409277744</v>
      </c>
      <c r="K167" s="290">
        <f t="shared" si="123"/>
        <v>394.37365161001787</v>
      </c>
      <c r="L167" s="290">
        <f t="shared" si="123"/>
        <v>476.16972565510707</v>
      </c>
      <c r="M167" s="290">
        <f t="shared" si="123"/>
        <v>384.71833114667345</v>
      </c>
      <c r="N167" s="290">
        <f t="shared" si="123"/>
        <v>422.24634103184951</v>
      </c>
      <c r="O167" s="290">
        <f t="shared" si="123"/>
        <v>480.3122107131511</v>
      </c>
      <c r="P167" s="290">
        <f t="shared" si="123"/>
        <v>349.02201590049043</v>
      </c>
      <c r="Q167" s="290">
        <f t="shared" si="123"/>
        <v>514.59479976709588</v>
      </c>
      <c r="R167" s="290">
        <f t="shared" si="123"/>
        <v>375.61331727066261</v>
      </c>
      <c r="S167" s="290">
        <f t="shared" si="123"/>
        <v>446.97568131868138</v>
      </c>
      <c r="T167" s="290">
        <f t="shared" si="123"/>
        <v>708.68454794599393</v>
      </c>
      <c r="U167" s="290">
        <f t="shared" si="123"/>
        <v>595.91548281505743</v>
      </c>
      <c r="V167" s="290">
        <f t="shared" si="123"/>
        <v>690.46020229803253</v>
      </c>
      <c r="W167" s="290">
        <f t="shared" si="123"/>
        <v>612.21607692307691</v>
      </c>
      <c r="X167" s="290">
        <f t="shared" si="123"/>
        <v>591.67476923076924</v>
      </c>
      <c r="Y167" s="290">
        <f t="shared" si="123"/>
        <v>729.68306893853014</v>
      </c>
      <c r="Z167" s="290">
        <f t="shared" si="123"/>
        <v>658.35875901682152</v>
      </c>
      <c r="AA167" s="290">
        <f t="shared" si="123"/>
        <v>721.12599999999998</v>
      </c>
      <c r="AB167" s="290">
        <f t="shared" si="123"/>
        <v>602.49606800000015</v>
      </c>
      <c r="AC167" s="290">
        <f t="shared" si="123"/>
        <v>504.09090546153845</v>
      </c>
      <c r="AD167" s="290">
        <f t="shared" si="123"/>
        <v>615.5282669230769</v>
      </c>
      <c r="AE167" s="290">
        <f t="shared" si="123"/>
        <v>610.47738580942519</v>
      </c>
      <c r="AF167" s="290">
        <f t="shared" si="123"/>
        <v>628.76116535486403</v>
      </c>
      <c r="AG167" s="253">
        <f t="shared" si="123"/>
        <v>637.52343981764784</v>
      </c>
      <c r="AH167" s="253">
        <f t="shared" si="123"/>
        <v>657.49204095760206</v>
      </c>
      <c r="AI167" s="253">
        <f t="shared" si="123"/>
        <v>668.83524096719873</v>
      </c>
      <c r="AJ167" s="253">
        <f t="shared" si="123"/>
        <v>662.63011968288765</v>
      </c>
      <c r="AK167" s="253">
        <f t="shared" si="123"/>
        <v>672.51484314405457</v>
      </c>
      <c r="AL167" s="253">
        <f t="shared" si="123"/>
        <v>676.80733613024745</v>
      </c>
      <c r="AM167" s="253">
        <f t="shared" si="123"/>
        <v>687.14401589513227</v>
      </c>
    </row>
    <row r="168" spans="1:39">
      <c r="A168" s="240" t="s">
        <v>235</v>
      </c>
      <c r="B168" s="290">
        <f t="shared" si="124"/>
        <v>361.83077962608525</v>
      </c>
      <c r="C168" s="290">
        <f t="shared" si="124"/>
        <v>450.67952862229265</v>
      </c>
      <c r="D168" s="290">
        <f t="shared" si="123"/>
        <v>516.4680395786138</v>
      </c>
      <c r="E168" s="290">
        <f t="shared" si="123"/>
        <v>486.87077897081872</v>
      </c>
      <c r="F168" s="290">
        <f t="shared" si="123"/>
        <v>419.19401756556516</v>
      </c>
      <c r="G168" s="290">
        <f t="shared" ref="G168:AM171" si="125">G183+G104+G136-G152-G184</f>
        <v>542.61110439148251</v>
      </c>
      <c r="H168" s="290">
        <f t="shared" si="125"/>
        <v>490.35234334112891</v>
      </c>
      <c r="I168" s="290">
        <f t="shared" si="125"/>
        <v>401.05123822714677</v>
      </c>
      <c r="J168" s="290">
        <f t="shared" si="125"/>
        <v>324.8368423370523</v>
      </c>
      <c r="K168" s="290">
        <f t="shared" si="125"/>
        <v>363.15749463327376</v>
      </c>
      <c r="L168" s="290">
        <f t="shared" si="125"/>
        <v>415.23442810143752</v>
      </c>
      <c r="M168" s="290">
        <f t="shared" si="125"/>
        <v>355.75837894678193</v>
      </c>
      <c r="N168" s="290">
        <f t="shared" si="125"/>
        <v>408.1129308996089</v>
      </c>
      <c r="O168" s="290">
        <f t="shared" si="125"/>
        <v>382.25182554525742</v>
      </c>
      <c r="P168" s="290">
        <f t="shared" si="125"/>
        <v>298.01760469378405</v>
      </c>
      <c r="Q168" s="290">
        <f t="shared" si="125"/>
        <v>509.11270809342045</v>
      </c>
      <c r="R168" s="290">
        <f t="shared" si="125"/>
        <v>385.53735578157398</v>
      </c>
      <c r="S168" s="290">
        <f t="shared" si="125"/>
        <v>392.32854686489975</v>
      </c>
      <c r="T168" s="290">
        <f t="shared" si="125"/>
        <v>668.85258714994416</v>
      </c>
      <c r="U168" s="290">
        <f t="shared" si="125"/>
        <v>458.39359901800333</v>
      </c>
      <c r="V168" s="290">
        <f t="shared" si="125"/>
        <v>618.71968742691547</v>
      </c>
      <c r="W168" s="290">
        <f t="shared" si="125"/>
        <v>548.57807692307688</v>
      </c>
      <c r="X168" s="290">
        <f t="shared" si="125"/>
        <v>565.92076923076934</v>
      </c>
      <c r="Y168" s="290">
        <f t="shared" si="125"/>
        <v>642.20056012915211</v>
      </c>
      <c r="Z168" s="290">
        <f t="shared" si="125"/>
        <v>633.5330222196983</v>
      </c>
      <c r="AA168" s="290">
        <f t="shared" si="125"/>
        <v>629.23300000000006</v>
      </c>
      <c r="AB168" s="290">
        <f t="shared" si="125"/>
        <v>562.69395699999995</v>
      </c>
      <c r="AC168" s="290">
        <f t="shared" si="125"/>
        <v>531.61029846153838</v>
      </c>
      <c r="AD168" s="290">
        <f t="shared" si="125"/>
        <v>528.80118892307678</v>
      </c>
      <c r="AE168" s="290">
        <f t="shared" si="125"/>
        <v>585.1139051532175</v>
      </c>
      <c r="AF168" s="290">
        <f t="shared" si="125"/>
        <v>681.71249149596815</v>
      </c>
      <c r="AG168" s="253">
        <f t="shared" si="125"/>
        <v>591.72803537085326</v>
      </c>
      <c r="AH168" s="253">
        <f t="shared" si="125"/>
        <v>639.99016985396122</v>
      </c>
      <c r="AI168" s="253">
        <f t="shared" si="125"/>
        <v>649.56028734812867</v>
      </c>
      <c r="AJ168" s="253">
        <f t="shared" si="125"/>
        <v>637.5016412778607</v>
      </c>
      <c r="AK168" s="253">
        <f t="shared" si="125"/>
        <v>659.1605394189819</v>
      </c>
      <c r="AL168" s="253">
        <f t="shared" si="125"/>
        <v>664.18452901808882</v>
      </c>
      <c r="AM168" s="253">
        <f t="shared" si="125"/>
        <v>661.97745551887192</v>
      </c>
    </row>
    <row r="169" spans="1:39">
      <c r="A169" s="240" t="s">
        <v>236</v>
      </c>
      <c r="B169" s="290">
        <f t="shared" si="124"/>
        <v>237.755861337428</v>
      </c>
      <c r="C169" s="290">
        <f t="shared" si="124"/>
        <v>315.87020607527552</v>
      </c>
      <c r="D169" s="290">
        <f t="shared" si="124"/>
        <v>358.07766179600651</v>
      </c>
      <c r="E169" s="290">
        <f t="shared" si="124"/>
        <v>340.24405847915341</v>
      </c>
      <c r="F169" s="290">
        <f t="shared" si="124"/>
        <v>316.30209087770271</v>
      </c>
      <c r="G169" s="290">
        <f t="shared" si="124"/>
        <v>377.27913739973451</v>
      </c>
      <c r="H169" s="290">
        <f t="shared" si="124"/>
        <v>323.59612970103024</v>
      </c>
      <c r="I169" s="290">
        <f t="shared" si="124"/>
        <v>285.46700831024924</v>
      </c>
      <c r="J169" s="290">
        <f t="shared" si="124"/>
        <v>237.90238050499124</v>
      </c>
      <c r="K169" s="290">
        <f t="shared" si="124"/>
        <v>361.1629016100178</v>
      </c>
      <c r="L169" s="290">
        <f t="shared" si="124"/>
        <v>266.53973896847032</v>
      </c>
      <c r="M169" s="290">
        <f t="shared" si="124"/>
        <v>306.60609812114376</v>
      </c>
      <c r="N169" s="290">
        <f t="shared" si="124"/>
        <v>260.31969808157942</v>
      </c>
      <c r="O169" s="290">
        <f t="shared" si="124"/>
        <v>241.75928631020619</v>
      </c>
      <c r="P169" s="290">
        <f t="shared" si="124"/>
        <v>265.40650453936092</v>
      </c>
      <c r="Q169" s="290">
        <f t="shared" si="124"/>
        <v>429.80411431713782</v>
      </c>
      <c r="R169" s="290">
        <f t="shared" si="125"/>
        <v>360.46821714229287</v>
      </c>
      <c r="S169" s="290">
        <f t="shared" si="125"/>
        <v>336.85100064641233</v>
      </c>
      <c r="T169" s="290">
        <f t="shared" si="125"/>
        <v>640.55833262353394</v>
      </c>
      <c r="U169" s="290">
        <f t="shared" si="125"/>
        <v>444.16251063829793</v>
      </c>
      <c r="V169" s="290">
        <f t="shared" si="125"/>
        <v>441.22583151151565</v>
      </c>
      <c r="W169" s="290">
        <f t="shared" si="125"/>
        <v>447.14207692307696</v>
      </c>
      <c r="X169" s="290">
        <f t="shared" si="125"/>
        <v>434.62076923076927</v>
      </c>
      <c r="Y169" s="290">
        <f t="shared" si="125"/>
        <v>606.08326306375261</v>
      </c>
      <c r="Z169" s="290">
        <f t="shared" si="125"/>
        <v>543.5845384615385</v>
      </c>
      <c r="AA169" s="290">
        <f t="shared" si="125"/>
        <v>563.41130400000009</v>
      </c>
      <c r="AB169" s="290">
        <f t="shared" si="125"/>
        <v>503.95698799999991</v>
      </c>
      <c r="AC169" s="290">
        <f t="shared" si="125"/>
        <v>423.59731546153841</v>
      </c>
      <c r="AD169" s="290">
        <f t="shared" si="125"/>
        <v>500.97241692307682</v>
      </c>
      <c r="AE169" s="290">
        <f t="shared" si="125"/>
        <v>455.91983975072776</v>
      </c>
      <c r="AF169" s="290">
        <f t="shared" si="125"/>
        <v>414.5311926629139</v>
      </c>
      <c r="AG169" s="253">
        <f t="shared" si="125"/>
        <v>514.28859028818556</v>
      </c>
      <c r="AH169" s="253">
        <f t="shared" si="125"/>
        <v>509.92128830915198</v>
      </c>
      <c r="AI169" s="253">
        <f t="shared" si="125"/>
        <v>517.8933546155904</v>
      </c>
      <c r="AJ169" s="253">
        <f t="shared" si="125"/>
        <v>505.86222394359174</v>
      </c>
      <c r="AK169" s="253">
        <f t="shared" si="125"/>
        <v>510.51437824136713</v>
      </c>
      <c r="AL169" s="253">
        <f t="shared" si="125"/>
        <v>518.54811531110158</v>
      </c>
      <c r="AM169" s="253">
        <f t="shared" si="125"/>
        <v>536.80722044610559</v>
      </c>
    </row>
    <row r="170" spans="1:39">
      <c r="A170" s="240" t="s">
        <v>237</v>
      </c>
      <c r="B170" s="290">
        <f t="shared" si="124"/>
        <v>207.65951470067301</v>
      </c>
      <c r="C170" s="290">
        <f t="shared" si="124"/>
        <v>304.64512566130497</v>
      </c>
      <c r="D170" s="290">
        <f t="shared" si="124"/>
        <v>354.44187764618476</v>
      </c>
      <c r="E170" s="290">
        <f t="shared" si="124"/>
        <v>299.25345711739317</v>
      </c>
      <c r="F170" s="290">
        <f t="shared" si="124"/>
        <v>303.66640712338511</v>
      </c>
      <c r="G170" s="290">
        <f t="shared" si="124"/>
        <v>367.82426119736596</v>
      </c>
      <c r="H170" s="290">
        <f t="shared" si="124"/>
        <v>353.21165177657161</v>
      </c>
      <c r="I170" s="290">
        <f t="shared" si="124"/>
        <v>315.63771095175673</v>
      </c>
      <c r="J170" s="290">
        <f t="shared" si="124"/>
        <v>284.44485216468649</v>
      </c>
      <c r="K170" s="290">
        <f t="shared" si="124"/>
        <v>275.07062405843419</v>
      </c>
      <c r="L170" s="290">
        <f t="shared" si="124"/>
        <v>246.52934406083185</v>
      </c>
      <c r="M170" s="290">
        <f t="shared" si="124"/>
        <v>253.63600252092647</v>
      </c>
      <c r="N170" s="290">
        <f t="shared" si="124"/>
        <v>299.5985436766623</v>
      </c>
      <c r="O170" s="290">
        <f t="shared" si="124"/>
        <v>275.95419742530771</v>
      </c>
      <c r="P170" s="290">
        <f t="shared" si="124"/>
        <v>239.73650586298766</v>
      </c>
      <c r="Q170" s="290">
        <f t="shared" si="124"/>
        <v>392.09504703370635</v>
      </c>
      <c r="R170" s="290">
        <f t="shared" si="125"/>
        <v>276.93690520391033</v>
      </c>
      <c r="S170" s="290">
        <f t="shared" si="125"/>
        <v>330.93653005817703</v>
      </c>
      <c r="T170" s="290">
        <f t="shared" si="125"/>
        <v>429.58290138008033</v>
      </c>
      <c r="U170" s="290">
        <f t="shared" si="125"/>
        <v>340.35408019639937</v>
      </c>
      <c r="V170" s="290">
        <f t="shared" si="125"/>
        <v>311.64263653464849</v>
      </c>
      <c r="W170" s="290">
        <f t="shared" si="125"/>
        <v>273.28207692307694</v>
      </c>
      <c r="X170" s="290">
        <f t="shared" si="125"/>
        <v>351.27676923076916</v>
      </c>
      <c r="Y170" s="290">
        <f t="shared" si="125"/>
        <v>451.0246739321426</v>
      </c>
      <c r="Z170" s="290">
        <f t="shared" si="125"/>
        <v>428.35653846153843</v>
      </c>
      <c r="AA170" s="290">
        <f t="shared" si="125"/>
        <v>357.60486400000002</v>
      </c>
      <c r="AB170" s="290">
        <f t="shared" si="125"/>
        <v>376.26156500000013</v>
      </c>
      <c r="AC170" s="290">
        <f t="shared" si="125"/>
        <v>338.6189874615385</v>
      </c>
      <c r="AD170" s="290">
        <f t="shared" si="125"/>
        <v>520.7730359230768</v>
      </c>
      <c r="AE170" s="290">
        <f t="shared" si="125"/>
        <v>421.18642875129348</v>
      </c>
      <c r="AF170" s="290">
        <f t="shared" si="125"/>
        <v>421.4745573680371</v>
      </c>
      <c r="AG170" s="253">
        <f t="shared" si="125"/>
        <v>423.97028853953429</v>
      </c>
      <c r="AH170" s="253">
        <f t="shared" si="125"/>
        <v>461.54941515227529</v>
      </c>
      <c r="AI170" s="253">
        <f t="shared" si="125"/>
        <v>473.92465307351125</v>
      </c>
      <c r="AJ170" s="253">
        <f t="shared" si="125"/>
        <v>471.96216165204731</v>
      </c>
      <c r="AK170" s="253">
        <f t="shared" si="125"/>
        <v>462.9837211157427</v>
      </c>
      <c r="AL170" s="253">
        <f t="shared" si="125"/>
        <v>468.28478496471178</v>
      </c>
      <c r="AM170" s="253">
        <f t="shared" si="125"/>
        <v>477.49892164617643</v>
      </c>
    </row>
    <row r="171" spans="1:39">
      <c r="A171" s="240" t="s">
        <v>238</v>
      </c>
      <c r="B171" s="290">
        <f t="shared" si="124"/>
        <v>323.99241531481744</v>
      </c>
      <c r="C171" s="290">
        <f t="shared" si="124"/>
        <v>296.21600295506573</v>
      </c>
      <c r="D171" s="290">
        <f t="shared" si="124"/>
        <v>395.398634353082</v>
      </c>
      <c r="E171" s="290">
        <f t="shared" si="124"/>
        <v>422.17239848890051</v>
      </c>
      <c r="F171" s="290">
        <f t="shared" si="124"/>
        <v>413.7980788921966</v>
      </c>
      <c r="G171" s="290">
        <f t="shared" si="124"/>
        <v>406.05419549240492</v>
      </c>
      <c r="H171" s="290">
        <f t="shared" si="124"/>
        <v>383.05876916457487</v>
      </c>
      <c r="I171" s="290">
        <f t="shared" si="124"/>
        <v>323.45174474663031</v>
      </c>
      <c r="J171" s="290">
        <f t="shared" si="124"/>
        <v>290.94094171703165</v>
      </c>
      <c r="K171" s="290">
        <f t="shared" si="124"/>
        <v>378.95475256790678</v>
      </c>
      <c r="L171" s="290">
        <f t="shared" si="124"/>
        <v>309.54769477834537</v>
      </c>
      <c r="M171" s="290">
        <f t="shared" si="124"/>
        <v>365.46895525007307</v>
      </c>
      <c r="N171" s="290">
        <f t="shared" si="124"/>
        <v>303.00141907245302</v>
      </c>
      <c r="O171" s="290">
        <f t="shared" si="124"/>
        <v>270.64063636614776</v>
      </c>
      <c r="P171" s="290">
        <f t="shared" si="124"/>
        <v>359.90577942948289</v>
      </c>
      <c r="Q171" s="290">
        <f t="shared" si="124"/>
        <v>390.03286362166011</v>
      </c>
      <c r="R171" s="290">
        <f t="shared" si="125"/>
        <v>402.1325100227117</v>
      </c>
      <c r="S171" s="290">
        <f t="shared" si="125"/>
        <v>436.87020297349727</v>
      </c>
      <c r="T171" s="290">
        <f t="shared" si="125"/>
        <v>494.36396047376206</v>
      </c>
      <c r="U171" s="290">
        <f t="shared" si="125"/>
        <v>451.07664811783968</v>
      </c>
      <c r="V171" s="290">
        <f t="shared" si="125"/>
        <v>374.32810783466368</v>
      </c>
      <c r="W171" s="290">
        <f t="shared" si="125"/>
        <v>417.34015384615418</v>
      </c>
      <c r="X171" s="290">
        <f t="shared" si="125"/>
        <v>429.23053846153846</v>
      </c>
      <c r="Y171" s="290">
        <f t="shared" si="125"/>
        <v>567.07195196753412</v>
      </c>
      <c r="Z171" s="290">
        <f t="shared" si="125"/>
        <v>444.76407692307714</v>
      </c>
      <c r="AA171" s="290">
        <f t="shared" si="125"/>
        <v>454.01019999999994</v>
      </c>
      <c r="AB171" s="290">
        <f t="shared" si="125"/>
        <v>487.80408699999998</v>
      </c>
      <c r="AC171" s="290">
        <f t="shared" si="125"/>
        <v>389.3376239230771</v>
      </c>
      <c r="AD171" s="290">
        <f t="shared" si="125"/>
        <v>560.18327684615406</v>
      </c>
      <c r="AE171" s="290">
        <f t="shared" si="125"/>
        <v>418.4448873939989</v>
      </c>
      <c r="AF171" s="290">
        <f t="shared" si="125"/>
        <v>419.07617439649152</v>
      </c>
      <c r="AG171" s="253">
        <f t="shared" si="125"/>
        <v>582.74817764968668</v>
      </c>
      <c r="AH171" s="253">
        <f t="shared" si="125"/>
        <v>497.28995446069848</v>
      </c>
      <c r="AI171" s="253">
        <f t="shared" si="125"/>
        <v>529.72385957879101</v>
      </c>
      <c r="AJ171" s="253">
        <f t="shared" si="125"/>
        <v>522.25429220574608</v>
      </c>
      <c r="AK171" s="253">
        <f t="shared" si="125"/>
        <v>522.77641921554334</v>
      </c>
      <c r="AL171" s="253">
        <f t="shared" si="125"/>
        <v>538.92921928467604</v>
      </c>
      <c r="AM171" s="253">
        <f t="shared" si="125"/>
        <v>561.46244019346364</v>
      </c>
    </row>
    <row r="172" spans="1:39" ht="15.75" thickBot="1">
      <c r="A172" s="240" t="s">
        <v>242</v>
      </c>
      <c r="B172" s="146">
        <f>SUM(B160:B171)</f>
        <v>4462.6183832953893</v>
      </c>
      <c r="C172" s="146">
        <f t="shared" ref="C172:AM172" si="126">SUM(C160:C171)</f>
        <v>5134.8372065243466</v>
      </c>
      <c r="D172" s="146">
        <f t="shared" si="126"/>
        <v>5584.6632949252971</v>
      </c>
      <c r="E172" s="146">
        <f t="shared" si="126"/>
        <v>5958.4084516791872</v>
      </c>
      <c r="F172" s="146">
        <f t="shared" si="126"/>
        <v>5554.5912500385421</v>
      </c>
      <c r="G172" s="146">
        <f t="shared" si="126"/>
        <v>5659.1162185340772</v>
      </c>
      <c r="H172" s="146">
        <f t="shared" si="126"/>
        <v>5332.6132832760177</v>
      </c>
      <c r="I172" s="146">
        <f t="shared" si="126"/>
        <v>5016.8641315986642</v>
      </c>
      <c r="J172" s="146">
        <f t="shared" si="126"/>
        <v>4086.4872745041494</v>
      </c>
      <c r="K172" s="146">
        <f t="shared" si="126"/>
        <v>4497.9678694707072</v>
      </c>
      <c r="L172" s="146">
        <f t="shared" si="126"/>
        <v>4976.4241061740722</v>
      </c>
      <c r="M172" s="146">
        <f t="shared" si="126"/>
        <v>4481.0218984247695</v>
      </c>
      <c r="N172" s="146">
        <f t="shared" si="126"/>
        <v>4582.4880582976348</v>
      </c>
      <c r="O172" s="146">
        <f t="shared" si="126"/>
        <v>4606.9592237385532</v>
      </c>
      <c r="P172" s="146">
        <f t="shared" si="126"/>
        <v>3879.2530586807852</v>
      </c>
      <c r="Q172" s="146">
        <f t="shared" si="126"/>
        <v>5520.6576854499581</v>
      </c>
      <c r="R172" s="146">
        <f t="shared" si="126"/>
        <v>5160.8721322207948</v>
      </c>
      <c r="S172" s="146">
        <f t="shared" si="126"/>
        <v>5388.6458319327739</v>
      </c>
      <c r="T172" s="146">
        <f t="shared" si="126"/>
        <v>7095.5124303456514</v>
      </c>
      <c r="U172" s="146">
        <f t="shared" si="126"/>
        <v>6799.8830000000007</v>
      </c>
      <c r="V172" s="146">
        <f t="shared" si="126"/>
        <v>7085.1672412425651</v>
      </c>
      <c r="W172" s="146">
        <f t="shared" si="126"/>
        <v>6929.5640000000003</v>
      </c>
      <c r="X172" s="146">
        <f t="shared" si="126"/>
        <v>6577.4659999999985</v>
      </c>
      <c r="Y172" s="146">
        <f t="shared" si="126"/>
        <v>8001.2290030566</v>
      </c>
      <c r="Z172" s="253">
        <f t="shared" si="126"/>
        <v>8139.732829508348</v>
      </c>
      <c r="AA172" s="253">
        <f t="shared" si="126"/>
        <v>7657.3073680000007</v>
      </c>
      <c r="AB172" s="253">
        <f t="shared" si="126"/>
        <v>7178.1271890000007</v>
      </c>
      <c r="AC172" s="253">
        <f t="shared" si="126"/>
        <v>6208.8985480000001</v>
      </c>
      <c r="AD172" s="253">
        <f t="shared" si="126"/>
        <v>6837.4414399999987</v>
      </c>
      <c r="AE172" s="253">
        <f t="shared" si="126"/>
        <v>6697.3826286837557</v>
      </c>
      <c r="AF172" s="253">
        <f t="shared" si="126"/>
        <v>6999.1192681576995</v>
      </c>
      <c r="AG172" s="253">
        <f t="shared" si="126"/>
        <v>7176.242530978705</v>
      </c>
      <c r="AH172" s="253">
        <f t="shared" si="126"/>
        <v>7501.6761925700939</v>
      </c>
      <c r="AI172" s="253">
        <f t="shared" si="126"/>
        <v>7550.6987439602326</v>
      </c>
      <c r="AJ172" s="253">
        <f t="shared" si="126"/>
        <v>7414.2128912405433</v>
      </c>
      <c r="AK172" s="253">
        <f t="shared" si="126"/>
        <v>7574.8430078765805</v>
      </c>
      <c r="AL172" s="253">
        <f t="shared" si="126"/>
        <v>7661.6244672383764</v>
      </c>
      <c r="AM172" s="253">
        <f t="shared" si="126"/>
        <v>7786.4116900337776</v>
      </c>
    </row>
    <row r="173" spans="1:39">
      <c r="A173" s="248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254"/>
      <c r="AG173" s="254"/>
      <c r="AH173" s="254"/>
      <c r="AI173" s="254"/>
      <c r="AJ173" s="254"/>
      <c r="AK173" s="254"/>
      <c r="AL173" s="254"/>
      <c r="AM173" s="254"/>
    </row>
    <row r="174" spans="1:39" ht="15.75" thickBot="1">
      <c r="A174" s="235" t="s">
        <v>259</v>
      </c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</row>
    <row r="175" spans="1:39" ht="15.75" thickBot="1">
      <c r="A175" s="236"/>
      <c r="B175" s="237" t="str">
        <f>B$2</f>
        <v xml:space="preserve">93/94 </v>
      </c>
      <c r="C175" s="237" t="str">
        <f t="shared" ref="C175:AM175" si="127">C$2</f>
        <v xml:space="preserve">94/95 </v>
      </c>
      <c r="D175" s="237" t="str">
        <f t="shared" si="127"/>
        <v xml:space="preserve">95/96 </v>
      </c>
      <c r="E175" s="237" t="str">
        <f t="shared" si="127"/>
        <v xml:space="preserve">96/97 </v>
      </c>
      <c r="F175" s="237" t="str">
        <f t="shared" si="127"/>
        <v xml:space="preserve">97/98 </v>
      </c>
      <c r="G175" s="237" t="str">
        <f t="shared" si="127"/>
        <v xml:space="preserve">98/99 </v>
      </c>
      <c r="H175" s="237" t="str">
        <f t="shared" si="127"/>
        <v xml:space="preserve">99/00 </v>
      </c>
      <c r="I175" s="237" t="str">
        <f t="shared" si="127"/>
        <v xml:space="preserve">00/01 </v>
      </c>
      <c r="J175" s="237" t="str">
        <f t="shared" si="127"/>
        <v xml:space="preserve">01/02 </v>
      </c>
      <c r="K175" s="237" t="str">
        <f t="shared" si="127"/>
        <v xml:space="preserve">02/03 </v>
      </c>
      <c r="L175" s="237" t="str">
        <f t="shared" si="127"/>
        <v xml:space="preserve">03/04 </v>
      </c>
      <c r="M175" s="237" t="str">
        <f t="shared" si="127"/>
        <v xml:space="preserve">04/05 </v>
      </c>
      <c r="N175" s="237" t="str">
        <f t="shared" si="127"/>
        <v xml:space="preserve">05/06 </v>
      </c>
      <c r="O175" s="237" t="str">
        <f t="shared" si="127"/>
        <v xml:space="preserve">06/07 </v>
      </c>
      <c r="P175" s="237" t="str">
        <f t="shared" si="127"/>
        <v xml:space="preserve">07/08 </v>
      </c>
      <c r="Q175" s="237" t="str">
        <f t="shared" si="127"/>
        <v xml:space="preserve">08/09 </v>
      </c>
      <c r="R175" s="237" t="str">
        <f t="shared" si="127"/>
        <v xml:space="preserve">09/10 </v>
      </c>
      <c r="S175" s="237" t="str">
        <f t="shared" si="127"/>
        <v xml:space="preserve">10/11 </v>
      </c>
      <c r="T175" s="237" t="str">
        <f t="shared" si="127"/>
        <v xml:space="preserve">11/12 </v>
      </c>
      <c r="U175" s="237" t="str">
        <f t="shared" si="127"/>
        <v xml:space="preserve">12/13 </v>
      </c>
      <c r="V175" s="237" t="str">
        <f t="shared" si="127"/>
        <v xml:space="preserve">13/14 </v>
      </c>
      <c r="W175" s="237" t="str">
        <f t="shared" si="127"/>
        <v xml:space="preserve">14/15 </v>
      </c>
      <c r="X175" s="237" t="str">
        <f t="shared" si="127"/>
        <v xml:space="preserve">15/16 </v>
      </c>
      <c r="Y175" s="237" t="str">
        <f t="shared" si="127"/>
        <v xml:space="preserve">16/17 </v>
      </c>
      <c r="Z175" s="237" t="str">
        <f t="shared" si="127"/>
        <v xml:space="preserve">17/18 </v>
      </c>
      <c r="AA175" s="237" t="str">
        <f t="shared" si="127"/>
        <v xml:space="preserve">18/19 </v>
      </c>
      <c r="AB175" s="237" t="str">
        <f t="shared" si="127"/>
        <v xml:space="preserve">19/20 </v>
      </c>
      <c r="AC175" s="237" t="str">
        <f t="shared" si="127"/>
        <v xml:space="preserve">20/21 </v>
      </c>
      <c r="AD175" s="237" t="str">
        <f t="shared" si="127"/>
        <v>21/22</v>
      </c>
      <c r="AE175" s="237" t="str">
        <f t="shared" si="127"/>
        <v>22/23</v>
      </c>
      <c r="AF175" s="237" t="str">
        <f t="shared" si="127"/>
        <v>23/24</v>
      </c>
      <c r="AG175" s="237" t="str">
        <f t="shared" si="127"/>
        <v>24/25</v>
      </c>
      <c r="AH175" s="237" t="str">
        <f t="shared" si="127"/>
        <v>25/26</v>
      </c>
      <c r="AI175" s="237" t="str">
        <f t="shared" si="127"/>
        <v>26/27</v>
      </c>
      <c r="AJ175" s="237" t="str">
        <f t="shared" si="127"/>
        <v>27/28</v>
      </c>
      <c r="AK175" s="237" t="str">
        <f t="shared" si="127"/>
        <v>28/29</v>
      </c>
      <c r="AL175" s="237" t="str">
        <f t="shared" si="127"/>
        <v>29/30</v>
      </c>
      <c r="AM175" s="237" t="str">
        <f t="shared" si="127"/>
        <v>30/31</v>
      </c>
    </row>
    <row r="176" spans="1:39">
      <c r="A176" s="240" t="s">
        <v>239</v>
      </c>
      <c r="B176" s="290">
        <f>(B$187-B$22)/13+B22</f>
        <v>69.07692307692308</v>
      </c>
      <c r="C176" s="290">
        <f>(C$187-B$187)/13+B187</f>
        <v>76</v>
      </c>
      <c r="D176" s="290">
        <f t="shared" ref="D176:AM176" si="128">(D$187-C$187)/13+C187</f>
        <v>151.30769230769232</v>
      </c>
      <c r="E176" s="290">
        <f t="shared" si="128"/>
        <v>188.84615384615384</v>
      </c>
      <c r="F176" s="290">
        <f t="shared" si="128"/>
        <v>161.23076923076923</v>
      </c>
      <c r="G176" s="290">
        <f t="shared" si="128"/>
        <v>143.30769230769232</v>
      </c>
      <c r="H176" s="290">
        <f t="shared" si="128"/>
        <v>188.23076923076923</v>
      </c>
      <c r="I176" s="290">
        <f t="shared" si="128"/>
        <v>248</v>
      </c>
      <c r="J176" s="290">
        <f t="shared" si="128"/>
        <v>208.84615384615384</v>
      </c>
      <c r="K176" s="290">
        <f t="shared" si="128"/>
        <v>165.69230769230768</v>
      </c>
      <c r="L176" s="290">
        <f t="shared" si="128"/>
        <v>104.15384615384616</v>
      </c>
      <c r="M176" s="290">
        <f t="shared" si="128"/>
        <v>127.53846153846153</v>
      </c>
      <c r="N176" s="290">
        <f t="shared" si="128"/>
        <v>98.769230769230774</v>
      </c>
      <c r="O176" s="290">
        <f t="shared" si="128"/>
        <v>106.69230769230769</v>
      </c>
      <c r="P176" s="290">
        <f t="shared" si="128"/>
        <v>89.230769230769226</v>
      </c>
      <c r="Q176" s="290">
        <f t="shared" si="128"/>
        <v>87.15384615384616</v>
      </c>
      <c r="R176" s="290">
        <f t="shared" si="128"/>
        <v>309.84615384615387</v>
      </c>
      <c r="S176" s="290">
        <f t="shared" si="128"/>
        <v>229.53846153846155</v>
      </c>
      <c r="T176" s="290">
        <f t="shared" si="128"/>
        <v>323.92307692307691</v>
      </c>
      <c r="U176" s="290">
        <f t="shared" si="128"/>
        <v>614.84615384615381</v>
      </c>
      <c r="V176" s="290">
        <f t="shared" si="128"/>
        <v>100.61538461538461</v>
      </c>
      <c r="W176" s="290">
        <f t="shared" si="128"/>
        <v>295.07692307692309</v>
      </c>
      <c r="X176" s="290">
        <f t="shared" si="128"/>
        <v>388.76923076923077</v>
      </c>
      <c r="Y176" s="290">
        <f t="shared" si="128"/>
        <v>482.92307692307691</v>
      </c>
      <c r="Z176" s="290">
        <f t="shared" si="128"/>
        <v>343.53846153846155</v>
      </c>
      <c r="AA176" s="290">
        <f t="shared" si="128"/>
        <v>276</v>
      </c>
      <c r="AB176" s="290">
        <f t="shared" si="128"/>
        <v>382</v>
      </c>
      <c r="AC176" s="290">
        <f t="shared" si="128"/>
        <v>217.53846153846155</v>
      </c>
      <c r="AD176" s="290">
        <f t="shared" si="128"/>
        <v>262.07692307692309</v>
      </c>
      <c r="AE176" s="290">
        <f t="shared" si="128"/>
        <v>288.84615384615387</v>
      </c>
      <c r="AF176" s="290">
        <f t="shared" si="128"/>
        <v>319.69230769230768</v>
      </c>
      <c r="AG176" s="252">
        <f t="shared" si="128"/>
        <v>410.61538461538464</v>
      </c>
      <c r="AH176" s="252">
        <f t="shared" si="128"/>
        <v>253.84615384615384</v>
      </c>
      <c r="AI176" s="252">
        <f t="shared" si="128"/>
        <v>303.84615384615387</v>
      </c>
      <c r="AJ176" s="252">
        <f t="shared" si="128"/>
        <v>353.84615384615387</v>
      </c>
      <c r="AK176" s="252">
        <f t="shared" si="128"/>
        <v>400</v>
      </c>
      <c r="AL176" s="252">
        <f t="shared" si="128"/>
        <v>400</v>
      </c>
      <c r="AM176" s="252">
        <f t="shared" si="128"/>
        <v>400</v>
      </c>
    </row>
    <row r="177" spans="1:39">
      <c r="A177" s="240" t="s">
        <v>240</v>
      </c>
      <c r="B177" s="290">
        <f>(B$187-B$22)/13+B176</f>
        <v>69.15384615384616</v>
      </c>
      <c r="C177" s="290">
        <f>(C$187-B$187)/13+C176</f>
        <v>82</v>
      </c>
      <c r="D177" s="290">
        <f t="shared" ref="D177:AM184" si="129">(D$187-C$187)/13+D176</f>
        <v>154.61538461538464</v>
      </c>
      <c r="E177" s="290">
        <f t="shared" si="129"/>
        <v>186.69230769230768</v>
      </c>
      <c r="F177" s="290">
        <f t="shared" si="129"/>
        <v>159.46153846153845</v>
      </c>
      <c r="G177" s="290">
        <f t="shared" si="129"/>
        <v>146.61538461538464</v>
      </c>
      <c r="H177" s="290">
        <f t="shared" si="129"/>
        <v>193.46153846153845</v>
      </c>
      <c r="I177" s="290">
        <f t="shared" si="129"/>
        <v>245</v>
      </c>
      <c r="J177" s="290">
        <f t="shared" si="129"/>
        <v>205.69230769230768</v>
      </c>
      <c r="K177" s="290">
        <f t="shared" si="129"/>
        <v>160.38461538461536</v>
      </c>
      <c r="L177" s="290">
        <f t="shared" si="129"/>
        <v>106.30769230769232</v>
      </c>
      <c r="M177" s="290">
        <f t="shared" si="129"/>
        <v>125.07692307692307</v>
      </c>
      <c r="N177" s="290">
        <f t="shared" si="129"/>
        <v>99.538461538461547</v>
      </c>
      <c r="O177" s="290">
        <f t="shared" si="129"/>
        <v>105.38461538461539</v>
      </c>
      <c r="P177" s="290">
        <f t="shared" si="129"/>
        <v>87.461538461538453</v>
      </c>
      <c r="Q177" s="290">
        <f t="shared" si="129"/>
        <v>106.30769230769232</v>
      </c>
      <c r="R177" s="290">
        <f t="shared" si="129"/>
        <v>302.69230769230774</v>
      </c>
      <c r="S177" s="290">
        <f t="shared" si="129"/>
        <v>235.07692307692309</v>
      </c>
      <c r="T177" s="290">
        <f t="shared" si="129"/>
        <v>351.84615384615381</v>
      </c>
      <c r="U177" s="290">
        <f t="shared" si="129"/>
        <v>570.69230769230762</v>
      </c>
      <c r="V177" s="290">
        <f t="shared" si="129"/>
        <v>116.23076923076923</v>
      </c>
      <c r="W177" s="290">
        <f t="shared" si="129"/>
        <v>302.15384615384619</v>
      </c>
      <c r="X177" s="290">
        <f t="shared" si="129"/>
        <v>397.53846153846155</v>
      </c>
      <c r="Y177" s="290">
        <f t="shared" si="129"/>
        <v>471.84615384615381</v>
      </c>
      <c r="Z177" s="290">
        <f t="shared" si="129"/>
        <v>337.07692307692309</v>
      </c>
      <c r="AA177" s="290">
        <f t="shared" si="129"/>
        <v>286</v>
      </c>
      <c r="AB177" s="290">
        <f t="shared" si="129"/>
        <v>368</v>
      </c>
      <c r="AC177" s="290">
        <f t="shared" si="129"/>
        <v>221.07692307692309</v>
      </c>
      <c r="AD177" s="290">
        <f t="shared" si="129"/>
        <v>264.15384615384619</v>
      </c>
      <c r="AE177" s="290">
        <f t="shared" si="129"/>
        <v>290.69230769230774</v>
      </c>
      <c r="AF177" s="290">
        <f t="shared" si="129"/>
        <v>328.38461538461536</v>
      </c>
      <c r="AG177" s="252">
        <f t="shared" si="129"/>
        <v>397.23076923076928</v>
      </c>
      <c r="AH177" s="252">
        <f t="shared" si="129"/>
        <v>257.69230769230768</v>
      </c>
      <c r="AI177" s="252">
        <f t="shared" si="129"/>
        <v>307.69230769230774</v>
      </c>
      <c r="AJ177" s="252">
        <f t="shared" si="129"/>
        <v>357.69230769230774</v>
      </c>
      <c r="AK177" s="252">
        <f t="shared" si="129"/>
        <v>400</v>
      </c>
      <c r="AL177" s="252">
        <f t="shared" si="129"/>
        <v>400</v>
      </c>
      <c r="AM177" s="252">
        <f t="shared" si="129"/>
        <v>400</v>
      </c>
    </row>
    <row r="178" spans="1:39">
      <c r="A178" s="240" t="s">
        <v>241</v>
      </c>
      <c r="B178" s="290">
        <f t="shared" ref="B178:B186" si="130">(B$187-B$22)/13+B177</f>
        <v>69.230769230769241</v>
      </c>
      <c r="C178" s="290">
        <f t="shared" ref="C178:C186" si="131">(C$187-B$187)/13+C177</f>
        <v>88</v>
      </c>
      <c r="D178" s="290">
        <f t="shared" si="129"/>
        <v>157.92307692307696</v>
      </c>
      <c r="E178" s="290">
        <f t="shared" si="129"/>
        <v>184.53846153846152</v>
      </c>
      <c r="F178" s="290">
        <f t="shared" si="129"/>
        <v>157.69230769230768</v>
      </c>
      <c r="G178" s="290">
        <f t="shared" si="129"/>
        <v>149.92307692307696</v>
      </c>
      <c r="H178" s="290">
        <f t="shared" si="129"/>
        <v>198.69230769230768</v>
      </c>
      <c r="I178" s="290">
        <f t="shared" si="129"/>
        <v>242</v>
      </c>
      <c r="J178" s="290">
        <f t="shared" si="129"/>
        <v>202.53846153846152</v>
      </c>
      <c r="K178" s="290">
        <f t="shared" si="129"/>
        <v>155.07692307692304</v>
      </c>
      <c r="L178" s="290">
        <f t="shared" si="129"/>
        <v>108.46153846153848</v>
      </c>
      <c r="M178" s="290">
        <f t="shared" si="129"/>
        <v>122.6153846153846</v>
      </c>
      <c r="N178" s="290">
        <f t="shared" si="129"/>
        <v>100.30769230769232</v>
      </c>
      <c r="O178" s="290">
        <f t="shared" si="129"/>
        <v>104.07692307692308</v>
      </c>
      <c r="P178" s="290">
        <f t="shared" si="129"/>
        <v>85.692307692307679</v>
      </c>
      <c r="Q178" s="290">
        <f t="shared" si="129"/>
        <v>125.46153846153848</v>
      </c>
      <c r="R178" s="290">
        <f t="shared" si="129"/>
        <v>295.5384615384616</v>
      </c>
      <c r="S178" s="290">
        <f t="shared" si="129"/>
        <v>240.61538461538464</v>
      </c>
      <c r="T178" s="290">
        <f t="shared" si="129"/>
        <v>379.76923076923072</v>
      </c>
      <c r="U178" s="290">
        <f t="shared" si="129"/>
        <v>526.53846153846143</v>
      </c>
      <c r="V178" s="290">
        <f t="shared" si="129"/>
        <v>131.84615384615384</v>
      </c>
      <c r="W178" s="290">
        <f t="shared" si="129"/>
        <v>309.23076923076928</v>
      </c>
      <c r="X178" s="290">
        <f t="shared" si="129"/>
        <v>406.30769230769232</v>
      </c>
      <c r="Y178" s="290">
        <f t="shared" si="129"/>
        <v>460.76923076923072</v>
      </c>
      <c r="Z178" s="290">
        <f t="shared" si="129"/>
        <v>330.61538461538464</v>
      </c>
      <c r="AA178" s="290">
        <f t="shared" si="129"/>
        <v>296</v>
      </c>
      <c r="AB178" s="290">
        <f t="shared" si="129"/>
        <v>354</v>
      </c>
      <c r="AC178" s="290">
        <f t="shared" si="129"/>
        <v>224.61538461538464</v>
      </c>
      <c r="AD178" s="290">
        <f t="shared" si="129"/>
        <v>266.23076923076928</v>
      </c>
      <c r="AE178" s="290">
        <f t="shared" si="129"/>
        <v>292.5384615384616</v>
      </c>
      <c r="AF178" s="290">
        <f t="shared" si="129"/>
        <v>337.07692307692304</v>
      </c>
      <c r="AG178" s="252">
        <f t="shared" si="129"/>
        <v>383.84615384615392</v>
      </c>
      <c r="AH178" s="252">
        <f t="shared" si="129"/>
        <v>261.53846153846155</v>
      </c>
      <c r="AI178" s="252">
        <f t="shared" si="129"/>
        <v>311.5384615384616</v>
      </c>
      <c r="AJ178" s="252">
        <f t="shared" si="129"/>
        <v>361.5384615384616</v>
      </c>
      <c r="AK178" s="252">
        <f t="shared" si="129"/>
        <v>400</v>
      </c>
      <c r="AL178" s="252">
        <f t="shared" si="129"/>
        <v>400</v>
      </c>
      <c r="AM178" s="252">
        <f t="shared" si="129"/>
        <v>400</v>
      </c>
    </row>
    <row r="179" spans="1:39">
      <c r="A179" s="240" t="s">
        <v>231</v>
      </c>
      <c r="B179" s="290">
        <f t="shared" si="130"/>
        <v>69.307692307692321</v>
      </c>
      <c r="C179" s="290">
        <f t="shared" si="131"/>
        <v>94</v>
      </c>
      <c r="D179" s="290">
        <f t="shared" si="129"/>
        <v>161.23076923076928</v>
      </c>
      <c r="E179" s="290">
        <f t="shared" si="129"/>
        <v>182.38461538461536</v>
      </c>
      <c r="F179" s="290">
        <f t="shared" si="129"/>
        <v>155.92307692307691</v>
      </c>
      <c r="G179" s="290">
        <f t="shared" si="129"/>
        <v>153.23076923076928</v>
      </c>
      <c r="H179" s="290">
        <f t="shared" si="129"/>
        <v>203.92307692307691</v>
      </c>
      <c r="I179" s="290">
        <f t="shared" si="129"/>
        <v>239</v>
      </c>
      <c r="J179" s="290">
        <f t="shared" si="129"/>
        <v>199.38461538461536</v>
      </c>
      <c r="K179" s="290">
        <f t="shared" si="129"/>
        <v>149.76923076923072</v>
      </c>
      <c r="L179" s="290">
        <f t="shared" si="129"/>
        <v>110.61538461538464</v>
      </c>
      <c r="M179" s="290">
        <f t="shared" si="129"/>
        <v>120.15384615384613</v>
      </c>
      <c r="N179" s="290">
        <f t="shared" si="129"/>
        <v>101.07692307692309</v>
      </c>
      <c r="O179" s="290">
        <f t="shared" si="129"/>
        <v>102.76923076923077</v>
      </c>
      <c r="P179" s="290">
        <f t="shared" si="129"/>
        <v>83.923076923076906</v>
      </c>
      <c r="Q179" s="290">
        <f t="shared" si="129"/>
        <v>144.61538461538464</v>
      </c>
      <c r="R179" s="290">
        <f t="shared" si="129"/>
        <v>288.38461538461547</v>
      </c>
      <c r="S179" s="290">
        <f t="shared" si="129"/>
        <v>246.15384615384619</v>
      </c>
      <c r="T179" s="290">
        <f t="shared" si="129"/>
        <v>407.69230769230762</v>
      </c>
      <c r="U179" s="290">
        <f t="shared" si="129"/>
        <v>482.3846153846153</v>
      </c>
      <c r="V179" s="290">
        <f t="shared" si="129"/>
        <v>147.46153846153845</v>
      </c>
      <c r="W179" s="290">
        <f t="shared" si="129"/>
        <v>316.30769230769238</v>
      </c>
      <c r="X179" s="290">
        <f t="shared" si="129"/>
        <v>415.07692307692309</v>
      </c>
      <c r="Y179" s="290">
        <f t="shared" si="129"/>
        <v>449.69230769230762</v>
      </c>
      <c r="Z179" s="290">
        <f t="shared" si="129"/>
        <v>324.15384615384619</v>
      </c>
      <c r="AA179" s="290">
        <f t="shared" si="129"/>
        <v>306</v>
      </c>
      <c r="AB179" s="290">
        <f t="shared" si="129"/>
        <v>340</v>
      </c>
      <c r="AC179" s="290">
        <f t="shared" si="129"/>
        <v>228.15384615384619</v>
      </c>
      <c r="AD179" s="290">
        <f t="shared" si="129"/>
        <v>268.30769230769238</v>
      </c>
      <c r="AE179" s="290">
        <f t="shared" si="129"/>
        <v>294.38461538461547</v>
      </c>
      <c r="AF179" s="290">
        <f t="shared" si="129"/>
        <v>345.76923076923072</v>
      </c>
      <c r="AG179" s="252">
        <f t="shared" si="129"/>
        <v>370.46153846153857</v>
      </c>
      <c r="AH179" s="252">
        <f t="shared" si="129"/>
        <v>265.38461538461542</v>
      </c>
      <c r="AI179" s="252">
        <f t="shared" si="129"/>
        <v>315.38461538461547</v>
      </c>
      <c r="AJ179" s="252">
        <f t="shared" si="129"/>
        <v>365.38461538461547</v>
      </c>
      <c r="AK179" s="252">
        <f t="shared" si="129"/>
        <v>400</v>
      </c>
      <c r="AL179" s="252">
        <f t="shared" si="129"/>
        <v>400</v>
      </c>
      <c r="AM179" s="252">
        <f t="shared" si="129"/>
        <v>400</v>
      </c>
    </row>
    <row r="180" spans="1:39">
      <c r="A180" s="240" t="s">
        <v>232</v>
      </c>
      <c r="B180" s="290">
        <f t="shared" si="130"/>
        <v>69.384615384615401</v>
      </c>
      <c r="C180" s="290">
        <f t="shared" si="131"/>
        <v>100</v>
      </c>
      <c r="D180" s="290">
        <f t="shared" si="129"/>
        <v>164.5384615384616</v>
      </c>
      <c r="E180" s="290">
        <f t="shared" si="129"/>
        <v>180.2307692307692</v>
      </c>
      <c r="F180" s="290">
        <f t="shared" si="129"/>
        <v>154.15384615384613</v>
      </c>
      <c r="G180" s="290">
        <f t="shared" si="129"/>
        <v>156.5384615384616</v>
      </c>
      <c r="H180" s="290">
        <f t="shared" si="129"/>
        <v>209.15384615384613</v>
      </c>
      <c r="I180" s="290">
        <f t="shared" si="129"/>
        <v>236</v>
      </c>
      <c r="J180" s="290">
        <f t="shared" si="129"/>
        <v>196.2307692307692</v>
      </c>
      <c r="K180" s="290">
        <f t="shared" si="129"/>
        <v>144.4615384615384</v>
      </c>
      <c r="L180" s="290">
        <f t="shared" si="129"/>
        <v>112.7692307692308</v>
      </c>
      <c r="M180" s="290">
        <f t="shared" si="129"/>
        <v>117.69230769230766</v>
      </c>
      <c r="N180" s="290">
        <f t="shared" si="129"/>
        <v>101.84615384615387</v>
      </c>
      <c r="O180" s="290">
        <f t="shared" si="129"/>
        <v>101.46153846153847</v>
      </c>
      <c r="P180" s="290">
        <f t="shared" si="129"/>
        <v>82.153846153846132</v>
      </c>
      <c r="Q180" s="290">
        <f t="shared" si="129"/>
        <v>163.7692307692308</v>
      </c>
      <c r="R180" s="290">
        <f t="shared" si="129"/>
        <v>281.23076923076934</v>
      </c>
      <c r="S180" s="290">
        <f t="shared" si="129"/>
        <v>251.69230769230774</v>
      </c>
      <c r="T180" s="290">
        <f t="shared" si="129"/>
        <v>435.61538461538453</v>
      </c>
      <c r="U180" s="290">
        <f t="shared" si="129"/>
        <v>438.23076923076917</v>
      </c>
      <c r="V180" s="290">
        <f t="shared" si="129"/>
        <v>163.07692307692307</v>
      </c>
      <c r="W180" s="290">
        <f t="shared" si="129"/>
        <v>323.38461538461547</v>
      </c>
      <c r="X180" s="290">
        <f t="shared" si="129"/>
        <v>423.84615384615387</v>
      </c>
      <c r="Y180" s="290">
        <f t="shared" si="129"/>
        <v>438.61538461538453</v>
      </c>
      <c r="Z180" s="290">
        <f t="shared" si="129"/>
        <v>317.69230769230774</v>
      </c>
      <c r="AA180" s="290">
        <f t="shared" si="129"/>
        <v>316</v>
      </c>
      <c r="AB180" s="290">
        <f t="shared" si="129"/>
        <v>326</v>
      </c>
      <c r="AC180" s="290">
        <f t="shared" si="129"/>
        <v>231.69230769230774</v>
      </c>
      <c r="AD180" s="290">
        <f t="shared" si="129"/>
        <v>270.38461538461547</v>
      </c>
      <c r="AE180" s="290">
        <f t="shared" si="129"/>
        <v>296.23076923076934</v>
      </c>
      <c r="AF180" s="290">
        <f t="shared" si="129"/>
        <v>354.4615384615384</v>
      </c>
      <c r="AG180" s="252">
        <f t="shared" si="129"/>
        <v>357.07692307692321</v>
      </c>
      <c r="AH180" s="252">
        <f t="shared" si="129"/>
        <v>269.23076923076928</v>
      </c>
      <c r="AI180" s="252">
        <f t="shared" si="129"/>
        <v>319.23076923076934</v>
      </c>
      <c r="AJ180" s="252">
        <f t="shared" si="129"/>
        <v>369.23076923076934</v>
      </c>
      <c r="AK180" s="252">
        <f t="shared" si="129"/>
        <v>400</v>
      </c>
      <c r="AL180" s="252">
        <f t="shared" si="129"/>
        <v>400</v>
      </c>
      <c r="AM180" s="252">
        <f t="shared" si="129"/>
        <v>400</v>
      </c>
    </row>
    <row r="181" spans="1:39">
      <c r="A181" s="240" t="s">
        <v>233</v>
      </c>
      <c r="B181" s="290">
        <f t="shared" si="130"/>
        <v>69.461538461538481</v>
      </c>
      <c r="C181" s="290">
        <f t="shared" si="131"/>
        <v>106</v>
      </c>
      <c r="D181" s="290">
        <f t="shared" si="129"/>
        <v>167.84615384615392</v>
      </c>
      <c r="E181" s="290">
        <f t="shared" si="129"/>
        <v>178.07692307692304</v>
      </c>
      <c r="F181" s="290">
        <f t="shared" si="129"/>
        <v>152.38461538461536</v>
      </c>
      <c r="G181" s="290">
        <f t="shared" si="129"/>
        <v>159.84615384615392</v>
      </c>
      <c r="H181" s="290">
        <f t="shared" si="129"/>
        <v>214.38461538461536</v>
      </c>
      <c r="I181" s="290">
        <f t="shared" si="129"/>
        <v>233</v>
      </c>
      <c r="J181" s="290">
        <f t="shared" si="129"/>
        <v>193.07692307692304</v>
      </c>
      <c r="K181" s="290">
        <f t="shared" si="129"/>
        <v>139.15384615384608</v>
      </c>
      <c r="L181" s="290">
        <f t="shared" si="129"/>
        <v>114.92307692307696</v>
      </c>
      <c r="M181" s="290">
        <f t="shared" si="129"/>
        <v>115.2307692307692</v>
      </c>
      <c r="N181" s="290">
        <f t="shared" si="129"/>
        <v>102.61538461538464</v>
      </c>
      <c r="O181" s="290">
        <f t="shared" si="129"/>
        <v>100.15384615384616</v>
      </c>
      <c r="P181" s="290">
        <f t="shared" si="129"/>
        <v>80.384615384615358</v>
      </c>
      <c r="Q181" s="290">
        <f t="shared" si="129"/>
        <v>182.92307692307696</v>
      </c>
      <c r="R181" s="290">
        <f t="shared" si="129"/>
        <v>274.07692307692321</v>
      </c>
      <c r="S181" s="290">
        <f t="shared" si="129"/>
        <v>257.23076923076928</v>
      </c>
      <c r="T181" s="290">
        <f t="shared" si="129"/>
        <v>463.53846153846143</v>
      </c>
      <c r="U181" s="290">
        <f t="shared" si="129"/>
        <v>394.07692307692304</v>
      </c>
      <c r="V181" s="290">
        <f t="shared" si="129"/>
        <v>178.69230769230768</v>
      </c>
      <c r="W181" s="290">
        <f t="shared" si="129"/>
        <v>330.46153846153857</v>
      </c>
      <c r="X181" s="290">
        <f t="shared" si="129"/>
        <v>432.61538461538464</v>
      </c>
      <c r="Y181" s="290">
        <f t="shared" si="129"/>
        <v>427.53846153846143</v>
      </c>
      <c r="Z181" s="290">
        <f t="shared" si="129"/>
        <v>311.23076923076928</v>
      </c>
      <c r="AA181" s="290">
        <f t="shared" si="129"/>
        <v>326</v>
      </c>
      <c r="AB181" s="290">
        <f t="shared" si="129"/>
        <v>312</v>
      </c>
      <c r="AC181" s="290">
        <f t="shared" si="129"/>
        <v>235.23076923076928</v>
      </c>
      <c r="AD181" s="290">
        <f t="shared" si="129"/>
        <v>272.46153846153857</v>
      </c>
      <c r="AE181" s="290">
        <f t="shared" si="129"/>
        <v>298.07692307692321</v>
      </c>
      <c r="AF181" s="290">
        <f t="shared" si="129"/>
        <v>363.15384615384608</v>
      </c>
      <c r="AG181" s="252">
        <f t="shared" si="129"/>
        <v>343.69230769230785</v>
      </c>
      <c r="AH181" s="252">
        <f t="shared" si="129"/>
        <v>273.07692307692315</v>
      </c>
      <c r="AI181" s="252">
        <f t="shared" si="129"/>
        <v>323.07692307692321</v>
      </c>
      <c r="AJ181" s="252">
        <f t="shared" si="129"/>
        <v>373.07692307692321</v>
      </c>
      <c r="AK181" s="252">
        <f t="shared" si="129"/>
        <v>400</v>
      </c>
      <c r="AL181" s="252">
        <f t="shared" si="129"/>
        <v>400</v>
      </c>
      <c r="AM181" s="252">
        <f t="shared" si="129"/>
        <v>400</v>
      </c>
    </row>
    <row r="182" spans="1:39">
      <c r="A182" s="240" t="s">
        <v>234</v>
      </c>
      <c r="B182" s="290">
        <f t="shared" si="130"/>
        <v>69.538461538461561</v>
      </c>
      <c r="C182" s="290">
        <f t="shared" si="131"/>
        <v>112</v>
      </c>
      <c r="D182" s="290">
        <f t="shared" si="129"/>
        <v>171.15384615384625</v>
      </c>
      <c r="E182" s="290">
        <f t="shared" si="129"/>
        <v>175.92307692307688</v>
      </c>
      <c r="F182" s="290">
        <f t="shared" si="129"/>
        <v>150.61538461538458</v>
      </c>
      <c r="G182" s="290">
        <f t="shared" si="129"/>
        <v>163.15384615384625</v>
      </c>
      <c r="H182" s="290">
        <f t="shared" si="129"/>
        <v>219.61538461538458</v>
      </c>
      <c r="I182" s="290">
        <f t="shared" si="129"/>
        <v>230</v>
      </c>
      <c r="J182" s="290">
        <f t="shared" si="129"/>
        <v>189.92307692307688</v>
      </c>
      <c r="K182" s="290">
        <f t="shared" si="129"/>
        <v>133.84615384615375</v>
      </c>
      <c r="L182" s="290">
        <f t="shared" si="129"/>
        <v>117.07692307692312</v>
      </c>
      <c r="M182" s="290">
        <f t="shared" si="129"/>
        <v>112.76923076923073</v>
      </c>
      <c r="N182" s="290">
        <f t="shared" si="129"/>
        <v>103.38461538461542</v>
      </c>
      <c r="O182" s="290">
        <f t="shared" si="129"/>
        <v>98.846153846153854</v>
      </c>
      <c r="P182" s="290">
        <f t="shared" si="129"/>
        <v>78.615384615384585</v>
      </c>
      <c r="Q182" s="290">
        <f t="shared" si="129"/>
        <v>202.07692307692312</v>
      </c>
      <c r="R182" s="290">
        <f t="shared" si="129"/>
        <v>266.92307692307708</v>
      </c>
      <c r="S182" s="290">
        <f t="shared" si="129"/>
        <v>262.76923076923083</v>
      </c>
      <c r="T182" s="290">
        <f t="shared" si="129"/>
        <v>491.46153846153834</v>
      </c>
      <c r="U182" s="290">
        <f t="shared" si="129"/>
        <v>349.92307692307691</v>
      </c>
      <c r="V182" s="290">
        <f t="shared" si="129"/>
        <v>194.30769230769229</v>
      </c>
      <c r="W182" s="290">
        <f t="shared" si="129"/>
        <v>337.53846153846166</v>
      </c>
      <c r="X182" s="290">
        <f t="shared" si="129"/>
        <v>441.38461538461542</v>
      </c>
      <c r="Y182" s="290">
        <f t="shared" si="129"/>
        <v>416.46153846153834</v>
      </c>
      <c r="Z182" s="290">
        <f t="shared" si="129"/>
        <v>304.76923076923083</v>
      </c>
      <c r="AA182" s="290">
        <f t="shared" si="129"/>
        <v>336</v>
      </c>
      <c r="AB182" s="290">
        <f t="shared" si="129"/>
        <v>298</v>
      </c>
      <c r="AC182" s="290">
        <f t="shared" si="129"/>
        <v>238.76923076923083</v>
      </c>
      <c r="AD182" s="290">
        <f t="shared" si="129"/>
        <v>274.53846153846166</v>
      </c>
      <c r="AE182" s="290">
        <f t="shared" si="129"/>
        <v>299.92307692307708</v>
      </c>
      <c r="AF182" s="290">
        <f t="shared" si="129"/>
        <v>371.84615384615375</v>
      </c>
      <c r="AG182" s="252">
        <f t="shared" si="129"/>
        <v>330.30769230769249</v>
      </c>
      <c r="AH182" s="252">
        <f t="shared" si="129"/>
        <v>276.92307692307702</v>
      </c>
      <c r="AI182" s="252">
        <f t="shared" si="129"/>
        <v>326.92307692307708</v>
      </c>
      <c r="AJ182" s="252">
        <f t="shared" si="129"/>
        <v>376.92307692307708</v>
      </c>
      <c r="AK182" s="252">
        <f t="shared" si="129"/>
        <v>400</v>
      </c>
      <c r="AL182" s="252">
        <f t="shared" si="129"/>
        <v>400</v>
      </c>
      <c r="AM182" s="252">
        <f t="shared" si="129"/>
        <v>400</v>
      </c>
    </row>
    <row r="183" spans="1:39">
      <c r="A183" s="240" t="s">
        <v>46</v>
      </c>
      <c r="B183" s="290">
        <f t="shared" si="130"/>
        <v>69.615384615384642</v>
      </c>
      <c r="C183" s="290">
        <f t="shared" si="131"/>
        <v>118</v>
      </c>
      <c r="D183" s="290">
        <f t="shared" si="129"/>
        <v>174.46153846153857</v>
      </c>
      <c r="E183" s="290">
        <f t="shared" si="129"/>
        <v>173.76923076923072</v>
      </c>
      <c r="F183" s="290">
        <f t="shared" si="129"/>
        <v>148.84615384615381</v>
      </c>
      <c r="G183" s="290">
        <f t="shared" si="129"/>
        <v>166.46153846153857</v>
      </c>
      <c r="H183" s="290">
        <f t="shared" si="129"/>
        <v>224.84615384615381</v>
      </c>
      <c r="I183" s="290">
        <f t="shared" si="129"/>
        <v>227</v>
      </c>
      <c r="J183" s="290">
        <f t="shared" si="129"/>
        <v>186.76923076923072</v>
      </c>
      <c r="K183" s="290">
        <f t="shared" si="129"/>
        <v>128.53846153846143</v>
      </c>
      <c r="L183" s="290">
        <f t="shared" si="129"/>
        <v>119.23076923076928</v>
      </c>
      <c r="M183" s="290">
        <f t="shared" si="129"/>
        <v>110.30769230769226</v>
      </c>
      <c r="N183" s="290">
        <f t="shared" si="129"/>
        <v>104.15384615384619</v>
      </c>
      <c r="O183" s="290">
        <f t="shared" si="129"/>
        <v>97.538461538461547</v>
      </c>
      <c r="P183" s="290">
        <f t="shared" si="129"/>
        <v>76.846153846153811</v>
      </c>
      <c r="Q183" s="290">
        <f t="shared" si="129"/>
        <v>221.23076923076928</v>
      </c>
      <c r="R183" s="290">
        <f t="shared" si="129"/>
        <v>259.76923076923094</v>
      </c>
      <c r="S183" s="290">
        <f t="shared" si="129"/>
        <v>268.30769230769238</v>
      </c>
      <c r="T183" s="290">
        <f t="shared" si="129"/>
        <v>519.38461538461524</v>
      </c>
      <c r="U183" s="290">
        <f t="shared" si="129"/>
        <v>305.76923076923077</v>
      </c>
      <c r="V183" s="290">
        <f t="shared" si="129"/>
        <v>209.92307692307691</v>
      </c>
      <c r="W183" s="290">
        <f t="shared" si="129"/>
        <v>344.61538461538476</v>
      </c>
      <c r="X183" s="290">
        <f t="shared" si="129"/>
        <v>450.15384615384619</v>
      </c>
      <c r="Y183" s="290">
        <f t="shared" si="129"/>
        <v>405.38461538461524</v>
      </c>
      <c r="Z183" s="290">
        <f t="shared" si="129"/>
        <v>298.30769230769238</v>
      </c>
      <c r="AA183" s="290">
        <f t="shared" si="129"/>
        <v>346</v>
      </c>
      <c r="AB183" s="290">
        <f t="shared" si="129"/>
        <v>284</v>
      </c>
      <c r="AC183" s="290">
        <f t="shared" si="129"/>
        <v>242.30769230769238</v>
      </c>
      <c r="AD183" s="290">
        <f t="shared" si="129"/>
        <v>276.61538461538476</v>
      </c>
      <c r="AE183" s="290">
        <f t="shared" si="129"/>
        <v>301.76923076923094</v>
      </c>
      <c r="AF183" s="290">
        <f t="shared" si="129"/>
        <v>380.53846153846143</v>
      </c>
      <c r="AG183" s="252">
        <f t="shared" si="129"/>
        <v>316.92307692307713</v>
      </c>
      <c r="AH183" s="252">
        <f t="shared" si="129"/>
        <v>280.76923076923089</v>
      </c>
      <c r="AI183" s="252">
        <f t="shared" si="129"/>
        <v>330.76923076923094</v>
      </c>
      <c r="AJ183" s="252">
        <f t="shared" si="129"/>
        <v>380.76923076923094</v>
      </c>
      <c r="AK183" s="252">
        <f t="shared" si="129"/>
        <v>400</v>
      </c>
      <c r="AL183" s="252">
        <f t="shared" si="129"/>
        <v>400</v>
      </c>
      <c r="AM183" s="252">
        <f t="shared" si="129"/>
        <v>400</v>
      </c>
    </row>
    <row r="184" spans="1:39">
      <c r="A184" s="240" t="s">
        <v>235</v>
      </c>
      <c r="B184" s="290">
        <f t="shared" si="130"/>
        <v>69.692307692307722</v>
      </c>
      <c r="C184" s="290">
        <f t="shared" si="131"/>
        <v>124</v>
      </c>
      <c r="D184" s="290">
        <f t="shared" si="129"/>
        <v>177.76923076923089</v>
      </c>
      <c r="E184" s="290">
        <f t="shared" si="129"/>
        <v>171.61538461538456</v>
      </c>
      <c r="F184" s="290">
        <f t="shared" si="129"/>
        <v>147.07692307692304</v>
      </c>
      <c r="G184" s="290">
        <f t="shared" ref="D184:AM186" si="132">(G$187-F$187)/13+G183</f>
        <v>169.76923076923089</v>
      </c>
      <c r="H184" s="290">
        <f t="shared" si="132"/>
        <v>230.07692307692304</v>
      </c>
      <c r="I184" s="290">
        <f t="shared" si="132"/>
        <v>224</v>
      </c>
      <c r="J184" s="290">
        <f t="shared" si="132"/>
        <v>183.61538461538456</v>
      </c>
      <c r="K184" s="290">
        <f t="shared" si="132"/>
        <v>123.23076923076913</v>
      </c>
      <c r="L184" s="290">
        <f t="shared" si="132"/>
        <v>121.38461538461544</v>
      </c>
      <c r="M184" s="290">
        <f t="shared" si="132"/>
        <v>107.8461538461538</v>
      </c>
      <c r="N184" s="290">
        <f t="shared" si="132"/>
        <v>104.92307692307696</v>
      </c>
      <c r="O184" s="290">
        <f t="shared" si="132"/>
        <v>96.230769230769241</v>
      </c>
      <c r="P184" s="290">
        <f t="shared" si="132"/>
        <v>75.076923076923038</v>
      </c>
      <c r="Q184" s="290">
        <f t="shared" si="132"/>
        <v>240.38461538461544</v>
      </c>
      <c r="R184" s="290">
        <f t="shared" si="132"/>
        <v>252.61538461538478</v>
      </c>
      <c r="S184" s="290">
        <f t="shared" si="132"/>
        <v>273.84615384615392</v>
      </c>
      <c r="T184" s="290">
        <f t="shared" si="132"/>
        <v>547.30769230769215</v>
      </c>
      <c r="U184" s="290">
        <f t="shared" si="132"/>
        <v>261.61538461538464</v>
      </c>
      <c r="V184" s="290">
        <f t="shared" si="132"/>
        <v>225.53846153846152</v>
      </c>
      <c r="W184" s="290">
        <f t="shared" si="132"/>
        <v>351.69230769230785</v>
      </c>
      <c r="X184" s="290">
        <f t="shared" si="132"/>
        <v>458.92307692307696</v>
      </c>
      <c r="Y184" s="290">
        <f t="shared" si="132"/>
        <v>394.30769230769215</v>
      </c>
      <c r="Z184" s="290">
        <f t="shared" si="132"/>
        <v>291.84615384615392</v>
      </c>
      <c r="AA184" s="290">
        <f t="shared" si="132"/>
        <v>356</v>
      </c>
      <c r="AB184" s="290">
        <f t="shared" si="132"/>
        <v>270</v>
      </c>
      <c r="AC184" s="290">
        <f t="shared" si="132"/>
        <v>245.84615384615392</v>
      </c>
      <c r="AD184" s="290">
        <f t="shared" si="132"/>
        <v>278.69230769230785</v>
      </c>
      <c r="AE184" s="290">
        <f t="shared" si="132"/>
        <v>303.61538461538481</v>
      </c>
      <c r="AF184" s="290">
        <f t="shared" si="132"/>
        <v>389.23076923076911</v>
      </c>
      <c r="AG184" s="252">
        <f t="shared" si="132"/>
        <v>303.53846153846177</v>
      </c>
      <c r="AH184" s="252">
        <f t="shared" si="132"/>
        <v>284.61538461538476</v>
      </c>
      <c r="AI184" s="252">
        <f t="shared" si="132"/>
        <v>334.61538461538481</v>
      </c>
      <c r="AJ184" s="252">
        <f t="shared" si="132"/>
        <v>384.61538461538481</v>
      </c>
      <c r="AK184" s="252">
        <f t="shared" si="132"/>
        <v>400</v>
      </c>
      <c r="AL184" s="252">
        <f t="shared" si="132"/>
        <v>400</v>
      </c>
      <c r="AM184" s="252">
        <f t="shared" si="132"/>
        <v>400</v>
      </c>
    </row>
    <row r="185" spans="1:39">
      <c r="A185" s="240" t="s">
        <v>236</v>
      </c>
      <c r="B185" s="290">
        <f t="shared" si="130"/>
        <v>69.769230769230802</v>
      </c>
      <c r="C185" s="290">
        <f t="shared" si="131"/>
        <v>130</v>
      </c>
      <c r="D185" s="290">
        <f t="shared" si="132"/>
        <v>181.07692307692321</v>
      </c>
      <c r="E185" s="290">
        <f t="shared" si="132"/>
        <v>169.4615384615384</v>
      </c>
      <c r="F185" s="290">
        <f t="shared" si="132"/>
        <v>145.30769230769226</v>
      </c>
      <c r="G185" s="290">
        <f t="shared" si="132"/>
        <v>173.07692307692321</v>
      </c>
      <c r="H185" s="290">
        <f t="shared" si="132"/>
        <v>235.30769230769226</v>
      </c>
      <c r="I185" s="290">
        <f t="shared" si="132"/>
        <v>221</v>
      </c>
      <c r="J185" s="290">
        <f t="shared" si="132"/>
        <v>180.4615384615384</v>
      </c>
      <c r="K185" s="290">
        <f t="shared" si="132"/>
        <v>117.92307692307682</v>
      </c>
      <c r="L185" s="290">
        <f t="shared" si="132"/>
        <v>123.5384615384616</v>
      </c>
      <c r="M185" s="290">
        <f t="shared" si="132"/>
        <v>105.38461538461533</v>
      </c>
      <c r="N185" s="290">
        <f t="shared" si="132"/>
        <v>105.69230769230774</v>
      </c>
      <c r="O185" s="290">
        <f t="shared" si="132"/>
        <v>94.923076923076934</v>
      </c>
      <c r="P185" s="290">
        <f t="shared" si="132"/>
        <v>73.307692307692264</v>
      </c>
      <c r="Q185" s="290">
        <f t="shared" si="132"/>
        <v>259.5384615384616</v>
      </c>
      <c r="R185" s="290">
        <f t="shared" si="132"/>
        <v>245.46153846153862</v>
      </c>
      <c r="S185" s="290">
        <f t="shared" si="132"/>
        <v>279.38461538461547</v>
      </c>
      <c r="T185" s="290">
        <f t="shared" si="132"/>
        <v>575.23076923076906</v>
      </c>
      <c r="U185" s="290">
        <f t="shared" si="132"/>
        <v>217.46153846153848</v>
      </c>
      <c r="V185" s="290">
        <f t="shared" si="132"/>
        <v>241.15384615384613</v>
      </c>
      <c r="W185" s="290">
        <f t="shared" si="132"/>
        <v>358.76923076923094</v>
      </c>
      <c r="X185" s="290">
        <f t="shared" si="132"/>
        <v>467.69230769230774</v>
      </c>
      <c r="Y185" s="290">
        <f t="shared" si="132"/>
        <v>383.23076923076906</v>
      </c>
      <c r="Z185" s="290">
        <f t="shared" si="132"/>
        <v>285.38461538461547</v>
      </c>
      <c r="AA185" s="290">
        <f t="shared" si="132"/>
        <v>366</v>
      </c>
      <c r="AB185" s="290">
        <f t="shared" si="132"/>
        <v>256</v>
      </c>
      <c r="AC185" s="290">
        <f t="shared" si="132"/>
        <v>249.38461538461547</v>
      </c>
      <c r="AD185" s="290">
        <f t="shared" si="132"/>
        <v>280.76923076923094</v>
      </c>
      <c r="AE185" s="290">
        <f t="shared" si="132"/>
        <v>305.46153846153868</v>
      </c>
      <c r="AF185" s="290">
        <f t="shared" si="132"/>
        <v>397.92307692307679</v>
      </c>
      <c r="AG185" s="252">
        <f t="shared" si="132"/>
        <v>290.15384615384642</v>
      </c>
      <c r="AH185" s="252">
        <f t="shared" si="132"/>
        <v>288.46153846153862</v>
      </c>
      <c r="AI185" s="252">
        <f t="shared" si="132"/>
        <v>338.46153846153868</v>
      </c>
      <c r="AJ185" s="252">
        <f t="shared" si="132"/>
        <v>388.46153846153868</v>
      </c>
      <c r="AK185" s="252">
        <f t="shared" si="132"/>
        <v>400</v>
      </c>
      <c r="AL185" s="252">
        <f t="shared" si="132"/>
        <v>400</v>
      </c>
      <c r="AM185" s="252">
        <f t="shared" si="132"/>
        <v>400</v>
      </c>
    </row>
    <row r="186" spans="1:39">
      <c r="A186" s="240" t="s">
        <v>237</v>
      </c>
      <c r="B186" s="290">
        <f t="shared" si="130"/>
        <v>69.846153846153882</v>
      </c>
      <c r="C186" s="290">
        <f t="shared" si="131"/>
        <v>136</v>
      </c>
      <c r="D186" s="290">
        <f t="shared" si="132"/>
        <v>184.38461538461553</v>
      </c>
      <c r="E186" s="290">
        <f t="shared" si="132"/>
        <v>167.30769230769224</v>
      </c>
      <c r="F186" s="290">
        <f t="shared" si="132"/>
        <v>143.53846153846149</v>
      </c>
      <c r="G186" s="290">
        <f t="shared" si="132"/>
        <v>176.38461538461553</v>
      </c>
      <c r="H186" s="290">
        <f t="shared" si="132"/>
        <v>240.53846153846149</v>
      </c>
      <c r="I186" s="290">
        <f t="shared" si="132"/>
        <v>218</v>
      </c>
      <c r="J186" s="290">
        <f t="shared" si="132"/>
        <v>177.30769230769224</v>
      </c>
      <c r="K186" s="290">
        <f t="shared" si="132"/>
        <v>112.61538461538451</v>
      </c>
      <c r="L186" s="290">
        <f t="shared" si="132"/>
        <v>125.69230769230776</v>
      </c>
      <c r="M186" s="290">
        <f t="shared" si="132"/>
        <v>102.92307692307686</v>
      </c>
      <c r="N186" s="290">
        <f t="shared" si="132"/>
        <v>106.46153846153851</v>
      </c>
      <c r="O186" s="290">
        <f t="shared" si="132"/>
        <v>93.615384615384627</v>
      </c>
      <c r="P186" s="290">
        <f t="shared" si="132"/>
        <v>71.53846153846149</v>
      </c>
      <c r="Q186" s="290">
        <f t="shared" si="132"/>
        <v>278.69230769230774</v>
      </c>
      <c r="R186" s="290">
        <f t="shared" si="132"/>
        <v>238.30769230769246</v>
      </c>
      <c r="S186" s="290">
        <f t="shared" si="132"/>
        <v>284.92307692307702</v>
      </c>
      <c r="T186" s="290">
        <f t="shared" si="132"/>
        <v>603.15384615384596</v>
      </c>
      <c r="U186" s="290">
        <f t="shared" si="132"/>
        <v>173.30769230769232</v>
      </c>
      <c r="V186" s="290">
        <f t="shared" si="132"/>
        <v>256.76923076923077</v>
      </c>
      <c r="W186" s="290">
        <f t="shared" si="132"/>
        <v>365.84615384615404</v>
      </c>
      <c r="X186" s="290">
        <f t="shared" si="132"/>
        <v>476.46153846153851</v>
      </c>
      <c r="Y186" s="290">
        <f>(Y$187-X$187)/13+Y185</f>
        <v>372.15384615384596</v>
      </c>
      <c r="Z186" s="290">
        <f t="shared" si="132"/>
        <v>278.92307692307702</v>
      </c>
      <c r="AA186" s="290">
        <f t="shared" si="132"/>
        <v>376</v>
      </c>
      <c r="AB186" s="290">
        <f t="shared" si="132"/>
        <v>242</v>
      </c>
      <c r="AC186" s="290">
        <f t="shared" si="132"/>
        <v>252.92307692307702</v>
      </c>
      <c r="AD186" s="290">
        <f t="shared" si="132"/>
        <v>282.84615384615404</v>
      </c>
      <c r="AE186" s="290">
        <f t="shared" si="132"/>
        <v>307.30769230769255</v>
      </c>
      <c r="AF186" s="290">
        <f t="shared" si="132"/>
        <v>406.61538461538447</v>
      </c>
      <c r="AG186" s="252">
        <f t="shared" si="132"/>
        <v>276.76923076923106</v>
      </c>
      <c r="AH186" s="252">
        <f t="shared" si="132"/>
        <v>292.30769230769249</v>
      </c>
      <c r="AI186" s="252">
        <f t="shared" si="132"/>
        <v>342.30769230769255</v>
      </c>
      <c r="AJ186" s="252">
        <f t="shared" si="132"/>
        <v>392.30769230769255</v>
      </c>
      <c r="AK186" s="252">
        <f t="shared" si="132"/>
        <v>400</v>
      </c>
      <c r="AL186" s="252">
        <f t="shared" si="132"/>
        <v>400</v>
      </c>
      <c r="AM186" s="252">
        <f t="shared" si="132"/>
        <v>400</v>
      </c>
    </row>
    <row r="187" spans="1:39" ht="15.75" thickBot="1">
      <c r="A187" s="240" t="s">
        <v>238</v>
      </c>
      <c r="B187" s="267">
        <f>B29</f>
        <v>70</v>
      </c>
      <c r="C187" s="267">
        <f t="shared" ref="C187:AM187" si="133">C29</f>
        <v>148</v>
      </c>
      <c r="D187" s="267">
        <f t="shared" si="133"/>
        <v>191</v>
      </c>
      <c r="E187" s="267">
        <f t="shared" si="133"/>
        <v>163</v>
      </c>
      <c r="F187" s="267">
        <f t="shared" si="133"/>
        <v>140</v>
      </c>
      <c r="G187" s="267">
        <f t="shared" si="133"/>
        <v>183</v>
      </c>
      <c r="H187" s="267">
        <f t="shared" si="133"/>
        <v>251</v>
      </c>
      <c r="I187" s="267">
        <f t="shared" si="133"/>
        <v>212</v>
      </c>
      <c r="J187" s="267">
        <f t="shared" si="133"/>
        <v>171</v>
      </c>
      <c r="K187" s="267">
        <f t="shared" si="133"/>
        <v>102</v>
      </c>
      <c r="L187" s="267">
        <f t="shared" si="133"/>
        <v>130</v>
      </c>
      <c r="M187" s="267">
        <f t="shared" si="133"/>
        <v>98</v>
      </c>
      <c r="N187" s="267">
        <f t="shared" si="133"/>
        <v>108</v>
      </c>
      <c r="O187" s="267">
        <f t="shared" si="133"/>
        <v>91</v>
      </c>
      <c r="P187" s="267">
        <f t="shared" si="133"/>
        <v>68</v>
      </c>
      <c r="Q187" s="267">
        <f t="shared" si="133"/>
        <v>317</v>
      </c>
      <c r="R187" s="267">
        <f t="shared" si="133"/>
        <v>224</v>
      </c>
      <c r="S187" s="267">
        <f t="shared" si="133"/>
        <v>296</v>
      </c>
      <c r="T187" s="267">
        <f t="shared" si="133"/>
        <v>659</v>
      </c>
      <c r="U187" s="267">
        <f t="shared" si="133"/>
        <v>85</v>
      </c>
      <c r="V187" s="267">
        <f t="shared" si="133"/>
        <v>288</v>
      </c>
      <c r="W187" s="267">
        <f t="shared" si="133"/>
        <v>380</v>
      </c>
      <c r="X187" s="267">
        <f t="shared" si="133"/>
        <v>494</v>
      </c>
      <c r="Y187" s="267">
        <f t="shared" si="133"/>
        <v>350</v>
      </c>
      <c r="Z187" s="267">
        <f t="shared" si="133"/>
        <v>266</v>
      </c>
      <c r="AA187" s="267">
        <f t="shared" si="133"/>
        <v>396</v>
      </c>
      <c r="AB187" s="267">
        <f t="shared" si="133"/>
        <v>214</v>
      </c>
      <c r="AC187" s="267">
        <f t="shared" si="133"/>
        <v>260</v>
      </c>
      <c r="AD187" s="267">
        <f t="shared" si="133"/>
        <v>287</v>
      </c>
      <c r="AE187" s="267">
        <f t="shared" si="133"/>
        <v>311</v>
      </c>
      <c r="AF187" s="267">
        <f t="shared" si="133"/>
        <v>424</v>
      </c>
      <c r="AG187" s="268">
        <f t="shared" si="133"/>
        <v>250</v>
      </c>
      <c r="AH187" s="268">
        <f t="shared" si="133"/>
        <v>300</v>
      </c>
      <c r="AI187" s="268">
        <f t="shared" si="133"/>
        <v>350</v>
      </c>
      <c r="AJ187" s="268">
        <f t="shared" si="133"/>
        <v>400</v>
      </c>
      <c r="AK187" s="268">
        <f t="shared" si="133"/>
        <v>400</v>
      </c>
      <c r="AL187" s="268">
        <f t="shared" si="133"/>
        <v>400</v>
      </c>
      <c r="AM187" s="268">
        <f t="shared" si="133"/>
        <v>400</v>
      </c>
    </row>
    <row r="188" spans="1:39">
      <c r="A188" s="248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4"/>
      <c r="Z188" s="254"/>
      <c r="AA188" s="254"/>
      <c r="AB188" s="248"/>
      <c r="AC188" s="248"/>
      <c r="AD188" s="248"/>
      <c r="AE188" s="248"/>
      <c r="AF188" s="248"/>
      <c r="AG188" s="248"/>
      <c r="AH188" s="248"/>
      <c r="AI188" s="248"/>
      <c r="AJ188" s="248"/>
      <c r="AK188" s="248"/>
      <c r="AL188" s="248"/>
      <c r="AM188" s="248"/>
    </row>
    <row r="189" spans="1:39" ht="15.75" thickBot="1">
      <c r="A189" s="235" t="s">
        <v>261</v>
      </c>
      <c r="B189" s="108"/>
    </row>
    <row r="190" spans="1:39" ht="15.75" thickBot="1">
      <c r="A190" s="236"/>
      <c r="B190" s="237" t="str">
        <f>B$2</f>
        <v xml:space="preserve">93/94 </v>
      </c>
      <c r="C190" s="237" t="str">
        <f t="shared" ref="C190:AM190" si="134">C$2</f>
        <v xml:space="preserve">94/95 </v>
      </c>
      <c r="D190" s="237" t="str">
        <f t="shared" si="134"/>
        <v xml:space="preserve">95/96 </v>
      </c>
      <c r="E190" s="237" t="str">
        <f t="shared" si="134"/>
        <v xml:space="preserve">96/97 </v>
      </c>
      <c r="F190" s="237" t="str">
        <f t="shared" si="134"/>
        <v xml:space="preserve">97/98 </v>
      </c>
      <c r="G190" s="237" t="str">
        <f t="shared" si="134"/>
        <v xml:space="preserve">98/99 </v>
      </c>
      <c r="H190" s="237" t="str">
        <f t="shared" si="134"/>
        <v xml:space="preserve">99/00 </v>
      </c>
      <c r="I190" s="237" t="str">
        <f t="shared" si="134"/>
        <v xml:space="preserve">00/01 </v>
      </c>
      <c r="J190" s="237" t="str">
        <f t="shared" si="134"/>
        <v xml:space="preserve">01/02 </v>
      </c>
      <c r="K190" s="237" t="str">
        <f t="shared" si="134"/>
        <v xml:space="preserve">02/03 </v>
      </c>
      <c r="L190" s="237" t="str">
        <f t="shared" si="134"/>
        <v xml:space="preserve">03/04 </v>
      </c>
      <c r="M190" s="237" t="str">
        <f t="shared" si="134"/>
        <v xml:space="preserve">04/05 </v>
      </c>
      <c r="N190" s="237" t="str">
        <f t="shared" si="134"/>
        <v xml:space="preserve">05/06 </v>
      </c>
      <c r="O190" s="237" t="str">
        <f t="shared" si="134"/>
        <v xml:space="preserve">06/07 </v>
      </c>
      <c r="P190" s="237" t="str">
        <f t="shared" si="134"/>
        <v xml:space="preserve">07/08 </v>
      </c>
      <c r="Q190" s="237" t="str">
        <f t="shared" si="134"/>
        <v xml:space="preserve">08/09 </v>
      </c>
      <c r="R190" s="237" t="str">
        <f t="shared" si="134"/>
        <v xml:space="preserve">09/10 </v>
      </c>
      <c r="S190" s="237" t="str">
        <f t="shared" si="134"/>
        <v xml:space="preserve">10/11 </v>
      </c>
      <c r="T190" s="237" t="str">
        <f t="shared" si="134"/>
        <v xml:space="preserve">11/12 </v>
      </c>
      <c r="U190" s="237" t="str">
        <f t="shared" si="134"/>
        <v xml:space="preserve">12/13 </v>
      </c>
      <c r="V190" s="237" t="str">
        <f t="shared" si="134"/>
        <v xml:space="preserve">13/14 </v>
      </c>
      <c r="W190" s="237" t="str">
        <f t="shared" si="134"/>
        <v xml:space="preserve">14/15 </v>
      </c>
      <c r="X190" s="237" t="str">
        <f t="shared" si="134"/>
        <v xml:space="preserve">15/16 </v>
      </c>
      <c r="Y190" s="237" t="str">
        <f t="shared" si="134"/>
        <v xml:space="preserve">16/17 </v>
      </c>
      <c r="Z190" s="237" t="str">
        <f t="shared" si="134"/>
        <v xml:space="preserve">17/18 </v>
      </c>
      <c r="AA190" s="237" t="str">
        <f t="shared" si="134"/>
        <v xml:space="preserve">18/19 </v>
      </c>
      <c r="AB190" s="237" t="str">
        <f t="shared" si="134"/>
        <v xml:space="preserve">19/20 </v>
      </c>
      <c r="AC190" s="237" t="str">
        <f t="shared" si="134"/>
        <v xml:space="preserve">20/21 </v>
      </c>
      <c r="AD190" s="237" t="str">
        <f t="shared" si="134"/>
        <v>21/22</v>
      </c>
      <c r="AE190" s="237" t="str">
        <f t="shared" si="134"/>
        <v>22/23</v>
      </c>
      <c r="AF190" s="237" t="str">
        <f t="shared" si="134"/>
        <v>23/24</v>
      </c>
      <c r="AG190" s="237" t="str">
        <f t="shared" si="134"/>
        <v>24/25</v>
      </c>
      <c r="AH190" s="237" t="str">
        <f t="shared" si="134"/>
        <v>25/26</v>
      </c>
      <c r="AI190" s="237" t="str">
        <f t="shared" si="134"/>
        <v>26/27</v>
      </c>
      <c r="AJ190" s="237" t="str">
        <f t="shared" si="134"/>
        <v>27/28</v>
      </c>
      <c r="AK190" s="237" t="str">
        <f t="shared" si="134"/>
        <v>28/29</v>
      </c>
      <c r="AL190" s="237" t="str">
        <f t="shared" si="134"/>
        <v>29/30</v>
      </c>
      <c r="AM190" s="237" t="str">
        <f t="shared" si="134"/>
        <v>30/31</v>
      </c>
    </row>
    <row r="191" spans="1:39">
      <c r="A191" s="240" t="s">
        <v>239</v>
      </c>
    </row>
    <row r="192" spans="1:39">
      <c r="A192" s="240" t="s">
        <v>240</v>
      </c>
    </row>
    <row r="193" spans="1:39">
      <c r="A193" s="240" t="s">
        <v>241</v>
      </c>
    </row>
    <row r="194" spans="1:39">
      <c r="A194" s="240" t="s">
        <v>231</v>
      </c>
    </row>
    <row r="195" spans="1:39">
      <c r="A195" s="240" t="s">
        <v>232</v>
      </c>
    </row>
    <row r="196" spans="1:39">
      <c r="A196" s="240" t="s">
        <v>233</v>
      </c>
    </row>
    <row r="197" spans="1:39">
      <c r="A197" s="240" t="s">
        <v>234</v>
      </c>
    </row>
    <row r="198" spans="1:39">
      <c r="A198" s="240" t="s">
        <v>46</v>
      </c>
    </row>
    <row r="199" spans="1:39">
      <c r="A199" s="240" t="s">
        <v>235</v>
      </c>
    </row>
    <row r="200" spans="1:39">
      <c r="A200" s="240" t="s">
        <v>236</v>
      </c>
    </row>
    <row r="201" spans="1:39">
      <c r="A201" s="240" t="s">
        <v>237</v>
      </c>
    </row>
    <row r="202" spans="1:39">
      <c r="A202" s="240" t="s">
        <v>238</v>
      </c>
    </row>
    <row r="203" spans="1:39" ht="15.75" thickBot="1">
      <c r="A203" s="240" t="s">
        <v>255</v>
      </c>
    </row>
    <row r="204" spans="1:39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  <c r="AD204" s="248"/>
      <c r="AE204" s="248"/>
      <c r="AF204" s="248"/>
      <c r="AG204" s="248"/>
      <c r="AH204" s="248"/>
      <c r="AI204" s="248"/>
      <c r="AJ204" s="248"/>
      <c r="AK204" s="248"/>
      <c r="AL204" s="248"/>
      <c r="AM204" s="248"/>
    </row>
    <row r="205" spans="1:39" ht="15.75" thickBot="1">
      <c r="A205" s="235" t="s">
        <v>262</v>
      </c>
    </row>
    <row r="206" spans="1:39" ht="15.75" thickBot="1">
      <c r="A206" s="236"/>
      <c r="B206" s="237" t="str">
        <f>B$2</f>
        <v xml:space="preserve">93/94 </v>
      </c>
      <c r="C206" s="237" t="str">
        <f t="shared" ref="C206:AM206" si="135">C$2</f>
        <v xml:space="preserve">94/95 </v>
      </c>
      <c r="D206" s="237" t="str">
        <f t="shared" si="135"/>
        <v xml:space="preserve">95/96 </v>
      </c>
      <c r="E206" s="237" t="str">
        <f t="shared" si="135"/>
        <v xml:space="preserve">96/97 </v>
      </c>
      <c r="F206" s="237" t="str">
        <f t="shared" si="135"/>
        <v xml:space="preserve">97/98 </v>
      </c>
      <c r="G206" s="237" t="str">
        <f t="shared" si="135"/>
        <v xml:space="preserve">98/99 </v>
      </c>
      <c r="H206" s="237" t="str">
        <f t="shared" si="135"/>
        <v xml:space="preserve">99/00 </v>
      </c>
      <c r="I206" s="237" t="str">
        <f t="shared" si="135"/>
        <v xml:space="preserve">00/01 </v>
      </c>
      <c r="J206" s="237" t="str">
        <f t="shared" si="135"/>
        <v xml:space="preserve">01/02 </v>
      </c>
      <c r="K206" s="237" t="str">
        <f t="shared" si="135"/>
        <v xml:space="preserve">02/03 </v>
      </c>
      <c r="L206" s="237" t="str">
        <f t="shared" si="135"/>
        <v xml:space="preserve">03/04 </v>
      </c>
      <c r="M206" s="237" t="str">
        <f t="shared" si="135"/>
        <v xml:space="preserve">04/05 </v>
      </c>
      <c r="N206" s="237" t="str">
        <f t="shared" si="135"/>
        <v xml:space="preserve">05/06 </v>
      </c>
      <c r="O206" s="237" t="str">
        <f t="shared" si="135"/>
        <v xml:space="preserve">06/07 </v>
      </c>
      <c r="P206" s="237" t="str">
        <f t="shared" si="135"/>
        <v xml:space="preserve">07/08 </v>
      </c>
      <c r="Q206" s="237" t="str">
        <f t="shared" si="135"/>
        <v xml:space="preserve">08/09 </v>
      </c>
      <c r="R206" s="237" t="str">
        <f t="shared" si="135"/>
        <v xml:space="preserve">09/10 </v>
      </c>
      <c r="S206" s="237" t="str">
        <f t="shared" si="135"/>
        <v xml:space="preserve">10/11 </v>
      </c>
      <c r="T206" s="237" t="str">
        <f t="shared" si="135"/>
        <v xml:space="preserve">11/12 </v>
      </c>
      <c r="U206" s="237" t="str">
        <f t="shared" si="135"/>
        <v xml:space="preserve">12/13 </v>
      </c>
      <c r="V206" s="237" t="str">
        <f t="shared" si="135"/>
        <v xml:space="preserve">13/14 </v>
      </c>
      <c r="W206" s="237" t="str">
        <f t="shared" si="135"/>
        <v xml:space="preserve">14/15 </v>
      </c>
      <c r="X206" s="237" t="str">
        <f t="shared" si="135"/>
        <v xml:space="preserve">15/16 </v>
      </c>
      <c r="Y206" s="237" t="str">
        <f t="shared" si="135"/>
        <v xml:space="preserve">16/17 </v>
      </c>
      <c r="Z206" s="237" t="str">
        <f t="shared" si="135"/>
        <v xml:space="preserve">17/18 </v>
      </c>
      <c r="AA206" s="237" t="str">
        <f t="shared" si="135"/>
        <v xml:space="preserve">18/19 </v>
      </c>
      <c r="AB206" s="237" t="str">
        <f t="shared" si="135"/>
        <v xml:space="preserve">19/20 </v>
      </c>
      <c r="AC206" s="237" t="str">
        <f t="shared" si="135"/>
        <v xml:space="preserve">20/21 </v>
      </c>
      <c r="AD206" s="237" t="str">
        <f t="shared" si="135"/>
        <v>21/22</v>
      </c>
      <c r="AE206" s="237" t="str">
        <f t="shared" si="135"/>
        <v>22/23</v>
      </c>
      <c r="AF206" s="237" t="str">
        <f t="shared" si="135"/>
        <v>23/24</v>
      </c>
      <c r="AG206" s="237" t="str">
        <f t="shared" si="135"/>
        <v>24/25</v>
      </c>
      <c r="AH206" s="237" t="str">
        <f t="shared" si="135"/>
        <v>25/26</v>
      </c>
      <c r="AI206" s="237" t="str">
        <f t="shared" si="135"/>
        <v>26/27</v>
      </c>
      <c r="AJ206" s="237" t="str">
        <f t="shared" si="135"/>
        <v>27/28</v>
      </c>
      <c r="AK206" s="237" t="str">
        <f t="shared" si="135"/>
        <v>28/29</v>
      </c>
      <c r="AL206" s="237" t="str">
        <f t="shared" si="135"/>
        <v>29/30</v>
      </c>
      <c r="AM206" s="237" t="str">
        <f t="shared" si="135"/>
        <v>30/31</v>
      </c>
    </row>
    <row r="207" spans="1:39">
      <c r="A207" s="240" t="s">
        <v>239</v>
      </c>
      <c r="B207" s="290">
        <f>B$235*B82</f>
        <v>320.71959220242701</v>
      </c>
      <c r="C207" s="290">
        <f t="shared" ref="C207:R207" si="136">C$235*C82</f>
        <v>302.56736708413536</v>
      </c>
      <c r="D207" s="290">
        <f t="shared" si="136"/>
        <v>326.08607863147745</v>
      </c>
      <c r="E207" s="290">
        <f t="shared" si="136"/>
        <v>328.17464608408335</v>
      </c>
      <c r="F207" s="290">
        <f t="shared" si="136"/>
        <v>323.05557977335184</v>
      </c>
      <c r="G207" s="290">
        <f t="shared" si="136"/>
        <v>336.33848902986716</v>
      </c>
      <c r="H207" s="290">
        <f t="shared" si="136"/>
        <v>283.42235004108466</v>
      </c>
      <c r="I207" s="290">
        <f t="shared" si="136"/>
        <v>267.79649122807018</v>
      </c>
      <c r="J207" s="290">
        <f t="shared" si="136"/>
        <v>255.3959923664122</v>
      </c>
      <c r="K207" s="290">
        <f t="shared" si="136"/>
        <v>237.97093023255815</v>
      </c>
      <c r="L207" s="290">
        <f t="shared" si="136"/>
        <v>272.62106839740392</v>
      </c>
      <c r="M207" s="290">
        <f t="shared" si="136"/>
        <v>252.09053050878146</v>
      </c>
      <c r="N207" s="290">
        <f t="shared" si="136"/>
        <v>260.14192587073944</v>
      </c>
      <c r="O207" s="290">
        <f t="shared" si="136"/>
        <v>256.7796731908781</v>
      </c>
      <c r="P207" s="290">
        <f t="shared" si="136"/>
        <v>202.96602691374366</v>
      </c>
      <c r="Q207" s="290">
        <f t="shared" si="136"/>
        <v>259.4718250630782</v>
      </c>
      <c r="R207" s="290">
        <f t="shared" si="136"/>
        <v>265.02567394094996</v>
      </c>
      <c r="S207" s="290">
        <f>S$235*S82</f>
        <v>276.75126050420164</v>
      </c>
      <c r="T207" s="290">
        <f t="shared" ref="T207:AF216" si="137">T$235*T82</f>
        <v>327.48765524465057</v>
      </c>
      <c r="U207" s="290">
        <f t="shared" si="137"/>
        <v>286.40229132569556</v>
      </c>
      <c r="V207" s="290">
        <f t="shared" si="137"/>
        <v>326.99325842696629</v>
      </c>
      <c r="W207" s="290">
        <f t="shared" si="137"/>
        <v>349.86</v>
      </c>
      <c r="X207" s="290">
        <f t="shared" si="137"/>
        <v>351.53999999999996</v>
      </c>
      <c r="Y207" s="290">
        <f t="shared" si="137"/>
        <v>359.52</v>
      </c>
      <c r="Z207" s="290">
        <f t="shared" si="137"/>
        <v>425.33469082511732</v>
      </c>
      <c r="AA207" s="290">
        <f t="shared" si="137"/>
        <v>358.26</v>
      </c>
      <c r="AB207" s="290">
        <f t="shared" si="137"/>
        <v>393.12</v>
      </c>
      <c r="AC207" s="290">
        <f t="shared" si="137"/>
        <v>359.52</v>
      </c>
      <c r="AD207" s="290">
        <f t="shared" si="137"/>
        <v>381.78</v>
      </c>
      <c r="AE207" s="290">
        <f t="shared" si="137"/>
        <v>380.44749306523772</v>
      </c>
      <c r="AF207" s="290">
        <f t="shared" si="137"/>
        <v>398.18517602148665</v>
      </c>
      <c r="AG207" s="252">
        <f t="shared" ref="AG207:AM218" si="138">AG$235*AG80</f>
        <v>188.8196053802682</v>
      </c>
      <c r="AH207" s="252">
        <f t="shared" si="138"/>
        <v>219.19413710694636</v>
      </c>
      <c r="AI207" s="252">
        <f t="shared" si="138"/>
        <v>224.62277306178544</v>
      </c>
      <c r="AJ207" s="252">
        <f t="shared" si="138"/>
        <v>230.91930949746788</v>
      </c>
      <c r="AK207" s="252">
        <f t="shared" si="138"/>
        <v>236.51136495517758</v>
      </c>
      <c r="AL207" s="252">
        <f t="shared" si="138"/>
        <v>226.38191151892246</v>
      </c>
      <c r="AM207" s="252">
        <f t="shared" si="138"/>
        <v>237.33919956885561</v>
      </c>
    </row>
    <row r="208" spans="1:39">
      <c r="A208" s="240" t="s">
        <v>240</v>
      </c>
      <c r="B208" s="290">
        <f t="shared" ref="B208:Y216" si="139">B$235*B83</f>
        <v>250.12793152702278</v>
      </c>
      <c r="C208" s="290">
        <f t="shared" si="139"/>
        <v>269.84288234631225</v>
      </c>
      <c r="D208" s="290">
        <f t="shared" si="139"/>
        <v>282.13276384326377</v>
      </c>
      <c r="E208" s="290">
        <f t="shared" si="139"/>
        <v>318.32940670156091</v>
      </c>
      <c r="F208" s="290">
        <f t="shared" si="139"/>
        <v>305.54732282759329</v>
      </c>
      <c r="G208" s="290">
        <f t="shared" si="139"/>
        <v>321.61660230465412</v>
      </c>
      <c r="H208" s="290">
        <f t="shared" si="139"/>
        <v>234.61380443714052</v>
      </c>
      <c r="I208" s="290">
        <f t="shared" si="139"/>
        <v>241.88070175438597</v>
      </c>
      <c r="J208" s="290">
        <f t="shared" si="139"/>
        <v>209.82347328244273</v>
      </c>
      <c r="K208" s="290">
        <f t="shared" si="139"/>
        <v>215.53924418604652</v>
      </c>
      <c r="L208" s="290">
        <f t="shared" si="139"/>
        <v>275.01248127808287</v>
      </c>
      <c r="M208" s="290">
        <f t="shared" si="139"/>
        <v>239.72533043635704</v>
      </c>
      <c r="N208" s="290">
        <f t="shared" si="139"/>
        <v>244.54982305829762</v>
      </c>
      <c r="O208" s="290">
        <f t="shared" si="139"/>
        <v>251.34297001256959</v>
      </c>
      <c r="P208" s="290">
        <f t="shared" si="139"/>
        <v>192.50386057798369</v>
      </c>
      <c r="Q208" s="290">
        <f t="shared" si="139"/>
        <v>246.91673675357441</v>
      </c>
      <c r="R208" s="290">
        <f t="shared" si="139"/>
        <v>264.18164313222081</v>
      </c>
      <c r="S208" s="290">
        <f t="shared" si="139"/>
        <v>280.55394957983191</v>
      </c>
      <c r="T208" s="290">
        <f t="shared" si="139"/>
        <v>312.69789016908572</v>
      </c>
      <c r="U208" s="290">
        <f t="shared" si="139"/>
        <v>237.82373158756135</v>
      </c>
      <c r="V208" s="290">
        <f t="shared" si="139"/>
        <v>313.05168539325842</v>
      </c>
      <c r="W208" s="290">
        <f t="shared" si="139"/>
        <v>334.32</v>
      </c>
      <c r="X208" s="290">
        <f t="shared" si="139"/>
        <v>317.09999999999997</v>
      </c>
      <c r="Y208" s="290">
        <f t="shared" si="139"/>
        <v>336.46997344655637</v>
      </c>
      <c r="Z208" s="290">
        <f t="shared" si="137"/>
        <v>392.37316230851854</v>
      </c>
      <c r="AA208" s="290">
        <f t="shared" si="137"/>
        <v>332.21999999999997</v>
      </c>
      <c r="AB208" s="290">
        <f t="shared" si="137"/>
        <v>357.84</v>
      </c>
      <c r="AC208" s="290">
        <f t="shared" si="137"/>
        <v>340.2</v>
      </c>
      <c r="AD208" s="290">
        <f t="shared" si="137"/>
        <v>372.12</v>
      </c>
      <c r="AE208" s="290">
        <f t="shared" si="137"/>
        <v>370.99623946043727</v>
      </c>
      <c r="AF208" s="290">
        <f t="shared" si="137"/>
        <v>372.59574041192673</v>
      </c>
      <c r="AG208" s="252">
        <f t="shared" si="138"/>
        <v>259.42829949641657</v>
      </c>
      <c r="AH208" s="252">
        <f t="shared" si="138"/>
        <v>310.90906964206329</v>
      </c>
      <c r="AI208" s="252">
        <f t="shared" si="138"/>
        <v>307.13790063444077</v>
      </c>
      <c r="AJ208" s="252">
        <f t="shared" si="138"/>
        <v>306.06006446486407</v>
      </c>
      <c r="AK208" s="252">
        <f t="shared" si="138"/>
        <v>317.96738508132648</v>
      </c>
      <c r="AL208" s="252">
        <f t="shared" si="138"/>
        <v>316.38965436203375</v>
      </c>
      <c r="AM208" s="252">
        <f t="shared" si="138"/>
        <v>323.94880675708987</v>
      </c>
    </row>
    <row r="209" spans="1:39">
      <c r="A209" s="240" t="s">
        <v>241</v>
      </c>
      <c r="B209" s="290">
        <f t="shared" si="139"/>
        <v>229.56185715702316</v>
      </c>
      <c r="C209" s="290">
        <f t="shared" si="139"/>
        <v>271.45228323505762</v>
      </c>
      <c r="D209" s="290">
        <f t="shared" si="139"/>
        <v>277.38105413642978</v>
      </c>
      <c r="E209" s="290">
        <f t="shared" si="139"/>
        <v>300.27980116693629</v>
      </c>
      <c r="F209" s="290">
        <f t="shared" si="139"/>
        <v>314.58384254153322</v>
      </c>
      <c r="G209" s="290">
        <f t="shared" si="139"/>
        <v>325.5801871922115</v>
      </c>
      <c r="H209" s="290">
        <f t="shared" si="139"/>
        <v>251.253081347576</v>
      </c>
      <c r="I209" s="290">
        <f t="shared" si="139"/>
        <v>234.6060941828255</v>
      </c>
      <c r="J209" s="290">
        <f t="shared" si="139"/>
        <v>195.10734732824426</v>
      </c>
      <c r="K209" s="290">
        <f t="shared" si="139"/>
        <v>206.76162790697674</v>
      </c>
      <c r="L209" s="290">
        <f t="shared" si="139"/>
        <v>257.87402229988351</v>
      </c>
      <c r="M209" s="290">
        <f t="shared" si="139"/>
        <v>216.59043997827268</v>
      </c>
      <c r="N209" s="290">
        <f t="shared" si="139"/>
        <v>218.28943937418512</v>
      </c>
      <c r="O209" s="290">
        <f t="shared" si="139"/>
        <v>239.63314778236668</v>
      </c>
      <c r="P209" s="290">
        <f t="shared" si="139"/>
        <v>169.90558129274211</v>
      </c>
      <c r="Q209" s="290">
        <f t="shared" si="139"/>
        <v>240.63919259882252</v>
      </c>
      <c r="R209" s="290">
        <f t="shared" si="139"/>
        <v>257.00738125802309</v>
      </c>
      <c r="S209" s="290">
        <f t="shared" si="139"/>
        <v>261.54050420168068</v>
      </c>
      <c r="T209" s="290">
        <f t="shared" si="139"/>
        <v>306.35941942241504</v>
      </c>
      <c r="U209" s="290">
        <f t="shared" si="139"/>
        <v>234.86677577741406</v>
      </c>
      <c r="V209" s="290">
        <f t="shared" si="139"/>
        <v>324.45842696629217</v>
      </c>
      <c r="W209" s="290">
        <f t="shared" si="139"/>
        <v>299.88</v>
      </c>
      <c r="X209" s="290">
        <f t="shared" si="139"/>
        <v>279.71999999999997</v>
      </c>
      <c r="Y209" s="290">
        <f t="shared" si="139"/>
        <v>324.75498007883948</v>
      </c>
      <c r="Z209" s="290">
        <f t="shared" si="137"/>
        <v>374.25523603780533</v>
      </c>
      <c r="AA209" s="290">
        <f t="shared" si="137"/>
        <v>327.18</v>
      </c>
      <c r="AB209" s="290">
        <f t="shared" si="137"/>
        <v>364.56</v>
      </c>
      <c r="AC209" s="290">
        <f t="shared" si="137"/>
        <v>330.96</v>
      </c>
      <c r="AD209" s="290">
        <f t="shared" si="137"/>
        <v>364.14</v>
      </c>
      <c r="AE209" s="290">
        <f t="shared" si="137"/>
        <v>362.66365020925662</v>
      </c>
      <c r="AF209" s="290">
        <f t="shared" si="137"/>
        <v>365.60826145218181</v>
      </c>
      <c r="AG209" s="252">
        <f t="shared" si="138"/>
        <v>337.5161695462441</v>
      </c>
      <c r="AH209" s="252">
        <f t="shared" si="138"/>
        <v>404.1001546743426</v>
      </c>
      <c r="AI209" s="252">
        <f t="shared" si="138"/>
        <v>398.43217049794993</v>
      </c>
      <c r="AJ209" s="252">
        <f t="shared" si="138"/>
        <v>399.27137093829685</v>
      </c>
      <c r="AK209" s="252">
        <f t="shared" si="138"/>
        <v>406.80234511280946</v>
      </c>
      <c r="AL209" s="252">
        <f t="shared" si="138"/>
        <v>414.12321501521353</v>
      </c>
      <c r="AM209" s="252">
        <f t="shared" si="138"/>
        <v>419.87534212937294</v>
      </c>
    </row>
    <row r="210" spans="1:39">
      <c r="A210" s="240" t="s">
        <v>231</v>
      </c>
      <c r="B210" s="290">
        <f t="shared" si="139"/>
        <v>220.66841959161792</v>
      </c>
      <c r="C210" s="290">
        <f t="shared" si="139"/>
        <v>251.06653864428253</v>
      </c>
      <c r="D210" s="290">
        <f t="shared" si="139"/>
        <v>282.13276384326377</v>
      </c>
      <c r="E210" s="290">
        <f t="shared" si="139"/>
        <v>288.79368855399338</v>
      </c>
      <c r="F210" s="290">
        <f t="shared" si="139"/>
        <v>317.40775495213944</v>
      </c>
      <c r="G210" s="290">
        <f t="shared" si="139"/>
        <v>311.42452687950669</v>
      </c>
      <c r="H210" s="290">
        <f t="shared" si="139"/>
        <v>243.48808545603947</v>
      </c>
      <c r="I210" s="290">
        <f t="shared" si="139"/>
        <v>225.05817174515238</v>
      </c>
      <c r="J210" s="290">
        <f t="shared" si="139"/>
        <v>195.10734732824426</v>
      </c>
      <c r="K210" s="290">
        <f t="shared" si="139"/>
        <v>180.42877906976744</v>
      </c>
      <c r="L210" s="290">
        <f t="shared" si="139"/>
        <v>242.32983857547012</v>
      </c>
      <c r="M210" s="290">
        <f t="shared" si="139"/>
        <v>216.59043997827268</v>
      </c>
      <c r="N210" s="290">
        <f t="shared" si="139"/>
        <v>213.7759359284783</v>
      </c>
      <c r="O210" s="290">
        <f t="shared" si="139"/>
        <v>229.17794936254265</v>
      </c>
      <c r="P210" s="290">
        <f t="shared" si="139"/>
        <v>166.97617471872934</v>
      </c>
      <c r="Q210" s="290">
        <f t="shared" si="139"/>
        <v>240.63919259882252</v>
      </c>
      <c r="R210" s="290">
        <f t="shared" si="139"/>
        <v>231.26444159178433</v>
      </c>
      <c r="S210" s="290">
        <f t="shared" si="139"/>
        <v>230.69647058823529</v>
      </c>
      <c r="T210" s="290">
        <f t="shared" si="139"/>
        <v>287.34400718240312</v>
      </c>
      <c r="U210" s="290">
        <f t="shared" si="139"/>
        <v>206.5644844517185</v>
      </c>
      <c r="V210" s="290">
        <f t="shared" si="139"/>
        <v>304.60224719101126</v>
      </c>
      <c r="W210" s="290">
        <f t="shared" si="139"/>
        <v>329.28</v>
      </c>
      <c r="X210" s="290">
        <f t="shared" si="139"/>
        <v>247.79999999999998</v>
      </c>
      <c r="Y210" s="290">
        <f t="shared" si="139"/>
        <v>309.19900527908436</v>
      </c>
      <c r="Z210" s="290">
        <f t="shared" si="137"/>
        <v>356.24645390125301</v>
      </c>
      <c r="AA210" s="290">
        <f t="shared" si="137"/>
        <v>324.65999999999997</v>
      </c>
      <c r="AB210" s="290">
        <f t="shared" si="137"/>
        <v>338.94</v>
      </c>
      <c r="AC210" s="290">
        <f t="shared" si="137"/>
        <v>288.95999999999998</v>
      </c>
      <c r="AD210" s="290">
        <f t="shared" si="137"/>
        <v>325.92</v>
      </c>
      <c r="AE210" s="290">
        <f t="shared" si="137"/>
        <v>339.55421796113444</v>
      </c>
      <c r="AF210" s="290">
        <f t="shared" si="137"/>
        <v>339.37375136247158</v>
      </c>
      <c r="AG210" s="252">
        <f t="shared" si="138"/>
        <v>319.54213352959607</v>
      </c>
      <c r="AH210" s="252">
        <f t="shared" si="138"/>
        <v>383.12455660576023</v>
      </c>
      <c r="AI210" s="252">
        <f t="shared" si="138"/>
        <v>380.84388722269296</v>
      </c>
      <c r="AJ210" s="252">
        <f t="shared" si="138"/>
        <v>381.71160745373305</v>
      </c>
      <c r="AK210" s="252">
        <f t="shared" si="138"/>
        <v>387.38567880076528</v>
      </c>
      <c r="AL210" s="252">
        <f t="shared" si="138"/>
        <v>392.81604508598366</v>
      </c>
      <c r="AM210" s="252">
        <f t="shared" si="138"/>
        <v>399.6996469498485</v>
      </c>
    </row>
    <row r="211" spans="1:39">
      <c r="A211" s="240" t="s">
        <v>232</v>
      </c>
      <c r="B211" s="290">
        <f t="shared" si="139"/>
        <v>211.77498202621265</v>
      </c>
      <c r="C211" s="290">
        <f t="shared" si="139"/>
        <v>229.60786012767721</v>
      </c>
      <c r="D211" s="290">
        <f t="shared" si="139"/>
        <v>260.75007016251112</v>
      </c>
      <c r="E211" s="290">
        <f t="shared" si="139"/>
        <v>296.99805470609544</v>
      </c>
      <c r="F211" s="290">
        <f t="shared" si="139"/>
        <v>277.30819872153108</v>
      </c>
      <c r="G211" s="290">
        <f t="shared" si="139"/>
        <v>279.14962136653958</v>
      </c>
      <c r="H211" s="290">
        <f t="shared" si="139"/>
        <v>250.14379622021363</v>
      </c>
      <c r="I211" s="290">
        <f t="shared" si="139"/>
        <v>205.96232686980611</v>
      </c>
      <c r="J211" s="290">
        <f t="shared" si="139"/>
        <v>153.80725190839695</v>
      </c>
      <c r="K211" s="290">
        <f t="shared" si="139"/>
        <v>172.13880813953489</v>
      </c>
      <c r="L211" s="290">
        <f t="shared" si="139"/>
        <v>210.44433349975037</v>
      </c>
      <c r="M211" s="290">
        <f t="shared" si="139"/>
        <v>187.07351077313055</v>
      </c>
      <c r="N211" s="290">
        <f t="shared" si="139"/>
        <v>187.92587073943005</v>
      </c>
      <c r="O211" s="290">
        <f t="shared" si="139"/>
        <v>200.73980966062129</v>
      </c>
      <c r="P211" s="290">
        <f t="shared" si="139"/>
        <v>159.02492830355175</v>
      </c>
      <c r="Q211" s="290">
        <f t="shared" si="139"/>
        <v>213.43650126156433</v>
      </c>
      <c r="R211" s="290">
        <f t="shared" si="139"/>
        <v>222.40211810012838</v>
      </c>
      <c r="S211" s="290">
        <f t="shared" si="139"/>
        <v>225.20369747899159</v>
      </c>
      <c r="T211" s="290">
        <f t="shared" si="139"/>
        <v>247.20035912015561</v>
      </c>
      <c r="U211" s="290">
        <f t="shared" si="139"/>
        <v>202.76268412438625</v>
      </c>
      <c r="V211" s="290">
        <f t="shared" si="139"/>
        <v>308.40449438202251</v>
      </c>
      <c r="W211" s="290">
        <f t="shared" si="139"/>
        <v>288.12</v>
      </c>
      <c r="X211" s="290">
        <f t="shared" si="139"/>
        <v>211.67999999999998</v>
      </c>
      <c r="Y211" s="290">
        <f t="shared" si="139"/>
        <v>289.41795090408704</v>
      </c>
      <c r="Z211" s="290">
        <f t="shared" si="137"/>
        <v>325.79524047035545</v>
      </c>
      <c r="AA211" s="290">
        <f t="shared" si="137"/>
        <v>318.36</v>
      </c>
      <c r="AB211" s="290">
        <f t="shared" si="137"/>
        <v>340.2</v>
      </c>
      <c r="AC211" s="290">
        <f t="shared" si="137"/>
        <v>244.01999999999998</v>
      </c>
      <c r="AD211" s="290">
        <f t="shared" si="137"/>
        <v>304.08</v>
      </c>
      <c r="AE211" s="290">
        <f t="shared" si="137"/>
        <v>317.22304741788412</v>
      </c>
      <c r="AF211" s="290">
        <f t="shared" si="137"/>
        <v>318.1419634534883</v>
      </c>
      <c r="AG211" s="252">
        <f t="shared" si="138"/>
        <v>315.2405657446804</v>
      </c>
      <c r="AH211" s="252">
        <f t="shared" si="138"/>
        <v>377.67050208528639</v>
      </c>
      <c r="AI211" s="252">
        <f t="shared" si="138"/>
        <v>372.94116996383065</v>
      </c>
      <c r="AJ211" s="252">
        <f t="shared" si="138"/>
        <v>374.77260131018744</v>
      </c>
      <c r="AK211" s="252">
        <f t="shared" si="138"/>
        <v>380.39353551291345</v>
      </c>
      <c r="AL211" s="252">
        <f t="shared" si="138"/>
        <v>386.06509019521133</v>
      </c>
      <c r="AM211" s="252">
        <f t="shared" si="138"/>
        <v>392.88422321831689</v>
      </c>
    </row>
    <row r="212" spans="1:39">
      <c r="A212" s="240" t="s">
        <v>233</v>
      </c>
      <c r="B212" s="290">
        <f t="shared" si="139"/>
        <v>217.33338050459093</v>
      </c>
      <c r="C212" s="290">
        <f t="shared" si="139"/>
        <v>273.06168412380299</v>
      </c>
      <c r="D212" s="290">
        <f t="shared" si="139"/>
        <v>261.34403387586531</v>
      </c>
      <c r="E212" s="290">
        <f t="shared" si="139"/>
        <v>336.37901223618547</v>
      </c>
      <c r="F212" s="290">
        <f t="shared" si="139"/>
        <v>293.68689070304714</v>
      </c>
      <c r="G212" s="290">
        <f t="shared" si="139"/>
        <v>246.30848944106435</v>
      </c>
      <c r="H212" s="290">
        <f t="shared" si="139"/>
        <v>249.03451109285129</v>
      </c>
      <c r="I212" s="290">
        <f t="shared" si="139"/>
        <v>212.32760849492149</v>
      </c>
      <c r="J212" s="290">
        <f t="shared" si="139"/>
        <v>131.49570610687022</v>
      </c>
      <c r="K212" s="290">
        <f t="shared" si="139"/>
        <v>156.04651162790697</v>
      </c>
      <c r="L212" s="290">
        <f t="shared" si="139"/>
        <v>213.63288400732236</v>
      </c>
      <c r="M212" s="290">
        <f t="shared" si="139"/>
        <v>194.65218178526163</v>
      </c>
      <c r="N212" s="290">
        <f t="shared" si="139"/>
        <v>186.69491525423729</v>
      </c>
      <c r="O212" s="290">
        <f t="shared" si="139"/>
        <v>213.28604776441011</v>
      </c>
      <c r="P212" s="290">
        <f t="shared" si="139"/>
        <v>159.02492830355175</v>
      </c>
      <c r="Q212" s="290">
        <f t="shared" si="139"/>
        <v>232.26913372582001</v>
      </c>
      <c r="R212" s="290">
        <f t="shared" si="139"/>
        <v>205.94351732991015</v>
      </c>
      <c r="S212" s="290">
        <f t="shared" si="139"/>
        <v>224.78117647058824</v>
      </c>
      <c r="T212" s="290">
        <f t="shared" si="139"/>
        <v>272.55424210683822</v>
      </c>
      <c r="U212" s="290">
        <f t="shared" si="139"/>
        <v>209.09901800327333</v>
      </c>
      <c r="V212" s="290">
        <f t="shared" si="139"/>
        <v>296.99775280898876</v>
      </c>
      <c r="W212" s="290">
        <f t="shared" si="139"/>
        <v>278.45999999999998</v>
      </c>
      <c r="X212" s="290">
        <f t="shared" si="139"/>
        <v>240.23999999999998</v>
      </c>
      <c r="Y212" s="290">
        <f t="shared" si="139"/>
        <v>291.72253976331001</v>
      </c>
      <c r="Z212" s="290">
        <f t="shared" si="137"/>
        <v>335.94564494732134</v>
      </c>
      <c r="AA212" s="290">
        <f t="shared" si="137"/>
        <v>320.45999999999998</v>
      </c>
      <c r="AB212" s="290">
        <f t="shared" si="137"/>
        <v>324.65999999999997</v>
      </c>
      <c r="AC212" s="290">
        <f t="shared" si="137"/>
        <v>319.2</v>
      </c>
      <c r="AD212" s="290">
        <f t="shared" si="137"/>
        <v>367.5</v>
      </c>
      <c r="AE212" s="290">
        <f t="shared" si="137"/>
        <v>354.75656258446031</v>
      </c>
      <c r="AF212" s="290">
        <f t="shared" si="137"/>
        <v>346.23277917139137</v>
      </c>
      <c r="AG212" s="252">
        <f t="shared" si="138"/>
        <v>291.55127638819761</v>
      </c>
      <c r="AH212" s="252">
        <f t="shared" si="138"/>
        <v>344.89050803962868</v>
      </c>
      <c r="AI212" s="252">
        <f t="shared" si="138"/>
        <v>340.06757664067334</v>
      </c>
      <c r="AJ212" s="252">
        <f t="shared" si="138"/>
        <v>344.53734006852432</v>
      </c>
      <c r="AK212" s="252">
        <f t="shared" si="138"/>
        <v>350.98889846564867</v>
      </c>
      <c r="AL212" s="252">
        <f t="shared" si="138"/>
        <v>354.89902801515939</v>
      </c>
      <c r="AM212" s="252">
        <f t="shared" si="138"/>
        <v>360.74122968773963</v>
      </c>
    </row>
    <row r="213" spans="1:39">
      <c r="A213" s="240" t="s">
        <v>234</v>
      </c>
      <c r="B213" s="290">
        <f t="shared" si="139"/>
        <v>195.09978659107779</v>
      </c>
      <c r="C213" s="290">
        <f t="shared" si="139"/>
        <v>244.62893508930091</v>
      </c>
      <c r="D213" s="290">
        <f t="shared" si="139"/>
        <v>265.501779869345</v>
      </c>
      <c r="E213" s="290">
        <f t="shared" si="139"/>
        <v>280.58932240189125</v>
      </c>
      <c r="F213" s="290">
        <f t="shared" si="139"/>
        <v>241.16211986577139</v>
      </c>
      <c r="G213" s="290">
        <f t="shared" si="139"/>
        <v>248.57339509109713</v>
      </c>
      <c r="H213" s="290">
        <f t="shared" si="139"/>
        <v>219.63845521774857</v>
      </c>
      <c r="I213" s="290">
        <f t="shared" si="139"/>
        <v>195.5050784856879</v>
      </c>
      <c r="J213" s="290">
        <f t="shared" si="139"/>
        <v>133.39456106870227</v>
      </c>
      <c r="K213" s="290">
        <f t="shared" si="139"/>
        <v>146.29360465116278</v>
      </c>
      <c r="L213" s="290">
        <f t="shared" si="139"/>
        <v>183.34165418538859</v>
      </c>
      <c r="M213" s="290">
        <f t="shared" si="139"/>
        <v>167.92739453195728</v>
      </c>
      <c r="N213" s="290">
        <f t="shared" si="139"/>
        <v>160.84485006518904</v>
      </c>
      <c r="O213" s="290">
        <f t="shared" si="139"/>
        <v>177.32016520021548</v>
      </c>
      <c r="P213" s="290">
        <f t="shared" si="139"/>
        <v>125.1275093756894</v>
      </c>
      <c r="Q213" s="290">
        <f t="shared" si="139"/>
        <v>223.89907485281748</v>
      </c>
      <c r="R213" s="290">
        <f t="shared" si="139"/>
        <v>187.37483953786906</v>
      </c>
      <c r="S213" s="290">
        <f t="shared" si="139"/>
        <v>211.68302521008403</v>
      </c>
      <c r="T213" s="290">
        <f t="shared" si="139"/>
        <v>221.84647613347298</v>
      </c>
      <c r="U213" s="290">
        <f t="shared" si="139"/>
        <v>206.98690671031096</v>
      </c>
      <c r="V213" s="290">
        <f t="shared" si="139"/>
        <v>253.0606741573034</v>
      </c>
      <c r="W213" s="290">
        <f t="shared" si="139"/>
        <v>275.94</v>
      </c>
      <c r="X213" s="290">
        <f t="shared" si="139"/>
        <v>216.29999999999998</v>
      </c>
      <c r="Y213" s="290">
        <f t="shared" si="139"/>
        <v>266.18001324025516</v>
      </c>
      <c r="Z213" s="290">
        <f t="shared" si="137"/>
        <v>304.07555777233176</v>
      </c>
      <c r="AA213" s="290">
        <f t="shared" si="137"/>
        <v>309.12</v>
      </c>
      <c r="AB213" s="290">
        <f t="shared" si="137"/>
        <v>307.02</v>
      </c>
      <c r="AC213" s="290">
        <f t="shared" si="137"/>
        <v>278.88</v>
      </c>
      <c r="AD213" s="290">
        <f t="shared" si="137"/>
        <v>361.62</v>
      </c>
      <c r="AE213" s="290">
        <f t="shared" si="137"/>
        <v>368.52008966127607</v>
      </c>
      <c r="AF213" s="290">
        <f t="shared" si="137"/>
        <v>324.00888380250274</v>
      </c>
      <c r="AG213" s="252">
        <f t="shared" si="138"/>
        <v>274.58631134566792</v>
      </c>
      <c r="AH213" s="252">
        <f t="shared" si="138"/>
        <v>321.84857035794096</v>
      </c>
      <c r="AI213" s="252">
        <f t="shared" si="138"/>
        <v>312.75938315258958</v>
      </c>
      <c r="AJ213" s="252">
        <f t="shared" si="138"/>
        <v>322.40984362634094</v>
      </c>
      <c r="AK213" s="252">
        <f t="shared" si="138"/>
        <v>327.48032731273094</v>
      </c>
      <c r="AL213" s="252">
        <f t="shared" si="138"/>
        <v>331.24343522296783</v>
      </c>
      <c r="AM213" s="252">
        <f t="shared" si="138"/>
        <v>336.3720465577714</v>
      </c>
    </row>
    <row r="214" spans="1:39">
      <c r="A214" s="240" t="s">
        <v>46</v>
      </c>
      <c r="B214" s="290">
        <f t="shared" si="139"/>
        <v>203.99322415648305</v>
      </c>
      <c r="C214" s="290">
        <f t="shared" si="139"/>
        <v>265.55114664299117</v>
      </c>
      <c r="D214" s="290">
        <f t="shared" si="139"/>
        <v>255.40439674232297</v>
      </c>
      <c r="E214" s="290">
        <f t="shared" si="139"/>
        <v>281.13628014536476</v>
      </c>
      <c r="F214" s="290">
        <f t="shared" si="139"/>
        <v>245.11559724062013</v>
      </c>
      <c r="G214" s="290">
        <f t="shared" si="139"/>
        <v>263.86150822881837</v>
      </c>
      <c r="H214" s="290">
        <f t="shared" si="139"/>
        <v>253.47165160230074</v>
      </c>
      <c r="I214" s="290">
        <f t="shared" si="139"/>
        <v>194.59575253924285</v>
      </c>
      <c r="J214" s="290">
        <f t="shared" si="139"/>
        <v>146.21183206106869</v>
      </c>
      <c r="K214" s="290">
        <f t="shared" si="139"/>
        <v>151.65770348837208</v>
      </c>
      <c r="L214" s="290">
        <f t="shared" si="139"/>
        <v>202.87152604426694</v>
      </c>
      <c r="M214" s="290">
        <f t="shared" si="139"/>
        <v>158.75321383306175</v>
      </c>
      <c r="N214" s="290">
        <f t="shared" si="139"/>
        <v>152.63848016390389</v>
      </c>
      <c r="O214" s="290">
        <f t="shared" si="139"/>
        <v>177.73837313700844</v>
      </c>
      <c r="P214" s="290">
        <f t="shared" si="139"/>
        <v>120.10566953452461</v>
      </c>
      <c r="Q214" s="290">
        <f t="shared" si="139"/>
        <v>209.25147182506308</v>
      </c>
      <c r="R214" s="290">
        <f t="shared" si="139"/>
        <v>161.20988446726574</v>
      </c>
      <c r="S214" s="290">
        <f t="shared" si="139"/>
        <v>186.75428571428571</v>
      </c>
      <c r="T214" s="290">
        <f t="shared" si="139"/>
        <v>185.92847523567261</v>
      </c>
      <c r="U214" s="290">
        <f t="shared" si="139"/>
        <v>197.2711947626841</v>
      </c>
      <c r="V214" s="290">
        <f t="shared" si="139"/>
        <v>274.18426966292134</v>
      </c>
      <c r="W214" s="290">
        <f t="shared" si="139"/>
        <v>254.51999999999998</v>
      </c>
      <c r="X214" s="290">
        <f t="shared" si="139"/>
        <v>213.35999999999999</v>
      </c>
      <c r="Y214" s="290">
        <f t="shared" si="139"/>
        <v>250.04789122569426</v>
      </c>
      <c r="Z214" s="290">
        <f t="shared" si="137"/>
        <v>291.41483820966465</v>
      </c>
      <c r="AA214" s="290">
        <f t="shared" si="137"/>
        <v>302.39999999999998</v>
      </c>
      <c r="AB214" s="290">
        <f t="shared" si="137"/>
        <v>274.68</v>
      </c>
      <c r="AC214" s="290">
        <f t="shared" si="137"/>
        <v>273.83999999999997</v>
      </c>
      <c r="AD214" s="290">
        <f t="shared" si="137"/>
        <v>344.82</v>
      </c>
      <c r="AE214" s="290">
        <f t="shared" si="137"/>
        <v>331.2767442876725</v>
      </c>
      <c r="AF214" s="290">
        <f t="shared" si="137"/>
        <v>308.7374741478003</v>
      </c>
      <c r="AG214" s="252">
        <f t="shared" si="138"/>
        <v>303.90182363852176</v>
      </c>
      <c r="AH214" s="252">
        <f t="shared" si="138"/>
        <v>361.70495723485999</v>
      </c>
      <c r="AI214" s="252">
        <f t="shared" si="138"/>
        <v>362.85486071275625</v>
      </c>
      <c r="AJ214" s="252">
        <f t="shared" si="138"/>
        <v>364.01912833990735</v>
      </c>
      <c r="AK214" s="252">
        <f t="shared" si="138"/>
        <v>366.68141067578802</v>
      </c>
      <c r="AL214" s="252">
        <f t="shared" si="138"/>
        <v>371.63343034143696</v>
      </c>
      <c r="AM214" s="252">
        <f t="shared" si="138"/>
        <v>379.53876604138816</v>
      </c>
    </row>
    <row r="215" spans="1:39">
      <c r="A215" s="240" t="s">
        <v>235</v>
      </c>
      <c r="B215" s="290">
        <f t="shared" si="139"/>
        <v>186.20634902567252</v>
      </c>
      <c r="C215" s="290">
        <f t="shared" si="139"/>
        <v>230.14432709059233</v>
      </c>
      <c r="D215" s="290">
        <f t="shared" si="139"/>
        <v>267.87763472276202</v>
      </c>
      <c r="E215" s="290">
        <f t="shared" si="139"/>
        <v>235.19182969359309</v>
      </c>
      <c r="F215" s="290">
        <f t="shared" si="139"/>
        <v>204.45125852789053</v>
      </c>
      <c r="G215" s="290">
        <f t="shared" si="139"/>
        <v>236.11641401591689</v>
      </c>
      <c r="H215" s="290">
        <f t="shared" si="139"/>
        <v>242.93344289235827</v>
      </c>
      <c r="I215" s="290">
        <f t="shared" si="139"/>
        <v>186.86648199445983</v>
      </c>
      <c r="J215" s="290">
        <f t="shared" si="139"/>
        <v>121.0520038167939</v>
      </c>
      <c r="K215" s="290">
        <f t="shared" si="139"/>
        <v>137.51598837209303</v>
      </c>
      <c r="L215" s="290">
        <f t="shared" si="139"/>
        <v>175.37027791645863</v>
      </c>
      <c r="M215" s="290">
        <f t="shared" si="139"/>
        <v>168.32627195364839</v>
      </c>
      <c r="N215" s="290">
        <f t="shared" si="139"/>
        <v>155.10039113428942</v>
      </c>
      <c r="O215" s="290">
        <f t="shared" si="139"/>
        <v>150.55485724546597</v>
      </c>
      <c r="P215" s="290">
        <f t="shared" si="139"/>
        <v>131.82329583057577</v>
      </c>
      <c r="Q215" s="290">
        <f t="shared" si="139"/>
        <v>192.51135407905801</v>
      </c>
      <c r="R215" s="290">
        <f t="shared" si="139"/>
        <v>165.43003851091143</v>
      </c>
      <c r="S215" s="290">
        <f t="shared" si="139"/>
        <v>167.74084033613445</v>
      </c>
      <c r="T215" s="290">
        <f t="shared" si="139"/>
        <v>186.77360466856203</v>
      </c>
      <c r="U215" s="290">
        <f t="shared" si="139"/>
        <v>188.82274959083469</v>
      </c>
      <c r="V215" s="290">
        <f t="shared" si="139"/>
        <v>266.15730337078651</v>
      </c>
      <c r="W215" s="290">
        <f t="shared" si="139"/>
        <v>257.45999999999998</v>
      </c>
      <c r="X215" s="290">
        <f t="shared" si="139"/>
        <v>204.54</v>
      </c>
      <c r="Y215" s="290">
        <f t="shared" si="139"/>
        <v>242.84605104062243</v>
      </c>
      <c r="Z215" s="290">
        <f t="shared" si="137"/>
        <v>285.84848736745761</v>
      </c>
      <c r="AA215" s="290">
        <f t="shared" si="137"/>
        <v>255.35999999999999</v>
      </c>
      <c r="AB215" s="290">
        <f t="shared" si="137"/>
        <v>259.56</v>
      </c>
      <c r="AC215" s="290">
        <f t="shared" si="137"/>
        <v>257.45999999999998</v>
      </c>
      <c r="AD215" s="290">
        <f t="shared" si="137"/>
        <v>354.9</v>
      </c>
      <c r="AE215" s="290">
        <f t="shared" si="137"/>
        <v>331.92974655506652</v>
      </c>
      <c r="AF215" s="290">
        <f t="shared" si="137"/>
        <v>293.36939814643659</v>
      </c>
      <c r="AG215" s="252">
        <f t="shared" si="138"/>
        <v>292.83527703941542</v>
      </c>
      <c r="AH215" s="252">
        <f t="shared" si="138"/>
        <v>346.43272219295369</v>
      </c>
      <c r="AI215" s="252">
        <f t="shared" si="138"/>
        <v>348.75610503478026</v>
      </c>
      <c r="AJ215" s="252">
        <f t="shared" si="138"/>
        <v>355.4798158375541</v>
      </c>
      <c r="AK215" s="252">
        <f t="shared" si="138"/>
        <v>356.31398587956301</v>
      </c>
      <c r="AL215" s="252">
        <f t="shared" si="138"/>
        <v>356.41495045344874</v>
      </c>
      <c r="AM215" s="252">
        <f t="shared" si="138"/>
        <v>366.7352547970371</v>
      </c>
    </row>
    <row r="216" spans="1:39">
      <c r="A216" s="240" t="s">
        <v>236</v>
      </c>
      <c r="B216" s="290">
        <f t="shared" si="139"/>
        <v>96.160293675944317</v>
      </c>
      <c r="C216" s="290">
        <f t="shared" si="139"/>
        <v>159.3306879857947</v>
      </c>
      <c r="D216" s="290">
        <f t="shared" si="139"/>
        <v>166.30983973918703</v>
      </c>
      <c r="E216" s="290">
        <f t="shared" si="139"/>
        <v>176.66735114193156</v>
      </c>
      <c r="F216" s="290">
        <f t="shared" si="139"/>
        <v>112.9564964242489</v>
      </c>
      <c r="G216" s="290">
        <f t="shared" si="139"/>
        <v>139.2916974770157</v>
      </c>
      <c r="H216" s="290">
        <f t="shared" si="139"/>
        <v>151.41741988496301</v>
      </c>
      <c r="I216" s="290">
        <f t="shared" si="139"/>
        <v>119.12169898430287</v>
      </c>
      <c r="J216" s="290">
        <f t="shared" si="139"/>
        <v>92.094465648854964</v>
      </c>
      <c r="K216" s="290">
        <f t="shared" si="139"/>
        <v>130.68895348837208</v>
      </c>
      <c r="L216" s="290">
        <f t="shared" si="139"/>
        <v>118.37493759360959</v>
      </c>
      <c r="M216" s="290">
        <f t="shared" si="139"/>
        <v>112.08455549520188</v>
      </c>
      <c r="N216" s="290">
        <f t="shared" si="139"/>
        <v>114.47886012292791</v>
      </c>
      <c r="O216" s="290">
        <f t="shared" si="139"/>
        <v>112.49793499730652</v>
      </c>
      <c r="P216" s="290">
        <f t="shared" si="139"/>
        <v>102.11074343701743</v>
      </c>
      <c r="Q216" s="290">
        <f t="shared" si="139"/>
        <v>129.7359125315391</v>
      </c>
      <c r="R216" s="290">
        <f t="shared" si="139"/>
        <v>150.23748395378692</v>
      </c>
      <c r="S216" s="290">
        <f t="shared" si="139"/>
        <v>125.06621848739495</v>
      </c>
      <c r="T216" s="290">
        <f t="shared" si="139"/>
        <v>159.72946281610055</v>
      </c>
      <c r="U216" s="290">
        <f t="shared" si="139"/>
        <v>187.97790507364974</v>
      </c>
      <c r="V216" s="290">
        <f t="shared" si="139"/>
        <v>159.27191011235956</v>
      </c>
      <c r="W216" s="290">
        <f t="shared" si="139"/>
        <v>169.26</v>
      </c>
      <c r="X216" s="290">
        <f t="shared" si="139"/>
        <v>148.26</v>
      </c>
      <c r="Y216" s="290">
        <f t="shared" si="139"/>
        <v>227.56248665642289</v>
      </c>
      <c r="Z216" s="290">
        <f t="shared" si="137"/>
        <v>286.44</v>
      </c>
      <c r="AA216" s="290">
        <f t="shared" si="137"/>
        <v>201.6</v>
      </c>
      <c r="AB216" s="290">
        <f t="shared" si="137"/>
        <v>229.73999999999998</v>
      </c>
      <c r="AC216" s="290">
        <f t="shared" si="137"/>
        <v>239.39999999999998</v>
      </c>
      <c r="AD216" s="290">
        <f t="shared" si="137"/>
        <v>330.96</v>
      </c>
      <c r="AE216" s="290">
        <f t="shared" si="137"/>
        <v>219.8522087975746</v>
      </c>
      <c r="AF216" s="290">
        <f t="shared" si="137"/>
        <v>305.44219094295011</v>
      </c>
      <c r="AG216" s="252">
        <f t="shared" si="138"/>
        <v>275.15096771205287</v>
      </c>
      <c r="AH216" s="252">
        <f t="shared" si="138"/>
        <v>323.89525225990559</v>
      </c>
      <c r="AI216" s="252">
        <f t="shared" si="138"/>
        <v>329.01326021499051</v>
      </c>
      <c r="AJ216" s="252">
        <f t="shared" si="138"/>
        <v>332.48605371974423</v>
      </c>
      <c r="AK216" s="252">
        <f t="shared" si="138"/>
        <v>332.4658989428961</v>
      </c>
      <c r="AL216" s="252">
        <f t="shared" si="138"/>
        <v>335.4192688971437</v>
      </c>
      <c r="AM216" s="252">
        <f t="shared" si="138"/>
        <v>343.69178702256522</v>
      </c>
    </row>
    <row r="217" spans="1:39">
      <c r="A217" s="240" t="s">
        <v>237</v>
      </c>
      <c r="B217" s="290">
        <f t="shared" ref="B217:R218" si="140">B$235*C80</f>
        <v>108.67621825669183</v>
      </c>
      <c r="C217" s="290">
        <f t="shared" si="140"/>
        <v>142.6234038998544</v>
      </c>
      <c r="D217" s="290">
        <f t="shared" si="140"/>
        <v>164.51595812487685</v>
      </c>
      <c r="E217" s="290">
        <f t="shared" si="140"/>
        <v>137.58814269723925</v>
      </c>
      <c r="F217" s="290">
        <f t="shared" si="140"/>
        <v>87.917731468396326</v>
      </c>
      <c r="G217" s="290">
        <f t="shared" si="140"/>
        <v>123.01953768217038</v>
      </c>
      <c r="H217" s="290">
        <f t="shared" si="140"/>
        <v>154.82886810952539</v>
      </c>
      <c r="I217" s="290">
        <f t="shared" si="140"/>
        <v>155.52157495223653</v>
      </c>
      <c r="J217" s="290">
        <f t="shared" si="140"/>
        <v>105.33933307467802</v>
      </c>
      <c r="K217" s="290">
        <f t="shared" si="140"/>
        <v>118.27121661721068</v>
      </c>
      <c r="L217" s="290">
        <f t="shared" si="140"/>
        <v>110.00499251123316</v>
      </c>
      <c r="M217" s="290">
        <f t="shared" si="140"/>
        <v>92.938439254028609</v>
      </c>
      <c r="N217" s="290">
        <f t="shared" si="140"/>
        <v>103.40026075619296</v>
      </c>
      <c r="O217" s="290">
        <f t="shared" si="140"/>
        <v>106.2248159454121</v>
      </c>
      <c r="P217" s="290">
        <f t="shared" si="140"/>
        <v>85.789763953231855</v>
      </c>
      <c r="Q217" s="290">
        <f t="shared" si="140"/>
        <v>149.40555088309503</v>
      </c>
      <c r="R217" s="290">
        <f t="shared" si="140"/>
        <v>116.05423620025674</v>
      </c>
      <c r="S217" s="290">
        <f>S$235*T80</f>
        <v>133.93915966386552</v>
      </c>
      <c r="T217" s="290">
        <f t="shared" ref="T217:AF218" si="141">T$235*U80</f>
        <v>150.43303905431691</v>
      </c>
      <c r="U217" s="290">
        <f t="shared" si="141"/>
        <v>164.74468085106383</v>
      </c>
      <c r="V217" s="290">
        <f t="shared" si="141"/>
        <v>125.05168539325844</v>
      </c>
      <c r="W217" s="290">
        <f t="shared" si="141"/>
        <v>127.67999999999999</v>
      </c>
      <c r="X217" s="290">
        <f t="shared" si="141"/>
        <v>141.12</v>
      </c>
      <c r="Y217" s="290">
        <f t="shared" si="141"/>
        <v>181.50669510961512</v>
      </c>
      <c r="Z217" s="290">
        <f t="shared" si="141"/>
        <v>205.79999999999998</v>
      </c>
      <c r="AA217" s="290">
        <f t="shared" si="141"/>
        <v>179.34</v>
      </c>
      <c r="AB217" s="290">
        <f t="shared" si="141"/>
        <v>166.32</v>
      </c>
      <c r="AC217" s="290">
        <f t="shared" si="141"/>
        <v>209.16</v>
      </c>
      <c r="AD217" s="290">
        <f t="shared" si="141"/>
        <v>287.27999999999997</v>
      </c>
      <c r="AE217" s="290">
        <f t="shared" si="141"/>
        <v>195.58811813134784</v>
      </c>
      <c r="AF217" s="290">
        <f t="shared" si="141"/>
        <v>188.8196053802682</v>
      </c>
      <c r="AG217" s="252">
        <f t="shared" si="138"/>
        <v>262.93292156844058</v>
      </c>
      <c r="AH217" s="252">
        <f t="shared" si="138"/>
        <v>316.26232655899588</v>
      </c>
      <c r="AI217" s="252">
        <f t="shared" si="138"/>
        <v>321.88458791466013</v>
      </c>
      <c r="AJ217" s="252">
        <f t="shared" si="138"/>
        <v>327.3459759284051</v>
      </c>
      <c r="AK217" s="252">
        <f t="shared" si="138"/>
        <v>323.62570739263208</v>
      </c>
      <c r="AL217" s="252">
        <f t="shared" si="138"/>
        <v>325.26920521583418</v>
      </c>
      <c r="AM217" s="252">
        <f t="shared" si="138"/>
        <v>334.85469673422529</v>
      </c>
    </row>
    <row r="218" spans="1:39">
      <c r="A218" s="240" t="s">
        <v>238</v>
      </c>
      <c r="B218" s="290">
        <f t="shared" si="140"/>
        <v>205.68962284681183</v>
      </c>
      <c r="C218" s="290">
        <f t="shared" si="140"/>
        <v>173.78481987797386</v>
      </c>
      <c r="D218" s="290">
        <f t="shared" si="140"/>
        <v>241.03500841551724</v>
      </c>
      <c r="E218" s="290">
        <f t="shared" si="140"/>
        <v>247.99838066415964</v>
      </c>
      <c r="F218" s="290">
        <f t="shared" si="140"/>
        <v>221.48505427615231</v>
      </c>
      <c r="G218" s="290">
        <f t="shared" si="140"/>
        <v>212.38278675318094</v>
      </c>
      <c r="H218" s="290">
        <f t="shared" si="140"/>
        <v>226.28834569853714</v>
      </c>
      <c r="I218" s="290">
        <f t="shared" si="140"/>
        <v>199.48360069861343</v>
      </c>
      <c r="J218" s="290">
        <f t="shared" si="140"/>
        <v>171.35845426433798</v>
      </c>
      <c r="K218" s="290">
        <f t="shared" si="140"/>
        <v>214.24213649851632</v>
      </c>
      <c r="L218" s="290">
        <f t="shared" si="140"/>
        <v>177.76169079713762</v>
      </c>
      <c r="M218" s="290">
        <f t="shared" si="140"/>
        <v>175.90494296577947</v>
      </c>
      <c r="N218" s="290">
        <f t="shared" si="140"/>
        <v>174.79567889737382</v>
      </c>
      <c r="O218" s="290">
        <f t="shared" si="140"/>
        <v>158.9190159813252</v>
      </c>
      <c r="P218" s="290">
        <f t="shared" si="140"/>
        <v>190.4114273108317</v>
      </c>
      <c r="Q218" s="290">
        <f t="shared" si="140"/>
        <v>229.33961312026912</v>
      </c>
      <c r="R218" s="290">
        <f t="shared" si="140"/>
        <v>199.19127086007703</v>
      </c>
      <c r="S218" s="290">
        <f>S$235*T81</f>
        <v>253.51260504201679</v>
      </c>
      <c r="T218" s="290">
        <f t="shared" si="141"/>
        <v>239.59419422415081</v>
      </c>
      <c r="U218" s="290">
        <f t="shared" si="141"/>
        <v>257.6775777414075</v>
      </c>
      <c r="V218" s="290">
        <f t="shared" si="141"/>
        <v>231.9370786516854</v>
      </c>
      <c r="W218" s="290">
        <f t="shared" si="141"/>
        <v>235.2</v>
      </c>
      <c r="X218" s="290">
        <f t="shared" si="141"/>
        <v>236.45999999999998</v>
      </c>
      <c r="Y218" s="290">
        <f t="shared" si="141"/>
        <v>314.98997118842408</v>
      </c>
      <c r="Z218" s="290">
        <f t="shared" si="141"/>
        <v>264.59999999999997</v>
      </c>
      <c r="AA218" s="290">
        <f t="shared" si="141"/>
        <v>299.45999999999998</v>
      </c>
      <c r="AB218" s="290">
        <f t="shared" si="141"/>
        <v>284.76</v>
      </c>
      <c r="AC218" s="290">
        <f t="shared" si="141"/>
        <v>265.44</v>
      </c>
      <c r="AD218" s="290">
        <f t="shared" si="141"/>
        <v>325.5</v>
      </c>
      <c r="AE218" s="290">
        <f t="shared" si="141"/>
        <v>296.71626295601601</v>
      </c>
      <c r="AF218" s="290">
        <f t="shared" si="141"/>
        <v>259.42829949641657</v>
      </c>
      <c r="AG218" s="252">
        <f t="shared" si="138"/>
        <v>259.49464861049859</v>
      </c>
      <c r="AH218" s="252">
        <f t="shared" si="138"/>
        <v>279.96724324131674</v>
      </c>
      <c r="AI218" s="252">
        <f t="shared" si="138"/>
        <v>290.68632494885156</v>
      </c>
      <c r="AJ218" s="252">
        <f t="shared" si="138"/>
        <v>292.98688881497532</v>
      </c>
      <c r="AK218" s="252">
        <f t="shared" si="138"/>
        <v>287.38346186774959</v>
      </c>
      <c r="AL218" s="252">
        <f t="shared" si="138"/>
        <v>305.34476567664575</v>
      </c>
      <c r="AM218" s="252">
        <f t="shared" si="138"/>
        <v>304.31900053579102</v>
      </c>
    </row>
    <row r="219" spans="1:39" ht="15.75" thickBot="1">
      <c r="A219" s="240" t="s">
        <v>242</v>
      </c>
      <c r="B219" s="146">
        <f>SUM(B207:B218)</f>
        <v>2446.0116575615757</v>
      </c>
      <c r="C219" s="146">
        <f t="shared" ref="C219:AM219" si="142">SUM(C207:C218)</f>
        <v>2813.6619361477756</v>
      </c>
      <c r="D219" s="146">
        <f t="shared" si="142"/>
        <v>3050.4713821068221</v>
      </c>
      <c r="E219" s="146">
        <f t="shared" si="142"/>
        <v>3228.1259161930348</v>
      </c>
      <c r="F219" s="146">
        <f t="shared" si="142"/>
        <v>2944.6778473222748</v>
      </c>
      <c r="G219" s="146">
        <f t="shared" si="142"/>
        <v>3043.6632554620423</v>
      </c>
      <c r="H219" s="146">
        <f t="shared" si="142"/>
        <v>2760.5338120003389</v>
      </c>
      <c r="I219" s="146">
        <f t="shared" si="142"/>
        <v>2438.7255819297052</v>
      </c>
      <c r="J219" s="146">
        <f t="shared" si="142"/>
        <v>1910.1877682550466</v>
      </c>
      <c r="K219" s="146">
        <f t="shared" si="142"/>
        <v>2067.5555042785177</v>
      </c>
      <c r="L219" s="146">
        <f t="shared" si="142"/>
        <v>2439.6397071060078</v>
      </c>
      <c r="M219" s="146">
        <f t="shared" si="142"/>
        <v>2182.6572514937534</v>
      </c>
      <c r="N219" s="146">
        <f t="shared" si="142"/>
        <v>2172.6364313652448</v>
      </c>
      <c r="O219" s="146">
        <f t="shared" si="142"/>
        <v>2274.2147602801224</v>
      </c>
      <c r="P219" s="146">
        <f t="shared" si="142"/>
        <v>1805.769909552173</v>
      </c>
      <c r="Q219" s="146">
        <f t="shared" si="142"/>
        <v>2567.5155592935239</v>
      </c>
      <c r="R219" s="146">
        <f t="shared" si="142"/>
        <v>2425.3225288831836</v>
      </c>
      <c r="S219" s="146">
        <f t="shared" si="142"/>
        <v>2578.2231932773111</v>
      </c>
      <c r="T219" s="146">
        <f t="shared" si="142"/>
        <v>2897.9488253778241</v>
      </c>
      <c r="U219" s="146">
        <f t="shared" si="142"/>
        <v>2581</v>
      </c>
      <c r="V219" s="146">
        <f t="shared" si="142"/>
        <v>3184.1707865168537</v>
      </c>
      <c r="W219" s="146">
        <f t="shared" si="142"/>
        <v>3199.98</v>
      </c>
      <c r="X219" s="146">
        <f t="shared" si="142"/>
        <v>2808.12</v>
      </c>
      <c r="Y219" s="146">
        <f t="shared" si="142"/>
        <v>3394.2175579329114</v>
      </c>
      <c r="Z219" s="253">
        <f t="shared" si="142"/>
        <v>3848.1293118398248</v>
      </c>
      <c r="AA219" s="253">
        <f t="shared" si="142"/>
        <v>3528.4200000000005</v>
      </c>
      <c r="AB219" s="253">
        <f t="shared" si="142"/>
        <v>3641.3999999999996</v>
      </c>
      <c r="AC219" s="253">
        <f t="shared" si="142"/>
        <v>3407.0400000000004</v>
      </c>
      <c r="AD219" s="253">
        <f t="shared" si="142"/>
        <v>4120.62</v>
      </c>
      <c r="AE219" s="253">
        <f t="shared" si="142"/>
        <v>3869.5243810873644</v>
      </c>
      <c r="AF219" s="253">
        <f t="shared" si="142"/>
        <v>3819.9435237893208</v>
      </c>
      <c r="AG219" s="253">
        <f t="shared" si="142"/>
        <v>3381.0000000000005</v>
      </c>
      <c r="AH219" s="253">
        <f t="shared" si="142"/>
        <v>3990.0000000000009</v>
      </c>
      <c r="AI219" s="253">
        <f t="shared" si="142"/>
        <v>3990.0000000000018</v>
      </c>
      <c r="AJ219" s="253">
        <f t="shared" si="142"/>
        <v>4032.0000000000009</v>
      </c>
      <c r="AK219" s="253">
        <f t="shared" si="142"/>
        <v>4074.0000000000009</v>
      </c>
      <c r="AL219" s="253">
        <f t="shared" si="142"/>
        <v>4116.0000000000018</v>
      </c>
      <c r="AM219" s="253">
        <f t="shared" si="142"/>
        <v>4200.0000000000018</v>
      </c>
    </row>
    <row r="220" spans="1:39">
      <c r="A220" s="248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  <c r="AF220" s="254"/>
      <c r="AG220" s="254"/>
      <c r="AH220" s="254"/>
      <c r="AI220" s="254"/>
      <c r="AJ220" s="254"/>
      <c r="AK220" s="254"/>
      <c r="AL220" s="254"/>
      <c r="AM220" s="254"/>
    </row>
    <row r="221" spans="1:39" ht="15.75" thickBot="1">
      <c r="A221" s="235" t="s">
        <v>263</v>
      </c>
    </row>
    <row r="222" spans="1:39" ht="15.75" thickBot="1">
      <c r="A222" s="236"/>
      <c r="B222" s="237" t="str">
        <f>B$2</f>
        <v xml:space="preserve">93/94 </v>
      </c>
      <c r="C222" s="237" t="str">
        <f t="shared" ref="C222:AM222" si="143">C$2</f>
        <v xml:space="preserve">94/95 </v>
      </c>
      <c r="D222" s="237" t="str">
        <f t="shared" si="143"/>
        <v xml:space="preserve">95/96 </v>
      </c>
      <c r="E222" s="237" t="str">
        <f t="shared" si="143"/>
        <v xml:space="preserve">96/97 </v>
      </c>
      <c r="F222" s="237" t="str">
        <f t="shared" si="143"/>
        <v xml:space="preserve">97/98 </v>
      </c>
      <c r="G222" s="237" t="str">
        <f t="shared" si="143"/>
        <v xml:space="preserve">98/99 </v>
      </c>
      <c r="H222" s="237" t="str">
        <f t="shared" si="143"/>
        <v xml:space="preserve">99/00 </v>
      </c>
      <c r="I222" s="237" t="str">
        <f t="shared" si="143"/>
        <v xml:space="preserve">00/01 </v>
      </c>
      <c r="J222" s="237" t="str">
        <f t="shared" si="143"/>
        <v xml:space="preserve">01/02 </v>
      </c>
      <c r="K222" s="237" t="str">
        <f t="shared" si="143"/>
        <v xml:space="preserve">02/03 </v>
      </c>
      <c r="L222" s="237" t="str">
        <f t="shared" si="143"/>
        <v xml:space="preserve">03/04 </v>
      </c>
      <c r="M222" s="237" t="str">
        <f t="shared" si="143"/>
        <v xml:space="preserve">04/05 </v>
      </c>
      <c r="N222" s="237" t="str">
        <f t="shared" si="143"/>
        <v xml:space="preserve">05/06 </v>
      </c>
      <c r="O222" s="237" t="str">
        <f t="shared" si="143"/>
        <v xml:space="preserve">06/07 </v>
      </c>
      <c r="P222" s="237" t="str">
        <f t="shared" si="143"/>
        <v xml:space="preserve">07/08 </v>
      </c>
      <c r="Q222" s="237" t="str">
        <f t="shared" si="143"/>
        <v xml:space="preserve">08/09 </v>
      </c>
      <c r="R222" s="237" t="str">
        <f t="shared" si="143"/>
        <v xml:space="preserve">09/10 </v>
      </c>
      <c r="S222" s="237" t="str">
        <f t="shared" si="143"/>
        <v xml:space="preserve">10/11 </v>
      </c>
      <c r="T222" s="237" t="str">
        <f t="shared" si="143"/>
        <v xml:space="preserve">11/12 </v>
      </c>
      <c r="U222" s="237" t="str">
        <f t="shared" si="143"/>
        <v xml:space="preserve">12/13 </v>
      </c>
      <c r="V222" s="237" t="str">
        <f t="shared" si="143"/>
        <v xml:space="preserve">13/14 </v>
      </c>
      <c r="W222" s="237" t="str">
        <f t="shared" si="143"/>
        <v xml:space="preserve">14/15 </v>
      </c>
      <c r="X222" s="237" t="str">
        <f t="shared" si="143"/>
        <v xml:space="preserve">15/16 </v>
      </c>
      <c r="Y222" s="237" t="str">
        <f t="shared" si="143"/>
        <v xml:space="preserve">16/17 </v>
      </c>
      <c r="Z222" s="237" t="str">
        <f t="shared" si="143"/>
        <v xml:space="preserve">17/18 </v>
      </c>
      <c r="AA222" s="237" t="str">
        <f t="shared" si="143"/>
        <v xml:space="preserve">18/19 </v>
      </c>
      <c r="AB222" s="237" t="str">
        <f t="shared" si="143"/>
        <v xml:space="preserve">19/20 </v>
      </c>
      <c r="AC222" s="237" t="str">
        <f t="shared" si="143"/>
        <v xml:space="preserve">20/21 </v>
      </c>
      <c r="AD222" s="237" t="str">
        <f t="shared" si="143"/>
        <v>21/22</v>
      </c>
      <c r="AE222" s="237" t="str">
        <f t="shared" si="143"/>
        <v>22/23</v>
      </c>
      <c r="AF222" s="237" t="str">
        <f t="shared" si="143"/>
        <v>23/24</v>
      </c>
      <c r="AG222" s="237" t="str">
        <f t="shared" si="143"/>
        <v>24/25</v>
      </c>
      <c r="AH222" s="237" t="str">
        <f t="shared" si="143"/>
        <v>25/26</v>
      </c>
      <c r="AI222" s="237" t="str">
        <f t="shared" si="143"/>
        <v>26/27</v>
      </c>
      <c r="AJ222" s="237" t="str">
        <f t="shared" si="143"/>
        <v>27/28</v>
      </c>
      <c r="AK222" s="237" t="str">
        <f t="shared" si="143"/>
        <v>28/29</v>
      </c>
      <c r="AL222" s="237" t="str">
        <f t="shared" si="143"/>
        <v>29/30</v>
      </c>
      <c r="AM222" s="237" t="str">
        <f t="shared" si="143"/>
        <v>30/31</v>
      </c>
    </row>
    <row r="223" spans="1:39">
      <c r="A223" s="240" t="s">
        <v>239</v>
      </c>
      <c r="B223" s="259">
        <f t="shared" ref="B223:R232" si="144">B207/B82</f>
        <v>0.41363532372454809</v>
      </c>
      <c r="C223" s="259">
        <f t="shared" si="144"/>
        <v>0.41858141858141856</v>
      </c>
      <c r="D223" s="259">
        <f t="shared" si="144"/>
        <v>0.41488336225178329</v>
      </c>
      <c r="E223" s="259">
        <f t="shared" si="144"/>
        <v>0.41518175338560226</v>
      </c>
      <c r="F223" s="259">
        <f t="shared" si="144"/>
        <v>0.41413767579570687</v>
      </c>
      <c r="G223" s="259">
        <f t="shared" si="144"/>
        <v>0.41608589188171025</v>
      </c>
      <c r="H223" s="259">
        <f t="shared" si="144"/>
        <v>0.39770216526734425</v>
      </c>
      <c r="I223" s="259">
        <f t="shared" si="144"/>
        <v>0.39474106140772808</v>
      </c>
      <c r="J223" s="259">
        <f t="shared" si="144"/>
        <v>0.39641434262948205</v>
      </c>
      <c r="K223" s="259">
        <f t="shared" si="144"/>
        <v>0.39821958456973294</v>
      </c>
      <c r="L223" s="259">
        <f t="shared" si="144"/>
        <v>0.39856881344649697</v>
      </c>
      <c r="M223" s="259">
        <f t="shared" si="144"/>
        <v>0.3988774216911099</v>
      </c>
      <c r="N223" s="259">
        <f t="shared" si="144"/>
        <v>0.41031849506425777</v>
      </c>
      <c r="O223" s="259">
        <f t="shared" si="144"/>
        <v>0.41820793679296109</v>
      </c>
      <c r="P223" s="259">
        <f t="shared" si="144"/>
        <v>0.41848665343039931</v>
      </c>
      <c r="Q223" s="259">
        <f t="shared" si="144"/>
        <v>0.41850294365012614</v>
      </c>
      <c r="R223" s="259">
        <f t="shared" si="144"/>
        <v>0.42201540436456997</v>
      </c>
      <c r="S223" s="259">
        <f>S207/S82</f>
        <v>0.42252100840336126</v>
      </c>
      <c r="T223" s="259">
        <f t="shared" ref="S223:AD232" si="145">T207/T82</f>
        <v>0.42256471644471039</v>
      </c>
      <c r="U223" s="259">
        <f t="shared" si="145"/>
        <v>0.42242225859247134</v>
      </c>
      <c r="V223" s="259">
        <f t="shared" si="145"/>
        <v>0.42247191011235957</v>
      </c>
      <c r="W223" s="259">
        <f t="shared" si="145"/>
        <v>0.42000000000000004</v>
      </c>
      <c r="X223" s="259">
        <f t="shared" si="145"/>
        <v>0.41999999999999993</v>
      </c>
      <c r="Y223" s="259">
        <f t="shared" si="145"/>
        <v>0.42</v>
      </c>
      <c r="Z223" s="259">
        <f t="shared" si="145"/>
        <v>0.42</v>
      </c>
      <c r="AA223" s="259">
        <f t="shared" si="145"/>
        <v>0.42</v>
      </c>
      <c r="AB223" s="259">
        <f t="shared" si="145"/>
        <v>0.42</v>
      </c>
      <c r="AC223" s="259">
        <f t="shared" si="145"/>
        <v>0.42</v>
      </c>
      <c r="AD223" s="259">
        <f t="shared" si="145"/>
        <v>0.42</v>
      </c>
      <c r="AE223" s="259">
        <f t="shared" ref="AE223:AM234" si="146">AE207/AE80</f>
        <v>0.55620978518309605</v>
      </c>
      <c r="AF223" s="259">
        <f t="shared" si="146"/>
        <v>0.85505078491892506</v>
      </c>
      <c r="AG223" s="259">
        <f t="shared" si="146"/>
        <v>0.42</v>
      </c>
      <c r="AH223" s="259">
        <f t="shared" si="146"/>
        <v>0.42000000000000004</v>
      </c>
      <c r="AI223" s="259">
        <f t="shared" si="146"/>
        <v>0.4200000000000001</v>
      </c>
      <c r="AJ223" s="259">
        <f t="shared" si="146"/>
        <v>0.4200000000000001</v>
      </c>
      <c r="AK223" s="259">
        <f t="shared" si="146"/>
        <v>0.4200000000000001</v>
      </c>
      <c r="AL223" s="259">
        <f t="shared" si="146"/>
        <v>0.4200000000000001</v>
      </c>
      <c r="AM223" s="259">
        <f t="shared" si="146"/>
        <v>0.42000000000000015</v>
      </c>
    </row>
    <row r="224" spans="1:39">
      <c r="A224" s="240" t="s">
        <v>240</v>
      </c>
      <c r="B224" s="259">
        <f t="shared" si="144"/>
        <v>0.41363532372454814</v>
      </c>
      <c r="C224" s="259">
        <f t="shared" si="144"/>
        <v>0.41858141858141862</v>
      </c>
      <c r="D224" s="259">
        <f t="shared" si="144"/>
        <v>0.41488336225178329</v>
      </c>
      <c r="E224" s="259">
        <f t="shared" si="144"/>
        <v>0.41518175338560226</v>
      </c>
      <c r="F224" s="259">
        <f t="shared" si="144"/>
        <v>0.41413767579570687</v>
      </c>
      <c r="G224" s="259">
        <f t="shared" si="144"/>
        <v>0.4160858918817103</v>
      </c>
      <c r="H224" s="259">
        <f t="shared" si="144"/>
        <v>0.39770216526734425</v>
      </c>
      <c r="I224" s="259">
        <f t="shared" si="144"/>
        <v>0.39474106140772808</v>
      </c>
      <c r="J224" s="259">
        <f t="shared" si="144"/>
        <v>0.39641434262948205</v>
      </c>
      <c r="K224" s="259">
        <f t="shared" si="144"/>
        <v>0.39821958456973294</v>
      </c>
      <c r="L224" s="259">
        <f t="shared" si="144"/>
        <v>0.39856881344649692</v>
      </c>
      <c r="M224" s="259">
        <f t="shared" si="144"/>
        <v>0.3988774216911099</v>
      </c>
      <c r="N224" s="259">
        <f t="shared" si="144"/>
        <v>0.41031849506425777</v>
      </c>
      <c r="O224" s="259">
        <f t="shared" si="144"/>
        <v>0.41820793679296103</v>
      </c>
      <c r="P224" s="259">
        <f t="shared" si="144"/>
        <v>0.41848665343039931</v>
      </c>
      <c r="Q224" s="259">
        <f t="shared" si="144"/>
        <v>0.41850294365012614</v>
      </c>
      <c r="R224" s="259">
        <f t="shared" si="144"/>
        <v>0.42201540436456997</v>
      </c>
      <c r="S224" s="259">
        <f t="shared" si="145"/>
        <v>0.42252100840336132</v>
      </c>
      <c r="T224" s="259">
        <f t="shared" si="145"/>
        <v>0.42256471644471044</v>
      </c>
      <c r="U224" s="259">
        <f t="shared" si="145"/>
        <v>0.42242225859247134</v>
      </c>
      <c r="V224" s="259">
        <f t="shared" si="145"/>
        <v>0.42247191011235957</v>
      </c>
      <c r="W224" s="259">
        <f t="shared" si="145"/>
        <v>0.42</v>
      </c>
      <c r="X224" s="259">
        <f t="shared" si="145"/>
        <v>0.41999999999999993</v>
      </c>
      <c r="Y224" s="259">
        <f t="shared" si="145"/>
        <v>0.42</v>
      </c>
      <c r="Z224" s="259">
        <f t="shared" si="145"/>
        <v>0.42</v>
      </c>
      <c r="AA224" s="259">
        <f t="shared" si="145"/>
        <v>0.42</v>
      </c>
      <c r="AB224" s="259">
        <f t="shared" si="145"/>
        <v>0.42</v>
      </c>
      <c r="AC224" s="259">
        <f t="shared" si="145"/>
        <v>0.42</v>
      </c>
      <c r="AD224" s="259">
        <f t="shared" si="145"/>
        <v>0.42</v>
      </c>
      <c r="AE224" s="259">
        <f t="shared" si="146"/>
        <v>0.47870482511024165</v>
      </c>
      <c r="AF224" s="259">
        <f t="shared" si="146"/>
        <v>0.52740692206751971</v>
      </c>
      <c r="AG224" s="259">
        <f t="shared" si="146"/>
        <v>0.42</v>
      </c>
      <c r="AH224" s="259">
        <f t="shared" si="146"/>
        <v>0.4200000000000001</v>
      </c>
      <c r="AI224" s="259">
        <f t="shared" si="146"/>
        <v>0.4200000000000001</v>
      </c>
      <c r="AJ224" s="259">
        <f t="shared" si="146"/>
        <v>0.4200000000000001</v>
      </c>
      <c r="AK224" s="259">
        <f t="shared" si="146"/>
        <v>0.4200000000000001</v>
      </c>
      <c r="AL224" s="259">
        <f t="shared" si="146"/>
        <v>0.42000000000000004</v>
      </c>
      <c r="AM224" s="259">
        <f t="shared" si="146"/>
        <v>0.4200000000000001</v>
      </c>
    </row>
    <row r="225" spans="1:39">
      <c r="A225" s="240" t="s">
        <v>241</v>
      </c>
      <c r="B225" s="259">
        <f t="shared" si="144"/>
        <v>0.41363532372454814</v>
      </c>
      <c r="C225" s="259">
        <f t="shared" si="144"/>
        <v>0.41858141858141862</v>
      </c>
      <c r="D225" s="259">
        <f t="shared" si="144"/>
        <v>0.41488336225178324</v>
      </c>
      <c r="E225" s="259">
        <f t="shared" si="144"/>
        <v>0.41518175338560226</v>
      </c>
      <c r="F225" s="259">
        <f t="shared" si="144"/>
        <v>0.41413767579570687</v>
      </c>
      <c r="G225" s="259">
        <f t="shared" si="144"/>
        <v>0.4160858918817103</v>
      </c>
      <c r="H225" s="259">
        <f t="shared" si="144"/>
        <v>0.39770216526734425</v>
      </c>
      <c r="I225" s="259">
        <f t="shared" si="144"/>
        <v>0.39474106140772808</v>
      </c>
      <c r="J225" s="259">
        <f t="shared" si="144"/>
        <v>0.39641434262948205</v>
      </c>
      <c r="K225" s="259">
        <f t="shared" si="144"/>
        <v>0.39821958456973294</v>
      </c>
      <c r="L225" s="259">
        <f t="shared" si="144"/>
        <v>0.39856881344649692</v>
      </c>
      <c r="M225" s="259">
        <f t="shared" si="144"/>
        <v>0.3988774216911099</v>
      </c>
      <c r="N225" s="259">
        <f t="shared" si="144"/>
        <v>0.41031849506425777</v>
      </c>
      <c r="O225" s="259">
        <f t="shared" si="144"/>
        <v>0.41820793679296103</v>
      </c>
      <c r="P225" s="259">
        <f t="shared" si="144"/>
        <v>0.41848665343039931</v>
      </c>
      <c r="Q225" s="259">
        <f t="shared" si="144"/>
        <v>0.41850294365012614</v>
      </c>
      <c r="R225" s="259">
        <f t="shared" si="144"/>
        <v>0.42201540436456991</v>
      </c>
      <c r="S225" s="259">
        <f t="shared" si="145"/>
        <v>0.42252100840336138</v>
      </c>
      <c r="T225" s="259">
        <f t="shared" si="145"/>
        <v>0.42256471644471039</v>
      </c>
      <c r="U225" s="259">
        <f t="shared" si="145"/>
        <v>0.42242225859247134</v>
      </c>
      <c r="V225" s="259">
        <f t="shared" si="145"/>
        <v>0.42247191011235957</v>
      </c>
      <c r="W225" s="259">
        <f t="shared" si="145"/>
        <v>0.42</v>
      </c>
      <c r="X225" s="259">
        <f t="shared" si="145"/>
        <v>0.41999999999999993</v>
      </c>
      <c r="Y225" s="259">
        <f t="shared" si="145"/>
        <v>0.42</v>
      </c>
      <c r="Z225" s="259">
        <f t="shared" si="145"/>
        <v>0.42</v>
      </c>
      <c r="AA225" s="259">
        <f t="shared" si="145"/>
        <v>0.42</v>
      </c>
      <c r="AB225" s="259">
        <f t="shared" si="145"/>
        <v>0.42</v>
      </c>
      <c r="AC225" s="259">
        <f t="shared" si="145"/>
        <v>0.42</v>
      </c>
      <c r="AD225" s="259">
        <f t="shared" si="145"/>
        <v>0.42</v>
      </c>
      <c r="AE225" s="259">
        <f t="shared" si="146"/>
        <v>0.40036729342245586</v>
      </c>
      <c r="AF225" s="259">
        <f t="shared" si="146"/>
        <v>0.38563833878544557</v>
      </c>
      <c r="AG225" s="259">
        <f t="shared" si="146"/>
        <v>0.42</v>
      </c>
      <c r="AH225" s="259">
        <f t="shared" si="146"/>
        <v>0.42000000000000004</v>
      </c>
      <c r="AI225" s="259">
        <f t="shared" si="146"/>
        <v>0.4200000000000001</v>
      </c>
      <c r="AJ225" s="259">
        <f t="shared" si="146"/>
        <v>0.4200000000000001</v>
      </c>
      <c r="AK225" s="259">
        <f t="shared" si="146"/>
        <v>0.4200000000000001</v>
      </c>
      <c r="AL225" s="259">
        <f t="shared" si="146"/>
        <v>0.4200000000000001</v>
      </c>
      <c r="AM225" s="259">
        <f t="shared" si="146"/>
        <v>0.42000000000000015</v>
      </c>
    </row>
    <row r="226" spans="1:39">
      <c r="A226" s="240" t="s">
        <v>231</v>
      </c>
      <c r="B226" s="259">
        <f t="shared" si="144"/>
        <v>0.41363532372454814</v>
      </c>
      <c r="C226" s="259">
        <f t="shared" si="144"/>
        <v>0.41858141858141856</v>
      </c>
      <c r="D226" s="259">
        <f t="shared" si="144"/>
        <v>0.41488336225178329</v>
      </c>
      <c r="E226" s="259">
        <f t="shared" si="144"/>
        <v>0.41518175338560226</v>
      </c>
      <c r="F226" s="259">
        <f t="shared" si="144"/>
        <v>0.41413767579570687</v>
      </c>
      <c r="G226" s="259">
        <f t="shared" si="144"/>
        <v>0.41608589188171036</v>
      </c>
      <c r="H226" s="259">
        <f t="shared" si="144"/>
        <v>0.39770216526734425</v>
      </c>
      <c r="I226" s="259">
        <f t="shared" si="144"/>
        <v>0.39474106140772808</v>
      </c>
      <c r="J226" s="259">
        <f t="shared" si="144"/>
        <v>0.39641434262948205</v>
      </c>
      <c r="K226" s="259">
        <f t="shared" si="144"/>
        <v>0.39821958456973294</v>
      </c>
      <c r="L226" s="259">
        <f t="shared" si="144"/>
        <v>0.39856881344649692</v>
      </c>
      <c r="M226" s="259">
        <f t="shared" si="144"/>
        <v>0.3988774216911099</v>
      </c>
      <c r="N226" s="259">
        <f t="shared" si="144"/>
        <v>0.41031849506425777</v>
      </c>
      <c r="O226" s="259">
        <f t="shared" si="144"/>
        <v>0.41820793679296103</v>
      </c>
      <c r="P226" s="259">
        <f t="shared" si="144"/>
        <v>0.41848665343039937</v>
      </c>
      <c r="Q226" s="259">
        <f t="shared" si="144"/>
        <v>0.41850294365012614</v>
      </c>
      <c r="R226" s="259">
        <f t="shared" si="144"/>
        <v>0.42201540436456997</v>
      </c>
      <c r="S226" s="259">
        <f t="shared" si="145"/>
        <v>0.42252100840336132</v>
      </c>
      <c r="T226" s="259">
        <f t="shared" si="145"/>
        <v>0.42256471644471044</v>
      </c>
      <c r="U226" s="259">
        <f t="shared" si="145"/>
        <v>0.42242225859247134</v>
      </c>
      <c r="V226" s="259">
        <f t="shared" si="145"/>
        <v>0.42247191011235957</v>
      </c>
      <c r="W226" s="259">
        <f t="shared" si="145"/>
        <v>0.42</v>
      </c>
      <c r="X226" s="259">
        <f t="shared" si="145"/>
        <v>0.42</v>
      </c>
      <c r="Y226" s="259">
        <f t="shared" si="145"/>
        <v>0.42</v>
      </c>
      <c r="Z226" s="259">
        <f t="shared" si="145"/>
        <v>0.42</v>
      </c>
      <c r="AA226" s="259">
        <f t="shared" si="145"/>
        <v>0.42</v>
      </c>
      <c r="AB226" s="259">
        <f t="shared" si="145"/>
        <v>0.42</v>
      </c>
      <c r="AC226" s="259">
        <f t="shared" si="145"/>
        <v>0.42</v>
      </c>
      <c r="AD226" s="259">
        <f t="shared" si="145"/>
        <v>0.42000000000000004</v>
      </c>
      <c r="AE226" s="259">
        <f t="shared" si="146"/>
        <v>0.3844048978800621</v>
      </c>
      <c r="AF226" s="259">
        <f t="shared" si="146"/>
        <v>0.38255127504854181</v>
      </c>
      <c r="AG226" s="259">
        <f t="shared" si="146"/>
        <v>0.42</v>
      </c>
      <c r="AH226" s="259">
        <f t="shared" si="146"/>
        <v>0.42000000000000004</v>
      </c>
      <c r="AI226" s="259">
        <f t="shared" si="146"/>
        <v>0.4200000000000001</v>
      </c>
      <c r="AJ226" s="259">
        <f t="shared" si="146"/>
        <v>0.4200000000000001</v>
      </c>
      <c r="AK226" s="259">
        <f t="shared" si="146"/>
        <v>0.4200000000000001</v>
      </c>
      <c r="AL226" s="259">
        <f t="shared" si="146"/>
        <v>0.4200000000000001</v>
      </c>
      <c r="AM226" s="259">
        <f t="shared" si="146"/>
        <v>0.42000000000000015</v>
      </c>
    </row>
    <row r="227" spans="1:39">
      <c r="A227" s="240" t="s">
        <v>232</v>
      </c>
      <c r="B227" s="259">
        <f t="shared" si="144"/>
        <v>0.41363532372454814</v>
      </c>
      <c r="C227" s="259">
        <f t="shared" si="144"/>
        <v>0.41858141858141856</v>
      </c>
      <c r="D227" s="259">
        <f t="shared" si="144"/>
        <v>0.41488336225178329</v>
      </c>
      <c r="E227" s="259">
        <f t="shared" si="144"/>
        <v>0.41518175338560226</v>
      </c>
      <c r="F227" s="259">
        <f t="shared" si="144"/>
        <v>0.41413767579570693</v>
      </c>
      <c r="G227" s="259">
        <f t="shared" si="144"/>
        <v>0.41608589188171025</v>
      </c>
      <c r="H227" s="259">
        <f t="shared" si="144"/>
        <v>0.39770216526734425</v>
      </c>
      <c r="I227" s="259">
        <f t="shared" si="144"/>
        <v>0.39474106140772808</v>
      </c>
      <c r="J227" s="259">
        <f t="shared" si="144"/>
        <v>0.39641434262948205</v>
      </c>
      <c r="K227" s="259">
        <f t="shared" si="144"/>
        <v>0.39821958456973294</v>
      </c>
      <c r="L227" s="259">
        <f t="shared" si="144"/>
        <v>0.39856881344649692</v>
      </c>
      <c r="M227" s="259">
        <f t="shared" si="144"/>
        <v>0.3988774216911099</v>
      </c>
      <c r="N227" s="259">
        <f t="shared" si="144"/>
        <v>0.41031849506425777</v>
      </c>
      <c r="O227" s="259">
        <f t="shared" si="144"/>
        <v>0.41820793679296103</v>
      </c>
      <c r="P227" s="259">
        <f t="shared" si="144"/>
        <v>0.41848665343039931</v>
      </c>
      <c r="Q227" s="259">
        <f t="shared" si="144"/>
        <v>0.41850294365012614</v>
      </c>
      <c r="R227" s="259">
        <f t="shared" si="144"/>
        <v>0.42201540436456997</v>
      </c>
      <c r="S227" s="259">
        <f t="shared" si="145"/>
        <v>0.42252100840336132</v>
      </c>
      <c r="T227" s="259">
        <f t="shared" si="145"/>
        <v>0.42256471644471044</v>
      </c>
      <c r="U227" s="259">
        <f t="shared" si="145"/>
        <v>0.42242225859247134</v>
      </c>
      <c r="V227" s="259">
        <f t="shared" si="145"/>
        <v>0.42247191011235957</v>
      </c>
      <c r="W227" s="259">
        <f t="shared" si="145"/>
        <v>0.42</v>
      </c>
      <c r="X227" s="259">
        <f t="shared" si="145"/>
        <v>0.42</v>
      </c>
      <c r="Y227" s="259">
        <f t="shared" si="145"/>
        <v>0.42000000000000004</v>
      </c>
      <c r="Z227" s="259">
        <f t="shared" si="145"/>
        <v>0.42</v>
      </c>
      <c r="AA227" s="259">
        <f t="shared" si="145"/>
        <v>0.42000000000000004</v>
      </c>
      <c r="AB227" s="259">
        <f t="shared" si="145"/>
        <v>0.42</v>
      </c>
      <c r="AC227" s="259">
        <f t="shared" si="145"/>
        <v>0.42</v>
      </c>
      <c r="AD227" s="259">
        <f t="shared" si="145"/>
        <v>0.42</v>
      </c>
      <c r="AE227" s="259">
        <f t="shared" si="146"/>
        <v>0.36737533480026358</v>
      </c>
      <c r="AF227" s="259">
        <f t="shared" si="146"/>
        <v>0.36547211520804568</v>
      </c>
      <c r="AG227" s="259">
        <f t="shared" si="146"/>
        <v>0.42</v>
      </c>
      <c r="AH227" s="259">
        <f t="shared" si="146"/>
        <v>0.4200000000000001</v>
      </c>
      <c r="AI227" s="259">
        <f t="shared" si="146"/>
        <v>0.4200000000000001</v>
      </c>
      <c r="AJ227" s="259">
        <f t="shared" si="146"/>
        <v>0.4200000000000001</v>
      </c>
      <c r="AK227" s="259">
        <f t="shared" si="146"/>
        <v>0.4200000000000001</v>
      </c>
      <c r="AL227" s="259">
        <f t="shared" si="146"/>
        <v>0.4200000000000001</v>
      </c>
      <c r="AM227" s="259">
        <f t="shared" si="146"/>
        <v>0.42000000000000015</v>
      </c>
    </row>
    <row r="228" spans="1:39">
      <c r="A228" s="240" t="s">
        <v>233</v>
      </c>
      <c r="B228" s="259">
        <f t="shared" si="144"/>
        <v>0.41363532372454814</v>
      </c>
      <c r="C228" s="259">
        <f t="shared" si="144"/>
        <v>0.41858141858141851</v>
      </c>
      <c r="D228" s="259">
        <f t="shared" si="144"/>
        <v>0.41488336225178324</v>
      </c>
      <c r="E228" s="259">
        <f t="shared" si="144"/>
        <v>0.41518175338560226</v>
      </c>
      <c r="F228" s="259">
        <f t="shared" si="144"/>
        <v>0.41413767579570687</v>
      </c>
      <c r="G228" s="259">
        <f t="shared" si="144"/>
        <v>0.4160858918817103</v>
      </c>
      <c r="H228" s="259">
        <f t="shared" si="144"/>
        <v>0.39770216526734425</v>
      </c>
      <c r="I228" s="259">
        <f t="shared" si="144"/>
        <v>0.39474106140772808</v>
      </c>
      <c r="J228" s="259">
        <f t="shared" si="144"/>
        <v>0.39641434262948205</v>
      </c>
      <c r="K228" s="259">
        <f t="shared" si="144"/>
        <v>0.39821958456973294</v>
      </c>
      <c r="L228" s="259">
        <f t="shared" si="144"/>
        <v>0.39856881344649692</v>
      </c>
      <c r="M228" s="259">
        <f t="shared" si="144"/>
        <v>0.3988774216911099</v>
      </c>
      <c r="N228" s="259">
        <f t="shared" si="144"/>
        <v>0.41031849506425777</v>
      </c>
      <c r="O228" s="259">
        <f t="shared" si="144"/>
        <v>0.41820793679296103</v>
      </c>
      <c r="P228" s="259">
        <f t="shared" si="144"/>
        <v>0.41848665343039931</v>
      </c>
      <c r="Q228" s="259">
        <f t="shared" si="144"/>
        <v>0.41850294365012614</v>
      </c>
      <c r="R228" s="259">
        <f t="shared" si="144"/>
        <v>0.42201540436456997</v>
      </c>
      <c r="S228" s="259">
        <f t="shared" si="145"/>
        <v>0.42252100840336132</v>
      </c>
      <c r="T228" s="259">
        <f t="shared" si="145"/>
        <v>0.42256471644471039</v>
      </c>
      <c r="U228" s="259">
        <f t="shared" si="145"/>
        <v>0.42242225859247134</v>
      </c>
      <c r="V228" s="259">
        <f t="shared" si="145"/>
        <v>0.42247191011235957</v>
      </c>
      <c r="W228" s="259">
        <f t="shared" si="145"/>
        <v>0.42</v>
      </c>
      <c r="X228" s="259">
        <f t="shared" si="145"/>
        <v>0.42</v>
      </c>
      <c r="Y228" s="259">
        <f t="shared" si="145"/>
        <v>0.42</v>
      </c>
      <c r="Z228" s="259">
        <f t="shared" si="145"/>
        <v>0.42</v>
      </c>
      <c r="AA228" s="259">
        <f t="shared" si="145"/>
        <v>0.42</v>
      </c>
      <c r="AB228" s="259">
        <f t="shared" si="145"/>
        <v>0.42</v>
      </c>
      <c r="AC228" s="259">
        <f t="shared" si="145"/>
        <v>0.42</v>
      </c>
      <c r="AD228" s="259">
        <f t="shared" si="145"/>
        <v>0.42</v>
      </c>
      <c r="AE228" s="259">
        <f t="shared" si="146"/>
        <v>0.43880402128454105</v>
      </c>
      <c r="AF228" s="259">
        <f t="shared" si="146"/>
        <v>0.42848855183460977</v>
      </c>
      <c r="AG228" s="259">
        <f t="shared" si="146"/>
        <v>0.42</v>
      </c>
      <c r="AH228" s="259">
        <f t="shared" si="146"/>
        <v>0.42</v>
      </c>
      <c r="AI228" s="259">
        <f t="shared" si="146"/>
        <v>0.42000000000000015</v>
      </c>
      <c r="AJ228" s="259">
        <f t="shared" si="146"/>
        <v>0.42000000000000004</v>
      </c>
      <c r="AK228" s="259">
        <f t="shared" si="146"/>
        <v>0.4200000000000001</v>
      </c>
      <c r="AL228" s="259">
        <f t="shared" si="146"/>
        <v>0.4200000000000001</v>
      </c>
      <c r="AM228" s="259">
        <f t="shared" si="146"/>
        <v>0.42000000000000021</v>
      </c>
    </row>
    <row r="229" spans="1:39">
      <c r="A229" s="240" t="s">
        <v>234</v>
      </c>
      <c r="B229" s="259">
        <f t="shared" si="144"/>
        <v>0.41363532372454814</v>
      </c>
      <c r="C229" s="259">
        <f t="shared" si="144"/>
        <v>0.41858141858141856</v>
      </c>
      <c r="D229" s="259">
        <f t="shared" si="144"/>
        <v>0.41488336225178324</v>
      </c>
      <c r="E229" s="259">
        <f t="shared" si="144"/>
        <v>0.4151817533856022</v>
      </c>
      <c r="F229" s="259">
        <f t="shared" si="144"/>
        <v>0.41413767579570687</v>
      </c>
      <c r="G229" s="259">
        <f t="shared" si="144"/>
        <v>0.4160858918817103</v>
      </c>
      <c r="H229" s="259">
        <f t="shared" si="144"/>
        <v>0.39770216526734425</v>
      </c>
      <c r="I229" s="259">
        <f t="shared" si="144"/>
        <v>0.39474106140772808</v>
      </c>
      <c r="J229" s="259">
        <f t="shared" si="144"/>
        <v>0.396414342629482</v>
      </c>
      <c r="K229" s="259">
        <f t="shared" si="144"/>
        <v>0.39821958456973289</v>
      </c>
      <c r="L229" s="259">
        <f t="shared" si="144"/>
        <v>0.39856881344649692</v>
      </c>
      <c r="M229" s="259">
        <f t="shared" si="144"/>
        <v>0.3988774216911099</v>
      </c>
      <c r="N229" s="259">
        <f t="shared" si="144"/>
        <v>0.41031849506425777</v>
      </c>
      <c r="O229" s="259">
        <f t="shared" si="144"/>
        <v>0.41820793679296103</v>
      </c>
      <c r="P229" s="259">
        <f t="shared" si="144"/>
        <v>0.41848665343039931</v>
      </c>
      <c r="Q229" s="259">
        <f t="shared" si="144"/>
        <v>0.41850294365012614</v>
      </c>
      <c r="R229" s="259">
        <f t="shared" si="144"/>
        <v>0.42201540436456997</v>
      </c>
      <c r="S229" s="259">
        <f t="shared" si="145"/>
        <v>0.42252100840336132</v>
      </c>
      <c r="T229" s="259">
        <f t="shared" si="145"/>
        <v>0.42256471644471044</v>
      </c>
      <c r="U229" s="259">
        <f t="shared" si="145"/>
        <v>0.42242225859247134</v>
      </c>
      <c r="V229" s="259">
        <f t="shared" si="145"/>
        <v>0.42247191011235957</v>
      </c>
      <c r="W229" s="259">
        <f t="shared" si="145"/>
        <v>0.42</v>
      </c>
      <c r="X229" s="259">
        <f t="shared" si="145"/>
        <v>0.42</v>
      </c>
      <c r="Y229" s="259">
        <f t="shared" si="145"/>
        <v>0.42</v>
      </c>
      <c r="Z229" s="259">
        <f t="shared" si="145"/>
        <v>0.42</v>
      </c>
      <c r="AA229" s="259">
        <f t="shared" si="145"/>
        <v>0.42</v>
      </c>
      <c r="AB229" s="259">
        <f t="shared" si="145"/>
        <v>0.42</v>
      </c>
      <c r="AC229" s="259">
        <f t="shared" si="145"/>
        <v>0.42</v>
      </c>
      <c r="AD229" s="259">
        <f t="shared" si="145"/>
        <v>0.42</v>
      </c>
      <c r="AE229" s="259">
        <f t="shared" si="146"/>
        <v>0.48791674790843076</v>
      </c>
      <c r="AF229" s="259">
        <f t="shared" si="146"/>
        <v>0.42774530501992802</v>
      </c>
      <c r="AG229" s="259">
        <f t="shared" si="146"/>
        <v>0.42</v>
      </c>
      <c r="AH229" s="259">
        <f t="shared" si="146"/>
        <v>0.42000000000000004</v>
      </c>
      <c r="AI229" s="259">
        <f t="shared" si="146"/>
        <v>0.4200000000000001</v>
      </c>
      <c r="AJ229" s="259">
        <f t="shared" si="146"/>
        <v>0.4200000000000001</v>
      </c>
      <c r="AK229" s="259">
        <f t="shared" si="146"/>
        <v>0.42000000000000015</v>
      </c>
      <c r="AL229" s="259">
        <f t="shared" si="146"/>
        <v>0.4200000000000001</v>
      </c>
      <c r="AM229" s="259">
        <f t="shared" si="146"/>
        <v>0.42000000000000015</v>
      </c>
    </row>
    <row r="230" spans="1:39">
      <c r="A230" s="240" t="s">
        <v>46</v>
      </c>
      <c r="B230" s="259">
        <f t="shared" si="144"/>
        <v>0.41363532372454814</v>
      </c>
      <c r="C230" s="259">
        <f t="shared" si="144"/>
        <v>0.41858141858141856</v>
      </c>
      <c r="D230" s="259">
        <f t="shared" si="144"/>
        <v>0.41488336225178329</v>
      </c>
      <c r="E230" s="259">
        <f t="shared" si="144"/>
        <v>0.41518175338560226</v>
      </c>
      <c r="F230" s="259">
        <f t="shared" si="144"/>
        <v>0.41413767579570687</v>
      </c>
      <c r="G230" s="259">
        <f t="shared" si="144"/>
        <v>0.41608589188171025</v>
      </c>
      <c r="H230" s="259">
        <f t="shared" si="144"/>
        <v>0.39770216526734425</v>
      </c>
      <c r="I230" s="259">
        <f t="shared" si="144"/>
        <v>0.39474106140772808</v>
      </c>
      <c r="J230" s="259">
        <f t="shared" si="144"/>
        <v>0.39641434262948205</v>
      </c>
      <c r="K230" s="259">
        <f t="shared" si="144"/>
        <v>0.39821958456973289</v>
      </c>
      <c r="L230" s="259">
        <f t="shared" si="144"/>
        <v>0.39856881344649692</v>
      </c>
      <c r="M230" s="259">
        <f t="shared" si="144"/>
        <v>0.3988774216911099</v>
      </c>
      <c r="N230" s="259">
        <f t="shared" si="144"/>
        <v>0.41031849506425777</v>
      </c>
      <c r="O230" s="259">
        <f t="shared" si="144"/>
        <v>0.41820793679296103</v>
      </c>
      <c r="P230" s="259">
        <f t="shared" si="144"/>
        <v>0.41848665343039931</v>
      </c>
      <c r="Q230" s="259">
        <f t="shared" si="144"/>
        <v>0.41850294365012614</v>
      </c>
      <c r="R230" s="259">
        <f t="shared" si="144"/>
        <v>0.42201540436456997</v>
      </c>
      <c r="S230" s="259">
        <f t="shared" si="145"/>
        <v>0.42252100840336132</v>
      </c>
      <c r="T230" s="259">
        <f t="shared" si="145"/>
        <v>0.4225647164447105</v>
      </c>
      <c r="U230" s="259">
        <f t="shared" si="145"/>
        <v>0.42242225859247129</v>
      </c>
      <c r="V230" s="259">
        <f t="shared" si="145"/>
        <v>0.42247191011235952</v>
      </c>
      <c r="W230" s="259">
        <f t="shared" si="145"/>
        <v>0.42</v>
      </c>
      <c r="X230" s="259">
        <f t="shared" si="145"/>
        <v>0.42</v>
      </c>
      <c r="Y230" s="259">
        <f t="shared" si="145"/>
        <v>0.42</v>
      </c>
      <c r="Z230" s="259">
        <f t="shared" si="145"/>
        <v>0.41999999999999993</v>
      </c>
      <c r="AA230" s="259">
        <f t="shared" si="145"/>
        <v>0.42</v>
      </c>
      <c r="AB230" s="259">
        <f t="shared" si="145"/>
        <v>0.42</v>
      </c>
      <c r="AC230" s="259">
        <f t="shared" si="145"/>
        <v>0.42</v>
      </c>
      <c r="AD230" s="259">
        <f t="shared" si="145"/>
        <v>0.42</v>
      </c>
      <c r="AE230" s="259">
        <f t="shared" si="146"/>
        <v>0.39220199786352633</v>
      </c>
      <c r="AF230" s="259">
        <f t="shared" si="146"/>
        <v>0.37451606821400146</v>
      </c>
      <c r="AG230" s="259">
        <f t="shared" si="146"/>
        <v>0.42</v>
      </c>
      <c r="AH230" s="259">
        <f t="shared" si="146"/>
        <v>0.4200000000000001</v>
      </c>
      <c r="AI230" s="259">
        <f t="shared" si="146"/>
        <v>0.42000000000000004</v>
      </c>
      <c r="AJ230" s="259">
        <f t="shared" si="146"/>
        <v>0.4200000000000001</v>
      </c>
      <c r="AK230" s="259">
        <f t="shared" si="146"/>
        <v>0.4200000000000001</v>
      </c>
      <c r="AL230" s="259">
        <f t="shared" si="146"/>
        <v>0.42000000000000004</v>
      </c>
      <c r="AM230" s="259">
        <f t="shared" si="146"/>
        <v>0.42000000000000015</v>
      </c>
    </row>
    <row r="231" spans="1:39">
      <c r="A231" s="240" t="s">
        <v>235</v>
      </c>
      <c r="B231" s="259">
        <f t="shared" si="144"/>
        <v>0.41363532372454809</v>
      </c>
      <c r="C231" s="259">
        <f t="shared" si="144"/>
        <v>0.41858141858141856</v>
      </c>
      <c r="D231" s="259">
        <f t="shared" si="144"/>
        <v>0.41488336225178335</v>
      </c>
      <c r="E231" s="259">
        <f t="shared" si="144"/>
        <v>0.41518175338560226</v>
      </c>
      <c r="F231" s="259">
        <f t="shared" si="144"/>
        <v>0.41413767579570687</v>
      </c>
      <c r="G231" s="259">
        <f t="shared" si="144"/>
        <v>0.4160858918817103</v>
      </c>
      <c r="H231" s="259">
        <f t="shared" si="144"/>
        <v>0.39770216526734425</v>
      </c>
      <c r="I231" s="259">
        <f t="shared" si="144"/>
        <v>0.39474106140772808</v>
      </c>
      <c r="J231" s="259">
        <f t="shared" si="144"/>
        <v>0.39641434262948205</v>
      </c>
      <c r="K231" s="259">
        <f t="shared" si="144"/>
        <v>0.39821958456973294</v>
      </c>
      <c r="L231" s="259">
        <f t="shared" si="144"/>
        <v>0.39856881344649692</v>
      </c>
      <c r="M231" s="259">
        <f t="shared" si="144"/>
        <v>0.3988774216911099</v>
      </c>
      <c r="N231" s="259">
        <f t="shared" si="144"/>
        <v>0.41031849506425772</v>
      </c>
      <c r="O231" s="259">
        <f t="shared" si="144"/>
        <v>0.41820793679296103</v>
      </c>
      <c r="P231" s="259">
        <f t="shared" si="144"/>
        <v>0.41848665343039926</v>
      </c>
      <c r="Q231" s="259">
        <f t="shared" si="144"/>
        <v>0.41850294365012608</v>
      </c>
      <c r="R231" s="259">
        <f t="shared" si="144"/>
        <v>0.42201540436456997</v>
      </c>
      <c r="S231" s="259">
        <f t="shared" si="145"/>
        <v>0.42252100840336132</v>
      </c>
      <c r="T231" s="259">
        <f t="shared" si="145"/>
        <v>0.4225647164447105</v>
      </c>
      <c r="U231" s="259">
        <f t="shared" si="145"/>
        <v>0.42242225859247134</v>
      </c>
      <c r="V231" s="259">
        <f t="shared" si="145"/>
        <v>0.42247191011235952</v>
      </c>
      <c r="W231" s="259">
        <f t="shared" si="145"/>
        <v>0.42</v>
      </c>
      <c r="X231" s="259">
        <f t="shared" si="145"/>
        <v>0.42</v>
      </c>
      <c r="Y231" s="259">
        <f t="shared" si="145"/>
        <v>0.42</v>
      </c>
      <c r="Z231" s="259">
        <f t="shared" si="145"/>
        <v>0.42000000000000004</v>
      </c>
      <c r="AA231" s="259">
        <f t="shared" si="145"/>
        <v>0.42</v>
      </c>
      <c r="AB231" s="259">
        <f t="shared" si="145"/>
        <v>0.42</v>
      </c>
      <c r="AC231" s="259">
        <f t="shared" si="145"/>
        <v>0.42</v>
      </c>
      <c r="AD231" s="259">
        <f t="shared" si="145"/>
        <v>0.42</v>
      </c>
      <c r="AE231" s="259">
        <f t="shared" si="146"/>
        <v>0.37829821891465015</v>
      </c>
      <c r="AF231" s="259">
        <f t="shared" si="146"/>
        <v>0.38028323722323693</v>
      </c>
      <c r="AG231" s="259">
        <f t="shared" si="146"/>
        <v>0.42</v>
      </c>
      <c r="AH231" s="259">
        <f t="shared" si="146"/>
        <v>0.42000000000000004</v>
      </c>
      <c r="AI231" s="259">
        <f t="shared" si="146"/>
        <v>0.4200000000000001</v>
      </c>
      <c r="AJ231" s="259">
        <f t="shared" si="146"/>
        <v>0.4200000000000001</v>
      </c>
      <c r="AK231" s="259">
        <f t="shared" si="146"/>
        <v>0.4200000000000001</v>
      </c>
      <c r="AL231" s="259">
        <f t="shared" si="146"/>
        <v>0.4200000000000001</v>
      </c>
      <c r="AM231" s="259">
        <f t="shared" si="146"/>
        <v>0.42000000000000015</v>
      </c>
    </row>
    <row r="232" spans="1:39">
      <c r="A232" s="240" t="s">
        <v>236</v>
      </c>
      <c r="B232" s="259">
        <f t="shared" si="144"/>
        <v>0.41363532372454814</v>
      </c>
      <c r="C232" s="259">
        <f t="shared" si="144"/>
        <v>0.41858141858141856</v>
      </c>
      <c r="D232" s="259">
        <f t="shared" si="144"/>
        <v>0.41488336225178329</v>
      </c>
      <c r="E232" s="259">
        <f t="shared" si="144"/>
        <v>0.41518175338560226</v>
      </c>
      <c r="F232" s="259">
        <f t="shared" si="144"/>
        <v>0.41413767579570687</v>
      </c>
      <c r="G232" s="259">
        <f t="shared" si="144"/>
        <v>0.4160858918817103</v>
      </c>
      <c r="H232" s="259">
        <f t="shared" si="144"/>
        <v>0.3977021652673442</v>
      </c>
      <c r="I232" s="259">
        <f t="shared" si="144"/>
        <v>0.39474106140772808</v>
      </c>
      <c r="J232" s="259">
        <f t="shared" si="144"/>
        <v>0.39641434262948205</v>
      </c>
      <c r="K232" s="259">
        <f t="shared" si="144"/>
        <v>0.39821958456973289</v>
      </c>
      <c r="L232" s="259">
        <f t="shared" si="144"/>
        <v>0.39856881344649692</v>
      </c>
      <c r="M232" s="259">
        <f t="shared" si="144"/>
        <v>0.3988774216911099</v>
      </c>
      <c r="N232" s="259">
        <f t="shared" si="144"/>
        <v>0.41031849506425777</v>
      </c>
      <c r="O232" s="259">
        <f t="shared" si="144"/>
        <v>0.41820793679296103</v>
      </c>
      <c r="P232" s="259">
        <f t="shared" si="144"/>
        <v>0.41848665343039931</v>
      </c>
      <c r="Q232" s="259">
        <f t="shared" si="144"/>
        <v>0.41850294365012614</v>
      </c>
      <c r="R232" s="259">
        <f t="shared" si="144"/>
        <v>0.42201540436457002</v>
      </c>
      <c r="S232" s="259">
        <f t="shared" si="145"/>
        <v>0.42252100840336132</v>
      </c>
      <c r="T232" s="259">
        <f t="shared" si="145"/>
        <v>0.42256471644471044</v>
      </c>
      <c r="U232" s="259">
        <f t="shared" si="145"/>
        <v>0.42242225859247134</v>
      </c>
      <c r="V232" s="259">
        <f t="shared" si="145"/>
        <v>0.42247191011235957</v>
      </c>
      <c r="W232" s="259">
        <f t="shared" si="145"/>
        <v>0.42</v>
      </c>
      <c r="X232" s="259">
        <f t="shared" si="145"/>
        <v>0.42</v>
      </c>
      <c r="Y232" s="259">
        <f t="shared" si="145"/>
        <v>0.42</v>
      </c>
      <c r="Z232" s="259">
        <f t="shared" si="145"/>
        <v>0.42</v>
      </c>
      <c r="AA232" s="259">
        <f t="shared" si="145"/>
        <v>0.42</v>
      </c>
      <c r="AB232" s="259">
        <f t="shared" si="145"/>
        <v>0.42</v>
      </c>
      <c r="AC232" s="259">
        <f t="shared" si="145"/>
        <v>0.42</v>
      </c>
      <c r="AD232" s="259">
        <f t="shared" si="145"/>
        <v>0.42</v>
      </c>
      <c r="AE232" s="259">
        <f t="shared" si="146"/>
        <v>0.27873350389726531</v>
      </c>
      <c r="AF232" s="259">
        <f t="shared" si="146"/>
        <v>0.41551716567657565</v>
      </c>
      <c r="AG232" s="259">
        <f t="shared" si="146"/>
        <v>0.42000000000000004</v>
      </c>
      <c r="AH232" s="259">
        <f t="shared" si="146"/>
        <v>0.42000000000000004</v>
      </c>
      <c r="AI232" s="259">
        <f t="shared" si="146"/>
        <v>0.42000000000000015</v>
      </c>
      <c r="AJ232" s="259">
        <f t="shared" si="146"/>
        <v>0.4200000000000001</v>
      </c>
      <c r="AK232" s="259">
        <f t="shared" si="146"/>
        <v>0.4200000000000001</v>
      </c>
      <c r="AL232" s="259">
        <f t="shared" si="146"/>
        <v>0.4200000000000001</v>
      </c>
      <c r="AM232" s="259">
        <f t="shared" si="146"/>
        <v>0.42000000000000015</v>
      </c>
    </row>
    <row r="233" spans="1:39">
      <c r="A233" s="240" t="s">
        <v>237</v>
      </c>
      <c r="B233" s="259">
        <f t="shared" ref="B233:AC234" si="147">B217/C80</f>
        <v>0.41363532372454814</v>
      </c>
      <c r="C233" s="259">
        <f t="shared" si="147"/>
        <v>0.41858141858141856</v>
      </c>
      <c r="D233" s="259">
        <f t="shared" si="147"/>
        <v>0.41488336225178324</v>
      </c>
      <c r="E233" s="259">
        <f t="shared" si="147"/>
        <v>0.41518175338560226</v>
      </c>
      <c r="F233" s="259">
        <f t="shared" si="147"/>
        <v>0.41413767579570687</v>
      </c>
      <c r="G233" s="259">
        <f t="shared" si="147"/>
        <v>0.4160858918817103</v>
      </c>
      <c r="H233" s="259">
        <f t="shared" si="147"/>
        <v>0.39770216526734425</v>
      </c>
      <c r="I233" s="259">
        <f t="shared" si="147"/>
        <v>0.39474106140772808</v>
      </c>
      <c r="J233" s="259">
        <f t="shared" si="147"/>
        <v>0.39641434262948205</v>
      </c>
      <c r="K233" s="259">
        <f t="shared" si="147"/>
        <v>0.39821958456973294</v>
      </c>
      <c r="L233" s="259">
        <f t="shared" si="147"/>
        <v>0.39856881344649692</v>
      </c>
      <c r="M233" s="259">
        <f t="shared" si="147"/>
        <v>0.3988774216911099</v>
      </c>
      <c r="N233" s="259">
        <f t="shared" si="147"/>
        <v>0.41031849506425777</v>
      </c>
      <c r="O233" s="259">
        <f t="shared" si="147"/>
        <v>0.41820793679296103</v>
      </c>
      <c r="P233" s="259">
        <f t="shared" si="147"/>
        <v>0.41848665343039931</v>
      </c>
      <c r="Q233" s="259">
        <f t="shared" si="147"/>
        <v>0.41850294365012614</v>
      </c>
      <c r="R233" s="259">
        <f t="shared" si="147"/>
        <v>0.42201540436456997</v>
      </c>
      <c r="S233" s="259">
        <f t="shared" si="147"/>
        <v>0.42252100840336126</v>
      </c>
      <c r="T233" s="259">
        <f t="shared" si="147"/>
        <v>0.42256471644471039</v>
      </c>
      <c r="U233" s="259">
        <f t="shared" si="147"/>
        <v>0.42242225859247134</v>
      </c>
      <c r="V233" s="259">
        <f t="shared" si="147"/>
        <v>0.42247191011235957</v>
      </c>
      <c r="W233" s="259">
        <f t="shared" si="147"/>
        <v>0.42</v>
      </c>
      <c r="X233" s="259">
        <f t="shared" si="147"/>
        <v>0.42000000000000004</v>
      </c>
      <c r="Y233" s="259">
        <f t="shared" si="147"/>
        <v>0.42000000000000004</v>
      </c>
      <c r="Z233" s="259">
        <f t="shared" si="147"/>
        <v>0.42</v>
      </c>
      <c r="AA233" s="259">
        <f t="shared" si="147"/>
        <v>0.42</v>
      </c>
      <c r="AB233" s="259">
        <f t="shared" si="147"/>
        <v>0.42</v>
      </c>
      <c r="AC233" s="259">
        <f t="shared" si="147"/>
        <v>0.42</v>
      </c>
      <c r="AD233" s="259">
        <f t="shared" ref="AD233:AE234" si="148">AD217/AD90</f>
        <v>0.33997633136094674</v>
      </c>
      <c r="AE233" s="259">
        <f t="shared" si="148"/>
        <v>0.24748312095474714</v>
      </c>
      <c r="AF233" s="259">
        <f t="shared" si="146"/>
        <v>0.2703221084433885</v>
      </c>
      <c r="AG233" s="259">
        <f t="shared" si="146"/>
        <v>0.42000000000000004</v>
      </c>
      <c r="AH233" s="259">
        <f t="shared" si="146"/>
        <v>0.42000000000000004</v>
      </c>
      <c r="AI233" s="259">
        <f t="shared" si="146"/>
        <v>0.4200000000000001</v>
      </c>
      <c r="AJ233" s="259">
        <f t="shared" si="146"/>
        <v>0.4200000000000001</v>
      </c>
      <c r="AK233" s="259">
        <f t="shared" si="146"/>
        <v>0.4200000000000001</v>
      </c>
      <c r="AL233" s="259">
        <f t="shared" si="146"/>
        <v>0.4200000000000001</v>
      </c>
      <c r="AM233" s="259">
        <f t="shared" si="146"/>
        <v>0.42000000000000015</v>
      </c>
    </row>
    <row r="234" spans="1:39">
      <c r="A234" s="240" t="s">
        <v>238</v>
      </c>
      <c r="B234" s="259">
        <f t="shared" si="147"/>
        <v>0.41363532372454814</v>
      </c>
      <c r="C234" s="259">
        <f t="shared" si="147"/>
        <v>0.41858141858141856</v>
      </c>
      <c r="D234" s="259">
        <f t="shared" si="147"/>
        <v>0.41488336225178329</v>
      </c>
      <c r="E234" s="259">
        <f t="shared" si="147"/>
        <v>0.41518175338560226</v>
      </c>
      <c r="F234" s="259">
        <f t="shared" si="147"/>
        <v>0.41413767579570687</v>
      </c>
      <c r="G234" s="259">
        <f t="shared" si="147"/>
        <v>0.4160858918817103</v>
      </c>
      <c r="H234" s="259">
        <f t="shared" si="147"/>
        <v>0.39770216526734425</v>
      </c>
      <c r="I234" s="259">
        <f t="shared" si="147"/>
        <v>0.39474106140772808</v>
      </c>
      <c r="J234" s="259">
        <f t="shared" si="147"/>
        <v>0.39641434262948205</v>
      </c>
      <c r="K234" s="259">
        <f t="shared" si="147"/>
        <v>0.39821958456973294</v>
      </c>
      <c r="L234" s="259">
        <f t="shared" si="147"/>
        <v>0.39856881344649692</v>
      </c>
      <c r="M234" s="259">
        <f t="shared" si="147"/>
        <v>0.3988774216911099</v>
      </c>
      <c r="N234" s="259">
        <f t="shared" si="147"/>
        <v>0.41031849506425777</v>
      </c>
      <c r="O234" s="259">
        <f t="shared" si="147"/>
        <v>0.41820793679296103</v>
      </c>
      <c r="P234" s="259">
        <f t="shared" si="147"/>
        <v>0.41848665343039931</v>
      </c>
      <c r="Q234" s="259">
        <f t="shared" si="147"/>
        <v>0.41850294365012614</v>
      </c>
      <c r="R234" s="259">
        <f t="shared" si="147"/>
        <v>0.42201540436456997</v>
      </c>
      <c r="S234" s="259">
        <f t="shared" si="147"/>
        <v>0.42252100840336132</v>
      </c>
      <c r="T234" s="259">
        <f t="shared" si="147"/>
        <v>0.42256471644471044</v>
      </c>
      <c r="U234" s="259">
        <f t="shared" si="147"/>
        <v>0.42242225859247134</v>
      </c>
      <c r="V234" s="259">
        <f t="shared" si="147"/>
        <v>0.42247191011235957</v>
      </c>
      <c r="W234" s="259">
        <f t="shared" si="147"/>
        <v>0.42</v>
      </c>
      <c r="X234" s="259">
        <f t="shared" si="147"/>
        <v>0.42</v>
      </c>
      <c r="Y234" s="259">
        <f t="shared" si="147"/>
        <v>0.42</v>
      </c>
      <c r="Z234" s="259">
        <f t="shared" si="147"/>
        <v>0.41999999999999993</v>
      </c>
      <c r="AA234" s="259">
        <f t="shared" si="147"/>
        <v>0.42</v>
      </c>
      <c r="AB234" s="259">
        <f t="shared" si="147"/>
        <v>0.42</v>
      </c>
      <c r="AC234" s="259">
        <f t="shared" si="147"/>
        <v>0.42</v>
      </c>
      <c r="AD234" s="259">
        <f t="shared" si="148"/>
        <v>0.41307106598984772</v>
      </c>
      <c r="AE234" s="259">
        <f t="shared" si="148"/>
        <v>0.5668391103419359</v>
      </c>
      <c r="AF234" s="259">
        <f t="shared" si="146"/>
        <v>0.35672834015535948</v>
      </c>
      <c r="AG234" s="259">
        <f t="shared" si="146"/>
        <v>0.42000000000000004</v>
      </c>
      <c r="AH234" s="259">
        <f t="shared" si="146"/>
        <v>0.42000000000000004</v>
      </c>
      <c r="AI234" s="259">
        <f t="shared" si="146"/>
        <v>0.4200000000000001</v>
      </c>
      <c r="AJ234" s="259">
        <f t="shared" si="146"/>
        <v>0.4200000000000001</v>
      </c>
      <c r="AK234" s="259">
        <f t="shared" si="146"/>
        <v>0.4200000000000001</v>
      </c>
      <c r="AL234" s="259">
        <f t="shared" si="146"/>
        <v>0.42000000000000015</v>
      </c>
      <c r="AM234" s="259">
        <f t="shared" si="146"/>
        <v>0.42000000000000015</v>
      </c>
    </row>
    <row r="235" spans="1:39" ht="15.75" thickBot="1">
      <c r="A235" s="240" t="s">
        <v>255</v>
      </c>
      <c r="B235" s="258">
        <v>0.41363532372454814</v>
      </c>
      <c r="C235" s="258">
        <v>0.41858141858141856</v>
      </c>
      <c r="D235" s="258">
        <v>0.41488336225178329</v>
      </c>
      <c r="E235" s="258">
        <v>0.41518175338560226</v>
      </c>
      <c r="F235" s="258">
        <v>0.41413767579570687</v>
      </c>
      <c r="G235" s="258">
        <v>0.4160858918817103</v>
      </c>
      <c r="H235" s="258">
        <v>0.39770216526734425</v>
      </c>
      <c r="I235" s="258">
        <v>0.39474106140772808</v>
      </c>
      <c r="J235" s="258">
        <v>0.39641434262948205</v>
      </c>
      <c r="K235" s="258">
        <v>0.39821958456973294</v>
      </c>
      <c r="L235" s="258">
        <v>0.39856881344649692</v>
      </c>
      <c r="M235" s="258">
        <v>0.3988774216911099</v>
      </c>
      <c r="N235" s="258">
        <v>0.41031849506425777</v>
      </c>
      <c r="O235" s="258">
        <v>0.41820793679296103</v>
      </c>
      <c r="P235" s="258">
        <v>0.41848665343039931</v>
      </c>
      <c r="Q235" s="258">
        <v>0.41850294365012614</v>
      </c>
      <c r="R235" s="258">
        <v>0.42201540436456997</v>
      </c>
      <c r="S235" s="258">
        <v>0.42252100840336132</v>
      </c>
      <c r="T235" s="258">
        <v>0.42256471644471044</v>
      </c>
      <c r="U235" s="258">
        <v>0.42242225859247134</v>
      </c>
      <c r="V235" s="258">
        <v>0.42247191011235957</v>
      </c>
      <c r="W235" s="258">
        <v>0.42</v>
      </c>
      <c r="X235" s="258">
        <v>0.42</v>
      </c>
      <c r="Y235" s="258">
        <v>0.42</v>
      </c>
      <c r="Z235" s="258">
        <v>0.42</v>
      </c>
      <c r="AA235" s="258">
        <v>0.42</v>
      </c>
      <c r="AB235" s="258">
        <v>0.42</v>
      </c>
      <c r="AC235" s="258">
        <v>0.42</v>
      </c>
      <c r="AD235" s="258">
        <v>0.42</v>
      </c>
      <c r="AE235" s="258">
        <v>0.42</v>
      </c>
      <c r="AF235" s="258">
        <v>0.42</v>
      </c>
      <c r="AG235" s="258">
        <v>0.42</v>
      </c>
      <c r="AH235" s="259">
        <f t="shared" ref="AH235:AM235" si="149">FORECAST(AH45,X235:AG235,X45:AG45)</f>
        <v>0.42000000000000004</v>
      </c>
      <c r="AI235" s="259">
        <f t="shared" si="149"/>
        <v>0.4200000000000001</v>
      </c>
      <c r="AJ235" s="259">
        <f t="shared" si="149"/>
        <v>0.4200000000000001</v>
      </c>
      <c r="AK235" s="259">
        <f t="shared" si="149"/>
        <v>0.4200000000000001</v>
      </c>
      <c r="AL235" s="259">
        <f t="shared" si="149"/>
        <v>0.4200000000000001</v>
      </c>
      <c r="AM235" s="259">
        <f t="shared" si="149"/>
        <v>0.42000000000000015</v>
      </c>
    </row>
    <row r="236" spans="1:39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  <c r="AD236" s="248"/>
      <c r="AE236" s="248"/>
      <c r="AF236" s="248"/>
      <c r="AG236" s="248"/>
      <c r="AH236" s="248"/>
      <c r="AI236" s="248"/>
      <c r="AJ236" s="248"/>
      <c r="AK236" s="248"/>
      <c r="AL236" s="248"/>
      <c r="AM236" s="248"/>
    </row>
    <row r="237" spans="1:39" ht="15.75" thickBot="1">
      <c r="A237" s="235" t="s">
        <v>264</v>
      </c>
    </row>
    <row r="238" spans="1:39" ht="15.75" thickBot="1">
      <c r="A238" s="236"/>
      <c r="B238" s="237" t="str">
        <f>B$2</f>
        <v xml:space="preserve">93/94 </v>
      </c>
      <c r="C238" s="237" t="str">
        <f t="shared" ref="C238:AM238" si="150">C$2</f>
        <v xml:space="preserve">94/95 </v>
      </c>
      <c r="D238" s="237" t="str">
        <f t="shared" si="150"/>
        <v xml:space="preserve">95/96 </v>
      </c>
      <c r="E238" s="237" t="str">
        <f t="shared" si="150"/>
        <v xml:space="preserve">96/97 </v>
      </c>
      <c r="F238" s="237" t="str">
        <f t="shared" si="150"/>
        <v xml:space="preserve">97/98 </v>
      </c>
      <c r="G238" s="237" t="str">
        <f t="shared" si="150"/>
        <v xml:space="preserve">98/99 </v>
      </c>
      <c r="H238" s="237" t="str">
        <f t="shared" si="150"/>
        <v xml:space="preserve">99/00 </v>
      </c>
      <c r="I238" s="237" t="str">
        <f t="shared" si="150"/>
        <v xml:space="preserve">00/01 </v>
      </c>
      <c r="J238" s="237" t="str">
        <f t="shared" si="150"/>
        <v xml:space="preserve">01/02 </v>
      </c>
      <c r="K238" s="237" t="str">
        <f t="shared" si="150"/>
        <v xml:space="preserve">02/03 </v>
      </c>
      <c r="L238" s="237" t="str">
        <f t="shared" si="150"/>
        <v xml:space="preserve">03/04 </v>
      </c>
      <c r="M238" s="237" t="str">
        <f t="shared" si="150"/>
        <v xml:space="preserve">04/05 </v>
      </c>
      <c r="N238" s="237" t="str">
        <f t="shared" si="150"/>
        <v xml:space="preserve">05/06 </v>
      </c>
      <c r="O238" s="237" t="str">
        <f t="shared" si="150"/>
        <v xml:space="preserve">06/07 </v>
      </c>
      <c r="P238" s="237" t="str">
        <f t="shared" si="150"/>
        <v xml:space="preserve">07/08 </v>
      </c>
      <c r="Q238" s="237" t="str">
        <f t="shared" si="150"/>
        <v xml:space="preserve">08/09 </v>
      </c>
      <c r="R238" s="237" t="str">
        <f t="shared" si="150"/>
        <v xml:space="preserve">09/10 </v>
      </c>
      <c r="S238" s="237" t="str">
        <f t="shared" si="150"/>
        <v xml:space="preserve">10/11 </v>
      </c>
      <c r="T238" s="237" t="str">
        <f t="shared" si="150"/>
        <v xml:space="preserve">11/12 </v>
      </c>
      <c r="U238" s="237" t="str">
        <f t="shared" si="150"/>
        <v xml:space="preserve">12/13 </v>
      </c>
      <c r="V238" s="237" t="str">
        <f t="shared" si="150"/>
        <v xml:space="preserve">13/14 </v>
      </c>
      <c r="W238" s="237" t="str">
        <f t="shared" si="150"/>
        <v xml:space="preserve">14/15 </v>
      </c>
      <c r="X238" s="237" t="str">
        <f t="shared" si="150"/>
        <v xml:space="preserve">15/16 </v>
      </c>
      <c r="Y238" s="237" t="str">
        <f t="shared" si="150"/>
        <v xml:space="preserve">16/17 </v>
      </c>
      <c r="Z238" s="237" t="str">
        <f t="shared" si="150"/>
        <v xml:space="preserve">17/18 </v>
      </c>
      <c r="AA238" s="237" t="str">
        <f t="shared" si="150"/>
        <v xml:space="preserve">18/19 </v>
      </c>
      <c r="AB238" s="237" t="str">
        <f t="shared" si="150"/>
        <v xml:space="preserve">19/20 </v>
      </c>
      <c r="AC238" s="237" t="str">
        <f t="shared" si="150"/>
        <v xml:space="preserve">20/21 </v>
      </c>
      <c r="AD238" s="237" t="str">
        <f t="shared" si="150"/>
        <v>21/22</v>
      </c>
      <c r="AE238" s="237" t="str">
        <f t="shared" si="150"/>
        <v>22/23</v>
      </c>
      <c r="AF238" s="237" t="str">
        <f t="shared" si="150"/>
        <v>23/24</v>
      </c>
      <c r="AG238" s="237" t="str">
        <f t="shared" si="150"/>
        <v>24/25</v>
      </c>
      <c r="AH238" s="237" t="str">
        <f t="shared" si="150"/>
        <v>25/26</v>
      </c>
      <c r="AI238" s="237" t="str">
        <f t="shared" si="150"/>
        <v>26/27</v>
      </c>
      <c r="AJ238" s="237" t="str">
        <f t="shared" si="150"/>
        <v>27/28</v>
      </c>
      <c r="AK238" s="237" t="str">
        <f t="shared" si="150"/>
        <v>28/29</v>
      </c>
      <c r="AL238" s="237" t="str">
        <f t="shared" si="150"/>
        <v>29/30</v>
      </c>
      <c r="AM238" s="237" t="str">
        <f t="shared" si="150"/>
        <v>30/31</v>
      </c>
    </row>
    <row r="239" spans="1:39">
      <c r="A239" s="240" t="s">
        <v>239</v>
      </c>
      <c r="B239" s="298">
        <f t="shared" ref="B239:AM245" si="151">B223+B112</f>
        <v>0.93915233506544205</v>
      </c>
      <c r="C239" s="298">
        <f t="shared" si="151"/>
        <v>0.94593794549191523</v>
      </c>
      <c r="D239" s="298">
        <f t="shared" si="151"/>
        <v>0.93682979332736882</v>
      </c>
      <c r="E239" s="298">
        <f t="shared" si="151"/>
        <v>0.93972163068621573</v>
      </c>
      <c r="F239" s="298">
        <f t="shared" si="151"/>
        <v>0.93799944211496089</v>
      </c>
      <c r="G239" s="298">
        <f t="shared" si="151"/>
        <v>0.93979041227862314</v>
      </c>
      <c r="H239" s="298">
        <f t="shared" si="151"/>
        <v>0.94078656650463988</v>
      </c>
      <c r="I239" s="298">
        <f t="shared" si="151"/>
        <v>0.93779060445727103</v>
      </c>
      <c r="J239" s="298">
        <f t="shared" si="151"/>
        <v>0.93944223107569724</v>
      </c>
      <c r="K239" s="298">
        <f t="shared" si="151"/>
        <v>0.94124629080118694</v>
      </c>
      <c r="L239" s="298">
        <f t="shared" si="151"/>
        <v>0.94158761857214179</v>
      </c>
      <c r="M239" s="298">
        <f t="shared" si="151"/>
        <v>0.94187941336230319</v>
      </c>
      <c r="N239" s="298">
        <f t="shared" si="151"/>
        <v>0.95325013969081762</v>
      </c>
      <c r="O239" s="298">
        <f t="shared" si="151"/>
        <v>0.96121386245286411</v>
      </c>
      <c r="P239" s="298">
        <f t="shared" si="151"/>
        <v>0.96161482461945735</v>
      </c>
      <c r="Q239" s="298">
        <f t="shared" si="151"/>
        <v>0.96148023549201</v>
      </c>
      <c r="R239" s="298">
        <f t="shared" si="151"/>
        <v>0.96501925545571243</v>
      </c>
      <c r="S239" s="298">
        <f t="shared" si="151"/>
        <v>0.96554621848739486</v>
      </c>
      <c r="T239" s="298">
        <f t="shared" si="151"/>
        <v>0.96558431841987125</v>
      </c>
      <c r="U239" s="298">
        <f t="shared" si="151"/>
        <v>0.96546644844517182</v>
      </c>
      <c r="V239" s="298">
        <f t="shared" si="151"/>
        <v>0.96549900859220106</v>
      </c>
      <c r="W239" s="298">
        <f t="shared" si="151"/>
        <v>0.96000000000000008</v>
      </c>
      <c r="X239" s="298">
        <f t="shared" si="151"/>
        <v>0.96</v>
      </c>
      <c r="Y239" s="298">
        <f t="shared" si="151"/>
        <v>0.96</v>
      </c>
      <c r="Z239" s="298">
        <f t="shared" si="151"/>
        <v>0.96</v>
      </c>
      <c r="AA239" s="298">
        <f t="shared" si="151"/>
        <v>0.96</v>
      </c>
      <c r="AB239" s="298">
        <f t="shared" si="151"/>
        <v>0.96</v>
      </c>
      <c r="AC239" s="298">
        <f t="shared" si="151"/>
        <v>0.96</v>
      </c>
      <c r="AD239" s="259">
        <f t="shared" si="151"/>
        <v>0.96</v>
      </c>
      <c r="AE239" s="259">
        <f t="shared" si="151"/>
        <v>1.0962097851830961</v>
      </c>
      <c r="AF239" s="259">
        <f t="shared" si="151"/>
        <v>1.3950507849189251</v>
      </c>
      <c r="AG239" s="259">
        <f t="shared" si="151"/>
        <v>0.97893205747206857</v>
      </c>
      <c r="AH239" s="259">
        <f t="shared" si="151"/>
        <v>0.95788855307893461</v>
      </c>
      <c r="AI239" s="259">
        <f t="shared" si="151"/>
        <v>0.95805032265526413</v>
      </c>
      <c r="AJ239" s="259">
        <f t="shared" si="151"/>
        <v>0.95989774273034434</v>
      </c>
      <c r="AK239" s="259">
        <f t="shared" si="151"/>
        <v>0.95951968450790392</v>
      </c>
      <c r="AL239" s="259">
        <f t="shared" si="151"/>
        <v>0.95995045667007384</v>
      </c>
      <c r="AM239" s="259">
        <f t="shared" si="151"/>
        <v>0.95166710402778687</v>
      </c>
    </row>
    <row r="240" spans="1:39">
      <c r="A240" s="240" t="s">
        <v>240</v>
      </c>
      <c r="B240" s="298">
        <f t="shared" si="151"/>
        <v>0.93915233506544205</v>
      </c>
      <c r="C240" s="298">
        <f t="shared" si="151"/>
        <v>0.94593794549191523</v>
      </c>
      <c r="D240" s="298">
        <f t="shared" si="151"/>
        <v>0.93682979332736882</v>
      </c>
      <c r="E240" s="298">
        <f t="shared" si="151"/>
        <v>0.93972163068621573</v>
      </c>
      <c r="F240" s="298">
        <f t="shared" si="151"/>
        <v>0.93799944211496089</v>
      </c>
      <c r="G240" s="298">
        <f t="shared" si="151"/>
        <v>0.93979041227862326</v>
      </c>
      <c r="H240" s="298">
        <f t="shared" si="151"/>
        <v>0.94078656650463988</v>
      </c>
      <c r="I240" s="298">
        <f t="shared" si="151"/>
        <v>0.93779060445727103</v>
      </c>
      <c r="J240" s="298">
        <f t="shared" si="151"/>
        <v>0.93944223107569724</v>
      </c>
      <c r="K240" s="298">
        <f t="shared" si="151"/>
        <v>0.94124629080118694</v>
      </c>
      <c r="L240" s="298">
        <f t="shared" si="151"/>
        <v>0.94158761857214168</v>
      </c>
      <c r="M240" s="298">
        <f t="shared" si="151"/>
        <v>0.94187941336230319</v>
      </c>
      <c r="N240" s="298">
        <f t="shared" si="151"/>
        <v>0.95325013969081762</v>
      </c>
      <c r="O240" s="298">
        <f t="shared" si="151"/>
        <v>0.96121386245286411</v>
      </c>
      <c r="P240" s="298">
        <f t="shared" si="151"/>
        <v>0.96161482461945735</v>
      </c>
      <c r="Q240" s="298">
        <f t="shared" si="151"/>
        <v>0.96148023549201</v>
      </c>
      <c r="R240" s="298">
        <f t="shared" si="151"/>
        <v>0.96501925545571243</v>
      </c>
      <c r="S240" s="298">
        <f t="shared" si="151"/>
        <v>0.96554621848739486</v>
      </c>
      <c r="T240" s="298">
        <f t="shared" si="151"/>
        <v>0.96558431841987136</v>
      </c>
      <c r="U240" s="298">
        <f t="shared" si="151"/>
        <v>0.96546644844517182</v>
      </c>
      <c r="V240" s="298">
        <f t="shared" si="151"/>
        <v>0.96549900859220106</v>
      </c>
      <c r="W240" s="298">
        <f t="shared" si="151"/>
        <v>0.96</v>
      </c>
      <c r="X240" s="298">
        <f t="shared" si="151"/>
        <v>0.96</v>
      </c>
      <c r="Y240" s="298">
        <f t="shared" si="151"/>
        <v>0.96</v>
      </c>
      <c r="Z240" s="298">
        <f t="shared" si="151"/>
        <v>0.96</v>
      </c>
      <c r="AA240" s="298">
        <f t="shared" si="151"/>
        <v>0.96</v>
      </c>
      <c r="AB240" s="298">
        <f t="shared" si="151"/>
        <v>0.96</v>
      </c>
      <c r="AC240" s="298">
        <f t="shared" si="151"/>
        <v>0.96</v>
      </c>
      <c r="AD240" s="259">
        <f t="shared" si="151"/>
        <v>0.96</v>
      </c>
      <c r="AE240" s="259">
        <f t="shared" si="151"/>
        <v>1.0187048251102417</v>
      </c>
      <c r="AF240" s="259">
        <f t="shared" si="151"/>
        <v>1.0674069220675197</v>
      </c>
      <c r="AG240" s="259">
        <f t="shared" si="151"/>
        <v>0.97893205747206835</v>
      </c>
      <c r="AH240" s="259">
        <f t="shared" si="151"/>
        <v>0.95788855307893472</v>
      </c>
      <c r="AI240" s="259">
        <f t="shared" si="151"/>
        <v>0.95801786043849457</v>
      </c>
      <c r="AJ240" s="259">
        <f t="shared" si="151"/>
        <v>0.95986903226061493</v>
      </c>
      <c r="AK240" s="259">
        <f t="shared" si="151"/>
        <v>0.95949416545370725</v>
      </c>
      <c r="AL240" s="259">
        <f t="shared" si="151"/>
        <v>0.9599285567822855</v>
      </c>
      <c r="AM240" s="259">
        <f t="shared" si="151"/>
        <v>0.95163195388733568</v>
      </c>
    </row>
    <row r="241" spans="1:39">
      <c r="A241" s="240" t="s">
        <v>241</v>
      </c>
      <c r="B241" s="298">
        <f t="shared" si="151"/>
        <v>0.93915233506544205</v>
      </c>
      <c r="C241" s="298">
        <f t="shared" si="151"/>
        <v>0.94593794549191523</v>
      </c>
      <c r="D241" s="298">
        <f t="shared" si="151"/>
        <v>0.93682979332736871</v>
      </c>
      <c r="E241" s="298">
        <f t="shared" si="151"/>
        <v>0.93972163068621573</v>
      </c>
      <c r="F241" s="298">
        <f t="shared" si="151"/>
        <v>0.93799944211496089</v>
      </c>
      <c r="G241" s="298">
        <f t="shared" si="151"/>
        <v>0.93979041227862326</v>
      </c>
      <c r="H241" s="298">
        <f t="shared" si="151"/>
        <v>0.94078656650463988</v>
      </c>
      <c r="I241" s="298">
        <f t="shared" si="151"/>
        <v>0.93779060445727103</v>
      </c>
      <c r="J241" s="298">
        <f t="shared" si="151"/>
        <v>0.93944223107569724</v>
      </c>
      <c r="K241" s="298">
        <f t="shared" si="151"/>
        <v>0.94124629080118694</v>
      </c>
      <c r="L241" s="298">
        <f t="shared" si="151"/>
        <v>0.94158761857214168</v>
      </c>
      <c r="M241" s="298">
        <f t="shared" si="151"/>
        <v>0.94187941336230319</v>
      </c>
      <c r="N241" s="298">
        <f t="shared" si="151"/>
        <v>0.95325013969081762</v>
      </c>
      <c r="O241" s="298">
        <f t="shared" si="151"/>
        <v>0.96121386245286411</v>
      </c>
      <c r="P241" s="298">
        <f t="shared" si="151"/>
        <v>0.96161482461945735</v>
      </c>
      <c r="Q241" s="298">
        <f t="shared" si="151"/>
        <v>0.96148023549201</v>
      </c>
      <c r="R241" s="298">
        <f t="shared" si="151"/>
        <v>0.96501925545571243</v>
      </c>
      <c r="S241" s="298">
        <f t="shared" si="151"/>
        <v>0.96554621848739497</v>
      </c>
      <c r="T241" s="298">
        <f t="shared" si="151"/>
        <v>0.96558431841987125</v>
      </c>
      <c r="U241" s="298">
        <f t="shared" si="151"/>
        <v>0.96546644844517182</v>
      </c>
      <c r="V241" s="298">
        <f t="shared" si="151"/>
        <v>0.96549900859220106</v>
      </c>
      <c r="W241" s="298">
        <f t="shared" si="151"/>
        <v>0.96</v>
      </c>
      <c r="X241" s="298">
        <f t="shared" si="151"/>
        <v>0.96</v>
      </c>
      <c r="Y241" s="298">
        <f t="shared" si="151"/>
        <v>0.96</v>
      </c>
      <c r="Z241" s="298">
        <f t="shared" si="151"/>
        <v>0.96</v>
      </c>
      <c r="AA241" s="298">
        <f t="shared" si="151"/>
        <v>0.96</v>
      </c>
      <c r="AB241" s="298">
        <f t="shared" si="151"/>
        <v>0.96</v>
      </c>
      <c r="AC241" s="298">
        <f t="shared" si="151"/>
        <v>0.96</v>
      </c>
      <c r="AD241" s="259">
        <f t="shared" si="151"/>
        <v>0.96</v>
      </c>
      <c r="AE241" s="259">
        <f t="shared" si="151"/>
        <v>0.94036729342245584</v>
      </c>
      <c r="AF241" s="259">
        <f t="shared" si="151"/>
        <v>0.92563833878544566</v>
      </c>
      <c r="AG241" s="259">
        <f t="shared" si="151"/>
        <v>0.97893205747206835</v>
      </c>
      <c r="AH241" s="259">
        <f t="shared" si="151"/>
        <v>0.9578885530789345</v>
      </c>
      <c r="AI241" s="259">
        <f t="shared" si="151"/>
        <v>0.95804297093178925</v>
      </c>
      <c r="AJ241" s="259">
        <f t="shared" si="151"/>
        <v>0.95988315050094708</v>
      </c>
      <c r="AK241" s="259">
        <f t="shared" si="151"/>
        <v>0.95951416212312024</v>
      </c>
      <c r="AL241" s="259">
        <f t="shared" si="151"/>
        <v>0.95994924549423621</v>
      </c>
      <c r="AM241" s="259">
        <f t="shared" si="151"/>
        <v>0.95165604266473958</v>
      </c>
    </row>
    <row r="242" spans="1:39">
      <c r="A242" s="240" t="s">
        <v>231</v>
      </c>
      <c r="B242" s="298">
        <f t="shared" si="151"/>
        <v>0.93915233506544205</v>
      </c>
      <c r="C242" s="298">
        <f t="shared" si="151"/>
        <v>0.94593794549191523</v>
      </c>
      <c r="D242" s="298">
        <f t="shared" si="151"/>
        <v>0.93682979332736882</v>
      </c>
      <c r="E242" s="298">
        <f t="shared" si="151"/>
        <v>0.93972163068621573</v>
      </c>
      <c r="F242" s="298">
        <f t="shared" si="151"/>
        <v>0.93799944211496089</v>
      </c>
      <c r="G242" s="298">
        <f t="shared" si="151"/>
        <v>0.93979041227862337</v>
      </c>
      <c r="H242" s="298">
        <f t="shared" si="151"/>
        <v>0.94078656650463988</v>
      </c>
      <c r="I242" s="298">
        <f t="shared" si="151"/>
        <v>0.93779060445727103</v>
      </c>
      <c r="J242" s="298">
        <f t="shared" si="151"/>
        <v>0.93944223107569724</v>
      </c>
      <c r="K242" s="298">
        <f t="shared" si="151"/>
        <v>0.94124629080118694</v>
      </c>
      <c r="L242" s="298">
        <f t="shared" si="151"/>
        <v>0.94158761857214168</v>
      </c>
      <c r="M242" s="298">
        <f t="shared" si="151"/>
        <v>0.94187941336230319</v>
      </c>
      <c r="N242" s="298">
        <f t="shared" si="151"/>
        <v>0.95325013969081762</v>
      </c>
      <c r="O242" s="298">
        <f t="shared" si="151"/>
        <v>0.96121386245286411</v>
      </c>
      <c r="P242" s="298">
        <f t="shared" si="151"/>
        <v>0.96161482461945735</v>
      </c>
      <c r="Q242" s="298">
        <f t="shared" si="151"/>
        <v>0.96148023549201</v>
      </c>
      <c r="R242" s="298">
        <f t="shared" si="151"/>
        <v>0.96501925545571243</v>
      </c>
      <c r="S242" s="298">
        <f t="shared" si="151"/>
        <v>0.96554621848739486</v>
      </c>
      <c r="T242" s="298">
        <f t="shared" si="151"/>
        <v>0.96558431841987136</v>
      </c>
      <c r="U242" s="298">
        <f t="shared" si="151"/>
        <v>0.96546644844517182</v>
      </c>
      <c r="V242" s="298">
        <f t="shared" si="151"/>
        <v>0.96549900859220106</v>
      </c>
      <c r="W242" s="298">
        <f t="shared" si="151"/>
        <v>0.96</v>
      </c>
      <c r="X242" s="298">
        <f t="shared" si="151"/>
        <v>0.96</v>
      </c>
      <c r="Y242" s="298">
        <f t="shared" si="151"/>
        <v>0.96</v>
      </c>
      <c r="Z242" s="298">
        <f t="shared" si="151"/>
        <v>0.96</v>
      </c>
      <c r="AA242" s="298">
        <f t="shared" si="151"/>
        <v>0.96</v>
      </c>
      <c r="AB242" s="298">
        <f t="shared" si="151"/>
        <v>0.96</v>
      </c>
      <c r="AC242" s="298">
        <f t="shared" si="151"/>
        <v>0.96</v>
      </c>
      <c r="AD242" s="259">
        <f t="shared" si="151"/>
        <v>0.96000000000000008</v>
      </c>
      <c r="AE242" s="259">
        <f t="shared" si="151"/>
        <v>0.92440489788006208</v>
      </c>
      <c r="AF242" s="259">
        <f t="shared" si="151"/>
        <v>0.92255127504854184</v>
      </c>
      <c r="AG242" s="259">
        <f t="shared" si="151"/>
        <v>0.97893205747206835</v>
      </c>
      <c r="AH242" s="259">
        <f t="shared" si="151"/>
        <v>0.95788855307893461</v>
      </c>
      <c r="AI242" s="259">
        <f t="shared" si="151"/>
        <v>0.95809142519638058</v>
      </c>
      <c r="AJ242" s="259">
        <f t="shared" si="151"/>
        <v>0.95990610231394147</v>
      </c>
      <c r="AK242" s="259">
        <f t="shared" si="151"/>
        <v>0.95954108869240917</v>
      </c>
      <c r="AL242" s="259">
        <f t="shared" si="151"/>
        <v>0.95998997769227912</v>
      </c>
      <c r="AM242" s="259">
        <f t="shared" si="151"/>
        <v>0.95170373015739496</v>
      </c>
    </row>
    <row r="243" spans="1:39">
      <c r="A243" s="240" t="s">
        <v>232</v>
      </c>
      <c r="B243" s="298">
        <f t="shared" si="151"/>
        <v>0.93915233506544205</v>
      </c>
      <c r="C243" s="298">
        <f t="shared" si="151"/>
        <v>0.94593794549191523</v>
      </c>
      <c r="D243" s="298">
        <f t="shared" si="151"/>
        <v>0.93682979332736882</v>
      </c>
      <c r="E243" s="298">
        <f t="shared" si="151"/>
        <v>0.93972163068621573</v>
      </c>
      <c r="F243" s="298">
        <f t="shared" si="151"/>
        <v>0.93799944211496089</v>
      </c>
      <c r="G243" s="298">
        <f t="shared" si="151"/>
        <v>0.93979041227862314</v>
      </c>
      <c r="H243" s="298">
        <f t="shared" si="151"/>
        <v>0.94078656650463988</v>
      </c>
      <c r="I243" s="298">
        <f t="shared" si="151"/>
        <v>0.93779060445727103</v>
      </c>
      <c r="J243" s="298">
        <f t="shared" si="151"/>
        <v>0.93944223107569724</v>
      </c>
      <c r="K243" s="298">
        <f t="shared" si="151"/>
        <v>0.94124629080118694</v>
      </c>
      <c r="L243" s="298">
        <f t="shared" si="151"/>
        <v>0.94158761857214168</v>
      </c>
      <c r="M243" s="298">
        <f t="shared" si="151"/>
        <v>0.94187941336230319</v>
      </c>
      <c r="N243" s="298">
        <f t="shared" si="151"/>
        <v>0.95325013969081762</v>
      </c>
      <c r="O243" s="298">
        <f t="shared" si="151"/>
        <v>0.96121386245286411</v>
      </c>
      <c r="P243" s="298">
        <f t="shared" si="151"/>
        <v>0.96161482461945735</v>
      </c>
      <c r="Q243" s="298">
        <f t="shared" si="151"/>
        <v>0.96148023549201</v>
      </c>
      <c r="R243" s="298">
        <f t="shared" si="151"/>
        <v>0.96501925545571243</v>
      </c>
      <c r="S243" s="298">
        <f t="shared" si="151"/>
        <v>0.96554621848739486</v>
      </c>
      <c r="T243" s="298">
        <f t="shared" si="151"/>
        <v>0.96558431841987136</v>
      </c>
      <c r="U243" s="298">
        <f t="shared" si="151"/>
        <v>0.96546644844517182</v>
      </c>
      <c r="V243" s="298">
        <f t="shared" si="151"/>
        <v>0.96549900859220106</v>
      </c>
      <c r="W243" s="298">
        <f t="shared" si="151"/>
        <v>0.96</v>
      </c>
      <c r="X243" s="298">
        <f t="shared" si="151"/>
        <v>0.96</v>
      </c>
      <c r="Y243" s="298">
        <f t="shared" si="151"/>
        <v>0.96000000000000008</v>
      </c>
      <c r="Z243" s="298">
        <f t="shared" si="151"/>
        <v>0.96</v>
      </c>
      <c r="AA243" s="298">
        <f t="shared" si="151"/>
        <v>0.96000000000000008</v>
      </c>
      <c r="AB243" s="298">
        <f t="shared" si="151"/>
        <v>0.96</v>
      </c>
      <c r="AC243" s="298">
        <f t="shared" si="151"/>
        <v>0.96</v>
      </c>
      <c r="AD243" s="259">
        <f t="shared" si="151"/>
        <v>0.96</v>
      </c>
      <c r="AE243" s="259">
        <f t="shared" si="151"/>
        <v>0.90737533480026356</v>
      </c>
      <c r="AF243" s="259">
        <f t="shared" si="151"/>
        <v>0.90547211520804571</v>
      </c>
      <c r="AG243" s="259">
        <f t="shared" si="151"/>
        <v>0.97893205747206835</v>
      </c>
      <c r="AH243" s="259">
        <f t="shared" si="151"/>
        <v>0.95788855307893472</v>
      </c>
      <c r="AI243" s="259">
        <f t="shared" si="151"/>
        <v>0.95817430932586922</v>
      </c>
      <c r="AJ243" s="259">
        <f t="shared" si="151"/>
        <v>0.95992889039655327</v>
      </c>
      <c r="AK243" s="259">
        <f t="shared" si="151"/>
        <v>0.95959450853633599</v>
      </c>
      <c r="AL243" s="259">
        <f t="shared" si="151"/>
        <v>0.96004707310778969</v>
      </c>
      <c r="AM243" s="259">
        <f t="shared" si="151"/>
        <v>0.95177288879199973</v>
      </c>
    </row>
    <row r="244" spans="1:39">
      <c r="A244" s="240" t="s">
        <v>233</v>
      </c>
      <c r="B244" s="298">
        <f t="shared" si="151"/>
        <v>0.93915233506544205</v>
      </c>
      <c r="C244" s="298">
        <f t="shared" si="151"/>
        <v>0.94593794549191512</v>
      </c>
      <c r="D244" s="298">
        <f t="shared" si="151"/>
        <v>0.93682979332736871</v>
      </c>
      <c r="E244" s="298">
        <f t="shared" si="151"/>
        <v>0.93972163068621573</v>
      </c>
      <c r="F244" s="298">
        <f t="shared" si="151"/>
        <v>0.93799944211496089</v>
      </c>
      <c r="G244" s="298">
        <f t="shared" si="151"/>
        <v>0.93979041227862326</v>
      </c>
      <c r="H244" s="298">
        <f t="shared" si="151"/>
        <v>0.94078656650463988</v>
      </c>
      <c r="I244" s="298">
        <f t="shared" si="151"/>
        <v>0.93779060445727103</v>
      </c>
      <c r="J244" s="298">
        <f t="shared" si="151"/>
        <v>0.93944223107569724</v>
      </c>
      <c r="K244" s="298">
        <f t="shared" si="151"/>
        <v>0.94124629080118694</v>
      </c>
      <c r="L244" s="298">
        <f t="shared" si="151"/>
        <v>0.94158761857214168</v>
      </c>
      <c r="M244" s="298">
        <f t="shared" si="151"/>
        <v>0.94187941336230319</v>
      </c>
      <c r="N244" s="298">
        <f t="shared" si="151"/>
        <v>0.95325013969081762</v>
      </c>
      <c r="O244" s="298">
        <f t="shared" si="151"/>
        <v>0.96121386245286411</v>
      </c>
      <c r="P244" s="298">
        <f t="shared" si="151"/>
        <v>0.96161482461945735</v>
      </c>
      <c r="Q244" s="298">
        <f t="shared" si="151"/>
        <v>0.96148023549201</v>
      </c>
      <c r="R244" s="298">
        <f t="shared" si="151"/>
        <v>0.96501925545571243</v>
      </c>
      <c r="S244" s="298">
        <f t="shared" si="151"/>
        <v>0.96554621848739486</v>
      </c>
      <c r="T244" s="298">
        <f t="shared" si="151"/>
        <v>0.96558431841987125</v>
      </c>
      <c r="U244" s="298">
        <f t="shared" si="151"/>
        <v>0.96546644844517182</v>
      </c>
      <c r="V244" s="298">
        <f t="shared" si="151"/>
        <v>0.96549900859220106</v>
      </c>
      <c r="W244" s="298">
        <f t="shared" si="151"/>
        <v>0.96</v>
      </c>
      <c r="X244" s="298">
        <f t="shared" si="151"/>
        <v>0.96</v>
      </c>
      <c r="Y244" s="298">
        <f t="shared" si="151"/>
        <v>0.96</v>
      </c>
      <c r="Z244" s="298">
        <f t="shared" si="151"/>
        <v>0.96</v>
      </c>
      <c r="AA244" s="298">
        <f t="shared" si="151"/>
        <v>0.96</v>
      </c>
      <c r="AB244" s="298">
        <f t="shared" si="151"/>
        <v>0.96</v>
      </c>
      <c r="AC244" s="298">
        <f t="shared" si="151"/>
        <v>0.96</v>
      </c>
      <c r="AD244" s="259">
        <f t="shared" si="151"/>
        <v>0.96</v>
      </c>
      <c r="AE244" s="259">
        <f t="shared" si="151"/>
        <v>0.97880402128454103</v>
      </c>
      <c r="AF244" s="259">
        <f t="shared" si="151"/>
        <v>0.9684885518346098</v>
      </c>
      <c r="AG244" s="259">
        <f t="shared" si="151"/>
        <v>0.97893205747206835</v>
      </c>
      <c r="AH244" s="259">
        <f t="shared" si="151"/>
        <v>0.95788855307893472</v>
      </c>
      <c r="AI244" s="259">
        <f t="shared" si="151"/>
        <v>0.95801180086772775</v>
      </c>
      <c r="AJ244" s="259">
        <f t="shared" si="151"/>
        <v>0.95986446108624102</v>
      </c>
      <c r="AK244" s="259">
        <f t="shared" si="151"/>
        <v>0.95950700515600063</v>
      </c>
      <c r="AL244" s="259">
        <f t="shared" si="151"/>
        <v>0.95994139974788939</v>
      </c>
      <c r="AM244" s="259">
        <f t="shared" si="151"/>
        <v>0.95163879269896423</v>
      </c>
    </row>
    <row r="245" spans="1:39">
      <c r="A245" s="240" t="s">
        <v>234</v>
      </c>
      <c r="B245" s="298">
        <f t="shared" si="151"/>
        <v>0.93915233506544205</v>
      </c>
      <c r="C245" s="298">
        <f t="shared" si="151"/>
        <v>0.94593794549191523</v>
      </c>
      <c r="D245" s="298">
        <f t="shared" si="151"/>
        <v>0.93682979332736871</v>
      </c>
      <c r="E245" s="298">
        <f t="shared" si="151"/>
        <v>0.93972163068621573</v>
      </c>
      <c r="F245" s="298">
        <f t="shared" si="151"/>
        <v>0.93799944211496089</v>
      </c>
      <c r="G245" s="298">
        <f t="shared" si="151"/>
        <v>0.93979041227862326</v>
      </c>
      <c r="H245" s="298">
        <f t="shared" si="151"/>
        <v>0.94078656650463988</v>
      </c>
      <c r="I245" s="298">
        <f t="shared" si="151"/>
        <v>0.93779060445727103</v>
      </c>
      <c r="J245" s="298">
        <f t="shared" si="151"/>
        <v>0.93944223107569713</v>
      </c>
      <c r="K245" s="298">
        <f t="shared" si="151"/>
        <v>0.94124629080118694</v>
      </c>
      <c r="L245" s="298">
        <f t="shared" si="151"/>
        <v>0.94158761857214168</v>
      </c>
      <c r="M245" s="298">
        <f t="shared" si="151"/>
        <v>0.94187941336230319</v>
      </c>
      <c r="N245" s="298">
        <f t="shared" si="151"/>
        <v>0.95325013969081762</v>
      </c>
      <c r="O245" s="298">
        <f t="shared" si="151"/>
        <v>0.96121386245286411</v>
      </c>
      <c r="P245" s="298">
        <f t="shared" si="151"/>
        <v>0.96161482461945735</v>
      </c>
      <c r="Q245" s="298">
        <f t="shared" si="151"/>
        <v>0.96148023549201</v>
      </c>
      <c r="R245" s="298">
        <f t="shared" si="151"/>
        <v>0.96501925545571243</v>
      </c>
      <c r="S245" s="298">
        <f t="shared" si="151"/>
        <v>0.96554621848739486</v>
      </c>
      <c r="T245" s="298">
        <f t="shared" si="151"/>
        <v>0.96558431841987136</v>
      </c>
      <c r="U245" s="298">
        <f t="shared" si="151"/>
        <v>0.96546644844517182</v>
      </c>
      <c r="V245" s="298">
        <f t="shared" si="151"/>
        <v>0.96549900859220106</v>
      </c>
      <c r="W245" s="298">
        <f t="shared" si="151"/>
        <v>0.96</v>
      </c>
      <c r="X245" s="298">
        <f t="shared" si="151"/>
        <v>0.96</v>
      </c>
      <c r="Y245" s="298">
        <f t="shared" si="151"/>
        <v>0.96</v>
      </c>
      <c r="Z245" s="298">
        <f t="shared" si="151"/>
        <v>0.96</v>
      </c>
      <c r="AA245" s="298">
        <f t="shared" si="151"/>
        <v>0.96</v>
      </c>
      <c r="AB245" s="298">
        <f t="shared" si="151"/>
        <v>0.96</v>
      </c>
      <c r="AC245" s="298">
        <f t="shared" ref="Z245:AM251" si="152">AC229+AC118</f>
        <v>0.96</v>
      </c>
      <c r="AD245" s="259">
        <f t="shared" si="152"/>
        <v>0.96</v>
      </c>
      <c r="AE245" s="259">
        <f t="shared" si="152"/>
        <v>1.0279167479084308</v>
      </c>
      <c r="AF245" s="259">
        <f t="shared" si="152"/>
        <v>0.96774530501992806</v>
      </c>
      <c r="AG245" s="259">
        <f t="shared" si="152"/>
        <v>0.97893205747206835</v>
      </c>
      <c r="AH245" s="259">
        <f t="shared" si="152"/>
        <v>0.95788855307893472</v>
      </c>
      <c r="AI245" s="259">
        <f t="shared" si="152"/>
        <v>0.95802035045271738</v>
      </c>
      <c r="AJ245" s="259">
        <f t="shared" si="152"/>
        <v>0.9598291007564379</v>
      </c>
      <c r="AK245" s="259">
        <f t="shared" si="152"/>
        <v>0.95949187203563069</v>
      </c>
      <c r="AL245" s="259">
        <f t="shared" si="152"/>
        <v>0.95995041572806183</v>
      </c>
      <c r="AM245" s="259">
        <f t="shared" si="152"/>
        <v>0.95162626625206026</v>
      </c>
    </row>
    <row r="246" spans="1:39">
      <c r="A246" s="240" t="s">
        <v>46</v>
      </c>
      <c r="B246" s="298">
        <f t="shared" ref="B246:Y251" si="153">B230+B119</f>
        <v>0.93915233506544205</v>
      </c>
      <c r="C246" s="298">
        <f t="shared" si="153"/>
        <v>0.94593794549191523</v>
      </c>
      <c r="D246" s="298">
        <f t="shared" si="153"/>
        <v>0.93682979332736882</v>
      </c>
      <c r="E246" s="298">
        <f t="shared" si="153"/>
        <v>0.93972163068621573</v>
      </c>
      <c r="F246" s="298">
        <f t="shared" si="153"/>
        <v>0.93799944211496089</v>
      </c>
      <c r="G246" s="298">
        <f t="shared" si="153"/>
        <v>0.93979041227862314</v>
      </c>
      <c r="H246" s="298">
        <f t="shared" si="153"/>
        <v>0.94078656650463988</v>
      </c>
      <c r="I246" s="298">
        <f t="shared" si="153"/>
        <v>0.93779060445727103</v>
      </c>
      <c r="J246" s="298">
        <f t="shared" si="153"/>
        <v>0.93944223107569724</v>
      </c>
      <c r="K246" s="298">
        <f t="shared" si="153"/>
        <v>0.94124629080118694</v>
      </c>
      <c r="L246" s="298">
        <f t="shared" si="153"/>
        <v>0.94158761857214168</v>
      </c>
      <c r="M246" s="298">
        <f t="shared" si="153"/>
        <v>0.94187941336230319</v>
      </c>
      <c r="N246" s="298">
        <f t="shared" si="153"/>
        <v>0.95325013969081762</v>
      </c>
      <c r="O246" s="298">
        <f t="shared" si="153"/>
        <v>0.96121386245286411</v>
      </c>
      <c r="P246" s="298">
        <f t="shared" si="153"/>
        <v>0.96161482461945735</v>
      </c>
      <c r="Q246" s="298">
        <f t="shared" si="153"/>
        <v>0.96148023549201</v>
      </c>
      <c r="R246" s="298">
        <f t="shared" si="153"/>
        <v>0.96501925545571243</v>
      </c>
      <c r="S246" s="298">
        <f t="shared" si="153"/>
        <v>0.96554621848739486</v>
      </c>
      <c r="T246" s="298">
        <f t="shared" si="153"/>
        <v>0.96558431841987136</v>
      </c>
      <c r="U246" s="298">
        <f t="shared" si="153"/>
        <v>0.96546644844517182</v>
      </c>
      <c r="V246" s="298">
        <f t="shared" si="153"/>
        <v>0.96549900859220095</v>
      </c>
      <c r="W246" s="298">
        <f t="shared" si="153"/>
        <v>0.96</v>
      </c>
      <c r="X246" s="298">
        <f t="shared" si="153"/>
        <v>0.96</v>
      </c>
      <c r="Y246" s="298">
        <f t="shared" si="153"/>
        <v>0.96</v>
      </c>
      <c r="Z246" s="298">
        <f t="shared" si="152"/>
        <v>0.96</v>
      </c>
      <c r="AA246" s="298">
        <f t="shared" si="152"/>
        <v>0.96</v>
      </c>
      <c r="AB246" s="298">
        <f t="shared" si="152"/>
        <v>0.96</v>
      </c>
      <c r="AC246" s="298">
        <f t="shared" si="152"/>
        <v>0.96</v>
      </c>
      <c r="AD246" s="259">
        <f t="shared" si="152"/>
        <v>0.96</v>
      </c>
      <c r="AE246" s="259">
        <f t="shared" si="152"/>
        <v>0.93220199786352631</v>
      </c>
      <c r="AF246" s="259">
        <f t="shared" si="152"/>
        <v>0.91451606821400144</v>
      </c>
      <c r="AG246" s="259">
        <f t="shared" si="152"/>
        <v>0.97893205747206835</v>
      </c>
      <c r="AH246" s="259">
        <f t="shared" si="152"/>
        <v>0.9578885530789345</v>
      </c>
      <c r="AI246" s="259">
        <f t="shared" si="152"/>
        <v>0.95800682095412371</v>
      </c>
      <c r="AJ246" s="259">
        <f t="shared" si="152"/>
        <v>0.95984421752691595</v>
      </c>
      <c r="AK246" s="259">
        <f t="shared" si="152"/>
        <v>0.95950665620555697</v>
      </c>
      <c r="AL246" s="259">
        <f t="shared" si="152"/>
        <v>0.95994763712178033</v>
      </c>
      <c r="AM246" s="259">
        <f t="shared" si="152"/>
        <v>0.95163686447287021</v>
      </c>
    </row>
    <row r="247" spans="1:39">
      <c r="A247" s="240" t="s">
        <v>235</v>
      </c>
      <c r="B247" s="298">
        <f t="shared" si="153"/>
        <v>0.93915233506544205</v>
      </c>
      <c r="C247" s="298">
        <f t="shared" si="153"/>
        <v>0.94593794549191523</v>
      </c>
      <c r="D247" s="298">
        <f t="shared" si="153"/>
        <v>0.93682979332736882</v>
      </c>
      <c r="E247" s="298">
        <f t="shared" si="153"/>
        <v>0.93972163068621573</v>
      </c>
      <c r="F247" s="298">
        <f t="shared" si="153"/>
        <v>0.93799944211496089</v>
      </c>
      <c r="G247" s="298">
        <f t="shared" si="153"/>
        <v>0.93979041227862326</v>
      </c>
      <c r="H247" s="298">
        <f t="shared" si="153"/>
        <v>0.94078656650463988</v>
      </c>
      <c r="I247" s="298">
        <f t="shared" si="153"/>
        <v>0.93779060445727103</v>
      </c>
      <c r="J247" s="298">
        <f t="shared" si="153"/>
        <v>0.93944223107569724</v>
      </c>
      <c r="K247" s="298">
        <f t="shared" si="153"/>
        <v>0.94124629080118694</v>
      </c>
      <c r="L247" s="298">
        <f t="shared" si="153"/>
        <v>0.94158761857214168</v>
      </c>
      <c r="M247" s="298">
        <f t="shared" si="153"/>
        <v>0.94187941336230319</v>
      </c>
      <c r="N247" s="298">
        <f t="shared" si="153"/>
        <v>0.95325013969081751</v>
      </c>
      <c r="O247" s="298">
        <f t="shared" si="153"/>
        <v>0.96121386245286411</v>
      </c>
      <c r="P247" s="298">
        <f t="shared" si="153"/>
        <v>0.96161482461945724</v>
      </c>
      <c r="Q247" s="298">
        <f t="shared" si="153"/>
        <v>0.96148023549201</v>
      </c>
      <c r="R247" s="298">
        <f t="shared" si="153"/>
        <v>0.96501925545571243</v>
      </c>
      <c r="S247" s="298">
        <f t="shared" si="153"/>
        <v>0.96554621848739486</v>
      </c>
      <c r="T247" s="298">
        <f t="shared" si="153"/>
        <v>0.96558431841987136</v>
      </c>
      <c r="U247" s="298">
        <f t="shared" si="153"/>
        <v>0.96546644844517182</v>
      </c>
      <c r="V247" s="298">
        <f t="shared" si="153"/>
        <v>0.96549900859220095</v>
      </c>
      <c r="W247" s="298">
        <f t="shared" si="153"/>
        <v>0.96</v>
      </c>
      <c r="X247" s="298">
        <f t="shared" si="153"/>
        <v>0.96</v>
      </c>
      <c r="Y247" s="298">
        <f t="shared" si="153"/>
        <v>0.96</v>
      </c>
      <c r="Z247" s="298">
        <f t="shared" si="152"/>
        <v>0.96000000000000008</v>
      </c>
      <c r="AA247" s="298">
        <f t="shared" si="152"/>
        <v>0.96</v>
      </c>
      <c r="AB247" s="298">
        <f t="shared" si="152"/>
        <v>0.96</v>
      </c>
      <c r="AC247" s="298">
        <f t="shared" si="152"/>
        <v>0.96</v>
      </c>
      <c r="AD247" s="259">
        <f t="shared" si="152"/>
        <v>0.96</v>
      </c>
      <c r="AE247" s="259">
        <f t="shared" si="152"/>
        <v>0.91829821891465024</v>
      </c>
      <c r="AF247" s="259">
        <f t="shared" si="152"/>
        <v>0.92028323722323702</v>
      </c>
      <c r="AG247" s="259">
        <f t="shared" si="152"/>
        <v>0.97893205747206835</v>
      </c>
      <c r="AH247" s="259">
        <f t="shared" si="152"/>
        <v>0.95788855307893461</v>
      </c>
      <c r="AI247" s="259">
        <f t="shared" si="152"/>
        <v>0.95792867063290621</v>
      </c>
      <c r="AJ247" s="259">
        <f t="shared" si="152"/>
        <v>0.95975159736063209</v>
      </c>
      <c r="AK247" s="259">
        <f t="shared" si="152"/>
        <v>0.95942634790084291</v>
      </c>
      <c r="AL247" s="259">
        <f t="shared" si="152"/>
        <v>0.95985597434304615</v>
      </c>
      <c r="AM247" s="259">
        <f t="shared" si="152"/>
        <v>0.95152105512692431</v>
      </c>
    </row>
    <row r="248" spans="1:39">
      <c r="A248" s="240" t="s">
        <v>236</v>
      </c>
      <c r="B248" s="298">
        <f t="shared" si="153"/>
        <v>0.93915233506544205</v>
      </c>
      <c r="C248" s="298">
        <f t="shared" si="153"/>
        <v>0.94593794549191523</v>
      </c>
      <c r="D248" s="298">
        <f t="shared" si="153"/>
        <v>0.93682979332736882</v>
      </c>
      <c r="E248" s="298">
        <f t="shared" si="153"/>
        <v>0.93972163068621573</v>
      </c>
      <c r="F248" s="298">
        <f t="shared" si="153"/>
        <v>0.93799944211496089</v>
      </c>
      <c r="G248" s="298">
        <f t="shared" si="153"/>
        <v>0.93979041227862326</v>
      </c>
      <c r="H248" s="298">
        <f t="shared" si="153"/>
        <v>0.94078656650463977</v>
      </c>
      <c r="I248" s="298">
        <f t="shared" si="153"/>
        <v>0.93779060445727103</v>
      </c>
      <c r="J248" s="298">
        <f t="shared" si="153"/>
        <v>0.93944223107569724</v>
      </c>
      <c r="K248" s="298">
        <f t="shared" si="153"/>
        <v>0.94124629080118694</v>
      </c>
      <c r="L248" s="298">
        <f t="shared" si="153"/>
        <v>0.94158761857214168</v>
      </c>
      <c r="M248" s="298">
        <f t="shared" si="153"/>
        <v>0.94187941336230319</v>
      </c>
      <c r="N248" s="298">
        <f t="shared" si="153"/>
        <v>0.95325013969081762</v>
      </c>
      <c r="O248" s="298">
        <f t="shared" si="153"/>
        <v>0.96121386245286411</v>
      </c>
      <c r="P248" s="298">
        <f t="shared" si="153"/>
        <v>0.96161482461945735</v>
      </c>
      <c r="Q248" s="298">
        <f t="shared" si="153"/>
        <v>0.96148023549201</v>
      </c>
      <c r="R248" s="298">
        <f t="shared" si="153"/>
        <v>0.96501925545571243</v>
      </c>
      <c r="S248" s="298">
        <f t="shared" si="153"/>
        <v>0.96554621848739486</v>
      </c>
      <c r="T248" s="298">
        <f t="shared" si="153"/>
        <v>0.96558431841987136</v>
      </c>
      <c r="U248" s="298">
        <f t="shared" si="153"/>
        <v>0.96546644844517182</v>
      </c>
      <c r="V248" s="298">
        <f t="shared" si="153"/>
        <v>0.96549900859220106</v>
      </c>
      <c r="W248" s="298">
        <f t="shared" si="153"/>
        <v>0.96</v>
      </c>
      <c r="X248" s="298">
        <f t="shared" si="153"/>
        <v>0.96</v>
      </c>
      <c r="Y248" s="298">
        <f t="shared" si="153"/>
        <v>0.96</v>
      </c>
      <c r="Z248" s="298">
        <f t="shared" si="152"/>
        <v>0.96</v>
      </c>
      <c r="AA248" s="298">
        <f t="shared" si="152"/>
        <v>0.96</v>
      </c>
      <c r="AB248" s="298">
        <f t="shared" si="152"/>
        <v>0.96</v>
      </c>
      <c r="AC248" s="298">
        <f t="shared" si="152"/>
        <v>0.96</v>
      </c>
      <c r="AD248" s="259">
        <f t="shared" si="152"/>
        <v>0.96</v>
      </c>
      <c r="AE248" s="259">
        <f t="shared" si="152"/>
        <v>0.8187335038972654</v>
      </c>
      <c r="AF248" s="259">
        <f t="shared" si="152"/>
        <v>0.95551716567657574</v>
      </c>
      <c r="AG248" s="259">
        <f t="shared" si="152"/>
        <v>0.89409993060757387</v>
      </c>
      <c r="AH248" s="259">
        <f t="shared" si="152"/>
        <v>0.95788855307893483</v>
      </c>
      <c r="AI248" s="259">
        <f t="shared" si="152"/>
        <v>0.94215039557204971</v>
      </c>
      <c r="AJ248" s="259">
        <f t="shared" si="152"/>
        <v>0.94439751522308013</v>
      </c>
      <c r="AK248" s="259">
        <f t="shared" si="152"/>
        <v>0.94026413242897955</v>
      </c>
      <c r="AL248" s="259">
        <f t="shared" si="152"/>
        <v>0.93839786000901615</v>
      </c>
      <c r="AM248" s="259">
        <f t="shared" si="152"/>
        <v>0.92636657749249407</v>
      </c>
    </row>
    <row r="249" spans="1:39">
      <c r="A249" s="240" t="s">
        <v>237</v>
      </c>
      <c r="B249" s="298">
        <f t="shared" si="153"/>
        <v>0.93915233506544205</v>
      </c>
      <c r="C249" s="298">
        <f t="shared" si="153"/>
        <v>0.94593794549191523</v>
      </c>
      <c r="D249" s="298">
        <f t="shared" si="153"/>
        <v>0.93682979332736871</v>
      </c>
      <c r="E249" s="298">
        <f t="shared" si="153"/>
        <v>0.93972163068621573</v>
      </c>
      <c r="F249" s="298">
        <f t="shared" si="153"/>
        <v>0.93799944211496089</v>
      </c>
      <c r="G249" s="298">
        <f t="shared" si="153"/>
        <v>0.93979041227862326</v>
      </c>
      <c r="H249" s="298">
        <f t="shared" si="153"/>
        <v>0.94078656650463988</v>
      </c>
      <c r="I249" s="298">
        <f t="shared" si="153"/>
        <v>0.93779060445727103</v>
      </c>
      <c r="J249" s="298">
        <f t="shared" si="153"/>
        <v>0.93944223107569724</v>
      </c>
      <c r="K249" s="298">
        <f t="shared" si="153"/>
        <v>0.94124629080118694</v>
      </c>
      <c r="L249" s="298">
        <f t="shared" si="153"/>
        <v>0.94158761857214168</v>
      </c>
      <c r="M249" s="298">
        <f t="shared" si="153"/>
        <v>0.94187941336230319</v>
      </c>
      <c r="N249" s="298">
        <f t="shared" si="153"/>
        <v>0.95325013969081762</v>
      </c>
      <c r="O249" s="298">
        <f t="shared" si="153"/>
        <v>0.96121386245286411</v>
      </c>
      <c r="P249" s="298">
        <f t="shared" si="153"/>
        <v>0.96161482461945735</v>
      </c>
      <c r="Q249" s="298">
        <f t="shared" si="153"/>
        <v>0.96148023549201</v>
      </c>
      <c r="R249" s="298">
        <f t="shared" si="153"/>
        <v>0.96501925545571243</v>
      </c>
      <c r="S249" s="298">
        <f t="shared" si="153"/>
        <v>0.96554621848739486</v>
      </c>
      <c r="T249" s="298">
        <f t="shared" si="153"/>
        <v>0.96558431841987125</v>
      </c>
      <c r="U249" s="298">
        <f t="shared" si="153"/>
        <v>0.96546644844517182</v>
      </c>
      <c r="V249" s="298">
        <f t="shared" si="153"/>
        <v>0.96549900859220106</v>
      </c>
      <c r="W249" s="298">
        <f t="shared" si="153"/>
        <v>0.96</v>
      </c>
      <c r="X249" s="298">
        <f t="shared" si="153"/>
        <v>0.96000000000000008</v>
      </c>
      <c r="Y249" s="298">
        <f t="shared" si="153"/>
        <v>0.96000000000000008</v>
      </c>
      <c r="Z249" s="298">
        <f t="shared" si="152"/>
        <v>0.96</v>
      </c>
      <c r="AA249" s="298">
        <f t="shared" si="152"/>
        <v>0.96</v>
      </c>
      <c r="AB249" s="298">
        <f t="shared" si="152"/>
        <v>0.96</v>
      </c>
      <c r="AC249" s="298">
        <f t="shared" si="152"/>
        <v>0.96</v>
      </c>
      <c r="AD249" s="259">
        <f t="shared" si="152"/>
        <v>0.87997633136094677</v>
      </c>
      <c r="AE249" s="259">
        <f t="shared" si="152"/>
        <v>0.78748312095474715</v>
      </c>
      <c r="AF249" s="259">
        <f t="shared" si="152"/>
        <v>0.81032210844338848</v>
      </c>
      <c r="AG249" s="259">
        <f t="shared" si="152"/>
        <v>0.89678674673536529</v>
      </c>
      <c r="AH249" s="259">
        <f t="shared" si="152"/>
        <v>0.94968400050606705</v>
      </c>
      <c r="AI249" s="259">
        <f t="shared" si="152"/>
        <v>0.95358205911040717</v>
      </c>
      <c r="AJ249" s="259">
        <f t="shared" si="152"/>
        <v>0.93740101263961617</v>
      </c>
      <c r="AK249" s="259">
        <f t="shared" si="152"/>
        <v>0.93628919359013296</v>
      </c>
      <c r="AL249" s="259">
        <f t="shared" si="152"/>
        <v>0.93190172574407737</v>
      </c>
      <c r="AM249" s="259">
        <f t="shared" si="152"/>
        <v>0.98649425419968961</v>
      </c>
    </row>
    <row r="250" spans="1:39">
      <c r="A250" s="240" t="s">
        <v>238</v>
      </c>
      <c r="B250" s="298">
        <f t="shared" si="153"/>
        <v>0.93915233506544205</v>
      </c>
      <c r="C250" s="298">
        <f t="shared" si="153"/>
        <v>0.94593794549191523</v>
      </c>
      <c r="D250" s="298">
        <f t="shared" si="153"/>
        <v>0.93682979332736882</v>
      </c>
      <c r="E250" s="298">
        <f t="shared" si="153"/>
        <v>0.93972163068621573</v>
      </c>
      <c r="F250" s="298">
        <f t="shared" si="153"/>
        <v>0.93799944211496089</v>
      </c>
      <c r="G250" s="298">
        <f t="shared" si="153"/>
        <v>0.93979041227862326</v>
      </c>
      <c r="H250" s="298">
        <f t="shared" si="153"/>
        <v>0.94078656650463988</v>
      </c>
      <c r="I250" s="298">
        <f t="shared" si="153"/>
        <v>0.93779060445727103</v>
      </c>
      <c r="J250" s="298">
        <f t="shared" si="153"/>
        <v>0.93944223107569724</v>
      </c>
      <c r="K250" s="298">
        <f t="shared" si="153"/>
        <v>0.94124629080118694</v>
      </c>
      <c r="L250" s="298">
        <f t="shared" si="153"/>
        <v>0.94158761857214168</v>
      </c>
      <c r="M250" s="298">
        <f t="shared" si="153"/>
        <v>0.94187941336230319</v>
      </c>
      <c r="N250" s="298">
        <f t="shared" si="153"/>
        <v>0.95325013969081762</v>
      </c>
      <c r="O250" s="298">
        <f t="shared" si="153"/>
        <v>0.96121386245286411</v>
      </c>
      <c r="P250" s="298">
        <f t="shared" si="153"/>
        <v>0.96161482461945735</v>
      </c>
      <c r="Q250" s="298">
        <f t="shared" si="153"/>
        <v>0.96148023549201</v>
      </c>
      <c r="R250" s="298">
        <f t="shared" si="153"/>
        <v>0.96501925545571243</v>
      </c>
      <c r="S250" s="298">
        <f t="shared" si="153"/>
        <v>0.96554621848739486</v>
      </c>
      <c r="T250" s="298">
        <f t="shared" si="153"/>
        <v>0.96558431841987136</v>
      </c>
      <c r="U250" s="298">
        <f t="shared" si="153"/>
        <v>0.96546644844517182</v>
      </c>
      <c r="V250" s="298">
        <f t="shared" si="153"/>
        <v>0.96549900859220106</v>
      </c>
      <c r="W250" s="298">
        <f t="shared" si="153"/>
        <v>0.96</v>
      </c>
      <c r="X250" s="298">
        <f t="shared" si="153"/>
        <v>0.96</v>
      </c>
      <c r="Y250" s="298">
        <f t="shared" si="153"/>
        <v>0.96</v>
      </c>
      <c r="Z250" s="298">
        <f t="shared" si="152"/>
        <v>0.96</v>
      </c>
      <c r="AA250" s="298">
        <f t="shared" si="152"/>
        <v>0.96</v>
      </c>
      <c r="AB250" s="298">
        <f t="shared" si="152"/>
        <v>0.96</v>
      </c>
      <c r="AC250" s="298">
        <f t="shared" si="152"/>
        <v>0.96</v>
      </c>
      <c r="AD250" s="259">
        <f t="shared" si="152"/>
        <v>0.95307106598984781</v>
      </c>
      <c r="AE250" s="259">
        <f t="shared" si="152"/>
        <v>1.1068391103419359</v>
      </c>
      <c r="AF250" s="259">
        <f t="shared" si="152"/>
        <v>0.89672834015535952</v>
      </c>
      <c r="AG250" s="259">
        <f t="shared" si="152"/>
        <v>0.89678674673536518</v>
      </c>
      <c r="AH250" s="259">
        <f t="shared" si="152"/>
        <v>0.94968400050606638</v>
      </c>
      <c r="AI250" s="259">
        <f t="shared" si="152"/>
        <v>0.95268768876244248</v>
      </c>
      <c r="AJ250" s="259">
        <f t="shared" si="152"/>
        <v>0.93669283328558262</v>
      </c>
      <c r="AK250" s="259">
        <f t="shared" si="152"/>
        <v>0.93603245095892351</v>
      </c>
      <c r="AL250" s="259">
        <f t="shared" si="152"/>
        <v>0.93119397196290776</v>
      </c>
      <c r="AM250" s="259">
        <f t="shared" si="152"/>
        <v>0.98565281359732093</v>
      </c>
    </row>
    <row r="251" spans="1:39" ht="15.75" thickBot="1">
      <c r="A251" s="240" t="s">
        <v>255</v>
      </c>
      <c r="B251" s="258">
        <f>B235+B124</f>
        <v>0.93915233506544205</v>
      </c>
      <c r="C251" s="258">
        <f t="shared" si="153"/>
        <v>0.94593794549191523</v>
      </c>
      <c r="D251" s="258">
        <f t="shared" si="153"/>
        <v>0.93682979332736882</v>
      </c>
      <c r="E251" s="258">
        <f t="shared" si="153"/>
        <v>0.93972163068621573</v>
      </c>
      <c r="F251" s="258">
        <f t="shared" si="153"/>
        <v>0.93799944211496089</v>
      </c>
      <c r="G251" s="258">
        <f t="shared" si="153"/>
        <v>0.93979041227862326</v>
      </c>
      <c r="H251" s="258">
        <f t="shared" si="153"/>
        <v>0.94078656650463988</v>
      </c>
      <c r="I251" s="258">
        <f t="shared" si="153"/>
        <v>0.93779060445727103</v>
      </c>
      <c r="J251" s="258">
        <f t="shared" si="153"/>
        <v>0.93944223107569724</v>
      </c>
      <c r="K251" s="258">
        <f t="shared" si="153"/>
        <v>0.94124629080118694</v>
      </c>
      <c r="L251" s="258">
        <f t="shared" si="153"/>
        <v>0.94158761857214168</v>
      </c>
      <c r="M251" s="258">
        <f t="shared" si="153"/>
        <v>0.94187941336230319</v>
      </c>
      <c r="N251" s="258">
        <f t="shared" si="153"/>
        <v>0.95325013969081762</v>
      </c>
      <c r="O251" s="258">
        <f t="shared" si="153"/>
        <v>0.96121386245286411</v>
      </c>
      <c r="P251" s="258">
        <f t="shared" si="153"/>
        <v>0.96161482461945735</v>
      </c>
      <c r="Q251" s="258">
        <f t="shared" si="153"/>
        <v>0.96148023549201</v>
      </c>
      <c r="R251" s="258">
        <f t="shared" si="153"/>
        <v>0.96501925545571243</v>
      </c>
      <c r="S251" s="258">
        <f t="shared" si="153"/>
        <v>0.96554621848739486</v>
      </c>
      <c r="T251" s="258">
        <f t="shared" si="153"/>
        <v>0.96558431841987136</v>
      </c>
      <c r="U251" s="258">
        <f t="shared" si="153"/>
        <v>0.96546644844517182</v>
      </c>
      <c r="V251" s="258">
        <f t="shared" si="153"/>
        <v>0.96549900859220106</v>
      </c>
      <c r="W251" s="258">
        <f t="shared" si="153"/>
        <v>0.96</v>
      </c>
      <c r="X251" s="258">
        <f t="shared" si="153"/>
        <v>0.96</v>
      </c>
      <c r="Y251" s="258">
        <f t="shared" si="153"/>
        <v>0.96</v>
      </c>
      <c r="Z251" s="258">
        <f t="shared" si="152"/>
        <v>0.96</v>
      </c>
      <c r="AA251" s="258">
        <f t="shared" si="152"/>
        <v>0.96</v>
      </c>
      <c r="AB251" s="258">
        <f t="shared" si="152"/>
        <v>0.96</v>
      </c>
      <c r="AC251" s="258">
        <f t="shared" si="152"/>
        <v>0.96</v>
      </c>
      <c r="AD251" s="259">
        <f>FORECAST(AD45,T251:AC251,T45:AC45)</f>
        <v>0.95778767595052283</v>
      </c>
      <c r="AE251" s="259">
        <f t="shared" ref="AE251:AM251" si="154">FORECAST(AE45,U251:AD251,U45:AD45)</f>
        <v>0.95728857954554791</v>
      </c>
      <c r="AF251" s="259">
        <f t="shared" si="154"/>
        <v>0.9570781887499531</v>
      </c>
      <c r="AG251" s="259">
        <f t="shared" si="154"/>
        <v>0.95733751560197</v>
      </c>
      <c r="AH251" s="259">
        <f t="shared" si="154"/>
        <v>0.95679555889302292</v>
      </c>
      <c r="AI251" s="259">
        <f t="shared" si="154"/>
        <v>0.95621431846036598</v>
      </c>
      <c r="AJ251" s="259">
        <f t="shared" si="154"/>
        <v>0.95561421126177781</v>
      </c>
      <c r="AK251" s="259">
        <f t="shared" si="154"/>
        <v>0.95502643995306369</v>
      </c>
      <c r="AL251" s="259">
        <f t="shared" si="154"/>
        <v>0.95449594603674481</v>
      </c>
      <c r="AM251" s="259">
        <f t="shared" si="154"/>
        <v>0.95408482522369475</v>
      </c>
    </row>
    <row r="252" spans="1:39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  <c r="AD252" s="248"/>
      <c r="AE252" s="248"/>
      <c r="AF252" s="248"/>
      <c r="AG252" s="248"/>
      <c r="AH252" s="248"/>
      <c r="AI252" s="248"/>
      <c r="AJ252" s="248"/>
      <c r="AK252" s="248"/>
      <c r="AL252" s="248"/>
      <c r="AM252" s="248"/>
    </row>
    <row r="253" spans="1:39" ht="15.75" thickBot="1">
      <c r="A253" s="235" t="s">
        <v>265</v>
      </c>
    </row>
    <row r="254" spans="1:39" ht="15.75" thickBot="1">
      <c r="A254" s="236"/>
      <c r="B254" s="237" t="str">
        <f>B$2</f>
        <v xml:space="preserve">93/94 </v>
      </c>
      <c r="C254" s="237" t="str">
        <f t="shared" ref="C254:AM254" si="155">C$2</f>
        <v xml:space="preserve">94/95 </v>
      </c>
      <c r="D254" s="237" t="str">
        <f t="shared" si="155"/>
        <v xml:space="preserve">95/96 </v>
      </c>
      <c r="E254" s="237" t="str">
        <f t="shared" si="155"/>
        <v xml:space="preserve">96/97 </v>
      </c>
      <c r="F254" s="237" t="str">
        <f t="shared" si="155"/>
        <v xml:space="preserve">97/98 </v>
      </c>
      <c r="G254" s="237" t="str">
        <f t="shared" si="155"/>
        <v xml:space="preserve">98/99 </v>
      </c>
      <c r="H254" s="237" t="str">
        <f t="shared" si="155"/>
        <v xml:space="preserve">99/00 </v>
      </c>
      <c r="I254" s="237" t="str">
        <f t="shared" si="155"/>
        <v xml:space="preserve">00/01 </v>
      </c>
      <c r="J254" s="237" t="str">
        <f t="shared" si="155"/>
        <v xml:space="preserve">01/02 </v>
      </c>
      <c r="K254" s="237" t="str">
        <f t="shared" si="155"/>
        <v xml:space="preserve">02/03 </v>
      </c>
      <c r="L254" s="237" t="str">
        <f t="shared" si="155"/>
        <v xml:space="preserve">03/04 </v>
      </c>
      <c r="M254" s="237" t="str">
        <f t="shared" si="155"/>
        <v xml:space="preserve">04/05 </v>
      </c>
      <c r="N254" s="237" t="str">
        <f t="shared" si="155"/>
        <v xml:space="preserve">05/06 </v>
      </c>
      <c r="O254" s="237" t="str">
        <f t="shared" si="155"/>
        <v xml:space="preserve">06/07 </v>
      </c>
      <c r="P254" s="237" t="str">
        <f t="shared" si="155"/>
        <v xml:space="preserve">07/08 </v>
      </c>
      <c r="Q254" s="237" t="str">
        <f t="shared" si="155"/>
        <v xml:space="preserve">08/09 </v>
      </c>
      <c r="R254" s="237" t="str">
        <f t="shared" si="155"/>
        <v xml:space="preserve">09/10 </v>
      </c>
      <c r="S254" s="237" t="str">
        <f t="shared" si="155"/>
        <v xml:space="preserve">10/11 </v>
      </c>
      <c r="T254" s="237" t="str">
        <f t="shared" si="155"/>
        <v xml:space="preserve">11/12 </v>
      </c>
      <c r="U254" s="237" t="str">
        <f t="shared" si="155"/>
        <v xml:space="preserve">12/13 </v>
      </c>
      <c r="V254" s="237" t="str">
        <f t="shared" si="155"/>
        <v xml:space="preserve">13/14 </v>
      </c>
      <c r="W254" s="237" t="str">
        <f t="shared" si="155"/>
        <v xml:space="preserve">14/15 </v>
      </c>
      <c r="X254" s="237" t="str">
        <f t="shared" si="155"/>
        <v xml:space="preserve">15/16 </v>
      </c>
      <c r="Y254" s="237" t="str">
        <f t="shared" si="155"/>
        <v xml:space="preserve">16/17 </v>
      </c>
      <c r="Z254" s="237" t="str">
        <f t="shared" si="155"/>
        <v xml:space="preserve">17/18 </v>
      </c>
      <c r="AA254" s="237" t="str">
        <f t="shared" si="155"/>
        <v xml:space="preserve">18/19 </v>
      </c>
      <c r="AB254" s="237" t="str">
        <f t="shared" si="155"/>
        <v xml:space="preserve">19/20 </v>
      </c>
      <c r="AC254" s="237" t="str">
        <f t="shared" si="155"/>
        <v xml:space="preserve">20/21 </v>
      </c>
      <c r="AD254" s="237" t="str">
        <f t="shared" si="155"/>
        <v>21/22</v>
      </c>
      <c r="AE254" s="237" t="str">
        <f t="shared" si="155"/>
        <v>22/23</v>
      </c>
      <c r="AF254" s="237" t="str">
        <f t="shared" si="155"/>
        <v>23/24</v>
      </c>
      <c r="AG254" s="237" t="str">
        <f t="shared" si="155"/>
        <v>24/25</v>
      </c>
      <c r="AH254" s="237" t="str">
        <f t="shared" si="155"/>
        <v>25/26</v>
      </c>
      <c r="AI254" s="237" t="str">
        <f t="shared" si="155"/>
        <v>26/27</v>
      </c>
      <c r="AJ254" s="237" t="str">
        <f t="shared" si="155"/>
        <v>27/28</v>
      </c>
      <c r="AK254" s="237" t="str">
        <f t="shared" si="155"/>
        <v>28/29</v>
      </c>
      <c r="AL254" s="237" t="str">
        <f t="shared" si="155"/>
        <v>29/30</v>
      </c>
      <c r="AM254" s="237" t="str">
        <f t="shared" si="155"/>
        <v>30/31</v>
      </c>
    </row>
    <row r="255" spans="1:39">
      <c r="A255" s="240" t="s">
        <v>239</v>
      </c>
      <c r="B255" s="290">
        <f t="shared" ref="B255:B266" si="156">(SUM(T255:X255)/SUM(T$140:X$140))*B$140</f>
        <v>21.731767862716893</v>
      </c>
      <c r="C255" s="290">
        <f t="shared" ref="C255:C266" si="157">(SUM(L255:P255)/SUM(L$140:P$140))*C$140</f>
        <v>63.440255274441945</v>
      </c>
      <c r="D255" s="290">
        <f t="shared" ref="D255:D266" si="158">(SUM(M255:Q255)/SUM(M$140:Q$140))*D$140</f>
        <v>70.899792294630103</v>
      </c>
      <c r="E255" s="290">
        <v>26.289370442215333</v>
      </c>
      <c r="F255" s="146">
        <f>'[2]EU Sun Oil Imports'!CC$290</f>
        <v>2.246</v>
      </c>
      <c r="G255" s="146">
        <f>'[2]EU Sun Oil Imports'!CO$290</f>
        <v>3.698</v>
      </c>
      <c r="H255" s="146">
        <f>'[2]EU Sun Oil Imports'!DA$290</f>
        <v>23.143000000000001</v>
      </c>
      <c r="I255" s="146">
        <f>'[2]EU Sun Oil Imports'!DM$290</f>
        <v>23.776</v>
      </c>
      <c r="J255" s="146">
        <f>'[2]EU Sun Oil Imports'!DY$290</f>
        <v>12.792999999999999</v>
      </c>
      <c r="K255" s="146">
        <f>'[2]EU Sun Oil Imports'!EK$290</f>
        <v>27.591999999999999</v>
      </c>
      <c r="L255" s="146">
        <f>'[2]EU Sun Oil Imports'!EW$290</f>
        <v>28.161999999999999</v>
      </c>
      <c r="M255" s="146">
        <f>'[2]EU Sun Oil Imports'!FI$290</f>
        <v>38.933</v>
      </c>
      <c r="N255" s="146">
        <f>'[2]EU Sun Oil Imports'!FU$290</f>
        <v>49.582000000000001</v>
      </c>
      <c r="O255" s="146">
        <f>'[2]EU Sun Oil Imports'!GG$290</f>
        <v>81.775000000000006</v>
      </c>
      <c r="P255" s="146">
        <f>'[2]EU Sun Oil Imports'!GS$290</f>
        <v>118.809</v>
      </c>
      <c r="Q255" s="146">
        <f>'[2]EU Sun Oil Imports'!HE$290</f>
        <v>75.23</v>
      </c>
      <c r="R255" s="146">
        <f>'[2]EU Sun Oil Imports'!HQ$290</f>
        <v>70.352000000000004</v>
      </c>
      <c r="S255" s="146">
        <f>'[2]EU Sun Oil Imports'!IC$290</f>
        <v>43.89</v>
      </c>
      <c r="T255" s="146">
        <f>'[2]EU Sun Oil Imports'!IO$290</f>
        <v>32.401000000000003</v>
      </c>
      <c r="U255" s="146">
        <f>'[2]EU Sun Oil Imports'!JA$290</f>
        <v>67.483000000000004</v>
      </c>
      <c r="V255" s="146">
        <f>'[2]EU Sun Oil Imports'!JM$290</f>
        <v>48.927999999999997</v>
      </c>
      <c r="W255" s="146">
        <f>'[2]EU Sun Oil Imports'!JY$290</f>
        <v>62.988</v>
      </c>
      <c r="X255" s="146">
        <f>'[2]EU Sun Oil Imports'!KK$290</f>
        <v>47.456000000000003</v>
      </c>
      <c r="Y255" s="146">
        <f>'[2]EU Sun Oil Imports'!KW$290</f>
        <v>64.234999999999999</v>
      </c>
      <c r="Z255" s="146">
        <f>'[2]EU Sun Oil Imports'!LI$290</f>
        <v>168.24100000000001</v>
      </c>
      <c r="AA255" s="146">
        <f>'[2]EU Sun Oil Imports'!LU$290</f>
        <v>120.858</v>
      </c>
      <c r="AB255" s="146">
        <f>'[2]EU Sun Oil Imports'!MG$290/1000</f>
        <v>161.14738699999995</v>
      </c>
      <c r="AC255" s="146">
        <f>'[2]EU Sun Oil Imports'!MS$290/1000</f>
        <v>143.44458799999992</v>
      </c>
      <c r="AD255" s="146">
        <f>'[2]EU Sun Oil Imports'!NE$290/1000</f>
        <v>192.18801099999999</v>
      </c>
      <c r="AE255" s="146">
        <f>'[2]EU Sun Oil Imports'!NQ$290/1000</f>
        <v>203.95589899999999</v>
      </c>
      <c r="AF255" s="146">
        <f>'[2]EU Sun Oil Imports'!OC$290/1000</f>
        <v>173.39332199999996</v>
      </c>
      <c r="AG255" s="146">
        <f>'[2]EU Sun Oil Imports'!OO$290/1000</f>
        <v>194.18018699999988</v>
      </c>
      <c r="AH255" s="253">
        <f t="shared" ref="AH255:AM265" si="159">(SUM(AB255:AF255)/SUM(AB$267:AF$267))*AH$267</f>
        <v>192.7878573649763</v>
      </c>
      <c r="AI255" s="253">
        <f t="shared" si="159"/>
        <v>192.85370226119088</v>
      </c>
      <c r="AJ255" s="253">
        <f t="shared" si="159"/>
        <v>197.09169264860165</v>
      </c>
      <c r="AK255" s="253">
        <f t="shared" si="159"/>
        <v>198.58125750047896</v>
      </c>
      <c r="AL255" s="253">
        <f t="shared" si="159"/>
        <v>193.34294304448613</v>
      </c>
      <c r="AM255" s="253">
        <f t="shared" si="159"/>
        <v>207.98283157660941</v>
      </c>
    </row>
    <row r="256" spans="1:39">
      <c r="A256" s="240" t="s">
        <v>240</v>
      </c>
      <c r="B256" s="290">
        <f t="shared" si="156"/>
        <v>33.666653998665502</v>
      </c>
      <c r="C256" s="290">
        <f t="shared" si="157"/>
        <v>82.221719042922658</v>
      </c>
      <c r="D256" s="290">
        <f t="shared" si="158"/>
        <v>94.202424609181449</v>
      </c>
      <c r="E256" s="290">
        <v>31.882308274810427</v>
      </c>
      <c r="F256" s="146">
        <f>'[2]EU Sun Oil Imports'!CD$290</f>
        <v>2.2819999999999996</v>
      </c>
      <c r="G256" s="146">
        <f>'[2]EU Sun Oil Imports'!CP$290</f>
        <v>3.117</v>
      </c>
      <c r="H256" s="146">
        <f>'[2]EU Sun Oil Imports'!DB$290</f>
        <v>11.962</v>
      </c>
      <c r="I256" s="146">
        <f>'[2]EU Sun Oil Imports'!DN$290</f>
        <v>34.305</v>
      </c>
      <c r="J256" s="146">
        <f>'[2]EU Sun Oil Imports'!DZ$290</f>
        <v>27.957999999999998</v>
      </c>
      <c r="K256" s="146">
        <f>'[2]EU Sun Oil Imports'!EL$290</f>
        <v>70.899000000000001</v>
      </c>
      <c r="L256" s="146">
        <f>'[2]EU Sun Oil Imports'!EX$290</f>
        <v>20.939</v>
      </c>
      <c r="M256" s="146">
        <f>'[2]EU Sun Oil Imports'!FJ$290</f>
        <v>65.915999999999997</v>
      </c>
      <c r="N256" s="146">
        <f>'[2]EU Sun Oil Imports'!FV$290</f>
        <v>100.14100000000001</v>
      </c>
      <c r="O256" s="146">
        <f>'[2]EU Sun Oil Imports'!GH$290</f>
        <v>100.861</v>
      </c>
      <c r="P256" s="146">
        <f>'[2]EU Sun Oil Imports'!GT$290</f>
        <v>123.32899999999999</v>
      </c>
      <c r="Q256" s="146">
        <f>'[2]EU Sun Oil Imports'!HF$290</f>
        <v>93.825999999999993</v>
      </c>
      <c r="R256" s="146">
        <f>'[2]EU Sun Oil Imports'!HR$290</f>
        <v>63.284999999999997</v>
      </c>
      <c r="S256" s="146">
        <f>'[2]EU Sun Oil Imports'!ID$290</f>
        <v>75.418000000000006</v>
      </c>
      <c r="T256" s="146">
        <f>'[2]EU Sun Oil Imports'!IP$290</f>
        <v>59.173000000000002</v>
      </c>
      <c r="U256" s="146">
        <f>'[2]EU Sun Oil Imports'!JB$290</f>
        <v>95.558000000000007</v>
      </c>
      <c r="V256" s="146">
        <f>'[2]EU Sun Oil Imports'!JN$290</f>
        <v>69.323999999999998</v>
      </c>
      <c r="W256" s="146">
        <f>'[2]EU Sun Oil Imports'!JZ$290</f>
        <v>66.918000000000006</v>
      </c>
      <c r="X256" s="146">
        <f>'[2]EU Sun Oil Imports'!KL$290</f>
        <v>110.664</v>
      </c>
      <c r="Y256" s="146">
        <f>'[2]EU Sun Oil Imports'!KX$290</f>
        <v>136.298</v>
      </c>
      <c r="Z256" s="146">
        <f>'[2]EU Sun Oil Imports'!LJ$290</f>
        <v>150.77799999999999</v>
      </c>
      <c r="AA256" s="146">
        <f>'[2]EU Sun Oil Imports'!LV$290</f>
        <v>154.79900000000001</v>
      </c>
      <c r="AB256" s="146">
        <f>'[2]EU Sun Oil Imports'!MH$290/1000</f>
        <v>173.50878700000001</v>
      </c>
      <c r="AC256" s="146">
        <f>'[2]EU Sun Oil Imports'!MT$290/1000</f>
        <v>134.60932799999995</v>
      </c>
      <c r="AD256" s="146">
        <f>'[2]EU Sun Oil Imports'!NF$290/1000</f>
        <v>178.5255699999999</v>
      </c>
      <c r="AE256" s="146">
        <f>'[2]EU Sun Oil Imports'!NR$290/1000</f>
        <v>207.16409000000007</v>
      </c>
      <c r="AF256" s="146">
        <f>'[2]EU Sun Oil Imports'!OD$290/1000</f>
        <v>194.34268199999994</v>
      </c>
      <c r="AG256" s="146">
        <f>'[2]EU Sun Oil Imports'!OP$290/1000</f>
        <v>220.08863199999993</v>
      </c>
      <c r="AH256" s="253">
        <f>(SUM(AB256:AF256)/SUM(AB$267:AF$267))*AH$267</f>
        <v>195.88022257075156</v>
      </c>
      <c r="AI256" s="253">
        <f t="shared" si="159"/>
        <v>198.71445008214621</v>
      </c>
      <c r="AJ256" s="253">
        <f t="shared" si="159"/>
        <v>205.22998310911353</v>
      </c>
      <c r="AK256" s="253">
        <f t="shared" si="159"/>
        <v>210.82576687601139</v>
      </c>
      <c r="AL256" s="253">
        <f t="shared" si="159"/>
        <v>206.35361357544531</v>
      </c>
      <c r="AM256" s="253">
        <f t="shared" si="159"/>
        <v>219.76134561150297</v>
      </c>
    </row>
    <row r="257" spans="1:39">
      <c r="A257" s="240" t="s">
        <v>241</v>
      </c>
      <c r="B257" s="290">
        <f t="shared" si="156"/>
        <v>30.771722599173145</v>
      </c>
      <c r="C257" s="290">
        <f t="shared" si="157"/>
        <v>82.719025408557073</v>
      </c>
      <c r="D257" s="290">
        <f t="shared" si="158"/>
        <v>92.825213818744515</v>
      </c>
      <c r="E257" s="290">
        <v>19.028321282974243</v>
      </c>
      <c r="F257" s="146">
        <f>'[2]EU Sun Oil Imports'!CE$290</f>
        <v>3.8010000000000002</v>
      </c>
      <c r="G257" s="146">
        <f>'[2]EU Sun Oil Imports'!CQ$290</f>
        <v>2.8660000000000001</v>
      </c>
      <c r="H257" s="146">
        <f>'[2]EU Sun Oil Imports'!DC$290</f>
        <v>6.2080000000000002</v>
      </c>
      <c r="I257" s="146">
        <f>'[2]EU Sun Oil Imports'!DO$290</f>
        <v>20.106999999999999</v>
      </c>
      <c r="J257" s="146">
        <f>'[2]EU Sun Oil Imports'!EA$290</f>
        <v>14.54</v>
      </c>
      <c r="K257" s="146">
        <f>'[2]EU Sun Oil Imports'!EM$290</f>
        <v>43.277000000000001</v>
      </c>
      <c r="L257" s="146">
        <f>'[2]EU Sun Oil Imports'!EY$290</f>
        <v>15.446</v>
      </c>
      <c r="M257" s="146">
        <f>'[2]EU Sun Oil Imports'!FK$290</f>
        <v>69.649000000000001</v>
      </c>
      <c r="N257" s="146">
        <f>'[2]EU Sun Oil Imports'!FW$290</f>
        <v>104.813</v>
      </c>
      <c r="O257" s="146">
        <f>'[2]EU Sun Oil Imports'!GI$290</f>
        <v>134.05000000000001</v>
      </c>
      <c r="P257" s="146">
        <f>'[2]EU Sun Oil Imports'!GU$290</f>
        <v>89.715000000000003</v>
      </c>
      <c r="Q257" s="146">
        <f>'[2]EU Sun Oil Imports'!HG$290</f>
        <v>78.769000000000005</v>
      </c>
      <c r="R257" s="146">
        <f>'[2]EU Sun Oil Imports'!HS$290</f>
        <v>47.685000000000002</v>
      </c>
      <c r="S257" s="146">
        <f>'[2]EU Sun Oil Imports'!IE$290</f>
        <v>65.600999999999999</v>
      </c>
      <c r="T257" s="146">
        <f>'[2]EU Sun Oil Imports'!IQ$290</f>
        <v>63.170999999999999</v>
      </c>
      <c r="U257" s="146">
        <f>'[2]EU Sun Oil Imports'!JC$290</f>
        <v>59.383000000000003</v>
      </c>
      <c r="V257" s="146">
        <f>'[2]EU Sun Oil Imports'!JO$290</f>
        <v>65.872</v>
      </c>
      <c r="W257" s="146">
        <f>'[2]EU Sun Oil Imports'!KA$290</f>
        <v>66.59</v>
      </c>
      <c r="X257" s="146">
        <f>'[2]EU Sun Oil Imports'!KM$290</f>
        <v>112.08499999999999</v>
      </c>
      <c r="Y257" s="146">
        <f>'[2]EU Sun Oil Imports'!KY$290</f>
        <v>143.78399999999999</v>
      </c>
      <c r="Z257" s="146">
        <f>'[2]EU Sun Oil Imports'!LK$290</f>
        <v>180.98500000000001</v>
      </c>
      <c r="AA257" s="146">
        <f>'[2]EU Sun Oil Imports'!LW$290</f>
        <v>138.94900000000001</v>
      </c>
      <c r="AB257" s="146">
        <f>'[2]EU Sun Oil Imports'!MI$290/1000</f>
        <v>267.42610500000001</v>
      </c>
      <c r="AC257" s="146">
        <f>'[2]EU Sun Oil Imports'!MU$290/1000</f>
        <v>182.46680499999999</v>
      </c>
      <c r="AD257" s="146">
        <f>'[2]EU Sun Oil Imports'!NG$290/1000</f>
        <v>199.00911400000004</v>
      </c>
      <c r="AE257" s="146">
        <f>'[2]EU Sun Oil Imports'!NS$290/1000</f>
        <v>192.17265099999995</v>
      </c>
      <c r="AF257" s="146">
        <f>'[2]EU Sun Oil Imports'!OE$290/1000</f>
        <v>195.02837299999999</v>
      </c>
      <c r="AG257" s="146">
        <f>'[2]EU Sun Oil Imports'!OQ$290/1000</f>
        <v>208.26934799999995</v>
      </c>
      <c r="AH257" s="253">
        <f>(SUM(AB257:AF257)/SUM(AB$267:AF$267))*AH$267</f>
        <v>228.51093984008847</v>
      </c>
      <c r="AI257" s="253">
        <f t="shared" si="159"/>
        <v>207.68915328889955</v>
      </c>
      <c r="AJ257" s="253">
        <f t="shared" si="159"/>
        <v>210.79122047122198</v>
      </c>
      <c r="AK257" s="253">
        <f t="shared" si="159"/>
        <v>214.03743450295778</v>
      </c>
      <c r="AL257" s="253">
        <f t="shared" si="159"/>
        <v>213.68465559958577</v>
      </c>
      <c r="AM257" s="253">
        <f t="shared" si="159"/>
        <v>227.98242426350555</v>
      </c>
    </row>
    <row r="258" spans="1:39">
      <c r="A258" s="240" t="s">
        <v>231</v>
      </c>
      <c r="B258" s="290">
        <f t="shared" si="156"/>
        <v>31.715995306356415</v>
      </c>
      <c r="C258" s="290">
        <f t="shared" si="157"/>
        <v>70.679292286382733</v>
      </c>
      <c r="D258" s="290">
        <f t="shared" si="158"/>
        <v>78.670320323759199</v>
      </c>
      <c r="E258" s="146">
        <f>'[2]EU Sun Oil Imports'!BT$290</f>
        <v>1.359</v>
      </c>
      <c r="F258" s="146">
        <f>'[2]EU Sun Oil Imports'!CF$290</f>
        <v>3.4430000000000005</v>
      </c>
      <c r="G258" s="146">
        <f>'[2]EU Sun Oil Imports'!CR$290</f>
        <v>3.7410000000000001</v>
      </c>
      <c r="H258" s="146">
        <f>'[2]EU Sun Oil Imports'!DD$290</f>
        <v>3.1509999999999998</v>
      </c>
      <c r="I258" s="146">
        <f>'[2]EU Sun Oil Imports'!DP$290</f>
        <v>27.387</v>
      </c>
      <c r="J258" s="146">
        <f>'[2]EU Sun Oil Imports'!EB$290</f>
        <v>38.996000000000002</v>
      </c>
      <c r="K258" s="146">
        <f>'[2]EU Sun Oil Imports'!EN$290</f>
        <v>66.644999999999996</v>
      </c>
      <c r="L258" s="146">
        <f>'[2]EU Sun Oil Imports'!EZ$290</f>
        <v>13.439</v>
      </c>
      <c r="M258" s="146">
        <f>'[2]EU Sun Oil Imports'!FL$290</f>
        <v>55.36</v>
      </c>
      <c r="N258" s="146">
        <f>'[2]EU Sun Oil Imports'!FX$290</f>
        <v>85.78</v>
      </c>
      <c r="O258" s="146">
        <f>'[2]EU Sun Oil Imports'!GJ$290</f>
        <v>86.483999999999995</v>
      </c>
      <c r="P258" s="146">
        <f>'[2]EU Sun Oil Imports'!GV$290</f>
        <v>112.4</v>
      </c>
      <c r="Q258" s="146">
        <f>'[2]EU Sun Oil Imports'!HH$290</f>
        <v>64.234999999999999</v>
      </c>
      <c r="R258" s="146">
        <f>'[2]EU Sun Oil Imports'!HT$290</f>
        <v>64.781999999999996</v>
      </c>
      <c r="S258" s="146">
        <f>'[2]EU Sun Oil Imports'!IF$290</f>
        <v>62.423999999999999</v>
      </c>
      <c r="T258" s="146">
        <f>'[2]EU Sun Oil Imports'!IR$290</f>
        <v>70.472999999999999</v>
      </c>
      <c r="U258" s="146">
        <f>'[2]EU Sun Oil Imports'!JD$290</f>
        <v>102.705</v>
      </c>
      <c r="V258" s="146">
        <f>'[2]EU Sun Oil Imports'!JP$290</f>
        <v>48.04</v>
      </c>
      <c r="W258" s="146">
        <f>'[2]EU Sun Oil Imports'!KB$290</f>
        <v>57.895000000000003</v>
      </c>
      <c r="X258" s="146">
        <f>'[2]EU Sun Oil Imports'!KN$290</f>
        <v>99.253</v>
      </c>
      <c r="Y258" s="146">
        <f>'[2]EU Sun Oil Imports'!KZ$290</f>
        <v>137.25200000000001</v>
      </c>
      <c r="Z258" s="146">
        <f>'[2]EU Sun Oil Imports'!LL$290</f>
        <v>154.50299999999999</v>
      </c>
      <c r="AA258" s="146">
        <f>'[2]EU Sun Oil Imports'!LX$290</f>
        <v>251.607</v>
      </c>
      <c r="AB258" s="146">
        <f>'[2]EU Sun Oil Imports'!MJ$290/1000</f>
        <v>175.73512400000001</v>
      </c>
      <c r="AC258" s="146">
        <f>'[2]EU Sun Oil Imports'!MV$290/1000</f>
        <v>174.28930399999999</v>
      </c>
      <c r="AD258" s="146">
        <f>'[2]EU Sun Oil Imports'!NH$290/1000</f>
        <v>252.39203599999991</v>
      </c>
      <c r="AE258" s="146">
        <f>'[2]EU Sun Oil Imports'!NT$290/1000</f>
        <v>147.18159899999998</v>
      </c>
      <c r="AF258" s="146">
        <f>'[2]EU Sun Oil Imports'!OF$290/1000</f>
        <v>263.14773999999989</v>
      </c>
      <c r="AG258" s="146">
        <f>'[2]EU Sun Oil Imports'!OR$290/1000</f>
        <v>232.5374679999999</v>
      </c>
      <c r="AH258" s="253">
        <f t="shared" ref="AH258:AH265" si="160">(SUM(AB258:AF258)/SUM(AB$267:AF$267))*AH$267</f>
        <v>223.35953524058647</v>
      </c>
      <c r="AI258" s="253">
        <f t="shared" ref="AI258:AI265" si="161">(SUM(AC258:AG258)/SUM(AC$267:AG$267))*AI$267</f>
        <v>227.37539524794764</v>
      </c>
      <c r="AJ258" s="253">
        <f t="shared" si="159"/>
        <v>230.49573801947892</v>
      </c>
      <c r="AK258" s="253">
        <f t="shared" si="159"/>
        <v>226.88612126814868</v>
      </c>
      <c r="AL258" s="253">
        <f t="shared" si="159"/>
        <v>239.44729065654576</v>
      </c>
      <c r="AM258" s="253">
        <f t="shared" si="159"/>
        <v>243.19609646925707</v>
      </c>
    </row>
    <row r="259" spans="1:39">
      <c r="A259" s="240" t="s">
        <v>232</v>
      </c>
      <c r="B259" s="290">
        <f t="shared" si="156"/>
        <v>31.301403845217628</v>
      </c>
      <c r="C259" s="290">
        <f t="shared" si="157"/>
        <v>68.083181090149736</v>
      </c>
      <c r="D259" s="290">
        <f t="shared" si="158"/>
        <v>81.299027877415</v>
      </c>
      <c r="E259" s="146">
        <f>'[2]EU Sun Oil Imports'!BU$290</f>
        <v>0.62399999999999989</v>
      </c>
      <c r="F259" s="146">
        <f>'[2]EU Sun Oil Imports'!CG$290</f>
        <v>0.88700000000000001</v>
      </c>
      <c r="G259" s="146">
        <f>'[2]EU Sun Oil Imports'!CS$290</f>
        <v>2.782</v>
      </c>
      <c r="H259" s="146">
        <f>'[2]EU Sun Oil Imports'!DE$290</f>
        <v>5.0019999999999998</v>
      </c>
      <c r="I259" s="146">
        <f>'[2]EU Sun Oil Imports'!DQ$290</f>
        <v>14.86</v>
      </c>
      <c r="J259" s="146">
        <f>'[2]EU Sun Oil Imports'!EC$290</f>
        <v>44.061999999999998</v>
      </c>
      <c r="K259" s="146">
        <f>'[2]EU Sun Oil Imports'!EO$290</f>
        <v>65.326999999999998</v>
      </c>
      <c r="L259" s="146">
        <f>'[2]EU Sun Oil Imports'!FA$290</f>
        <v>14.048</v>
      </c>
      <c r="M259" s="146">
        <f>'[2]EU Sun Oil Imports'!FM$290</f>
        <v>59.936999999999998</v>
      </c>
      <c r="N259" s="146">
        <f>'[2]EU Sun Oil Imports'!FY$290</f>
        <v>102.29600000000001</v>
      </c>
      <c r="O259" s="146">
        <f>'[2]EU Sun Oil Imports'!GK$290</f>
        <v>88.462999999999994</v>
      </c>
      <c r="P259" s="146">
        <f>'[2]EU Sun Oil Imports'!GW$290</f>
        <v>75.736000000000004</v>
      </c>
      <c r="Q259" s="146">
        <f>'[2]EU Sun Oil Imports'!HI$290</f>
        <v>91.334999999999994</v>
      </c>
      <c r="R259" s="146">
        <f>'[2]EU Sun Oil Imports'!HU$290</f>
        <v>61.914999999999999</v>
      </c>
      <c r="S259" s="146">
        <f>'[2]EU Sun Oil Imports'!IG$290</f>
        <v>54.625</v>
      </c>
      <c r="T259" s="146">
        <f>'[2]EU Sun Oil Imports'!IS$290</f>
        <v>42.720999999999997</v>
      </c>
      <c r="U259" s="146">
        <f>'[2]EU Sun Oil Imports'!JE$290</f>
        <v>104.42700000000001</v>
      </c>
      <c r="V259" s="146">
        <f>'[2]EU Sun Oil Imports'!JQ$290</f>
        <v>56.185000000000002</v>
      </c>
      <c r="W259" s="146">
        <f>'[2]EU Sun Oil Imports'!KC$290</f>
        <v>65.204999999999998</v>
      </c>
      <c r="X259" s="146">
        <f>'[2]EU Sun Oil Imports'!KO$290</f>
        <v>104.88200000000001</v>
      </c>
      <c r="Y259" s="146">
        <f>'[2]EU Sun Oil Imports'!LA$290</f>
        <v>167.65700000000001</v>
      </c>
      <c r="Z259" s="146">
        <f>'[2]EU Sun Oil Imports'!LM$290</f>
        <v>103.084</v>
      </c>
      <c r="AA259" s="146">
        <f>'[2]EU Sun Oil Imports'!LY$290</f>
        <v>138.08500000000001</v>
      </c>
      <c r="AB259" s="146">
        <f>'[2]EU Sun Oil Imports'!MK$290/1000</f>
        <v>287.44974000000013</v>
      </c>
      <c r="AC259" s="146">
        <f>'[2]EU Sun Oil Imports'!MW$290/1000</f>
        <v>122.43069400000002</v>
      </c>
      <c r="AD259" s="146">
        <f>'[2]EU Sun Oil Imports'!NI$290/1000</f>
        <v>190.07634099999999</v>
      </c>
      <c r="AE259" s="146">
        <f>'[2]EU Sun Oil Imports'!NU$290/1000</f>
        <v>114.12010200000002</v>
      </c>
      <c r="AF259" s="146">
        <f>'[2]EU Sun Oil Imports'!OG$290/1000</f>
        <v>274.43479499999995</v>
      </c>
      <c r="AG259" s="253">
        <f t="shared" ref="AG259:AG265" si="162">(SUM(AA259:AE259)/SUM(AA$267:AE$267))*AG$267</f>
        <v>251.80804645399076</v>
      </c>
      <c r="AH259" s="253">
        <f t="shared" si="160"/>
        <v>218.01473477724707</v>
      </c>
      <c r="AI259" s="253">
        <f t="shared" si="161"/>
        <v>202.57076652284596</v>
      </c>
      <c r="AJ259" s="253">
        <f t="shared" si="159"/>
        <v>216.03809453076707</v>
      </c>
      <c r="AK259" s="253">
        <f t="shared" si="159"/>
        <v>220.11164507522798</v>
      </c>
      <c r="AL259" s="253">
        <f t="shared" si="159"/>
        <v>236.58888741432639</v>
      </c>
      <c r="AM259" s="253">
        <f t="shared" si="159"/>
        <v>236.34979522960165</v>
      </c>
    </row>
    <row r="260" spans="1:39">
      <c r="A260" s="240" t="s">
        <v>233</v>
      </c>
      <c r="B260" s="290">
        <f t="shared" si="156"/>
        <v>40.521746940826873</v>
      </c>
      <c r="C260" s="290">
        <f t="shared" si="157"/>
        <v>92.391004338742263</v>
      </c>
      <c r="D260" s="290">
        <f t="shared" si="158"/>
        <v>99.676433698371866</v>
      </c>
      <c r="E260" s="146">
        <f>'[2]EU Sun Oil Imports'!BV$290</f>
        <v>1.1460000000000001</v>
      </c>
      <c r="F260" s="146">
        <f>'[2]EU Sun Oil Imports'!CH$290</f>
        <v>1.3920000000000001</v>
      </c>
      <c r="G260" s="146">
        <f>'[2]EU Sun Oil Imports'!CT$290</f>
        <v>2.8090000000000002</v>
      </c>
      <c r="H260" s="146">
        <f>'[2]EU Sun Oil Imports'!DF$290</f>
        <v>3.5710000000000002</v>
      </c>
      <c r="I260" s="146">
        <f>'[2]EU Sun Oil Imports'!DR$290</f>
        <v>18.780999999999999</v>
      </c>
      <c r="J260" s="146">
        <f>'[2]EU Sun Oil Imports'!ED$290</f>
        <v>72.623999999999995</v>
      </c>
      <c r="K260" s="146">
        <f>'[2]EU Sun Oil Imports'!EP$290</f>
        <v>85.281999999999996</v>
      </c>
      <c r="L260" s="146">
        <f>'[2]EU Sun Oil Imports'!FB$290</f>
        <v>32.780999999999999</v>
      </c>
      <c r="M260" s="146">
        <f>'[2]EU Sun Oil Imports'!FN$290</f>
        <v>82.658000000000001</v>
      </c>
      <c r="N260" s="146">
        <f>'[2]EU Sun Oil Imports'!FZ$290</f>
        <v>151.18</v>
      </c>
      <c r="O260" s="146">
        <f>'[2]EU Sun Oil Imports'!GL$290</f>
        <v>103.827</v>
      </c>
      <c r="P260" s="146">
        <f>'[2]EU Sun Oil Imports'!GX$290</f>
        <v>91.596000000000004</v>
      </c>
      <c r="Q260" s="146">
        <f>'[2]EU Sun Oil Imports'!HJ$290</f>
        <v>82.941000000000003</v>
      </c>
      <c r="R260" s="146">
        <f>'[2]EU Sun Oil Imports'!HV$290</f>
        <v>76.704999999999998</v>
      </c>
      <c r="S260" s="146">
        <f>'[2]EU Sun Oil Imports'!IH$290</f>
        <v>83.206000000000003</v>
      </c>
      <c r="T260" s="146">
        <f>'[2]EU Sun Oil Imports'!IT$290</f>
        <v>93.921999999999997</v>
      </c>
      <c r="U260" s="146">
        <f>'[2]EU Sun Oil Imports'!JF$290</f>
        <v>82.36</v>
      </c>
      <c r="V260" s="146">
        <f>'[2]EU Sun Oil Imports'!JR$290</f>
        <v>74.346999999999994</v>
      </c>
      <c r="W260" s="146">
        <f>'[2]EU Sun Oil Imports'!KD$290</f>
        <v>81.090999999999994</v>
      </c>
      <c r="X260" s="146">
        <f>'[2]EU Sun Oil Imports'!KP$290</f>
        <v>151.697</v>
      </c>
      <c r="Y260" s="146">
        <f>'[2]EU Sun Oil Imports'!LB$290</f>
        <v>134.10599999999999</v>
      </c>
      <c r="Z260" s="146">
        <f>'[2]EU Sun Oil Imports'!LN$290</f>
        <v>179.87</v>
      </c>
      <c r="AA260" s="146">
        <f>'[2]EU Sun Oil Imports'!LZ$290</f>
        <v>210.09</v>
      </c>
      <c r="AB260" s="146">
        <f>'[2]EU Sun Oil Imports'!ML$290/1000</f>
        <v>227.909549</v>
      </c>
      <c r="AC260" s="146">
        <f>'[2]EU Sun Oil Imports'!MX$290/1000</f>
        <v>120.438078</v>
      </c>
      <c r="AD260" s="146">
        <f>'[2]EU Sun Oil Imports'!NJ$290/1000</f>
        <v>156.34016699999998</v>
      </c>
      <c r="AE260" s="146">
        <f>'[2]EU Sun Oil Imports'!NV$290/1000</f>
        <v>148.82794000000001</v>
      </c>
      <c r="AF260" s="146">
        <f>'[2]EU Sun Oil Imports'!OH$290/1000</f>
        <v>331.42242299999981</v>
      </c>
      <c r="AG260" s="253">
        <f t="shared" si="162"/>
        <v>255.18962846656981</v>
      </c>
      <c r="AH260" s="253">
        <f t="shared" si="160"/>
        <v>217.22660151892012</v>
      </c>
      <c r="AI260" s="253">
        <f t="shared" si="161"/>
        <v>215.18762127663888</v>
      </c>
      <c r="AJ260" s="253">
        <f t="shared" si="159"/>
        <v>228.51522608943671</v>
      </c>
      <c r="AK260" s="253">
        <f t="shared" si="159"/>
        <v>242.29104965496995</v>
      </c>
      <c r="AL260" s="253">
        <f t="shared" si="159"/>
        <v>253.81629919642828</v>
      </c>
      <c r="AM260" s="253">
        <f t="shared" si="159"/>
        <v>246.98178179573304</v>
      </c>
    </row>
    <row r="261" spans="1:39">
      <c r="A261" s="240" t="s">
        <v>234</v>
      </c>
      <c r="B261" s="290">
        <f t="shared" si="156"/>
        <v>35.378834586053479</v>
      </c>
      <c r="C261" s="290">
        <f t="shared" si="157"/>
        <v>92.87971232330618</v>
      </c>
      <c r="D261" s="290">
        <f t="shared" si="158"/>
        <v>98.840221353238675</v>
      </c>
      <c r="E261" s="146">
        <f>'[2]EU Sun Oil Imports'!BW$290</f>
        <v>0.70399999999999996</v>
      </c>
      <c r="F261" s="146">
        <f>'[2]EU Sun Oil Imports'!CI$290</f>
        <v>9.1359999999999992</v>
      </c>
      <c r="G261" s="146">
        <f>'[2]EU Sun Oil Imports'!CU$290</f>
        <v>6.4349999999999996</v>
      </c>
      <c r="H261" s="146">
        <f>'[2]EU Sun Oil Imports'!DG$290</f>
        <v>5.141</v>
      </c>
      <c r="I261" s="146">
        <f>'[2]EU Sun Oil Imports'!DS$290</f>
        <v>31.062000000000001</v>
      </c>
      <c r="J261" s="146">
        <f>'[2]EU Sun Oil Imports'!EE$290</f>
        <v>93.438999999999993</v>
      </c>
      <c r="K261" s="146">
        <f>'[2]EU Sun Oil Imports'!EQ$290</f>
        <v>66.674000000000007</v>
      </c>
      <c r="L261" s="146">
        <f>'[2]EU Sun Oil Imports'!FC$290</f>
        <v>49.87</v>
      </c>
      <c r="M261" s="146">
        <f>'[2]EU Sun Oil Imports'!FO$290</f>
        <v>102.51300000000001</v>
      </c>
      <c r="N261" s="146">
        <f>'[2]EU Sun Oil Imports'!GA$290</f>
        <v>104.658</v>
      </c>
      <c r="O261" s="146">
        <f>'[2]EU Sun Oil Imports'!GM$290</f>
        <v>114.806</v>
      </c>
      <c r="P261" s="146">
        <f>'[2]EU Sun Oil Imports'!GY$290</f>
        <v>92.638999999999996</v>
      </c>
      <c r="Q261" s="146">
        <f>'[2]EU Sun Oil Imports'!HK$290</f>
        <v>93.289000000000001</v>
      </c>
      <c r="R261" s="146">
        <f>'[2]EU Sun Oil Imports'!HW$290</f>
        <v>100.736</v>
      </c>
      <c r="S261" s="146">
        <f>'[2]EU Sun Oil Imports'!II$290</f>
        <v>62.712000000000003</v>
      </c>
      <c r="T261" s="146">
        <f>'[2]EU Sun Oil Imports'!IU$290</f>
        <v>84.457999999999998</v>
      </c>
      <c r="U261" s="146">
        <f>'[2]EU Sun Oil Imports'!JG$290</f>
        <v>84.623000000000005</v>
      </c>
      <c r="V261" s="146">
        <f>'[2]EU Sun Oil Imports'!JS$290</f>
        <v>59.972999999999999</v>
      </c>
      <c r="W261" s="146">
        <f>'[2]EU Sun Oil Imports'!KE$290</f>
        <v>69.185000000000002</v>
      </c>
      <c r="X261" s="146">
        <f>'[2]EU Sun Oil Imports'!KQ$290</f>
        <v>123.824</v>
      </c>
      <c r="Y261" s="146">
        <f>'[2]EU Sun Oil Imports'!LC$290</f>
        <v>120.52200000000001</v>
      </c>
      <c r="Z261" s="146">
        <f>'[2]EU Sun Oil Imports'!LO$290</f>
        <v>129.31200000000001</v>
      </c>
      <c r="AA261" s="146">
        <f>'[2]EU Sun Oil Imports'!MA$290</f>
        <v>203.8</v>
      </c>
      <c r="AB261" s="146">
        <f>'[2]EU Sun Oil Imports'!MM$290/1000</f>
        <v>299.59186999999997</v>
      </c>
      <c r="AC261" s="146">
        <f>'[2]EU Sun Oil Imports'!MY$290/1000</f>
        <v>133.86274199999994</v>
      </c>
      <c r="AD261" s="146">
        <f>'[2]EU Sun Oil Imports'!NK$290/1000</f>
        <v>133.60307999999998</v>
      </c>
      <c r="AE261" s="146">
        <f>'[2]EU Sun Oil Imports'!NW$290/1000</f>
        <v>131.25458300000003</v>
      </c>
      <c r="AF261" s="146">
        <f>'[2]EU Sun Oil Imports'!OI$290/1000</f>
        <v>325.88397499999991</v>
      </c>
      <c r="AG261" s="253">
        <f t="shared" si="162"/>
        <v>266.56804978136245</v>
      </c>
      <c r="AH261" s="253">
        <f t="shared" si="160"/>
        <v>225.88491378339631</v>
      </c>
      <c r="AI261" s="253">
        <f t="shared" si="161"/>
        <v>210.71349018980249</v>
      </c>
      <c r="AJ261" s="253">
        <f t="shared" si="159"/>
        <v>223.19652882789171</v>
      </c>
      <c r="AK261" s="253">
        <f t="shared" si="159"/>
        <v>240.72484029657667</v>
      </c>
      <c r="AL261" s="253">
        <f t="shared" si="159"/>
        <v>254.77363948533608</v>
      </c>
      <c r="AM261" s="253">
        <f t="shared" si="159"/>
        <v>248.83193204779312</v>
      </c>
    </row>
    <row r="262" spans="1:39">
      <c r="A262" s="240" t="s">
        <v>46</v>
      </c>
      <c r="B262" s="290">
        <f t="shared" si="156"/>
        <v>44.940004386270545</v>
      </c>
      <c r="C262" s="290">
        <f t="shared" si="157"/>
        <v>98.321487729166549</v>
      </c>
      <c r="D262" s="290">
        <f t="shared" si="158"/>
        <v>100.62084573256578</v>
      </c>
      <c r="E262" s="146">
        <f>'[2]EU Sun Oil Imports'!BX$290</f>
        <v>1.4570000000000001</v>
      </c>
      <c r="F262" s="146">
        <f>'[2]EU Sun Oil Imports'!CJ$290</f>
        <v>13.871</v>
      </c>
      <c r="G262" s="146">
        <f>'[2]EU Sun Oil Imports'!CV$290</f>
        <v>10.220000000000001</v>
      </c>
      <c r="H262" s="146">
        <f>'[2]EU Sun Oil Imports'!DH$290</f>
        <v>7.6470000000000002</v>
      </c>
      <c r="I262" s="146">
        <f>'[2]EU Sun Oil Imports'!DT$290</f>
        <v>26.635000000000002</v>
      </c>
      <c r="J262" s="146">
        <f>'[2]EU Sun Oil Imports'!EF$290</f>
        <v>84.813999999999993</v>
      </c>
      <c r="K262" s="146">
        <f>'[2]EU Sun Oil Imports'!ER$290</f>
        <v>94.953999999999994</v>
      </c>
      <c r="L262" s="146">
        <f>'[2]EU Sun Oil Imports'!FD$290</f>
        <v>62.000999999999998</v>
      </c>
      <c r="M262" s="146">
        <f>'[2]EU Sun Oil Imports'!FP$290</f>
        <v>113.732</v>
      </c>
      <c r="N262" s="146">
        <f>'[2]EU Sun Oil Imports'!GB$290</f>
        <v>117.562</v>
      </c>
      <c r="O262" s="146">
        <f>'[2]EU Sun Oil Imports'!GN$290</f>
        <v>85.486999999999995</v>
      </c>
      <c r="P262" s="146">
        <f>'[2]EU Sun Oil Imports'!GZ$290</f>
        <v>112.91800000000001</v>
      </c>
      <c r="Q262" s="146">
        <f>'[2]EU Sun Oil Imports'!HL$290</f>
        <v>87.355999999999995</v>
      </c>
      <c r="R262" s="146">
        <f>'[2]EU Sun Oil Imports'!HX$290</f>
        <v>112.83199999999999</v>
      </c>
      <c r="S262" s="146">
        <f>'[2]EU Sun Oil Imports'!IJ$290</f>
        <v>77.055999999999997</v>
      </c>
      <c r="T262" s="146">
        <f>'[2]EU Sun Oil Imports'!IV$290</f>
        <v>126.254</v>
      </c>
      <c r="U262" s="146">
        <f>'[2]EU Sun Oil Imports'!JH$290</f>
        <v>99.774000000000001</v>
      </c>
      <c r="V262" s="146">
        <f>'[2]EU Sun Oil Imports'!JT$290</f>
        <v>104.379</v>
      </c>
      <c r="W262" s="146">
        <f>'[2]EU Sun Oil Imports'!KF$290</f>
        <v>43.972000000000001</v>
      </c>
      <c r="X262" s="146">
        <f>'[2]EU Sun Oil Imports'!KR$290</f>
        <v>161.74700000000001</v>
      </c>
      <c r="Y262" s="146">
        <f>'[2]EU Sun Oil Imports'!LD$290</f>
        <v>200.012</v>
      </c>
      <c r="Z262" s="146">
        <f>'[2]EU Sun Oil Imports'!LP$290</f>
        <v>109.943</v>
      </c>
      <c r="AA262" s="146">
        <f>'[2]EU Sun Oil Imports'!MB$290</f>
        <v>193.4</v>
      </c>
      <c r="AB262" s="146">
        <f>'[2]EU Sun Oil Imports'!MN$290/1000</f>
        <v>183.93002899999996</v>
      </c>
      <c r="AC262" s="146">
        <f>'[2]EU Sun Oil Imports'!MZ$290/1000</f>
        <v>81.994247000000016</v>
      </c>
      <c r="AD262" s="146">
        <f>'[2]EU Sun Oil Imports'!NL$290/1000</f>
        <v>136.61663700000003</v>
      </c>
      <c r="AE262" s="146">
        <f>'[2]EU Sun Oil Imports'!NX$290/1000</f>
        <v>146.00865300000001</v>
      </c>
      <c r="AF262" s="146">
        <f>'[2]EU Sun Oil Imports'!OJ$290/1000</f>
        <v>300.23168799999996</v>
      </c>
      <c r="AG262" s="253">
        <f t="shared" si="162"/>
        <v>219.2410571563814</v>
      </c>
      <c r="AH262" s="253">
        <f t="shared" si="160"/>
        <v>187.19740516600513</v>
      </c>
      <c r="AI262" s="253">
        <f t="shared" si="161"/>
        <v>187.94930612036049</v>
      </c>
      <c r="AJ262" s="253">
        <f t="shared" si="159"/>
        <v>203.84823553057237</v>
      </c>
      <c r="AK262" s="253">
        <f t="shared" si="159"/>
        <v>215.89584886385288</v>
      </c>
      <c r="AL262" s="253">
        <f t="shared" si="159"/>
        <v>223.4867571819774</v>
      </c>
      <c r="AM262" s="253">
        <f t="shared" si="159"/>
        <v>216.22056485018956</v>
      </c>
    </row>
    <row r="263" spans="1:39">
      <c r="A263" s="240" t="s">
        <v>235</v>
      </c>
      <c r="B263" s="290">
        <f t="shared" si="156"/>
        <v>45.459291507531113</v>
      </c>
      <c r="C263" s="290">
        <f t="shared" si="157"/>
        <v>90.167822926147423</v>
      </c>
      <c r="D263" s="290">
        <f t="shared" si="158"/>
        <v>99.077248729634348</v>
      </c>
      <c r="E263" s="146">
        <f>'[2]EU Sun Oil Imports'!BY$290</f>
        <v>4.7329999999999988</v>
      </c>
      <c r="F263" s="146">
        <f>'[2]EU Sun Oil Imports'!CK$290</f>
        <v>30.148</v>
      </c>
      <c r="G263" s="146">
        <f>'[2]EU Sun Oil Imports'!CW$290</f>
        <v>9.4480000000000004</v>
      </c>
      <c r="H263" s="146">
        <f>'[2]EU Sun Oil Imports'!DI$290</f>
        <v>12.255000000000001</v>
      </c>
      <c r="I263" s="146">
        <f>'[2]EU Sun Oil Imports'!DU$290</f>
        <v>22.917999999999999</v>
      </c>
      <c r="J263" s="146">
        <f>'[2]EU Sun Oil Imports'!EG$290</f>
        <v>117.002</v>
      </c>
      <c r="K263" s="146">
        <f>'[2]EU Sun Oil Imports'!ES$290</f>
        <v>63.098999999999997</v>
      </c>
      <c r="L263" s="146">
        <f>'[2]EU Sun Oil Imports'!FE$290</f>
        <v>48.914000000000001</v>
      </c>
      <c r="M263" s="146">
        <f>'[2]EU Sun Oil Imports'!FQ$290</f>
        <v>82.632000000000005</v>
      </c>
      <c r="N263" s="146">
        <f>'[2]EU Sun Oil Imports'!GC$290</f>
        <v>139.45400000000001</v>
      </c>
      <c r="O263" s="146">
        <f>'[2]EU Sun Oil Imports'!GO$290</f>
        <v>110.723</v>
      </c>
      <c r="P263" s="146">
        <f>'[2]EU Sun Oil Imports'!HA$290</f>
        <v>69.200999999999993</v>
      </c>
      <c r="Q263" s="146">
        <f>'[2]EU Sun Oil Imports'!HM$290</f>
        <v>107.113</v>
      </c>
      <c r="R263" s="146">
        <f>'[2]EU Sun Oil Imports'!HY$290</f>
        <v>114.63500000000001</v>
      </c>
      <c r="S263" s="146">
        <f>'[2]EU Sun Oil Imports'!IK$290</f>
        <v>103.441</v>
      </c>
      <c r="T263" s="146">
        <f>'[2]EU Sun Oil Imports'!IW$290</f>
        <v>114.10599999999999</v>
      </c>
      <c r="U263" s="146">
        <f>'[2]EU Sun Oil Imports'!JI$290</f>
        <v>48.64</v>
      </c>
      <c r="V263" s="146">
        <f>'[2]EU Sun Oil Imports'!JU$290</f>
        <v>133.92099999999999</v>
      </c>
      <c r="W263" s="146">
        <f>'[2]EU Sun Oil Imports'!KG$290</f>
        <v>87.463999999999999</v>
      </c>
      <c r="X263" s="146">
        <f>'[2]EU Sun Oil Imports'!KS$290</f>
        <v>158.19</v>
      </c>
      <c r="Y263" s="146">
        <f>'[2]EU Sun Oil Imports'!LE$290</f>
        <v>285.43099999999998</v>
      </c>
      <c r="Z263" s="146">
        <f>'[2]EU Sun Oil Imports'!LQ$290</f>
        <v>143.84299999999999</v>
      </c>
      <c r="AA263" s="146">
        <f>'[2]EU Sun Oil Imports'!MC$290</f>
        <v>189.25800000000001</v>
      </c>
      <c r="AB263" s="146">
        <f>'[2]EU Sun Oil Imports'!MO$290/1000</f>
        <v>114.32389900000001</v>
      </c>
      <c r="AC263" s="146">
        <f>'[2]EU Sun Oil Imports'!NA$290/1000</f>
        <v>136.15822399999993</v>
      </c>
      <c r="AD263" s="146">
        <f>'[2]EU Sun Oil Imports'!NM$290/1000</f>
        <v>172.39904799999988</v>
      </c>
      <c r="AE263" s="146">
        <f>'[2]EU Sun Oil Imports'!NY$290/1000</f>
        <v>196.94902699999997</v>
      </c>
      <c r="AF263" s="146">
        <f>'[2]EU Sun Oil Imports'!OK$290/1000</f>
        <v>294.70432500000004</v>
      </c>
      <c r="AG263" s="253">
        <f t="shared" si="162"/>
        <v>239.08006688189317</v>
      </c>
      <c r="AH263" s="253">
        <f t="shared" si="160"/>
        <v>201.69918790446118</v>
      </c>
      <c r="AI263" s="253">
        <f t="shared" si="161"/>
        <v>220.94295827598964</v>
      </c>
      <c r="AJ263" s="253">
        <f t="shared" si="159"/>
        <v>227.65492916163436</v>
      </c>
      <c r="AK263" s="253">
        <f t="shared" si="159"/>
        <v>239.28720973269134</v>
      </c>
      <c r="AL263" s="253">
        <f t="shared" si="159"/>
        <v>240.90515295336729</v>
      </c>
      <c r="AM263" s="253">
        <f t="shared" si="159"/>
        <v>240.63975805868617</v>
      </c>
    </row>
    <row r="264" spans="1:39">
      <c r="A264" s="240" t="s">
        <v>236</v>
      </c>
      <c r="B264" s="290">
        <f t="shared" si="156"/>
        <v>50.798434879394264</v>
      </c>
      <c r="C264" s="290">
        <f t="shared" si="157"/>
        <v>102.31613560463036</v>
      </c>
      <c r="D264" s="290">
        <f t="shared" si="158"/>
        <v>109.46052680432038</v>
      </c>
      <c r="E264" s="146">
        <f>'[2]EU Sun Oil Imports'!BZ$290</f>
        <v>10.329000000000001</v>
      </c>
      <c r="F264" s="146">
        <f>'[2]EU Sun Oil Imports'!CL$290</f>
        <v>39.191000000000003</v>
      </c>
      <c r="G264" s="146">
        <f>'[2]EU Sun Oil Imports'!CX$290</f>
        <v>23.666</v>
      </c>
      <c r="H264" s="146">
        <f>'[2]EU Sun Oil Imports'!DJ$290</f>
        <v>18.178999999999998</v>
      </c>
      <c r="I264" s="146">
        <f>'[2]EU Sun Oil Imports'!DV$290</f>
        <v>31.213999999999999</v>
      </c>
      <c r="J264" s="146">
        <f>'[2]EU Sun Oil Imports'!EH$290</f>
        <v>85.358999999999995</v>
      </c>
      <c r="K264" s="146">
        <f>'[2]EU Sun Oil Imports'!ET$290</f>
        <v>72.412000000000006</v>
      </c>
      <c r="L264" s="146">
        <f>'[2]EU Sun Oil Imports'!FF$290</f>
        <v>63.454999999999998</v>
      </c>
      <c r="M264" s="146">
        <f>'[2]EU Sun Oil Imports'!FR$290</f>
        <v>81.52</v>
      </c>
      <c r="N264" s="146">
        <f>'[2]EU Sun Oil Imports'!GD$290</f>
        <v>113.187</v>
      </c>
      <c r="O264" s="146">
        <f>'[2]EU Sun Oil Imports'!GP$290</f>
        <v>136.5</v>
      </c>
      <c r="P264" s="146">
        <f>'[2]EU Sun Oil Imports'!HB$290</f>
        <v>117.015</v>
      </c>
      <c r="Q264" s="146">
        <f>'[2]EU Sun Oil Imports'!HN$290</f>
        <v>114.25700000000001</v>
      </c>
      <c r="R264" s="146">
        <f>'[2]EU Sun Oil Imports'!HZ$290</f>
        <v>113.764</v>
      </c>
      <c r="S264" s="146">
        <f>'[2]EU Sun Oil Imports'!IL$290</f>
        <v>82.813999999999993</v>
      </c>
      <c r="T264" s="146">
        <f>'[2]EU Sun Oil Imports'!IX$290</f>
        <v>127.123</v>
      </c>
      <c r="U264" s="146">
        <f>'[2]EU Sun Oil Imports'!JJ$290</f>
        <v>75.429000000000002</v>
      </c>
      <c r="V264" s="146">
        <f>'[2]EU Sun Oil Imports'!JV$290</f>
        <v>181.15600000000001</v>
      </c>
      <c r="W264" s="146">
        <f>'[2]EU Sun Oil Imports'!KH$290</f>
        <v>105.967</v>
      </c>
      <c r="X264" s="146">
        <f>'[2]EU Sun Oil Imports'!KT$290</f>
        <v>116.34099999999999</v>
      </c>
      <c r="Y264" s="146">
        <f>'[2]EU Sun Oil Imports'!LF$290</f>
        <v>204.88300000000001</v>
      </c>
      <c r="Z264" s="146">
        <f>'[2]EU Sun Oil Imports'!LR$290</f>
        <v>131.59800000000001</v>
      </c>
      <c r="AA264" s="146">
        <f>'[2]EU Sun Oil Imports'!MD$290/1000</f>
        <v>224.93617900000001</v>
      </c>
      <c r="AB264" s="146">
        <f>'[2]EU Sun Oil Imports'!MP$290/1000</f>
        <v>234.37398499999998</v>
      </c>
      <c r="AC264" s="146">
        <f>'[2]EU Sun Oil Imports'!NB$290/1000</f>
        <v>135.806501</v>
      </c>
      <c r="AD264" s="146">
        <f>'[2]EU Sun Oil Imports'!NN$290/1000</f>
        <v>165.83067599999995</v>
      </c>
      <c r="AE264" s="146">
        <f>'[2]EU Sun Oil Imports'!NZ$290/1000</f>
        <v>176.88590300000004</v>
      </c>
      <c r="AF264" s="146">
        <f>'[2]EU Sun Oil Imports'!OL$290/1000</f>
        <v>233.3149159999999</v>
      </c>
      <c r="AG264" s="253">
        <f t="shared" si="162"/>
        <v>277.12335349079319</v>
      </c>
      <c r="AH264" s="253">
        <f t="shared" si="160"/>
        <v>208.68560273385268</v>
      </c>
      <c r="AI264" s="253">
        <f t="shared" si="161"/>
        <v>210.24343631106566</v>
      </c>
      <c r="AJ264" s="253">
        <f t="shared" si="159"/>
        <v>218.79642175101284</v>
      </c>
      <c r="AK264" s="253">
        <f t="shared" si="159"/>
        <v>229.51088289433332</v>
      </c>
      <c r="AL264" s="253">
        <f t="shared" si="159"/>
        <v>233.59757475868952</v>
      </c>
      <c r="AM264" s="253">
        <f t="shared" si="159"/>
        <v>243.98612411596136</v>
      </c>
    </row>
    <row r="265" spans="1:39">
      <c r="A265" s="240" t="s">
        <v>237</v>
      </c>
      <c r="B265" s="290">
        <f t="shared" si="156"/>
        <v>37.638299372748996</v>
      </c>
      <c r="C265" s="290">
        <f t="shared" si="157"/>
        <v>91.441783061031558</v>
      </c>
      <c r="D265" s="290">
        <f t="shared" si="158"/>
        <v>92.520464334807244</v>
      </c>
      <c r="E265" s="146">
        <f>'[2]EU Sun Oil Imports'!CA$290</f>
        <v>8.6509999999999998</v>
      </c>
      <c r="F265" s="146">
        <f>'[2]EU Sun Oil Imports'!CM$290</f>
        <v>55.130999999999993</v>
      </c>
      <c r="G265" s="146">
        <f>'[2]EU Sun Oil Imports'!CY$290</f>
        <v>73.814999999999998</v>
      </c>
      <c r="H265" s="146">
        <f>'[2]EU Sun Oil Imports'!DK$290</f>
        <v>33.573999999999998</v>
      </c>
      <c r="I265" s="146">
        <f>'[2]EU Sun Oil Imports'!DW$290</f>
        <v>26.094999999999999</v>
      </c>
      <c r="J265" s="146">
        <f>'[2]EU Sun Oil Imports'!EI$290</f>
        <v>61.067999999999998</v>
      </c>
      <c r="K265" s="146">
        <f>'[2]EU Sun Oil Imports'!EU$290</f>
        <v>53.445999999999998</v>
      </c>
      <c r="L265" s="146">
        <f>'[2]EU Sun Oil Imports'!FG$290</f>
        <v>67.748999999999995</v>
      </c>
      <c r="M265" s="146">
        <f>'[2]EU Sun Oil Imports'!FS$290</f>
        <v>77.070999999999998</v>
      </c>
      <c r="N265" s="146">
        <f>'[2]EU Sun Oil Imports'!GE$290</f>
        <v>116.096</v>
      </c>
      <c r="O265" s="146">
        <f>'[2]EU Sun Oil Imports'!GQ$290</f>
        <v>85.384</v>
      </c>
      <c r="P265" s="146">
        <f>'[2]EU Sun Oil Imports'!HC$290</f>
        <v>110.995</v>
      </c>
      <c r="Q265" s="146">
        <f>'[2]EU Sun Oil Imports'!HO$290</f>
        <v>85.884</v>
      </c>
      <c r="R265" s="146">
        <f>'[2]EU Sun Oil Imports'!IA$290</f>
        <v>79.623000000000005</v>
      </c>
      <c r="S265" s="146">
        <f>'[2]EU Sun Oil Imports'!IM$290</f>
        <v>68.831999999999994</v>
      </c>
      <c r="T265" s="146">
        <f>'[2]EU Sun Oil Imports'!IY$290</f>
        <v>102.41</v>
      </c>
      <c r="U265" s="146">
        <f>'[2]EU Sun Oil Imports'!JK$290</f>
        <v>73.561000000000007</v>
      </c>
      <c r="V265" s="146">
        <f>'[2]EU Sun Oil Imports'!JW$290</f>
        <v>95.522999999999996</v>
      </c>
      <c r="W265" s="146">
        <f>'[2]EU Sun Oil Imports'!KI$290</f>
        <v>65.518000000000001</v>
      </c>
      <c r="X265" s="146">
        <f>'[2]EU Sun Oil Imports'!KU$290</f>
        <v>112.006</v>
      </c>
      <c r="Y265" s="146">
        <f>'[2]EU Sun Oil Imports'!LG$290</f>
        <v>118.959</v>
      </c>
      <c r="Z265" s="146">
        <f>'[2]EU Sun Oil Imports'!LS$290</f>
        <v>88.384</v>
      </c>
      <c r="AA265" s="146">
        <f>'[2]EU Sun Oil Imports'!ME$290/1000</f>
        <v>94.725036000000003</v>
      </c>
      <c r="AB265" s="146">
        <f>'[2]EU Sun Oil Imports'!MQ$290/1000</f>
        <v>149.25620599999996</v>
      </c>
      <c r="AC265" s="146">
        <f>'[2]EU Sun Oil Imports'!NC$290/1000</f>
        <v>126.421234</v>
      </c>
      <c r="AD265" s="146">
        <f>'[2]EU Sun Oil Imports'!NO$290/1000</f>
        <v>184.56790600000002</v>
      </c>
      <c r="AE265" s="146">
        <f>'[2]EU Sun Oil Imports'!OA$290/1000</f>
        <v>253.13869699999998</v>
      </c>
      <c r="AF265" s="146">
        <f>'[2]EU Sun Oil Imports'!OM$290/1000</f>
        <v>194.85225000000003</v>
      </c>
      <c r="AG265" s="253">
        <f t="shared" si="162"/>
        <v>238.79074386793258</v>
      </c>
      <c r="AH265" s="253">
        <f t="shared" si="160"/>
        <v>200.31012292737503</v>
      </c>
      <c r="AI265" s="253">
        <f t="shared" si="161"/>
        <v>212.11624523105206</v>
      </c>
      <c r="AJ265" s="253">
        <f t="shared" si="159"/>
        <v>220.81972084928614</v>
      </c>
      <c r="AK265" s="253">
        <f t="shared" si="159"/>
        <v>228.04924720759766</v>
      </c>
      <c r="AL265" s="253">
        <f t="shared" si="159"/>
        <v>217.06198839257573</v>
      </c>
      <c r="AM265" s="253">
        <f t="shared" si="159"/>
        <v>234.54665481020095</v>
      </c>
    </row>
    <row r="266" spans="1:39">
      <c r="A266" s="240" t="s">
        <v>238</v>
      </c>
      <c r="B266" s="290">
        <f t="shared" si="156"/>
        <v>28.108814888405451</v>
      </c>
      <c r="C266" s="290">
        <f t="shared" si="157"/>
        <v>78.537812660098922</v>
      </c>
      <c r="D266" s="290">
        <f t="shared" si="158"/>
        <v>78.031630792289079</v>
      </c>
      <c r="E266" s="146">
        <f>'[2]EU Sun Oil Imports'!CB$290</f>
        <v>1.7970000000000002</v>
      </c>
      <c r="F266" s="146">
        <f>'[2]EU Sun Oil Imports'!CN$290</f>
        <v>36.259</v>
      </c>
      <c r="G266" s="146">
        <f>'[2]EU Sun Oil Imports'!CZ$290</f>
        <v>78.468000000000004</v>
      </c>
      <c r="H266" s="146">
        <f>'[2]EU Sun Oil Imports'!DL$290</f>
        <v>14.907999999999999</v>
      </c>
      <c r="I266" s="146">
        <f>'[2]EU Sun Oil Imports'!DX$290</f>
        <v>17.818000000000001</v>
      </c>
      <c r="J266" s="146">
        <f>'[2]EU Sun Oil Imports'!EJ$290</f>
        <v>42.773000000000003</v>
      </c>
      <c r="K266" s="146">
        <f>'[2]EU Sun Oil Imports'!EV$290</f>
        <v>32.286000000000001</v>
      </c>
      <c r="L266" s="146">
        <f>'[2]EU Sun Oil Imports'!FH$290</f>
        <v>77.543999999999997</v>
      </c>
      <c r="M266" s="146">
        <f>'[2]EU Sun Oil Imports'!FT$290</f>
        <v>52.454000000000001</v>
      </c>
      <c r="N266" s="146">
        <f>'[2]EU Sun Oil Imports'!GF$290</f>
        <v>76.7</v>
      </c>
      <c r="O266" s="146">
        <f>'[2]EU Sun Oil Imports'!GR$290</f>
        <v>91.43</v>
      </c>
      <c r="P266" s="146">
        <f>'[2]EU Sun Oil Imports'!HD$290</f>
        <v>94.635000000000005</v>
      </c>
      <c r="Q266" s="146">
        <f>'[2]EU Sun Oil Imports'!HP$290</f>
        <v>85.757999999999996</v>
      </c>
      <c r="R266" s="146">
        <f>'[2]EU Sun Oil Imports'!IB$290</f>
        <v>62.33</v>
      </c>
      <c r="S266" s="146">
        <f>'[2]EU Sun Oil Imports'!IN$290</f>
        <v>36.591000000000001</v>
      </c>
      <c r="T266" s="146">
        <f>'[2]EU Sun Oil Imports'!IZ$290</f>
        <v>75.528000000000006</v>
      </c>
      <c r="U266" s="146">
        <f>'[2]EU Sun Oil Imports'!JL$290</f>
        <v>48.49</v>
      </c>
      <c r="V266" s="146">
        <f>'[2]EU Sun Oil Imports'!JX$290</f>
        <v>101.729</v>
      </c>
      <c r="W266" s="146">
        <f>'[2]EU Sun Oil Imports'!KJ$290</f>
        <v>52.197000000000003</v>
      </c>
      <c r="X266" s="146">
        <f>'[2]EU Sun Oil Imports'!KV$290</f>
        <v>57.389000000000003</v>
      </c>
      <c r="Y266" s="146">
        <f>'[2]EU Sun Oil Imports'!LH$290</f>
        <v>106.874</v>
      </c>
      <c r="Z266" s="146">
        <f>'[2]EU Sun Oil Imports'!LT$290</f>
        <v>82.14</v>
      </c>
      <c r="AA266" s="146">
        <f>'[2]EU Sun Oil Imports'!MF$290/1000</f>
        <v>89.963690999999997</v>
      </c>
      <c r="AB266" s="146">
        <f>'[2]EU Sun Oil Imports'!MR$290/1000</f>
        <v>74.299350000000018</v>
      </c>
      <c r="AC266" s="146">
        <f>'[2]EU Sun Oil Imports'!ND$290/1000</f>
        <v>99.741051999999996</v>
      </c>
      <c r="AD266" s="146">
        <f>'[2]EU Sun Oil Imports'!NP$290/1000</f>
        <v>142.37937499999992</v>
      </c>
      <c r="AE266" s="146">
        <f>'[2]EU Sun Oil Imports'!OB$290/1000</f>
        <v>179.84479099999999</v>
      </c>
      <c r="AF266" s="146">
        <f>'[2]EU Sun Oil Imports'!ON$290/1000</f>
        <v>185.86611100000002</v>
      </c>
      <c r="AG266" s="253">
        <f t="shared" ref="AG266:AH266" si="163">AG267-SUM(AG255:AG265)</f>
        <v>397.12341890107655</v>
      </c>
      <c r="AH266" s="253">
        <f t="shared" si="163"/>
        <v>150.44287617233931</v>
      </c>
      <c r="AI266" s="253">
        <f t="shared" ref="AI266:AM266" si="164">AI267-SUM(AI255:AI265)</f>
        <v>213.64347519206058</v>
      </c>
      <c r="AJ266" s="253">
        <f t="shared" si="164"/>
        <v>217.52220901098281</v>
      </c>
      <c r="AK266" s="253">
        <f t="shared" si="164"/>
        <v>233.79869612715311</v>
      </c>
      <c r="AL266" s="253">
        <f t="shared" si="164"/>
        <v>236.94119774123646</v>
      </c>
      <c r="AM266" s="253">
        <f t="shared" si="164"/>
        <v>258.52069117095925</v>
      </c>
    </row>
    <row r="267" spans="1:39" ht="15.75" thickBot="1">
      <c r="A267" s="240" t="s">
        <v>242</v>
      </c>
      <c r="B267" s="292">
        <f>B34</f>
        <v>152</v>
      </c>
      <c r="C267" s="292">
        <f>C34</f>
        <v>127</v>
      </c>
      <c r="D267" s="292">
        <f>D34</f>
        <v>108</v>
      </c>
      <c r="E267" s="292">
        <f>SUM(E255:E266)</f>
        <v>107.99999999999999</v>
      </c>
      <c r="F267" s="292">
        <f>SUM(F255:F266)</f>
        <v>197.78699999999998</v>
      </c>
      <c r="G267" s="292">
        <f>SUM(G255:G266)</f>
        <v>221.065</v>
      </c>
      <c r="H267" s="292">
        <f>SUM(H255:H266)</f>
        <v>144.74099999999999</v>
      </c>
      <c r="I267" s="292">
        <f>SUM(I255:I266)</f>
        <v>294.95799999999997</v>
      </c>
      <c r="J267" s="292">
        <f t="shared" ref="J267:AB267" si="165">SUM(J255:J266)</f>
        <v>695.428</v>
      </c>
      <c r="K267" s="292">
        <f t="shared" si="165"/>
        <v>741.89300000000003</v>
      </c>
      <c r="L267" s="292">
        <f t="shared" si="165"/>
        <v>494.34799999999996</v>
      </c>
      <c r="M267" s="292">
        <f t="shared" si="165"/>
        <v>882.37499999999989</v>
      </c>
      <c r="N267" s="292">
        <f t="shared" si="165"/>
        <v>1261.4490000000001</v>
      </c>
      <c r="O267" s="292">
        <f t="shared" si="165"/>
        <v>1219.7900000000002</v>
      </c>
      <c r="P267" s="292">
        <f t="shared" si="165"/>
        <v>1208.9880000000001</v>
      </c>
      <c r="Q267" s="292">
        <f t="shared" si="165"/>
        <v>1059.9930000000002</v>
      </c>
      <c r="R267" s="292">
        <f t="shared" si="165"/>
        <v>968.64400000000001</v>
      </c>
      <c r="S267" s="292">
        <f t="shared" si="165"/>
        <v>816.61</v>
      </c>
      <c r="T267" s="292">
        <f t="shared" si="165"/>
        <v>991.74</v>
      </c>
      <c r="U267" s="292">
        <f t="shared" si="165"/>
        <v>942.43300000000011</v>
      </c>
      <c r="V267" s="292">
        <f t="shared" si="165"/>
        <v>1039.377</v>
      </c>
      <c r="W267" s="292">
        <f t="shared" si="165"/>
        <v>824.99</v>
      </c>
      <c r="X267" s="292">
        <f t="shared" si="165"/>
        <v>1355.5339999999999</v>
      </c>
      <c r="Y267" s="292">
        <f t="shared" si="165"/>
        <v>1820.0130000000001</v>
      </c>
      <c r="Z267" s="292">
        <f t="shared" si="165"/>
        <v>1622.6810000000003</v>
      </c>
      <c r="AA267" s="292">
        <f t="shared" si="165"/>
        <v>2010.4709060000002</v>
      </c>
      <c r="AB267" s="292">
        <f t="shared" si="165"/>
        <v>2348.9520310000003</v>
      </c>
      <c r="AC267" s="146">
        <f>SUM(AC255:AC266)</f>
        <v>1591.662797</v>
      </c>
      <c r="AD267" s="146">
        <f t="shared" ref="AD267:AF267" si="166">SUM(AD255:AD266)</f>
        <v>2103.9279609999994</v>
      </c>
      <c r="AE267" s="146">
        <f t="shared" si="166"/>
        <v>2097.5039350000002</v>
      </c>
      <c r="AF267" s="146">
        <f t="shared" si="166"/>
        <v>2966.6225999999992</v>
      </c>
      <c r="AG267" s="253">
        <f t="shared" ref="AG267:AM267" si="167">AG34</f>
        <v>3000</v>
      </c>
      <c r="AH267" s="253">
        <f t="shared" si="167"/>
        <v>2450</v>
      </c>
      <c r="AI267" s="253">
        <f t="shared" si="167"/>
        <v>2500</v>
      </c>
      <c r="AJ267" s="253">
        <f t="shared" si="167"/>
        <v>2600</v>
      </c>
      <c r="AK267" s="253">
        <f t="shared" si="167"/>
        <v>2700</v>
      </c>
      <c r="AL267" s="253">
        <f t="shared" si="167"/>
        <v>2750</v>
      </c>
      <c r="AM267" s="253">
        <f t="shared" si="167"/>
        <v>2825</v>
      </c>
    </row>
    <row r="268" spans="1:39">
      <c r="A268" s="248"/>
      <c r="B268" s="248"/>
      <c r="C268" s="248"/>
      <c r="E268" s="248"/>
      <c r="F268" s="248"/>
      <c r="G268" s="248"/>
      <c r="H268" s="248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  <c r="AD268" s="248"/>
      <c r="AE268" s="248"/>
      <c r="AF268" s="248"/>
      <c r="AG268" s="248"/>
      <c r="AH268" s="248"/>
      <c r="AI268" s="248"/>
      <c r="AJ268" s="248"/>
      <c r="AK268" s="248"/>
      <c r="AL268" s="248"/>
      <c r="AM268" s="248"/>
    </row>
    <row r="269" spans="1:39" ht="15.75" thickBot="1">
      <c r="A269" s="235" t="s">
        <v>267</v>
      </c>
      <c r="D269" s="271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</row>
    <row r="270" spans="1:39" ht="15.75" thickBot="1">
      <c r="A270" s="236"/>
      <c r="B270" s="237" t="str">
        <f>B$2</f>
        <v xml:space="preserve">93/94 </v>
      </c>
      <c r="C270" s="237" t="str">
        <f t="shared" ref="C270:AM270" si="168">C$2</f>
        <v xml:space="preserve">94/95 </v>
      </c>
      <c r="D270" s="237" t="str">
        <f t="shared" si="168"/>
        <v xml:space="preserve">95/96 </v>
      </c>
      <c r="E270" s="237" t="str">
        <f t="shared" si="168"/>
        <v xml:space="preserve">96/97 </v>
      </c>
      <c r="F270" s="237" t="str">
        <f t="shared" si="168"/>
        <v xml:space="preserve">97/98 </v>
      </c>
      <c r="G270" s="237" t="str">
        <f t="shared" si="168"/>
        <v xml:space="preserve">98/99 </v>
      </c>
      <c r="H270" s="237" t="str">
        <f t="shared" si="168"/>
        <v xml:space="preserve">99/00 </v>
      </c>
      <c r="I270" s="237" t="str">
        <f t="shared" si="168"/>
        <v xml:space="preserve">00/01 </v>
      </c>
      <c r="J270" s="237" t="str">
        <f t="shared" si="168"/>
        <v xml:space="preserve">01/02 </v>
      </c>
      <c r="K270" s="237" t="str">
        <f t="shared" si="168"/>
        <v xml:space="preserve">02/03 </v>
      </c>
      <c r="L270" s="237" t="str">
        <f t="shared" si="168"/>
        <v xml:space="preserve">03/04 </v>
      </c>
      <c r="M270" s="237" t="str">
        <f t="shared" si="168"/>
        <v xml:space="preserve">04/05 </v>
      </c>
      <c r="N270" s="237" t="str">
        <f t="shared" si="168"/>
        <v xml:space="preserve">05/06 </v>
      </c>
      <c r="O270" s="237" t="str">
        <f t="shared" si="168"/>
        <v xml:space="preserve">06/07 </v>
      </c>
      <c r="P270" s="237" t="str">
        <f t="shared" si="168"/>
        <v xml:space="preserve">07/08 </v>
      </c>
      <c r="Q270" s="237" t="str">
        <f t="shared" si="168"/>
        <v xml:space="preserve">08/09 </v>
      </c>
      <c r="R270" s="237" t="str">
        <f t="shared" si="168"/>
        <v xml:space="preserve">09/10 </v>
      </c>
      <c r="S270" s="237" t="str">
        <f t="shared" si="168"/>
        <v xml:space="preserve">10/11 </v>
      </c>
      <c r="T270" s="237" t="str">
        <f t="shared" si="168"/>
        <v xml:space="preserve">11/12 </v>
      </c>
      <c r="U270" s="237" t="str">
        <f t="shared" si="168"/>
        <v xml:space="preserve">12/13 </v>
      </c>
      <c r="V270" s="237" t="str">
        <f t="shared" si="168"/>
        <v xml:space="preserve">13/14 </v>
      </c>
      <c r="W270" s="237" t="str">
        <f t="shared" si="168"/>
        <v xml:space="preserve">14/15 </v>
      </c>
      <c r="X270" s="237" t="str">
        <f t="shared" si="168"/>
        <v xml:space="preserve">15/16 </v>
      </c>
      <c r="Y270" s="237" t="str">
        <f t="shared" si="168"/>
        <v xml:space="preserve">16/17 </v>
      </c>
      <c r="Z270" s="237" t="str">
        <f t="shared" si="168"/>
        <v xml:space="preserve">17/18 </v>
      </c>
      <c r="AA270" s="237" t="str">
        <f t="shared" si="168"/>
        <v xml:space="preserve">18/19 </v>
      </c>
      <c r="AB270" s="237" t="str">
        <f t="shared" si="168"/>
        <v xml:space="preserve">19/20 </v>
      </c>
      <c r="AC270" s="237" t="str">
        <f t="shared" si="168"/>
        <v xml:space="preserve">20/21 </v>
      </c>
      <c r="AD270" s="237" t="str">
        <f t="shared" si="168"/>
        <v>21/22</v>
      </c>
      <c r="AE270" s="237" t="str">
        <f t="shared" si="168"/>
        <v>22/23</v>
      </c>
      <c r="AF270" s="237" t="str">
        <f t="shared" si="168"/>
        <v>23/24</v>
      </c>
      <c r="AG270" s="237" t="str">
        <f t="shared" si="168"/>
        <v>24/25</v>
      </c>
      <c r="AH270" s="237" t="str">
        <f t="shared" si="168"/>
        <v>25/26</v>
      </c>
      <c r="AI270" s="237" t="str">
        <f t="shared" si="168"/>
        <v>26/27</v>
      </c>
      <c r="AJ270" s="237" t="str">
        <f t="shared" si="168"/>
        <v>27/28</v>
      </c>
      <c r="AK270" s="237" t="str">
        <f t="shared" si="168"/>
        <v>28/29</v>
      </c>
      <c r="AL270" s="237" t="str">
        <f t="shared" si="168"/>
        <v>29/30</v>
      </c>
      <c r="AM270" s="237" t="str">
        <f t="shared" si="168"/>
        <v>30/31</v>
      </c>
    </row>
    <row r="271" spans="1:39">
      <c r="A271" s="240" t="s">
        <v>239</v>
      </c>
      <c r="B271" s="290">
        <f t="shared" ref="B271:B282" si="169">(SUM(T271:X271)/SUM(T$140:X$140))*B$140</f>
        <v>17.402363419458243</v>
      </c>
      <c r="C271" s="290">
        <f t="shared" ref="C271:C282" si="170">(SUM(L271:P271)/SUM(L$140:P$140))*C$140</f>
        <v>15.708642328712356</v>
      </c>
      <c r="D271" s="290">
        <f t="shared" ref="D271:D282" si="171">(SUM(M271:Q271)/SUM(M$140:Q$140))*D$140</f>
        <v>13.334054846679123</v>
      </c>
      <c r="E271" s="290">
        <v>53.542286087441667</v>
      </c>
      <c r="F271" s="146">
        <f>'[2]EU Sun Oil Exports'!CB$290</f>
        <v>46.970999999999997</v>
      </c>
      <c r="G271" s="146">
        <f>'[2]EU Sun Oil Exports'!CN$290</f>
        <v>23.262999999999998</v>
      </c>
      <c r="H271" s="146">
        <f>'[2]EU Sun Oil Exports'!CZ$290</f>
        <v>28.177</v>
      </c>
      <c r="I271" s="146">
        <f>'[2]EU Sun Oil Exports'!DL$290</f>
        <v>24.143000000000001</v>
      </c>
      <c r="J271" s="146">
        <f>'[2]EU Sun Oil Exports'!DX$290</f>
        <v>11.433</v>
      </c>
      <c r="K271" s="146">
        <f>'[2]EU Sun Oil Exports'!EJ$290</f>
        <v>13.148999999999999</v>
      </c>
      <c r="L271" s="146">
        <f>'[2]EU Sun Oil Exports'!EV$290</f>
        <v>25.114000000000001</v>
      </c>
      <c r="M271" s="146">
        <f>'[2]EU Sun Oil Exports'!FH$290</f>
        <v>20.984999999999999</v>
      </c>
      <c r="N271" s="146">
        <f>'[2]EU Sun Oil Exports'!FT$290</f>
        <v>12.031000000000001</v>
      </c>
      <c r="O271" s="146">
        <f>'[2]EU Sun Oil Exports'!GF$290</f>
        <v>11.22</v>
      </c>
      <c r="P271" s="146">
        <f>'[2]EU Sun Oil Exports'!GR$290</f>
        <v>9.2080000000000002</v>
      </c>
      <c r="Q271" s="146">
        <f>'[2]EU Sun Oil Exports'!HD$290</f>
        <v>15.074999999999999</v>
      </c>
      <c r="R271" s="146">
        <f>'[2]EU Sun Oil Exports'!HP$290</f>
        <v>13.51</v>
      </c>
      <c r="S271" s="146">
        <f>'[2]EU Sun Oil Exports'!IB$290</f>
        <v>14.831</v>
      </c>
      <c r="T271" s="146">
        <f>'[2]EU Sun Oil Exports'!IN$290</f>
        <v>18.102</v>
      </c>
      <c r="U271" s="146">
        <f>'[2]EU Sun Oil Exports'!IZ$290</f>
        <v>16.207999999999998</v>
      </c>
      <c r="V271" s="146">
        <f>'[2]EU Sun Oil Exports'!JL$290</f>
        <v>50.853000000000002</v>
      </c>
      <c r="W271" s="146">
        <f>'[2]EU Sun Oil Exports'!JX$290</f>
        <v>77.126000000000005</v>
      </c>
      <c r="X271" s="146">
        <f>'[2]EU Sun Oil Exports'!KJ$290</f>
        <v>45.317999999999998</v>
      </c>
      <c r="Y271" s="146">
        <f>'[2]EU Sun Oil Exports'!KV$290</f>
        <v>50.716999999999999</v>
      </c>
      <c r="Z271" s="146">
        <f>'[2]EU Sun Oil Exports'!LH$290</f>
        <v>60.398999999999994</v>
      </c>
      <c r="AA271" s="146">
        <f>'[2]EU Sun Oil Exports'!LT$290</f>
        <v>37.975999999999999</v>
      </c>
      <c r="AB271" s="146">
        <f>'[2]EU Sun Oil Exports'!MF$290/1000</f>
        <v>85.776224999999968</v>
      </c>
      <c r="AC271" s="146">
        <f>'[2]EU Sun Oil Exports'!MR$290/1000</f>
        <v>62.35011800000003</v>
      </c>
      <c r="AD271" s="146">
        <f>'[2]EU Sun Oil Exports'!ND$290/1000</f>
        <v>62.550430999999975</v>
      </c>
      <c r="AE271" s="146">
        <f>'[2]EU Sun Oil Exports'!NP$290/1000</f>
        <v>49.333639999999974</v>
      </c>
      <c r="AF271" s="146">
        <f>'[2]EU Sun Oil Exports'!OB$290/1000</f>
        <v>118.14708599999999</v>
      </c>
      <c r="AG271" s="146">
        <f>'[2]EU Sun Oil Exports'!OL$290/1000</f>
        <v>59.291490999999944</v>
      </c>
      <c r="AH271" s="253">
        <f>(SUM(AB271:AF271)/SUM(AB$283:AF$283))*AH$283</f>
        <v>70.359151470282072</v>
      </c>
      <c r="AI271" s="253">
        <f t="shared" ref="AI271:AM271" si="172">(SUM(AC271:AG271)/SUM(AC$283:AG$283))*AI$283</f>
        <v>41.103932713045509</v>
      </c>
      <c r="AJ271" s="253">
        <f t="shared" si="172"/>
        <v>36.897997196732391</v>
      </c>
      <c r="AK271" s="253">
        <f t="shared" si="172"/>
        <v>29.509242289406462</v>
      </c>
      <c r="AL271" s="253">
        <f t="shared" si="172"/>
        <v>33.788106281718754</v>
      </c>
      <c r="AM271" s="253">
        <f t="shared" si="172"/>
        <v>28.746886626601984</v>
      </c>
    </row>
    <row r="272" spans="1:39">
      <c r="A272" s="240" t="s">
        <v>240</v>
      </c>
      <c r="B272" s="290">
        <f t="shared" si="169"/>
        <v>10.432851281086919</v>
      </c>
      <c r="C272" s="290">
        <f t="shared" si="170"/>
        <v>14.530664122056834</v>
      </c>
      <c r="D272" s="290">
        <f t="shared" si="171"/>
        <v>10.634316921607546</v>
      </c>
      <c r="E272" s="290">
        <v>49.827480472712516</v>
      </c>
      <c r="F272" s="146">
        <f>'[2]EU Sun Oil Exports'!CC$290</f>
        <v>25.038999999999994</v>
      </c>
      <c r="G272" s="146">
        <f>'[2]EU Sun Oil Exports'!CO$290</f>
        <v>36.862000000000002</v>
      </c>
      <c r="H272" s="146">
        <f>'[2]EU Sun Oil Exports'!DA$290</f>
        <v>31.222999999999999</v>
      </c>
      <c r="I272" s="146">
        <f>'[2]EU Sun Oil Exports'!DM$290</f>
        <v>22.556000000000001</v>
      </c>
      <c r="J272" s="146">
        <f>'[2]EU Sun Oil Exports'!DY$290</f>
        <v>9.0559999999999992</v>
      </c>
      <c r="K272" s="146">
        <f>'[2]EU Sun Oil Exports'!EK$290</f>
        <v>11.948</v>
      </c>
      <c r="L272" s="146">
        <f>'[2]EU Sun Oil Exports'!EW$290</f>
        <v>29.605</v>
      </c>
      <c r="M272" s="146">
        <f>'[2]EU Sun Oil Exports'!FI$290</f>
        <v>11.734</v>
      </c>
      <c r="N272" s="146">
        <f>'[2]EU Sun Oil Exports'!FU$290</f>
        <v>10.815</v>
      </c>
      <c r="O272" s="146">
        <f>'[2]EU Sun Oil Exports'!GG$290</f>
        <v>11.176</v>
      </c>
      <c r="P272" s="146">
        <f>'[2]EU Sun Oil Exports'!GS$290</f>
        <v>9.3369999999999997</v>
      </c>
      <c r="Q272" s="146">
        <f>'[2]EU Sun Oil Exports'!HE$290</f>
        <v>11.584</v>
      </c>
      <c r="R272" s="146">
        <f>'[2]EU Sun Oil Exports'!HQ$290</f>
        <v>14.058</v>
      </c>
      <c r="S272" s="146">
        <f>'[2]EU Sun Oil Exports'!IC$290</f>
        <v>14.302</v>
      </c>
      <c r="T272" s="146">
        <f>'[2]EU Sun Oil Exports'!IO$290</f>
        <v>17.109000000000002</v>
      </c>
      <c r="U272" s="146">
        <f>'[2]EU Sun Oil Exports'!JA$290</f>
        <v>15.973000000000001</v>
      </c>
      <c r="V272" s="146">
        <f>'[2]EU Sun Oil Exports'!JM$290</f>
        <v>26.954000000000001</v>
      </c>
      <c r="W272" s="146">
        <f>'[2]EU Sun Oil Exports'!JY$290</f>
        <v>31.710999999999999</v>
      </c>
      <c r="X272" s="146">
        <f>'[2]EU Sun Oil Exports'!KK$290</f>
        <v>32.715000000000003</v>
      </c>
      <c r="Y272" s="146">
        <f>'[2]EU Sun Oil Exports'!KW$290</f>
        <v>48.824999999999989</v>
      </c>
      <c r="Z272" s="146">
        <f>'[2]EU Sun Oil Exports'!LI$290</f>
        <v>52.865000000000009</v>
      </c>
      <c r="AA272" s="146">
        <f>'[2]EU Sun Oil Exports'!LU$290</f>
        <v>57.378</v>
      </c>
      <c r="AB272" s="146">
        <f>'[2]EU Sun Oil Exports'!MG$290/1000</f>
        <v>53.524974</v>
      </c>
      <c r="AC272" s="146">
        <f>'[2]EU Sun Oil Exports'!MS$290/1000</f>
        <v>56.910970999999968</v>
      </c>
      <c r="AD272" s="146">
        <f>'[2]EU Sun Oil Exports'!NE$290/1000</f>
        <v>41.944978999999989</v>
      </c>
      <c r="AE272" s="146">
        <f>'[2]EU Sun Oil Exports'!NQ$290/1000</f>
        <v>156.339845</v>
      </c>
      <c r="AF272" s="146">
        <f>'[2]EU Sun Oil Exports'!OC$290/1000</f>
        <v>90.973443000000017</v>
      </c>
      <c r="AG272" s="146">
        <f>'[2]EU Sun Oil Exports'!OM$290/1000</f>
        <v>59.729736999999986</v>
      </c>
      <c r="AH272" s="253">
        <f t="shared" ref="AH272:AH281" si="173">(SUM(AB272:AF272)/SUM(AB$283:AF$283))*AH$283</f>
        <v>74.366224665392153</v>
      </c>
      <c r="AI272" s="253">
        <f t="shared" ref="AI272:AM281" si="174">(SUM(AC272:AG272)/SUM(AC$283:AG$283))*AI$283</f>
        <v>47.441956755599733</v>
      </c>
      <c r="AJ272" s="253">
        <f t="shared" si="174"/>
        <v>43.429840390940029</v>
      </c>
      <c r="AK272" s="253">
        <f t="shared" si="174"/>
        <v>37.415001072055802</v>
      </c>
      <c r="AL272" s="253">
        <f t="shared" si="174"/>
        <v>32.765703189113168</v>
      </c>
      <c r="AM272" s="253">
        <f t="shared" si="174"/>
        <v>31.803970895028815</v>
      </c>
    </row>
    <row r="273" spans="1:39">
      <c r="A273" s="240" t="s">
        <v>241</v>
      </c>
      <c r="B273" s="290">
        <f t="shared" si="169"/>
        <v>8.7294721703304834</v>
      </c>
      <c r="C273" s="290">
        <f t="shared" si="170"/>
        <v>14.178730385218657</v>
      </c>
      <c r="D273" s="290">
        <f t="shared" si="171"/>
        <v>11.26619532157204</v>
      </c>
      <c r="E273" s="290">
        <v>37.795233439845809</v>
      </c>
      <c r="F273" s="146">
        <f>'[2]EU Sun Oil Exports'!CD$290</f>
        <v>26.263000000000002</v>
      </c>
      <c r="G273" s="146">
        <f>'[2]EU Sun Oil Exports'!CP$290</f>
        <v>23.355000000000004</v>
      </c>
      <c r="H273" s="146">
        <f>'[2]EU Sun Oil Exports'!DB$290</f>
        <v>14.225</v>
      </c>
      <c r="I273" s="146">
        <f>'[2]EU Sun Oil Exports'!DN$290</f>
        <v>20.850999999999999</v>
      </c>
      <c r="J273" s="146">
        <f>'[2]EU Sun Oil Exports'!DZ$290</f>
        <v>9.9719999999999995</v>
      </c>
      <c r="K273" s="146">
        <f>'[2]EU Sun Oil Exports'!EL$290</f>
        <v>13.558</v>
      </c>
      <c r="L273" s="146">
        <f>'[2]EU Sun Oil Exports'!EX$290</f>
        <v>26.646000000000001</v>
      </c>
      <c r="M273" s="146">
        <f>'[2]EU Sun Oil Exports'!FJ$290</f>
        <v>13.727</v>
      </c>
      <c r="N273" s="146">
        <f>'[2]EU Sun Oil Exports'!FV$290</f>
        <v>12.42</v>
      </c>
      <c r="O273" s="146">
        <f>'[2]EU Sun Oil Exports'!GH$290</f>
        <v>10.122</v>
      </c>
      <c r="P273" s="146">
        <f>'[2]EU Sun Oil Exports'!GT$290</f>
        <v>7.992</v>
      </c>
      <c r="Q273" s="146">
        <f>'[2]EU Sun Oil Exports'!HF$290</f>
        <v>13.632</v>
      </c>
      <c r="R273" s="146">
        <f>'[2]EU Sun Oil Exports'!HR$290</f>
        <v>12.855</v>
      </c>
      <c r="S273" s="146">
        <f>'[2]EU Sun Oil Exports'!ID$290</f>
        <v>13.183999999999999</v>
      </c>
      <c r="T273" s="146">
        <f>'[2]EU Sun Oil Exports'!IP$290</f>
        <v>14.471</v>
      </c>
      <c r="U273" s="146">
        <f>'[2]EU Sun Oil Exports'!JB$290</f>
        <v>12.932</v>
      </c>
      <c r="V273" s="146">
        <f>'[2]EU Sun Oil Exports'!JN$290</f>
        <v>31.056000000000001</v>
      </c>
      <c r="W273" s="146">
        <f>'[2]EU Sun Oil Exports'!JZ$290</f>
        <v>23.989000000000001</v>
      </c>
      <c r="X273" s="146">
        <f>'[2]EU Sun Oil Exports'!KL$290</f>
        <v>21.693000000000001</v>
      </c>
      <c r="Y273" s="146">
        <f>'[2]EU Sun Oil Exports'!KX$290</f>
        <v>46.576999999999998</v>
      </c>
      <c r="Z273" s="146">
        <f>'[2]EU Sun Oil Exports'!LJ$290</f>
        <v>31.18</v>
      </c>
      <c r="AA273" s="146">
        <f>'[2]EU Sun Oil Exports'!LV$290</f>
        <v>30.288</v>
      </c>
      <c r="AB273" s="146">
        <f>'[2]EU Sun Oil Exports'!MH$290/1000</f>
        <v>53.20353199999996</v>
      </c>
      <c r="AC273" s="146">
        <f>'[2]EU Sun Oil Exports'!MT$290/1000</f>
        <v>67.164107000000001</v>
      </c>
      <c r="AD273" s="146">
        <f>'[2]EU Sun Oil Exports'!NF$290/1000</f>
        <v>74.602598999999969</v>
      </c>
      <c r="AE273" s="146">
        <f>'[2]EU Sun Oil Exports'!NR$290/1000</f>
        <v>125.09737199999996</v>
      </c>
      <c r="AF273" s="146">
        <f>'[2]EU Sun Oil Exports'!OD$290/1000</f>
        <v>97.016259999999917</v>
      </c>
      <c r="AG273" s="146">
        <f>'[2]EU Sun Oil Exports'!ON$290/1000</f>
        <v>73.181720999999939</v>
      </c>
      <c r="AH273" s="253">
        <f t="shared" si="173"/>
        <v>77.601706128111758</v>
      </c>
      <c r="AI273" s="253">
        <f t="shared" si="174"/>
        <v>51.084335215656488</v>
      </c>
      <c r="AJ273" s="253">
        <f t="shared" si="174"/>
        <v>45.906801944016692</v>
      </c>
      <c r="AK273" s="253">
        <f t="shared" si="174"/>
        <v>36.990135707654389</v>
      </c>
      <c r="AL273" s="253">
        <f t="shared" si="174"/>
        <v>35.757646505592838</v>
      </c>
      <c r="AM273" s="253">
        <f t="shared" si="174"/>
        <v>34.516933332780518</v>
      </c>
    </row>
    <row r="274" spans="1:39">
      <c r="A274" s="240" t="s">
        <v>231</v>
      </c>
      <c r="B274" s="290">
        <f t="shared" si="169"/>
        <v>10.574764613822051</v>
      </c>
      <c r="C274" s="290">
        <f t="shared" si="170"/>
        <v>11.197691664318889</v>
      </c>
      <c r="D274" s="290">
        <f t="shared" si="171"/>
        <v>10.186339072294871</v>
      </c>
      <c r="E274" s="146">
        <f>'[2]EU Sun Oil Exports'!BS$290</f>
        <v>51.699000000000005</v>
      </c>
      <c r="F274" s="146">
        <f>'[2]EU Sun Oil Exports'!CE$290</f>
        <v>42.505999999999993</v>
      </c>
      <c r="G274" s="146">
        <f>'[2]EU Sun Oil Exports'!CQ$290</f>
        <v>27.952999999999999</v>
      </c>
      <c r="H274" s="146">
        <f>'[2]EU Sun Oil Exports'!DC$290</f>
        <v>23.321999999999999</v>
      </c>
      <c r="I274" s="146">
        <f>'[2]EU Sun Oil Exports'!DO$290</f>
        <v>17.309000000000001</v>
      </c>
      <c r="J274" s="146">
        <f>'[2]EU Sun Oil Exports'!EA$290</f>
        <v>7.4930000000000003</v>
      </c>
      <c r="K274" s="146">
        <f>'[2]EU Sun Oil Exports'!EM$290</f>
        <v>10.228</v>
      </c>
      <c r="L274" s="146">
        <f>'[2]EU Sun Oil Exports'!EY$290</f>
        <v>12.944000000000001</v>
      </c>
      <c r="M274" s="146">
        <f>'[2]EU Sun Oil Exports'!FK$290</f>
        <v>15.206</v>
      </c>
      <c r="N274" s="146">
        <f>'[2]EU Sun Oil Exports'!FW$290</f>
        <v>7.1790000000000003</v>
      </c>
      <c r="O274" s="146">
        <f>'[2]EU Sun Oil Exports'!GI$290</f>
        <v>11.012</v>
      </c>
      <c r="P274" s="146">
        <f>'[2]EU Sun Oil Exports'!GU$290</f>
        <v>9.6579999999999995</v>
      </c>
      <c r="Q274" s="146">
        <f>'[2]EU Sun Oil Exports'!HG$290</f>
        <v>9.2889999999999997</v>
      </c>
      <c r="R274" s="146">
        <f>'[2]EU Sun Oil Exports'!HS$290</f>
        <v>8.173</v>
      </c>
      <c r="S274" s="146">
        <f>'[2]EU Sun Oil Exports'!IE$290</f>
        <v>12.946</v>
      </c>
      <c r="T274" s="146">
        <f>'[2]EU Sun Oil Exports'!IQ$290</f>
        <v>16.585000000000001</v>
      </c>
      <c r="U274" s="146">
        <f>'[2]EU Sun Oil Exports'!JC$290</f>
        <v>16.559999999999999</v>
      </c>
      <c r="V274" s="146">
        <f>'[2]EU Sun Oil Exports'!JO$290</f>
        <v>26.649000000000001</v>
      </c>
      <c r="W274" s="146">
        <f>'[2]EU Sun Oil Exports'!KA$290</f>
        <v>28.472999999999999</v>
      </c>
      <c r="X274" s="146">
        <f>'[2]EU Sun Oil Exports'!KM$290</f>
        <v>37.887999999999998</v>
      </c>
      <c r="Y274" s="146">
        <f>'[2]EU Sun Oil Exports'!KY$290</f>
        <v>43.816000000000003</v>
      </c>
      <c r="Z274" s="146">
        <f>'[2]EU Sun Oil Exports'!LK$290</f>
        <v>41.313999999999993</v>
      </c>
      <c r="AA274" s="146">
        <f>'[2]EU Sun Oil Exports'!LW$290</f>
        <v>60.022999999999996</v>
      </c>
      <c r="AB274" s="146">
        <f>'[2]EU Sun Oil Exports'!MI$290/1000</f>
        <v>92.620608000000033</v>
      </c>
      <c r="AC274" s="146">
        <f>'[2]EU Sun Oil Exports'!MU$290/1000</f>
        <v>36.272423000000003</v>
      </c>
      <c r="AD274" s="146">
        <f>'[2]EU Sun Oil Exports'!NG$290/1000</f>
        <v>56.90414699999998</v>
      </c>
      <c r="AE274" s="146">
        <f>'[2]EU Sun Oil Exports'!NS$290/1000</f>
        <v>130.06326500000009</v>
      </c>
      <c r="AF274" s="146">
        <f>'[2]EU Sun Oil Exports'!OE$290/1000</f>
        <v>110.96339999999994</v>
      </c>
      <c r="AG274" s="146">
        <f>'[2]EU Sun Oil Exports'!OO$290/1000</f>
        <v>48.229389000000012</v>
      </c>
      <c r="AH274" s="253">
        <f t="shared" si="173"/>
        <v>79.413904049939248</v>
      </c>
      <c r="AI274" s="253">
        <f t="shared" si="174"/>
        <v>44.699181636855663</v>
      </c>
      <c r="AJ274" s="253">
        <f t="shared" si="174"/>
        <v>43.657566655473687</v>
      </c>
      <c r="AK274" s="253">
        <f t="shared" si="174"/>
        <v>36.06427257978482</v>
      </c>
      <c r="AL274" s="253">
        <f t="shared" si="174"/>
        <v>33.908800154178529</v>
      </c>
      <c r="AM274" s="253">
        <f t="shared" si="174"/>
        <v>30.55325017237011</v>
      </c>
    </row>
    <row r="275" spans="1:39">
      <c r="A275" s="240" t="s">
        <v>232</v>
      </c>
      <c r="B275" s="290">
        <f t="shared" si="169"/>
        <v>10.57141167034337</v>
      </c>
      <c r="C275" s="290">
        <f t="shared" si="170"/>
        <v>11.111307928913153</v>
      </c>
      <c r="D275" s="290">
        <f t="shared" si="171"/>
        <v>9.8852870597463411</v>
      </c>
      <c r="E275" s="146">
        <f>'[2]EU Sun Oil Exports'!BT$290</f>
        <v>53.335999999999999</v>
      </c>
      <c r="F275" s="146">
        <f>'[2]EU Sun Oil Exports'!CF$290</f>
        <v>19.212</v>
      </c>
      <c r="G275" s="146">
        <f>'[2]EU Sun Oil Exports'!CR$290</f>
        <v>25.196999999999999</v>
      </c>
      <c r="H275" s="146">
        <f>'[2]EU Sun Oil Exports'!DD$290</f>
        <v>19.872</v>
      </c>
      <c r="I275" s="146">
        <f>'[2]EU Sun Oil Exports'!DP$290</f>
        <v>10.512</v>
      </c>
      <c r="J275" s="146">
        <f>'[2]EU Sun Oil Exports'!EB$290</f>
        <v>6.67</v>
      </c>
      <c r="K275" s="146">
        <f>'[2]EU Sun Oil Exports'!EN$290</f>
        <v>10.63</v>
      </c>
      <c r="L275" s="146">
        <f>'[2]EU Sun Oil Exports'!EZ$290</f>
        <v>13.412000000000001</v>
      </c>
      <c r="M275" s="146">
        <f>'[2]EU Sun Oil Exports'!FL$290</f>
        <v>11.89</v>
      </c>
      <c r="N275" s="146">
        <f>'[2]EU Sun Oil Exports'!FX$290</f>
        <v>8.7850000000000001</v>
      </c>
      <c r="O275" s="146">
        <f>'[2]EU Sun Oil Exports'!GJ$290</f>
        <v>9.1349999999999998</v>
      </c>
      <c r="P275" s="146">
        <f>'[2]EU Sun Oil Exports'!GV$290</f>
        <v>12.345000000000001</v>
      </c>
      <c r="Q275" s="146">
        <f>'[2]EU Sun Oil Exports'!HH$290</f>
        <v>8.6419999999999995</v>
      </c>
      <c r="R275" s="146">
        <f>'[2]EU Sun Oil Exports'!HT$290</f>
        <v>10.74</v>
      </c>
      <c r="S275" s="146">
        <f>'[2]EU Sun Oil Exports'!IF$290</f>
        <v>13.381</v>
      </c>
      <c r="T275" s="146">
        <f>'[2]EU Sun Oil Exports'!IR$290</f>
        <v>15.56</v>
      </c>
      <c r="U275" s="146">
        <f>'[2]EU Sun Oil Exports'!JD$290</f>
        <v>18.032</v>
      </c>
      <c r="V275" s="146">
        <f>'[2]EU Sun Oil Exports'!JP$290</f>
        <v>31.103000000000002</v>
      </c>
      <c r="W275" s="146">
        <f>'[2]EU Sun Oil Exports'!KB$290</f>
        <v>40.325000000000003</v>
      </c>
      <c r="X275" s="146">
        <f>'[2]EU Sun Oil Exports'!KN$290</f>
        <v>21.094999999999999</v>
      </c>
      <c r="Y275" s="146">
        <f>'[2]EU Sun Oil Exports'!KZ$290</f>
        <v>43.526999999999994</v>
      </c>
      <c r="Z275" s="146">
        <f>'[2]EU Sun Oil Exports'!LL$290</f>
        <v>38.943999999999996</v>
      </c>
      <c r="AA275" s="146">
        <f>'[2]EU Sun Oil Exports'!LX$290</f>
        <v>31.54</v>
      </c>
      <c r="AB275" s="146">
        <f>'[2]EU Sun Oil Exports'!MJ$290/1000</f>
        <v>54.954368000000002</v>
      </c>
      <c r="AC275" s="146">
        <f>'[2]EU Sun Oil Exports'!MV$290/1000</f>
        <v>58.635941999999972</v>
      </c>
      <c r="AD275" s="146">
        <f>'[2]EU Sun Oil Exports'!NH$290/1000</f>
        <v>83.296197000000021</v>
      </c>
      <c r="AE275" s="146">
        <f>'[2]EU Sun Oil Exports'!NT$290/1000</f>
        <v>80.954942000000031</v>
      </c>
      <c r="AF275" s="146">
        <f>'[2]EU Sun Oil Exports'!OF$290/1000</f>
        <v>92.425962999999953</v>
      </c>
      <c r="AG275" s="253">
        <f t="shared" ref="AG275:AG281" si="175">(SUM(AA275:AE275)/SUM(AA$283:AE$283))*AG$283</f>
        <v>74.812791044104031</v>
      </c>
      <c r="AH275" s="253">
        <f t="shared" si="173"/>
        <v>68.891139076753305</v>
      </c>
      <c r="AI275" s="253">
        <f t="shared" si="174"/>
        <v>45.598373327758758</v>
      </c>
      <c r="AJ275" s="253">
        <f t="shared" si="174"/>
        <v>41.073132481480556</v>
      </c>
      <c r="AK275" s="253">
        <f t="shared" si="174"/>
        <v>31.642192979166992</v>
      </c>
      <c r="AL275" s="253">
        <f t="shared" si="174"/>
        <v>33.477162097617274</v>
      </c>
      <c r="AM275" s="253">
        <f t="shared" si="174"/>
        <v>31.759712595062258</v>
      </c>
    </row>
    <row r="276" spans="1:39">
      <c r="A276" s="240" t="s">
        <v>233</v>
      </c>
      <c r="B276" s="290">
        <f t="shared" si="169"/>
        <v>11.791799272995942</v>
      </c>
      <c r="C276" s="290">
        <f t="shared" si="170"/>
        <v>13.557047437588025</v>
      </c>
      <c r="D276" s="290">
        <f t="shared" si="171"/>
        <v>11.438030439271037</v>
      </c>
      <c r="E276" s="146">
        <f>'[2]EU Sun Oil Exports'!BU$290</f>
        <v>58.904000000000011</v>
      </c>
      <c r="F276" s="146">
        <f>'[2]EU Sun Oil Exports'!CG$290</f>
        <v>13.084999999999999</v>
      </c>
      <c r="G276" s="146">
        <f>'[2]EU Sun Oil Exports'!CS$290</f>
        <v>26.117999999999999</v>
      </c>
      <c r="H276" s="146">
        <f>'[2]EU Sun Oil Exports'!DE$290</f>
        <v>12.635999999999999</v>
      </c>
      <c r="I276" s="146">
        <f>'[2]EU Sun Oil Exports'!DQ$290</f>
        <v>10.672000000000001</v>
      </c>
      <c r="J276" s="146">
        <f>'[2]EU Sun Oil Exports'!EC$290</f>
        <v>5.0490000000000004</v>
      </c>
      <c r="K276" s="146">
        <f>'[2]EU Sun Oil Exports'!EO$290</f>
        <v>8.9909999999999997</v>
      </c>
      <c r="L276" s="146">
        <f>'[2]EU Sun Oil Exports'!FA$290</f>
        <v>16.123999999999999</v>
      </c>
      <c r="M276" s="146">
        <f>'[2]EU Sun Oil Exports'!FM$290</f>
        <v>18.744</v>
      </c>
      <c r="N276" s="146">
        <f>'[2]EU Sun Oil Exports'!FY$290</f>
        <v>12.945</v>
      </c>
      <c r="O276" s="146">
        <f>'[2]EU Sun Oil Exports'!GK$290</f>
        <v>10.497999999999999</v>
      </c>
      <c r="P276" s="146">
        <f>'[2]EU Sun Oil Exports'!GW$290</f>
        <v>9.4870000000000001</v>
      </c>
      <c r="Q276" s="146">
        <f>'[2]EU Sun Oil Exports'!HI$290</f>
        <v>7.1020000000000003</v>
      </c>
      <c r="R276" s="146">
        <f>'[2]EU Sun Oil Exports'!HU$290</f>
        <v>13.010999999999999</v>
      </c>
      <c r="S276" s="146">
        <f>'[2]EU Sun Oil Exports'!IG$290</f>
        <v>13.528</v>
      </c>
      <c r="T276" s="146">
        <f>'[2]EU Sun Oil Exports'!IS$290</f>
        <v>21.282</v>
      </c>
      <c r="U276" s="146">
        <f>'[2]EU Sun Oil Exports'!JE$290</f>
        <v>16.376000000000001</v>
      </c>
      <c r="V276" s="146">
        <f>'[2]EU Sun Oil Exports'!JQ$290</f>
        <v>32.201000000000001</v>
      </c>
      <c r="W276" s="146">
        <f>'[2]EU Sun Oil Exports'!KC$290</f>
        <v>33.219000000000001</v>
      </c>
      <c r="X276" s="146">
        <f>'[2]EU Sun Oil Exports'!KO$290</f>
        <v>37.595999999999997</v>
      </c>
      <c r="Y276" s="146">
        <f>'[2]EU Sun Oil Exports'!LA$290</f>
        <v>39.994</v>
      </c>
      <c r="Z276" s="146">
        <f>'[2]EU Sun Oil Exports'!LM$290</f>
        <v>49.3</v>
      </c>
      <c r="AA276" s="146">
        <f>'[2]EU Sun Oil Exports'!LY$290</f>
        <v>58.521000000000008</v>
      </c>
      <c r="AB276" s="146">
        <f>'[2]EU Sun Oil Exports'!MK$290/1000</f>
        <v>78.55561299999998</v>
      </c>
      <c r="AC276" s="146">
        <f>'[2]EU Sun Oil Exports'!MW$290/1000</f>
        <v>58.380755999999948</v>
      </c>
      <c r="AD276" s="146">
        <f>'[2]EU Sun Oil Exports'!NI$290/1000</f>
        <v>83.871969000000007</v>
      </c>
      <c r="AE276" s="146">
        <f>'[2]EU Sun Oil Exports'!NU$290/1000</f>
        <v>90.586828000000025</v>
      </c>
      <c r="AF276" s="146">
        <f>'[2]EU Sun Oil Exports'!OG$290/1000</f>
        <v>97.594142999999988</v>
      </c>
      <c r="AG276" s="253">
        <f t="shared" si="175"/>
        <v>89.450938058002606</v>
      </c>
      <c r="AH276" s="253">
        <f t="shared" si="173"/>
        <v>76.095649938602293</v>
      </c>
      <c r="AI276" s="253">
        <f t="shared" si="174"/>
        <v>49.076617282220482</v>
      </c>
      <c r="AJ276" s="253">
        <f t="shared" si="174"/>
        <v>44.891195999046438</v>
      </c>
      <c r="AK276" s="253">
        <f t="shared" si="174"/>
        <v>35.142535363433446</v>
      </c>
      <c r="AL276" s="253">
        <f t="shared" si="174"/>
        <v>37.035095457635649</v>
      </c>
      <c r="AM276" s="253">
        <f t="shared" si="174"/>
        <v>35.715992320158215</v>
      </c>
    </row>
    <row r="277" spans="1:39">
      <c r="A277" s="240" t="s">
        <v>234</v>
      </c>
      <c r="B277" s="290">
        <f t="shared" si="169"/>
        <v>10.313570316832875</v>
      </c>
      <c r="C277" s="290">
        <f t="shared" si="170"/>
        <v>11.852168437427618</v>
      </c>
      <c r="D277" s="290">
        <f t="shared" si="171"/>
        <v>10.252893557292669</v>
      </c>
      <c r="E277" s="146">
        <f>'[2]EU Sun Oil Exports'!BV$290</f>
        <v>39.405000000000001</v>
      </c>
      <c r="F277" s="146">
        <f>'[2]EU Sun Oil Exports'!CH$290</f>
        <v>11.962999999999999</v>
      </c>
      <c r="G277" s="146">
        <f>'[2]EU Sun Oil Exports'!CT$290</f>
        <v>21.1</v>
      </c>
      <c r="H277" s="146">
        <f>'[2]EU Sun Oil Exports'!DF$290</f>
        <v>13.776999999999999</v>
      </c>
      <c r="I277" s="146">
        <f>'[2]EU Sun Oil Exports'!DR$290</f>
        <v>16.344000000000001</v>
      </c>
      <c r="J277" s="146">
        <f>'[2]EU Sun Oil Exports'!ED$290</f>
        <v>6.2690000000000001</v>
      </c>
      <c r="K277" s="146">
        <f>'[2]EU Sun Oil Exports'!EP$290</f>
        <v>9.9770000000000003</v>
      </c>
      <c r="L277" s="146">
        <f>'[2]EU Sun Oil Exports'!FB$290</f>
        <v>18.558</v>
      </c>
      <c r="M277" s="146">
        <f>'[2]EU Sun Oil Exports'!FN$290</f>
        <v>9.5709999999999997</v>
      </c>
      <c r="N277" s="146">
        <f>'[2]EU Sun Oil Exports'!FZ$290</f>
        <v>9.1739999999999995</v>
      </c>
      <c r="O277" s="146">
        <f>'[2]EU Sun Oil Exports'!GL$290</f>
        <v>10.242000000000001</v>
      </c>
      <c r="P277" s="146">
        <f>'[2]EU Sun Oil Exports'!GX$290</f>
        <v>11.727</v>
      </c>
      <c r="Q277" s="146">
        <f>'[2]EU Sun Oil Exports'!HJ$290</f>
        <v>11.972</v>
      </c>
      <c r="R277" s="146">
        <f>'[2]EU Sun Oil Exports'!HV$290</f>
        <v>12.032999999999999</v>
      </c>
      <c r="S277" s="146">
        <f>'[2]EU Sun Oil Exports'!IH$290</f>
        <v>13.837999999999999</v>
      </c>
      <c r="T277" s="146">
        <f>'[2]EU Sun Oil Exports'!IT$290</f>
        <v>18.956</v>
      </c>
      <c r="U277" s="146">
        <f>'[2]EU Sun Oil Exports'!JF$290</f>
        <v>21.111000000000001</v>
      </c>
      <c r="V277" s="146">
        <f>'[2]EU Sun Oil Exports'!JR$290</f>
        <v>24.518000000000001</v>
      </c>
      <c r="W277" s="146">
        <f>'[2]EU Sun Oil Exports'!KD$290</f>
        <v>28.007000000000001</v>
      </c>
      <c r="X277" s="146">
        <f>'[2]EU Sun Oil Exports'!KP$290</f>
        <v>30.446999999999999</v>
      </c>
      <c r="Y277" s="146">
        <f>'[2]EU Sun Oil Exports'!LB$290</f>
        <v>26.904999999999998</v>
      </c>
      <c r="Z277" s="146">
        <f>'[2]EU Sun Oil Exports'!LN$290</f>
        <v>33.464999999999996</v>
      </c>
      <c r="AA277" s="146">
        <f>'[2]EU Sun Oil Exports'!LZ$290</f>
        <v>35.868000000000002</v>
      </c>
      <c r="AB277" s="146">
        <f>'[2]EU Sun Oil Exports'!ML$290/1000</f>
        <v>68.95474899999995</v>
      </c>
      <c r="AC277" s="146">
        <f>'[2]EU Sun Oil Exports'!MX$290/1000</f>
        <v>48.341818999999965</v>
      </c>
      <c r="AD277" s="146">
        <f>'[2]EU Sun Oil Exports'!NJ$290/1000</f>
        <v>58.208925999999991</v>
      </c>
      <c r="AE277" s="146">
        <f>'[2]EU Sun Oil Exports'!NV$290/1000</f>
        <v>90.947474999999983</v>
      </c>
      <c r="AF277" s="146">
        <f>'[2]EU Sun Oil Exports'!OH$290/1000</f>
        <v>65.644473999999946</v>
      </c>
      <c r="AG277" s="253">
        <f t="shared" si="175"/>
        <v>73.105467555192817</v>
      </c>
      <c r="AH277" s="253">
        <f t="shared" si="173"/>
        <v>61.789318722834686</v>
      </c>
      <c r="AI277" s="253">
        <f t="shared" si="174"/>
        <v>39.301086531818335</v>
      </c>
      <c r="AJ277" s="253">
        <f t="shared" si="174"/>
        <v>35.873568105333696</v>
      </c>
      <c r="AK277" s="253">
        <f t="shared" si="174"/>
        <v>28.85948907763774</v>
      </c>
      <c r="AL277" s="253">
        <f t="shared" si="174"/>
        <v>28.593802420859166</v>
      </c>
      <c r="AM277" s="253">
        <f t="shared" si="174"/>
        <v>28.961082423371792</v>
      </c>
    </row>
    <row r="278" spans="1:39">
      <c r="A278" s="240" t="s">
        <v>46</v>
      </c>
      <c r="B278" s="290">
        <f t="shared" si="169"/>
        <v>11.607471205255505</v>
      </c>
      <c r="C278" s="290">
        <f t="shared" si="170"/>
        <v>16.199149974430568</v>
      </c>
      <c r="D278" s="290">
        <f t="shared" si="171"/>
        <v>13.513090303398352</v>
      </c>
      <c r="E278" s="146">
        <f>'[2]EU Sun Oil Exports'!BW$290</f>
        <v>20.687000000000001</v>
      </c>
      <c r="F278" s="146">
        <f>'[2]EU Sun Oil Exports'!CI$290</f>
        <v>10.503</v>
      </c>
      <c r="G278" s="146">
        <f>'[2]EU Sun Oil Exports'!CU$290</f>
        <v>15.923</v>
      </c>
      <c r="H278" s="146">
        <f>'[2]EU Sun Oil Exports'!DG$290</f>
        <v>18.367000000000001</v>
      </c>
      <c r="I278" s="146">
        <f>'[2]EU Sun Oil Exports'!DS$290</f>
        <v>10.667999999999999</v>
      </c>
      <c r="J278" s="146">
        <f>'[2]EU Sun Oil Exports'!EE$290</f>
        <v>7.7439999999999998</v>
      </c>
      <c r="K278" s="146">
        <f>'[2]EU Sun Oil Exports'!EQ$290</f>
        <v>15.048999999999999</v>
      </c>
      <c r="L278" s="146">
        <f>'[2]EU Sun Oil Exports'!FC$290</f>
        <v>20.085999999999999</v>
      </c>
      <c r="M278" s="146">
        <f>'[2]EU Sun Oil Exports'!FO$290</f>
        <v>19.617000000000001</v>
      </c>
      <c r="N278" s="146">
        <f>'[2]EU Sun Oil Exports'!GA$290</f>
        <v>16.015000000000001</v>
      </c>
      <c r="O278" s="146">
        <f>'[2]EU Sun Oil Exports'!GM$290</f>
        <v>18.501999999999999</v>
      </c>
      <c r="P278" s="146">
        <f>'[2]EU Sun Oil Exports'!GY$290</f>
        <v>6.7910000000000004</v>
      </c>
      <c r="Q278" s="146">
        <f>'[2]EU Sun Oil Exports'!HK$290</f>
        <v>8.5139999999999993</v>
      </c>
      <c r="R278" s="146">
        <f>'[2]EU Sun Oil Exports'!HW$290</f>
        <v>17.134</v>
      </c>
      <c r="S278" s="146">
        <f>'[2]EU Sun Oil Exports'!II$290</f>
        <v>14.02</v>
      </c>
      <c r="T278" s="146">
        <f>'[2]EU Sun Oil Exports'!IU$290</f>
        <v>17.222999999999999</v>
      </c>
      <c r="U278" s="146">
        <f>'[2]EU Sun Oil Exports'!JG$290</f>
        <v>31.696999999999999</v>
      </c>
      <c r="V278" s="146">
        <f>'[2]EU Sun Oil Exports'!JS$290</f>
        <v>32.320999999999998</v>
      </c>
      <c r="W278" s="146">
        <f>'[2]EU Sun Oil Exports'!KE$290</f>
        <v>28.927</v>
      </c>
      <c r="X278" s="146">
        <f>'[2]EU Sun Oil Exports'!KQ$290</f>
        <v>28.306999999999999</v>
      </c>
      <c r="Y278" s="146">
        <f>'[2]EU Sun Oil Exports'!LC$290</f>
        <v>26.09</v>
      </c>
      <c r="Z278" s="146">
        <f>'[2]EU Sun Oil Exports'!LO$290</f>
        <v>50.19</v>
      </c>
      <c r="AA278" s="146">
        <f>'[2]EU Sun Oil Exports'!MA$290</f>
        <v>51.643000000000001</v>
      </c>
      <c r="AB278" s="146">
        <f>'[2]EU Sun Oil Exports'!MM$290/1000</f>
        <v>59.307520999999987</v>
      </c>
      <c r="AC278" s="146">
        <f>'[2]EU Sun Oil Exports'!MY$290/1000</f>
        <v>41.567380999999997</v>
      </c>
      <c r="AD278" s="146">
        <f>'[2]EU Sun Oil Exports'!NK$290/1000</f>
        <v>73.247792000000032</v>
      </c>
      <c r="AE278" s="146">
        <f>'[2]EU Sun Oil Exports'!NW$290/1000</f>
        <v>131.6722529999999</v>
      </c>
      <c r="AF278" s="146">
        <f>'[2]EU Sun Oil Exports'!OI$290/1000</f>
        <v>93.793730000000068</v>
      </c>
      <c r="AG278" s="253">
        <f t="shared" si="175"/>
        <v>86.433528986880276</v>
      </c>
      <c r="AH278" s="253">
        <f t="shared" si="173"/>
        <v>74.346589055757505</v>
      </c>
      <c r="AI278" s="253">
        <f t="shared" si="174"/>
        <v>49.874921788425162</v>
      </c>
      <c r="AJ278" s="253">
        <f t="shared" si="174"/>
        <v>47.137231859861529</v>
      </c>
      <c r="AK278" s="253">
        <f t="shared" si="174"/>
        <v>38.049254129302518</v>
      </c>
      <c r="AL278" s="253">
        <f t="shared" si="174"/>
        <v>36.462362334461467</v>
      </c>
      <c r="AM278" s="253">
        <f t="shared" si="174"/>
        <v>35.859578887300245</v>
      </c>
    </row>
    <row r="279" spans="1:39">
      <c r="A279" s="240" t="s">
        <v>235</v>
      </c>
      <c r="B279" s="290">
        <f t="shared" si="169"/>
        <v>9.7882478973106757</v>
      </c>
      <c r="C279" s="290">
        <f t="shared" si="170"/>
        <v>15.171943380034129</v>
      </c>
      <c r="D279" s="290">
        <f t="shared" si="171"/>
        <v>14.266206844162932</v>
      </c>
      <c r="E279" s="146">
        <f>'[2]EU Sun Oil Exports'!BX$290</f>
        <v>15.518999999999998</v>
      </c>
      <c r="F279" s="146">
        <f>'[2]EU Sun Oil Exports'!CJ$290</f>
        <v>7.4449999999999994</v>
      </c>
      <c r="G279" s="146">
        <f>'[2]EU Sun Oil Exports'!CV$290</f>
        <v>29.010999999999999</v>
      </c>
      <c r="H279" s="146">
        <f>'[2]EU Sun Oil Exports'!DH$290</f>
        <v>18.385999999999999</v>
      </c>
      <c r="I279" s="146">
        <f>'[2]EU Sun Oil Exports'!DT$290</f>
        <v>18.933</v>
      </c>
      <c r="J279" s="146">
        <f>'[2]EU Sun Oil Exports'!EF$290</f>
        <v>11.151</v>
      </c>
      <c r="K279" s="146">
        <f>'[2]EU Sun Oil Exports'!ER$290</f>
        <v>12.291</v>
      </c>
      <c r="L279" s="146">
        <f>'[2]EU Sun Oil Exports'!FD$290</f>
        <v>13.581</v>
      </c>
      <c r="M279" s="146">
        <f>'[2]EU Sun Oil Exports'!FP$290</f>
        <v>21.166</v>
      </c>
      <c r="N279" s="146">
        <f>'[2]EU Sun Oil Exports'!GB$290</f>
        <v>15.019</v>
      </c>
      <c r="O279" s="146">
        <f>'[2]EU Sun Oil Exports'!GN$290</f>
        <v>17.338999999999999</v>
      </c>
      <c r="P279" s="146">
        <f>'[2]EU Sun Oil Exports'!GZ$290</f>
        <v>8.7690000000000001</v>
      </c>
      <c r="Q279" s="146">
        <f>'[2]EU Sun Oil Exports'!HL$290</f>
        <v>11.016</v>
      </c>
      <c r="R279" s="146">
        <f>'[2]EU Sun Oil Exports'!HX$290</f>
        <v>11.686</v>
      </c>
      <c r="S279" s="146">
        <f>'[2]EU Sun Oil Exports'!IJ$290</f>
        <v>11.98</v>
      </c>
      <c r="T279" s="146">
        <f>'[2]EU Sun Oil Exports'!IV$290</f>
        <v>17.515999999999998</v>
      </c>
      <c r="U279" s="146">
        <f>'[2]EU Sun Oil Exports'!JH$290</f>
        <v>24.649000000000001</v>
      </c>
      <c r="V279" s="146">
        <f>'[2]EU Sun Oil Exports'!JT$290</f>
        <v>15.789</v>
      </c>
      <c r="W279" s="146">
        <f>'[2]EU Sun Oil Exports'!KF$290</f>
        <v>29.300999999999998</v>
      </c>
      <c r="X279" s="146">
        <f>'[2]EU Sun Oil Exports'!KR$290</f>
        <v>29.516999999999999</v>
      </c>
      <c r="Y279" s="146">
        <f>'[2]EU Sun Oil Exports'!LD$290</f>
        <v>45.768999999999998</v>
      </c>
      <c r="Z279" s="146">
        <f>'[2]EU Sun Oil Exports'!LP$290</f>
        <v>30.042999999999999</v>
      </c>
      <c r="AA279" s="146">
        <f>'[2]EU Sun Oil Exports'!MB$290</f>
        <v>40.137000000000008</v>
      </c>
      <c r="AB279" s="146">
        <f>'[2]EU Sun Oil Exports'!MN$290/1000</f>
        <v>94.729694999999921</v>
      </c>
      <c r="AC279" s="146">
        <f>'[2]EU Sun Oil Exports'!MZ$290/1000</f>
        <v>80.892596999999967</v>
      </c>
      <c r="AD279" s="146">
        <f>'[2]EU Sun Oil Exports'!NL$290/1000</f>
        <v>57.151518999999986</v>
      </c>
      <c r="AE279" s="146">
        <f>'[2]EU Sun Oil Exports'!NX$290/1000</f>
        <v>121.75237699999997</v>
      </c>
      <c r="AF279" s="146">
        <f>'[2]EU Sun Oil Exports'!OJ$290/1000</f>
        <v>44.983834999999971</v>
      </c>
      <c r="AG279" s="253">
        <f t="shared" si="175"/>
        <v>95.435116462473914</v>
      </c>
      <c r="AH279" s="253">
        <f>(SUM(AB279:AF279)/SUM(AB$283:AF$283))*AH$283</f>
        <v>74.331954865771181</v>
      </c>
      <c r="AI279" s="253">
        <f t="shared" si="174"/>
        <v>46.777658921439283</v>
      </c>
      <c r="AJ279" s="253">
        <f t="shared" si="174"/>
        <v>40.383121453961515</v>
      </c>
      <c r="AK279" s="253">
        <f t="shared" si="174"/>
        <v>33.43923638422239</v>
      </c>
      <c r="AL279" s="253">
        <f t="shared" si="174"/>
        <v>31.310726993261028</v>
      </c>
      <c r="AM279" s="253">
        <f t="shared" si="174"/>
        <v>35.196010677317368</v>
      </c>
    </row>
    <row r="280" spans="1:39">
      <c r="A280" s="240" t="s">
        <v>236</v>
      </c>
      <c r="B280" s="290">
        <f t="shared" si="169"/>
        <v>9.9127259239566747</v>
      </c>
      <c r="C280" s="290">
        <f t="shared" si="170"/>
        <v>15.421896318129432</v>
      </c>
      <c r="D280" s="290">
        <f t="shared" si="171"/>
        <v>13.461520307712926</v>
      </c>
      <c r="E280" s="146">
        <f>'[2]EU Sun Oil Exports'!BY$290</f>
        <v>20.745000000000001</v>
      </c>
      <c r="F280" s="146">
        <f>'[2]EU Sun Oil Exports'!CK$290</f>
        <v>11.656000000000001</v>
      </c>
      <c r="G280" s="146">
        <f>'[2]EU Sun Oil Exports'!CW$290</f>
        <v>21.135999999999999</v>
      </c>
      <c r="H280" s="146">
        <f>'[2]EU Sun Oil Exports'!DI$290</f>
        <v>16.085000000000001</v>
      </c>
      <c r="I280" s="146">
        <f>'[2]EU Sun Oil Exports'!DU$290</f>
        <v>12.863</v>
      </c>
      <c r="J280" s="146">
        <f>'[2]EU Sun Oil Exports'!EG$290</f>
        <v>7.726</v>
      </c>
      <c r="K280" s="146">
        <f>'[2]EU Sun Oil Exports'!ES$290</f>
        <v>15.305999999999999</v>
      </c>
      <c r="L280" s="146">
        <f>'[2]EU Sun Oil Exports'!FE$290</f>
        <v>16.206</v>
      </c>
      <c r="M280" s="146">
        <f>'[2]EU Sun Oil Exports'!FQ$290</f>
        <v>22.655000000000001</v>
      </c>
      <c r="N280" s="146">
        <f>'[2]EU Sun Oil Exports'!GC$290</f>
        <v>14.369</v>
      </c>
      <c r="O280" s="146">
        <f>'[2]EU Sun Oil Exports'!GO$290</f>
        <v>16.227</v>
      </c>
      <c r="P280" s="146">
        <f>'[2]EU Sun Oil Exports'!HA$290</f>
        <v>7.6669999999999998</v>
      </c>
      <c r="Q280" s="146">
        <f>'[2]EU Sun Oil Exports'!HM$290</f>
        <v>8.2560000000000002</v>
      </c>
      <c r="R280" s="146">
        <f>'[2]EU Sun Oil Exports'!HY$290</f>
        <v>13.205</v>
      </c>
      <c r="S280" s="146">
        <f>'[2]EU Sun Oil Exports'!IK$290</f>
        <v>14.618</v>
      </c>
      <c r="T280" s="146">
        <f>'[2]EU Sun Oil Exports'!IW$290</f>
        <v>17.815000000000001</v>
      </c>
      <c r="U280" s="146">
        <f>'[2]EU Sun Oil Exports'!JI$290</f>
        <v>21.655999999999999</v>
      </c>
      <c r="V280" s="146">
        <f>'[2]EU Sun Oil Exports'!JU$290</f>
        <v>23.233000000000001</v>
      </c>
      <c r="W280" s="146">
        <f>'[2]EU Sun Oil Exports'!KG$290</f>
        <v>34.006999999999998</v>
      </c>
      <c r="X280" s="146">
        <f>'[2]EU Sun Oil Exports'!KS$290</f>
        <v>21.545999999999999</v>
      </c>
      <c r="Y280" s="146">
        <f>'[2]EU Sun Oil Exports'!LE$290</f>
        <v>24.020999999999997</v>
      </c>
      <c r="Z280" s="146">
        <f>'[2]EU Sun Oil Exports'!LQ$290</f>
        <v>46.416000000000004</v>
      </c>
      <c r="AA280" s="146">
        <f>'[2]EU Sun Oil Exports'!MC$290/1000</f>
        <v>30.340907999999995</v>
      </c>
      <c r="AB280" s="146">
        <f>'[2]EU Sun Oil Exports'!MO$290/1000</f>
        <v>108.70878999999995</v>
      </c>
      <c r="AC280" s="146">
        <f>'[2]EU Sun Oil Exports'!NA$290/1000</f>
        <v>55.865762999999994</v>
      </c>
      <c r="AD280" s="146">
        <f>'[2]EU Sun Oil Exports'!NM$290/1000</f>
        <v>72.851901000000026</v>
      </c>
      <c r="AE280" s="146">
        <f>'[2]EU Sun Oil Exports'!NY$290/1000</f>
        <v>79.11080699999998</v>
      </c>
      <c r="AF280" s="146">
        <f>'[2]EU Sun Oil Exports'!OK$290/1000</f>
        <v>50.224150999999914</v>
      </c>
      <c r="AG280" s="253">
        <f t="shared" si="175"/>
        <v>83.880025964835383</v>
      </c>
      <c r="AH280" s="253">
        <f t="shared" si="173"/>
        <v>68.238820439532518</v>
      </c>
      <c r="AI280" s="253">
        <f t="shared" si="174"/>
        <v>39.965496089452856</v>
      </c>
      <c r="AJ280" s="253">
        <f t="shared" si="174"/>
        <v>36.3464899921265</v>
      </c>
      <c r="AK280" s="253">
        <f t="shared" si="174"/>
        <v>28.042135110027445</v>
      </c>
      <c r="AL280" s="253">
        <f t="shared" si="174"/>
        <v>28.89881544004103</v>
      </c>
      <c r="AM280" s="253">
        <f t="shared" si="174"/>
        <v>31.087632435875722</v>
      </c>
    </row>
    <row r="281" spans="1:39">
      <c r="A281" s="240" t="s">
        <v>237</v>
      </c>
      <c r="B281" s="290">
        <f t="shared" si="169"/>
        <v>7.6621464374796551</v>
      </c>
      <c r="C281" s="290">
        <f t="shared" si="170"/>
        <v>9.1404790026193439</v>
      </c>
      <c r="D281" s="290">
        <f t="shared" si="171"/>
        <v>8.7943383963028694</v>
      </c>
      <c r="E281" s="146">
        <f>'[2]EU Sun Oil Exports'!BZ$290</f>
        <v>16.856999999999999</v>
      </c>
      <c r="F281" s="146">
        <f>'[2]EU Sun Oil Exports'!CL$290</f>
        <v>14.628</v>
      </c>
      <c r="G281" s="146">
        <f>'[2]EU Sun Oil Exports'!CX$290</f>
        <v>21.152999999999999</v>
      </c>
      <c r="H281" s="146">
        <f>'[2]EU Sun Oil Exports'!DJ$290</f>
        <v>17.766999999999999</v>
      </c>
      <c r="I281" s="146">
        <f>'[2]EU Sun Oil Exports'!DV$290</f>
        <v>10.755000000000001</v>
      </c>
      <c r="J281" s="146">
        <f>'[2]EU Sun Oil Exports'!EH$290</f>
        <v>8.9480000000000004</v>
      </c>
      <c r="K281" s="146">
        <f>'[2]EU Sun Oil Exports'!ET$290</f>
        <v>18.286999999999999</v>
      </c>
      <c r="L281" s="146">
        <f>'[2]EU Sun Oil Exports'!FF$290</f>
        <v>8.5350000000000001</v>
      </c>
      <c r="M281" s="146">
        <f>'[2]EU Sun Oil Exports'!FR$290</f>
        <v>11.035</v>
      </c>
      <c r="N281" s="146">
        <f>'[2]EU Sun Oil Exports'!GD$290</f>
        <v>5.7880000000000003</v>
      </c>
      <c r="O281" s="146">
        <f>'[2]EU Sun Oil Exports'!GP$290</f>
        <v>12.29</v>
      </c>
      <c r="P281" s="146">
        <f>'[2]EU Sun Oil Exports'!HB$290</f>
        <v>8.0630000000000006</v>
      </c>
      <c r="Q281" s="146">
        <f>'[2]EU Sun Oil Exports'!HN$290</f>
        <v>8.0150000000000006</v>
      </c>
      <c r="R281" s="146">
        <f>'[2]EU Sun Oil Exports'!HZ$290</f>
        <v>11.205</v>
      </c>
      <c r="S281" s="146">
        <f>'[2]EU Sun Oil Exports'!IL$290</f>
        <v>12.538</v>
      </c>
      <c r="T281" s="146">
        <f>'[2]EU Sun Oil Exports'!IX$290</f>
        <v>15.521000000000001</v>
      </c>
      <c r="U281" s="146">
        <f>'[2]EU Sun Oil Exports'!JJ$290</f>
        <v>20.306999999999999</v>
      </c>
      <c r="V281" s="146">
        <f>'[2]EU Sun Oil Exports'!JV$290</f>
        <v>14.263</v>
      </c>
      <c r="W281" s="146">
        <f>'[2]EU Sun Oil Exports'!KH$290</f>
        <v>15.364000000000001</v>
      </c>
      <c r="X281" s="146">
        <f>'[2]EU Sun Oil Exports'!KT$290</f>
        <v>25.952999999999996</v>
      </c>
      <c r="Y281" s="146">
        <f>'[2]EU Sun Oil Exports'!LF$290</f>
        <v>27.475999999999999</v>
      </c>
      <c r="Z281" s="146">
        <f>'[2]EU Sun Oil Exports'!LR$290</f>
        <v>53.010000000000005</v>
      </c>
      <c r="AA281" s="146">
        <f>'[2]EU Sun Oil Exports'!MD$290/1000</f>
        <v>35.619039999999998</v>
      </c>
      <c r="AB281" s="146">
        <f>'[2]EU Sun Oil Exports'!MP$290/1000</f>
        <v>44.278680000000023</v>
      </c>
      <c r="AC281" s="146">
        <f>'[2]EU Sun Oil Exports'!NB$290/1000</f>
        <v>46.107468999999988</v>
      </c>
      <c r="AD281" s="146">
        <f>'[2]EU Sun Oil Exports'!NN$290/1000</f>
        <v>98.59932400000001</v>
      </c>
      <c r="AE281" s="146">
        <f>'[2]EU Sun Oil Exports'!NZ$290/1000</f>
        <v>84.114555999999979</v>
      </c>
      <c r="AF281" s="146">
        <f>'[2]EU Sun Oil Exports'!OJ$290/1000</f>
        <v>44.983834999999971</v>
      </c>
      <c r="AG281" s="253">
        <f t="shared" si="175"/>
        <v>74.652618232540931</v>
      </c>
      <c r="AH281" s="253">
        <f t="shared" si="173"/>
        <v>59.181983082256991</v>
      </c>
      <c r="AI281" s="253">
        <f t="shared" si="174"/>
        <v>40.728163909917562</v>
      </c>
      <c r="AJ281" s="253">
        <f t="shared" si="174"/>
        <v>37.087832671983051</v>
      </c>
      <c r="AK281" s="253">
        <f t="shared" si="174"/>
        <v>26.49283088301765</v>
      </c>
      <c r="AL281" s="253">
        <f t="shared" si="174"/>
        <v>26.615103089356023</v>
      </c>
      <c r="AM281" s="253">
        <f t="shared" si="174"/>
        <v>28.865870155117111</v>
      </c>
    </row>
    <row r="282" spans="1:39">
      <c r="A282" s="240" t="s">
        <v>238</v>
      </c>
      <c r="B282" s="290">
        <f t="shared" si="169"/>
        <v>13.977331655986569</v>
      </c>
      <c r="C282" s="290">
        <f t="shared" si="170"/>
        <v>11.462841741050381</v>
      </c>
      <c r="D282" s="290">
        <f t="shared" si="171"/>
        <v>10.439907768061342</v>
      </c>
      <c r="E282" s="146">
        <f>'[2]EU Sun Oil Exports'!CA$290</f>
        <v>37.288999999999994</v>
      </c>
      <c r="F282" s="146">
        <f>'[2]EU Sun Oil Exports'!CM$290</f>
        <v>21.985999999999997</v>
      </c>
      <c r="G282" s="146">
        <f>'[2]EU Sun Oil Exports'!CY$290</f>
        <v>18.901</v>
      </c>
      <c r="H282" s="146">
        <f>'[2]EU Sun Oil Exports'!DK$290</f>
        <v>27.093</v>
      </c>
      <c r="I282" s="146">
        <f>'[2]EU Sun Oil Exports'!DW$290</f>
        <v>8.82</v>
      </c>
      <c r="J282" s="146">
        <f>'[2]EU Sun Oil Exports'!EI$290</f>
        <v>11.41</v>
      </c>
      <c r="K282" s="146">
        <f>'[2]EU Sun Oil Exports'!EU$290</f>
        <v>16.844000000000001</v>
      </c>
      <c r="L282" s="146">
        <f>'[2]EU Sun Oil Exports'!FG$290</f>
        <v>16.936</v>
      </c>
      <c r="M282" s="146">
        <f>'[2]EU Sun Oil Exports'!FS$290</f>
        <v>10.798999999999999</v>
      </c>
      <c r="N282" s="146">
        <f>'[2]EU Sun Oil Exports'!GE$290</f>
        <v>8.7070000000000007</v>
      </c>
      <c r="O282" s="146">
        <f>'[2]EU Sun Oil Exports'!GQ$290</f>
        <v>9.2949999999999999</v>
      </c>
      <c r="P282" s="146">
        <f>'[2]EU Sun Oil Exports'!HC$290</f>
        <v>11.587999999999999</v>
      </c>
      <c r="Q282" s="146">
        <f>'[2]EU Sun Oil Exports'!HO$290</f>
        <v>13.257999999999999</v>
      </c>
      <c r="R282" s="146">
        <f>'[2]EU Sun Oil Exports'!IA$290</f>
        <v>13.568</v>
      </c>
      <c r="S282" s="146">
        <f>'[2]EU Sun Oil Exports'!IM$290</f>
        <v>14.308999999999999</v>
      </c>
      <c r="T282" s="146">
        <f>'[2]EU Sun Oil Exports'!IY$290</f>
        <v>13.555</v>
      </c>
      <c r="U282" s="146">
        <f>'[2]EU Sun Oil Exports'!JK$290</f>
        <v>22.428000000000001</v>
      </c>
      <c r="V282" s="146">
        <f>'[2]EU Sun Oil Exports'!JW$290</f>
        <v>56.917999999999999</v>
      </c>
      <c r="W282" s="146">
        <f>'[2]EU Sun Oil Exports'!KI$290</f>
        <v>38.658999999999999</v>
      </c>
      <c r="X282" s="146">
        <f>'[2]EU Sun Oil Exports'!KU$290</f>
        <v>35.186999999999998</v>
      </c>
      <c r="Y282" s="146">
        <f>'[2]EU Sun Oil Exports'!LG$290</f>
        <v>39.74</v>
      </c>
      <c r="Z282" s="146">
        <f>'[2]EU Sun Oil Exports'!LS$290</f>
        <v>46.84</v>
      </c>
      <c r="AA282" s="146">
        <f>'[2]EU Sun Oil Exports'!ME$290/1000</f>
        <v>54.576107999999998</v>
      </c>
      <c r="AB282" s="146">
        <f>'[2]EU Sun Oil Exports'!MQ$290/1000</f>
        <v>68.225141999999991</v>
      </c>
      <c r="AC282" s="146">
        <f>'[2]EU Sun Oil Exports'!NC$290/1000</f>
        <v>69.14196800000002</v>
      </c>
      <c r="AD282" s="146">
        <f>'[2]EU Sun Oil Exports'!NO$290/1000</f>
        <v>75.966918000000064</v>
      </c>
      <c r="AE282" s="146">
        <f>'[2]EU Sun Oil Exports'!OA$290/1000</f>
        <v>87.857130999999995</v>
      </c>
      <c r="AF282" s="146">
        <f>'[2]EU Sun Oil Exports'!OK$290/1000</f>
        <v>50.224150999999914</v>
      </c>
      <c r="AG282" s="253">
        <f t="shared" ref="AG282:AH282" si="176">AG283-SUM(AG271:AG281)</f>
        <v>181.79717569597005</v>
      </c>
      <c r="AH282" s="253">
        <f t="shared" si="176"/>
        <v>65.383558504766143</v>
      </c>
      <c r="AI282" s="253">
        <f t="shared" ref="AI282:AM282" si="177">AI283-SUM(AI271:AI281)</f>
        <v>54.348275827810141</v>
      </c>
      <c r="AJ282" s="253">
        <f t="shared" si="177"/>
        <v>47.31522124904393</v>
      </c>
      <c r="AK282" s="253">
        <f t="shared" si="177"/>
        <v>38.353674424290375</v>
      </c>
      <c r="AL282" s="253">
        <f t="shared" si="177"/>
        <v>41.386676036165113</v>
      </c>
      <c r="AM282" s="253">
        <f t="shared" si="177"/>
        <v>46.933079479015817</v>
      </c>
    </row>
    <row r="283" spans="1:39" ht="15.75" thickBot="1">
      <c r="A283" s="299" t="s">
        <v>242</v>
      </c>
      <c r="B283" s="146">
        <f>B40</f>
        <v>114</v>
      </c>
      <c r="C283" s="146">
        <f>C40</f>
        <v>233</v>
      </c>
      <c r="D283" s="146">
        <f>D40</f>
        <v>141</v>
      </c>
      <c r="E283" s="146">
        <f t="shared" ref="E283:W283" si="178">SUM(E271:E282)</f>
        <v>455.60599999999999</v>
      </c>
      <c r="F283" s="146">
        <f t="shared" si="178"/>
        <v>251.25699999999995</v>
      </c>
      <c r="G283" s="146">
        <f t="shared" si="178"/>
        <v>289.97199999999998</v>
      </c>
      <c r="H283" s="146">
        <f t="shared" si="178"/>
        <v>240.92999999999998</v>
      </c>
      <c r="I283" s="146">
        <f t="shared" si="178"/>
        <v>184.42599999999999</v>
      </c>
      <c r="J283" s="146">
        <f t="shared" si="178"/>
        <v>102.92099999999999</v>
      </c>
      <c r="K283" s="146">
        <f t="shared" si="178"/>
        <v>156.25799999999998</v>
      </c>
      <c r="L283" s="146">
        <f t="shared" si="178"/>
        <v>217.74700000000001</v>
      </c>
      <c r="M283" s="146">
        <f t="shared" si="178"/>
        <v>187.12900000000002</v>
      </c>
      <c r="N283" s="146">
        <f t="shared" si="178"/>
        <v>133.24700000000001</v>
      </c>
      <c r="O283" s="146">
        <f t="shared" si="178"/>
        <v>147.05799999999999</v>
      </c>
      <c r="P283" s="146">
        <f t="shared" si="178"/>
        <v>112.63200000000001</v>
      </c>
      <c r="Q283" s="146">
        <f t="shared" si="178"/>
        <v>126.35499999999999</v>
      </c>
      <c r="R283" s="146">
        <f t="shared" si="178"/>
        <v>151.17800000000003</v>
      </c>
      <c r="S283" s="146">
        <f t="shared" si="178"/>
        <v>163.47500000000002</v>
      </c>
      <c r="T283" s="146">
        <f t="shared" si="178"/>
        <v>203.69499999999999</v>
      </c>
      <c r="U283" s="146">
        <f t="shared" si="178"/>
        <v>237.929</v>
      </c>
      <c r="V283" s="146">
        <f t="shared" si="178"/>
        <v>365.858</v>
      </c>
      <c r="W283" s="146">
        <f t="shared" si="178"/>
        <v>409.10799999999995</v>
      </c>
      <c r="X283" s="146">
        <f>SUM(X271:X282)</f>
        <v>367.262</v>
      </c>
      <c r="Y283" s="146">
        <f>SUM(Y271:Y282)</f>
        <v>463.45699999999994</v>
      </c>
      <c r="Z283" s="146">
        <f t="shared" ref="Z283:AA283" si="179">SUM(Z271:Z282)</f>
        <v>533.96600000000001</v>
      </c>
      <c r="AA283" s="146">
        <f t="shared" si="179"/>
        <v>523.91005599999994</v>
      </c>
      <c r="AB283" s="146">
        <f>SUM(AB271:AB282)</f>
        <v>862.83989699999961</v>
      </c>
      <c r="AC283" s="146">
        <f>SUM(AC271:AC282)</f>
        <v>681.63131399999997</v>
      </c>
      <c r="AD283" s="146">
        <f t="shared" ref="AD283:AF283" si="180">SUM(AD271:AD282)</f>
        <v>839.19670200000007</v>
      </c>
      <c r="AE283" s="146">
        <f t="shared" si="180"/>
        <v>1227.8304909999999</v>
      </c>
      <c r="AF283" s="146">
        <f t="shared" si="180"/>
        <v>956.97447099999965</v>
      </c>
      <c r="AG283" s="253">
        <f t="shared" ref="AG283:AM283" si="181">AG40</f>
        <v>1000</v>
      </c>
      <c r="AH283" s="253">
        <f t="shared" si="181"/>
        <v>850</v>
      </c>
      <c r="AI283" s="253">
        <f t="shared" si="181"/>
        <v>550</v>
      </c>
      <c r="AJ283" s="253">
        <f t="shared" si="181"/>
        <v>500</v>
      </c>
      <c r="AK283" s="253">
        <f t="shared" si="181"/>
        <v>400</v>
      </c>
      <c r="AL283" s="253">
        <f t="shared" si="181"/>
        <v>400</v>
      </c>
      <c r="AM283" s="253">
        <f t="shared" si="181"/>
        <v>400</v>
      </c>
    </row>
    <row r="284" spans="1:39">
      <c r="A284" s="248"/>
      <c r="B284" s="248"/>
      <c r="C284" s="248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  <c r="AD284" s="248"/>
      <c r="AE284" s="248"/>
      <c r="AF284" s="248"/>
      <c r="AG284" s="248"/>
      <c r="AH284" s="248"/>
      <c r="AI284" s="248"/>
      <c r="AJ284" s="248"/>
      <c r="AK284" s="248"/>
      <c r="AL284" s="248"/>
      <c r="AM284" s="248"/>
    </row>
    <row r="285" spans="1:39" ht="15.75" thickBot="1">
      <c r="A285" s="235" t="s">
        <v>268</v>
      </c>
      <c r="D285" s="264"/>
      <c r="E285" s="264"/>
      <c r="F285" s="264"/>
      <c r="G285" s="264"/>
      <c r="H285" s="264"/>
      <c r="I285" s="264"/>
      <c r="J285" s="264"/>
    </row>
    <row r="286" spans="1:39" ht="15.75" thickBot="1">
      <c r="A286" s="236"/>
      <c r="B286" s="237" t="str">
        <f>B$2</f>
        <v xml:space="preserve">93/94 </v>
      </c>
      <c r="C286" s="237" t="str">
        <f t="shared" ref="C286:AM286" si="182">C$2</f>
        <v xml:space="preserve">94/95 </v>
      </c>
      <c r="D286" s="237" t="str">
        <f t="shared" si="182"/>
        <v xml:space="preserve">95/96 </v>
      </c>
      <c r="E286" s="237" t="str">
        <f t="shared" si="182"/>
        <v xml:space="preserve">96/97 </v>
      </c>
      <c r="F286" s="237" t="str">
        <f t="shared" si="182"/>
        <v xml:space="preserve">97/98 </v>
      </c>
      <c r="G286" s="237" t="str">
        <f t="shared" si="182"/>
        <v xml:space="preserve">98/99 </v>
      </c>
      <c r="H286" s="237" t="str">
        <f t="shared" si="182"/>
        <v xml:space="preserve">99/00 </v>
      </c>
      <c r="I286" s="237" t="str">
        <f t="shared" si="182"/>
        <v xml:space="preserve">00/01 </v>
      </c>
      <c r="J286" s="237" t="str">
        <f t="shared" si="182"/>
        <v xml:space="preserve">01/02 </v>
      </c>
      <c r="K286" s="237" t="str">
        <f t="shared" si="182"/>
        <v xml:space="preserve">02/03 </v>
      </c>
      <c r="L286" s="237" t="str">
        <f t="shared" si="182"/>
        <v xml:space="preserve">03/04 </v>
      </c>
      <c r="M286" s="237" t="str">
        <f t="shared" si="182"/>
        <v xml:space="preserve">04/05 </v>
      </c>
      <c r="N286" s="237" t="str">
        <f t="shared" si="182"/>
        <v xml:space="preserve">05/06 </v>
      </c>
      <c r="O286" s="237" t="str">
        <f t="shared" si="182"/>
        <v xml:space="preserve">06/07 </v>
      </c>
      <c r="P286" s="237" t="str">
        <f t="shared" si="182"/>
        <v xml:space="preserve">07/08 </v>
      </c>
      <c r="Q286" s="237" t="str">
        <f t="shared" si="182"/>
        <v xml:space="preserve">08/09 </v>
      </c>
      <c r="R286" s="237" t="str">
        <f t="shared" si="182"/>
        <v xml:space="preserve">09/10 </v>
      </c>
      <c r="S286" s="237" t="str">
        <f t="shared" si="182"/>
        <v xml:space="preserve">10/11 </v>
      </c>
      <c r="T286" s="237" t="str">
        <f t="shared" si="182"/>
        <v xml:space="preserve">11/12 </v>
      </c>
      <c r="U286" s="237" t="str">
        <f t="shared" si="182"/>
        <v xml:space="preserve">12/13 </v>
      </c>
      <c r="V286" s="237" t="str">
        <f t="shared" si="182"/>
        <v xml:space="preserve">13/14 </v>
      </c>
      <c r="W286" s="237" t="str">
        <f t="shared" si="182"/>
        <v xml:space="preserve">14/15 </v>
      </c>
      <c r="X286" s="237" t="str">
        <f t="shared" si="182"/>
        <v xml:space="preserve">15/16 </v>
      </c>
      <c r="Y286" s="237" t="str">
        <f t="shared" si="182"/>
        <v xml:space="preserve">16/17 </v>
      </c>
      <c r="Z286" s="237" t="str">
        <f t="shared" si="182"/>
        <v xml:space="preserve">17/18 </v>
      </c>
      <c r="AA286" s="237" t="str">
        <f t="shared" si="182"/>
        <v xml:space="preserve">18/19 </v>
      </c>
      <c r="AB286" s="237" t="str">
        <f t="shared" si="182"/>
        <v xml:space="preserve">19/20 </v>
      </c>
      <c r="AC286" s="237" t="str">
        <f t="shared" si="182"/>
        <v xml:space="preserve">20/21 </v>
      </c>
      <c r="AD286" s="237" t="str">
        <f t="shared" si="182"/>
        <v>21/22</v>
      </c>
      <c r="AE286" s="237" t="str">
        <f t="shared" si="182"/>
        <v>22/23</v>
      </c>
      <c r="AF286" s="237" t="str">
        <f t="shared" si="182"/>
        <v>23/24</v>
      </c>
      <c r="AG286" s="237" t="str">
        <f t="shared" si="182"/>
        <v>24/25</v>
      </c>
      <c r="AH286" s="237" t="str">
        <f t="shared" si="182"/>
        <v>25/26</v>
      </c>
      <c r="AI286" s="237" t="str">
        <f t="shared" si="182"/>
        <v>26/27</v>
      </c>
      <c r="AJ286" s="237" t="str">
        <f t="shared" si="182"/>
        <v>27/28</v>
      </c>
      <c r="AK286" s="237" t="str">
        <f t="shared" si="182"/>
        <v>28/29</v>
      </c>
      <c r="AL286" s="237" t="str">
        <f t="shared" si="182"/>
        <v>29/30</v>
      </c>
      <c r="AM286" s="237" t="str">
        <f t="shared" si="182"/>
        <v>30/31</v>
      </c>
    </row>
    <row r="287" spans="1:39">
      <c r="A287" s="240" t="s">
        <v>239</v>
      </c>
      <c r="B287" s="290">
        <f t="shared" ref="B287:Q298" si="183">B$299/12</f>
        <v>207.25097146346465</v>
      </c>
      <c r="C287" s="290">
        <f t="shared" si="183"/>
        <v>219.38849467898129</v>
      </c>
      <c r="D287" s="290">
        <f t="shared" si="183"/>
        <v>243.12261517556851</v>
      </c>
      <c r="E287" s="290">
        <f t="shared" si="183"/>
        <v>246.34382634941957</v>
      </c>
      <c r="F287" s="290">
        <f t="shared" si="183"/>
        <v>245.76732061018956</v>
      </c>
      <c r="G287" s="290">
        <f t="shared" si="183"/>
        <v>242.81302128850356</v>
      </c>
      <c r="H287" s="290">
        <f t="shared" si="183"/>
        <v>220.2787343333616</v>
      </c>
      <c r="I287" s="290">
        <f t="shared" si="183"/>
        <v>211.93813182747544</v>
      </c>
      <c r="J287" s="290">
        <f t="shared" si="183"/>
        <v>212.05789735458723</v>
      </c>
      <c r="K287" s="290">
        <f t="shared" si="183"/>
        <v>220.43254202320983</v>
      </c>
      <c r="L287" s="290">
        <f t="shared" si="183"/>
        <v>225.18672559216733</v>
      </c>
      <c r="M287" s="290">
        <f t="shared" si="183"/>
        <v>243.24193762447945</v>
      </c>
      <c r="N287" s="290">
        <f t="shared" si="183"/>
        <v>271.90320261377042</v>
      </c>
      <c r="O287" s="290">
        <f t="shared" si="183"/>
        <v>275.99556335667688</v>
      </c>
      <c r="P287" s="290">
        <f t="shared" si="183"/>
        <v>243.7604924626811</v>
      </c>
      <c r="Q287" s="290">
        <f t="shared" si="183"/>
        <v>274.26279660779363</v>
      </c>
      <c r="R287" s="290">
        <f t="shared" ref="R287:AN298" si="184">R$299/12</f>
        <v>276.31571074026533</v>
      </c>
      <c r="S287" s="290">
        <f t="shared" si="184"/>
        <v>282.36318277310926</v>
      </c>
      <c r="T287" s="290">
        <f t="shared" si="184"/>
        <v>290.16615211481866</v>
      </c>
      <c r="U287" s="290">
        <f t="shared" si="184"/>
        <v>299.87533333333334</v>
      </c>
      <c r="V287" s="290">
        <f t="shared" si="184"/>
        <v>309.55748220973783</v>
      </c>
      <c r="W287" s="290">
        <f t="shared" si="184"/>
        <v>307.73849999999999</v>
      </c>
      <c r="X287" s="290">
        <f t="shared" si="184"/>
        <v>324.1993333333333</v>
      </c>
      <c r="Y287" s="290">
        <f t="shared" si="184"/>
        <v>379.56446316107593</v>
      </c>
      <c r="Z287" s="252">
        <f t="shared" si="184"/>
        <v>419.40369265331873</v>
      </c>
      <c r="AA287" s="252">
        <f t="shared" si="184"/>
        <v>408.4150708333334</v>
      </c>
      <c r="AB287" s="252">
        <f t="shared" si="184"/>
        <v>404.29267783333336</v>
      </c>
      <c r="AC287" s="252">
        <f t="shared" si="184"/>
        <v>396.17262358333329</v>
      </c>
      <c r="AD287" s="252">
        <f t="shared" si="184"/>
        <v>412.52927158333324</v>
      </c>
      <c r="AE287" s="252">
        <f t="shared" si="184"/>
        <v>424.4331520906137</v>
      </c>
      <c r="AF287" s="252">
        <f t="shared" si="184"/>
        <v>448.38263773244336</v>
      </c>
      <c r="AG287" s="252">
        <f t="shared" si="184"/>
        <v>468.5</v>
      </c>
      <c r="AH287" s="252">
        <f t="shared" si="184"/>
        <v>474.16666666666674</v>
      </c>
      <c r="AI287" s="252">
        <f t="shared" si="184"/>
        <v>482.50000000000017</v>
      </c>
      <c r="AJ287" s="252">
        <f t="shared" si="184"/>
        <v>515.16666666666674</v>
      </c>
      <c r="AK287" s="252">
        <f t="shared" si="184"/>
        <v>527.00000000000011</v>
      </c>
      <c r="AL287" s="252">
        <f t="shared" si="184"/>
        <v>543.00000000000011</v>
      </c>
      <c r="AM287" s="252">
        <f t="shared" si="184"/>
        <v>552.08333333333348</v>
      </c>
    </row>
    <row r="288" spans="1:39">
      <c r="A288" s="240" t="s">
        <v>240</v>
      </c>
      <c r="B288" s="290">
        <f t="shared" si="183"/>
        <v>207.25097146346465</v>
      </c>
      <c r="C288" s="290">
        <f t="shared" si="183"/>
        <v>219.38849467898129</v>
      </c>
      <c r="D288" s="290">
        <f t="shared" si="183"/>
        <v>243.12261517556851</v>
      </c>
      <c r="E288" s="290">
        <f t="shared" si="183"/>
        <v>246.34382634941957</v>
      </c>
      <c r="F288" s="290">
        <f t="shared" si="183"/>
        <v>245.76732061018956</v>
      </c>
      <c r="G288" s="290">
        <f t="shared" si="183"/>
        <v>242.81302128850356</v>
      </c>
      <c r="H288" s="290">
        <f t="shared" si="183"/>
        <v>220.2787343333616</v>
      </c>
      <c r="I288" s="290">
        <f t="shared" si="183"/>
        <v>211.93813182747544</v>
      </c>
      <c r="J288" s="290">
        <f t="shared" si="183"/>
        <v>212.05789735458723</v>
      </c>
      <c r="K288" s="290">
        <f t="shared" si="183"/>
        <v>220.43254202320983</v>
      </c>
      <c r="L288" s="290">
        <f t="shared" si="183"/>
        <v>225.18672559216733</v>
      </c>
      <c r="M288" s="290">
        <f t="shared" si="183"/>
        <v>243.24193762447945</v>
      </c>
      <c r="N288" s="290">
        <f t="shared" si="183"/>
        <v>271.90320261377042</v>
      </c>
      <c r="O288" s="290">
        <f t="shared" si="183"/>
        <v>275.99556335667688</v>
      </c>
      <c r="P288" s="290">
        <f t="shared" si="183"/>
        <v>243.7604924626811</v>
      </c>
      <c r="Q288" s="290">
        <f t="shared" si="183"/>
        <v>274.26279660779363</v>
      </c>
      <c r="R288" s="290">
        <f t="shared" si="184"/>
        <v>276.31571074026533</v>
      </c>
      <c r="S288" s="290">
        <f t="shared" si="184"/>
        <v>282.36318277310926</v>
      </c>
      <c r="T288" s="290">
        <f t="shared" si="184"/>
        <v>290.16615211481866</v>
      </c>
      <c r="U288" s="290">
        <f t="shared" si="184"/>
        <v>299.87533333333334</v>
      </c>
      <c r="V288" s="290">
        <f t="shared" si="184"/>
        <v>309.55748220973783</v>
      </c>
      <c r="W288" s="290">
        <f t="shared" si="184"/>
        <v>307.73849999999999</v>
      </c>
      <c r="X288" s="290">
        <f t="shared" si="184"/>
        <v>324.1993333333333</v>
      </c>
      <c r="Y288" s="290">
        <f t="shared" si="184"/>
        <v>379.56446316107593</v>
      </c>
      <c r="Z288" s="252">
        <f t="shared" si="184"/>
        <v>419.40369265331873</v>
      </c>
      <c r="AA288" s="252">
        <f>AA$299/12</f>
        <v>408.4150708333334</v>
      </c>
      <c r="AB288" s="252">
        <f>AB$299/12</f>
        <v>404.29267783333336</v>
      </c>
      <c r="AC288" s="252">
        <f>AC$299/12</f>
        <v>396.17262358333329</v>
      </c>
      <c r="AD288" s="252">
        <f>AD$299/12</f>
        <v>412.52927158333324</v>
      </c>
      <c r="AE288" s="252">
        <f>AE$299/12</f>
        <v>424.4331520906137</v>
      </c>
      <c r="AF288" s="252">
        <f t="shared" si="184"/>
        <v>448.38263773244336</v>
      </c>
      <c r="AG288" s="252">
        <f t="shared" si="184"/>
        <v>468.5</v>
      </c>
      <c r="AH288" s="252">
        <f t="shared" si="184"/>
        <v>474.16666666666674</v>
      </c>
      <c r="AI288" s="252">
        <f t="shared" si="184"/>
        <v>482.50000000000017</v>
      </c>
      <c r="AJ288" s="252">
        <f t="shared" si="184"/>
        <v>515.16666666666674</v>
      </c>
      <c r="AK288" s="252">
        <f t="shared" si="184"/>
        <v>527.00000000000011</v>
      </c>
      <c r="AL288" s="252">
        <f t="shared" si="184"/>
        <v>543.00000000000011</v>
      </c>
      <c r="AM288" s="252">
        <f t="shared" si="184"/>
        <v>552.08333333333348</v>
      </c>
    </row>
    <row r="289" spans="1:39">
      <c r="A289" s="240" t="s">
        <v>241</v>
      </c>
      <c r="B289" s="290">
        <f t="shared" si="183"/>
        <v>207.25097146346465</v>
      </c>
      <c r="C289" s="290">
        <f t="shared" si="183"/>
        <v>219.38849467898129</v>
      </c>
      <c r="D289" s="290">
        <f t="shared" si="183"/>
        <v>243.12261517556851</v>
      </c>
      <c r="E289" s="290">
        <f t="shared" si="183"/>
        <v>246.34382634941957</v>
      </c>
      <c r="F289" s="290">
        <f t="shared" si="183"/>
        <v>245.76732061018956</v>
      </c>
      <c r="G289" s="290">
        <f t="shared" si="183"/>
        <v>242.81302128850356</v>
      </c>
      <c r="H289" s="290">
        <f t="shared" si="183"/>
        <v>220.2787343333616</v>
      </c>
      <c r="I289" s="290">
        <f t="shared" si="183"/>
        <v>211.93813182747544</v>
      </c>
      <c r="J289" s="290">
        <f t="shared" si="183"/>
        <v>212.05789735458723</v>
      </c>
      <c r="K289" s="290">
        <f t="shared" si="183"/>
        <v>220.43254202320983</v>
      </c>
      <c r="L289" s="290">
        <f t="shared" si="183"/>
        <v>225.18672559216733</v>
      </c>
      <c r="M289" s="290">
        <f t="shared" si="183"/>
        <v>243.24193762447945</v>
      </c>
      <c r="N289" s="290">
        <f t="shared" si="183"/>
        <v>271.90320261377042</v>
      </c>
      <c r="O289" s="290">
        <f t="shared" si="183"/>
        <v>275.99556335667688</v>
      </c>
      <c r="P289" s="290">
        <f t="shared" si="183"/>
        <v>243.7604924626811</v>
      </c>
      <c r="Q289" s="290">
        <f t="shared" si="183"/>
        <v>274.26279660779363</v>
      </c>
      <c r="R289" s="290">
        <f t="shared" si="184"/>
        <v>276.31571074026533</v>
      </c>
      <c r="S289" s="290">
        <f t="shared" si="184"/>
        <v>282.36318277310926</v>
      </c>
      <c r="T289" s="290">
        <f t="shared" si="184"/>
        <v>290.16615211481866</v>
      </c>
      <c r="U289" s="290">
        <f t="shared" si="184"/>
        <v>299.87533333333334</v>
      </c>
      <c r="V289" s="290">
        <f t="shared" si="184"/>
        <v>309.55748220973783</v>
      </c>
      <c r="W289" s="290">
        <f t="shared" si="184"/>
        <v>307.73849999999999</v>
      </c>
      <c r="X289" s="290">
        <f t="shared" si="184"/>
        <v>324.1993333333333</v>
      </c>
      <c r="Y289" s="290">
        <f t="shared" si="184"/>
        <v>379.56446316107593</v>
      </c>
      <c r="Z289" s="252">
        <f t="shared" si="184"/>
        <v>419.40369265331873</v>
      </c>
      <c r="AA289" s="252">
        <f t="shared" si="184"/>
        <v>408.4150708333334</v>
      </c>
      <c r="AB289" s="252">
        <f t="shared" si="184"/>
        <v>404.29267783333336</v>
      </c>
      <c r="AC289" s="252">
        <f t="shared" si="184"/>
        <v>396.17262358333329</v>
      </c>
      <c r="AD289" s="252">
        <f t="shared" si="184"/>
        <v>412.52927158333324</v>
      </c>
      <c r="AE289" s="252">
        <f t="shared" si="184"/>
        <v>424.4331520906137</v>
      </c>
      <c r="AF289" s="252">
        <f t="shared" si="184"/>
        <v>448.38263773244336</v>
      </c>
      <c r="AG289" s="252">
        <f t="shared" si="184"/>
        <v>468.5</v>
      </c>
      <c r="AH289" s="252">
        <f t="shared" si="184"/>
        <v>474.16666666666674</v>
      </c>
      <c r="AI289" s="252">
        <f t="shared" si="184"/>
        <v>482.50000000000017</v>
      </c>
      <c r="AJ289" s="252">
        <f t="shared" si="184"/>
        <v>515.16666666666674</v>
      </c>
      <c r="AK289" s="252">
        <f t="shared" si="184"/>
        <v>527.00000000000011</v>
      </c>
      <c r="AL289" s="252">
        <f t="shared" si="184"/>
        <v>543.00000000000011</v>
      </c>
      <c r="AM289" s="252">
        <f t="shared" si="184"/>
        <v>552.08333333333348</v>
      </c>
    </row>
    <row r="290" spans="1:39">
      <c r="A290" s="240" t="s">
        <v>231</v>
      </c>
      <c r="B290" s="290">
        <f t="shared" si="183"/>
        <v>207.25097146346465</v>
      </c>
      <c r="C290" s="290">
        <f t="shared" si="183"/>
        <v>219.38849467898129</v>
      </c>
      <c r="D290" s="290">
        <f t="shared" si="183"/>
        <v>243.12261517556851</v>
      </c>
      <c r="E290" s="290">
        <f t="shared" si="183"/>
        <v>246.34382634941957</v>
      </c>
      <c r="F290" s="290">
        <f t="shared" si="183"/>
        <v>245.76732061018956</v>
      </c>
      <c r="G290" s="290">
        <f t="shared" si="183"/>
        <v>242.81302128850356</v>
      </c>
      <c r="H290" s="290">
        <f t="shared" si="183"/>
        <v>220.2787343333616</v>
      </c>
      <c r="I290" s="290">
        <f t="shared" si="183"/>
        <v>211.93813182747544</v>
      </c>
      <c r="J290" s="290">
        <f t="shared" si="183"/>
        <v>212.05789735458723</v>
      </c>
      <c r="K290" s="290">
        <f t="shared" si="183"/>
        <v>220.43254202320983</v>
      </c>
      <c r="L290" s="290">
        <f t="shared" si="183"/>
        <v>225.18672559216733</v>
      </c>
      <c r="M290" s="290">
        <f t="shared" si="183"/>
        <v>243.24193762447945</v>
      </c>
      <c r="N290" s="290">
        <f t="shared" si="183"/>
        <v>271.90320261377042</v>
      </c>
      <c r="O290" s="290">
        <f t="shared" si="183"/>
        <v>275.99556335667688</v>
      </c>
      <c r="P290" s="290">
        <f t="shared" si="183"/>
        <v>243.7604924626811</v>
      </c>
      <c r="Q290" s="290">
        <f t="shared" si="183"/>
        <v>274.26279660779363</v>
      </c>
      <c r="R290" s="290">
        <f t="shared" si="184"/>
        <v>276.31571074026533</v>
      </c>
      <c r="S290" s="290">
        <f t="shared" si="184"/>
        <v>282.36318277310926</v>
      </c>
      <c r="T290" s="290">
        <f t="shared" si="184"/>
        <v>290.16615211481866</v>
      </c>
      <c r="U290" s="290">
        <f t="shared" si="184"/>
        <v>299.87533333333334</v>
      </c>
      <c r="V290" s="290">
        <f t="shared" si="184"/>
        <v>309.55748220973783</v>
      </c>
      <c r="W290" s="290">
        <f t="shared" si="184"/>
        <v>307.73849999999999</v>
      </c>
      <c r="X290" s="290">
        <f t="shared" si="184"/>
        <v>324.1993333333333</v>
      </c>
      <c r="Y290" s="290">
        <f t="shared" si="184"/>
        <v>379.56446316107593</v>
      </c>
      <c r="Z290" s="252">
        <f t="shared" si="184"/>
        <v>419.40369265331873</v>
      </c>
      <c r="AA290" s="252">
        <f t="shared" si="184"/>
        <v>408.4150708333334</v>
      </c>
      <c r="AB290" s="252">
        <f t="shared" si="184"/>
        <v>404.29267783333336</v>
      </c>
      <c r="AC290" s="252">
        <f t="shared" si="184"/>
        <v>396.17262358333329</v>
      </c>
      <c r="AD290" s="252">
        <f t="shared" si="184"/>
        <v>412.52927158333324</v>
      </c>
      <c r="AE290" s="252">
        <f t="shared" si="184"/>
        <v>424.4331520906137</v>
      </c>
      <c r="AF290" s="252">
        <f t="shared" si="184"/>
        <v>448.38263773244336</v>
      </c>
      <c r="AG290" s="252">
        <f t="shared" si="184"/>
        <v>468.5</v>
      </c>
      <c r="AH290" s="252">
        <f t="shared" si="184"/>
        <v>474.16666666666674</v>
      </c>
      <c r="AI290" s="252">
        <f t="shared" si="184"/>
        <v>482.50000000000017</v>
      </c>
      <c r="AJ290" s="252">
        <f t="shared" si="184"/>
        <v>515.16666666666674</v>
      </c>
      <c r="AK290" s="252">
        <f t="shared" si="184"/>
        <v>527.00000000000011</v>
      </c>
      <c r="AL290" s="252">
        <f t="shared" si="184"/>
        <v>543.00000000000011</v>
      </c>
      <c r="AM290" s="252">
        <f t="shared" si="184"/>
        <v>552.08333333333348</v>
      </c>
    </row>
    <row r="291" spans="1:39">
      <c r="A291" s="240" t="s">
        <v>232</v>
      </c>
      <c r="B291" s="290">
        <f t="shared" si="183"/>
        <v>207.25097146346465</v>
      </c>
      <c r="C291" s="290">
        <f t="shared" si="183"/>
        <v>219.38849467898129</v>
      </c>
      <c r="D291" s="290">
        <f t="shared" si="183"/>
        <v>243.12261517556851</v>
      </c>
      <c r="E291" s="290">
        <f t="shared" si="183"/>
        <v>246.34382634941957</v>
      </c>
      <c r="F291" s="290">
        <f t="shared" si="183"/>
        <v>245.76732061018956</v>
      </c>
      <c r="G291" s="290">
        <f t="shared" si="183"/>
        <v>242.81302128850356</v>
      </c>
      <c r="H291" s="290">
        <f t="shared" si="183"/>
        <v>220.2787343333616</v>
      </c>
      <c r="I291" s="290">
        <f t="shared" si="183"/>
        <v>211.93813182747544</v>
      </c>
      <c r="J291" s="290">
        <f t="shared" si="183"/>
        <v>212.05789735458723</v>
      </c>
      <c r="K291" s="290">
        <f t="shared" si="183"/>
        <v>220.43254202320983</v>
      </c>
      <c r="L291" s="290">
        <f t="shared" si="183"/>
        <v>225.18672559216733</v>
      </c>
      <c r="M291" s="290">
        <f t="shared" si="183"/>
        <v>243.24193762447945</v>
      </c>
      <c r="N291" s="290">
        <f t="shared" si="183"/>
        <v>271.90320261377042</v>
      </c>
      <c r="O291" s="290">
        <f t="shared" si="183"/>
        <v>275.99556335667688</v>
      </c>
      <c r="P291" s="290">
        <f t="shared" si="183"/>
        <v>243.7604924626811</v>
      </c>
      <c r="Q291" s="290">
        <f t="shared" si="183"/>
        <v>274.26279660779363</v>
      </c>
      <c r="R291" s="290">
        <f t="shared" si="184"/>
        <v>276.31571074026533</v>
      </c>
      <c r="S291" s="290">
        <f t="shared" si="184"/>
        <v>282.36318277310926</v>
      </c>
      <c r="T291" s="290">
        <f t="shared" si="184"/>
        <v>290.16615211481866</v>
      </c>
      <c r="U291" s="290">
        <f t="shared" si="184"/>
        <v>299.87533333333334</v>
      </c>
      <c r="V291" s="290">
        <f t="shared" si="184"/>
        <v>309.55748220973783</v>
      </c>
      <c r="W291" s="290">
        <f t="shared" si="184"/>
        <v>307.73849999999999</v>
      </c>
      <c r="X291" s="290">
        <f t="shared" si="184"/>
        <v>324.1993333333333</v>
      </c>
      <c r="Y291" s="290">
        <f t="shared" si="184"/>
        <v>379.56446316107593</v>
      </c>
      <c r="Z291" s="252">
        <f t="shared" si="184"/>
        <v>419.40369265331873</v>
      </c>
      <c r="AA291" s="252">
        <f t="shared" si="184"/>
        <v>408.4150708333334</v>
      </c>
      <c r="AB291" s="252">
        <f t="shared" si="184"/>
        <v>404.29267783333336</v>
      </c>
      <c r="AC291" s="252">
        <f t="shared" si="184"/>
        <v>396.17262358333329</v>
      </c>
      <c r="AD291" s="252">
        <f t="shared" si="184"/>
        <v>412.52927158333324</v>
      </c>
      <c r="AE291" s="252">
        <f t="shared" si="184"/>
        <v>424.4331520906137</v>
      </c>
      <c r="AF291" s="252">
        <f t="shared" si="184"/>
        <v>448.38263773244336</v>
      </c>
      <c r="AG291" s="252">
        <f t="shared" si="184"/>
        <v>468.5</v>
      </c>
      <c r="AH291" s="252">
        <f t="shared" si="184"/>
        <v>474.16666666666674</v>
      </c>
      <c r="AI291" s="252">
        <f t="shared" si="184"/>
        <v>482.50000000000017</v>
      </c>
      <c r="AJ291" s="252">
        <f t="shared" si="184"/>
        <v>515.16666666666674</v>
      </c>
      <c r="AK291" s="252">
        <f t="shared" si="184"/>
        <v>527.00000000000011</v>
      </c>
      <c r="AL291" s="252">
        <f t="shared" si="184"/>
        <v>543.00000000000011</v>
      </c>
      <c r="AM291" s="252">
        <f t="shared" si="184"/>
        <v>552.08333333333348</v>
      </c>
    </row>
    <row r="292" spans="1:39">
      <c r="A292" s="240" t="s">
        <v>233</v>
      </c>
      <c r="B292" s="290">
        <f t="shared" si="183"/>
        <v>207.25097146346465</v>
      </c>
      <c r="C292" s="290">
        <f t="shared" si="183"/>
        <v>219.38849467898129</v>
      </c>
      <c r="D292" s="290">
        <f t="shared" si="183"/>
        <v>243.12261517556851</v>
      </c>
      <c r="E292" s="290">
        <f t="shared" si="183"/>
        <v>246.34382634941957</v>
      </c>
      <c r="F292" s="290">
        <f t="shared" si="183"/>
        <v>245.76732061018956</v>
      </c>
      <c r="G292" s="290">
        <f t="shared" si="183"/>
        <v>242.81302128850356</v>
      </c>
      <c r="H292" s="290">
        <f t="shared" si="183"/>
        <v>220.2787343333616</v>
      </c>
      <c r="I292" s="290">
        <f t="shared" si="183"/>
        <v>211.93813182747544</v>
      </c>
      <c r="J292" s="290">
        <f t="shared" si="183"/>
        <v>212.05789735458723</v>
      </c>
      <c r="K292" s="290">
        <f t="shared" si="183"/>
        <v>220.43254202320983</v>
      </c>
      <c r="L292" s="290">
        <f t="shared" si="183"/>
        <v>225.18672559216733</v>
      </c>
      <c r="M292" s="290">
        <f t="shared" si="183"/>
        <v>243.24193762447945</v>
      </c>
      <c r="N292" s="290">
        <f t="shared" si="183"/>
        <v>271.90320261377042</v>
      </c>
      <c r="O292" s="290">
        <f t="shared" si="183"/>
        <v>275.99556335667688</v>
      </c>
      <c r="P292" s="290">
        <f t="shared" si="183"/>
        <v>243.7604924626811</v>
      </c>
      <c r="Q292" s="290">
        <f t="shared" si="183"/>
        <v>274.26279660779363</v>
      </c>
      <c r="R292" s="290">
        <f t="shared" si="184"/>
        <v>276.31571074026533</v>
      </c>
      <c r="S292" s="290">
        <f t="shared" si="184"/>
        <v>282.36318277310926</v>
      </c>
      <c r="T292" s="290">
        <f t="shared" si="184"/>
        <v>290.16615211481866</v>
      </c>
      <c r="U292" s="290">
        <f t="shared" si="184"/>
        <v>299.87533333333334</v>
      </c>
      <c r="V292" s="290">
        <f t="shared" si="184"/>
        <v>309.55748220973783</v>
      </c>
      <c r="W292" s="290">
        <f t="shared" si="184"/>
        <v>307.73849999999999</v>
      </c>
      <c r="X292" s="290">
        <f t="shared" si="184"/>
        <v>324.1993333333333</v>
      </c>
      <c r="Y292" s="290">
        <f t="shared" si="184"/>
        <v>379.56446316107593</v>
      </c>
      <c r="Z292" s="252">
        <f t="shared" si="184"/>
        <v>419.40369265331873</v>
      </c>
      <c r="AA292" s="252">
        <f t="shared" si="184"/>
        <v>408.4150708333334</v>
      </c>
      <c r="AB292" s="252">
        <f t="shared" si="184"/>
        <v>404.29267783333336</v>
      </c>
      <c r="AC292" s="252">
        <f t="shared" si="184"/>
        <v>396.17262358333329</v>
      </c>
      <c r="AD292" s="252">
        <f t="shared" si="184"/>
        <v>412.52927158333324</v>
      </c>
      <c r="AE292" s="252">
        <f t="shared" si="184"/>
        <v>424.4331520906137</v>
      </c>
      <c r="AF292" s="252">
        <f t="shared" si="184"/>
        <v>448.38263773244336</v>
      </c>
      <c r="AG292" s="252">
        <f t="shared" si="184"/>
        <v>468.5</v>
      </c>
      <c r="AH292" s="252">
        <f t="shared" si="184"/>
        <v>474.16666666666674</v>
      </c>
      <c r="AI292" s="252">
        <f t="shared" si="184"/>
        <v>482.50000000000017</v>
      </c>
      <c r="AJ292" s="252">
        <f t="shared" si="184"/>
        <v>515.16666666666674</v>
      </c>
      <c r="AK292" s="252">
        <f t="shared" si="184"/>
        <v>527.00000000000011</v>
      </c>
      <c r="AL292" s="252">
        <f t="shared" si="184"/>
        <v>543.00000000000011</v>
      </c>
      <c r="AM292" s="252">
        <f t="shared" si="184"/>
        <v>552.08333333333348</v>
      </c>
    </row>
    <row r="293" spans="1:39">
      <c r="A293" s="240" t="s">
        <v>234</v>
      </c>
      <c r="B293" s="290">
        <f t="shared" si="183"/>
        <v>207.25097146346465</v>
      </c>
      <c r="C293" s="290">
        <f t="shared" si="183"/>
        <v>219.38849467898129</v>
      </c>
      <c r="D293" s="290">
        <f t="shared" si="183"/>
        <v>243.12261517556851</v>
      </c>
      <c r="E293" s="290">
        <f t="shared" si="183"/>
        <v>246.34382634941957</v>
      </c>
      <c r="F293" s="290">
        <f t="shared" si="183"/>
        <v>245.76732061018956</v>
      </c>
      <c r="G293" s="290">
        <f t="shared" si="183"/>
        <v>242.81302128850356</v>
      </c>
      <c r="H293" s="290">
        <f t="shared" si="183"/>
        <v>220.2787343333616</v>
      </c>
      <c r="I293" s="290">
        <f t="shared" si="183"/>
        <v>211.93813182747544</v>
      </c>
      <c r="J293" s="290">
        <f t="shared" si="183"/>
        <v>212.05789735458723</v>
      </c>
      <c r="K293" s="290">
        <f t="shared" si="183"/>
        <v>220.43254202320983</v>
      </c>
      <c r="L293" s="290">
        <f t="shared" si="183"/>
        <v>225.18672559216733</v>
      </c>
      <c r="M293" s="290">
        <f t="shared" si="183"/>
        <v>243.24193762447945</v>
      </c>
      <c r="N293" s="290">
        <f t="shared" si="183"/>
        <v>271.90320261377042</v>
      </c>
      <c r="O293" s="290">
        <f t="shared" si="183"/>
        <v>275.99556335667688</v>
      </c>
      <c r="P293" s="290">
        <f t="shared" si="183"/>
        <v>243.7604924626811</v>
      </c>
      <c r="Q293" s="290">
        <f t="shared" si="183"/>
        <v>274.26279660779363</v>
      </c>
      <c r="R293" s="290">
        <f t="shared" si="184"/>
        <v>276.31571074026533</v>
      </c>
      <c r="S293" s="290">
        <f t="shared" si="184"/>
        <v>282.36318277310926</v>
      </c>
      <c r="T293" s="290">
        <f t="shared" si="184"/>
        <v>290.16615211481866</v>
      </c>
      <c r="U293" s="290">
        <f t="shared" si="184"/>
        <v>299.87533333333334</v>
      </c>
      <c r="V293" s="290">
        <f t="shared" si="184"/>
        <v>309.55748220973783</v>
      </c>
      <c r="W293" s="290">
        <f t="shared" si="184"/>
        <v>307.73849999999999</v>
      </c>
      <c r="X293" s="290">
        <f t="shared" si="184"/>
        <v>324.1993333333333</v>
      </c>
      <c r="Y293" s="290">
        <f t="shared" si="184"/>
        <v>379.56446316107593</v>
      </c>
      <c r="Z293" s="252">
        <f t="shared" si="184"/>
        <v>419.40369265331873</v>
      </c>
      <c r="AA293" s="252">
        <f t="shared" si="184"/>
        <v>408.4150708333334</v>
      </c>
      <c r="AB293" s="252">
        <f t="shared" si="184"/>
        <v>404.29267783333336</v>
      </c>
      <c r="AC293" s="252">
        <f t="shared" si="184"/>
        <v>396.17262358333329</v>
      </c>
      <c r="AD293" s="252">
        <f t="shared" si="184"/>
        <v>412.52927158333324</v>
      </c>
      <c r="AE293" s="252">
        <f t="shared" si="184"/>
        <v>424.4331520906137</v>
      </c>
      <c r="AF293" s="252">
        <f t="shared" si="184"/>
        <v>448.38263773244336</v>
      </c>
      <c r="AG293" s="252">
        <f t="shared" si="184"/>
        <v>468.5</v>
      </c>
      <c r="AH293" s="252">
        <f t="shared" si="184"/>
        <v>474.16666666666674</v>
      </c>
      <c r="AI293" s="252">
        <f t="shared" si="184"/>
        <v>482.50000000000017</v>
      </c>
      <c r="AJ293" s="252">
        <f t="shared" si="184"/>
        <v>515.16666666666674</v>
      </c>
      <c r="AK293" s="252">
        <f t="shared" si="184"/>
        <v>527.00000000000011</v>
      </c>
      <c r="AL293" s="252">
        <f t="shared" si="184"/>
        <v>543.00000000000011</v>
      </c>
      <c r="AM293" s="252">
        <f t="shared" si="184"/>
        <v>552.08333333333348</v>
      </c>
    </row>
    <row r="294" spans="1:39">
      <c r="A294" s="240" t="s">
        <v>46</v>
      </c>
      <c r="B294" s="290">
        <f t="shared" si="183"/>
        <v>207.25097146346465</v>
      </c>
      <c r="C294" s="290">
        <f t="shared" si="183"/>
        <v>219.38849467898129</v>
      </c>
      <c r="D294" s="290">
        <f t="shared" si="183"/>
        <v>243.12261517556851</v>
      </c>
      <c r="E294" s="290">
        <f t="shared" si="183"/>
        <v>246.34382634941957</v>
      </c>
      <c r="F294" s="290">
        <f t="shared" si="183"/>
        <v>245.76732061018956</v>
      </c>
      <c r="G294" s="290">
        <f t="shared" si="183"/>
        <v>242.81302128850356</v>
      </c>
      <c r="H294" s="290">
        <f t="shared" si="183"/>
        <v>220.2787343333616</v>
      </c>
      <c r="I294" s="290">
        <f t="shared" si="183"/>
        <v>211.93813182747544</v>
      </c>
      <c r="J294" s="290">
        <f t="shared" si="183"/>
        <v>212.05789735458723</v>
      </c>
      <c r="K294" s="290">
        <f t="shared" si="183"/>
        <v>220.43254202320983</v>
      </c>
      <c r="L294" s="290">
        <f t="shared" si="183"/>
        <v>225.18672559216733</v>
      </c>
      <c r="M294" s="290">
        <f t="shared" si="183"/>
        <v>243.24193762447945</v>
      </c>
      <c r="N294" s="290">
        <f t="shared" si="183"/>
        <v>271.90320261377042</v>
      </c>
      <c r="O294" s="290">
        <f t="shared" si="183"/>
        <v>275.99556335667688</v>
      </c>
      <c r="P294" s="290">
        <f t="shared" si="183"/>
        <v>243.7604924626811</v>
      </c>
      <c r="Q294" s="290">
        <f t="shared" si="183"/>
        <v>274.26279660779363</v>
      </c>
      <c r="R294" s="290">
        <f t="shared" si="184"/>
        <v>276.31571074026533</v>
      </c>
      <c r="S294" s="290">
        <f t="shared" si="184"/>
        <v>282.36318277310926</v>
      </c>
      <c r="T294" s="290">
        <f t="shared" si="184"/>
        <v>290.16615211481866</v>
      </c>
      <c r="U294" s="290">
        <f t="shared" si="184"/>
        <v>299.87533333333334</v>
      </c>
      <c r="V294" s="290">
        <f t="shared" si="184"/>
        <v>309.55748220973783</v>
      </c>
      <c r="W294" s="290">
        <f t="shared" si="184"/>
        <v>307.73849999999999</v>
      </c>
      <c r="X294" s="290">
        <f t="shared" si="184"/>
        <v>324.1993333333333</v>
      </c>
      <c r="Y294" s="290">
        <f t="shared" si="184"/>
        <v>379.56446316107593</v>
      </c>
      <c r="Z294" s="252">
        <f t="shared" si="184"/>
        <v>419.40369265331873</v>
      </c>
      <c r="AA294" s="252">
        <f t="shared" si="184"/>
        <v>408.4150708333334</v>
      </c>
      <c r="AB294" s="252">
        <f t="shared" si="184"/>
        <v>404.29267783333336</v>
      </c>
      <c r="AC294" s="252">
        <f t="shared" si="184"/>
        <v>396.17262358333329</v>
      </c>
      <c r="AD294" s="252">
        <f t="shared" si="184"/>
        <v>412.52927158333324</v>
      </c>
      <c r="AE294" s="252">
        <f t="shared" si="184"/>
        <v>424.4331520906137</v>
      </c>
      <c r="AF294" s="252">
        <f t="shared" si="184"/>
        <v>448.38263773244336</v>
      </c>
      <c r="AG294" s="252">
        <f t="shared" si="184"/>
        <v>468.5</v>
      </c>
      <c r="AH294" s="252">
        <f t="shared" si="184"/>
        <v>474.16666666666674</v>
      </c>
      <c r="AI294" s="252">
        <f t="shared" si="184"/>
        <v>482.50000000000017</v>
      </c>
      <c r="AJ294" s="252">
        <f t="shared" si="184"/>
        <v>515.16666666666674</v>
      </c>
      <c r="AK294" s="252">
        <f t="shared" si="184"/>
        <v>527.00000000000011</v>
      </c>
      <c r="AL294" s="252">
        <f t="shared" si="184"/>
        <v>543.00000000000011</v>
      </c>
      <c r="AM294" s="252">
        <f t="shared" si="184"/>
        <v>552.08333333333348</v>
      </c>
    </row>
    <row r="295" spans="1:39">
      <c r="A295" s="240" t="s">
        <v>235</v>
      </c>
      <c r="B295" s="290">
        <f t="shared" si="183"/>
        <v>207.25097146346465</v>
      </c>
      <c r="C295" s="290">
        <f t="shared" si="183"/>
        <v>219.38849467898129</v>
      </c>
      <c r="D295" s="290">
        <f t="shared" si="183"/>
        <v>243.12261517556851</v>
      </c>
      <c r="E295" s="290">
        <f t="shared" si="183"/>
        <v>246.34382634941957</v>
      </c>
      <c r="F295" s="290">
        <f t="shared" si="183"/>
        <v>245.76732061018956</v>
      </c>
      <c r="G295" s="290">
        <f t="shared" si="183"/>
        <v>242.81302128850356</v>
      </c>
      <c r="H295" s="290">
        <f t="shared" si="183"/>
        <v>220.2787343333616</v>
      </c>
      <c r="I295" s="290">
        <f t="shared" si="183"/>
        <v>211.93813182747544</v>
      </c>
      <c r="J295" s="290">
        <f t="shared" si="183"/>
        <v>212.05789735458723</v>
      </c>
      <c r="K295" s="290">
        <f t="shared" si="183"/>
        <v>220.43254202320983</v>
      </c>
      <c r="L295" s="290">
        <f t="shared" si="183"/>
        <v>225.18672559216733</v>
      </c>
      <c r="M295" s="290">
        <f t="shared" si="183"/>
        <v>243.24193762447945</v>
      </c>
      <c r="N295" s="290">
        <f t="shared" si="183"/>
        <v>271.90320261377042</v>
      </c>
      <c r="O295" s="290">
        <f t="shared" si="183"/>
        <v>275.99556335667688</v>
      </c>
      <c r="P295" s="290">
        <f t="shared" si="183"/>
        <v>243.7604924626811</v>
      </c>
      <c r="Q295" s="290">
        <f t="shared" si="183"/>
        <v>274.26279660779363</v>
      </c>
      <c r="R295" s="290">
        <f t="shared" si="184"/>
        <v>276.31571074026533</v>
      </c>
      <c r="S295" s="290">
        <f t="shared" si="184"/>
        <v>282.36318277310926</v>
      </c>
      <c r="T295" s="290">
        <f t="shared" si="184"/>
        <v>290.16615211481866</v>
      </c>
      <c r="U295" s="290">
        <f t="shared" si="184"/>
        <v>299.87533333333334</v>
      </c>
      <c r="V295" s="290">
        <f t="shared" si="184"/>
        <v>309.55748220973783</v>
      </c>
      <c r="W295" s="290">
        <f t="shared" si="184"/>
        <v>307.73849999999999</v>
      </c>
      <c r="X295" s="290">
        <f t="shared" si="184"/>
        <v>324.1993333333333</v>
      </c>
      <c r="Y295" s="290">
        <f t="shared" si="184"/>
        <v>379.56446316107593</v>
      </c>
      <c r="Z295" s="252">
        <f t="shared" si="184"/>
        <v>419.40369265331873</v>
      </c>
      <c r="AA295" s="252">
        <f t="shared" si="184"/>
        <v>408.4150708333334</v>
      </c>
      <c r="AB295" s="252">
        <f t="shared" si="184"/>
        <v>404.29267783333336</v>
      </c>
      <c r="AC295" s="252">
        <f t="shared" si="184"/>
        <v>396.17262358333329</v>
      </c>
      <c r="AD295" s="252">
        <f t="shared" si="184"/>
        <v>412.52927158333324</v>
      </c>
      <c r="AE295" s="252">
        <f t="shared" si="184"/>
        <v>424.4331520906137</v>
      </c>
      <c r="AF295" s="252">
        <f t="shared" si="184"/>
        <v>448.38263773244336</v>
      </c>
      <c r="AG295" s="252">
        <f t="shared" si="184"/>
        <v>468.5</v>
      </c>
      <c r="AH295" s="252">
        <f t="shared" si="184"/>
        <v>474.16666666666674</v>
      </c>
      <c r="AI295" s="252">
        <f t="shared" si="184"/>
        <v>482.50000000000017</v>
      </c>
      <c r="AJ295" s="252">
        <f t="shared" si="184"/>
        <v>515.16666666666674</v>
      </c>
      <c r="AK295" s="252">
        <f t="shared" si="184"/>
        <v>527.00000000000011</v>
      </c>
      <c r="AL295" s="252">
        <f t="shared" si="184"/>
        <v>543.00000000000011</v>
      </c>
      <c r="AM295" s="252">
        <f t="shared" si="184"/>
        <v>552.08333333333348</v>
      </c>
    </row>
    <row r="296" spans="1:39">
      <c r="A296" s="240" t="s">
        <v>236</v>
      </c>
      <c r="B296" s="290">
        <f t="shared" si="183"/>
        <v>207.25097146346465</v>
      </c>
      <c r="C296" s="290">
        <f t="shared" si="183"/>
        <v>219.38849467898129</v>
      </c>
      <c r="D296" s="290">
        <f t="shared" si="183"/>
        <v>243.12261517556851</v>
      </c>
      <c r="E296" s="290">
        <f t="shared" si="183"/>
        <v>246.34382634941957</v>
      </c>
      <c r="F296" s="290">
        <f t="shared" si="183"/>
        <v>245.76732061018956</v>
      </c>
      <c r="G296" s="290">
        <f t="shared" si="183"/>
        <v>242.81302128850356</v>
      </c>
      <c r="H296" s="290">
        <f t="shared" si="183"/>
        <v>220.2787343333616</v>
      </c>
      <c r="I296" s="290">
        <f t="shared" si="183"/>
        <v>211.93813182747544</v>
      </c>
      <c r="J296" s="290">
        <f t="shared" si="183"/>
        <v>212.05789735458723</v>
      </c>
      <c r="K296" s="290">
        <f t="shared" si="183"/>
        <v>220.43254202320983</v>
      </c>
      <c r="L296" s="290">
        <f t="shared" si="183"/>
        <v>225.18672559216733</v>
      </c>
      <c r="M296" s="290">
        <f t="shared" si="183"/>
        <v>243.24193762447945</v>
      </c>
      <c r="N296" s="290">
        <f t="shared" si="183"/>
        <v>271.90320261377042</v>
      </c>
      <c r="O296" s="290">
        <f t="shared" si="183"/>
        <v>275.99556335667688</v>
      </c>
      <c r="P296" s="290">
        <f t="shared" si="183"/>
        <v>243.7604924626811</v>
      </c>
      <c r="Q296" s="290">
        <f t="shared" si="183"/>
        <v>274.26279660779363</v>
      </c>
      <c r="R296" s="290">
        <f t="shared" si="184"/>
        <v>276.31571074026533</v>
      </c>
      <c r="S296" s="290">
        <f t="shared" si="184"/>
        <v>282.36318277310926</v>
      </c>
      <c r="T296" s="290">
        <f t="shared" si="184"/>
        <v>290.16615211481866</v>
      </c>
      <c r="U296" s="290">
        <f t="shared" si="184"/>
        <v>299.87533333333334</v>
      </c>
      <c r="V296" s="290">
        <f t="shared" si="184"/>
        <v>309.55748220973783</v>
      </c>
      <c r="W296" s="290">
        <f t="shared" si="184"/>
        <v>307.73849999999999</v>
      </c>
      <c r="X296" s="290">
        <f t="shared" si="184"/>
        <v>324.1993333333333</v>
      </c>
      <c r="Y296" s="290">
        <f t="shared" si="184"/>
        <v>379.56446316107593</v>
      </c>
      <c r="Z296" s="252">
        <f t="shared" si="184"/>
        <v>419.40369265331873</v>
      </c>
      <c r="AA296" s="252">
        <f t="shared" si="184"/>
        <v>408.4150708333334</v>
      </c>
      <c r="AB296" s="252">
        <f t="shared" si="184"/>
        <v>404.29267783333336</v>
      </c>
      <c r="AC296" s="252">
        <f t="shared" si="184"/>
        <v>396.17262358333329</v>
      </c>
      <c r="AD296" s="252">
        <f t="shared" si="184"/>
        <v>412.52927158333324</v>
      </c>
      <c r="AE296" s="252">
        <f t="shared" si="184"/>
        <v>424.4331520906137</v>
      </c>
      <c r="AF296" s="252">
        <f t="shared" si="184"/>
        <v>448.38263773244336</v>
      </c>
      <c r="AG296" s="252">
        <f t="shared" si="184"/>
        <v>468.5</v>
      </c>
      <c r="AH296" s="252">
        <f t="shared" si="184"/>
        <v>474.16666666666674</v>
      </c>
      <c r="AI296" s="252">
        <f t="shared" si="184"/>
        <v>482.50000000000017</v>
      </c>
      <c r="AJ296" s="252">
        <f t="shared" si="184"/>
        <v>515.16666666666674</v>
      </c>
      <c r="AK296" s="252">
        <f t="shared" si="184"/>
        <v>527.00000000000011</v>
      </c>
      <c r="AL296" s="252">
        <f t="shared" si="184"/>
        <v>543.00000000000011</v>
      </c>
      <c r="AM296" s="252">
        <f t="shared" si="184"/>
        <v>552.08333333333348</v>
      </c>
    </row>
    <row r="297" spans="1:39">
      <c r="A297" s="240" t="s">
        <v>237</v>
      </c>
      <c r="B297" s="290">
        <f t="shared" si="183"/>
        <v>207.25097146346465</v>
      </c>
      <c r="C297" s="290">
        <f t="shared" si="183"/>
        <v>219.38849467898129</v>
      </c>
      <c r="D297" s="290">
        <f t="shared" si="183"/>
        <v>243.12261517556851</v>
      </c>
      <c r="E297" s="290">
        <f t="shared" si="183"/>
        <v>246.34382634941957</v>
      </c>
      <c r="F297" s="290">
        <f t="shared" si="183"/>
        <v>245.76732061018956</v>
      </c>
      <c r="G297" s="290">
        <f t="shared" si="183"/>
        <v>242.81302128850356</v>
      </c>
      <c r="H297" s="290">
        <f t="shared" si="183"/>
        <v>220.2787343333616</v>
      </c>
      <c r="I297" s="290">
        <f t="shared" si="183"/>
        <v>211.93813182747544</v>
      </c>
      <c r="J297" s="290">
        <f t="shared" si="183"/>
        <v>212.05789735458723</v>
      </c>
      <c r="K297" s="290">
        <f t="shared" si="183"/>
        <v>220.43254202320983</v>
      </c>
      <c r="L297" s="290">
        <f t="shared" si="183"/>
        <v>225.18672559216733</v>
      </c>
      <c r="M297" s="290">
        <f t="shared" si="183"/>
        <v>243.24193762447945</v>
      </c>
      <c r="N297" s="290">
        <f t="shared" si="183"/>
        <v>271.90320261377042</v>
      </c>
      <c r="O297" s="290">
        <f t="shared" si="183"/>
        <v>275.99556335667688</v>
      </c>
      <c r="P297" s="290">
        <f t="shared" si="183"/>
        <v>243.7604924626811</v>
      </c>
      <c r="Q297" s="290">
        <f t="shared" si="183"/>
        <v>274.26279660779363</v>
      </c>
      <c r="R297" s="290">
        <f t="shared" si="184"/>
        <v>276.31571074026533</v>
      </c>
      <c r="S297" s="290">
        <f t="shared" si="184"/>
        <v>282.36318277310926</v>
      </c>
      <c r="T297" s="290">
        <f t="shared" si="184"/>
        <v>290.16615211481866</v>
      </c>
      <c r="U297" s="290">
        <f t="shared" si="184"/>
        <v>299.87533333333334</v>
      </c>
      <c r="V297" s="290">
        <f t="shared" si="184"/>
        <v>309.55748220973783</v>
      </c>
      <c r="W297" s="290">
        <f t="shared" si="184"/>
        <v>307.73849999999999</v>
      </c>
      <c r="X297" s="290">
        <f t="shared" si="184"/>
        <v>324.1993333333333</v>
      </c>
      <c r="Y297" s="290">
        <f t="shared" si="184"/>
        <v>379.56446316107593</v>
      </c>
      <c r="Z297" s="252">
        <f t="shared" si="184"/>
        <v>419.40369265331873</v>
      </c>
      <c r="AA297" s="252">
        <f t="shared" si="184"/>
        <v>408.4150708333334</v>
      </c>
      <c r="AB297" s="252">
        <f t="shared" si="184"/>
        <v>404.29267783333336</v>
      </c>
      <c r="AC297" s="252">
        <f t="shared" si="184"/>
        <v>396.17262358333329</v>
      </c>
      <c r="AD297" s="252">
        <f t="shared" si="184"/>
        <v>412.52927158333324</v>
      </c>
      <c r="AE297" s="252">
        <f t="shared" si="184"/>
        <v>424.4331520906137</v>
      </c>
      <c r="AF297" s="252">
        <f t="shared" si="184"/>
        <v>448.38263773244336</v>
      </c>
      <c r="AG297" s="252">
        <f t="shared" si="184"/>
        <v>468.5</v>
      </c>
      <c r="AH297" s="252">
        <f t="shared" si="184"/>
        <v>474.16666666666674</v>
      </c>
      <c r="AI297" s="252">
        <f t="shared" si="184"/>
        <v>482.50000000000017</v>
      </c>
      <c r="AJ297" s="252">
        <f t="shared" si="184"/>
        <v>515.16666666666674</v>
      </c>
      <c r="AK297" s="252">
        <f t="shared" si="184"/>
        <v>527.00000000000011</v>
      </c>
      <c r="AL297" s="252">
        <f t="shared" si="184"/>
        <v>543.00000000000011</v>
      </c>
      <c r="AM297" s="252">
        <f t="shared" si="184"/>
        <v>552.08333333333348</v>
      </c>
    </row>
    <row r="298" spans="1:39">
      <c r="A298" s="240" t="s">
        <v>238</v>
      </c>
      <c r="B298" s="290">
        <f t="shared" si="183"/>
        <v>207.25097146346465</v>
      </c>
      <c r="C298" s="290">
        <f t="shared" si="183"/>
        <v>219.38849467898129</v>
      </c>
      <c r="D298" s="290">
        <f t="shared" si="183"/>
        <v>243.12261517556851</v>
      </c>
      <c r="E298" s="290">
        <f t="shared" si="183"/>
        <v>246.34382634941957</v>
      </c>
      <c r="F298" s="290">
        <f t="shared" si="183"/>
        <v>245.76732061018956</v>
      </c>
      <c r="G298" s="290">
        <f t="shared" si="183"/>
        <v>242.81302128850356</v>
      </c>
      <c r="H298" s="290">
        <f t="shared" si="183"/>
        <v>220.2787343333616</v>
      </c>
      <c r="I298" s="290">
        <f t="shared" si="183"/>
        <v>211.93813182747544</v>
      </c>
      <c r="J298" s="290">
        <f t="shared" si="183"/>
        <v>212.05789735458723</v>
      </c>
      <c r="K298" s="290">
        <f t="shared" si="183"/>
        <v>220.43254202320983</v>
      </c>
      <c r="L298" s="290">
        <f t="shared" si="183"/>
        <v>225.18672559216733</v>
      </c>
      <c r="M298" s="290">
        <f t="shared" si="183"/>
        <v>243.24193762447945</v>
      </c>
      <c r="N298" s="290">
        <f t="shared" si="183"/>
        <v>271.90320261377042</v>
      </c>
      <c r="O298" s="290">
        <f t="shared" si="183"/>
        <v>275.99556335667688</v>
      </c>
      <c r="P298" s="290">
        <f t="shared" si="183"/>
        <v>243.7604924626811</v>
      </c>
      <c r="Q298" s="290">
        <f t="shared" si="183"/>
        <v>274.26279660779363</v>
      </c>
      <c r="R298" s="290">
        <f t="shared" si="184"/>
        <v>276.31571074026533</v>
      </c>
      <c r="S298" s="290">
        <f t="shared" si="184"/>
        <v>282.36318277310926</v>
      </c>
      <c r="T298" s="290">
        <f t="shared" si="184"/>
        <v>290.16615211481866</v>
      </c>
      <c r="U298" s="290">
        <f t="shared" si="184"/>
        <v>299.87533333333334</v>
      </c>
      <c r="V298" s="290">
        <f t="shared" si="184"/>
        <v>309.55748220973783</v>
      </c>
      <c r="W298" s="290">
        <f t="shared" si="184"/>
        <v>307.73849999999999</v>
      </c>
      <c r="X298" s="290">
        <f t="shared" si="184"/>
        <v>324.1993333333333</v>
      </c>
      <c r="Y298" s="290">
        <f t="shared" si="184"/>
        <v>379.56446316107593</v>
      </c>
      <c r="Z298" s="252">
        <f t="shared" si="184"/>
        <v>419.40369265331873</v>
      </c>
      <c r="AA298" s="252">
        <f t="shared" si="184"/>
        <v>408.4150708333334</v>
      </c>
      <c r="AB298" s="252">
        <f t="shared" si="184"/>
        <v>404.29267783333336</v>
      </c>
      <c r="AC298" s="252">
        <f t="shared" si="184"/>
        <v>396.17262358333329</v>
      </c>
      <c r="AD298" s="252">
        <f t="shared" si="184"/>
        <v>412.52927158333324</v>
      </c>
      <c r="AE298" s="252">
        <f t="shared" si="184"/>
        <v>424.4331520906137</v>
      </c>
      <c r="AF298" s="252">
        <f t="shared" si="184"/>
        <v>448.38263773244336</v>
      </c>
      <c r="AG298" s="252">
        <f t="shared" si="184"/>
        <v>468.5</v>
      </c>
      <c r="AH298" s="252">
        <f t="shared" si="184"/>
        <v>474.16666666666674</v>
      </c>
      <c r="AI298" s="252">
        <f t="shared" si="184"/>
        <v>482.50000000000017</v>
      </c>
      <c r="AJ298" s="252">
        <f t="shared" ref="AJ298:AV309" si="185">AJ$299/12</f>
        <v>515.16666666666674</v>
      </c>
      <c r="AK298" s="252">
        <f t="shared" si="185"/>
        <v>527.00000000000011</v>
      </c>
      <c r="AL298" s="252">
        <f t="shared" si="185"/>
        <v>543.00000000000011</v>
      </c>
      <c r="AM298" s="252">
        <f t="shared" si="185"/>
        <v>552.08333333333348</v>
      </c>
    </row>
    <row r="299" spans="1:39" ht="15.75" thickBot="1">
      <c r="A299" s="240" t="s">
        <v>242</v>
      </c>
      <c r="B299" s="146">
        <f>B36</f>
        <v>2487.0116575615757</v>
      </c>
      <c r="C299" s="146">
        <f t="shared" ref="C299:AM299" si="186">C36</f>
        <v>2632.6619361477756</v>
      </c>
      <c r="D299" s="146">
        <f t="shared" si="186"/>
        <v>2917.4713821068221</v>
      </c>
      <c r="E299" s="146">
        <f t="shared" si="186"/>
        <v>2956.1259161930348</v>
      </c>
      <c r="F299" s="146">
        <f t="shared" si="186"/>
        <v>2949.2078473222746</v>
      </c>
      <c r="G299" s="146">
        <f t="shared" si="186"/>
        <v>2913.7562554620426</v>
      </c>
      <c r="H299" s="146">
        <f t="shared" si="186"/>
        <v>2643.3448120003391</v>
      </c>
      <c r="I299" s="146">
        <f t="shared" si="186"/>
        <v>2543.2575819297053</v>
      </c>
      <c r="J299" s="146">
        <f t="shared" si="186"/>
        <v>2544.6947682550467</v>
      </c>
      <c r="K299" s="146">
        <f t="shared" si="186"/>
        <v>2645.1905042785179</v>
      </c>
      <c r="L299" s="146">
        <f t="shared" si="186"/>
        <v>2702.2407071060079</v>
      </c>
      <c r="M299" s="146">
        <f t="shared" si="186"/>
        <v>2918.9032514937535</v>
      </c>
      <c r="N299" s="146">
        <f t="shared" si="186"/>
        <v>3262.838431365245</v>
      </c>
      <c r="O299" s="146">
        <f t="shared" si="186"/>
        <v>3311.9467602801224</v>
      </c>
      <c r="P299" s="146">
        <f t="shared" si="186"/>
        <v>2925.1259095521732</v>
      </c>
      <c r="Q299" s="146">
        <f t="shared" si="186"/>
        <v>3291.1535592935238</v>
      </c>
      <c r="R299" s="146">
        <f t="shared" si="186"/>
        <v>3315.788528883184</v>
      </c>
      <c r="S299" s="146">
        <f t="shared" si="186"/>
        <v>3388.3581932773113</v>
      </c>
      <c r="T299" s="146">
        <f t="shared" si="186"/>
        <v>3481.9938253778241</v>
      </c>
      <c r="U299" s="146">
        <f t="shared" si="186"/>
        <v>3598.5039999999999</v>
      </c>
      <c r="V299" s="146">
        <f t="shared" si="186"/>
        <v>3714.6897865168539</v>
      </c>
      <c r="W299" s="146">
        <f t="shared" si="186"/>
        <v>3692.8620000000001</v>
      </c>
      <c r="X299" s="146">
        <f t="shared" si="186"/>
        <v>3890.3919999999994</v>
      </c>
      <c r="Y299" s="146">
        <f t="shared" si="186"/>
        <v>4554.773557932911</v>
      </c>
      <c r="Z299" s="253">
        <f t="shared" si="186"/>
        <v>5032.8443118398245</v>
      </c>
      <c r="AA299" s="253">
        <f t="shared" si="186"/>
        <v>4900.9808500000008</v>
      </c>
      <c r="AB299" s="253">
        <f t="shared" si="186"/>
        <v>4851.5121340000005</v>
      </c>
      <c r="AC299" s="253">
        <f t="shared" si="186"/>
        <v>4754.0714829999997</v>
      </c>
      <c r="AD299" s="253">
        <f t="shared" si="186"/>
        <v>4950.3512589999991</v>
      </c>
      <c r="AE299" s="253">
        <f t="shared" si="186"/>
        <v>5093.1978250873644</v>
      </c>
      <c r="AF299" s="253">
        <f t="shared" si="186"/>
        <v>5380.5916527893205</v>
      </c>
      <c r="AG299" s="253">
        <f t="shared" si="186"/>
        <v>5622</v>
      </c>
      <c r="AH299" s="253">
        <f t="shared" si="186"/>
        <v>5690.0000000000009</v>
      </c>
      <c r="AI299" s="253">
        <f t="shared" si="186"/>
        <v>5790.0000000000018</v>
      </c>
      <c r="AJ299" s="253">
        <f t="shared" si="186"/>
        <v>6182.0000000000009</v>
      </c>
      <c r="AK299" s="253">
        <f t="shared" si="186"/>
        <v>6324.0000000000009</v>
      </c>
      <c r="AL299" s="253">
        <f t="shared" si="186"/>
        <v>6516.0000000000018</v>
      </c>
      <c r="AM299" s="253">
        <f t="shared" si="186"/>
        <v>6625.0000000000018</v>
      </c>
    </row>
    <row r="300" spans="1:39">
      <c r="A300" s="248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  <c r="AD300" s="254"/>
      <c r="AE300" s="254"/>
      <c r="AF300" s="254"/>
      <c r="AG300" s="254"/>
      <c r="AH300" s="254"/>
      <c r="AI300" s="254"/>
      <c r="AJ300" s="254"/>
      <c r="AK300" s="254"/>
      <c r="AL300" s="254"/>
      <c r="AM300" s="254"/>
    </row>
    <row r="301" spans="1:39" ht="15.75" thickBot="1">
      <c r="A301" s="235" t="s">
        <v>269</v>
      </c>
    </row>
    <row r="302" spans="1:39" ht="15.75" thickBot="1">
      <c r="A302" s="236"/>
      <c r="B302" s="237" t="str">
        <f>B$2</f>
        <v xml:space="preserve">93/94 </v>
      </c>
      <c r="C302" s="237" t="str">
        <f t="shared" ref="C302:AM302" si="187">C$2</f>
        <v xml:space="preserve">94/95 </v>
      </c>
      <c r="D302" s="237" t="str">
        <f t="shared" si="187"/>
        <v xml:space="preserve">95/96 </v>
      </c>
      <c r="E302" s="237" t="str">
        <f t="shared" si="187"/>
        <v xml:space="preserve">96/97 </v>
      </c>
      <c r="F302" s="237" t="str">
        <f t="shared" si="187"/>
        <v xml:space="preserve">97/98 </v>
      </c>
      <c r="G302" s="237" t="str">
        <f t="shared" si="187"/>
        <v xml:space="preserve">98/99 </v>
      </c>
      <c r="H302" s="237" t="str">
        <f t="shared" si="187"/>
        <v xml:space="preserve">99/00 </v>
      </c>
      <c r="I302" s="237" t="str">
        <f t="shared" si="187"/>
        <v xml:space="preserve">00/01 </v>
      </c>
      <c r="J302" s="237" t="str">
        <f t="shared" si="187"/>
        <v xml:space="preserve">01/02 </v>
      </c>
      <c r="K302" s="237" t="str">
        <f t="shared" si="187"/>
        <v xml:space="preserve">02/03 </v>
      </c>
      <c r="L302" s="237" t="str">
        <f t="shared" si="187"/>
        <v xml:space="preserve">03/04 </v>
      </c>
      <c r="M302" s="237" t="str">
        <f t="shared" si="187"/>
        <v xml:space="preserve">04/05 </v>
      </c>
      <c r="N302" s="237" t="str">
        <f t="shared" si="187"/>
        <v xml:space="preserve">05/06 </v>
      </c>
      <c r="O302" s="237" t="str">
        <f t="shared" si="187"/>
        <v xml:space="preserve">06/07 </v>
      </c>
      <c r="P302" s="237" t="str">
        <f t="shared" si="187"/>
        <v xml:space="preserve">07/08 </v>
      </c>
      <c r="Q302" s="237" t="str">
        <f t="shared" si="187"/>
        <v xml:space="preserve">08/09 </v>
      </c>
      <c r="R302" s="237" t="str">
        <f t="shared" si="187"/>
        <v xml:space="preserve">09/10 </v>
      </c>
      <c r="S302" s="237" t="str">
        <f t="shared" si="187"/>
        <v xml:space="preserve">10/11 </v>
      </c>
      <c r="T302" s="237" t="str">
        <f t="shared" si="187"/>
        <v xml:space="preserve">11/12 </v>
      </c>
      <c r="U302" s="237" t="str">
        <f t="shared" si="187"/>
        <v xml:space="preserve">12/13 </v>
      </c>
      <c r="V302" s="237" t="str">
        <f t="shared" si="187"/>
        <v xml:space="preserve">13/14 </v>
      </c>
      <c r="W302" s="237" t="str">
        <f t="shared" si="187"/>
        <v xml:space="preserve">14/15 </v>
      </c>
      <c r="X302" s="237" t="str">
        <f t="shared" si="187"/>
        <v xml:space="preserve">15/16 </v>
      </c>
      <c r="Y302" s="237" t="str">
        <f t="shared" si="187"/>
        <v xml:space="preserve">16/17 </v>
      </c>
      <c r="Z302" s="237" t="str">
        <f t="shared" si="187"/>
        <v xml:space="preserve">17/18 </v>
      </c>
      <c r="AA302" s="237" t="str">
        <f t="shared" si="187"/>
        <v xml:space="preserve">18/19 </v>
      </c>
      <c r="AB302" s="237" t="str">
        <f t="shared" si="187"/>
        <v xml:space="preserve">19/20 </v>
      </c>
      <c r="AC302" s="237" t="str">
        <f t="shared" si="187"/>
        <v xml:space="preserve">20/21 </v>
      </c>
      <c r="AD302" s="237" t="str">
        <f t="shared" si="187"/>
        <v>21/22</v>
      </c>
      <c r="AE302" s="237" t="str">
        <f t="shared" si="187"/>
        <v>22/23</v>
      </c>
      <c r="AF302" s="237" t="str">
        <f t="shared" si="187"/>
        <v>23/24</v>
      </c>
      <c r="AG302" s="237" t="str">
        <f t="shared" si="187"/>
        <v>24/25</v>
      </c>
      <c r="AH302" s="237" t="str">
        <f t="shared" si="187"/>
        <v>25/26</v>
      </c>
      <c r="AI302" s="237" t="str">
        <f t="shared" si="187"/>
        <v>26/27</v>
      </c>
      <c r="AJ302" s="237" t="str">
        <f t="shared" si="187"/>
        <v>27/28</v>
      </c>
      <c r="AK302" s="237" t="str">
        <f t="shared" si="187"/>
        <v>28/29</v>
      </c>
      <c r="AL302" s="237" t="str">
        <f t="shared" si="187"/>
        <v>29/30</v>
      </c>
      <c r="AM302" s="237" t="str">
        <f t="shared" si="187"/>
        <v>30/31</v>
      </c>
    </row>
    <row r="303" spans="1:39">
      <c r="A303" s="240" t="s">
        <v>239</v>
      </c>
      <c r="B303" s="290">
        <f>(B$314-B$32)/13+B32</f>
        <v>201.76923076923077</v>
      </c>
      <c r="C303" s="290">
        <f>(C$314-B$314)/13+B314</f>
        <v>204.76923076923077</v>
      </c>
      <c r="D303" s="290">
        <f t="shared" ref="D303:Y303" si="188">(D$314-C$314)/13+C314</f>
        <v>281.69230769230768</v>
      </c>
      <c r="E303" s="290">
        <f t="shared" si="188"/>
        <v>368</v>
      </c>
      <c r="F303" s="290">
        <f t="shared" si="188"/>
        <v>291.53846153846155</v>
      </c>
      <c r="G303" s="290">
        <f t="shared" si="188"/>
        <v>242.69230769230768</v>
      </c>
      <c r="H303" s="290">
        <f t="shared" si="188"/>
        <v>300.61538461538464</v>
      </c>
      <c r="I303" s="290">
        <f t="shared" si="188"/>
        <v>320.46153846153845</v>
      </c>
      <c r="J303" s="290">
        <f t="shared" si="188"/>
        <v>322.76923076923077</v>
      </c>
      <c r="K303" s="290">
        <f t="shared" si="188"/>
        <v>284.61538461538464</v>
      </c>
      <c r="L303" s="290">
        <f t="shared" si="188"/>
        <v>293.07692307692309</v>
      </c>
      <c r="M303" s="290">
        <f t="shared" si="188"/>
        <v>302.84615384615387</v>
      </c>
      <c r="N303" s="290">
        <f t="shared" si="188"/>
        <v>267.92307692307691</v>
      </c>
      <c r="O303" s="290">
        <f t="shared" si="188"/>
        <v>305.69230769230768</v>
      </c>
      <c r="P303" s="290">
        <f t="shared" si="188"/>
        <v>336.23076923076923</v>
      </c>
      <c r="Q303" s="290">
        <f t="shared" si="188"/>
        <v>331.15384615384613</v>
      </c>
      <c r="R303" s="290">
        <f t="shared" si="188"/>
        <v>519.38461538461536</v>
      </c>
      <c r="S303" s="290">
        <f t="shared" si="188"/>
        <v>439.92307692307691</v>
      </c>
      <c r="T303" s="290">
        <f t="shared" si="188"/>
        <v>310.69230769230768</v>
      </c>
      <c r="U303" s="290">
        <f t="shared" si="188"/>
        <v>474.92307692307691</v>
      </c>
      <c r="V303" s="290">
        <f t="shared" si="188"/>
        <v>197</v>
      </c>
      <c r="W303" s="290">
        <f t="shared" si="188"/>
        <v>323.07692307692309</v>
      </c>
      <c r="X303" s="290">
        <f t="shared" si="188"/>
        <v>244.76923076923077</v>
      </c>
      <c r="Y303" s="290">
        <f t="shared" si="188"/>
        <v>173.07692307692307</v>
      </c>
      <c r="Z303" s="252">
        <f t="shared" ref="Z303:AM303" si="189">(Z$314-Z$314)/13+Y314</f>
        <v>354</v>
      </c>
      <c r="AA303" s="252">
        <f t="shared" si="189"/>
        <v>258</v>
      </c>
      <c r="AB303" s="252">
        <f t="shared" si="189"/>
        <v>372</v>
      </c>
      <c r="AC303" s="252">
        <f t="shared" si="189"/>
        <v>648</v>
      </c>
      <c r="AD303" s="252">
        <f t="shared" si="189"/>
        <v>211</v>
      </c>
      <c r="AE303" s="252">
        <f t="shared" si="189"/>
        <v>646</v>
      </c>
      <c r="AF303" s="252">
        <f t="shared" si="189"/>
        <v>292</v>
      </c>
      <c r="AG303" s="252">
        <f t="shared" si="189"/>
        <v>741</v>
      </c>
      <c r="AH303" s="252">
        <f t="shared" si="189"/>
        <v>500</v>
      </c>
      <c r="AI303" s="252">
        <f t="shared" si="189"/>
        <v>400</v>
      </c>
      <c r="AJ303" s="252">
        <f t="shared" si="189"/>
        <v>550</v>
      </c>
      <c r="AK303" s="252">
        <f t="shared" si="189"/>
        <v>500</v>
      </c>
      <c r="AL303" s="252">
        <f t="shared" si="189"/>
        <v>550</v>
      </c>
      <c r="AM303" s="252">
        <f t="shared" si="189"/>
        <v>500</v>
      </c>
    </row>
    <row r="304" spans="1:39">
      <c r="A304" s="240" t="s">
        <v>240</v>
      </c>
      <c r="B304" s="290">
        <f t="shared" ref="B304:B313" si="190">(B$314-B$32)/13+B303</f>
        <v>201.53846153846155</v>
      </c>
      <c r="C304" s="290">
        <f>(C$314-B$314)/13+C303</f>
        <v>210.53846153846155</v>
      </c>
      <c r="D304" s="290">
        <f t="shared" ref="D304:Y313" si="191">(D$314-C$314)/13+D303</f>
        <v>289.38461538461536</v>
      </c>
      <c r="E304" s="290">
        <f t="shared" si="191"/>
        <v>362</v>
      </c>
      <c r="F304" s="290">
        <f t="shared" si="191"/>
        <v>287.07692307692309</v>
      </c>
      <c r="G304" s="290">
        <f t="shared" si="191"/>
        <v>247.38461538461536</v>
      </c>
      <c r="H304" s="290">
        <f t="shared" si="191"/>
        <v>302.23076923076928</v>
      </c>
      <c r="I304" s="290">
        <f t="shared" si="191"/>
        <v>320.92307692307691</v>
      </c>
      <c r="J304" s="290">
        <f t="shared" si="191"/>
        <v>319.53846153846155</v>
      </c>
      <c r="K304" s="290">
        <f t="shared" si="191"/>
        <v>285.23076923076928</v>
      </c>
      <c r="L304" s="290">
        <f t="shared" si="191"/>
        <v>294.15384615384619</v>
      </c>
      <c r="M304" s="290">
        <f t="shared" si="191"/>
        <v>299.69230769230774</v>
      </c>
      <c r="N304" s="290">
        <f t="shared" si="191"/>
        <v>270.84615384615381</v>
      </c>
      <c r="O304" s="290">
        <f t="shared" si="191"/>
        <v>308.38461538461536</v>
      </c>
      <c r="P304" s="290">
        <f t="shared" si="191"/>
        <v>334.46153846153845</v>
      </c>
      <c r="Q304" s="290">
        <f t="shared" si="191"/>
        <v>347.30769230769226</v>
      </c>
      <c r="R304" s="290">
        <f t="shared" si="191"/>
        <v>513.76923076923072</v>
      </c>
      <c r="S304" s="290">
        <f t="shared" si="191"/>
        <v>427.84615384615381</v>
      </c>
      <c r="T304" s="290">
        <f t="shared" si="191"/>
        <v>326.38461538461536</v>
      </c>
      <c r="U304" s="290">
        <f t="shared" si="191"/>
        <v>450.84615384615381</v>
      </c>
      <c r="V304" s="290">
        <f t="shared" si="191"/>
        <v>208</v>
      </c>
      <c r="W304" s="290">
        <f t="shared" si="191"/>
        <v>317.15384615384619</v>
      </c>
      <c r="X304" s="290">
        <f t="shared" si="191"/>
        <v>237.53846153846155</v>
      </c>
      <c r="Y304" s="290">
        <f t="shared" si="191"/>
        <v>188.15384615384613</v>
      </c>
      <c r="Z304" s="252">
        <f t="shared" ref="Z304:AM313" si="192">(Z$314-Z$32)/13+Z303</f>
        <v>346.61538461538464</v>
      </c>
      <c r="AA304" s="252">
        <f t="shared" si="192"/>
        <v>266.76923076923077</v>
      </c>
      <c r="AB304" s="252">
        <f t="shared" si="192"/>
        <v>393.23076923076923</v>
      </c>
      <c r="AC304" s="252">
        <f t="shared" si="192"/>
        <v>614.38461538461536</v>
      </c>
      <c r="AD304" s="252">
        <f t="shared" si="192"/>
        <v>244.46153846153845</v>
      </c>
      <c r="AE304" s="252">
        <f t="shared" si="192"/>
        <v>618.76923076923072</v>
      </c>
      <c r="AF304" s="252">
        <f t="shared" si="192"/>
        <v>326.53846153846155</v>
      </c>
      <c r="AG304" s="252">
        <f t="shared" si="192"/>
        <v>722.46153846153845</v>
      </c>
      <c r="AH304" s="252">
        <f t="shared" si="192"/>
        <v>492.30769230769232</v>
      </c>
      <c r="AI304" s="252">
        <f t="shared" si="192"/>
        <v>411.53846153846155</v>
      </c>
      <c r="AJ304" s="252">
        <f t="shared" si="192"/>
        <v>546.15384615384619</v>
      </c>
      <c r="AK304" s="252">
        <f t="shared" si="192"/>
        <v>503.84615384615387</v>
      </c>
      <c r="AL304" s="252">
        <f t="shared" si="192"/>
        <v>546.15384615384619</v>
      </c>
      <c r="AM304" s="252">
        <f t="shared" si="192"/>
        <v>500</v>
      </c>
    </row>
    <row r="305" spans="1:39">
      <c r="A305" s="240" t="s">
        <v>241</v>
      </c>
      <c r="B305" s="290">
        <f t="shared" si="190"/>
        <v>201.30769230769232</v>
      </c>
      <c r="C305" s="290">
        <f t="shared" ref="C305:C313" si="193">(C$314-B$314)/13+C304</f>
        <v>216.30769230769232</v>
      </c>
      <c r="D305" s="290">
        <f t="shared" si="191"/>
        <v>297.07692307692304</v>
      </c>
      <c r="E305" s="290">
        <f t="shared" si="191"/>
        <v>356</v>
      </c>
      <c r="F305" s="290">
        <f t="shared" si="191"/>
        <v>282.61538461538464</v>
      </c>
      <c r="G305" s="290">
        <f t="shared" si="191"/>
        <v>252.07692307692304</v>
      </c>
      <c r="H305" s="290">
        <f t="shared" si="191"/>
        <v>303.84615384615392</v>
      </c>
      <c r="I305" s="290">
        <f t="shared" si="191"/>
        <v>321.38461538461536</v>
      </c>
      <c r="J305" s="290">
        <f t="shared" si="191"/>
        <v>316.30769230769232</v>
      </c>
      <c r="K305" s="290">
        <f t="shared" si="191"/>
        <v>285.84615384615392</v>
      </c>
      <c r="L305" s="290">
        <f t="shared" si="191"/>
        <v>295.23076923076928</v>
      </c>
      <c r="M305" s="290">
        <f t="shared" si="191"/>
        <v>296.5384615384616</v>
      </c>
      <c r="N305" s="290">
        <f t="shared" si="191"/>
        <v>273.76923076923072</v>
      </c>
      <c r="O305" s="290">
        <f t="shared" si="191"/>
        <v>311.07692307692304</v>
      </c>
      <c r="P305" s="290">
        <f t="shared" si="191"/>
        <v>332.69230769230768</v>
      </c>
      <c r="Q305" s="290">
        <f t="shared" si="191"/>
        <v>363.4615384615384</v>
      </c>
      <c r="R305" s="290">
        <f t="shared" si="191"/>
        <v>508.15384615384608</v>
      </c>
      <c r="S305" s="290">
        <f t="shared" si="191"/>
        <v>415.76923076923072</v>
      </c>
      <c r="T305" s="290">
        <f t="shared" si="191"/>
        <v>342.07692307692304</v>
      </c>
      <c r="U305" s="290">
        <f t="shared" si="191"/>
        <v>426.76923076923072</v>
      </c>
      <c r="V305" s="290">
        <f t="shared" si="191"/>
        <v>219</v>
      </c>
      <c r="W305" s="290">
        <f t="shared" si="191"/>
        <v>311.23076923076928</v>
      </c>
      <c r="X305" s="290">
        <f t="shared" si="191"/>
        <v>230.30769230769232</v>
      </c>
      <c r="Y305" s="290">
        <f t="shared" si="191"/>
        <v>203.2307692307692</v>
      </c>
      <c r="Z305" s="252">
        <f t="shared" si="192"/>
        <v>339.23076923076928</v>
      </c>
      <c r="AA305" s="252">
        <f t="shared" si="192"/>
        <v>275.53846153846155</v>
      </c>
      <c r="AB305" s="252">
        <f t="shared" si="192"/>
        <v>414.46153846153845</v>
      </c>
      <c r="AC305" s="252">
        <f t="shared" si="192"/>
        <v>580.76923076923072</v>
      </c>
      <c r="AD305" s="252">
        <f t="shared" si="192"/>
        <v>277.92307692307691</v>
      </c>
      <c r="AE305" s="252">
        <f t="shared" si="192"/>
        <v>591.53846153846143</v>
      </c>
      <c r="AF305" s="252">
        <f t="shared" si="192"/>
        <v>361.07692307692309</v>
      </c>
      <c r="AG305" s="252">
        <f t="shared" si="192"/>
        <v>703.92307692307691</v>
      </c>
      <c r="AH305" s="252">
        <f t="shared" si="192"/>
        <v>484.61538461538464</v>
      </c>
      <c r="AI305" s="252">
        <f t="shared" si="192"/>
        <v>423.07692307692309</v>
      </c>
      <c r="AJ305" s="252">
        <f t="shared" si="192"/>
        <v>542.30769230769238</v>
      </c>
      <c r="AK305" s="252">
        <f t="shared" si="192"/>
        <v>507.69230769230774</v>
      </c>
      <c r="AL305" s="252">
        <f t="shared" si="192"/>
        <v>542.30769230769238</v>
      </c>
      <c r="AM305" s="252">
        <f t="shared" si="192"/>
        <v>500</v>
      </c>
    </row>
    <row r="306" spans="1:39">
      <c r="A306" s="240" t="s">
        <v>231</v>
      </c>
      <c r="B306" s="290">
        <f t="shared" si="190"/>
        <v>201.07692307692309</v>
      </c>
      <c r="C306" s="290">
        <f t="shared" si="193"/>
        <v>222.07692307692309</v>
      </c>
      <c r="D306" s="290">
        <f t="shared" si="191"/>
        <v>304.76923076923072</v>
      </c>
      <c r="E306" s="290">
        <f t="shared" si="191"/>
        <v>350</v>
      </c>
      <c r="F306" s="290">
        <f t="shared" si="191"/>
        <v>278.15384615384619</v>
      </c>
      <c r="G306" s="290">
        <f t="shared" si="191"/>
        <v>256.76923076923072</v>
      </c>
      <c r="H306" s="290">
        <f t="shared" si="191"/>
        <v>305.46153846153857</v>
      </c>
      <c r="I306" s="290">
        <f t="shared" si="191"/>
        <v>321.84615384615381</v>
      </c>
      <c r="J306" s="290">
        <f t="shared" si="191"/>
        <v>313.07692307692309</v>
      </c>
      <c r="K306" s="290">
        <f t="shared" si="191"/>
        <v>286.46153846153857</v>
      </c>
      <c r="L306" s="290">
        <f t="shared" si="191"/>
        <v>296.30769230769238</v>
      </c>
      <c r="M306" s="290">
        <f t="shared" si="191"/>
        <v>293.38461538461547</v>
      </c>
      <c r="N306" s="290">
        <f t="shared" si="191"/>
        <v>276.69230769230762</v>
      </c>
      <c r="O306" s="290">
        <f t="shared" si="191"/>
        <v>313.76923076923072</v>
      </c>
      <c r="P306" s="290">
        <f t="shared" si="191"/>
        <v>330.92307692307691</v>
      </c>
      <c r="Q306" s="290">
        <f t="shared" si="191"/>
        <v>379.61538461538453</v>
      </c>
      <c r="R306" s="290">
        <f t="shared" si="191"/>
        <v>502.53846153846143</v>
      </c>
      <c r="S306" s="290">
        <f t="shared" si="191"/>
        <v>403.69230769230762</v>
      </c>
      <c r="T306" s="290">
        <f t="shared" si="191"/>
        <v>357.76923076923072</v>
      </c>
      <c r="U306" s="290">
        <f t="shared" si="191"/>
        <v>402.69230769230762</v>
      </c>
      <c r="V306" s="290">
        <f t="shared" si="191"/>
        <v>230</v>
      </c>
      <c r="W306" s="290">
        <f t="shared" si="191"/>
        <v>305.30769230769238</v>
      </c>
      <c r="X306" s="290">
        <f t="shared" si="191"/>
        <v>223.07692307692309</v>
      </c>
      <c r="Y306" s="290">
        <f t="shared" si="191"/>
        <v>218.30769230769226</v>
      </c>
      <c r="Z306" s="252">
        <f t="shared" si="192"/>
        <v>331.84615384615392</v>
      </c>
      <c r="AA306" s="252">
        <f t="shared" si="192"/>
        <v>284.30769230769232</v>
      </c>
      <c r="AB306" s="252">
        <f t="shared" si="192"/>
        <v>435.69230769230768</v>
      </c>
      <c r="AC306" s="252">
        <f t="shared" si="192"/>
        <v>547.15384615384608</v>
      </c>
      <c r="AD306" s="252">
        <f t="shared" si="192"/>
        <v>311.38461538461536</v>
      </c>
      <c r="AE306" s="252">
        <f t="shared" si="192"/>
        <v>564.30769230769215</v>
      </c>
      <c r="AF306" s="252">
        <f t="shared" si="192"/>
        <v>395.61538461538464</v>
      </c>
      <c r="AG306" s="252">
        <f t="shared" si="192"/>
        <v>685.38461538461536</v>
      </c>
      <c r="AH306" s="252">
        <f t="shared" si="192"/>
        <v>476.92307692307696</v>
      </c>
      <c r="AI306" s="252">
        <f t="shared" si="192"/>
        <v>434.61538461538464</v>
      </c>
      <c r="AJ306" s="252">
        <f t="shared" si="192"/>
        <v>538.46153846153857</v>
      </c>
      <c r="AK306" s="252">
        <f t="shared" si="192"/>
        <v>511.5384615384616</v>
      </c>
      <c r="AL306" s="252">
        <f t="shared" si="192"/>
        <v>538.46153846153857</v>
      </c>
      <c r="AM306" s="252">
        <f t="shared" si="192"/>
        <v>500</v>
      </c>
    </row>
    <row r="307" spans="1:39">
      <c r="A307" s="240" t="s">
        <v>232</v>
      </c>
      <c r="B307" s="290">
        <f t="shared" si="190"/>
        <v>200.84615384615387</v>
      </c>
      <c r="C307" s="290">
        <f t="shared" si="193"/>
        <v>227.84615384615387</v>
      </c>
      <c r="D307" s="290">
        <f t="shared" si="191"/>
        <v>312.4615384615384</v>
      </c>
      <c r="E307" s="290">
        <f t="shared" si="191"/>
        <v>344</v>
      </c>
      <c r="F307" s="290">
        <f t="shared" si="191"/>
        <v>273.69230769230774</v>
      </c>
      <c r="G307" s="290">
        <f t="shared" si="191"/>
        <v>261.4615384615384</v>
      </c>
      <c r="H307" s="290">
        <f t="shared" si="191"/>
        <v>307.07692307692321</v>
      </c>
      <c r="I307" s="290">
        <f t="shared" si="191"/>
        <v>322.30769230769226</v>
      </c>
      <c r="J307" s="290">
        <f t="shared" si="191"/>
        <v>309.84615384615387</v>
      </c>
      <c r="K307" s="290">
        <f t="shared" si="191"/>
        <v>287.07692307692321</v>
      </c>
      <c r="L307" s="290">
        <f t="shared" si="191"/>
        <v>297.38461538461547</v>
      </c>
      <c r="M307" s="290">
        <f t="shared" si="191"/>
        <v>290.23076923076934</v>
      </c>
      <c r="N307" s="290">
        <f t="shared" si="191"/>
        <v>279.61538461538453</v>
      </c>
      <c r="O307" s="290">
        <f t="shared" si="191"/>
        <v>316.4615384615384</v>
      </c>
      <c r="P307" s="290">
        <f t="shared" si="191"/>
        <v>329.15384615384613</v>
      </c>
      <c r="Q307" s="290">
        <f t="shared" si="191"/>
        <v>395.76923076923066</v>
      </c>
      <c r="R307" s="290">
        <f t="shared" si="191"/>
        <v>496.92307692307679</v>
      </c>
      <c r="S307" s="290">
        <f t="shared" si="191"/>
        <v>391.61538461538453</v>
      </c>
      <c r="T307" s="290">
        <f t="shared" si="191"/>
        <v>373.4615384615384</v>
      </c>
      <c r="U307" s="290">
        <f t="shared" si="191"/>
        <v>378.61538461538453</v>
      </c>
      <c r="V307" s="290">
        <f t="shared" si="191"/>
        <v>241</v>
      </c>
      <c r="W307" s="290">
        <f t="shared" si="191"/>
        <v>299.38461538461547</v>
      </c>
      <c r="X307" s="290">
        <f t="shared" si="191"/>
        <v>215.84615384615387</v>
      </c>
      <c r="Y307" s="290">
        <f t="shared" si="191"/>
        <v>233.38461538461533</v>
      </c>
      <c r="Z307" s="252">
        <f t="shared" si="192"/>
        <v>324.46153846153857</v>
      </c>
      <c r="AA307" s="252">
        <f t="shared" si="192"/>
        <v>293.07692307692309</v>
      </c>
      <c r="AB307" s="252">
        <f t="shared" si="192"/>
        <v>456.92307692307691</v>
      </c>
      <c r="AC307" s="252">
        <f t="shared" si="192"/>
        <v>513.53846153846143</v>
      </c>
      <c r="AD307" s="252">
        <f t="shared" si="192"/>
        <v>344.84615384615381</v>
      </c>
      <c r="AE307" s="252">
        <f t="shared" si="192"/>
        <v>537.07692307692287</v>
      </c>
      <c r="AF307" s="252">
        <f t="shared" si="192"/>
        <v>430.15384615384619</v>
      </c>
      <c r="AG307" s="252">
        <f t="shared" si="192"/>
        <v>666.84615384615381</v>
      </c>
      <c r="AH307" s="252">
        <f t="shared" si="192"/>
        <v>469.23076923076928</v>
      </c>
      <c r="AI307" s="252">
        <f t="shared" si="192"/>
        <v>446.15384615384619</v>
      </c>
      <c r="AJ307" s="252">
        <f t="shared" si="192"/>
        <v>534.61538461538476</v>
      </c>
      <c r="AK307" s="252">
        <f t="shared" si="192"/>
        <v>515.38461538461547</v>
      </c>
      <c r="AL307" s="252">
        <f t="shared" si="192"/>
        <v>534.61538461538476</v>
      </c>
      <c r="AM307" s="252">
        <f t="shared" si="192"/>
        <v>500</v>
      </c>
    </row>
    <row r="308" spans="1:39">
      <c r="A308" s="240" t="s">
        <v>233</v>
      </c>
      <c r="B308" s="290">
        <f t="shared" si="190"/>
        <v>200.61538461538464</v>
      </c>
      <c r="C308" s="290">
        <f t="shared" si="193"/>
        <v>233.61538461538464</v>
      </c>
      <c r="D308" s="290">
        <f t="shared" si="191"/>
        <v>320.15384615384608</v>
      </c>
      <c r="E308" s="290">
        <f t="shared" si="191"/>
        <v>338</v>
      </c>
      <c r="F308" s="290">
        <f t="shared" si="191"/>
        <v>269.23076923076928</v>
      </c>
      <c r="G308" s="290">
        <f t="shared" si="191"/>
        <v>266.15384615384608</v>
      </c>
      <c r="H308" s="290">
        <f t="shared" si="191"/>
        <v>308.69230769230785</v>
      </c>
      <c r="I308" s="290">
        <f t="shared" si="191"/>
        <v>322.76923076923072</v>
      </c>
      <c r="J308" s="290">
        <f t="shared" si="191"/>
        <v>306.61538461538464</v>
      </c>
      <c r="K308" s="290">
        <f t="shared" si="191"/>
        <v>287.69230769230785</v>
      </c>
      <c r="L308" s="290">
        <f t="shared" si="191"/>
        <v>298.46153846153857</v>
      </c>
      <c r="M308" s="290">
        <f t="shared" si="191"/>
        <v>287.07692307692321</v>
      </c>
      <c r="N308" s="290">
        <f t="shared" si="191"/>
        <v>282.53846153846143</v>
      </c>
      <c r="O308" s="290">
        <f t="shared" si="191"/>
        <v>319.15384615384608</v>
      </c>
      <c r="P308" s="290">
        <f t="shared" si="191"/>
        <v>327.38461538461536</v>
      </c>
      <c r="Q308" s="290">
        <f t="shared" si="191"/>
        <v>411.92307692307679</v>
      </c>
      <c r="R308" s="290">
        <f t="shared" si="191"/>
        <v>491.30769230769215</v>
      </c>
      <c r="S308" s="290">
        <f t="shared" si="191"/>
        <v>379.53846153846143</v>
      </c>
      <c r="T308" s="290">
        <f t="shared" si="191"/>
        <v>389.15384615384608</v>
      </c>
      <c r="U308" s="290">
        <f t="shared" si="191"/>
        <v>354.53846153846143</v>
      </c>
      <c r="V308" s="290">
        <f t="shared" si="191"/>
        <v>252</v>
      </c>
      <c r="W308" s="290">
        <f t="shared" si="191"/>
        <v>293.46153846153857</v>
      </c>
      <c r="X308" s="290">
        <f t="shared" si="191"/>
        <v>208.61538461538464</v>
      </c>
      <c r="Y308" s="290">
        <f t="shared" si="191"/>
        <v>248.4615384615384</v>
      </c>
      <c r="Z308" s="252">
        <f t="shared" si="192"/>
        <v>317.07692307692321</v>
      </c>
      <c r="AA308" s="252">
        <f t="shared" si="192"/>
        <v>301.84615384615387</v>
      </c>
      <c r="AB308" s="252">
        <f t="shared" si="192"/>
        <v>478.15384615384613</v>
      </c>
      <c r="AC308" s="252">
        <f t="shared" si="192"/>
        <v>479.92307692307679</v>
      </c>
      <c r="AD308" s="252">
        <f t="shared" si="192"/>
        <v>378.30769230769226</v>
      </c>
      <c r="AE308" s="252">
        <f t="shared" si="192"/>
        <v>509.84615384615364</v>
      </c>
      <c r="AF308" s="252">
        <f t="shared" si="192"/>
        <v>464.69230769230774</v>
      </c>
      <c r="AG308" s="252">
        <f t="shared" si="192"/>
        <v>648.30769230769226</v>
      </c>
      <c r="AH308" s="252">
        <f t="shared" si="192"/>
        <v>461.5384615384616</v>
      </c>
      <c r="AI308" s="252">
        <f t="shared" si="192"/>
        <v>457.69230769230774</v>
      </c>
      <c r="AJ308" s="252">
        <f t="shared" si="192"/>
        <v>530.76923076923094</v>
      </c>
      <c r="AK308" s="252">
        <f t="shared" si="192"/>
        <v>519.23076923076928</v>
      </c>
      <c r="AL308" s="252">
        <f t="shared" si="192"/>
        <v>530.76923076923094</v>
      </c>
      <c r="AM308" s="252">
        <f t="shared" si="192"/>
        <v>500</v>
      </c>
    </row>
    <row r="309" spans="1:39">
      <c r="A309" s="240" t="s">
        <v>234</v>
      </c>
      <c r="B309" s="290">
        <f t="shared" si="190"/>
        <v>200.38461538461542</v>
      </c>
      <c r="C309" s="290">
        <f t="shared" si="193"/>
        <v>239.38461538461542</v>
      </c>
      <c r="D309" s="290">
        <f t="shared" si="191"/>
        <v>327.84615384615375</v>
      </c>
      <c r="E309" s="290">
        <f t="shared" si="191"/>
        <v>332</v>
      </c>
      <c r="F309" s="290">
        <f t="shared" si="191"/>
        <v>264.76923076923083</v>
      </c>
      <c r="G309" s="290">
        <f t="shared" si="191"/>
        <v>270.84615384615375</v>
      </c>
      <c r="H309" s="290">
        <f t="shared" si="191"/>
        <v>310.30769230769249</v>
      </c>
      <c r="I309" s="290">
        <f t="shared" si="191"/>
        <v>323.23076923076917</v>
      </c>
      <c r="J309" s="290">
        <f t="shared" si="191"/>
        <v>303.38461538461542</v>
      </c>
      <c r="K309" s="290">
        <f t="shared" si="191"/>
        <v>288.30769230769249</v>
      </c>
      <c r="L309" s="290">
        <f t="shared" si="191"/>
        <v>299.53846153846166</v>
      </c>
      <c r="M309" s="290">
        <f t="shared" si="191"/>
        <v>283.92307692307708</v>
      </c>
      <c r="N309" s="290">
        <f t="shared" si="191"/>
        <v>285.46153846153834</v>
      </c>
      <c r="O309" s="290">
        <f t="shared" si="191"/>
        <v>321.84615384615375</v>
      </c>
      <c r="P309" s="290">
        <f t="shared" si="191"/>
        <v>325.61538461538458</v>
      </c>
      <c r="Q309" s="290">
        <f t="shared" si="191"/>
        <v>428.07692307692292</v>
      </c>
      <c r="R309" s="290">
        <f t="shared" si="191"/>
        <v>485.69230769230751</v>
      </c>
      <c r="S309" s="290">
        <f t="shared" si="191"/>
        <v>367.46153846153834</v>
      </c>
      <c r="T309" s="290">
        <f t="shared" si="191"/>
        <v>404.84615384615375</v>
      </c>
      <c r="U309" s="290">
        <f t="shared" si="191"/>
        <v>330.46153846153834</v>
      </c>
      <c r="V309" s="290">
        <f t="shared" si="191"/>
        <v>263</v>
      </c>
      <c r="W309" s="290">
        <f t="shared" si="191"/>
        <v>287.53846153846166</v>
      </c>
      <c r="X309" s="290">
        <f t="shared" si="191"/>
        <v>201.38461538461542</v>
      </c>
      <c r="Y309" s="290">
        <f t="shared" si="191"/>
        <v>263.53846153846149</v>
      </c>
      <c r="Z309" s="252">
        <f t="shared" si="192"/>
        <v>309.69230769230785</v>
      </c>
      <c r="AA309" s="252">
        <f t="shared" si="192"/>
        <v>310.61538461538464</v>
      </c>
      <c r="AB309" s="252">
        <f t="shared" si="192"/>
        <v>499.38461538461536</v>
      </c>
      <c r="AC309" s="252">
        <f t="shared" si="192"/>
        <v>446.30769230769215</v>
      </c>
      <c r="AD309" s="252">
        <f t="shared" si="192"/>
        <v>411.76923076923072</v>
      </c>
      <c r="AE309" s="252">
        <f t="shared" si="192"/>
        <v>482.61538461538441</v>
      </c>
      <c r="AF309" s="252">
        <f t="shared" si="192"/>
        <v>499.23076923076928</v>
      </c>
      <c r="AG309" s="252">
        <f t="shared" si="192"/>
        <v>629.76923076923072</v>
      </c>
      <c r="AH309" s="252">
        <f t="shared" si="192"/>
        <v>453.84615384615392</v>
      </c>
      <c r="AI309" s="252">
        <f t="shared" si="192"/>
        <v>469.23076923076928</v>
      </c>
      <c r="AJ309" s="252">
        <f t="shared" si="192"/>
        <v>526.92307692307713</v>
      </c>
      <c r="AK309" s="252">
        <f t="shared" si="192"/>
        <v>523.07692307692309</v>
      </c>
      <c r="AL309" s="252">
        <f t="shared" si="192"/>
        <v>526.92307692307713</v>
      </c>
      <c r="AM309" s="252">
        <f t="shared" si="192"/>
        <v>500</v>
      </c>
    </row>
    <row r="310" spans="1:39">
      <c r="A310" s="240" t="s">
        <v>46</v>
      </c>
      <c r="B310" s="290">
        <f t="shared" si="190"/>
        <v>200.15384615384619</v>
      </c>
      <c r="C310" s="290">
        <f t="shared" si="193"/>
        <v>245.15384615384619</v>
      </c>
      <c r="D310" s="290">
        <f t="shared" si="191"/>
        <v>335.53846153846143</v>
      </c>
      <c r="E310" s="290">
        <f t="shared" si="191"/>
        <v>326</v>
      </c>
      <c r="F310" s="290">
        <f t="shared" si="191"/>
        <v>260.30769230769238</v>
      </c>
      <c r="G310" s="290">
        <f t="shared" si="191"/>
        <v>275.53846153846143</v>
      </c>
      <c r="H310" s="290">
        <f t="shared" si="191"/>
        <v>311.92307692307713</v>
      </c>
      <c r="I310" s="290">
        <f t="shared" si="191"/>
        <v>323.69230769230762</v>
      </c>
      <c r="J310" s="290">
        <f t="shared" si="191"/>
        <v>300.15384615384619</v>
      </c>
      <c r="K310" s="290">
        <f t="shared" si="191"/>
        <v>288.92307692307713</v>
      </c>
      <c r="L310" s="290">
        <f t="shared" si="191"/>
        <v>300.61538461538476</v>
      </c>
      <c r="M310" s="290">
        <f t="shared" si="191"/>
        <v>280.76923076923094</v>
      </c>
      <c r="N310" s="290">
        <f t="shared" si="191"/>
        <v>288.38461538461524</v>
      </c>
      <c r="O310" s="290">
        <f t="shared" si="191"/>
        <v>324.53846153846143</v>
      </c>
      <c r="P310" s="290">
        <f t="shared" si="191"/>
        <v>323.84615384615381</v>
      </c>
      <c r="Q310" s="290">
        <f t="shared" si="191"/>
        <v>444.23076923076906</v>
      </c>
      <c r="R310" s="290">
        <f t="shared" si="191"/>
        <v>480.07692307692287</v>
      </c>
      <c r="S310" s="290">
        <f t="shared" si="191"/>
        <v>355.38461538461524</v>
      </c>
      <c r="T310" s="290">
        <f t="shared" si="191"/>
        <v>420.53846153846143</v>
      </c>
      <c r="U310" s="290">
        <f t="shared" si="191"/>
        <v>306.38461538461524</v>
      </c>
      <c r="V310" s="290">
        <f t="shared" si="191"/>
        <v>274</v>
      </c>
      <c r="W310" s="290">
        <f t="shared" si="191"/>
        <v>281.61538461538476</v>
      </c>
      <c r="X310" s="290">
        <f t="shared" si="191"/>
        <v>194.15384615384619</v>
      </c>
      <c r="Y310" s="290">
        <f t="shared" si="191"/>
        <v>278.61538461538458</v>
      </c>
      <c r="Z310" s="252">
        <f t="shared" si="192"/>
        <v>302.30769230769249</v>
      </c>
      <c r="AA310" s="252">
        <f t="shared" si="192"/>
        <v>319.38461538461542</v>
      </c>
      <c r="AB310" s="252">
        <f t="shared" si="192"/>
        <v>520.61538461538464</v>
      </c>
      <c r="AC310" s="252">
        <f t="shared" si="192"/>
        <v>412.69230769230751</v>
      </c>
      <c r="AD310" s="252">
        <f t="shared" si="192"/>
        <v>445.23076923076917</v>
      </c>
      <c r="AE310" s="252">
        <f t="shared" si="192"/>
        <v>455.38461538461519</v>
      </c>
      <c r="AF310" s="252">
        <f t="shared" si="192"/>
        <v>533.76923076923083</v>
      </c>
      <c r="AG310" s="252">
        <f t="shared" si="192"/>
        <v>611.23076923076917</v>
      </c>
      <c r="AH310" s="252">
        <f t="shared" si="192"/>
        <v>446.15384615384625</v>
      </c>
      <c r="AI310" s="252">
        <f t="shared" si="192"/>
        <v>480.76923076923083</v>
      </c>
      <c r="AJ310" s="252">
        <f t="shared" si="192"/>
        <v>523.07692307692332</v>
      </c>
      <c r="AK310" s="252">
        <f t="shared" si="192"/>
        <v>526.92307692307691</v>
      </c>
      <c r="AL310" s="252">
        <f t="shared" si="192"/>
        <v>523.07692307692332</v>
      </c>
      <c r="AM310" s="252">
        <f t="shared" si="192"/>
        <v>500</v>
      </c>
    </row>
    <row r="311" spans="1:39">
      <c r="A311" s="240" t="s">
        <v>235</v>
      </c>
      <c r="B311" s="290">
        <f t="shared" si="190"/>
        <v>199.92307692307696</v>
      </c>
      <c r="C311" s="290">
        <f t="shared" si="193"/>
        <v>250.92307692307696</v>
      </c>
      <c r="D311" s="290">
        <f t="shared" si="191"/>
        <v>343.23076923076911</v>
      </c>
      <c r="E311" s="290">
        <f t="shared" si="191"/>
        <v>320</v>
      </c>
      <c r="F311" s="290">
        <f t="shared" si="191"/>
        <v>255.84615384615392</v>
      </c>
      <c r="G311" s="290">
        <f t="shared" si="191"/>
        <v>280.23076923076911</v>
      </c>
      <c r="H311" s="290">
        <f t="shared" si="191"/>
        <v>313.53846153846177</v>
      </c>
      <c r="I311" s="290">
        <f t="shared" si="191"/>
        <v>324.15384615384608</v>
      </c>
      <c r="J311" s="290">
        <f t="shared" si="191"/>
        <v>296.92307692307696</v>
      </c>
      <c r="K311" s="290">
        <f t="shared" si="191"/>
        <v>289.53846153846177</v>
      </c>
      <c r="L311" s="290">
        <f t="shared" si="191"/>
        <v>301.69230769230785</v>
      </c>
      <c r="M311" s="290">
        <f t="shared" si="191"/>
        <v>277.61538461538481</v>
      </c>
      <c r="N311" s="290">
        <f t="shared" si="191"/>
        <v>291.30769230769215</v>
      </c>
      <c r="O311" s="290">
        <f t="shared" si="191"/>
        <v>327.23076923076911</v>
      </c>
      <c r="P311" s="290">
        <f t="shared" si="191"/>
        <v>322.07692307692304</v>
      </c>
      <c r="Q311" s="290">
        <f t="shared" si="191"/>
        <v>460.38461538461519</v>
      </c>
      <c r="R311" s="290">
        <f t="shared" si="191"/>
        <v>474.46153846153823</v>
      </c>
      <c r="S311" s="290">
        <f t="shared" si="191"/>
        <v>343.30769230769215</v>
      </c>
      <c r="T311" s="290">
        <f t="shared" si="191"/>
        <v>436.23076923076911</v>
      </c>
      <c r="U311" s="290">
        <f t="shared" si="191"/>
        <v>282.30769230769215</v>
      </c>
      <c r="V311" s="290">
        <f t="shared" si="191"/>
        <v>285</v>
      </c>
      <c r="W311" s="290">
        <f t="shared" si="191"/>
        <v>275.69230769230785</v>
      </c>
      <c r="X311" s="290">
        <f t="shared" si="191"/>
        <v>186.92307692307696</v>
      </c>
      <c r="Y311" s="290">
        <f t="shared" si="191"/>
        <v>293.69230769230768</v>
      </c>
      <c r="Z311" s="252">
        <f t="shared" si="192"/>
        <v>294.92307692307713</v>
      </c>
      <c r="AA311" s="252">
        <f t="shared" si="192"/>
        <v>328.15384615384619</v>
      </c>
      <c r="AB311" s="252">
        <f t="shared" si="192"/>
        <v>541.84615384615392</v>
      </c>
      <c r="AC311" s="252">
        <f t="shared" si="192"/>
        <v>379.07692307692287</v>
      </c>
      <c r="AD311" s="252">
        <f t="shared" si="192"/>
        <v>478.69230769230762</v>
      </c>
      <c r="AE311" s="252">
        <f t="shared" si="192"/>
        <v>428.15384615384596</v>
      </c>
      <c r="AF311" s="252">
        <f t="shared" si="192"/>
        <v>568.30769230769238</v>
      </c>
      <c r="AG311" s="252">
        <f t="shared" si="192"/>
        <v>592.69230769230762</v>
      </c>
      <c r="AH311" s="252">
        <f t="shared" si="192"/>
        <v>438.46153846153857</v>
      </c>
      <c r="AI311" s="252">
        <f t="shared" si="192"/>
        <v>492.30769230769238</v>
      </c>
      <c r="AJ311" s="252">
        <f t="shared" si="192"/>
        <v>519.23076923076951</v>
      </c>
      <c r="AK311" s="252">
        <f t="shared" si="192"/>
        <v>530.76923076923072</v>
      </c>
      <c r="AL311" s="252">
        <f t="shared" si="192"/>
        <v>519.23076923076951</v>
      </c>
      <c r="AM311" s="252">
        <f t="shared" si="192"/>
        <v>500</v>
      </c>
    </row>
    <row r="312" spans="1:39">
      <c r="A312" s="240" t="s">
        <v>236</v>
      </c>
      <c r="B312" s="290">
        <f t="shared" si="190"/>
        <v>199.69230769230774</v>
      </c>
      <c r="C312" s="290">
        <f t="shared" si="193"/>
        <v>256.69230769230774</v>
      </c>
      <c r="D312" s="290">
        <f t="shared" si="191"/>
        <v>350.92307692307679</v>
      </c>
      <c r="E312" s="290">
        <f t="shared" si="191"/>
        <v>314</v>
      </c>
      <c r="F312" s="290">
        <f t="shared" si="191"/>
        <v>251.38461538461547</v>
      </c>
      <c r="G312" s="290">
        <f t="shared" si="191"/>
        <v>284.92307692307679</v>
      </c>
      <c r="H312" s="290">
        <f t="shared" si="191"/>
        <v>315.15384615384642</v>
      </c>
      <c r="I312" s="290">
        <f t="shared" si="191"/>
        <v>324.61538461538453</v>
      </c>
      <c r="J312" s="290">
        <f t="shared" si="191"/>
        <v>293.69230769230774</v>
      </c>
      <c r="K312" s="290">
        <f t="shared" si="191"/>
        <v>290.15384615384642</v>
      </c>
      <c r="L312" s="290">
        <f t="shared" si="191"/>
        <v>302.76923076923094</v>
      </c>
      <c r="M312" s="290">
        <f t="shared" si="191"/>
        <v>274.46153846153868</v>
      </c>
      <c r="N312" s="290">
        <f t="shared" si="191"/>
        <v>294.23076923076906</v>
      </c>
      <c r="O312" s="290">
        <f t="shared" si="191"/>
        <v>329.92307692307679</v>
      </c>
      <c r="P312" s="290">
        <f t="shared" si="191"/>
        <v>320.30769230769226</v>
      </c>
      <c r="Q312" s="290">
        <f t="shared" si="191"/>
        <v>476.53846153846132</v>
      </c>
      <c r="R312" s="290">
        <f t="shared" si="191"/>
        <v>468.84615384615358</v>
      </c>
      <c r="S312" s="290">
        <f t="shared" si="191"/>
        <v>331.23076923076906</v>
      </c>
      <c r="T312" s="290">
        <f t="shared" si="191"/>
        <v>451.92307692307679</v>
      </c>
      <c r="U312" s="290">
        <f t="shared" si="191"/>
        <v>258.23076923076906</v>
      </c>
      <c r="V312" s="290">
        <f t="shared" si="191"/>
        <v>296</v>
      </c>
      <c r="W312" s="290">
        <f t="shared" si="191"/>
        <v>269.76923076923094</v>
      </c>
      <c r="X312" s="290">
        <f t="shared" si="191"/>
        <v>179.69230769230774</v>
      </c>
      <c r="Y312" s="290">
        <f t="shared" si="191"/>
        <v>308.76923076923077</v>
      </c>
      <c r="Z312" s="252">
        <f t="shared" si="192"/>
        <v>287.53846153846177</v>
      </c>
      <c r="AA312" s="252">
        <f t="shared" si="192"/>
        <v>336.92307692307696</v>
      </c>
      <c r="AB312" s="252">
        <f t="shared" si="192"/>
        <v>563.07692307692321</v>
      </c>
      <c r="AC312" s="252">
        <f t="shared" si="192"/>
        <v>345.46153846153823</v>
      </c>
      <c r="AD312" s="252">
        <f t="shared" si="192"/>
        <v>512.15384615384608</v>
      </c>
      <c r="AE312" s="252">
        <f t="shared" si="192"/>
        <v>400.92307692307674</v>
      </c>
      <c r="AF312" s="252">
        <f t="shared" si="192"/>
        <v>602.84615384615392</v>
      </c>
      <c r="AG312" s="252">
        <f t="shared" si="192"/>
        <v>574.15384615384608</v>
      </c>
      <c r="AH312" s="252">
        <f t="shared" si="192"/>
        <v>430.76923076923089</v>
      </c>
      <c r="AI312" s="252">
        <f t="shared" si="192"/>
        <v>503.84615384615392</v>
      </c>
      <c r="AJ312" s="252">
        <f t="shared" si="192"/>
        <v>515.3846153846157</v>
      </c>
      <c r="AK312" s="252">
        <f t="shared" si="192"/>
        <v>534.61538461538453</v>
      </c>
      <c r="AL312" s="252">
        <f t="shared" si="192"/>
        <v>515.3846153846157</v>
      </c>
      <c r="AM312" s="252">
        <f t="shared" si="192"/>
        <v>500</v>
      </c>
    </row>
    <row r="313" spans="1:39">
      <c r="A313" s="240" t="s">
        <v>237</v>
      </c>
      <c r="B313" s="290">
        <f t="shared" si="190"/>
        <v>199.46153846153851</v>
      </c>
      <c r="C313" s="290">
        <f t="shared" si="193"/>
        <v>262.46153846153851</v>
      </c>
      <c r="D313" s="290">
        <f t="shared" si="191"/>
        <v>358.61538461538447</v>
      </c>
      <c r="E313" s="290">
        <f t="shared" si="191"/>
        <v>308</v>
      </c>
      <c r="F313" s="290">
        <f t="shared" si="191"/>
        <v>246.92307692307702</v>
      </c>
      <c r="G313" s="290">
        <f t="shared" si="191"/>
        <v>289.61538461538447</v>
      </c>
      <c r="H313" s="290">
        <f t="shared" si="191"/>
        <v>316.76923076923106</v>
      </c>
      <c r="I313" s="290">
        <f t="shared" si="191"/>
        <v>325.07692307692298</v>
      </c>
      <c r="J313" s="290">
        <f t="shared" si="191"/>
        <v>290.46153846153851</v>
      </c>
      <c r="K313" s="290">
        <f t="shared" si="191"/>
        <v>290.76923076923106</v>
      </c>
      <c r="L313" s="290">
        <f t="shared" si="191"/>
        <v>303.84615384615404</v>
      </c>
      <c r="M313" s="290">
        <f t="shared" si="191"/>
        <v>271.30769230769255</v>
      </c>
      <c r="N313" s="290">
        <f t="shared" si="191"/>
        <v>297.15384615384596</v>
      </c>
      <c r="O313" s="290">
        <f t="shared" si="191"/>
        <v>332.61538461538447</v>
      </c>
      <c r="P313" s="290">
        <f t="shared" si="191"/>
        <v>318.53846153846149</v>
      </c>
      <c r="Q313" s="290">
        <f t="shared" si="191"/>
        <v>492.69230769230745</v>
      </c>
      <c r="R313" s="290">
        <f t="shared" si="191"/>
        <v>463.23076923076894</v>
      </c>
      <c r="S313" s="290">
        <f t="shared" si="191"/>
        <v>319.15384615384596</v>
      </c>
      <c r="T313" s="290">
        <f t="shared" si="191"/>
        <v>467.61538461538447</v>
      </c>
      <c r="U313" s="290">
        <f t="shared" si="191"/>
        <v>234.15384615384599</v>
      </c>
      <c r="V313" s="290">
        <f t="shared" si="191"/>
        <v>307</v>
      </c>
      <c r="W313" s="290">
        <f t="shared" si="191"/>
        <v>263.84615384615404</v>
      </c>
      <c r="X313" s="290">
        <f t="shared" si="191"/>
        <v>172.46153846153851</v>
      </c>
      <c r="Y313" s="290">
        <f t="shared" si="191"/>
        <v>323.84615384615387</v>
      </c>
      <c r="Z313" s="252">
        <f t="shared" si="192"/>
        <v>280.15384615384642</v>
      </c>
      <c r="AA313" s="252">
        <f t="shared" si="192"/>
        <v>345.69230769230774</v>
      </c>
      <c r="AB313" s="252">
        <f t="shared" si="192"/>
        <v>584.30769230769249</v>
      </c>
      <c r="AC313" s="252">
        <f t="shared" si="192"/>
        <v>311.84615384615358</v>
      </c>
      <c r="AD313" s="252">
        <f t="shared" si="192"/>
        <v>545.61538461538453</v>
      </c>
      <c r="AE313" s="252">
        <f t="shared" si="192"/>
        <v>373.69230769230751</v>
      </c>
      <c r="AF313" s="252">
        <f t="shared" si="192"/>
        <v>637.38461538461547</v>
      </c>
      <c r="AG313" s="252">
        <f t="shared" si="192"/>
        <v>555.61538461538453</v>
      </c>
      <c r="AH313" s="252">
        <f t="shared" si="192"/>
        <v>423.07692307692321</v>
      </c>
      <c r="AI313" s="252">
        <f t="shared" si="192"/>
        <v>515.38461538461547</v>
      </c>
      <c r="AJ313" s="252">
        <f t="shared" si="192"/>
        <v>511.53846153846183</v>
      </c>
      <c r="AK313" s="252">
        <f t="shared" si="192"/>
        <v>538.46153846153834</v>
      </c>
      <c r="AL313" s="252">
        <f t="shared" si="192"/>
        <v>511.53846153846183</v>
      </c>
      <c r="AM313" s="252">
        <f t="shared" si="192"/>
        <v>500</v>
      </c>
    </row>
    <row r="314" spans="1:39" ht="15.75" thickBot="1">
      <c r="A314" s="240" t="s">
        <v>238</v>
      </c>
      <c r="B314" s="146">
        <f>B42</f>
        <v>199</v>
      </c>
      <c r="C314" s="146">
        <f t="shared" ref="C314:AM314" si="194">C42</f>
        <v>274</v>
      </c>
      <c r="D314" s="146">
        <f t="shared" si="194"/>
        <v>374</v>
      </c>
      <c r="E314" s="146">
        <f t="shared" si="194"/>
        <v>296</v>
      </c>
      <c r="F314" s="146">
        <f t="shared" si="194"/>
        <v>238</v>
      </c>
      <c r="G314" s="146">
        <f t="shared" si="194"/>
        <v>299</v>
      </c>
      <c r="H314" s="146">
        <f t="shared" si="194"/>
        <v>320</v>
      </c>
      <c r="I314" s="146">
        <f t="shared" si="194"/>
        <v>326</v>
      </c>
      <c r="J314" s="146">
        <f t="shared" si="194"/>
        <v>284</v>
      </c>
      <c r="K314" s="146">
        <f t="shared" si="194"/>
        <v>292</v>
      </c>
      <c r="L314" s="146">
        <f t="shared" si="194"/>
        <v>306</v>
      </c>
      <c r="M314" s="146">
        <f t="shared" si="194"/>
        <v>265</v>
      </c>
      <c r="N314" s="146">
        <f t="shared" si="194"/>
        <v>303</v>
      </c>
      <c r="O314" s="146">
        <f t="shared" si="194"/>
        <v>338</v>
      </c>
      <c r="P314" s="146">
        <f t="shared" si="194"/>
        <v>315</v>
      </c>
      <c r="Q314" s="146">
        <f t="shared" si="194"/>
        <v>525</v>
      </c>
      <c r="R314" s="146">
        <f t="shared" si="194"/>
        <v>452</v>
      </c>
      <c r="S314" s="146">
        <f t="shared" si="194"/>
        <v>295</v>
      </c>
      <c r="T314" s="146">
        <f t="shared" si="194"/>
        <v>499</v>
      </c>
      <c r="U314" s="146">
        <f t="shared" si="194"/>
        <v>186</v>
      </c>
      <c r="V314" s="146">
        <f t="shared" si="194"/>
        <v>329</v>
      </c>
      <c r="W314" s="146">
        <f t="shared" si="194"/>
        <v>252</v>
      </c>
      <c r="X314" s="146">
        <f t="shared" si="194"/>
        <v>158</v>
      </c>
      <c r="Y314" s="146">
        <f t="shared" si="194"/>
        <v>354</v>
      </c>
      <c r="Z314" s="253">
        <f t="shared" si="194"/>
        <v>258</v>
      </c>
      <c r="AA314" s="253">
        <f t="shared" si="194"/>
        <v>372</v>
      </c>
      <c r="AB314" s="253">
        <f t="shared" si="194"/>
        <v>648</v>
      </c>
      <c r="AC314" s="253">
        <f t="shared" si="194"/>
        <v>211</v>
      </c>
      <c r="AD314" s="253">
        <f t="shared" si="194"/>
        <v>646</v>
      </c>
      <c r="AE314" s="253">
        <f t="shared" si="194"/>
        <v>292</v>
      </c>
      <c r="AF314" s="253">
        <f t="shared" si="194"/>
        <v>741</v>
      </c>
      <c r="AG314" s="253">
        <f t="shared" si="194"/>
        <v>500</v>
      </c>
      <c r="AH314" s="253">
        <f t="shared" si="194"/>
        <v>400</v>
      </c>
      <c r="AI314" s="253">
        <f t="shared" si="194"/>
        <v>550</v>
      </c>
      <c r="AJ314" s="253">
        <f t="shared" si="194"/>
        <v>500</v>
      </c>
      <c r="AK314" s="253">
        <f t="shared" si="194"/>
        <v>550</v>
      </c>
      <c r="AL314" s="253">
        <f t="shared" si="194"/>
        <v>500</v>
      </c>
      <c r="AM314" s="253">
        <f t="shared" si="194"/>
        <v>500</v>
      </c>
    </row>
    <row r="315" spans="1:39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  <c r="AE315" s="248"/>
      <c r="AF315" s="248"/>
      <c r="AG315" s="248"/>
      <c r="AH315" s="248"/>
      <c r="AI315" s="248"/>
      <c r="AJ315" s="248"/>
      <c r="AK315" s="248"/>
      <c r="AL315" s="248"/>
      <c r="AM315" s="248"/>
    </row>
    <row r="316" spans="1:39" ht="15.75" thickBot="1">
      <c r="A316" s="235" t="s">
        <v>270</v>
      </c>
    </row>
    <row r="317" spans="1:39" ht="15.75" thickBot="1">
      <c r="A317" s="236"/>
      <c r="B317" s="237" t="str">
        <f>B$2</f>
        <v xml:space="preserve">93/94 </v>
      </c>
      <c r="C317" s="237" t="str">
        <f t="shared" ref="C317:AM317" si="195">C$2</f>
        <v xml:space="preserve">94/95 </v>
      </c>
      <c r="D317" s="237" t="str">
        <f t="shared" si="195"/>
        <v xml:space="preserve">95/96 </v>
      </c>
      <c r="E317" s="237" t="str">
        <f t="shared" si="195"/>
        <v xml:space="preserve">96/97 </v>
      </c>
      <c r="F317" s="237" t="str">
        <f t="shared" si="195"/>
        <v xml:space="preserve">97/98 </v>
      </c>
      <c r="G317" s="237" t="str">
        <f t="shared" si="195"/>
        <v xml:space="preserve">98/99 </v>
      </c>
      <c r="H317" s="237" t="str">
        <f t="shared" si="195"/>
        <v xml:space="preserve">99/00 </v>
      </c>
      <c r="I317" s="237" t="str">
        <f t="shared" si="195"/>
        <v xml:space="preserve">00/01 </v>
      </c>
      <c r="J317" s="237" t="str">
        <f t="shared" si="195"/>
        <v xml:space="preserve">01/02 </v>
      </c>
      <c r="K317" s="237" t="str">
        <f t="shared" si="195"/>
        <v xml:space="preserve">02/03 </v>
      </c>
      <c r="L317" s="237" t="str">
        <f t="shared" si="195"/>
        <v xml:space="preserve">03/04 </v>
      </c>
      <c r="M317" s="237" t="str">
        <f t="shared" si="195"/>
        <v xml:space="preserve">04/05 </v>
      </c>
      <c r="N317" s="237" t="str">
        <f t="shared" si="195"/>
        <v xml:space="preserve">05/06 </v>
      </c>
      <c r="O317" s="237" t="str">
        <f t="shared" si="195"/>
        <v xml:space="preserve">06/07 </v>
      </c>
      <c r="P317" s="237" t="str">
        <f t="shared" si="195"/>
        <v xml:space="preserve">07/08 </v>
      </c>
      <c r="Q317" s="237" t="str">
        <f t="shared" si="195"/>
        <v xml:space="preserve">08/09 </v>
      </c>
      <c r="R317" s="237" t="str">
        <f t="shared" si="195"/>
        <v xml:space="preserve">09/10 </v>
      </c>
      <c r="S317" s="237" t="str">
        <f t="shared" si="195"/>
        <v xml:space="preserve">10/11 </v>
      </c>
      <c r="T317" s="237" t="str">
        <f t="shared" si="195"/>
        <v xml:space="preserve">11/12 </v>
      </c>
      <c r="U317" s="237" t="str">
        <f t="shared" si="195"/>
        <v xml:space="preserve">12/13 </v>
      </c>
      <c r="V317" s="237" t="str">
        <f t="shared" si="195"/>
        <v xml:space="preserve">13/14 </v>
      </c>
      <c r="W317" s="237" t="str">
        <f t="shared" si="195"/>
        <v xml:space="preserve">14/15 </v>
      </c>
      <c r="X317" s="237" t="str">
        <f t="shared" si="195"/>
        <v xml:space="preserve">15/16 </v>
      </c>
      <c r="Y317" s="237" t="str">
        <f t="shared" si="195"/>
        <v xml:space="preserve">16/17 </v>
      </c>
      <c r="Z317" s="237" t="str">
        <f t="shared" si="195"/>
        <v xml:space="preserve">17/18 </v>
      </c>
      <c r="AA317" s="237" t="str">
        <f t="shared" si="195"/>
        <v xml:space="preserve">18/19 </v>
      </c>
      <c r="AB317" s="237" t="str">
        <f t="shared" si="195"/>
        <v xml:space="preserve">19/20 </v>
      </c>
      <c r="AC317" s="237" t="str">
        <f t="shared" si="195"/>
        <v xml:space="preserve">20/21 </v>
      </c>
      <c r="AD317" s="237" t="str">
        <f t="shared" si="195"/>
        <v>21/22</v>
      </c>
      <c r="AE317" s="237" t="str">
        <f t="shared" si="195"/>
        <v>22/23</v>
      </c>
      <c r="AF317" s="237" t="str">
        <f t="shared" si="195"/>
        <v>23/24</v>
      </c>
      <c r="AG317" s="237" t="str">
        <f t="shared" si="195"/>
        <v>24/25</v>
      </c>
      <c r="AH317" s="237" t="str">
        <f t="shared" si="195"/>
        <v>25/26</v>
      </c>
      <c r="AI317" s="237" t="str">
        <f t="shared" si="195"/>
        <v>26/27</v>
      </c>
      <c r="AJ317" s="237" t="str">
        <f t="shared" si="195"/>
        <v>27/28</v>
      </c>
      <c r="AK317" s="237" t="str">
        <f t="shared" si="195"/>
        <v>28/29</v>
      </c>
      <c r="AL317" s="237" t="str">
        <f t="shared" si="195"/>
        <v>29/30</v>
      </c>
      <c r="AM317" s="237" t="str">
        <f t="shared" si="195"/>
        <v>30/31</v>
      </c>
    </row>
    <row r="318" spans="1:39">
      <c r="A318" s="240" t="s">
        <v>239</v>
      </c>
    </row>
    <row r="319" spans="1:39">
      <c r="A319" s="240" t="s">
        <v>240</v>
      </c>
    </row>
    <row r="320" spans="1:39">
      <c r="A320" s="240" t="s">
        <v>241</v>
      </c>
    </row>
    <row r="321" spans="1:39">
      <c r="A321" s="240" t="s">
        <v>231</v>
      </c>
    </row>
    <row r="322" spans="1:39">
      <c r="A322" s="240" t="s">
        <v>232</v>
      </c>
    </row>
    <row r="323" spans="1:39">
      <c r="A323" s="240" t="s">
        <v>233</v>
      </c>
    </row>
    <row r="324" spans="1:39">
      <c r="A324" s="240" t="s">
        <v>234</v>
      </c>
    </row>
    <row r="325" spans="1:39">
      <c r="A325" s="240" t="s">
        <v>46</v>
      </c>
    </row>
    <row r="326" spans="1:39">
      <c r="A326" s="240" t="s">
        <v>235</v>
      </c>
    </row>
    <row r="327" spans="1:39">
      <c r="A327" s="240" t="s">
        <v>236</v>
      </c>
    </row>
    <row r="328" spans="1:39">
      <c r="A328" s="240" t="s">
        <v>237</v>
      </c>
    </row>
    <row r="329" spans="1:39">
      <c r="A329" s="240" t="s">
        <v>238</v>
      </c>
    </row>
    <row r="330" spans="1:39" ht="15.75" thickBot="1">
      <c r="A330" s="240" t="s">
        <v>255</v>
      </c>
    </row>
    <row r="331" spans="1:39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  <c r="AD331" s="248"/>
      <c r="AE331" s="248"/>
      <c r="AF331" s="248"/>
      <c r="AG331" s="248"/>
      <c r="AH331" s="248"/>
      <c r="AI331" s="248"/>
      <c r="AJ331" s="248"/>
      <c r="AK331" s="248"/>
      <c r="AL331" s="248"/>
      <c r="AM331" s="248"/>
    </row>
  </sheetData>
  <hyperlinks>
    <hyperlink ref="AO3" r:id="rId1" xr:uid="{2F278EA8-9E2F-492D-9758-FBBD1A1C65EE}"/>
    <hyperlink ref="AO4" r:id="rId2" xr:uid="{FBC0D14D-D3EE-4A03-A492-74B57D7F75F7}"/>
  </hyperlinks>
  <pageMargins left="0.25" right="0.25" top="0.75" bottom="0.75" header="0.3" footer="0.3"/>
  <pageSetup scale="99" orientation="portrait" r:id="rId3"/>
  <headerFooter>
    <oddHeader>&amp;L&amp;G</oddHeader>
    <oddFooter>&amp;L&amp;D&amp;C&amp;P</oddFooter>
  </headerFooter>
  <drawing r:id="rId4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E80F-D9AC-4BAF-886E-1A3496302F46}">
  <sheetPr>
    <pageSetUpPr fitToPage="1"/>
  </sheetPr>
  <dimension ref="A1:CA362"/>
  <sheetViews>
    <sheetView zoomScale="85" zoomScaleNormal="85" workbookViewId="0">
      <pane xSplit="1" ySplit="2" topLeftCell="V89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2" customWidth="1"/>
    <col min="2" max="28" width="8.85546875" customWidth="1"/>
    <col min="30" max="36" width="8.85546875" customWidth="1"/>
    <col min="37" max="37" width="11" style="226" customWidth="1"/>
    <col min="38" max="38" width="9.42578125" style="226" bestFit="1" customWidth="1"/>
    <col min="39" max="39" width="10.42578125" style="226" bestFit="1" customWidth="1"/>
    <col min="40" max="40" width="8.85546875" style="226" customWidth="1"/>
    <col min="41" max="42" width="8.85546875" customWidth="1"/>
    <col min="43" max="43" width="11" customWidth="1"/>
    <col min="44" max="44" width="8.85546875" customWidth="1"/>
    <col min="45" max="45" width="9.140625" customWidth="1"/>
    <col min="46" max="47" width="8.85546875" customWidth="1"/>
    <col min="48" max="48" width="10" customWidth="1"/>
    <col min="49" max="63" width="8.85546875" customWidth="1"/>
    <col min="68" max="91" width="8.85546875" customWidth="1"/>
    <col min="96" max="119" width="0" hidden="1" customWidth="1"/>
    <col min="124" max="147" width="0" hidden="1" customWidth="1"/>
  </cols>
  <sheetData>
    <row r="1" spans="1:79" ht="18.75" thickBot="1">
      <c r="A1" s="199" t="s">
        <v>322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O1" t="s">
        <v>207</v>
      </c>
      <c r="AQ1" s="300"/>
      <c r="AR1" s="301" t="s">
        <v>323</v>
      </c>
      <c r="AS1" s="300"/>
      <c r="AT1" s="300"/>
      <c r="AU1" s="300"/>
      <c r="AV1" s="302" t="s">
        <v>324</v>
      </c>
      <c r="AX1" s="300"/>
      <c r="AY1" s="303" t="s">
        <v>325</v>
      </c>
      <c r="BA1" s="303" t="s">
        <v>326</v>
      </c>
      <c r="BB1" s="300"/>
      <c r="BC1" s="300"/>
      <c r="BD1" s="300"/>
    </row>
    <row r="2" spans="1:79" ht="15.75" thickBot="1">
      <c r="A2" s="304"/>
      <c r="B2" s="305" t="s">
        <v>272</v>
      </c>
      <c r="C2" s="305" t="s">
        <v>273</v>
      </c>
      <c r="D2" s="305" t="s">
        <v>274</v>
      </c>
      <c r="E2" s="305" t="s">
        <v>275</v>
      </c>
      <c r="F2" s="305" t="s">
        <v>276</v>
      </c>
      <c r="G2" s="305" t="s">
        <v>277</v>
      </c>
      <c r="H2" s="305" t="s">
        <v>278</v>
      </c>
      <c r="I2" s="305" t="s">
        <v>279</v>
      </c>
      <c r="J2" s="305" t="s">
        <v>280</v>
      </c>
      <c r="K2" s="305" t="s">
        <v>281</v>
      </c>
      <c r="L2" s="305" t="s">
        <v>282</v>
      </c>
      <c r="M2" s="305" t="s">
        <v>283</v>
      </c>
      <c r="N2" s="305" t="s">
        <v>284</v>
      </c>
      <c r="O2" s="305" t="s">
        <v>285</v>
      </c>
      <c r="P2" s="305" t="s">
        <v>286</v>
      </c>
      <c r="Q2" s="305" t="s">
        <v>287</v>
      </c>
      <c r="R2" s="305" t="s">
        <v>288</v>
      </c>
      <c r="S2" s="305" t="s">
        <v>289</v>
      </c>
      <c r="T2" s="305" t="s">
        <v>290</v>
      </c>
      <c r="U2" s="305" t="s">
        <v>291</v>
      </c>
      <c r="V2" s="305" t="s">
        <v>292</v>
      </c>
      <c r="W2" s="305" t="s">
        <v>293</v>
      </c>
      <c r="X2" s="305" t="s">
        <v>294</v>
      </c>
      <c r="Y2" s="305" t="s">
        <v>295</v>
      </c>
      <c r="Z2" s="305" t="s">
        <v>296</v>
      </c>
      <c r="AA2" s="305" t="s">
        <v>297</v>
      </c>
      <c r="AB2" s="305" t="s">
        <v>298</v>
      </c>
      <c r="AC2" s="305" t="s">
        <v>299</v>
      </c>
      <c r="AD2" s="305" t="s">
        <v>300</v>
      </c>
      <c r="AE2" s="305" t="s">
        <v>301</v>
      </c>
      <c r="AF2" s="305" t="s">
        <v>302</v>
      </c>
      <c r="AG2" s="305" t="s">
        <v>303</v>
      </c>
      <c r="AH2" s="306"/>
      <c r="AK2" s="201" t="s">
        <v>327</v>
      </c>
      <c r="AL2" s="201" t="s">
        <v>328</v>
      </c>
      <c r="AM2" s="201" t="s">
        <v>329</v>
      </c>
      <c r="AN2" s="201" t="s">
        <v>209</v>
      </c>
      <c r="AO2" s="205">
        <v>44656</v>
      </c>
      <c r="AP2" s="205"/>
      <c r="AQ2" s="307">
        <v>44547</v>
      </c>
      <c r="AR2" s="308" t="s">
        <v>330</v>
      </c>
      <c r="AS2" s="302"/>
      <c r="AU2" s="302"/>
      <c r="AY2" s="302"/>
      <c r="BA2" s="302"/>
      <c r="BB2" s="302"/>
      <c r="BC2" s="302"/>
      <c r="BD2" s="302"/>
    </row>
    <row r="3" spans="1:79" ht="17.25" thickBot="1">
      <c r="A3" s="309" t="s">
        <v>331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116"/>
      <c r="AE3" s="116"/>
      <c r="AF3" s="116"/>
      <c r="AG3" s="116"/>
      <c r="AH3" s="116"/>
      <c r="AQ3" s="265"/>
      <c r="AR3" s="311">
        <v>1990</v>
      </c>
      <c r="AS3" s="311">
        <v>1991</v>
      </c>
      <c r="AT3" s="311">
        <v>1992</v>
      </c>
      <c r="AU3" s="311">
        <v>1993</v>
      </c>
      <c r="AV3" s="311">
        <v>1994</v>
      </c>
      <c r="AW3" s="311">
        <v>1995</v>
      </c>
      <c r="AX3" s="311">
        <v>1996</v>
      </c>
      <c r="AY3" s="311">
        <v>1997</v>
      </c>
      <c r="AZ3" s="311">
        <v>1998</v>
      </c>
      <c r="BA3" s="311">
        <v>1999</v>
      </c>
      <c r="BB3" s="311">
        <v>2000</v>
      </c>
      <c r="BC3" s="311">
        <v>2001</v>
      </c>
      <c r="BD3" s="311">
        <v>2002</v>
      </c>
      <c r="BE3" s="311">
        <v>2003</v>
      </c>
      <c r="BF3" s="311">
        <v>2004</v>
      </c>
      <c r="BG3" s="311">
        <v>2005</v>
      </c>
      <c r="BH3" s="311">
        <v>2006</v>
      </c>
      <c r="BI3" s="311">
        <v>2007</v>
      </c>
      <c r="BJ3" s="311">
        <v>2008</v>
      </c>
      <c r="BK3" s="311">
        <v>2009</v>
      </c>
      <c r="BL3" s="311">
        <v>2010</v>
      </c>
      <c r="BM3" s="311">
        <v>2011</v>
      </c>
      <c r="BN3" s="311">
        <v>2012</v>
      </c>
      <c r="BO3" s="311">
        <v>2013</v>
      </c>
      <c r="BP3" s="311">
        <v>2014</v>
      </c>
      <c r="BQ3" s="311">
        <v>2015</v>
      </c>
      <c r="BR3" s="311">
        <v>2016</v>
      </c>
      <c r="BS3" s="311">
        <v>2017</v>
      </c>
      <c r="BT3" s="311">
        <v>2018</v>
      </c>
      <c r="BU3" s="311">
        <v>2019</v>
      </c>
      <c r="BV3" s="311">
        <v>2020</v>
      </c>
      <c r="BW3" s="311">
        <v>2021</v>
      </c>
      <c r="BX3" s="311">
        <v>2022</v>
      </c>
      <c r="BY3" s="311">
        <v>2023</v>
      </c>
      <c r="BZ3" s="311">
        <v>2024</v>
      </c>
      <c r="CA3" s="311">
        <v>2025</v>
      </c>
    </row>
    <row r="4" spans="1:79" ht="15.75">
      <c r="A4" s="309" t="s">
        <v>213</v>
      </c>
      <c r="B4" s="312">
        <f t="shared" ref="B4:Q5" si="0">AU4</f>
        <v>1637</v>
      </c>
      <c r="C4" s="312">
        <f t="shared" si="0"/>
        <v>1784</v>
      </c>
      <c r="D4" s="312">
        <f t="shared" si="0"/>
        <v>2020</v>
      </c>
      <c r="E4" s="312">
        <f t="shared" si="0"/>
        <v>2107</v>
      </c>
      <c r="F4" s="312">
        <f t="shared" si="0"/>
        <v>2065</v>
      </c>
      <c r="G4" s="312">
        <f t="shared" si="0"/>
        <v>2531</v>
      </c>
      <c r="H4" s="312">
        <f t="shared" si="0"/>
        <v>2889</v>
      </c>
      <c r="I4" s="312">
        <f t="shared" si="0"/>
        <v>2943</v>
      </c>
      <c r="J4" s="312">
        <f t="shared" si="0"/>
        <v>2502</v>
      </c>
      <c r="K4" s="312">
        <f t="shared" si="0"/>
        <v>2834</v>
      </c>
      <c r="L4" s="312">
        <f t="shared" si="0"/>
        <v>4001</v>
      </c>
      <c r="M4" s="312">
        <f t="shared" si="0"/>
        <v>3521</v>
      </c>
      <c r="N4" s="312">
        <f t="shared" si="0"/>
        <v>3743</v>
      </c>
      <c r="O4" s="312">
        <f t="shared" si="0"/>
        <v>3964</v>
      </c>
      <c r="P4" s="312">
        <f t="shared" si="0"/>
        <v>3604</v>
      </c>
      <c r="Q4" s="312">
        <f t="shared" si="0"/>
        <v>4306</v>
      </c>
      <c r="R4" s="312">
        <f t="shared" ref="R4:AC5" si="1">BK4</f>
        <v>4232</v>
      </c>
      <c r="S4" s="312">
        <f t="shared" si="1"/>
        <v>4572</v>
      </c>
      <c r="T4" s="312">
        <f t="shared" si="1"/>
        <v>4739</v>
      </c>
      <c r="U4" s="312">
        <f t="shared" si="1"/>
        <v>5194</v>
      </c>
      <c r="V4" s="312">
        <f t="shared" si="1"/>
        <v>5051</v>
      </c>
      <c r="W4" s="312">
        <f t="shared" si="1"/>
        <v>5257</v>
      </c>
      <c r="X4" s="313">
        <f t="shared" si="1"/>
        <v>5105</v>
      </c>
      <c r="Y4" s="313">
        <f t="shared" si="1"/>
        <v>6073</v>
      </c>
      <c r="Z4" s="313">
        <f t="shared" si="1"/>
        <v>6034</v>
      </c>
      <c r="AA4" s="313">
        <f t="shared" si="1"/>
        <v>6117</v>
      </c>
      <c r="AB4" s="313">
        <f t="shared" si="1"/>
        <v>5928</v>
      </c>
      <c r="AC4" s="313">
        <f t="shared" si="1"/>
        <v>6457</v>
      </c>
      <c r="AD4" s="313">
        <f>AD5/AVERAGE(L6:U6)</f>
        <v>6813.4456991754951</v>
      </c>
      <c r="AE4" s="313">
        <f>AE5/0.995</f>
        <v>5723.6180904522616</v>
      </c>
      <c r="AF4" s="313">
        <f>BY4</f>
        <v>6050</v>
      </c>
      <c r="AG4" s="314">
        <f>BZ4</f>
        <v>6300</v>
      </c>
      <c r="AH4" s="314">
        <f>CA4</f>
        <v>6200</v>
      </c>
      <c r="AI4" s="314">
        <f>BZ4</f>
        <v>6300</v>
      </c>
      <c r="AJ4" s="314"/>
      <c r="AM4" s="201"/>
      <c r="AN4" s="201"/>
      <c r="AQ4" s="315" t="s">
        <v>213</v>
      </c>
      <c r="AR4" s="146">
        <v>1636</v>
      </c>
      <c r="AS4" s="146">
        <v>1601</v>
      </c>
      <c r="AT4" s="146">
        <v>1641</v>
      </c>
      <c r="AU4" s="146">
        <v>1637</v>
      </c>
      <c r="AV4" s="146">
        <v>1784</v>
      </c>
      <c r="AW4" s="146">
        <v>2020</v>
      </c>
      <c r="AX4" s="146">
        <v>2107</v>
      </c>
      <c r="AY4" s="146">
        <v>2065</v>
      </c>
      <c r="AZ4" s="146">
        <v>2531</v>
      </c>
      <c r="BA4" s="146">
        <v>2889</v>
      </c>
      <c r="BB4" s="146">
        <v>2943</v>
      </c>
      <c r="BC4" s="146">
        <v>2502</v>
      </c>
      <c r="BD4" s="146">
        <v>2834</v>
      </c>
      <c r="BE4" s="146">
        <v>4001</v>
      </c>
      <c r="BF4" s="146">
        <v>3521</v>
      </c>
      <c r="BG4" s="146">
        <v>3743</v>
      </c>
      <c r="BH4" s="146">
        <v>3964</v>
      </c>
      <c r="BI4" s="146">
        <v>3604</v>
      </c>
      <c r="BJ4" s="146">
        <v>4306</v>
      </c>
      <c r="BK4" s="146">
        <v>4232</v>
      </c>
      <c r="BL4" s="146">
        <v>4572</v>
      </c>
      <c r="BM4" s="146">
        <v>4739</v>
      </c>
      <c r="BN4" s="146">
        <v>5194</v>
      </c>
      <c r="BO4" s="146">
        <v>5051</v>
      </c>
      <c r="BP4" s="146">
        <v>5257</v>
      </c>
      <c r="BQ4" s="146">
        <v>5105</v>
      </c>
      <c r="BR4" s="146">
        <v>6073</v>
      </c>
      <c r="BS4" s="146">
        <v>6034</v>
      </c>
      <c r="BT4" s="316">
        <v>6117</v>
      </c>
      <c r="BU4" s="316">
        <v>5928</v>
      </c>
      <c r="BV4" s="316">
        <v>6457</v>
      </c>
      <c r="BW4" s="316">
        <f>AD4</f>
        <v>6813.4456991754951</v>
      </c>
      <c r="BX4" s="316">
        <f>AE4</f>
        <v>5723.6180904522616</v>
      </c>
      <c r="BY4" s="317">
        <f>MROUND(FORECAST(BY3,AW4:BX4,AW3:BX3),50)-750</f>
        <v>6050</v>
      </c>
      <c r="BZ4" s="253">
        <f>MROUND(FORECAST(BZ3,AX4:BY4,AX3:BY3),50)-550</f>
        <v>6300</v>
      </c>
      <c r="CA4" s="253">
        <f>MROUND(FORECAST(CA3,AY4:BZ4,AY3:BZ3),50)-750</f>
        <v>6200</v>
      </c>
    </row>
    <row r="5" spans="1:79" ht="15.75">
      <c r="A5" s="309" t="s">
        <v>2</v>
      </c>
      <c r="B5" s="312">
        <f t="shared" si="0"/>
        <v>1633.8582677165355</v>
      </c>
      <c r="C5" s="312">
        <f t="shared" si="0"/>
        <v>1724.1758241758243</v>
      </c>
      <c r="D5" s="312">
        <f t="shared" si="0"/>
        <v>2014.0845070422536</v>
      </c>
      <c r="E5" s="312">
        <f t="shared" si="0"/>
        <v>2021.9047619047619</v>
      </c>
      <c r="F5" s="312">
        <f t="shared" si="0"/>
        <v>2006.9565217391305</v>
      </c>
      <c r="G5" s="312">
        <f t="shared" si="0"/>
        <v>2436.5591397849462</v>
      </c>
      <c r="H5" s="312">
        <f t="shared" si="0"/>
        <v>2794</v>
      </c>
      <c r="I5" s="312">
        <f t="shared" si="0"/>
        <v>2833.6065573770493</v>
      </c>
      <c r="J5" s="312">
        <f t="shared" si="0"/>
        <v>2394.6808510638298</v>
      </c>
      <c r="K5" s="312">
        <f t="shared" si="0"/>
        <v>2725.8333333333335</v>
      </c>
      <c r="L5" s="312">
        <f t="shared" si="0"/>
        <v>3798.2142857142862</v>
      </c>
      <c r="M5" s="312">
        <f t="shared" si="0"/>
        <v>3426.9662921348313</v>
      </c>
      <c r="N5" s="312">
        <f t="shared" si="0"/>
        <v>3676.5625</v>
      </c>
      <c r="O5" s="312">
        <f t="shared" si="0"/>
        <v>3914.7058823529414</v>
      </c>
      <c r="P5" s="312">
        <f t="shared" si="0"/>
        <v>3421.311475409836</v>
      </c>
      <c r="Q5" s="312">
        <f t="shared" si="0"/>
        <v>4265.3594771241833</v>
      </c>
      <c r="R5" s="312">
        <f t="shared" si="1"/>
        <v>4186.8421052631575</v>
      </c>
      <c r="S5" s="312">
        <f t="shared" si="1"/>
        <v>4514.666666666667</v>
      </c>
      <c r="T5" s="312">
        <f t="shared" si="1"/>
        <v>4712.5</v>
      </c>
      <c r="U5" s="312">
        <f t="shared" si="1"/>
        <v>5083.030303030303</v>
      </c>
      <c r="V5" s="312">
        <f t="shared" si="1"/>
        <v>5092.6267281105993</v>
      </c>
      <c r="W5" s="312">
        <f t="shared" si="1"/>
        <v>5223.7113402061859</v>
      </c>
      <c r="X5" s="313">
        <f t="shared" si="1"/>
        <v>5176.3888888888887</v>
      </c>
      <c r="Y5" s="313">
        <f t="shared" si="1"/>
        <v>6083.4821428571431</v>
      </c>
      <c r="Z5" s="313">
        <f t="shared" si="1"/>
        <v>6057.4257425742571</v>
      </c>
      <c r="AA5" s="318">
        <f t="shared" si="1"/>
        <v>6158.6956521739139</v>
      </c>
      <c r="AB5" s="318">
        <f t="shared" si="1"/>
        <v>6446.875</v>
      </c>
      <c r="AC5" s="318">
        <f t="shared" si="1"/>
        <v>6985.1485148514848</v>
      </c>
      <c r="AD5" s="318">
        <v>6665</v>
      </c>
      <c r="AE5" s="318">
        <f>4695+1000</f>
        <v>5695</v>
      </c>
      <c r="AF5" s="318">
        <f>BY5</f>
        <v>6050</v>
      </c>
      <c r="AG5" s="319">
        <f>BZ5</f>
        <v>6325</v>
      </c>
      <c r="AH5" s="319"/>
      <c r="AK5" s="212">
        <v>6400</v>
      </c>
      <c r="AL5" s="212">
        <v>7000</v>
      </c>
      <c r="AM5" s="212">
        <v>7100</v>
      </c>
      <c r="AN5" s="225"/>
      <c r="AQ5" s="315" t="s">
        <v>332</v>
      </c>
      <c r="AR5" s="146">
        <f>AR8/AR6</f>
        <v>1627.2151898734176</v>
      </c>
      <c r="AS5" s="146">
        <f>AS8/AS6</f>
        <v>1582.8767123287671</v>
      </c>
      <c r="AT5" s="146">
        <f t="shared" ref="AT5:BV5" si="2">AT8/AT6</f>
        <v>1636.1538461538462</v>
      </c>
      <c r="AU5" s="146">
        <f t="shared" si="2"/>
        <v>1633.8582677165355</v>
      </c>
      <c r="AV5" s="146">
        <f t="shared" si="2"/>
        <v>1724.1758241758243</v>
      </c>
      <c r="AW5" s="146">
        <f t="shared" si="2"/>
        <v>2014.0845070422536</v>
      </c>
      <c r="AX5" s="146">
        <f t="shared" si="2"/>
        <v>2021.9047619047619</v>
      </c>
      <c r="AY5" s="146">
        <f t="shared" si="2"/>
        <v>2006.9565217391305</v>
      </c>
      <c r="AZ5" s="146">
        <f t="shared" si="2"/>
        <v>2436.5591397849462</v>
      </c>
      <c r="BA5" s="146">
        <f t="shared" si="2"/>
        <v>2794</v>
      </c>
      <c r="BB5" s="146">
        <f t="shared" si="2"/>
        <v>2833.6065573770493</v>
      </c>
      <c r="BC5" s="146">
        <f t="shared" si="2"/>
        <v>2394.6808510638298</v>
      </c>
      <c r="BD5" s="146">
        <f t="shared" si="2"/>
        <v>2725.8333333333335</v>
      </c>
      <c r="BE5" s="146">
        <f t="shared" si="2"/>
        <v>3798.2142857142862</v>
      </c>
      <c r="BF5" s="146">
        <f t="shared" si="2"/>
        <v>3426.9662921348313</v>
      </c>
      <c r="BG5" s="146">
        <f t="shared" si="2"/>
        <v>3676.5625</v>
      </c>
      <c r="BH5" s="146">
        <f t="shared" si="2"/>
        <v>3914.7058823529414</v>
      </c>
      <c r="BI5" s="146">
        <f t="shared" si="2"/>
        <v>3421.311475409836</v>
      </c>
      <c r="BJ5" s="146">
        <f t="shared" si="2"/>
        <v>4265.3594771241833</v>
      </c>
      <c r="BK5" s="146">
        <f t="shared" si="2"/>
        <v>4186.8421052631575</v>
      </c>
      <c r="BL5" s="146">
        <f t="shared" si="2"/>
        <v>4514.666666666667</v>
      </c>
      <c r="BM5" s="146">
        <f t="shared" si="2"/>
        <v>4712.5</v>
      </c>
      <c r="BN5" s="146">
        <f t="shared" si="2"/>
        <v>5083.030303030303</v>
      </c>
      <c r="BO5" s="146">
        <f t="shared" si="2"/>
        <v>5092.6267281105993</v>
      </c>
      <c r="BP5" s="146">
        <f t="shared" si="2"/>
        <v>5223.7113402061859</v>
      </c>
      <c r="BQ5" s="146">
        <f t="shared" si="2"/>
        <v>5176.3888888888887</v>
      </c>
      <c r="BR5" s="146">
        <f t="shared" si="2"/>
        <v>6083.4821428571431</v>
      </c>
      <c r="BS5" s="146">
        <f t="shared" si="2"/>
        <v>6057.4257425742571</v>
      </c>
      <c r="BT5" s="316">
        <f t="shared" si="2"/>
        <v>6158.6956521739139</v>
      </c>
      <c r="BU5" s="316">
        <f>BU8/BU6</f>
        <v>6446.875</v>
      </c>
      <c r="BV5" s="316">
        <f t="shared" si="2"/>
        <v>6985.1485148514848</v>
      </c>
      <c r="BW5" s="316">
        <f>7100</f>
        <v>7100</v>
      </c>
      <c r="BX5" s="317">
        <v>4695.6000000000004</v>
      </c>
      <c r="BY5" s="317">
        <f t="shared" ref="BY5:BZ5" si="3">(MROUND(SUM(BI5:BX5)/SUM(BI4:BX4)*BY4,25))</f>
        <v>6050</v>
      </c>
      <c r="BZ5" s="146">
        <f t="shared" si="3"/>
        <v>6325</v>
      </c>
      <c r="CA5" s="146">
        <f>(MROUND(SUM(BK5:BZ5)/SUM(BK4:BZ4)*CA4,25))</f>
        <v>6225</v>
      </c>
    </row>
    <row r="6" spans="1:79" s="219" customFormat="1" ht="15.75">
      <c r="A6" s="320" t="s">
        <v>214</v>
      </c>
      <c r="B6" s="321">
        <f>B5/B4</f>
        <v>0.99808079884944134</v>
      </c>
      <c r="C6" s="321">
        <f t="shared" ref="C6:AG6" si="4">C5/C4</f>
        <v>0.96646626915685219</v>
      </c>
      <c r="D6" s="321">
        <f t="shared" si="4"/>
        <v>0.99707153813972949</v>
      </c>
      <c r="E6" s="321">
        <f t="shared" si="4"/>
        <v>0.95961308111284382</v>
      </c>
      <c r="F6" s="321">
        <f t="shared" si="4"/>
        <v>0.97189177808190341</v>
      </c>
      <c r="G6" s="321">
        <f t="shared" si="4"/>
        <v>0.96268634523308816</v>
      </c>
      <c r="H6" s="321">
        <f t="shared" si="4"/>
        <v>0.96711664935964003</v>
      </c>
      <c r="I6" s="321">
        <f t="shared" si="4"/>
        <v>0.96282927535747509</v>
      </c>
      <c r="J6" s="321">
        <f t="shared" si="4"/>
        <v>0.95710665510145077</v>
      </c>
      <c r="K6" s="321">
        <f t="shared" si="4"/>
        <v>0.96183250999764769</v>
      </c>
      <c r="L6" s="321">
        <f t="shared" si="4"/>
        <v>0.94931624236797951</v>
      </c>
      <c r="M6" s="321">
        <f t="shared" si="4"/>
        <v>0.97329346553105123</v>
      </c>
      <c r="N6" s="321">
        <f t="shared" si="4"/>
        <v>0.98225020037403155</v>
      </c>
      <c r="O6" s="321">
        <f t="shared" si="4"/>
        <v>0.98756455155220524</v>
      </c>
      <c r="P6" s="321">
        <f t="shared" si="4"/>
        <v>0.94930951038008771</v>
      </c>
      <c r="Q6" s="321">
        <f t="shared" si="4"/>
        <v>0.99056188507296405</v>
      </c>
      <c r="R6" s="321">
        <f t="shared" si="4"/>
        <v>0.989329419958213</v>
      </c>
      <c r="S6" s="321">
        <f t="shared" si="4"/>
        <v>0.98745990084572766</v>
      </c>
      <c r="T6" s="321">
        <f t="shared" si="4"/>
        <v>0.99440810297531124</v>
      </c>
      <c r="U6" s="321">
        <f t="shared" si="4"/>
        <v>0.97863502176170636</v>
      </c>
      <c r="V6" s="321">
        <f t="shared" si="4"/>
        <v>1.0082412845200157</v>
      </c>
      <c r="W6" s="321">
        <f t="shared" si="4"/>
        <v>0.99366774590188056</v>
      </c>
      <c r="X6" s="322">
        <f t="shared" si="4"/>
        <v>1.0139841114375885</v>
      </c>
      <c r="Y6" s="322">
        <f t="shared" si="4"/>
        <v>1.00172602385265</v>
      </c>
      <c r="Z6" s="322">
        <f t="shared" si="4"/>
        <v>1.0038822907812823</v>
      </c>
      <c r="AA6" s="322">
        <f t="shared" si="4"/>
        <v>1.0068163564122796</v>
      </c>
      <c r="AB6" s="322">
        <f t="shared" si="4"/>
        <v>1.0875295209176787</v>
      </c>
      <c r="AC6" s="322">
        <f t="shared" si="4"/>
        <v>1.08179472120977</v>
      </c>
      <c r="AD6" s="322">
        <f t="shared" si="4"/>
        <v>0.97821283008192772</v>
      </c>
      <c r="AE6" s="322">
        <f t="shared" si="4"/>
        <v>0.995</v>
      </c>
      <c r="AF6" s="322">
        <f t="shared" si="4"/>
        <v>1</v>
      </c>
      <c r="AG6" s="323">
        <f t="shared" si="4"/>
        <v>1.003968253968254</v>
      </c>
      <c r="AH6" s="323"/>
      <c r="AK6" s="218"/>
      <c r="AL6" s="218"/>
      <c r="AM6" s="201" t="s">
        <v>218</v>
      </c>
      <c r="AN6" s="201"/>
      <c r="AQ6" s="324" t="s">
        <v>3</v>
      </c>
      <c r="AR6" s="325">
        <v>1.58</v>
      </c>
      <c r="AS6" s="325">
        <v>1.46</v>
      </c>
      <c r="AT6" s="325">
        <v>1.3</v>
      </c>
      <c r="AU6" s="325">
        <v>1.27</v>
      </c>
      <c r="AV6" s="325">
        <v>0.90999999999999992</v>
      </c>
      <c r="AW6" s="325">
        <v>1.42</v>
      </c>
      <c r="AX6" s="325">
        <v>1.05</v>
      </c>
      <c r="AY6" s="325">
        <v>1.1499999999999999</v>
      </c>
      <c r="AZ6" s="325">
        <v>0.93</v>
      </c>
      <c r="BA6" s="325">
        <v>1</v>
      </c>
      <c r="BB6" s="325">
        <v>1.22</v>
      </c>
      <c r="BC6" s="325">
        <v>0.94000000000000006</v>
      </c>
      <c r="BD6" s="325">
        <v>1.2</v>
      </c>
      <c r="BE6" s="325">
        <v>1.1199999999999999</v>
      </c>
      <c r="BF6" s="325">
        <v>0.89</v>
      </c>
      <c r="BG6" s="325">
        <v>1.28</v>
      </c>
      <c r="BH6" s="325">
        <v>1.3599999999999999</v>
      </c>
      <c r="BI6" s="325">
        <v>1.22</v>
      </c>
      <c r="BJ6" s="325">
        <v>1.53</v>
      </c>
      <c r="BK6" s="325">
        <v>1.52</v>
      </c>
      <c r="BL6" s="325">
        <v>1.5</v>
      </c>
      <c r="BM6" s="325">
        <v>1.8399999999999999</v>
      </c>
      <c r="BN6" s="325">
        <v>1.65</v>
      </c>
      <c r="BO6" s="325">
        <v>2.17</v>
      </c>
      <c r="BP6" s="325">
        <v>1.94</v>
      </c>
      <c r="BQ6" s="325">
        <v>2.16</v>
      </c>
      <c r="BR6" s="325">
        <v>2.2399999999999998</v>
      </c>
      <c r="BS6" s="325">
        <v>2.02</v>
      </c>
      <c r="BT6" s="326">
        <v>2.2999999999999998</v>
      </c>
      <c r="BU6" s="326">
        <v>2.56</v>
      </c>
      <c r="BV6" s="326">
        <v>2.02</v>
      </c>
      <c r="BW6" s="326">
        <f>BW8/BW5</f>
        <v>2.464788732394366</v>
      </c>
      <c r="BX6" s="326">
        <f>BX8/BX5</f>
        <v>2.5981770167816678</v>
      </c>
      <c r="BY6" s="326">
        <f>BY8/BY5</f>
        <v>2.3966942148760331</v>
      </c>
      <c r="BZ6" s="327">
        <f>FORECAST(BZ3,AX6:BY6,AX3:BY3)</f>
        <v>2.5785406735822818</v>
      </c>
      <c r="CA6" s="327">
        <f>FORECAST(CA3,AY6:BZ6,AY3:BZ3)</f>
        <v>2.6630174367602706</v>
      </c>
    </row>
    <row r="7" spans="1:79" ht="15.75">
      <c r="A7" s="309" t="s">
        <v>215</v>
      </c>
      <c r="B7" s="328">
        <f t="shared" ref="B7:AF7" si="5">B9/B5</f>
        <v>1.27</v>
      </c>
      <c r="C7" s="328">
        <f t="shared" si="5"/>
        <v>0.90999999999999992</v>
      </c>
      <c r="D7" s="328">
        <f t="shared" si="5"/>
        <v>1.42</v>
      </c>
      <c r="E7" s="328">
        <f t="shared" si="5"/>
        <v>1.05</v>
      </c>
      <c r="F7" s="328">
        <f t="shared" si="5"/>
        <v>1.1499999999999999</v>
      </c>
      <c r="G7" s="328">
        <f t="shared" si="5"/>
        <v>0.93</v>
      </c>
      <c r="H7" s="328">
        <f t="shared" si="5"/>
        <v>1</v>
      </c>
      <c r="I7" s="328">
        <f t="shared" si="5"/>
        <v>1.22</v>
      </c>
      <c r="J7" s="328">
        <f t="shared" si="5"/>
        <v>0.94000000000000006</v>
      </c>
      <c r="K7" s="328">
        <f t="shared" si="5"/>
        <v>1.2</v>
      </c>
      <c r="L7" s="328">
        <f t="shared" si="5"/>
        <v>1.1199999999999999</v>
      </c>
      <c r="M7" s="328">
        <f t="shared" si="5"/>
        <v>0.89</v>
      </c>
      <c r="N7" s="328">
        <f t="shared" si="5"/>
        <v>1.28</v>
      </c>
      <c r="O7" s="328">
        <f t="shared" si="5"/>
        <v>1.3599999999999999</v>
      </c>
      <c r="P7" s="328">
        <f t="shared" si="5"/>
        <v>1.22</v>
      </c>
      <c r="Q7" s="328">
        <f t="shared" si="5"/>
        <v>1.5299999999999998</v>
      </c>
      <c r="R7" s="328">
        <f t="shared" si="5"/>
        <v>1.5200000000000002</v>
      </c>
      <c r="S7" s="328">
        <f t="shared" si="5"/>
        <v>1.5</v>
      </c>
      <c r="T7" s="328">
        <f t="shared" si="5"/>
        <v>1.84</v>
      </c>
      <c r="U7" s="328">
        <f t="shared" si="5"/>
        <v>1.65</v>
      </c>
      <c r="V7" s="328">
        <f t="shared" si="5"/>
        <v>2.17</v>
      </c>
      <c r="W7" s="328">
        <f t="shared" si="5"/>
        <v>1.94</v>
      </c>
      <c r="X7" s="329">
        <f t="shared" si="5"/>
        <v>2.16</v>
      </c>
      <c r="Y7" s="329">
        <f t="shared" si="5"/>
        <v>2.2399999999999998</v>
      </c>
      <c r="Z7" s="329">
        <f t="shared" si="5"/>
        <v>2.02</v>
      </c>
      <c r="AA7" s="329">
        <f t="shared" si="5"/>
        <v>2.2999999999999998</v>
      </c>
      <c r="AB7" s="329">
        <f t="shared" si="5"/>
        <v>2.56</v>
      </c>
      <c r="AC7" s="329">
        <f t="shared" si="5"/>
        <v>2.02</v>
      </c>
      <c r="AD7" s="329">
        <f t="shared" si="5"/>
        <v>2.6256564141035259</v>
      </c>
      <c r="AE7" s="329">
        <f t="shared" si="5"/>
        <v>2.1422300263388938</v>
      </c>
      <c r="AF7" s="329">
        <f t="shared" si="5"/>
        <v>2.3966942148760331</v>
      </c>
      <c r="AG7" s="330">
        <f>FORECAST(AG44,R7:AF7,R44:AF44)</f>
        <v>2.5622631408121777</v>
      </c>
      <c r="AH7" s="330"/>
      <c r="AM7" s="201" t="s">
        <v>218</v>
      </c>
      <c r="AN7" s="201"/>
      <c r="AQ7" s="315"/>
      <c r="BT7" s="331"/>
      <c r="BU7" s="331"/>
      <c r="BV7" s="331"/>
      <c r="BW7" s="331"/>
      <c r="BX7" s="331"/>
      <c r="BY7" s="331"/>
    </row>
    <row r="8" spans="1:79" ht="15.75">
      <c r="A8" s="332" t="s">
        <v>333</v>
      </c>
      <c r="B8" s="333">
        <v>0</v>
      </c>
      <c r="C8" s="333">
        <f>B17</f>
        <v>0</v>
      </c>
      <c r="D8" s="333">
        <f t="shared" ref="D8:AG8" si="6">C17</f>
        <v>0</v>
      </c>
      <c r="E8" s="333">
        <f t="shared" si="6"/>
        <v>50</v>
      </c>
      <c r="F8" s="333">
        <f t="shared" si="6"/>
        <v>0</v>
      </c>
      <c r="G8" s="333">
        <f t="shared" si="6"/>
        <v>8</v>
      </c>
      <c r="H8" s="333">
        <f t="shared" si="6"/>
        <v>10</v>
      </c>
      <c r="I8" s="333">
        <f t="shared" si="6"/>
        <v>87</v>
      </c>
      <c r="J8" s="333">
        <f t="shared" si="6"/>
        <v>15</v>
      </c>
      <c r="K8" s="333">
        <f t="shared" si="6"/>
        <v>5</v>
      </c>
      <c r="L8" s="333">
        <f t="shared" si="6"/>
        <v>25</v>
      </c>
      <c r="M8" s="333">
        <f t="shared" si="6"/>
        <v>129</v>
      </c>
      <c r="N8" s="333">
        <f t="shared" si="6"/>
        <v>113</v>
      </c>
      <c r="O8" s="333">
        <f t="shared" si="6"/>
        <v>185</v>
      </c>
      <c r="P8" s="333">
        <f t="shared" si="6"/>
        <v>622</v>
      </c>
      <c r="Q8" s="333">
        <f t="shared" si="6"/>
        <v>445</v>
      </c>
      <c r="R8" s="333">
        <f t="shared" si="6"/>
        <v>384</v>
      </c>
      <c r="S8" s="333">
        <f t="shared" si="6"/>
        <v>483</v>
      </c>
      <c r="T8" s="333">
        <f t="shared" si="6"/>
        <v>146</v>
      </c>
      <c r="U8" s="333">
        <f t="shared" si="6"/>
        <v>151</v>
      </c>
      <c r="V8" s="333">
        <f t="shared" si="6"/>
        <v>314</v>
      </c>
      <c r="W8" s="333">
        <f t="shared" si="6"/>
        <v>449</v>
      </c>
      <c r="X8" s="334">
        <f t="shared" si="6"/>
        <v>149</v>
      </c>
      <c r="Y8" s="334">
        <f t="shared" si="6"/>
        <v>168</v>
      </c>
      <c r="Z8" s="334">
        <f t="shared" si="6"/>
        <v>421</v>
      </c>
      <c r="AA8" s="334">
        <f t="shared" si="6"/>
        <v>172</v>
      </c>
      <c r="AB8" s="334">
        <f t="shared" si="6"/>
        <v>141</v>
      </c>
      <c r="AC8" s="334">
        <f t="shared" si="6"/>
        <v>59</v>
      </c>
      <c r="AD8" s="334">
        <f t="shared" si="6"/>
        <v>236</v>
      </c>
      <c r="AE8" s="334">
        <f t="shared" si="6"/>
        <v>4645</v>
      </c>
      <c r="AF8" s="334">
        <f t="shared" si="6"/>
        <v>845</v>
      </c>
      <c r="AG8" s="335">
        <f t="shared" si="6"/>
        <v>900</v>
      </c>
      <c r="AH8" s="314"/>
      <c r="AK8" s="223">
        <v>140</v>
      </c>
      <c r="AL8" s="223">
        <v>58</v>
      </c>
      <c r="AM8" s="223">
        <v>141</v>
      </c>
      <c r="AN8" s="201">
        <v>4551</v>
      </c>
      <c r="AQ8" s="315" t="s">
        <v>5</v>
      </c>
      <c r="AR8" s="146">
        <v>2571</v>
      </c>
      <c r="AS8" s="146">
        <v>2311</v>
      </c>
      <c r="AT8" s="146">
        <v>2127</v>
      </c>
      <c r="AU8" s="146">
        <v>2075</v>
      </c>
      <c r="AV8" s="146">
        <v>1569</v>
      </c>
      <c r="AW8" s="146">
        <v>2860</v>
      </c>
      <c r="AX8" s="146">
        <v>2123</v>
      </c>
      <c r="AY8" s="146">
        <v>2308</v>
      </c>
      <c r="AZ8" s="146">
        <v>2266</v>
      </c>
      <c r="BA8" s="146">
        <v>2794</v>
      </c>
      <c r="BB8" s="146">
        <v>3457</v>
      </c>
      <c r="BC8" s="146">
        <v>2251</v>
      </c>
      <c r="BD8" s="146">
        <v>3271</v>
      </c>
      <c r="BE8" s="146">
        <v>4254</v>
      </c>
      <c r="BF8" s="146">
        <v>3050</v>
      </c>
      <c r="BG8" s="146">
        <v>4706</v>
      </c>
      <c r="BH8" s="146">
        <v>5324</v>
      </c>
      <c r="BI8" s="146">
        <v>4174</v>
      </c>
      <c r="BJ8" s="146">
        <v>6526</v>
      </c>
      <c r="BK8" s="146">
        <v>6364</v>
      </c>
      <c r="BL8" s="146">
        <v>6772</v>
      </c>
      <c r="BM8" s="146">
        <v>8671</v>
      </c>
      <c r="BN8" s="146">
        <v>8387</v>
      </c>
      <c r="BO8" s="146">
        <v>11051</v>
      </c>
      <c r="BP8" s="146">
        <v>10134</v>
      </c>
      <c r="BQ8" s="146">
        <v>11181</v>
      </c>
      <c r="BR8" s="146">
        <v>13627</v>
      </c>
      <c r="BS8" s="146">
        <v>12236</v>
      </c>
      <c r="BT8" s="316">
        <v>14165</v>
      </c>
      <c r="BU8" s="316">
        <f>15254+1250</f>
        <v>16504</v>
      </c>
      <c r="BV8" s="316">
        <f>13110+1000</f>
        <v>14110</v>
      </c>
      <c r="BW8" s="316">
        <v>17500</v>
      </c>
      <c r="BX8" s="316">
        <f>12200</f>
        <v>12200</v>
      </c>
      <c r="BY8" s="317">
        <f>14500</f>
        <v>14500</v>
      </c>
      <c r="BZ8" s="253">
        <f>14700</f>
        <v>14700</v>
      </c>
      <c r="CA8" s="253">
        <f>MROUND(CA5*CA6,50)</f>
        <v>16600</v>
      </c>
    </row>
    <row r="9" spans="1:79" ht="15.75">
      <c r="A9" s="309" t="s">
        <v>5</v>
      </c>
      <c r="B9" s="336">
        <f>AU8</f>
        <v>2075</v>
      </c>
      <c r="C9" s="336">
        <f t="shared" ref="C9:AB9" si="7">AV8</f>
        <v>1569</v>
      </c>
      <c r="D9" s="336">
        <f t="shared" si="7"/>
        <v>2860</v>
      </c>
      <c r="E9" s="336">
        <f t="shared" si="7"/>
        <v>2123</v>
      </c>
      <c r="F9" s="336">
        <f t="shared" si="7"/>
        <v>2308</v>
      </c>
      <c r="G9" s="336">
        <f t="shared" si="7"/>
        <v>2266</v>
      </c>
      <c r="H9" s="336">
        <f t="shared" si="7"/>
        <v>2794</v>
      </c>
      <c r="I9" s="336">
        <f t="shared" si="7"/>
        <v>3457</v>
      </c>
      <c r="J9" s="336">
        <f t="shared" si="7"/>
        <v>2251</v>
      </c>
      <c r="K9" s="336">
        <f t="shared" si="7"/>
        <v>3271</v>
      </c>
      <c r="L9" s="336">
        <f t="shared" si="7"/>
        <v>4254</v>
      </c>
      <c r="M9" s="336">
        <f t="shared" si="7"/>
        <v>3050</v>
      </c>
      <c r="N9" s="336">
        <f t="shared" si="7"/>
        <v>4706</v>
      </c>
      <c r="O9" s="336">
        <f t="shared" si="7"/>
        <v>5324</v>
      </c>
      <c r="P9" s="336">
        <f t="shared" si="7"/>
        <v>4174</v>
      </c>
      <c r="Q9" s="336">
        <f t="shared" si="7"/>
        <v>6526</v>
      </c>
      <c r="R9" s="336">
        <f t="shared" si="7"/>
        <v>6364</v>
      </c>
      <c r="S9" s="336">
        <f t="shared" si="7"/>
        <v>6772</v>
      </c>
      <c r="T9" s="336">
        <f t="shared" si="7"/>
        <v>8671</v>
      </c>
      <c r="U9" s="336">
        <f t="shared" si="7"/>
        <v>8387</v>
      </c>
      <c r="V9" s="336">
        <f t="shared" si="7"/>
        <v>11051</v>
      </c>
      <c r="W9" s="336">
        <f t="shared" si="7"/>
        <v>10134</v>
      </c>
      <c r="X9" s="313">
        <f t="shared" si="7"/>
        <v>11181</v>
      </c>
      <c r="Y9" s="313">
        <f t="shared" si="7"/>
        <v>13627</v>
      </c>
      <c r="Z9" s="313">
        <f t="shared" si="7"/>
        <v>12236</v>
      </c>
      <c r="AA9" s="313">
        <f t="shared" si="7"/>
        <v>14165</v>
      </c>
      <c r="AB9" s="313">
        <f t="shared" si="7"/>
        <v>16504</v>
      </c>
      <c r="AC9" s="313">
        <f>BV8</f>
        <v>14110</v>
      </c>
      <c r="AD9" s="313">
        <f>BW8</f>
        <v>17500</v>
      </c>
      <c r="AE9" s="313">
        <f>BX8</f>
        <v>12200</v>
      </c>
      <c r="AF9" s="313">
        <f>BY8</f>
        <v>14500</v>
      </c>
      <c r="AG9" s="314">
        <f>MROUND(AG5*AG7,100)</f>
        <v>16200</v>
      </c>
      <c r="AH9" s="314"/>
      <c r="AK9" s="212">
        <v>16500</v>
      </c>
      <c r="AL9" s="212">
        <v>14100</v>
      </c>
      <c r="AM9" s="212">
        <v>17500</v>
      </c>
      <c r="AN9" s="225">
        <v>11000</v>
      </c>
      <c r="BS9" s="337" t="s">
        <v>334</v>
      </c>
    </row>
    <row r="10" spans="1:79" ht="15.75">
      <c r="A10" s="309" t="s">
        <v>6</v>
      </c>
      <c r="B10" s="336">
        <v>0</v>
      </c>
      <c r="C10" s="336">
        <v>0</v>
      </c>
      <c r="D10" s="336">
        <v>20</v>
      </c>
      <c r="E10" s="336">
        <v>15</v>
      </c>
      <c r="F10" s="336">
        <v>15</v>
      </c>
      <c r="G10" s="336">
        <v>2</v>
      </c>
      <c r="H10" s="336">
        <v>2</v>
      </c>
      <c r="I10" s="336">
        <v>1</v>
      </c>
      <c r="J10" s="336">
        <v>1</v>
      </c>
      <c r="K10" s="336">
        <f t="shared" ref="K10:AE10" si="8">K59</f>
        <v>0.903609</v>
      </c>
      <c r="L10" s="336">
        <f t="shared" si="8"/>
        <v>1.20275</v>
      </c>
      <c r="M10" s="336">
        <f t="shared" si="8"/>
        <v>6.0459250000000004</v>
      </c>
      <c r="N10" s="336">
        <f t="shared" si="8"/>
        <v>4.5923579999999999</v>
      </c>
      <c r="O10" s="336">
        <f t="shared" si="8"/>
        <v>5.9635119999999997</v>
      </c>
      <c r="P10" s="336">
        <f t="shared" si="8"/>
        <v>7.8804470000000011</v>
      </c>
      <c r="Q10" s="336">
        <f t="shared" si="8"/>
        <v>5.6325079999999996</v>
      </c>
      <c r="R10" s="336">
        <f t="shared" si="8"/>
        <v>6.6916390000000003</v>
      </c>
      <c r="S10" s="336">
        <f t="shared" si="8"/>
        <v>12.250218000000002</v>
      </c>
      <c r="T10" s="336">
        <f t="shared" si="8"/>
        <v>16.816025</v>
      </c>
      <c r="U10" s="336">
        <f t="shared" si="8"/>
        <v>19.750192000000002</v>
      </c>
      <c r="V10" s="336">
        <f t="shared" si="8"/>
        <v>15.360949999999999</v>
      </c>
      <c r="W10" s="336">
        <f t="shared" si="8"/>
        <v>15.422088999999998</v>
      </c>
      <c r="X10" s="313">
        <f t="shared" si="8"/>
        <v>21.718747000000008</v>
      </c>
      <c r="Y10" s="313">
        <f t="shared" si="8"/>
        <v>23.513722000000005</v>
      </c>
      <c r="Z10" s="313">
        <f t="shared" si="8"/>
        <v>30.151129999999998</v>
      </c>
      <c r="AA10" s="313">
        <f t="shared" si="8"/>
        <v>22.618764999999996</v>
      </c>
      <c r="AB10" s="313">
        <f t="shared" si="8"/>
        <v>30.734186999999999</v>
      </c>
      <c r="AC10" s="313">
        <f t="shared" si="8"/>
        <v>24.305641999999995</v>
      </c>
      <c r="AD10" s="313">
        <f t="shared" si="8"/>
        <v>21.202000000000005</v>
      </c>
      <c r="AE10" s="313">
        <f t="shared" si="8"/>
        <v>31.033999999999999</v>
      </c>
      <c r="AF10" s="314">
        <v>25</v>
      </c>
      <c r="AG10" s="314">
        <v>11</v>
      </c>
      <c r="AH10" s="314"/>
      <c r="AK10" s="223">
        <v>31</v>
      </c>
      <c r="AL10" s="223">
        <v>24</v>
      </c>
      <c r="AM10" s="223">
        <v>10</v>
      </c>
      <c r="AN10" s="201">
        <v>10</v>
      </c>
      <c r="BS10" s="337" t="s">
        <v>335</v>
      </c>
      <c r="BT10">
        <v>6500</v>
      </c>
      <c r="BU10">
        <v>6400</v>
      </c>
      <c r="BV10">
        <v>7000</v>
      </c>
      <c r="BW10">
        <v>7100</v>
      </c>
      <c r="BX10">
        <v>5700</v>
      </c>
      <c r="BY10">
        <v>6000</v>
      </c>
      <c r="BZ10">
        <v>6200</v>
      </c>
    </row>
    <row r="11" spans="1:79" ht="15.75">
      <c r="A11" s="332" t="s">
        <v>7</v>
      </c>
      <c r="B11" s="333">
        <f>SUM(B8:B10)</f>
        <v>2075</v>
      </c>
      <c r="C11" s="333">
        <f t="shared" ref="C11:AG11" si="9">SUM(C8:C10)</f>
        <v>1569</v>
      </c>
      <c r="D11" s="333">
        <f t="shared" si="9"/>
        <v>2880</v>
      </c>
      <c r="E11" s="333">
        <f t="shared" si="9"/>
        <v>2188</v>
      </c>
      <c r="F11" s="333">
        <f t="shared" si="9"/>
        <v>2323</v>
      </c>
      <c r="G11" s="333">
        <f t="shared" si="9"/>
        <v>2276</v>
      </c>
      <c r="H11" s="333">
        <f t="shared" si="9"/>
        <v>2806</v>
      </c>
      <c r="I11" s="333">
        <f t="shared" si="9"/>
        <v>3545</v>
      </c>
      <c r="J11" s="333">
        <f t="shared" si="9"/>
        <v>2267</v>
      </c>
      <c r="K11" s="333">
        <f t="shared" si="9"/>
        <v>3276.903609</v>
      </c>
      <c r="L11" s="333">
        <f t="shared" si="9"/>
        <v>4280.2027500000004</v>
      </c>
      <c r="M11" s="333">
        <f t="shared" si="9"/>
        <v>3185.0459249999999</v>
      </c>
      <c r="N11" s="333">
        <f t="shared" si="9"/>
        <v>4823.5923579999999</v>
      </c>
      <c r="O11" s="333">
        <f t="shared" si="9"/>
        <v>5514.9635120000003</v>
      </c>
      <c r="P11" s="333">
        <f t="shared" si="9"/>
        <v>4803.8804469999995</v>
      </c>
      <c r="Q11" s="333">
        <f t="shared" si="9"/>
        <v>6976.6325079999997</v>
      </c>
      <c r="R11" s="333">
        <f t="shared" si="9"/>
        <v>6754.6916389999997</v>
      </c>
      <c r="S11" s="333">
        <f t="shared" si="9"/>
        <v>7267.2502180000001</v>
      </c>
      <c r="T11" s="333">
        <f t="shared" si="9"/>
        <v>8833.8160250000001</v>
      </c>
      <c r="U11" s="333">
        <f t="shared" si="9"/>
        <v>8557.7501919999995</v>
      </c>
      <c r="V11" s="333">
        <f t="shared" si="9"/>
        <v>11380.36095</v>
      </c>
      <c r="W11" s="333">
        <f t="shared" si="9"/>
        <v>10598.422089</v>
      </c>
      <c r="X11" s="334">
        <f t="shared" si="9"/>
        <v>11351.718747000001</v>
      </c>
      <c r="Y11" s="334">
        <f t="shared" si="9"/>
        <v>13818.513722</v>
      </c>
      <c r="Z11" s="334">
        <f t="shared" si="9"/>
        <v>12687.15113</v>
      </c>
      <c r="AA11" s="334">
        <f t="shared" si="9"/>
        <v>14359.618764999999</v>
      </c>
      <c r="AB11" s="334">
        <f t="shared" si="9"/>
        <v>16675.734186999998</v>
      </c>
      <c r="AC11" s="334">
        <f t="shared" si="9"/>
        <v>14193.305641999999</v>
      </c>
      <c r="AD11" s="334">
        <f t="shared" si="9"/>
        <v>17757.202000000001</v>
      </c>
      <c r="AE11" s="334">
        <f t="shared" si="9"/>
        <v>16876.034</v>
      </c>
      <c r="AF11" s="335">
        <f t="shared" si="9"/>
        <v>15370</v>
      </c>
      <c r="AG11" s="335">
        <f t="shared" si="9"/>
        <v>17111</v>
      </c>
      <c r="AH11" s="314"/>
      <c r="AK11" s="212">
        <v>16425</v>
      </c>
      <c r="AL11" s="212">
        <v>13750</v>
      </c>
      <c r="AM11" s="212">
        <v>12000</v>
      </c>
      <c r="AN11" s="225">
        <v>9750</v>
      </c>
      <c r="BS11" s="337" t="s">
        <v>5</v>
      </c>
      <c r="BT11">
        <v>15000</v>
      </c>
      <c r="BU11">
        <v>16500</v>
      </c>
      <c r="BV11">
        <v>14100</v>
      </c>
      <c r="BW11">
        <v>17500</v>
      </c>
      <c r="BX11">
        <v>12200</v>
      </c>
      <c r="BY11">
        <v>14500</v>
      </c>
      <c r="BZ11">
        <v>14700</v>
      </c>
    </row>
    <row r="12" spans="1:79" ht="15.75">
      <c r="A12" s="309" t="s">
        <v>8</v>
      </c>
      <c r="B12" s="336">
        <f>B91</f>
        <v>1936.4137399724195</v>
      </c>
      <c r="C12" s="336">
        <f t="shared" ref="C12:AG12" si="10">C91</f>
        <v>1426.450289311568</v>
      </c>
      <c r="D12" s="336">
        <f t="shared" si="10"/>
        <v>2302.1387070359733</v>
      </c>
      <c r="E12" s="336">
        <f t="shared" si="10"/>
        <v>1071.9005257072108</v>
      </c>
      <c r="F12" s="336">
        <f t="shared" si="10"/>
        <v>1160.6520777731814</v>
      </c>
      <c r="G12" s="336">
        <f t="shared" si="10"/>
        <v>1374.6965410987168</v>
      </c>
      <c r="H12" s="336">
        <f t="shared" si="10"/>
        <v>2141.9268837690702</v>
      </c>
      <c r="I12" s="336">
        <f t="shared" si="10"/>
        <v>2358.6914261003722</v>
      </c>
      <c r="J12" s="336">
        <f t="shared" si="10"/>
        <v>2127.1943360664236</v>
      </c>
      <c r="K12" s="336">
        <f t="shared" si="10"/>
        <v>3123.6766859341028</v>
      </c>
      <c r="L12" s="336">
        <f t="shared" si="10"/>
        <v>3267.4464426877466</v>
      </c>
      <c r="M12" s="336">
        <f t="shared" si="10"/>
        <v>2665.569664031621</v>
      </c>
      <c r="N12" s="336">
        <f t="shared" si="10"/>
        <v>4452.7201581027675</v>
      </c>
      <c r="O12" s="336">
        <f t="shared" si="10"/>
        <v>4835.1347006651886</v>
      </c>
      <c r="P12" s="336">
        <f t="shared" si="10"/>
        <v>4163.0074681703927</v>
      </c>
      <c r="Q12" s="336">
        <f t="shared" si="10"/>
        <v>5905.1300942586195</v>
      </c>
      <c r="R12" s="336">
        <f t="shared" si="10"/>
        <v>6741.7011349740396</v>
      </c>
      <c r="S12" s="336">
        <f t="shared" si="10"/>
        <v>6980.6262332616398</v>
      </c>
      <c r="T12" s="336">
        <f t="shared" si="10"/>
        <v>8476.3437503582227</v>
      </c>
      <c r="U12" s="336">
        <f t="shared" si="10"/>
        <v>7356.4007464246733</v>
      </c>
      <c r="V12" s="336">
        <f t="shared" si="10"/>
        <v>10010.819899011403</v>
      </c>
      <c r="W12" s="336">
        <f t="shared" si="10"/>
        <v>8281.8989723266077</v>
      </c>
      <c r="X12" s="313">
        <f t="shared" si="10"/>
        <v>8869.6497005988003</v>
      </c>
      <c r="Y12" s="313">
        <f t="shared" si="10"/>
        <v>12011.470755041641</v>
      </c>
      <c r="Z12" s="313">
        <f t="shared" si="10"/>
        <v>12928.464017417002</v>
      </c>
      <c r="AA12" s="313">
        <f t="shared" si="10"/>
        <v>15375.085731965766</v>
      </c>
      <c r="AB12" s="313">
        <f t="shared" si="10"/>
        <v>16092.144189631066</v>
      </c>
      <c r="AC12" s="313">
        <f t="shared" si="10"/>
        <v>12299.959142968366</v>
      </c>
      <c r="AD12" s="313">
        <f t="shared" si="10"/>
        <v>9777.8425586251124</v>
      </c>
      <c r="AE12" s="313">
        <f t="shared" si="10"/>
        <v>13716.53401806798</v>
      </c>
      <c r="AF12" s="314">
        <f t="shared" si="10"/>
        <v>13859.524581692825</v>
      </c>
      <c r="AG12" s="314">
        <f t="shared" si="10"/>
        <v>15561.168636727394</v>
      </c>
      <c r="AH12" s="314"/>
      <c r="AK12" s="212">
        <v>16425</v>
      </c>
      <c r="AL12" s="212">
        <v>13750</v>
      </c>
      <c r="AM12" s="212">
        <v>12000</v>
      </c>
      <c r="AN12" s="225">
        <v>9750</v>
      </c>
      <c r="AQ12" s="265"/>
      <c r="BS12" s="337" t="s">
        <v>8</v>
      </c>
      <c r="BT12">
        <v>14800</v>
      </c>
      <c r="BU12">
        <v>16425</v>
      </c>
      <c r="BV12">
        <v>13750</v>
      </c>
      <c r="BW12">
        <v>10800</v>
      </c>
      <c r="BX12">
        <v>14000</v>
      </c>
      <c r="BY12">
        <v>14700</v>
      </c>
      <c r="BZ12">
        <v>14300</v>
      </c>
    </row>
    <row r="13" spans="1:79" ht="15.75">
      <c r="A13" s="309" t="s">
        <v>9</v>
      </c>
      <c r="B13" s="336">
        <v>200</v>
      </c>
      <c r="C13" s="336">
        <f t="shared" ref="C13:AE13" si="11">C75</f>
        <v>126.50000000000001</v>
      </c>
      <c r="D13" s="336">
        <f t="shared" si="11"/>
        <v>469.1</v>
      </c>
      <c r="E13" s="336">
        <f t="shared" si="11"/>
        <v>1131.2000000000003</v>
      </c>
      <c r="F13" s="336">
        <f t="shared" si="11"/>
        <v>714.40000000000009</v>
      </c>
      <c r="G13" s="336">
        <f t="shared" si="11"/>
        <v>859.5</v>
      </c>
      <c r="H13" s="336">
        <f t="shared" si="11"/>
        <v>398.20477199999999</v>
      </c>
      <c r="I13" s="336">
        <f t="shared" si="11"/>
        <v>1030.3</v>
      </c>
      <c r="J13" s="336">
        <f t="shared" si="11"/>
        <v>81.741044999999986</v>
      </c>
      <c r="K13" s="336">
        <f t="shared" si="11"/>
        <v>330.72784999999999</v>
      </c>
      <c r="L13" s="336">
        <f t="shared" si="11"/>
        <v>921.69399999999996</v>
      </c>
      <c r="M13" s="336">
        <f t="shared" si="11"/>
        <v>11.449</v>
      </c>
      <c r="N13" s="336">
        <f t="shared" si="11"/>
        <v>219.74600000000001</v>
      </c>
      <c r="O13" s="336">
        <f t="shared" si="11"/>
        <v>336.02699999999999</v>
      </c>
      <c r="P13" s="336">
        <f t="shared" si="11"/>
        <v>75.356999999999999</v>
      </c>
      <c r="Q13" s="336">
        <f t="shared" si="11"/>
        <v>747.74700000000007</v>
      </c>
      <c r="R13" s="336">
        <f t="shared" si="11"/>
        <v>352.08399999999995</v>
      </c>
      <c r="S13" s="336">
        <f t="shared" si="11"/>
        <v>442.98100000000005</v>
      </c>
      <c r="T13" s="336">
        <f t="shared" si="11"/>
        <v>279.68599999999998</v>
      </c>
      <c r="U13" s="336">
        <f t="shared" si="11"/>
        <v>126.68700000000001</v>
      </c>
      <c r="V13" s="336">
        <f t="shared" si="11"/>
        <v>69.272999999999996</v>
      </c>
      <c r="W13" s="336">
        <f t="shared" si="11"/>
        <v>44.750999999999998</v>
      </c>
      <c r="X13" s="313">
        <f t="shared" si="11"/>
        <v>81.540000000000006</v>
      </c>
      <c r="Y13" s="313">
        <f t="shared" si="11"/>
        <v>189.92956800000002</v>
      </c>
      <c r="Z13" s="313">
        <f t="shared" si="11"/>
        <v>36.913361000000002</v>
      </c>
      <c r="AA13" s="313">
        <f t="shared" si="11"/>
        <v>102.312574</v>
      </c>
      <c r="AB13" s="313">
        <f t="shared" si="11"/>
        <v>50.908830000000002</v>
      </c>
      <c r="AC13" s="313">
        <f t="shared" si="11"/>
        <v>232.430533</v>
      </c>
      <c r="AD13" s="313">
        <f t="shared" si="11"/>
        <v>1620.953</v>
      </c>
      <c r="AE13" s="313">
        <f t="shared" si="11"/>
        <v>1855.2289999999998</v>
      </c>
      <c r="AF13" s="314">
        <f>1250+1250-1500-980+255</f>
        <v>275</v>
      </c>
      <c r="AG13" s="314">
        <v>250</v>
      </c>
      <c r="AH13" s="314"/>
      <c r="AK13" s="223">
        <v>53</v>
      </c>
      <c r="AL13" s="223">
        <v>191</v>
      </c>
      <c r="AM13" s="223">
        <v>350</v>
      </c>
      <c r="AN13" s="225">
        <v>750</v>
      </c>
      <c r="BS13" s="337" t="s">
        <v>336</v>
      </c>
    </row>
    <row r="14" spans="1:79" ht="15.75">
      <c r="A14" s="309" t="s">
        <v>10</v>
      </c>
      <c r="B14" s="336">
        <f>ROUND(C4*0.007,0)</f>
        <v>12</v>
      </c>
      <c r="C14" s="336">
        <f t="shared" ref="C14:AG14" si="12">ROUND(D4*0.007,0)</f>
        <v>14</v>
      </c>
      <c r="D14" s="336">
        <f t="shared" si="12"/>
        <v>15</v>
      </c>
      <c r="E14" s="336">
        <f t="shared" si="12"/>
        <v>14</v>
      </c>
      <c r="F14" s="336">
        <f t="shared" si="12"/>
        <v>18</v>
      </c>
      <c r="G14" s="336">
        <f t="shared" si="12"/>
        <v>20</v>
      </c>
      <c r="H14" s="336">
        <f t="shared" si="12"/>
        <v>21</v>
      </c>
      <c r="I14" s="336">
        <f t="shared" si="12"/>
        <v>18</v>
      </c>
      <c r="J14" s="336">
        <f t="shared" si="12"/>
        <v>20</v>
      </c>
      <c r="K14" s="336">
        <f t="shared" si="12"/>
        <v>28</v>
      </c>
      <c r="L14" s="336">
        <f t="shared" si="12"/>
        <v>25</v>
      </c>
      <c r="M14" s="336">
        <f t="shared" si="12"/>
        <v>26</v>
      </c>
      <c r="N14" s="336">
        <f t="shared" si="12"/>
        <v>28</v>
      </c>
      <c r="O14" s="336">
        <f t="shared" si="12"/>
        <v>25</v>
      </c>
      <c r="P14" s="336">
        <f t="shared" si="12"/>
        <v>30</v>
      </c>
      <c r="Q14" s="336">
        <f t="shared" si="12"/>
        <v>30</v>
      </c>
      <c r="R14" s="336">
        <f t="shared" si="12"/>
        <v>32</v>
      </c>
      <c r="S14" s="336">
        <f t="shared" si="12"/>
        <v>33</v>
      </c>
      <c r="T14" s="336">
        <f t="shared" si="12"/>
        <v>36</v>
      </c>
      <c r="U14" s="336">
        <f t="shared" si="12"/>
        <v>35</v>
      </c>
      <c r="V14" s="336">
        <f t="shared" si="12"/>
        <v>37</v>
      </c>
      <c r="W14" s="336">
        <f t="shared" si="12"/>
        <v>36</v>
      </c>
      <c r="X14" s="313">
        <f t="shared" si="12"/>
        <v>43</v>
      </c>
      <c r="Y14" s="313">
        <f t="shared" si="12"/>
        <v>42</v>
      </c>
      <c r="Z14" s="313">
        <f t="shared" si="12"/>
        <v>43</v>
      </c>
      <c r="AA14" s="313">
        <f t="shared" si="12"/>
        <v>41</v>
      </c>
      <c r="AB14" s="313">
        <f t="shared" si="12"/>
        <v>45</v>
      </c>
      <c r="AC14" s="313">
        <f t="shared" si="12"/>
        <v>48</v>
      </c>
      <c r="AD14" s="313">
        <f t="shared" si="12"/>
        <v>40</v>
      </c>
      <c r="AE14" s="313">
        <f t="shared" si="12"/>
        <v>42</v>
      </c>
      <c r="AF14" s="314">
        <f t="shared" si="12"/>
        <v>44</v>
      </c>
      <c r="AG14" s="314">
        <f t="shared" si="12"/>
        <v>43</v>
      </c>
      <c r="AH14" s="314"/>
      <c r="AK14" s="226">
        <v>50</v>
      </c>
      <c r="AL14" s="226">
        <v>50</v>
      </c>
      <c r="AM14" s="201">
        <v>50</v>
      </c>
      <c r="AN14" s="201">
        <v>50</v>
      </c>
      <c r="BS14" s="337" t="s">
        <v>337</v>
      </c>
      <c r="BT14">
        <v>140</v>
      </c>
      <c r="BU14">
        <v>43</v>
      </c>
      <c r="BV14">
        <v>96</v>
      </c>
      <c r="BW14">
        <v>4645</v>
      </c>
      <c r="BX14">
        <v>845</v>
      </c>
      <c r="BY14">
        <v>175</v>
      </c>
      <c r="BZ14">
        <v>170</v>
      </c>
    </row>
    <row r="15" spans="1:79" ht="15.75">
      <c r="A15" s="309" t="s">
        <v>11</v>
      </c>
      <c r="B15" s="336">
        <f>B16-SUM(B12:B14)</f>
        <v>-73.413739972419535</v>
      </c>
      <c r="C15" s="336">
        <f t="shared" ref="C15:Y15" si="13">C16-SUM(C12:C14)</f>
        <v>2.0497106884320146</v>
      </c>
      <c r="D15" s="336">
        <f t="shared" si="13"/>
        <v>43.761292964026779</v>
      </c>
      <c r="E15" s="336">
        <f t="shared" si="13"/>
        <v>-29.100525707211091</v>
      </c>
      <c r="F15" s="336">
        <f t="shared" si="13"/>
        <v>421.94792222681849</v>
      </c>
      <c r="G15" s="336">
        <f t="shared" si="13"/>
        <v>11.803458901283193</v>
      </c>
      <c r="H15" s="336">
        <f t="shared" si="13"/>
        <v>157.86834423092978</v>
      </c>
      <c r="I15" s="336">
        <f t="shared" si="13"/>
        <v>123.00857389962766</v>
      </c>
      <c r="J15" s="336">
        <f t="shared" si="13"/>
        <v>33.064618933576639</v>
      </c>
      <c r="K15" s="336">
        <f t="shared" si="13"/>
        <v>-230.50092693410261</v>
      </c>
      <c r="L15" s="336">
        <f t="shared" si="13"/>
        <v>-62.937692687746676</v>
      </c>
      <c r="M15" s="336">
        <f t="shared" si="13"/>
        <v>369.02726096837887</v>
      </c>
      <c r="N15" s="336">
        <f t="shared" si="13"/>
        <v>-61.873800102767746</v>
      </c>
      <c r="O15" s="336">
        <f t="shared" si="13"/>
        <v>-303.19818866518835</v>
      </c>
      <c r="P15" s="336">
        <f t="shared" si="13"/>
        <v>90.515978829606865</v>
      </c>
      <c r="Q15" s="336">
        <f t="shared" si="13"/>
        <v>-90.244586258620075</v>
      </c>
      <c r="R15" s="336">
        <f t="shared" si="13"/>
        <v>-854.0934959740398</v>
      </c>
      <c r="S15" s="336">
        <f t="shared" si="13"/>
        <v>-335.35701526163939</v>
      </c>
      <c r="T15" s="336">
        <f t="shared" si="13"/>
        <v>-109.21372535822229</v>
      </c>
      <c r="U15" s="336">
        <f t="shared" si="13"/>
        <v>725.66244557532627</v>
      </c>
      <c r="V15" s="336">
        <f t="shared" si="13"/>
        <v>814.26805098859768</v>
      </c>
      <c r="W15" s="336">
        <f t="shared" si="13"/>
        <v>2086.7721166733918</v>
      </c>
      <c r="X15" s="313">
        <f t="shared" si="13"/>
        <v>2189.5290464011996</v>
      </c>
      <c r="Y15" s="313">
        <f t="shared" si="13"/>
        <v>1154.1133989583595</v>
      </c>
      <c r="Z15" s="313">
        <f t="shared" ref="Z15:AG15" si="14">Z16-SUM(Z12:Z14)</f>
        <v>-493.22624841700235</v>
      </c>
      <c r="AA15" s="313">
        <f t="shared" si="14"/>
        <v>-1299.7795409657665</v>
      </c>
      <c r="AB15" s="313">
        <f t="shared" si="14"/>
        <v>428.68116736893171</v>
      </c>
      <c r="AC15" s="313">
        <f t="shared" si="14"/>
        <v>1376.9159660316327</v>
      </c>
      <c r="AD15" s="313">
        <f t="shared" si="14"/>
        <v>1673.4064413748893</v>
      </c>
      <c r="AE15" s="313">
        <f t="shared" si="14"/>
        <v>417.27098193202073</v>
      </c>
      <c r="AF15" s="314">
        <f t="shared" si="14"/>
        <v>291.47541830717455</v>
      </c>
      <c r="AG15" s="314">
        <f t="shared" si="14"/>
        <v>506.83136327260581</v>
      </c>
      <c r="AH15" s="314"/>
      <c r="AK15" s="226">
        <v>85</v>
      </c>
      <c r="AL15" s="226">
        <v>50</v>
      </c>
      <c r="AM15" s="201">
        <v>700</v>
      </c>
      <c r="AN15" s="201">
        <v>550</v>
      </c>
      <c r="BT15" s="325">
        <f>BT11/BT10</f>
        <v>2.3076923076923075</v>
      </c>
      <c r="BU15" s="325">
        <f t="shared" ref="BU15:BZ15" si="15">BU11/BU10</f>
        <v>2.578125</v>
      </c>
      <c r="BV15" s="325">
        <f t="shared" si="15"/>
        <v>2.0142857142857142</v>
      </c>
      <c r="BW15" s="325">
        <f t="shared" si="15"/>
        <v>2.464788732394366</v>
      </c>
      <c r="BX15" s="325">
        <f t="shared" si="15"/>
        <v>2.1403508771929824</v>
      </c>
      <c r="BY15" s="325">
        <f t="shared" si="15"/>
        <v>2.4166666666666665</v>
      </c>
      <c r="BZ15" s="325">
        <f t="shared" si="15"/>
        <v>2.370967741935484</v>
      </c>
    </row>
    <row r="16" spans="1:79" ht="15.75">
      <c r="A16" s="332" t="s">
        <v>12</v>
      </c>
      <c r="B16" s="333">
        <f t="shared" ref="B16:AG16" si="16">B11-B17</f>
        <v>2075</v>
      </c>
      <c r="C16" s="333">
        <f t="shared" si="16"/>
        <v>1569</v>
      </c>
      <c r="D16" s="333">
        <f t="shared" si="16"/>
        <v>2830</v>
      </c>
      <c r="E16" s="333">
        <f t="shared" si="16"/>
        <v>2188</v>
      </c>
      <c r="F16" s="333">
        <f t="shared" si="16"/>
        <v>2315</v>
      </c>
      <c r="G16" s="333">
        <f t="shared" si="16"/>
        <v>2266</v>
      </c>
      <c r="H16" s="333">
        <f t="shared" si="16"/>
        <v>2719</v>
      </c>
      <c r="I16" s="333">
        <f t="shared" si="16"/>
        <v>3530</v>
      </c>
      <c r="J16" s="333">
        <f t="shared" si="16"/>
        <v>2262</v>
      </c>
      <c r="K16" s="333">
        <f t="shared" si="16"/>
        <v>3251.903609</v>
      </c>
      <c r="L16" s="333">
        <f t="shared" si="16"/>
        <v>4151.2027500000004</v>
      </c>
      <c r="M16" s="333">
        <f t="shared" si="16"/>
        <v>3072.0459249999999</v>
      </c>
      <c r="N16" s="333">
        <f t="shared" si="16"/>
        <v>4638.5923579999999</v>
      </c>
      <c r="O16" s="333">
        <f t="shared" si="16"/>
        <v>4892.9635120000003</v>
      </c>
      <c r="P16" s="333">
        <f t="shared" si="16"/>
        <v>4358.8804469999995</v>
      </c>
      <c r="Q16" s="333">
        <f t="shared" si="16"/>
        <v>6592.6325079999997</v>
      </c>
      <c r="R16" s="333">
        <f t="shared" si="16"/>
        <v>6271.6916389999997</v>
      </c>
      <c r="S16" s="333">
        <f t="shared" si="16"/>
        <v>7121.2502180000001</v>
      </c>
      <c r="T16" s="333">
        <f t="shared" si="16"/>
        <v>8682.8160250000001</v>
      </c>
      <c r="U16" s="333">
        <f t="shared" si="16"/>
        <v>8243.7501919999995</v>
      </c>
      <c r="V16" s="333">
        <f t="shared" si="16"/>
        <v>10931.36095</v>
      </c>
      <c r="W16" s="333">
        <f t="shared" si="16"/>
        <v>10449.422089</v>
      </c>
      <c r="X16" s="334">
        <f t="shared" si="16"/>
        <v>11183.718747000001</v>
      </c>
      <c r="Y16" s="334">
        <f t="shared" si="16"/>
        <v>13397.513722</v>
      </c>
      <c r="Z16" s="334">
        <f t="shared" si="16"/>
        <v>12515.15113</v>
      </c>
      <c r="AA16" s="334">
        <f t="shared" si="16"/>
        <v>14218.618764999999</v>
      </c>
      <c r="AB16" s="334">
        <f t="shared" si="16"/>
        <v>16616.734186999998</v>
      </c>
      <c r="AC16" s="334">
        <f t="shared" si="16"/>
        <v>13957.305641999999</v>
      </c>
      <c r="AD16" s="334">
        <f t="shared" si="16"/>
        <v>13112.202000000001</v>
      </c>
      <c r="AE16" s="334">
        <f t="shared" si="16"/>
        <v>16031.034</v>
      </c>
      <c r="AF16" s="335">
        <f t="shared" si="16"/>
        <v>14470</v>
      </c>
      <c r="AG16" s="335">
        <f t="shared" si="16"/>
        <v>16361</v>
      </c>
      <c r="AH16" s="314"/>
      <c r="AK16" s="226">
        <v>16560</v>
      </c>
      <c r="AL16" s="226">
        <v>13850</v>
      </c>
      <c r="AM16" s="201">
        <v>12750</v>
      </c>
      <c r="AN16" s="201">
        <v>10350</v>
      </c>
    </row>
    <row r="17" spans="1:42" ht="15.75">
      <c r="A17" s="309" t="s">
        <v>338</v>
      </c>
      <c r="B17" s="336">
        <v>0</v>
      </c>
      <c r="C17" s="336">
        <v>0</v>
      </c>
      <c r="D17" s="336">
        <v>50</v>
      </c>
      <c r="E17" s="336">
        <v>0</v>
      </c>
      <c r="F17" s="336">
        <v>8</v>
      </c>
      <c r="G17" s="336">
        <v>10</v>
      </c>
      <c r="H17" s="336">
        <v>87</v>
      </c>
      <c r="I17" s="336">
        <v>15</v>
      </c>
      <c r="J17" s="336">
        <v>5</v>
      </c>
      <c r="K17" s="336">
        <v>25</v>
      </c>
      <c r="L17" s="336">
        <v>129</v>
      </c>
      <c r="M17" s="336">
        <v>113</v>
      </c>
      <c r="N17" s="336">
        <v>185</v>
      </c>
      <c r="O17" s="336">
        <v>622</v>
      </c>
      <c r="P17" s="336">
        <v>445</v>
      </c>
      <c r="Q17" s="336">
        <v>384</v>
      </c>
      <c r="R17" s="336">
        <v>483</v>
      </c>
      <c r="S17" s="336">
        <v>146</v>
      </c>
      <c r="T17" s="336">
        <v>151</v>
      </c>
      <c r="U17" s="336">
        <v>314</v>
      </c>
      <c r="V17" s="336">
        <v>449</v>
      </c>
      <c r="W17" s="336">
        <v>149</v>
      </c>
      <c r="X17" s="313">
        <v>168</v>
      </c>
      <c r="Y17" s="313">
        <v>421</v>
      </c>
      <c r="Z17" s="313">
        <v>172</v>
      </c>
      <c r="AA17" s="313">
        <v>141</v>
      </c>
      <c r="AB17" s="313">
        <v>59</v>
      </c>
      <c r="AC17" s="313">
        <v>236</v>
      </c>
      <c r="AD17" s="313">
        <v>4645</v>
      </c>
      <c r="AE17" s="313">
        <v>845</v>
      </c>
      <c r="AF17" s="314">
        <v>900</v>
      </c>
      <c r="AG17" s="314">
        <v>750</v>
      </c>
      <c r="AH17" s="314"/>
      <c r="AK17" s="223">
        <v>58</v>
      </c>
      <c r="AL17" s="223">
        <v>141</v>
      </c>
      <c r="AM17" s="212">
        <v>4551</v>
      </c>
      <c r="AN17" s="209">
        <v>4461</v>
      </c>
    </row>
    <row r="18" spans="1:42" ht="15.75">
      <c r="A18" s="332" t="s">
        <v>221</v>
      </c>
      <c r="B18" s="338"/>
      <c r="C18" s="338"/>
      <c r="D18" s="338"/>
      <c r="E18" s="338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38"/>
      <c r="Q18" s="338"/>
      <c r="R18" s="338"/>
      <c r="S18" s="338"/>
      <c r="T18" s="338"/>
      <c r="U18" s="338"/>
      <c r="V18" s="338"/>
      <c r="W18" s="338"/>
      <c r="X18" s="339"/>
      <c r="Y18" s="339"/>
      <c r="Z18" s="339"/>
      <c r="AA18" s="339"/>
      <c r="AB18" s="339"/>
      <c r="AC18" s="339"/>
      <c r="AD18" s="340"/>
      <c r="AE18" s="340"/>
      <c r="AF18" s="340"/>
      <c r="AG18" s="340"/>
      <c r="AH18" s="341"/>
      <c r="AM18" s="201"/>
      <c r="AN18" s="201"/>
    </row>
    <row r="19" spans="1:42" ht="16.5" thickBot="1">
      <c r="A19" s="309" t="s">
        <v>222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342"/>
      <c r="Y19" s="342"/>
      <c r="Z19" s="342"/>
      <c r="AA19" s="342"/>
      <c r="AB19" s="342"/>
      <c r="AC19" s="342"/>
      <c r="AD19" s="342"/>
      <c r="AE19" s="342"/>
      <c r="AF19" s="342"/>
      <c r="AG19" s="342"/>
      <c r="AH19" s="342"/>
      <c r="AM19" s="201"/>
      <c r="AN19" s="201"/>
    </row>
    <row r="20" spans="1:42" ht="16.5">
      <c r="A20" s="343" t="s">
        <v>339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5"/>
      <c r="Y20" s="345"/>
      <c r="Z20" s="345"/>
      <c r="AA20" s="345"/>
      <c r="AB20" s="345"/>
      <c r="AC20" s="345"/>
      <c r="AD20" s="345"/>
      <c r="AE20" s="345"/>
      <c r="AF20" s="345"/>
      <c r="AG20" s="345"/>
      <c r="AH20" s="313"/>
    </row>
    <row r="21" spans="1:42" ht="15.75">
      <c r="A21" s="309" t="s">
        <v>224</v>
      </c>
      <c r="B21" s="336"/>
      <c r="C21" s="336"/>
      <c r="D21" s="336"/>
      <c r="E21" s="336"/>
      <c r="F21" s="336"/>
      <c r="G21" s="336"/>
      <c r="H21" s="336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13"/>
      <c r="Y21" s="313"/>
      <c r="Z21" s="313"/>
      <c r="AA21" s="313"/>
      <c r="AB21" s="313"/>
      <c r="AC21" s="314"/>
      <c r="AD21" s="314"/>
      <c r="AE21" s="314"/>
      <c r="AF21" s="314"/>
      <c r="AG21" s="314"/>
      <c r="AH21" s="314"/>
    </row>
    <row r="22" spans="1:42" ht="15.75">
      <c r="A22" s="332" t="s">
        <v>333</v>
      </c>
      <c r="B22" s="333">
        <v>0</v>
      </c>
      <c r="C22" s="333">
        <f>B29</f>
        <v>0</v>
      </c>
      <c r="D22" s="333">
        <f t="shared" ref="D22:AG22" si="17">C29</f>
        <v>0</v>
      </c>
      <c r="E22" s="333">
        <f t="shared" si="17"/>
        <v>0</v>
      </c>
      <c r="F22" s="333">
        <f t="shared" si="17"/>
        <v>0</v>
      </c>
      <c r="G22" s="333">
        <f t="shared" si="17"/>
        <v>0</v>
      </c>
      <c r="H22" s="333">
        <f t="shared" si="17"/>
        <v>0</v>
      </c>
      <c r="I22" s="333">
        <f t="shared" si="17"/>
        <v>2</v>
      </c>
      <c r="J22" s="333">
        <f t="shared" si="17"/>
        <v>2</v>
      </c>
      <c r="K22" s="333">
        <f t="shared" si="17"/>
        <v>2</v>
      </c>
      <c r="L22" s="333">
        <f t="shared" si="17"/>
        <v>4</v>
      </c>
      <c r="M22" s="333">
        <f t="shared" si="17"/>
        <v>5</v>
      </c>
      <c r="N22" s="333">
        <f t="shared" si="17"/>
        <v>5</v>
      </c>
      <c r="O22" s="333">
        <f t="shared" si="17"/>
        <v>5</v>
      </c>
      <c r="P22" s="333">
        <f t="shared" si="17"/>
        <v>5</v>
      </c>
      <c r="Q22" s="333">
        <f t="shared" si="17"/>
        <v>15</v>
      </c>
      <c r="R22" s="333">
        <f t="shared" si="17"/>
        <v>56</v>
      </c>
      <c r="S22" s="333">
        <f t="shared" si="17"/>
        <v>127</v>
      </c>
      <c r="T22" s="333">
        <f t="shared" si="17"/>
        <v>127</v>
      </c>
      <c r="U22" s="333">
        <f t="shared" si="17"/>
        <v>1</v>
      </c>
      <c r="V22" s="333">
        <f t="shared" si="17"/>
        <v>6</v>
      </c>
      <c r="W22" s="333">
        <f t="shared" si="17"/>
        <v>304</v>
      </c>
      <c r="X22" s="334">
        <f t="shared" si="17"/>
        <v>370</v>
      </c>
      <c r="Y22" s="334">
        <f t="shared" si="17"/>
        <v>260</v>
      </c>
      <c r="Z22" s="334">
        <f t="shared" si="17"/>
        <v>184</v>
      </c>
      <c r="AA22" s="334">
        <f t="shared" si="17"/>
        <v>334</v>
      </c>
      <c r="AB22" s="334">
        <f t="shared" si="17"/>
        <v>293</v>
      </c>
      <c r="AC22" s="334">
        <f t="shared" si="17"/>
        <v>227</v>
      </c>
      <c r="AD22" s="334">
        <f t="shared" si="17"/>
        <v>237</v>
      </c>
      <c r="AE22" s="334">
        <f t="shared" si="17"/>
        <v>125</v>
      </c>
      <c r="AF22" s="334">
        <f t="shared" si="17"/>
        <v>247</v>
      </c>
      <c r="AG22" s="335">
        <f t="shared" si="17"/>
        <v>225</v>
      </c>
      <c r="AH22" s="314"/>
      <c r="AK22" s="223">
        <v>293</v>
      </c>
      <c r="AL22" s="223">
        <v>227</v>
      </c>
      <c r="AM22" s="223">
        <v>237</v>
      </c>
      <c r="AN22" s="201">
        <v>346</v>
      </c>
      <c r="AO22" s="163"/>
      <c r="AP22" s="163"/>
    </row>
    <row r="23" spans="1:42" ht="15.75">
      <c r="A23" s="309" t="s">
        <v>5</v>
      </c>
      <c r="B23" s="336">
        <f>B107</f>
        <v>835.04526759358589</v>
      </c>
      <c r="C23" s="336">
        <f t="shared" ref="C23:Z23" si="18">C107</f>
        <v>570.58011572462715</v>
      </c>
      <c r="D23" s="336">
        <f t="shared" si="18"/>
        <v>875.81363854629421</v>
      </c>
      <c r="E23" s="336">
        <f t="shared" si="18"/>
        <v>480.91249907103179</v>
      </c>
      <c r="F23" s="336">
        <f t="shared" si="18"/>
        <v>467.66200935915742</v>
      </c>
      <c r="G23" s="336">
        <f t="shared" si="18"/>
        <v>549.87861643948679</v>
      </c>
      <c r="H23" s="336">
        <f t="shared" si="18"/>
        <v>866.97040533509971</v>
      </c>
      <c r="I23" s="336">
        <f t="shared" si="18"/>
        <v>961.69822094221172</v>
      </c>
      <c r="J23" s="336">
        <f t="shared" si="18"/>
        <v>860.39168089803798</v>
      </c>
      <c r="K23" s="336">
        <f t="shared" si="18"/>
        <v>1282.9386388657922</v>
      </c>
      <c r="L23" s="336">
        <f t="shared" si="18"/>
        <v>1348.4699604743082</v>
      </c>
      <c r="M23" s="336">
        <f t="shared" si="18"/>
        <v>1110.6540266798418</v>
      </c>
      <c r="N23" s="336">
        <f t="shared" si="18"/>
        <v>1839.8052521391651</v>
      </c>
      <c r="O23" s="336">
        <f t="shared" si="18"/>
        <v>2020.04286545224</v>
      </c>
      <c r="P23" s="336">
        <f t="shared" si="18"/>
        <v>1736.8774083003354</v>
      </c>
      <c r="Q23" s="336">
        <f t="shared" si="18"/>
        <v>2468.3823545132495</v>
      </c>
      <c r="R23" s="336">
        <f t="shared" si="18"/>
        <v>2818.1267013856027</v>
      </c>
      <c r="S23" s="336">
        <f t="shared" si="18"/>
        <v>2917.9637368205913</v>
      </c>
      <c r="T23" s="336">
        <f t="shared" si="18"/>
        <v>3543.8330786072142</v>
      </c>
      <c r="U23" s="336">
        <f t="shared" si="18"/>
        <v>3075.1465910926386</v>
      </c>
      <c r="V23" s="336">
        <f t="shared" si="18"/>
        <v>4134.2461556272865</v>
      </c>
      <c r="W23" s="336">
        <f t="shared" si="18"/>
        <v>3420.5046823570278</v>
      </c>
      <c r="X23" s="313">
        <f t="shared" si="18"/>
        <v>3662.8227218524321</v>
      </c>
      <c r="Y23" s="313">
        <f t="shared" si="18"/>
        <v>4960.9019625274723</v>
      </c>
      <c r="Z23" s="313">
        <f t="shared" si="18"/>
        <v>5339.6907021753568</v>
      </c>
      <c r="AA23" s="313">
        <f>AA123*AA91</f>
        <v>6349.4948644442411</v>
      </c>
      <c r="AB23" s="313">
        <f>AB123*AB91</f>
        <v>6324.1881731548574</v>
      </c>
      <c r="AC23" s="313">
        <v>7054</v>
      </c>
      <c r="AD23" s="313">
        <v>7055</v>
      </c>
      <c r="AE23" s="313">
        <v>7056</v>
      </c>
      <c r="AF23" s="314">
        <f>AF123*AF91</f>
        <v>5723.8893697589892</v>
      </c>
      <c r="AG23" s="314">
        <f>AG123*AG91</f>
        <v>6364.6749376787948</v>
      </c>
      <c r="AH23" s="314"/>
      <c r="AK23" s="212">
        <v>6455</v>
      </c>
      <c r="AL23" s="212">
        <v>5679</v>
      </c>
      <c r="AM23" s="212">
        <v>4956</v>
      </c>
      <c r="AN23" s="225">
        <v>4027</v>
      </c>
      <c r="AO23" s="163"/>
      <c r="AP23" s="163"/>
    </row>
    <row r="24" spans="1:42" ht="15.75">
      <c r="A24" s="309" t="s">
        <v>6</v>
      </c>
      <c r="B24" s="336">
        <v>0</v>
      </c>
      <c r="C24" s="336">
        <v>0</v>
      </c>
      <c r="D24" s="336">
        <v>0</v>
      </c>
      <c r="E24" s="336">
        <v>0</v>
      </c>
      <c r="F24" s="336">
        <v>0</v>
      </c>
      <c r="G24" s="336">
        <v>0</v>
      </c>
      <c r="H24" s="336">
        <f t="shared" ref="H24:AE24" si="19">H139</f>
        <v>6.4879999999999995</v>
      </c>
      <c r="I24" s="336">
        <f t="shared" si="19"/>
        <v>17.5</v>
      </c>
      <c r="J24" s="336">
        <f t="shared" si="19"/>
        <v>0.34599999999999997</v>
      </c>
      <c r="K24" s="336">
        <f t="shared" si="19"/>
        <v>0</v>
      </c>
      <c r="L24" s="336">
        <f t="shared" si="19"/>
        <v>0.91900000000000004</v>
      </c>
      <c r="M24" s="336">
        <f t="shared" si="19"/>
        <v>0.05</v>
      </c>
      <c r="N24" s="336">
        <f t="shared" si="19"/>
        <v>0</v>
      </c>
      <c r="O24" s="336">
        <f t="shared" si="19"/>
        <v>0</v>
      </c>
      <c r="P24" s="336">
        <f t="shared" si="19"/>
        <v>1.0860000000000001</v>
      </c>
      <c r="Q24" s="336">
        <f t="shared" si="19"/>
        <v>0.191</v>
      </c>
      <c r="R24" s="336">
        <f t="shared" si="19"/>
        <v>0.35100000000000003</v>
      </c>
      <c r="S24" s="336">
        <f t="shared" si="19"/>
        <v>0.50900000000000001</v>
      </c>
      <c r="T24" s="336">
        <f t="shared" si="19"/>
        <v>0.59500000000000008</v>
      </c>
      <c r="U24" s="336">
        <f t="shared" si="19"/>
        <v>1.7270000000000001</v>
      </c>
      <c r="V24" s="336">
        <f t="shared" si="19"/>
        <v>4.5999999999999999E-2</v>
      </c>
      <c r="W24" s="336">
        <f t="shared" si="19"/>
        <v>5.8129999999999997</v>
      </c>
      <c r="X24" s="313">
        <f t="shared" si="19"/>
        <v>0.82099999999999995</v>
      </c>
      <c r="Y24" s="313">
        <f t="shared" si="19"/>
        <v>0.77100000000000013</v>
      </c>
      <c r="Z24" s="313">
        <f t="shared" si="19"/>
        <v>8.9120000000000008</v>
      </c>
      <c r="AA24" s="313">
        <f t="shared" si="19"/>
        <v>6.4240000000000004</v>
      </c>
      <c r="AB24" s="313">
        <f t="shared" si="19"/>
        <v>7.9249999999999989</v>
      </c>
      <c r="AC24" s="313">
        <f t="shared" si="19"/>
        <v>1.9440000000000002</v>
      </c>
      <c r="AD24" s="313">
        <f t="shared" si="19"/>
        <v>2.16</v>
      </c>
      <c r="AE24" s="313">
        <f t="shared" si="19"/>
        <v>14.005000000000001</v>
      </c>
      <c r="AF24" s="314">
        <v>15</v>
      </c>
      <c r="AG24" s="314">
        <v>15</v>
      </c>
      <c r="AH24" s="314"/>
      <c r="AK24" s="223">
        <v>10</v>
      </c>
      <c r="AL24" s="223">
        <v>2</v>
      </c>
      <c r="AM24" s="223">
        <v>3</v>
      </c>
      <c r="AN24" s="201">
        <v>2</v>
      </c>
      <c r="AO24" s="163"/>
      <c r="AP24" s="163"/>
    </row>
    <row r="25" spans="1:42" ht="15.75">
      <c r="A25" s="332" t="s">
        <v>7</v>
      </c>
      <c r="B25" s="333">
        <f>SUM(B22:B24)</f>
        <v>835.04526759358589</v>
      </c>
      <c r="C25" s="333">
        <f t="shared" ref="C25:AB25" si="20">SUM(C22:C24)</f>
        <v>570.58011572462715</v>
      </c>
      <c r="D25" s="333">
        <f t="shared" si="20"/>
        <v>875.81363854629421</v>
      </c>
      <c r="E25" s="333">
        <f t="shared" si="20"/>
        <v>480.91249907103179</v>
      </c>
      <c r="F25" s="333">
        <f t="shared" si="20"/>
        <v>467.66200935915742</v>
      </c>
      <c r="G25" s="333">
        <f t="shared" si="20"/>
        <v>549.87861643948679</v>
      </c>
      <c r="H25" s="333">
        <f t="shared" si="20"/>
        <v>873.45840533509977</v>
      </c>
      <c r="I25" s="333">
        <f t="shared" si="20"/>
        <v>981.19822094221172</v>
      </c>
      <c r="J25" s="333">
        <f t="shared" si="20"/>
        <v>862.73768089803798</v>
      </c>
      <c r="K25" s="333">
        <f t="shared" si="20"/>
        <v>1284.9386388657922</v>
      </c>
      <c r="L25" s="333">
        <f t="shared" si="20"/>
        <v>1353.3889604743083</v>
      </c>
      <c r="M25" s="333">
        <f t="shared" si="20"/>
        <v>1115.7040266798417</v>
      </c>
      <c r="N25" s="333">
        <f t="shared" si="20"/>
        <v>1844.8052521391651</v>
      </c>
      <c r="O25" s="333">
        <f t="shared" si="20"/>
        <v>2025.04286545224</v>
      </c>
      <c r="P25" s="333">
        <f t="shared" si="20"/>
        <v>1742.9634083003355</v>
      </c>
      <c r="Q25" s="333">
        <f t="shared" si="20"/>
        <v>2483.5733545132493</v>
      </c>
      <c r="R25" s="333">
        <f t="shared" si="20"/>
        <v>2874.4777013856028</v>
      </c>
      <c r="S25" s="333">
        <f t="shared" si="20"/>
        <v>3045.4727368205913</v>
      </c>
      <c r="T25" s="333">
        <f t="shared" si="20"/>
        <v>3671.428078607214</v>
      </c>
      <c r="U25" s="333">
        <f t="shared" si="20"/>
        <v>3077.8735910926384</v>
      </c>
      <c r="V25" s="333">
        <f t="shared" si="20"/>
        <v>4140.2921556272868</v>
      </c>
      <c r="W25" s="333">
        <f t="shared" si="20"/>
        <v>3730.3176823570279</v>
      </c>
      <c r="X25" s="334">
        <f t="shared" si="20"/>
        <v>4033.643721852432</v>
      </c>
      <c r="Y25" s="334">
        <f t="shared" si="20"/>
        <v>5221.672962527472</v>
      </c>
      <c r="Z25" s="334">
        <f t="shared" si="20"/>
        <v>5532.6027021753571</v>
      </c>
      <c r="AA25" s="334">
        <f t="shared" si="20"/>
        <v>6689.9188644442411</v>
      </c>
      <c r="AB25" s="334">
        <f t="shared" si="20"/>
        <v>6625.1131731548576</v>
      </c>
      <c r="AC25" s="334">
        <f>SUM(AC22:AC24)</f>
        <v>7282.9440000000004</v>
      </c>
      <c r="AD25" s="334">
        <f t="shared" ref="AD25:AG25" si="21">SUM(AD22:AD24)</f>
        <v>7294.16</v>
      </c>
      <c r="AE25" s="334">
        <f t="shared" si="21"/>
        <v>7195.0050000000001</v>
      </c>
      <c r="AF25" s="335">
        <f t="shared" si="21"/>
        <v>5985.8893697589892</v>
      </c>
      <c r="AG25" s="335">
        <f t="shared" si="21"/>
        <v>6604.6749376787948</v>
      </c>
      <c r="AH25" s="314"/>
      <c r="AK25" s="212">
        <v>6758</v>
      </c>
      <c r="AL25" s="212">
        <v>5908</v>
      </c>
      <c r="AM25" s="212">
        <v>5196</v>
      </c>
      <c r="AN25" s="225">
        <v>4375</v>
      </c>
      <c r="AO25" s="163"/>
      <c r="AP25" s="163"/>
    </row>
    <row r="26" spans="1:42" ht="15.75">
      <c r="A26" s="309" t="s">
        <v>24</v>
      </c>
      <c r="B26" s="336">
        <f>B28-B27</f>
        <v>835.04526759358589</v>
      </c>
      <c r="C26" s="336">
        <f t="shared" ref="C26:AB26" si="22">C28-C27</f>
        <v>570.58011572462715</v>
      </c>
      <c r="D26" s="336">
        <f t="shared" si="22"/>
        <v>875.81363854629421</v>
      </c>
      <c r="E26" s="336">
        <f t="shared" si="22"/>
        <v>470.91249907103179</v>
      </c>
      <c r="F26" s="336">
        <f t="shared" si="22"/>
        <v>317.66200935915742</v>
      </c>
      <c r="G26" s="336">
        <f t="shared" si="22"/>
        <v>359.87861643948679</v>
      </c>
      <c r="H26" s="336">
        <f t="shared" si="22"/>
        <v>524.5169683350997</v>
      </c>
      <c r="I26" s="336">
        <f t="shared" si="22"/>
        <v>544.49822094221167</v>
      </c>
      <c r="J26" s="336">
        <f t="shared" si="22"/>
        <v>258.79668089803783</v>
      </c>
      <c r="K26" s="336">
        <f t="shared" si="22"/>
        <v>435.70963886579227</v>
      </c>
      <c r="L26" s="336">
        <f t="shared" si="22"/>
        <v>257.56596047430821</v>
      </c>
      <c r="M26" s="336">
        <f t="shared" si="22"/>
        <v>242.1910266798418</v>
      </c>
      <c r="N26" s="336">
        <f t="shared" si="22"/>
        <v>498.17425213916499</v>
      </c>
      <c r="O26" s="336">
        <f t="shared" si="22"/>
        <v>510.40686545224025</v>
      </c>
      <c r="P26" s="336">
        <f t="shared" si="22"/>
        <v>483.49940830033552</v>
      </c>
      <c r="Q26" s="336">
        <f t="shared" si="22"/>
        <v>159.33935451324987</v>
      </c>
      <c r="R26" s="336">
        <f t="shared" si="22"/>
        <v>231.777701385603</v>
      </c>
      <c r="S26" s="336">
        <f t="shared" si="22"/>
        <v>-51.059263179408845</v>
      </c>
      <c r="T26" s="336">
        <f t="shared" si="22"/>
        <v>-253.72392139278554</v>
      </c>
      <c r="U26" s="336">
        <f t="shared" si="22"/>
        <v>100.71959109263844</v>
      </c>
      <c r="V26" s="336">
        <f t="shared" si="22"/>
        <v>148.31315562728651</v>
      </c>
      <c r="W26" s="336">
        <f t="shared" si="22"/>
        <v>8.6246823570277229</v>
      </c>
      <c r="X26" s="313">
        <f t="shared" si="22"/>
        <v>-71.881278147567627</v>
      </c>
      <c r="Y26" s="313">
        <f t="shared" si="22"/>
        <v>210.88096252747255</v>
      </c>
      <c r="Z26" s="313">
        <f t="shared" si="22"/>
        <v>1022.6877021753571</v>
      </c>
      <c r="AA26" s="313">
        <f t="shared" si="22"/>
        <v>1609.0128644442411</v>
      </c>
      <c r="AB26" s="313">
        <f t="shared" si="22"/>
        <v>1233.2621731548579</v>
      </c>
      <c r="AC26" s="313">
        <f>AC28-AC27</f>
        <v>2680.5099999999993</v>
      </c>
      <c r="AD26" s="313">
        <f t="shared" ref="AD26:AG26" si="23">AD28-AD27</f>
        <v>3650.6110000000003</v>
      </c>
      <c r="AE26" s="313">
        <f t="shared" si="23"/>
        <v>3040.1860000000006</v>
      </c>
      <c r="AF26" s="314">
        <f t="shared" si="23"/>
        <v>1510.8893697589892</v>
      </c>
      <c r="AG26" s="314">
        <f t="shared" si="23"/>
        <v>1854.6749376787948</v>
      </c>
      <c r="AH26" s="314"/>
      <c r="AK26" s="212">
        <v>1350</v>
      </c>
      <c r="AL26" s="212">
        <v>1275</v>
      </c>
      <c r="AM26" s="212">
        <v>1500</v>
      </c>
      <c r="AN26" s="225">
        <v>1250</v>
      </c>
      <c r="AO26" s="163"/>
      <c r="AP26" s="163"/>
    </row>
    <row r="27" spans="1:42" ht="15.75">
      <c r="A27" s="309" t="s">
        <v>9</v>
      </c>
      <c r="B27" s="336">
        <v>0</v>
      </c>
      <c r="C27" s="336">
        <v>0</v>
      </c>
      <c r="D27" s="336">
        <v>0</v>
      </c>
      <c r="E27" s="336">
        <v>10</v>
      </c>
      <c r="F27" s="336">
        <v>150</v>
      </c>
      <c r="G27" s="336">
        <v>190</v>
      </c>
      <c r="H27" s="336">
        <f t="shared" ref="H27:AE27" si="24">H155</f>
        <v>346.94143700000006</v>
      </c>
      <c r="I27" s="336">
        <f t="shared" si="24"/>
        <v>434.7000000000001</v>
      </c>
      <c r="J27" s="336">
        <f t="shared" si="24"/>
        <v>601.94100000000014</v>
      </c>
      <c r="K27" s="336">
        <f t="shared" si="24"/>
        <v>845.22899999999993</v>
      </c>
      <c r="L27" s="336">
        <f t="shared" si="24"/>
        <v>1090.8230000000001</v>
      </c>
      <c r="M27" s="336">
        <f t="shared" si="24"/>
        <v>868.51299999999992</v>
      </c>
      <c r="N27" s="336">
        <f t="shared" si="24"/>
        <v>1341.6310000000001</v>
      </c>
      <c r="O27" s="336">
        <f t="shared" si="24"/>
        <v>1509.6359999999997</v>
      </c>
      <c r="P27" s="336">
        <f t="shared" si="24"/>
        <v>1244.4639999999999</v>
      </c>
      <c r="Q27" s="336">
        <f t="shared" si="24"/>
        <v>2268.2339999999995</v>
      </c>
      <c r="R27" s="336">
        <f t="shared" si="24"/>
        <v>2515.6999999999998</v>
      </c>
      <c r="S27" s="336">
        <f t="shared" si="24"/>
        <v>2969.5320000000002</v>
      </c>
      <c r="T27" s="336">
        <f t="shared" si="24"/>
        <v>3924.1519999999996</v>
      </c>
      <c r="U27" s="336">
        <f t="shared" si="24"/>
        <v>2971.154</v>
      </c>
      <c r="V27" s="336">
        <f t="shared" si="24"/>
        <v>3687.9790000000003</v>
      </c>
      <c r="W27" s="336">
        <f t="shared" si="24"/>
        <v>3351.6930000000002</v>
      </c>
      <c r="X27" s="313">
        <f t="shared" si="24"/>
        <v>3845.5249999999996</v>
      </c>
      <c r="Y27" s="313">
        <f t="shared" si="24"/>
        <v>4826.7919999999995</v>
      </c>
      <c r="Z27" s="313">
        <f t="shared" si="24"/>
        <v>4175.915</v>
      </c>
      <c r="AA27" s="313">
        <f t="shared" si="24"/>
        <v>4787.9059999999999</v>
      </c>
      <c r="AB27" s="313">
        <f t="shared" si="24"/>
        <v>5164.8509999999997</v>
      </c>
      <c r="AC27" s="313">
        <f t="shared" si="24"/>
        <v>4365.4340000000011</v>
      </c>
      <c r="AD27" s="313">
        <f t="shared" si="24"/>
        <v>3518.5489999999995</v>
      </c>
      <c r="AE27" s="313">
        <f t="shared" si="24"/>
        <v>3907.8189999999995</v>
      </c>
      <c r="AF27" s="314">
        <f>2900-1500+1750+850+250</f>
        <v>4250</v>
      </c>
      <c r="AG27" s="314">
        <f>2900-1500+1750+1350</f>
        <v>4500</v>
      </c>
      <c r="AH27" s="314"/>
      <c r="AK27" s="212">
        <v>5181</v>
      </c>
      <c r="AL27" s="212">
        <v>4396</v>
      </c>
      <c r="AM27" s="212">
        <v>3350</v>
      </c>
      <c r="AN27" s="225">
        <v>2900</v>
      </c>
      <c r="AO27" s="163"/>
      <c r="AP27" s="163"/>
    </row>
    <row r="28" spans="1:42" ht="15.75">
      <c r="A28" s="332" t="s">
        <v>12</v>
      </c>
      <c r="B28" s="333">
        <f>B25-B29</f>
        <v>835.04526759358589</v>
      </c>
      <c r="C28" s="333">
        <f t="shared" ref="C28:AB28" si="25">C25-C29</f>
        <v>570.58011572462715</v>
      </c>
      <c r="D28" s="333">
        <f t="shared" si="25"/>
        <v>875.81363854629421</v>
      </c>
      <c r="E28" s="333">
        <f t="shared" si="25"/>
        <v>480.91249907103179</v>
      </c>
      <c r="F28" s="333">
        <f t="shared" si="25"/>
        <v>467.66200935915742</v>
      </c>
      <c r="G28" s="333">
        <f t="shared" si="25"/>
        <v>549.87861643948679</v>
      </c>
      <c r="H28" s="333">
        <f t="shared" si="25"/>
        <v>871.45840533509977</v>
      </c>
      <c r="I28" s="333">
        <f t="shared" si="25"/>
        <v>979.19822094221172</v>
      </c>
      <c r="J28" s="333">
        <f t="shared" si="25"/>
        <v>860.73768089803798</v>
      </c>
      <c r="K28" s="333">
        <f t="shared" si="25"/>
        <v>1280.9386388657922</v>
      </c>
      <c r="L28" s="333">
        <f t="shared" si="25"/>
        <v>1348.3889604743083</v>
      </c>
      <c r="M28" s="333">
        <f t="shared" si="25"/>
        <v>1110.7040266798417</v>
      </c>
      <c r="N28" s="333">
        <f t="shared" si="25"/>
        <v>1839.8052521391651</v>
      </c>
      <c r="O28" s="333">
        <f t="shared" si="25"/>
        <v>2020.04286545224</v>
      </c>
      <c r="P28" s="333">
        <f t="shared" si="25"/>
        <v>1727.9634083003355</v>
      </c>
      <c r="Q28" s="333">
        <f t="shared" si="25"/>
        <v>2427.5733545132493</v>
      </c>
      <c r="R28" s="333">
        <f t="shared" si="25"/>
        <v>2747.4777013856028</v>
      </c>
      <c r="S28" s="333">
        <f t="shared" si="25"/>
        <v>2918.4727368205913</v>
      </c>
      <c r="T28" s="333">
        <f t="shared" si="25"/>
        <v>3670.428078607214</v>
      </c>
      <c r="U28" s="333">
        <f t="shared" si="25"/>
        <v>3071.8735910926384</v>
      </c>
      <c r="V28" s="333">
        <f t="shared" si="25"/>
        <v>3836.2921556272868</v>
      </c>
      <c r="W28" s="333">
        <f t="shared" si="25"/>
        <v>3360.3176823570279</v>
      </c>
      <c r="X28" s="334">
        <f t="shared" si="25"/>
        <v>3773.643721852432</v>
      </c>
      <c r="Y28" s="334">
        <f t="shared" si="25"/>
        <v>5037.672962527472</v>
      </c>
      <c r="Z28" s="334">
        <f t="shared" si="25"/>
        <v>5198.6027021753571</v>
      </c>
      <c r="AA28" s="334">
        <f t="shared" si="25"/>
        <v>6396.9188644442411</v>
      </c>
      <c r="AB28" s="334">
        <f t="shared" si="25"/>
        <v>6398.1131731548576</v>
      </c>
      <c r="AC28" s="334">
        <f>AC25-AC29</f>
        <v>7045.9440000000004</v>
      </c>
      <c r="AD28" s="334">
        <f t="shared" ref="AD28:AG28" si="26">AD25-AD29</f>
        <v>7169.16</v>
      </c>
      <c r="AE28" s="334">
        <f t="shared" si="26"/>
        <v>6948.0050000000001</v>
      </c>
      <c r="AF28" s="335">
        <f t="shared" si="26"/>
        <v>5760.8893697589892</v>
      </c>
      <c r="AG28" s="335">
        <f t="shared" si="26"/>
        <v>6354.6749376787948</v>
      </c>
      <c r="AH28" s="314"/>
      <c r="AM28" s="201" t="s">
        <v>218</v>
      </c>
      <c r="AN28" s="201"/>
      <c r="AO28" s="163"/>
      <c r="AP28" s="163"/>
    </row>
    <row r="29" spans="1:42" ht="15.75">
      <c r="A29" s="309" t="s">
        <v>338</v>
      </c>
      <c r="B29" s="336">
        <v>0</v>
      </c>
      <c r="C29" s="336">
        <v>0</v>
      </c>
      <c r="D29" s="336">
        <v>0</v>
      </c>
      <c r="E29" s="336">
        <v>0</v>
      </c>
      <c r="F29" s="336">
        <v>0</v>
      </c>
      <c r="G29" s="336">
        <v>0</v>
      </c>
      <c r="H29" s="336">
        <v>2</v>
      </c>
      <c r="I29" s="336">
        <v>2</v>
      </c>
      <c r="J29" s="336">
        <v>2</v>
      </c>
      <c r="K29" s="336">
        <v>4</v>
      </c>
      <c r="L29" s="336">
        <v>5</v>
      </c>
      <c r="M29" s="336">
        <v>5</v>
      </c>
      <c r="N29" s="336">
        <v>5</v>
      </c>
      <c r="O29" s="336">
        <v>5</v>
      </c>
      <c r="P29" s="336">
        <v>15</v>
      </c>
      <c r="Q29" s="336">
        <v>56</v>
      </c>
      <c r="R29" s="336">
        <v>127</v>
      </c>
      <c r="S29" s="336">
        <v>127</v>
      </c>
      <c r="T29" s="336">
        <v>1</v>
      </c>
      <c r="U29" s="336">
        <v>6</v>
      </c>
      <c r="V29" s="336">
        <v>304</v>
      </c>
      <c r="W29" s="336">
        <v>370</v>
      </c>
      <c r="X29" s="313">
        <v>260</v>
      </c>
      <c r="Y29" s="313">
        <v>184</v>
      </c>
      <c r="Z29" s="313">
        <v>334</v>
      </c>
      <c r="AA29" s="313">
        <v>293</v>
      </c>
      <c r="AB29" s="313">
        <v>227</v>
      </c>
      <c r="AC29" s="313">
        <v>237</v>
      </c>
      <c r="AD29" s="313">
        <v>125</v>
      </c>
      <c r="AE29" s="313">
        <v>247</v>
      </c>
      <c r="AF29" s="314">
        <v>225</v>
      </c>
      <c r="AG29" s="314">
        <v>250</v>
      </c>
      <c r="AH29" s="314"/>
      <c r="AK29" s="223">
        <v>227</v>
      </c>
      <c r="AL29" s="223">
        <v>237</v>
      </c>
      <c r="AM29" s="223">
        <v>346</v>
      </c>
      <c r="AN29" s="201">
        <v>225</v>
      </c>
      <c r="AO29" s="163"/>
      <c r="AP29" s="163"/>
    </row>
    <row r="30" spans="1:42" ht="16.5" thickBot="1">
      <c r="A30" s="309" t="s">
        <v>225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  <c r="AH30" s="342"/>
      <c r="AM30" s="201" t="s">
        <v>218</v>
      </c>
      <c r="AN30" s="201"/>
      <c r="AO30" s="163"/>
      <c r="AP30" s="163"/>
    </row>
    <row r="31" spans="1:42" ht="15.75">
      <c r="A31" s="346" t="s">
        <v>340</v>
      </c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2"/>
      <c r="AM31" s="201"/>
      <c r="AN31" s="201"/>
      <c r="AO31" s="163"/>
      <c r="AP31" s="163"/>
    </row>
    <row r="32" spans="1:42" ht="15.75">
      <c r="A32" s="332" t="s">
        <v>316</v>
      </c>
      <c r="B32" s="333">
        <v>206</v>
      </c>
      <c r="C32" s="333">
        <f>B42</f>
        <v>196</v>
      </c>
      <c r="D32" s="333">
        <f t="shared" ref="D32:AG32" si="27">C42</f>
        <v>107</v>
      </c>
      <c r="E32" s="333">
        <f t="shared" si="27"/>
        <v>150</v>
      </c>
      <c r="F32" s="333">
        <f t="shared" si="27"/>
        <v>25</v>
      </c>
      <c r="G32" s="333">
        <f t="shared" si="27"/>
        <v>9</v>
      </c>
      <c r="H32" s="333">
        <f t="shared" si="27"/>
        <v>7</v>
      </c>
      <c r="I32" s="333">
        <f t="shared" si="27"/>
        <v>12</v>
      </c>
      <c r="J32" s="333">
        <f t="shared" si="27"/>
        <v>15</v>
      </c>
      <c r="K32" s="333">
        <f t="shared" si="27"/>
        <v>35</v>
      </c>
      <c r="L32" s="333">
        <f t="shared" si="27"/>
        <v>9</v>
      </c>
      <c r="M32" s="333">
        <f t="shared" si="27"/>
        <v>48</v>
      </c>
      <c r="N32" s="333">
        <f t="shared" si="27"/>
        <v>293</v>
      </c>
      <c r="O32" s="333">
        <f t="shared" si="27"/>
        <v>287</v>
      </c>
      <c r="P32" s="333">
        <f t="shared" si="27"/>
        <v>90</v>
      </c>
      <c r="Q32" s="333">
        <f t="shared" si="27"/>
        <v>148</v>
      </c>
      <c r="R32" s="333">
        <f t="shared" si="27"/>
        <v>266</v>
      </c>
      <c r="S32" s="333">
        <f t="shared" si="27"/>
        <v>144</v>
      </c>
      <c r="T32" s="333">
        <f t="shared" si="27"/>
        <v>298</v>
      </c>
      <c r="U32" s="333">
        <f t="shared" si="27"/>
        <v>462</v>
      </c>
      <c r="V32" s="333">
        <f t="shared" si="27"/>
        <v>306</v>
      </c>
      <c r="W32" s="333">
        <f t="shared" si="27"/>
        <v>335</v>
      </c>
      <c r="X32" s="334">
        <f t="shared" si="27"/>
        <v>294</v>
      </c>
      <c r="Y32" s="334">
        <f t="shared" si="27"/>
        <v>305</v>
      </c>
      <c r="Z32" s="334">
        <f t="shared" si="27"/>
        <v>255</v>
      </c>
      <c r="AA32" s="334">
        <f t="shared" si="27"/>
        <v>279</v>
      </c>
      <c r="AB32" s="334">
        <f t="shared" si="27"/>
        <v>35</v>
      </c>
      <c r="AC32" s="334">
        <f t="shared" si="27"/>
        <v>189</v>
      </c>
      <c r="AD32" s="334">
        <f t="shared" si="27"/>
        <v>279</v>
      </c>
      <c r="AE32" s="334">
        <f t="shared" si="27"/>
        <v>94</v>
      </c>
      <c r="AF32" s="334">
        <f t="shared" si="27"/>
        <v>27</v>
      </c>
      <c r="AG32" s="335">
        <f t="shared" si="27"/>
        <v>130</v>
      </c>
      <c r="AH32" s="314"/>
      <c r="AK32" s="223">
        <v>35</v>
      </c>
      <c r="AL32" s="223">
        <v>189</v>
      </c>
      <c r="AM32" s="223">
        <v>269</v>
      </c>
      <c r="AN32" s="201">
        <v>414</v>
      </c>
      <c r="AO32" s="163"/>
      <c r="AP32" s="163"/>
    </row>
    <row r="33" spans="1:42" ht="15.75">
      <c r="A33" s="309" t="s">
        <v>5</v>
      </c>
      <c r="B33" s="336">
        <v>767</v>
      </c>
      <c r="C33" s="336">
        <f>C234</f>
        <v>587.99999999999977</v>
      </c>
      <c r="D33" s="336">
        <f t="shared" ref="D33:AE33" si="28">D234</f>
        <v>943.00000000000011</v>
      </c>
      <c r="E33" s="336">
        <f t="shared" si="28"/>
        <v>429.99999999999994</v>
      </c>
      <c r="F33" s="336">
        <f t="shared" si="28"/>
        <v>505.00000000000011</v>
      </c>
      <c r="G33" s="336">
        <f t="shared" si="28"/>
        <v>560</v>
      </c>
      <c r="H33" s="336">
        <f t="shared" si="28"/>
        <v>879.99999999999989</v>
      </c>
      <c r="I33" s="336">
        <f t="shared" si="28"/>
        <v>975.99999999999989</v>
      </c>
      <c r="J33" s="336">
        <f t="shared" si="28"/>
        <v>880.99999999999989</v>
      </c>
      <c r="K33" s="336">
        <f t="shared" si="28"/>
        <v>1281.5</v>
      </c>
      <c r="L33" s="336">
        <f t="shared" si="28"/>
        <v>1338.1</v>
      </c>
      <c r="M33" s="336">
        <f t="shared" si="28"/>
        <v>1151.3</v>
      </c>
      <c r="N33" s="336">
        <f t="shared" si="28"/>
        <v>1868.3999999999999</v>
      </c>
      <c r="O33" s="336">
        <f t="shared" si="28"/>
        <v>2096.8999999999996</v>
      </c>
      <c r="P33" s="336">
        <f t="shared" si="28"/>
        <v>1755.5</v>
      </c>
      <c r="Q33" s="336">
        <f t="shared" si="28"/>
        <v>2535.6999999999998</v>
      </c>
      <c r="R33" s="336">
        <f t="shared" si="28"/>
        <v>2878.3999999999996</v>
      </c>
      <c r="S33" s="336">
        <f t="shared" si="28"/>
        <v>3017.9</v>
      </c>
      <c r="T33" s="336">
        <f t="shared" si="28"/>
        <v>3624.2999999999997</v>
      </c>
      <c r="U33" s="336">
        <f t="shared" si="28"/>
        <v>3135</v>
      </c>
      <c r="V33" s="336">
        <f t="shared" si="28"/>
        <v>4232.1000000000004</v>
      </c>
      <c r="W33" s="336">
        <f t="shared" si="28"/>
        <v>3565.4</v>
      </c>
      <c r="X33" s="313">
        <f t="shared" si="28"/>
        <v>3913.3</v>
      </c>
      <c r="Y33" s="313">
        <f t="shared" si="28"/>
        <v>6351</v>
      </c>
      <c r="Z33" s="313">
        <f t="shared" si="28"/>
        <v>5913</v>
      </c>
      <c r="AA33" s="313">
        <f t="shared" si="28"/>
        <v>6364</v>
      </c>
      <c r="AB33" s="313">
        <f t="shared" si="28"/>
        <v>7390</v>
      </c>
      <c r="AC33" s="313">
        <f t="shared" si="28"/>
        <v>5913</v>
      </c>
      <c r="AD33" s="313">
        <f t="shared" si="28"/>
        <v>4644</v>
      </c>
      <c r="AE33" s="313">
        <f t="shared" si="28"/>
        <v>6020</v>
      </c>
      <c r="AF33" s="314">
        <f>AF234</f>
        <v>6321</v>
      </c>
      <c r="AG33" s="314">
        <f>AG234</f>
        <v>6150</v>
      </c>
      <c r="AH33" s="314"/>
      <c r="AK33" s="212">
        <v>7390</v>
      </c>
      <c r="AL33" s="212">
        <v>5913</v>
      </c>
      <c r="AM33" s="212">
        <v>5160</v>
      </c>
      <c r="AN33" s="225">
        <v>4193</v>
      </c>
      <c r="AO33" s="163"/>
      <c r="AP33" s="163"/>
    </row>
    <row r="34" spans="1:42" ht="15.75">
      <c r="A34" s="309" t="s">
        <v>6</v>
      </c>
      <c r="B34" s="336">
        <v>0</v>
      </c>
      <c r="C34" s="336">
        <v>5</v>
      </c>
      <c r="D34" s="336">
        <v>0</v>
      </c>
      <c r="E34" s="336">
        <v>30</v>
      </c>
      <c r="F34" s="336">
        <v>15</v>
      </c>
      <c r="G34" s="336">
        <v>30</v>
      </c>
      <c r="H34" s="336">
        <v>0</v>
      </c>
      <c r="I34" s="336">
        <v>0</v>
      </c>
      <c r="J34" s="336">
        <f t="shared" ref="J34:AE34" si="29">J282</f>
        <v>6.7000000000000004E-2</v>
      </c>
      <c r="K34" s="336">
        <f t="shared" si="29"/>
        <v>1.3039999999999998</v>
      </c>
      <c r="L34" s="336">
        <f t="shared" si="29"/>
        <v>0.13100000000000001</v>
      </c>
      <c r="M34" s="336">
        <f t="shared" si="29"/>
        <v>2.3129999999999993</v>
      </c>
      <c r="N34" s="336">
        <f t="shared" si="29"/>
        <v>0.11700000000000001</v>
      </c>
      <c r="O34" s="336">
        <f t="shared" si="29"/>
        <v>0.26600000000000001</v>
      </c>
      <c r="P34" s="336">
        <f t="shared" si="29"/>
        <v>0.873</v>
      </c>
      <c r="Q34" s="336">
        <f t="shared" si="29"/>
        <v>0.495</v>
      </c>
      <c r="R34" s="336">
        <f t="shared" si="29"/>
        <v>1.0760000000000001</v>
      </c>
      <c r="S34" s="336">
        <f t="shared" si="29"/>
        <v>1.147</v>
      </c>
      <c r="T34" s="336">
        <f t="shared" si="29"/>
        <v>1.4180000000000001</v>
      </c>
      <c r="U34" s="336">
        <f t="shared" si="29"/>
        <v>1.5099999999999998</v>
      </c>
      <c r="V34" s="336">
        <f t="shared" si="29"/>
        <v>1.4660000000000002</v>
      </c>
      <c r="W34" s="336">
        <f t="shared" si="29"/>
        <v>1.611</v>
      </c>
      <c r="X34" s="313">
        <f t="shared" si="29"/>
        <v>0.97199999999999998</v>
      </c>
      <c r="Y34" s="313">
        <f t="shared" si="29"/>
        <v>0.29499999999999998</v>
      </c>
      <c r="Z34" s="313">
        <f t="shared" si="29"/>
        <v>0.67800000000000005</v>
      </c>
      <c r="AA34" s="313">
        <f t="shared" si="29"/>
        <v>8.6000000000000007E-2</v>
      </c>
      <c r="AB34" s="313">
        <f t="shared" si="29"/>
        <v>0.115</v>
      </c>
      <c r="AC34" s="313">
        <f t="shared" si="29"/>
        <v>6.2000000000000013E-2</v>
      </c>
      <c r="AD34" s="313">
        <f t="shared" si="29"/>
        <v>1.0550000000000002</v>
      </c>
      <c r="AE34" s="313">
        <f t="shared" si="29"/>
        <v>0.63800000000000001</v>
      </c>
      <c r="AF34" s="314">
        <v>1</v>
      </c>
      <c r="AG34" s="314">
        <v>1</v>
      </c>
      <c r="AH34" s="314"/>
      <c r="AK34" s="223">
        <v>0</v>
      </c>
      <c r="AL34" s="223">
        <v>0</v>
      </c>
      <c r="AM34" s="223">
        <v>0</v>
      </c>
      <c r="AN34" s="201">
        <v>0</v>
      </c>
      <c r="AO34" s="163"/>
      <c r="AP34" s="163"/>
    </row>
    <row r="35" spans="1:42" ht="15.75">
      <c r="A35" s="332" t="s">
        <v>7</v>
      </c>
      <c r="B35" s="333">
        <f>SUM(B32:B34)</f>
        <v>973</v>
      </c>
      <c r="C35" s="333">
        <f t="shared" ref="C35:AG35" si="30">SUM(C32:C34)</f>
        <v>788.99999999999977</v>
      </c>
      <c r="D35" s="333">
        <f t="shared" si="30"/>
        <v>1050</v>
      </c>
      <c r="E35" s="333">
        <f t="shared" si="30"/>
        <v>610</v>
      </c>
      <c r="F35" s="333">
        <f t="shared" si="30"/>
        <v>545.00000000000011</v>
      </c>
      <c r="G35" s="333">
        <f t="shared" si="30"/>
        <v>599</v>
      </c>
      <c r="H35" s="333">
        <f t="shared" si="30"/>
        <v>886.99999999999989</v>
      </c>
      <c r="I35" s="333">
        <f t="shared" si="30"/>
        <v>987.99999999999989</v>
      </c>
      <c r="J35" s="333">
        <f t="shared" si="30"/>
        <v>896.06699999999989</v>
      </c>
      <c r="K35" s="333">
        <f t="shared" si="30"/>
        <v>1317.8040000000001</v>
      </c>
      <c r="L35" s="333">
        <f t="shared" si="30"/>
        <v>1347.231</v>
      </c>
      <c r="M35" s="333">
        <f t="shared" si="30"/>
        <v>1201.6130000000001</v>
      </c>
      <c r="N35" s="333">
        <f t="shared" si="30"/>
        <v>2161.5169999999998</v>
      </c>
      <c r="O35" s="333">
        <f t="shared" si="30"/>
        <v>2384.1659999999997</v>
      </c>
      <c r="P35" s="333">
        <f t="shared" si="30"/>
        <v>1846.373</v>
      </c>
      <c r="Q35" s="333">
        <f t="shared" si="30"/>
        <v>2684.1949999999997</v>
      </c>
      <c r="R35" s="333">
        <f t="shared" si="30"/>
        <v>3145.4759999999997</v>
      </c>
      <c r="S35" s="333">
        <f t="shared" si="30"/>
        <v>3163.047</v>
      </c>
      <c r="T35" s="333">
        <f t="shared" si="30"/>
        <v>3923.7179999999998</v>
      </c>
      <c r="U35" s="333">
        <f t="shared" si="30"/>
        <v>3598.51</v>
      </c>
      <c r="V35" s="333">
        <f t="shared" si="30"/>
        <v>4539.5660000000007</v>
      </c>
      <c r="W35" s="333">
        <f t="shared" si="30"/>
        <v>3902.011</v>
      </c>
      <c r="X35" s="334">
        <f t="shared" si="30"/>
        <v>4208.2719999999999</v>
      </c>
      <c r="Y35" s="334">
        <f t="shared" si="30"/>
        <v>6656.2950000000001</v>
      </c>
      <c r="Z35" s="334">
        <f t="shared" si="30"/>
        <v>6168.6779999999999</v>
      </c>
      <c r="AA35" s="334">
        <f t="shared" si="30"/>
        <v>6643.0860000000002</v>
      </c>
      <c r="AB35" s="334">
        <f t="shared" si="30"/>
        <v>7425.1149999999998</v>
      </c>
      <c r="AC35" s="334">
        <f t="shared" si="30"/>
        <v>6102.0619999999999</v>
      </c>
      <c r="AD35" s="334">
        <f t="shared" si="30"/>
        <v>4924.0550000000003</v>
      </c>
      <c r="AE35" s="334">
        <f t="shared" si="30"/>
        <v>6114.6379999999999</v>
      </c>
      <c r="AF35" s="335">
        <f t="shared" si="30"/>
        <v>6349</v>
      </c>
      <c r="AG35" s="335">
        <f t="shared" si="30"/>
        <v>6281</v>
      </c>
      <c r="AH35" s="314"/>
      <c r="AK35" s="212">
        <v>7425</v>
      </c>
      <c r="AL35" s="212">
        <v>6102</v>
      </c>
      <c r="AM35" s="212">
        <v>5429</v>
      </c>
      <c r="AN35" s="225">
        <v>4607</v>
      </c>
      <c r="AO35" s="163"/>
      <c r="AP35" s="163"/>
    </row>
    <row r="36" spans="1:42" ht="15.75">
      <c r="A36" s="309" t="s">
        <v>24</v>
      </c>
      <c r="B36" s="336">
        <f>B41-B40</f>
        <v>384</v>
      </c>
      <c r="C36" s="336">
        <f t="shared" ref="C36:AB36" si="31">C41-C40</f>
        <v>533.99999999999977</v>
      </c>
      <c r="D36" s="336">
        <f t="shared" si="31"/>
        <v>540</v>
      </c>
      <c r="E36" s="336">
        <f t="shared" si="31"/>
        <v>420.9</v>
      </c>
      <c r="F36" s="336">
        <f t="shared" si="31"/>
        <v>356.80000000000007</v>
      </c>
      <c r="G36" s="336">
        <f t="shared" si="31"/>
        <v>382</v>
      </c>
      <c r="H36" s="336">
        <f t="shared" si="31"/>
        <v>425.29499298999991</v>
      </c>
      <c r="I36" s="336">
        <f t="shared" si="31"/>
        <v>411.69999999999982</v>
      </c>
      <c r="J36" s="336">
        <f t="shared" si="31"/>
        <v>415.06689814999982</v>
      </c>
      <c r="K36" s="336">
        <f t="shared" si="31"/>
        <v>401.63400000000013</v>
      </c>
      <c r="L36" s="336">
        <f t="shared" si="31"/>
        <v>327.34100000000012</v>
      </c>
      <c r="M36" s="336">
        <f t="shared" si="31"/>
        <v>251.95200000000023</v>
      </c>
      <c r="N36" s="336">
        <f t="shared" si="31"/>
        <v>288.29099999999994</v>
      </c>
      <c r="O36" s="336">
        <f t="shared" si="31"/>
        <v>467.76399999999967</v>
      </c>
      <c r="P36" s="336">
        <f t="shared" si="31"/>
        <v>361.50600000000009</v>
      </c>
      <c r="Q36" s="336">
        <f t="shared" si="31"/>
        <v>222.97499999999945</v>
      </c>
      <c r="R36" s="336">
        <f t="shared" si="31"/>
        <v>451.05299999999943</v>
      </c>
      <c r="S36" s="336">
        <f t="shared" si="31"/>
        <v>213.83399999999983</v>
      </c>
      <c r="T36" s="336">
        <f t="shared" si="31"/>
        <v>1.7359999999994216</v>
      </c>
      <c r="U36" s="336">
        <f t="shared" si="31"/>
        <v>176.21199999999999</v>
      </c>
      <c r="V36" s="336">
        <f t="shared" si="31"/>
        <v>-117.97699999999895</v>
      </c>
      <c r="W36" s="336">
        <f t="shared" si="31"/>
        <v>-132.46200000000044</v>
      </c>
      <c r="X36" s="313">
        <f t="shared" si="31"/>
        <v>-704.96200000000044</v>
      </c>
      <c r="Y36" s="313">
        <f t="shared" si="31"/>
        <v>512.56131800000003</v>
      </c>
      <c r="Z36" s="313">
        <f t="shared" si="31"/>
        <v>607.42230299999937</v>
      </c>
      <c r="AA36" s="313">
        <f t="shared" si="31"/>
        <v>566.99093500000072</v>
      </c>
      <c r="AB36" s="313">
        <f t="shared" si="31"/>
        <v>474.11562099999901</v>
      </c>
      <c r="AC36" s="313">
        <f>AC41-AC40</f>
        <v>576.47925399999986</v>
      </c>
      <c r="AD36" s="313">
        <f>AD41-AD40</f>
        <v>150.63500000000113</v>
      </c>
      <c r="AE36" s="313">
        <f>AE41-AE40</f>
        <v>333.32024000000092</v>
      </c>
      <c r="AF36" s="314">
        <f>AF41-AF40</f>
        <v>369</v>
      </c>
      <c r="AG36" s="314">
        <f>AG41-AG40</f>
        <v>401</v>
      </c>
      <c r="AH36" s="314"/>
      <c r="AK36" s="223">
        <v>550</v>
      </c>
      <c r="AL36" s="223">
        <v>560</v>
      </c>
      <c r="AM36" s="223">
        <v>665</v>
      </c>
      <c r="AN36" s="201">
        <v>575</v>
      </c>
      <c r="AO36" s="163"/>
      <c r="AP36" s="163"/>
    </row>
    <row r="37" spans="1:42" ht="15.75">
      <c r="A37" s="309" t="s">
        <v>30</v>
      </c>
      <c r="B37" s="336">
        <v>0</v>
      </c>
      <c r="C37" s="336">
        <v>0</v>
      </c>
      <c r="D37" s="336">
        <v>0</v>
      </c>
      <c r="E37" s="336">
        <v>34</v>
      </c>
      <c r="F37" s="336">
        <v>20</v>
      </c>
      <c r="G37" s="336">
        <v>10</v>
      </c>
      <c r="H37" s="336">
        <v>10</v>
      </c>
      <c r="I37" s="336">
        <v>10</v>
      </c>
      <c r="J37" s="336">
        <v>10</v>
      </c>
      <c r="K37" s="336">
        <v>10</v>
      </c>
      <c r="L37" s="336">
        <v>10</v>
      </c>
      <c r="M37" s="336">
        <v>15</v>
      </c>
      <c r="N37" s="336">
        <v>15</v>
      </c>
      <c r="O37" s="336">
        <v>10</v>
      </c>
      <c r="P37" s="336">
        <v>15</v>
      </c>
      <c r="Q37" s="336">
        <v>15</v>
      </c>
      <c r="R37" s="336">
        <v>10</v>
      </c>
      <c r="S37" s="336">
        <v>30</v>
      </c>
      <c r="T37" s="336">
        <v>30</v>
      </c>
      <c r="U37" s="336">
        <v>30</v>
      </c>
      <c r="V37" s="336">
        <v>30</v>
      </c>
      <c r="W37" s="336">
        <v>30</v>
      </c>
      <c r="X37" s="313">
        <v>30</v>
      </c>
      <c r="Y37" s="313">
        <v>30</v>
      </c>
      <c r="Z37" s="313">
        <v>30</v>
      </c>
      <c r="AA37" s="313">
        <v>30</v>
      </c>
      <c r="AB37" s="313">
        <v>30</v>
      </c>
      <c r="AC37" s="313">
        <v>15</v>
      </c>
      <c r="AD37" s="313">
        <v>20</v>
      </c>
      <c r="AE37" s="313">
        <v>30</v>
      </c>
      <c r="AF37" s="314">
        <v>30</v>
      </c>
      <c r="AG37" s="314">
        <v>30</v>
      </c>
      <c r="AH37" s="314"/>
      <c r="AK37" s="223">
        <v>30</v>
      </c>
      <c r="AL37" s="223">
        <v>40</v>
      </c>
      <c r="AM37" s="223">
        <v>40</v>
      </c>
      <c r="AN37" s="201">
        <v>40</v>
      </c>
      <c r="AO37" s="163"/>
      <c r="AP37" s="163"/>
    </row>
    <row r="38" spans="1:42" ht="15.75">
      <c r="A38" s="309" t="s">
        <v>31</v>
      </c>
      <c r="B38" s="336">
        <v>0</v>
      </c>
      <c r="C38" s="336">
        <v>0</v>
      </c>
      <c r="D38" s="336">
        <v>0</v>
      </c>
      <c r="E38" s="336">
        <v>0</v>
      </c>
      <c r="F38" s="336">
        <v>0</v>
      </c>
      <c r="G38" s="336">
        <v>2</v>
      </c>
      <c r="H38" s="336">
        <v>15</v>
      </c>
      <c r="I38" s="336">
        <v>7</v>
      </c>
      <c r="J38" s="336">
        <v>0</v>
      </c>
      <c r="K38" s="336">
        <v>0</v>
      </c>
      <c r="L38" s="336">
        <v>0</v>
      </c>
      <c r="M38" s="336">
        <v>0</v>
      </c>
      <c r="N38" s="336">
        <v>0</v>
      </c>
      <c r="O38" s="336">
        <v>0</v>
      </c>
      <c r="P38" s="336">
        <v>0</v>
      </c>
      <c r="Q38" s="336">
        <v>0</v>
      </c>
      <c r="R38" s="336">
        <v>0</v>
      </c>
      <c r="S38" s="336">
        <v>0</v>
      </c>
      <c r="T38" s="336">
        <v>0</v>
      </c>
      <c r="U38" s="336">
        <v>0</v>
      </c>
      <c r="V38" s="336">
        <v>0</v>
      </c>
      <c r="W38" s="336">
        <v>0</v>
      </c>
      <c r="X38" s="313">
        <v>0</v>
      </c>
      <c r="Y38" s="313">
        <v>0</v>
      </c>
      <c r="Z38" s="313">
        <v>0</v>
      </c>
      <c r="AA38" s="313">
        <v>0</v>
      </c>
      <c r="AB38" s="313">
        <v>0</v>
      </c>
      <c r="AC38" s="313">
        <v>0</v>
      </c>
      <c r="AD38" s="313">
        <v>0</v>
      </c>
      <c r="AE38" s="313">
        <v>0</v>
      </c>
      <c r="AF38" s="314">
        <v>0</v>
      </c>
      <c r="AG38" s="314">
        <v>0</v>
      </c>
      <c r="AH38" s="314"/>
      <c r="AK38" s="223">
        <v>0</v>
      </c>
      <c r="AL38" s="223">
        <v>0</v>
      </c>
      <c r="AM38" s="223">
        <v>50</v>
      </c>
      <c r="AN38" s="201">
        <v>0</v>
      </c>
      <c r="AO38" s="163"/>
      <c r="AP38" s="163"/>
    </row>
    <row r="39" spans="1:42" ht="15.75">
      <c r="A39" s="309" t="s">
        <v>32</v>
      </c>
      <c r="B39" s="336">
        <f>B36-B37</f>
        <v>384</v>
      </c>
      <c r="C39" s="336">
        <f t="shared" ref="C39:AE39" si="32">C36-C37</f>
        <v>533.99999999999977</v>
      </c>
      <c r="D39" s="336">
        <f t="shared" si="32"/>
        <v>540</v>
      </c>
      <c r="E39" s="336">
        <f t="shared" si="32"/>
        <v>386.9</v>
      </c>
      <c r="F39" s="336">
        <f t="shared" si="32"/>
        <v>336.80000000000007</v>
      </c>
      <c r="G39" s="336">
        <f t="shared" si="32"/>
        <v>372</v>
      </c>
      <c r="H39" s="336">
        <f t="shared" si="32"/>
        <v>415.29499298999991</v>
      </c>
      <c r="I39" s="336">
        <f t="shared" si="32"/>
        <v>401.69999999999982</v>
      </c>
      <c r="J39" s="336">
        <f t="shared" si="32"/>
        <v>405.06689814999982</v>
      </c>
      <c r="K39" s="336">
        <f t="shared" si="32"/>
        <v>391.63400000000013</v>
      </c>
      <c r="L39" s="336">
        <f t="shared" si="32"/>
        <v>317.34100000000012</v>
      </c>
      <c r="M39" s="336">
        <f t="shared" si="32"/>
        <v>236.95200000000023</v>
      </c>
      <c r="N39" s="336">
        <f t="shared" si="32"/>
        <v>273.29099999999994</v>
      </c>
      <c r="O39" s="336">
        <f t="shared" si="32"/>
        <v>457.76399999999967</v>
      </c>
      <c r="P39" s="336">
        <f t="shared" si="32"/>
        <v>346.50600000000009</v>
      </c>
      <c r="Q39" s="336">
        <f t="shared" si="32"/>
        <v>207.97499999999945</v>
      </c>
      <c r="R39" s="336">
        <f t="shared" si="32"/>
        <v>441.05299999999943</v>
      </c>
      <c r="S39" s="336">
        <f t="shared" si="32"/>
        <v>183.83399999999983</v>
      </c>
      <c r="T39" s="336">
        <f t="shared" si="32"/>
        <v>-28.264000000000578</v>
      </c>
      <c r="U39" s="336">
        <f t="shared" si="32"/>
        <v>146.21199999999999</v>
      </c>
      <c r="V39" s="336">
        <f t="shared" si="32"/>
        <v>-147.97699999999895</v>
      </c>
      <c r="W39" s="336">
        <f t="shared" si="32"/>
        <v>-162.46200000000044</v>
      </c>
      <c r="X39" s="313">
        <f t="shared" si="32"/>
        <v>-734.96200000000044</v>
      </c>
      <c r="Y39" s="313">
        <f t="shared" si="32"/>
        <v>482.56131800000003</v>
      </c>
      <c r="Z39" s="313">
        <f t="shared" si="32"/>
        <v>577.42230299999937</v>
      </c>
      <c r="AA39" s="313">
        <f t="shared" si="32"/>
        <v>536.99093500000072</v>
      </c>
      <c r="AB39" s="313">
        <f t="shared" si="32"/>
        <v>444.11562099999901</v>
      </c>
      <c r="AC39" s="313">
        <f t="shared" si="32"/>
        <v>561.47925399999986</v>
      </c>
      <c r="AD39" s="313">
        <f t="shared" si="32"/>
        <v>130.63500000000113</v>
      </c>
      <c r="AE39" s="313">
        <f t="shared" si="32"/>
        <v>303.32024000000092</v>
      </c>
      <c r="AF39" s="314">
        <f>AF36-AF37</f>
        <v>339</v>
      </c>
      <c r="AG39" s="314">
        <f>AG36-AG37</f>
        <v>371</v>
      </c>
      <c r="AH39" s="314"/>
      <c r="AK39" s="223">
        <v>520</v>
      </c>
      <c r="AL39" s="223">
        <v>520</v>
      </c>
      <c r="AM39" s="223">
        <v>575</v>
      </c>
      <c r="AN39" s="201">
        <v>535</v>
      </c>
      <c r="AO39" s="163"/>
      <c r="AP39" s="163"/>
    </row>
    <row r="40" spans="1:42" ht="15.75">
      <c r="A40" s="309" t="s">
        <v>9</v>
      </c>
      <c r="B40" s="336">
        <v>393</v>
      </c>
      <c r="C40" s="336">
        <v>148</v>
      </c>
      <c r="D40" s="336">
        <v>360</v>
      </c>
      <c r="E40" s="336">
        <f t="shared" ref="E40:AE40" si="33">E298</f>
        <v>164.1</v>
      </c>
      <c r="F40" s="336">
        <f t="shared" si="33"/>
        <v>179.20000000000005</v>
      </c>
      <c r="G40" s="336">
        <f t="shared" si="33"/>
        <v>210</v>
      </c>
      <c r="H40" s="336">
        <f t="shared" si="33"/>
        <v>449.70500700999997</v>
      </c>
      <c r="I40" s="336">
        <f t="shared" si="33"/>
        <v>561.30000000000007</v>
      </c>
      <c r="J40" s="336">
        <f t="shared" si="33"/>
        <v>446.00010185000008</v>
      </c>
      <c r="K40" s="336">
        <f t="shared" si="33"/>
        <v>907.17</v>
      </c>
      <c r="L40" s="336">
        <f t="shared" si="33"/>
        <v>971.88999999999987</v>
      </c>
      <c r="M40" s="336">
        <f t="shared" si="33"/>
        <v>656.66099999999983</v>
      </c>
      <c r="N40" s="336">
        <f t="shared" si="33"/>
        <v>1586.2259999999999</v>
      </c>
      <c r="O40" s="336">
        <f t="shared" si="33"/>
        <v>1826.402</v>
      </c>
      <c r="P40" s="336">
        <f t="shared" si="33"/>
        <v>1336.867</v>
      </c>
      <c r="Q40" s="336">
        <f t="shared" si="33"/>
        <v>2195.2200000000003</v>
      </c>
      <c r="R40" s="336">
        <f t="shared" si="33"/>
        <v>2550.4230000000002</v>
      </c>
      <c r="S40" s="336">
        <f t="shared" si="33"/>
        <v>2651.2130000000002</v>
      </c>
      <c r="T40" s="336">
        <f t="shared" si="33"/>
        <v>3459.9820000000004</v>
      </c>
      <c r="U40" s="336">
        <f t="shared" si="33"/>
        <v>3116.2980000000002</v>
      </c>
      <c r="V40" s="336">
        <f t="shared" si="33"/>
        <v>4322.5429999999997</v>
      </c>
      <c r="W40" s="336">
        <f t="shared" si="33"/>
        <v>3740.4730000000004</v>
      </c>
      <c r="X40" s="313">
        <f t="shared" si="33"/>
        <v>4608.2340000000004</v>
      </c>
      <c r="Y40" s="313">
        <f t="shared" si="33"/>
        <v>5888.733682</v>
      </c>
      <c r="Z40" s="313">
        <f t="shared" si="33"/>
        <v>5282.2556970000005</v>
      </c>
      <c r="AA40" s="313">
        <f t="shared" si="33"/>
        <v>6041.0950649999995</v>
      </c>
      <c r="AB40" s="313">
        <f t="shared" si="33"/>
        <v>6761.9993790000008</v>
      </c>
      <c r="AC40" s="313">
        <f t="shared" si="33"/>
        <v>5246.582746</v>
      </c>
      <c r="AD40" s="313">
        <f t="shared" si="33"/>
        <v>4679.4199999999992</v>
      </c>
      <c r="AE40" s="313">
        <f t="shared" si="33"/>
        <v>5754.317759999999</v>
      </c>
      <c r="AF40" s="314">
        <f>3800-2300+2800+1550</f>
        <v>5850</v>
      </c>
      <c r="AG40" s="314">
        <f>3800-2300+2800+1450</f>
        <v>5750</v>
      </c>
      <c r="AH40" s="314"/>
      <c r="AK40" s="212">
        <v>6686</v>
      </c>
      <c r="AL40" s="212">
        <v>5273</v>
      </c>
      <c r="AM40" s="212">
        <v>4350</v>
      </c>
      <c r="AN40" s="225">
        <v>3800</v>
      </c>
      <c r="AO40" s="163"/>
      <c r="AP40" s="163"/>
    </row>
    <row r="41" spans="1:42" ht="15.75">
      <c r="A41" s="332" t="s">
        <v>12</v>
      </c>
      <c r="B41" s="333">
        <f>B35-B42</f>
        <v>777</v>
      </c>
      <c r="C41" s="333">
        <f t="shared" ref="C41:AG41" si="34">C35-C42</f>
        <v>681.99999999999977</v>
      </c>
      <c r="D41" s="333">
        <f t="shared" si="34"/>
        <v>900</v>
      </c>
      <c r="E41" s="333">
        <f t="shared" si="34"/>
        <v>585</v>
      </c>
      <c r="F41" s="333">
        <f t="shared" si="34"/>
        <v>536.00000000000011</v>
      </c>
      <c r="G41" s="333">
        <f t="shared" si="34"/>
        <v>592</v>
      </c>
      <c r="H41" s="333">
        <f t="shared" si="34"/>
        <v>874.99999999999989</v>
      </c>
      <c r="I41" s="333">
        <f t="shared" si="34"/>
        <v>972.99999999999989</v>
      </c>
      <c r="J41" s="333">
        <f t="shared" si="34"/>
        <v>861.06699999999989</v>
      </c>
      <c r="K41" s="333">
        <f t="shared" si="34"/>
        <v>1308.8040000000001</v>
      </c>
      <c r="L41" s="333">
        <f t="shared" si="34"/>
        <v>1299.231</v>
      </c>
      <c r="M41" s="333">
        <f t="shared" si="34"/>
        <v>908.61300000000006</v>
      </c>
      <c r="N41" s="333">
        <f t="shared" si="34"/>
        <v>1874.5169999999998</v>
      </c>
      <c r="O41" s="333">
        <f t="shared" si="34"/>
        <v>2294.1659999999997</v>
      </c>
      <c r="P41" s="333">
        <f t="shared" si="34"/>
        <v>1698.373</v>
      </c>
      <c r="Q41" s="333">
        <f t="shared" si="34"/>
        <v>2418.1949999999997</v>
      </c>
      <c r="R41" s="333">
        <f t="shared" si="34"/>
        <v>3001.4759999999997</v>
      </c>
      <c r="S41" s="333">
        <f t="shared" si="34"/>
        <v>2865.047</v>
      </c>
      <c r="T41" s="333">
        <f t="shared" si="34"/>
        <v>3461.7179999999998</v>
      </c>
      <c r="U41" s="333">
        <f t="shared" si="34"/>
        <v>3292.51</v>
      </c>
      <c r="V41" s="333">
        <f t="shared" si="34"/>
        <v>4204.5660000000007</v>
      </c>
      <c r="W41" s="333">
        <f t="shared" si="34"/>
        <v>3608.011</v>
      </c>
      <c r="X41" s="334">
        <f t="shared" si="34"/>
        <v>3903.2719999999999</v>
      </c>
      <c r="Y41" s="334">
        <f t="shared" si="34"/>
        <v>6401.2950000000001</v>
      </c>
      <c r="Z41" s="334">
        <f t="shared" si="34"/>
        <v>5889.6779999999999</v>
      </c>
      <c r="AA41" s="334">
        <f t="shared" si="34"/>
        <v>6608.0860000000002</v>
      </c>
      <c r="AB41" s="334">
        <f t="shared" si="34"/>
        <v>7236.1149999999998</v>
      </c>
      <c r="AC41" s="334">
        <f t="shared" si="34"/>
        <v>5823.0619999999999</v>
      </c>
      <c r="AD41" s="334">
        <f t="shared" si="34"/>
        <v>4830.0550000000003</v>
      </c>
      <c r="AE41" s="334">
        <f t="shared" si="34"/>
        <v>6087.6379999999999</v>
      </c>
      <c r="AF41" s="335">
        <f t="shared" si="34"/>
        <v>6219</v>
      </c>
      <c r="AG41" s="335">
        <f t="shared" si="34"/>
        <v>6151</v>
      </c>
      <c r="AH41" s="314"/>
      <c r="AM41" s="201" t="s">
        <v>218</v>
      </c>
      <c r="AN41" s="201"/>
      <c r="AO41" s="163"/>
      <c r="AP41" s="163"/>
    </row>
    <row r="42" spans="1:42" ht="16.5" thickBot="1">
      <c r="A42" s="309" t="s">
        <v>317</v>
      </c>
      <c r="B42" s="336">
        <v>196</v>
      </c>
      <c r="C42" s="336">
        <v>107</v>
      </c>
      <c r="D42" s="336">
        <v>150</v>
      </c>
      <c r="E42" s="336">
        <v>25</v>
      </c>
      <c r="F42" s="336">
        <v>9</v>
      </c>
      <c r="G42" s="336">
        <v>7</v>
      </c>
      <c r="H42" s="336">
        <v>12</v>
      </c>
      <c r="I42" s="336">
        <v>15</v>
      </c>
      <c r="J42" s="336">
        <v>35</v>
      </c>
      <c r="K42" s="336">
        <v>9</v>
      </c>
      <c r="L42" s="336">
        <v>48</v>
      </c>
      <c r="M42" s="336">
        <v>293</v>
      </c>
      <c r="N42" s="336">
        <v>287</v>
      </c>
      <c r="O42" s="336">
        <v>90</v>
      </c>
      <c r="P42" s="336">
        <v>148</v>
      </c>
      <c r="Q42" s="336">
        <v>266</v>
      </c>
      <c r="R42" s="336">
        <v>144</v>
      </c>
      <c r="S42" s="336">
        <v>298</v>
      </c>
      <c r="T42" s="336">
        <v>462</v>
      </c>
      <c r="U42" s="336">
        <v>306</v>
      </c>
      <c r="V42" s="336">
        <v>335</v>
      </c>
      <c r="W42" s="336">
        <v>294</v>
      </c>
      <c r="X42" s="313">
        <v>305</v>
      </c>
      <c r="Y42" s="313">
        <v>255</v>
      </c>
      <c r="Z42" s="313">
        <v>279</v>
      </c>
      <c r="AA42" s="313">
        <v>35</v>
      </c>
      <c r="AB42" s="313">
        <v>189</v>
      </c>
      <c r="AC42" s="313">
        <v>279</v>
      </c>
      <c r="AD42" s="313">
        <v>94</v>
      </c>
      <c r="AE42" s="313">
        <v>27</v>
      </c>
      <c r="AF42" s="314">
        <v>130</v>
      </c>
      <c r="AG42" s="314">
        <v>130</v>
      </c>
      <c r="AH42" s="314"/>
      <c r="AK42" s="223">
        <v>189</v>
      </c>
      <c r="AL42" s="223">
        <v>269</v>
      </c>
      <c r="AM42" s="223">
        <v>414</v>
      </c>
      <c r="AN42" s="201">
        <v>232</v>
      </c>
      <c r="AO42" s="163"/>
      <c r="AP42" s="163"/>
    </row>
    <row r="43" spans="1:42">
      <c r="A43" s="349" t="s">
        <v>319</v>
      </c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1">
        <f>'[2]EU Sun Oil Imports'!$AE$70/X40</f>
        <v>0.37288622908472102</v>
      </c>
      <c r="Y43" s="351">
        <f>'[2]EU Sun Oil Imports'!$AE$70/Y40</f>
        <v>0.29180246412780469</v>
      </c>
      <c r="Z43" s="351">
        <f>'[2]EU Sun Oil Imports'!$AE$70/Z40</f>
        <v>0.32530553187266509</v>
      </c>
      <c r="AA43" s="351"/>
      <c r="AB43" s="351"/>
      <c r="AC43" s="351"/>
      <c r="AD43" s="351"/>
      <c r="AE43" s="351"/>
      <c r="AF43" s="351"/>
      <c r="AG43" s="351"/>
      <c r="AH43" s="352"/>
    </row>
    <row r="44" spans="1:42">
      <c r="A44" s="234"/>
      <c r="B44" s="234">
        <v>1993</v>
      </c>
      <c r="C44" s="234">
        <v>1994</v>
      </c>
      <c r="D44" s="234">
        <v>1995</v>
      </c>
      <c r="E44" s="234">
        <v>1996</v>
      </c>
      <c r="F44" s="234">
        <v>1997</v>
      </c>
      <c r="G44" s="234">
        <v>1998</v>
      </c>
      <c r="H44" s="234">
        <v>1999</v>
      </c>
      <c r="I44" s="234">
        <v>2000</v>
      </c>
      <c r="J44" s="234">
        <v>2001</v>
      </c>
      <c r="K44" s="234">
        <v>2002</v>
      </c>
      <c r="L44" s="234">
        <v>2003</v>
      </c>
      <c r="M44" s="234">
        <v>2004</v>
      </c>
      <c r="N44" s="234">
        <v>2005</v>
      </c>
      <c r="O44" s="234">
        <v>2006</v>
      </c>
      <c r="P44" s="234">
        <v>2007</v>
      </c>
      <c r="Q44" s="234">
        <v>2008</v>
      </c>
      <c r="R44" s="234">
        <v>2009</v>
      </c>
      <c r="S44" s="234">
        <v>2010</v>
      </c>
      <c r="T44" s="234">
        <v>2011</v>
      </c>
      <c r="U44" s="234">
        <v>2012</v>
      </c>
      <c r="V44" s="234">
        <v>2013</v>
      </c>
      <c r="W44" s="234">
        <v>2014</v>
      </c>
      <c r="X44" s="234">
        <v>2015</v>
      </c>
      <c r="Y44" s="234">
        <v>2016</v>
      </c>
      <c r="Z44" s="234">
        <v>2017</v>
      </c>
      <c r="AA44" s="234">
        <v>2018</v>
      </c>
      <c r="AB44" s="234">
        <v>2019</v>
      </c>
      <c r="AC44" s="234">
        <v>2020</v>
      </c>
      <c r="AD44" s="234">
        <v>2021</v>
      </c>
      <c r="AE44" s="234">
        <v>2022</v>
      </c>
      <c r="AF44" s="234">
        <v>2023</v>
      </c>
      <c r="AG44" s="234">
        <v>2024</v>
      </c>
      <c r="AH44" s="234"/>
    </row>
    <row r="45" spans="1:42" ht="15.75" thickBot="1">
      <c r="A45" s="235" t="s">
        <v>228</v>
      </c>
      <c r="J45" s="353">
        <f t="shared" ref="J45:AG45" si="35">J15/J11</f>
        <v>1.4585187002018808E-2</v>
      </c>
      <c r="K45" s="353">
        <f t="shared" si="35"/>
        <v>-7.0341076344459116E-2</v>
      </c>
      <c r="L45" s="353">
        <f t="shared" si="35"/>
        <v>-1.4704371816906727E-2</v>
      </c>
      <c r="M45" s="353">
        <f t="shared" si="35"/>
        <v>0.11586246153369952</v>
      </c>
      <c r="N45" s="353">
        <f t="shared" si="35"/>
        <v>-1.2827327748819638E-2</v>
      </c>
      <c r="O45" s="353">
        <f t="shared" si="35"/>
        <v>-5.4977369842150341E-2</v>
      </c>
      <c r="P45" s="353">
        <f t="shared" si="35"/>
        <v>1.8842263005552869E-2</v>
      </c>
      <c r="Q45" s="353">
        <f t="shared" si="35"/>
        <v>-1.2935264420927713E-2</v>
      </c>
      <c r="R45" s="353">
        <f t="shared" si="35"/>
        <v>-0.12644448357090129</v>
      </c>
      <c r="S45" s="353">
        <f t="shared" si="35"/>
        <v>-4.6146342179192515E-2</v>
      </c>
      <c r="T45" s="353">
        <f t="shared" si="35"/>
        <v>-1.2363142389330242E-2</v>
      </c>
      <c r="U45" s="353">
        <f t="shared" si="35"/>
        <v>8.4795936933715801E-2</v>
      </c>
      <c r="V45" s="353">
        <f t="shared" si="35"/>
        <v>7.1550283384341828E-2</v>
      </c>
      <c r="W45" s="353">
        <f t="shared" si="35"/>
        <v>0.19689460366361825</v>
      </c>
      <c r="X45" s="353">
        <f t="shared" si="35"/>
        <v>0.19288083991508703</v>
      </c>
      <c r="Y45" s="353">
        <f t="shared" si="35"/>
        <v>8.3519358317163561E-2</v>
      </c>
      <c r="Z45" s="353">
        <f t="shared" si="35"/>
        <v>-3.887604422483161E-2</v>
      </c>
      <c r="AA45" s="353">
        <f t="shared" si="35"/>
        <v>-9.0516298673181839E-2</v>
      </c>
      <c r="AB45" s="353">
        <f t="shared" si="35"/>
        <v>2.5706884180435142E-2</v>
      </c>
      <c r="AC45" s="353">
        <f t="shared" si="35"/>
        <v>9.7011647657128136E-2</v>
      </c>
      <c r="AD45" s="353">
        <f t="shared" si="35"/>
        <v>9.4238182421695099E-2</v>
      </c>
      <c r="AE45" s="353">
        <f t="shared" si="35"/>
        <v>2.4725654258104763E-2</v>
      </c>
      <c r="AF45" s="353">
        <f t="shared" si="35"/>
        <v>1.8963917911982729E-2</v>
      </c>
      <c r="AG45" s="353">
        <f t="shared" si="35"/>
        <v>2.9620207075717716E-2</v>
      </c>
    </row>
    <row r="46" spans="1:42" ht="15.75" thickBot="1">
      <c r="A46" s="236"/>
      <c r="B46" s="237" t="str">
        <f>B$2</f>
        <v xml:space="preserve">93/94 </v>
      </c>
      <c r="C46" s="237" t="str">
        <f t="shared" ref="C46:AG46" si="36">C$2</f>
        <v xml:space="preserve">94/95 </v>
      </c>
      <c r="D46" s="237" t="str">
        <f t="shared" si="36"/>
        <v xml:space="preserve">95/96 </v>
      </c>
      <c r="E46" s="237" t="str">
        <f t="shared" si="36"/>
        <v xml:space="preserve">96/97 </v>
      </c>
      <c r="F46" s="237" t="str">
        <f t="shared" si="36"/>
        <v xml:space="preserve">97/98 </v>
      </c>
      <c r="G46" s="237" t="str">
        <f t="shared" si="36"/>
        <v xml:space="preserve">98/99 </v>
      </c>
      <c r="H46" s="237" t="str">
        <f t="shared" si="36"/>
        <v xml:space="preserve">99/00 </v>
      </c>
      <c r="I46" s="237" t="str">
        <f t="shared" si="36"/>
        <v xml:space="preserve">00/01 </v>
      </c>
      <c r="J46" s="237" t="str">
        <f t="shared" si="36"/>
        <v xml:space="preserve">01/02 </v>
      </c>
      <c r="K46" s="237" t="str">
        <f t="shared" si="36"/>
        <v xml:space="preserve">02/03 </v>
      </c>
      <c r="L46" s="237" t="str">
        <f t="shared" si="36"/>
        <v xml:space="preserve">03/04 </v>
      </c>
      <c r="M46" s="237" t="str">
        <f t="shared" si="36"/>
        <v xml:space="preserve">04/05 </v>
      </c>
      <c r="N46" s="237" t="str">
        <f t="shared" si="36"/>
        <v xml:space="preserve">05/06 </v>
      </c>
      <c r="O46" s="237" t="str">
        <f t="shared" si="36"/>
        <v xml:space="preserve">06/07 </v>
      </c>
      <c r="P46" s="237" t="str">
        <f t="shared" si="36"/>
        <v xml:space="preserve">07/08 </v>
      </c>
      <c r="Q46" s="237" t="str">
        <f t="shared" si="36"/>
        <v xml:space="preserve">08/09 </v>
      </c>
      <c r="R46" s="237" t="str">
        <f t="shared" si="36"/>
        <v xml:space="preserve">09/10 </v>
      </c>
      <c r="S46" s="237" t="str">
        <f t="shared" si="36"/>
        <v xml:space="preserve">10/11 </v>
      </c>
      <c r="T46" s="237" t="str">
        <f t="shared" si="36"/>
        <v xml:space="preserve">11/12 </v>
      </c>
      <c r="U46" s="237" t="str">
        <f t="shared" si="36"/>
        <v xml:space="preserve">12/13 </v>
      </c>
      <c r="V46" s="237" t="str">
        <f t="shared" si="36"/>
        <v xml:space="preserve">13/14 </v>
      </c>
      <c r="W46" s="237" t="str">
        <f t="shared" si="36"/>
        <v xml:space="preserve">14/15 </v>
      </c>
      <c r="X46" s="237" t="str">
        <f t="shared" si="36"/>
        <v xml:space="preserve">15/16 </v>
      </c>
      <c r="Y46" s="237" t="str">
        <f t="shared" si="36"/>
        <v xml:space="preserve">16/17 </v>
      </c>
      <c r="Z46" s="237" t="str">
        <f t="shared" si="36"/>
        <v xml:space="preserve">17/18 </v>
      </c>
      <c r="AA46" s="237" t="str">
        <f t="shared" si="36"/>
        <v xml:space="preserve">18/19 </v>
      </c>
      <c r="AB46" s="237" t="str">
        <f t="shared" si="36"/>
        <v xml:space="preserve">19/20 </v>
      </c>
      <c r="AC46" s="237" t="str">
        <f t="shared" si="36"/>
        <v xml:space="preserve">20/21 </v>
      </c>
      <c r="AD46" s="237" t="str">
        <f t="shared" si="36"/>
        <v>21/22</v>
      </c>
      <c r="AE46" s="237" t="str">
        <f t="shared" si="36"/>
        <v>22/23</v>
      </c>
      <c r="AF46" s="237" t="str">
        <f t="shared" si="36"/>
        <v>23/24</v>
      </c>
      <c r="AG46" s="237" t="str">
        <f t="shared" si="36"/>
        <v>24/25</v>
      </c>
    </row>
    <row r="47" spans="1:42">
      <c r="A47" s="240" t="s">
        <v>238</v>
      </c>
      <c r="B47" s="241">
        <f t="shared" ref="B47:B58" si="37">(SUM(J47:O47)/SUM(K$59:O$59))*B$59</f>
        <v>0</v>
      </c>
      <c r="C47" s="241">
        <f t="shared" ref="C47:H58" si="38">(SUM(L47:P47)/SUM(L$59:P$59))*C$59</f>
        <v>0</v>
      </c>
      <c r="D47" s="241">
        <f t="shared" si="38"/>
        <v>2.1701657825484187E-2</v>
      </c>
      <c r="E47" s="241">
        <f t="shared" si="38"/>
        <v>1.5939941608162995E-2</v>
      </c>
      <c r="F47" s="241">
        <f t="shared" si="38"/>
        <v>1.2640452509068327E-2</v>
      </c>
      <c r="G47" s="241">
        <f t="shared" si="38"/>
        <v>1.8416167762686881E-3</v>
      </c>
      <c r="H47" s="241">
        <f t="shared" si="38"/>
        <v>2.4121458313890441E-3</v>
      </c>
      <c r="I47" s="242">
        <f>'[2]Ukraine Sunflower Imports'!$CY$290</f>
        <v>27.373999999999999</v>
      </c>
      <c r="J47" s="242">
        <f>'[2]Ukraine Sunflower Imports'!$DK$290</f>
        <v>68.051000000000002</v>
      </c>
      <c r="K47" s="242">
        <f>'[2]Ukraine Sunflower Imports'!$DW$290</f>
        <v>0</v>
      </c>
      <c r="L47" s="242">
        <f>'[2]Ukraine Sunflower Imports'!$EI$290</f>
        <v>0</v>
      </c>
      <c r="M47" s="242">
        <f>'[2]Ukraine Sunflower Imports'!$FG$290</f>
        <v>0</v>
      </c>
      <c r="N47" s="242">
        <f>'[2]Ukraine Sunflower Imports'!$FS$290</f>
        <v>5.0100000000000003E-4</v>
      </c>
      <c r="O47" s="242">
        <f>'[2]Ukraine Sunflower Imports'!$GE$290</f>
        <v>4.46E-4</v>
      </c>
      <c r="P47" s="242">
        <f>'[2]Ukraine Sunflower Imports'!$GQ$290</f>
        <v>6.7400000000000001E-4</v>
      </c>
      <c r="Q47" s="242">
        <f>'[2]Ukraine Sunflower Imports'!$HC$290</f>
        <v>3.1056E-2</v>
      </c>
      <c r="R47" s="242">
        <f>'[2]Ukraine Sunflower Imports'!$HO$290</f>
        <v>1.1E-5</v>
      </c>
      <c r="S47" s="242">
        <f>'[2]Ukraine Sunflower Imports'!$IA$290</f>
        <v>1.8799999999999999E-4</v>
      </c>
      <c r="T47" s="242">
        <f>'[2]Ukraine Sunflower Imports'!$IM$290</f>
        <v>1.3440000000000001E-2</v>
      </c>
      <c r="U47" s="242">
        <f>'[2]Ukraine Sunflower Imports'!$IY$290</f>
        <v>2.9045000000000001E-2</v>
      </c>
      <c r="V47" s="242">
        <f>'[2]Ukraine Sunflower Imports'!$JK$290</f>
        <v>6.0090999999999999E-2</v>
      </c>
      <c r="W47" s="242">
        <f>'[2]Ukraine Sunflower Imports'!$JW$290</f>
        <v>1.2853E-2</v>
      </c>
      <c r="X47" s="242">
        <f>'[2]Ukraine Sunflower Imports'!$KI$290</f>
        <v>7.2999999999999999E-5</v>
      </c>
      <c r="Y47" s="242">
        <f>'[2]Ukraine Sunflower Imports'!$KU$290</f>
        <v>0.142622</v>
      </c>
      <c r="Z47" s="242">
        <f>'[2]Ukraine Sunflower Imports'!$LG$290</f>
        <v>5.3039999999999997E-3</v>
      </c>
      <c r="AA47" s="242">
        <f>'[2]Ukraine Sunflower Imports'!$LS$290</f>
        <v>1E-3</v>
      </c>
      <c r="AB47" s="242">
        <f>'[2]Ukraine Sunflower Imports'!$ME$290</f>
        <v>2.1904880000000002</v>
      </c>
      <c r="AC47" s="242">
        <f>'[2]Ukraine Sunflower Imports'!$MQ$290</f>
        <v>0.28572199999999998</v>
      </c>
      <c r="AD47" s="242">
        <f>'[2]Ukraine Sunflower Imports'!$NC$290</f>
        <v>4.5999999999999999E-2</v>
      </c>
      <c r="AE47" s="242">
        <f>'[2]Ukraine Sunflower Imports'!NO$290</f>
        <v>0.38700000000000001</v>
      </c>
      <c r="AF47" s="242">
        <f>'[2]Ukraine Sunflower Imports'!OA$290</f>
        <v>0.71</v>
      </c>
      <c r="AG47" s="243">
        <f t="shared" ref="AF47:AG57" si="39">(SUM(AA47:AE47)/SUM(AA$59:AE$59))*AG$59</f>
        <v>0.24644836258543601</v>
      </c>
      <c r="AI47" s="244"/>
      <c r="AJ47" s="244"/>
      <c r="AK47" s="354"/>
      <c r="AL47" s="354"/>
      <c r="AM47" s="354"/>
      <c r="AN47" s="354"/>
      <c r="AO47" s="244"/>
      <c r="AP47" s="244"/>
    </row>
    <row r="48" spans="1:42">
      <c r="A48" s="240" t="s">
        <v>239</v>
      </c>
      <c r="B48" s="241">
        <f t="shared" si="37"/>
        <v>0</v>
      </c>
      <c r="C48" s="241">
        <f t="shared" si="38"/>
        <v>0</v>
      </c>
      <c r="D48" s="241">
        <f t="shared" si="38"/>
        <v>4.5289434579400448E-2</v>
      </c>
      <c r="E48" s="241">
        <f t="shared" si="38"/>
        <v>4.0785633142594986E-2</v>
      </c>
      <c r="F48" s="241">
        <f t="shared" si="38"/>
        <v>3.2527837497544135E-2</v>
      </c>
      <c r="G48" s="241">
        <f t="shared" si="38"/>
        <v>3.3817570422032812E-3</v>
      </c>
      <c r="H48" s="241">
        <f t="shared" si="38"/>
        <v>2.6429908697957766E-3</v>
      </c>
      <c r="I48" s="242">
        <f>'[2]Ukraine Sunflower Imports'!$CZ$290</f>
        <v>108.95699999999999</v>
      </c>
      <c r="J48" s="242">
        <f>'[2]Ukraine Sunflower Imports'!$DL$290</f>
        <v>57.685000000000002</v>
      </c>
      <c r="K48" s="242">
        <f>'[2]Ukraine Sunflower Imports'!$DX$290</f>
        <v>0</v>
      </c>
      <c r="L48" s="242">
        <f>'[2]Ukraine Sunflower Imports'!$EJ$290</f>
        <v>3.7399999999999998E-4</v>
      </c>
      <c r="M48" s="242">
        <f>'[2]Ukraine Sunflower Imports'!$FH$290</f>
        <v>0</v>
      </c>
      <c r="N48" s="242">
        <f>'[2]Ukraine Sunflower Imports'!$FT$290</f>
        <v>3.28E-4</v>
      </c>
      <c r="O48" s="242">
        <f>'[2]Ukraine Sunflower Imports'!$GF$290</f>
        <v>0</v>
      </c>
      <c r="P48" s="242">
        <f>'[2]Ukraine Sunflower Imports'!$GR$290</f>
        <v>2.5140000000000002E-3</v>
      </c>
      <c r="Q48" s="242">
        <f>'[2]Ukraine Sunflower Imports'!$HD$290</f>
        <v>6.5351999999999993E-2</v>
      </c>
      <c r="R48" s="242">
        <f>'[2]Ukraine Sunflower Imports'!$HP$290</f>
        <v>1.5445E-2</v>
      </c>
      <c r="S48" s="242">
        <f>'[2]Ukraine Sunflower Imports'!$IB$290</f>
        <v>0</v>
      </c>
      <c r="T48" s="242">
        <f>'[2]Ukraine Sunflower Imports'!$IN$290</f>
        <v>0</v>
      </c>
      <c r="U48" s="242">
        <f>'[2]Ukraine Sunflower Imports'!$IZ$290</f>
        <v>0</v>
      </c>
      <c r="V48" s="242">
        <f>'[2]Ukraine Sunflower Imports'!$JL$290</f>
        <v>7.9000000000000001E-2</v>
      </c>
      <c r="W48" s="242">
        <f>'[2]Ukraine Sunflower Imports'!$JX$290</f>
        <v>9.0204000000000006E-2</v>
      </c>
      <c r="X48" s="242">
        <f>'[2]Ukraine Sunflower Imports'!$KJ$290</f>
        <v>2.1045000000000001E-2</v>
      </c>
      <c r="Y48" s="242">
        <f>'[2]Ukraine Sunflower Imports'!$KV$290</f>
        <v>8.0409999999999995E-2</v>
      </c>
      <c r="Z48" s="242">
        <f>'[2]Ukraine Sunflower Imports'!$LH$290</f>
        <v>8.1449999999999995E-2</v>
      </c>
      <c r="AA48" s="242">
        <f>'[2]Ukraine Sunflower Imports'!$LT$290</f>
        <v>0.34661999999999998</v>
      </c>
      <c r="AB48" s="242">
        <f>'[2]Ukraine Sunflower Imports'!$MF$290</f>
        <v>3.0220229999999999</v>
      </c>
      <c r="AC48" s="242">
        <f>'[2]Ukraine Sunflower Imports'!$MR$290</f>
        <v>0.38390299999999999</v>
      </c>
      <c r="AD48" s="242">
        <f>'[2]Ukraine Sunflower Imports'!$ND$290</f>
        <v>1.0489999999999999</v>
      </c>
      <c r="AE48" s="242">
        <f>'[2]Ukraine Sunflower Imports'!NP$290</f>
        <v>0.77900000000000003</v>
      </c>
      <c r="AF48" s="242">
        <f>'[2]Ukraine Sunflower Imports'!OB$290</f>
        <v>0.38300000000000001</v>
      </c>
      <c r="AG48" s="243">
        <f t="shared" si="39"/>
        <v>0.47258322390229734</v>
      </c>
      <c r="AI48" s="244"/>
      <c r="AJ48" s="244"/>
      <c r="AK48" s="354"/>
      <c r="AL48" s="354"/>
      <c r="AM48" s="354"/>
      <c r="AN48" s="354"/>
      <c r="AO48" s="244"/>
      <c r="AP48" s="244"/>
    </row>
    <row r="49" spans="1:42">
      <c r="A49" s="240" t="s">
        <v>240</v>
      </c>
      <c r="B49" s="241">
        <f t="shared" si="37"/>
        <v>0</v>
      </c>
      <c r="C49" s="241">
        <f t="shared" si="38"/>
        <v>0</v>
      </c>
      <c r="D49" s="241">
        <f t="shared" si="38"/>
        <v>0.65797590881544754</v>
      </c>
      <c r="E49" s="241">
        <f t="shared" si="38"/>
        <v>6.9055037661330476E-2</v>
      </c>
      <c r="F49" s="241">
        <f t="shared" si="38"/>
        <v>7.9230551546184039E-2</v>
      </c>
      <c r="G49" s="241">
        <f t="shared" si="38"/>
        <v>1.6562819909067102E-2</v>
      </c>
      <c r="H49" s="241">
        <f t="shared" si="38"/>
        <v>2.0278773270427819E-2</v>
      </c>
      <c r="I49" s="242">
        <f>'[2]Ukraine Sunflower Imports'!$DA$290</f>
        <v>45.222999999999999</v>
      </c>
      <c r="J49" s="242">
        <f>'[2]Ukraine Sunflower Imports'!$DM$290</f>
        <v>193.49600000000001</v>
      </c>
      <c r="K49" s="242">
        <f>'[2]Ukraine Sunflower Imports'!$DY$290</f>
        <v>0</v>
      </c>
      <c r="L49" s="242">
        <f>'[2]Ukraine Sunflower Imports'!$EK$290</f>
        <v>0</v>
      </c>
      <c r="M49" s="242">
        <f>'[2]Ukraine Sunflower Imports'!$FI$290</f>
        <v>0.88717999999999997</v>
      </c>
      <c r="N49" s="242">
        <f>'[2]Ukraine Sunflower Imports'!$FU$290</f>
        <v>6.7500000000000004E-4</v>
      </c>
      <c r="O49" s="242">
        <f>'[2]Ukraine Sunflower Imports'!$GG$290</f>
        <v>3.449E-2</v>
      </c>
      <c r="P49" s="242">
        <f>'[2]Ukraine Sunflower Imports'!$GS$290</f>
        <v>5.2691000000000002E-2</v>
      </c>
      <c r="Q49" s="242">
        <f>'[2]Ukraine Sunflower Imports'!$HE$290</f>
        <v>1.5703000000000002E-2</v>
      </c>
      <c r="R49" s="242">
        <f>'[2]Ukraine Sunflower Imports'!$HQ$290</f>
        <v>3.8052000000000002E-2</v>
      </c>
      <c r="S49" s="242">
        <f>'[2]Ukraine Sunflower Imports'!$IC$290</f>
        <v>6.1990999999999997E-2</v>
      </c>
      <c r="T49" s="242">
        <f>'[2]Ukraine Sunflower Imports'!$IO$290</f>
        <v>0.239595</v>
      </c>
      <c r="U49" s="242">
        <f>'[2]Ukraine Sunflower Imports'!$JA$290</f>
        <v>0.26458700000000002</v>
      </c>
      <c r="V49" s="242">
        <f>'[2]Ukraine Sunflower Imports'!$JM$290</f>
        <v>0.79254400000000003</v>
      </c>
      <c r="W49" s="242">
        <f>'[2]Ukraine Sunflower Imports'!$JY$290</f>
        <v>0.228857</v>
      </c>
      <c r="X49" s="242">
        <f>'[2]Ukraine Sunflower Imports'!$KK$290</f>
        <v>0.36109599999999997</v>
      </c>
      <c r="Y49" s="242">
        <f>'[2]Ukraine Sunflower Imports'!$KW$290</f>
        <v>1.1907540000000001</v>
      </c>
      <c r="Z49" s="242">
        <f>'[2]Ukraine Sunflower Imports'!$LI$290</f>
        <v>1.7909280000000001</v>
      </c>
      <c r="AA49" s="242">
        <f>'[2]Ukraine Sunflower Imports'!$LU$290</f>
        <v>1.327102</v>
      </c>
      <c r="AB49" s="242">
        <f>'[2]Ukraine Sunflower Imports'!$MG$290</f>
        <v>6.6765460000000001</v>
      </c>
      <c r="AC49" s="242">
        <f>'[2]Ukraine Sunflower Imports'!$MS$290</f>
        <v>2.2106949999999999</v>
      </c>
      <c r="AD49" s="242">
        <f>'[2]Ukraine Sunflower Imports'!$NE$290</f>
        <v>1.3979999999999999</v>
      </c>
      <c r="AE49" s="242">
        <f>'[2]Ukraine Sunflower Imports'!NQ$290</f>
        <v>2.5619999999999998</v>
      </c>
      <c r="AF49" s="242">
        <f>'[2]Ukraine Sunflower Imports'!OC$290</f>
        <v>1.262</v>
      </c>
      <c r="AG49" s="243">
        <f t="shared" si="39"/>
        <v>1.2003407393536332</v>
      </c>
      <c r="AI49" s="244"/>
      <c r="AJ49" s="244"/>
      <c r="AK49" s="354"/>
      <c r="AL49" s="354"/>
      <c r="AM49" s="354"/>
      <c r="AN49" s="354"/>
      <c r="AO49" s="244"/>
      <c r="AP49" s="244"/>
    </row>
    <row r="50" spans="1:42">
      <c r="A50" s="240" t="s">
        <v>241</v>
      </c>
      <c r="B50" s="241">
        <f t="shared" si="37"/>
        <v>0</v>
      </c>
      <c r="C50" s="241">
        <f t="shared" si="38"/>
        <v>0</v>
      </c>
      <c r="D50" s="241">
        <f t="shared" si="38"/>
        <v>2.3919169177894553</v>
      </c>
      <c r="E50" s="241">
        <f t="shared" si="38"/>
        <v>0.87986058987926852</v>
      </c>
      <c r="F50" s="241">
        <f t="shared" si="38"/>
        <v>0.84824561841896073</v>
      </c>
      <c r="G50" s="241">
        <f t="shared" si="38"/>
        <v>0.14539895070181172</v>
      </c>
      <c r="H50" s="241">
        <f t="shared" si="38"/>
        <v>0.16970783824072855</v>
      </c>
      <c r="I50" s="242">
        <f>'[2]Ukraine Sunflower Imports'!$DB$290</f>
        <v>148.59</v>
      </c>
      <c r="J50" s="242">
        <f>'[2]Ukraine Sunflower Imports'!$DN$290</f>
        <v>268.81099999999998</v>
      </c>
      <c r="K50" s="242">
        <f>'[2]Ukraine Sunflower Imports'!$DZ$290</f>
        <v>0</v>
      </c>
      <c r="L50" s="242">
        <f>'[2]Ukraine Sunflower Imports'!$EL$290</f>
        <v>0</v>
      </c>
      <c r="M50" s="242">
        <f>'[2]Ukraine Sunflower Imports'!$FJ$290</f>
        <v>2.2248410000000001</v>
      </c>
      <c r="N50" s="242">
        <f>'[2]Ukraine Sunflower Imports'!$FV$290</f>
        <v>0.18614</v>
      </c>
      <c r="O50" s="242">
        <f>'[2]Ukraine Sunflower Imports'!$GH$290</f>
        <v>1.0939999999999999E-3</v>
      </c>
      <c r="P50" s="242">
        <f>'[2]Ukraine Sunflower Imports'!$GT$290</f>
        <v>0.66676000000000002</v>
      </c>
      <c r="Q50" s="242">
        <f>'[2]Ukraine Sunflower Imports'!$HF$290</f>
        <v>0.52276400000000001</v>
      </c>
      <c r="R50" s="242">
        <f>'[2]Ukraine Sunflower Imports'!$HR$290</f>
        <v>0.42757000000000001</v>
      </c>
      <c r="S50" s="242">
        <f>'[2]Ukraine Sunflower Imports'!$ID$290</f>
        <v>0.55435699999999999</v>
      </c>
      <c r="T50" s="242">
        <f>'[2]Ukraine Sunflower Imports'!$IP$290</f>
        <v>1.4105129999999999</v>
      </c>
      <c r="U50" s="242">
        <f>'[2]Ukraine Sunflower Imports'!$JB$290</f>
        <v>2.2728139999999999</v>
      </c>
      <c r="V50" s="242">
        <f>'[2]Ukraine Sunflower Imports'!$JN$290</f>
        <v>1.6547689999999999</v>
      </c>
      <c r="W50" s="242">
        <f>'[2]Ukraine Sunflower Imports'!$JZ$290</f>
        <v>2.4216259999999998</v>
      </c>
      <c r="X50" s="242">
        <f>'[2]Ukraine Sunflower Imports'!$KL$290</f>
        <v>0.93943500000000002</v>
      </c>
      <c r="Y50" s="242">
        <f>'[2]Ukraine Sunflower Imports'!$KX$290</f>
        <v>2.4189180000000001</v>
      </c>
      <c r="Z50" s="242">
        <f>'[2]Ukraine Sunflower Imports'!$LJ$290</f>
        <v>3.2707350000000002</v>
      </c>
      <c r="AA50" s="242">
        <f>'[2]Ukraine Sunflower Imports'!$LV$290</f>
        <v>3.2065199999999998</v>
      </c>
      <c r="AB50" s="242">
        <f>'[2]Ukraine Sunflower Imports'!$MH$290</f>
        <v>3.3302429999999998</v>
      </c>
      <c r="AC50" s="242">
        <f>'[2]Ukraine Sunflower Imports'!$MT$290</f>
        <v>2.5973220000000001</v>
      </c>
      <c r="AD50" s="242">
        <f>'[2]Ukraine Sunflower Imports'!$NF$290</f>
        <v>2.738</v>
      </c>
      <c r="AE50" s="242">
        <f>'[2]Ukraine Sunflower Imports'!NR$290</f>
        <v>3.0569999999999999</v>
      </c>
      <c r="AF50" s="242">
        <f>'[2]Ukraine Sunflower Imports'!OD$290</f>
        <v>3.125</v>
      </c>
      <c r="AG50" s="243">
        <f t="shared" si="39"/>
        <v>1.2642553469161311</v>
      </c>
      <c r="AI50" s="244"/>
      <c r="AJ50" s="244"/>
      <c r="AK50" s="354"/>
      <c r="AL50" s="354"/>
      <c r="AM50" s="354"/>
      <c r="AN50" s="354"/>
      <c r="AO50" s="244"/>
      <c r="AP50" s="244"/>
    </row>
    <row r="51" spans="1:42">
      <c r="A51" s="240" t="s">
        <v>231</v>
      </c>
      <c r="B51" s="241">
        <f t="shared" si="37"/>
        <v>0</v>
      </c>
      <c r="C51" s="241">
        <f t="shared" si="38"/>
        <v>0</v>
      </c>
      <c r="D51" s="241">
        <f t="shared" si="38"/>
        <v>0.6823307515420185</v>
      </c>
      <c r="E51" s="241">
        <f t="shared" si="38"/>
        <v>0.61785560191809852</v>
      </c>
      <c r="F51" s="241">
        <f t="shared" si="38"/>
        <v>0.89132779451805322</v>
      </c>
      <c r="G51" s="241">
        <f t="shared" si="38"/>
        <v>0.13185759357000573</v>
      </c>
      <c r="H51" s="242">
        <f>'[2]Ukraine Sunflower Imports'!$CQ$290</f>
        <v>371.46899999999999</v>
      </c>
      <c r="I51" s="242">
        <f>'[2]Ukraine Sunflower Imports'!$DC$290</f>
        <v>80.313000000000002</v>
      </c>
      <c r="J51" s="242">
        <f>'[2]Ukraine Sunflower Imports'!$DO$290</f>
        <v>0</v>
      </c>
      <c r="K51" s="242">
        <f>'[2]Ukraine Sunflower Imports'!$EA$290</f>
        <v>0.06</v>
      </c>
      <c r="L51" s="242">
        <f>'[2]Ukraine Sunflower Imports'!$EM$290</f>
        <v>0</v>
      </c>
      <c r="M51" s="242">
        <f>'[2]Ukraine Sunflower Imports'!$FK$290</f>
        <v>3.8170000000000003E-2</v>
      </c>
      <c r="N51" s="242">
        <f>'[2]Ukraine Sunflower Imports'!$FW$290</f>
        <v>3.6496000000000001E-2</v>
      </c>
      <c r="O51" s="242">
        <f>'[2]Ukraine Sunflower Imports'!$GI$290</f>
        <v>0.28100999999999998</v>
      </c>
      <c r="P51" s="242">
        <f>'[2]Ukraine Sunflower Imports'!$GU$290</f>
        <v>0.45655699999999999</v>
      </c>
      <c r="Q51" s="242">
        <f>'[2]Ukraine Sunflower Imports'!$HG$290</f>
        <v>0.21517800000000001</v>
      </c>
      <c r="R51" s="242">
        <f>'[2]Ukraine Sunflower Imports'!$HS$290</f>
        <v>0.27779399999999999</v>
      </c>
      <c r="S51" s="242">
        <f>'[2]Ukraine Sunflower Imports'!$IE$290</f>
        <v>1.052349</v>
      </c>
      <c r="T51" s="242">
        <f>'[2]Ukraine Sunflower Imports'!$IQ$290</f>
        <v>1.246489</v>
      </c>
      <c r="U51" s="242">
        <f>'[2]Ukraine Sunflower Imports'!$JC$290</f>
        <v>2.812595</v>
      </c>
      <c r="V51" s="242">
        <f>'[2]Ukraine Sunflower Imports'!$JO$290</f>
        <v>2.0678930000000002</v>
      </c>
      <c r="W51" s="242">
        <f>'[2]Ukraine Sunflower Imports'!$KA$290</f>
        <v>1.9277029999999999</v>
      </c>
      <c r="X51" s="242">
        <f>'[2]Ukraine Sunflower Imports'!$KM$290</f>
        <v>4.1720410000000001</v>
      </c>
      <c r="Y51" s="242">
        <f>'[2]Ukraine Sunflower Imports'!$KY$290</f>
        <v>2.4643649999999999</v>
      </c>
      <c r="Z51" s="242">
        <f>'[2]Ukraine Sunflower Imports'!$LK$290</f>
        <v>3.670293</v>
      </c>
      <c r="AA51" s="242">
        <f>'[2]Ukraine Sunflower Imports'!$LW$290</f>
        <v>3.6423890000000001</v>
      </c>
      <c r="AB51" s="242">
        <f>'[2]Ukraine Sunflower Imports'!$MI$290</f>
        <v>4.2188650000000001</v>
      </c>
      <c r="AC51" s="242">
        <f>'[2]Ukraine Sunflower Imports'!$MU$290</f>
        <v>3.907</v>
      </c>
      <c r="AD51" s="242">
        <f>'[2]Ukraine Sunflower Imports'!$NG$290</f>
        <v>4.3680000000000003</v>
      </c>
      <c r="AE51" s="242">
        <f>'[2]Ukraine Sunflower Imports'!NS$290</f>
        <v>3.9380000000000002</v>
      </c>
      <c r="AF51" s="242">
        <f>'[2]Ukraine Sunflower Imports'!OE$290</f>
        <v>4.492</v>
      </c>
      <c r="AG51" s="243">
        <f t="shared" si="39"/>
        <v>1.6999690841637336</v>
      </c>
      <c r="AI51" s="244"/>
      <c r="AJ51" s="244"/>
      <c r="AK51" s="354"/>
      <c r="AL51" s="354"/>
      <c r="AM51" s="354"/>
      <c r="AN51" s="354"/>
      <c r="AO51" s="244"/>
      <c r="AP51" s="244"/>
    </row>
    <row r="52" spans="1:42">
      <c r="A52" s="240" t="s">
        <v>232</v>
      </c>
      <c r="B52" s="241">
        <f t="shared" si="37"/>
        <v>0</v>
      </c>
      <c r="C52" s="241">
        <f t="shared" si="38"/>
        <v>0</v>
      </c>
      <c r="D52" s="241">
        <f t="shared" si="38"/>
        <v>2.9480643206402175</v>
      </c>
      <c r="E52" s="241">
        <f t="shared" si="38"/>
        <v>2.5964993570968238</v>
      </c>
      <c r="F52" s="241">
        <f t="shared" si="38"/>
        <v>2.8465459607243662</v>
      </c>
      <c r="G52" s="241">
        <f t="shared" si="38"/>
        <v>0.39490013128861601</v>
      </c>
      <c r="H52" s="242">
        <f>'[2]Ukraine Sunflower Imports'!$CR$290</f>
        <v>152.68799999999999</v>
      </c>
      <c r="I52" s="242">
        <f>'[2]Ukraine Sunflower Imports'!$DD$290</f>
        <v>129.25200000000001</v>
      </c>
      <c r="J52" s="242">
        <f>'[2]Ukraine Sunflower Imports'!$DP$290</f>
        <v>0</v>
      </c>
      <c r="K52" s="242">
        <f>'[2]Ukraine Sunflower Imports'!$EB$290</f>
        <v>2.5000000000000001E-4</v>
      </c>
      <c r="L52" s="242">
        <f>'[2]Ukraine Sunflower Imports'!$EN$290</f>
        <v>9.3999999999999994E-5</v>
      </c>
      <c r="M52" s="242">
        <f>'[2]Ukraine Sunflower Imports'!$FL$290</f>
        <v>0.39838299999999999</v>
      </c>
      <c r="N52" s="242">
        <f>'[2]Ukraine Sunflower Imports'!$FX$290</f>
        <v>0.80120199999999997</v>
      </c>
      <c r="O52" s="242">
        <f>'[2]Ukraine Sunflower Imports'!$GJ$290</f>
        <v>1.3011159999999999</v>
      </c>
      <c r="P52" s="242">
        <f>'[2]Ukraine Sunflower Imports'!$GV$290</f>
        <v>1.0489539999999999</v>
      </c>
      <c r="Q52" s="242">
        <f>'[2]Ukraine Sunflower Imports'!$HH$290</f>
        <v>0.88935600000000004</v>
      </c>
      <c r="R52" s="242">
        <f>'[2]Ukraine Sunflower Imports'!$HT$290</f>
        <v>1.2840069999999999</v>
      </c>
      <c r="S52" s="242">
        <f>'[2]Ukraine Sunflower Imports'!$IF$290</f>
        <v>2.7672020000000002</v>
      </c>
      <c r="T52" s="242">
        <f>'[2]Ukraine Sunflower Imports'!$IR$290</f>
        <v>3.7390110000000001</v>
      </c>
      <c r="U52" s="242">
        <f>'[2]Ukraine Sunflower Imports'!$JD$290</f>
        <v>5.3709189999999998</v>
      </c>
      <c r="V52" s="242">
        <f>'[2]Ukraine Sunflower Imports'!$JP$290</f>
        <v>4.2830300000000001</v>
      </c>
      <c r="W52" s="242">
        <f>'[2]Ukraine Sunflower Imports'!$KB$290</f>
        <v>4.0979429999999999</v>
      </c>
      <c r="X52" s="242">
        <f>'[2]Ukraine Sunflower Imports'!$KN$290</f>
        <v>6.5542639999999999</v>
      </c>
      <c r="Y52" s="242">
        <f>'[2]Ukraine Sunflower Imports'!$KZ$290</f>
        <v>7.5780770000000004</v>
      </c>
      <c r="Z52" s="242">
        <f>'[2]Ukraine Sunflower Imports'!$LL$290</f>
        <v>7.6519880000000002</v>
      </c>
      <c r="AA52" s="242">
        <f>'[2]Ukraine Sunflower Imports'!$LX$290</f>
        <v>5.8120050000000001</v>
      </c>
      <c r="AB52" s="242">
        <f>'[2]Ukraine Sunflower Imports'!$MJ$290</f>
        <v>4.968089</v>
      </c>
      <c r="AC52" s="242">
        <f>'[2]Ukraine Sunflower Imports'!$MV$290</f>
        <v>6.1159999999999997</v>
      </c>
      <c r="AD52" s="242">
        <f>'[2]Ukraine Sunflower Imports'!$NH$290</f>
        <v>5.7610000000000001</v>
      </c>
      <c r="AE52" s="242">
        <f>'[2]Ukraine Sunflower Imports'!NT$290</f>
        <v>6.117</v>
      </c>
      <c r="AF52" s="242">
        <f>'[2]Ukraine Sunflower Imports'!OF$290</f>
        <v>5.2569999999999997</v>
      </c>
      <c r="AG52" s="243">
        <f t="shared" si="39"/>
        <v>2.4367067500899999</v>
      </c>
      <c r="AI52" s="244"/>
      <c r="AJ52" s="244"/>
      <c r="AK52" s="354"/>
      <c r="AL52" s="354"/>
      <c r="AM52" s="354"/>
      <c r="AN52" s="354"/>
      <c r="AO52" s="244"/>
      <c r="AP52" s="244"/>
    </row>
    <row r="53" spans="1:42">
      <c r="A53" s="240" t="s">
        <v>233</v>
      </c>
      <c r="B53" s="241">
        <f t="shared" si="37"/>
        <v>0</v>
      </c>
      <c r="C53" s="241">
        <f t="shared" si="38"/>
        <v>0</v>
      </c>
      <c r="D53" s="241">
        <f t="shared" si="38"/>
        <v>5.9648524394192206</v>
      </c>
      <c r="E53" s="241">
        <f t="shared" si="38"/>
        <v>4.8639887226668623</v>
      </c>
      <c r="F53" s="241">
        <f t="shared" si="38"/>
        <v>4.3732814841167977</v>
      </c>
      <c r="G53" s="241">
        <f t="shared" si="38"/>
        <v>0.59953436553148065</v>
      </c>
      <c r="H53" s="242">
        <f>'[2]Ukraine Sunflower Imports'!$CS$290</f>
        <v>141.583</v>
      </c>
      <c r="I53" s="242">
        <f>'[2]Ukraine Sunflower Imports'!$DE$290</f>
        <v>146.465</v>
      </c>
      <c r="J53" s="242">
        <f>'[2]Ukraine Sunflower Imports'!$DQ$290</f>
        <v>0</v>
      </c>
      <c r="K53" s="242">
        <f>'[2]Ukraine Sunflower Imports'!$EC$290</f>
        <v>0.21001400000000001</v>
      </c>
      <c r="L53" s="242">
        <f>'[2]Ukraine Sunflower Imports'!$EO$290</f>
        <v>0.37540699999999999</v>
      </c>
      <c r="M53" s="242">
        <f>'[2]Ukraine Sunflower Imports'!$FM$290</f>
        <v>0.88178900000000004</v>
      </c>
      <c r="N53" s="242">
        <f>'[2]Ukraine Sunflower Imports'!$FY$290</f>
        <v>2.05124</v>
      </c>
      <c r="O53" s="242">
        <f>'[2]Ukraine Sunflower Imports'!$GK$290</f>
        <v>1.771997</v>
      </c>
      <c r="P53" s="242">
        <f>'[2]Ukraine Sunflower Imports'!$GW$290</f>
        <v>2.4452929999999999</v>
      </c>
      <c r="Q53" s="242">
        <f>'[2]Ukraine Sunflower Imports'!$HI$290</f>
        <v>1.831183</v>
      </c>
      <c r="R53" s="242">
        <f>'[2]Ukraine Sunflower Imports'!$HU$290</f>
        <v>1.874857</v>
      </c>
      <c r="S53" s="242">
        <f>'[2]Ukraine Sunflower Imports'!$IG$290</f>
        <v>3.2776130000000001</v>
      </c>
      <c r="T53" s="242">
        <f>'[2]Ukraine Sunflower Imports'!$IS$290</f>
        <v>5.3408340000000001</v>
      </c>
      <c r="U53" s="242">
        <f>'[2]Ukraine Sunflower Imports'!$JE$290</f>
        <v>5.5475260000000004</v>
      </c>
      <c r="V53" s="242">
        <f>'[2]Ukraine Sunflower Imports'!$JQ$290</f>
        <v>4.6114930000000003</v>
      </c>
      <c r="W53" s="242">
        <f>'[2]Ukraine Sunflower Imports'!$KC$290</f>
        <v>3.5775709999999998</v>
      </c>
      <c r="X53" s="242">
        <f>'[2]Ukraine Sunflower Imports'!$KO$290</f>
        <v>6.9100390000000003</v>
      </c>
      <c r="Y53" s="242">
        <f>'[2]Ukraine Sunflower Imports'!$LA$290</f>
        <v>7.581493</v>
      </c>
      <c r="Z53" s="242">
        <f>'[2]Ukraine Sunflower Imports'!$LM$290</f>
        <v>7.358473</v>
      </c>
      <c r="AA53" s="242">
        <f>'[2]Ukraine Sunflower Imports'!$LY$290</f>
        <v>5.7428720000000002</v>
      </c>
      <c r="AB53" s="242">
        <f>'[2]Ukraine Sunflower Imports'!$MK$290</f>
        <v>4.549671</v>
      </c>
      <c r="AC53" s="242">
        <f>'[2]Ukraine Sunflower Imports'!$MW$290</f>
        <v>6.5549999999999997</v>
      </c>
      <c r="AD53" s="242">
        <f>'[2]Ukraine Sunflower Imports'!$NI$290</f>
        <v>2.0790000000000002</v>
      </c>
      <c r="AE53" s="242">
        <f>'[2]Ukraine Sunflower Imports'!NU$290</f>
        <v>5.3120000000000003</v>
      </c>
      <c r="AF53" s="242">
        <f>'[2]Ukraine Sunflower Imports'!OG$290</f>
        <v>3.2229999999999999</v>
      </c>
      <c r="AG53" s="243">
        <f t="shared" si="39"/>
        <v>2.0526179326600769</v>
      </c>
      <c r="AI53" s="244"/>
      <c r="AJ53" s="244"/>
      <c r="AK53" s="354"/>
      <c r="AL53" s="354"/>
      <c r="AM53" s="354"/>
      <c r="AN53" s="354"/>
      <c r="AO53" s="244"/>
      <c r="AP53" s="244"/>
    </row>
    <row r="54" spans="1:42">
      <c r="A54" s="240" t="s">
        <v>234</v>
      </c>
      <c r="B54" s="241">
        <f t="shared" si="37"/>
        <v>0</v>
      </c>
      <c r="C54" s="241">
        <f t="shared" si="38"/>
        <v>0</v>
      </c>
      <c r="D54" s="241">
        <f t="shared" si="38"/>
        <v>6.3053367535842071</v>
      </c>
      <c r="E54" s="241">
        <f t="shared" si="38"/>
        <v>5.1638749662553849</v>
      </c>
      <c r="F54" s="241">
        <f t="shared" si="38"/>
        <v>4.9775439188862061</v>
      </c>
      <c r="G54" s="241">
        <f t="shared" si="38"/>
        <v>0.57738905470593072</v>
      </c>
      <c r="H54" s="242">
        <f>'[2]Ukraine Sunflower Imports'!$CT$290</f>
        <v>314.97800000000001</v>
      </c>
      <c r="I54" s="242">
        <f>'[2]Ukraine Sunflower Imports'!$DF$290</f>
        <v>110.876</v>
      </c>
      <c r="J54" s="242">
        <f>'[2]Ukraine Sunflower Imports'!$DR$290</f>
        <v>0</v>
      </c>
      <c r="K54" s="242">
        <f>'[2]Ukraine Sunflower Imports'!$ED$290</f>
        <v>0.62880400000000003</v>
      </c>
      <c r="L54" s="242">
        <f>'[2]Ukraine Sunflower Imports'!$EP$290</f>
        <v>0.71931500000000004</v>
      </c>
      <c r="M54" s="242">
        <f>'[2]Ukraine Sunflower Imports'!$FN$290</f>
        <v>1.4510940000000001</v>
      </c>
      <c r="N54" s="242">
        <f>'[2]Ukraine Sunflower Imports'!$FZ$290</f>
        <v>1.388069</v>
      </c>
      <c r="O54" s="242">
        <f>'[2]Ukraine Sunflower Imports'!$GL$290</f>
        <v>2.2038690000000001</v>
      </c>
      <c r="P54" s="242">
        <f>'[2]Ukraine Sunflower Imports'!$GX$290</f>
        <v>2.5046499999999998</v>
      </c>
      <c r="Q54" s="242">
        <f>'[2]Ukraine Sunflower Imports'!$HJ$290</f>
        <v>1.9464999999999999</v>
      </c>
      <c r="R54" s="242">
        <f>'[2]Ukraine Sunflower Imports'!$HV$290</f>
        <v>2.5464579999999999</v>
      </c>
      <c r="S54" s="242">
        <f>'[2]Ukraine Sunflower Imports'!$IH$290</f>
        <v>3.5471159999999999</v>
      </c>
      <c r="T54" s="242">
        <f>'[2]Ukraine Sunflower Imports'!$IT$290</f>
        <v>3.679497</v>
      </c>
      <c r="U54" s="242">
        <f>'[2]Ukraine Sunflower Imports'!$JF$290</f>
        <v>3.1501269999999999</v>
      </c>
      <c r="V54" s="242">
        <f>'[2]Ukraine Sunflower Imports'!$JR$290</f>
        <v>1.656296</v>
      </c>
      <c r="W54" s="242">
        <f>'[2]Ukraine Sunflower Imports'!$KD$290</f>
        <v>1.0354380000000001</v>
      </c>
      <c r="X54" s="242">
        <f>'[2]Ukraine Sunflower Imports'!$KP$290</f>
        <v>2.3685589999999999</v>
      </c>
      <c r="Y54" s="242">
        <f>'[2]Ukraine Sunflower Imports'!$LB$290</f>
        <v>1.9649779999999999</v>
      </c>
      <c r="Z54" s="242">
        <f>'[2]Ukraine Sunflower Imports'!$LN$290</f>
        <v>4.0357979999999998</v>
      </c>
      <c r="AA54" s="242">
        <f>'[2]Ukraine Sunflower Imports'!$LZ$290</f>
        <v>2.2632300000000001</v>
      </c>
      <c r="AB54" s="242">
        <f>'[2]Ukraine Sunflower Imports'!$ML$290</f>
        <v>1.3966050000000001</v>
      </c>
      <c r="AC54" s="242">
        <f>'[2]Ukraine Sunflower Imports'!$MX$290</f>
        <v>1.84</v>
      </c>
      <c r="AD54" s="242">
        <f>'[2]Ukraine Sunflower Imports'!$NJ$290</f>
        <v>2.78</v>
      </c>
      <c r="AE54" s="242">
        <f>'[2]Ukraine Sunflower Imports'!NV$290</f>
        <v>3.823</v>
      </c>
      <c r="AF54" s="243">
        <f>(SUM(Z54:AD54)/SUM(Z$59:AD$59))*AF$59+0.5</f>
        <v>2.8865336843339917</v>
      </c>
      <c r="AG54" s="243">
        <f t="shared" si="39"/>
        <v>1.0249170569792923</v>
      </c>
      <c r="AI54" s="244"/>
      <c r="AJ54" s="244"/>
      <c r="AK54" s="354"/>
      <c r="AL54" s="354"/>
      <c r="AM54" s="354"/>
      <c r="AN54" s="354"/>
      <c r="AO54" s="244"/>
      <c r="AP54" s="244"/>
    </row>
    <row r="55" spans="1:42">
      <c r="A55" s="240" t="s">
        <v>46</v>
      </c>
      <c r="B55" s="241">
        <f t="shared" si="37"/>
        <v>0</v>
      </c>
      <c r="C55" s="241">
        <f t="shared" si="38"/>
        <v>0</v>
      </c>
      <c r="D55" s="241">
        <f t="shared" si="38"/>
        <v>0.59915489917731346</v>
      </c>
      <c r="E55" s="241">
        <f t="shared" si="38"/>
        <v>0.43876191204397963</v>
      </c>
      <c r="F55" s="241">
        <f t="shared" si="38"/>
        <v>0.58545031792641444</v>
      </c>
      <c r="G55" s="241">
        <f t="shared" si="38"/>
        <v>8.5689674807026314E-2</v>
      </c>
      <c r="H55" s="242">
        <f>'[2]Ukraine Sunflower Imports'!$CU$290</f>
        <v>330.524</v>
      </c>
      <c r="I55" s="242">
        <f>'[2]Ukraine Sunflower Imports'!$DG$290</f>
        <v>182.92599999999999</v>
      </c>
      <c r="J55" s="242">
        <f>'[2]Ukraine Sunflower Imports'!$DS$290</f>
        <v>0</v>
      </c>
      <c r="K55" s="242">
        <f>'[2]Ukraine Sunflower Imports'!$EE$290</f>
        <v>4.5409999999999999E-3</v>
      </c>
      <c r="L55" s="242">
        <f>'[2]Ukraine Sunflower Imports'!$EQ$290</f>
        <v>5.4605000000000001E-2</v>
      </c>
      <c r="M55" s="242">
        <f>'[2]Ukraine Sunflower Imports'!$FO$290</f>
        <v>0.16266900000000001</v>
      </c>
      <c r="N55" s="242">
        <f>'[2]Ukraine Sunflower Imports'!$GA$290</f>
        <v>0.12457</v>
      </c>
      <c r="O55" s="242">
        <f>'[2]Ukraine Sunflower Imports'!$GM$290</f>
        <v>0.29713699999999998</v>
      </c>
      <c r="P55" s="242">
        <f>'[2]Ukraine Sunflower Imports'!$GY$290</f>
        <v>0.23704600000000001</v>
      </c>
      <c r="Q55" s="242">
        <f>'[2]Ukraine Sunflower Imports'!$HK$290</f>
        <v>8.0748E-2</v>
      </c>
      <c r="R55" s="242">
        <f>'[2]Ukraine Sunflower Imports'!$HW$290</f>
        <v>0.16026699999999999</v>
      </c>
      <c r="S55" s="242">
        <f>'[2]Ukraine Sunflower Imports'!$II$290</f>
        <v>0.72426999999999997</v>
      </c>
      <c r="T55" s="242">
        <f>'[2]Ukraine Sunflower Imports'!$IU$290</f>
        <v>0.90866999999999998</v>
      </c>
      <c r="U55" s="242">
        <f>'[2]Ukraine Sunflower Imports'!$JG$290</f>
        <v>0.21034600000000001</v>
      </c>
      <c r="V55" s="242">
        <f>'[2]Ukraine Sunflower Imports'!$JS$290</f>
        <v>5.1846000000000003E-2</v>
      </c>
      <c r="W55" s="242">
        <f>'[2]Ukraine Sunflower Imports'!$KE$290</f>
        <v>9.5716999999999997E-2</v>
      </c>
      <c r="X55" s="242">
        <f>'[2]Ukraine Sunflower Imports'!$KQ$290</f>
        <v>0.37012499999999998</v>
      </c>
      <c r="Y55" s="242">
        <f>'[2]Ukraine Sunflower Imports'!$LC$290</f>
        <v>6.4195000000000002E-2</v>
      </c>
      <c r="Z55" s="242">
        <f>'[2]Ukraine Sunflower Imports'!$LO$290</f>
        <v>1.923454</v>
      </c>
      <c r="AA55" s="242">
        <f>'[2]Ukraine Sunflower Imports'!$MA$290</f>
        <v>9.4729999999999995E-2</v>
      </c>
      <c r="AB55" s="242">
        <f>'[2]Ukraine Sunflower Imports'!$MM$290</f>
        <v>5.4443999999999999E-2</v>
      </c>
      <c r="AC55" s="242">
        <f>'[2]Ukraine Sunflower Imports'!$MY$290</f>
        <v>0.17100000000000001</v>
      </c>
      <c r="AD55" s="242">
        <f>'[2]Ukraine Sunflower Imports'!$NK$290</f>
        <v>0.76</v>
      </c>
      <c r="AE55" s="242">
        <f>'[2]Ukraine Sunflower Imports'!NW$290</f>
        <v>1.464</v>
      </c>
      <c r="AF55" s="243">
        <f>(SUM(Z55:AD55)/SUM(Z$59:AD$59))*AF$59+0.5</f>
        <v>1.082045551146964</v>
      </c>
      <c r="AG55" s="243">
        <f t="shared" si="39"/>
        <v>0.21545095248536672</v>
      </c>
      <c r="AI55" s="244"/>
      <c r="AJ55" s="244"/>
      <c r="AK55" s="354"/>
      <c r="AL55" s="354"/>
      <c r="AM55" s="354"/>
      <c r="AN55" s="354"/>
      <c r="AO55" s="244"/>
      <c r="AP55" s="244"/>
    </row>
    <row r="56" spans="1:42">
      <c r="A56" s="240" t="s">
        <v>235</v>
      </c>
      <c r="B56" s="241">
        <f t="shared" si="37"/>
        <v>0</v>
      </c>
      <c r="C56" s="241">
        <f t="shared" si="38"/>
        <v>0</v>
      </c>
      <c r="D56" s="241">
        <f t="shared" si="38"/>
        <v>0.23763305357009437</v>
      </c>
      <c r="E56" s="241">
        <f t="shared" si="38"/>
        <v>0.18352974129388941</v>
      </c>
      <c r="F56" s="241">
        <f t="shared" si="38"/>
        <v>0.24945752448753361</v>
      </c>
      <c r="G56" s="241">
        <f t="shared" si="38"/>
        <v>3.1902441600494831E-2</v>
      </c>
      <c r="H56" s="242">
        <f>'[2]Ukraine Sunflower Imports'!$CV$290</f>
        <v>160.39500000000001</v>
      </c>
      <c r="I56" s="242">
        <f>'[2]Ukraine Sunflower Imports'!$DH$290</f>
        <v>157.25299999999999</v>
      </c>
      <c r="J56" s="242">
        <f>'[2]Ukraine Sunflower Imports'!$DT$290</f>
        <v>0</v>
      </c>
      <c r="K56" s="242">
        <f>'[2]Ukraine Sunflower Imports'!$EF$290</f>
        <v>0</v>
      </c>
      <c r="L56" s="242">
        <f>'[2]Ukraine Sunflower Imports'!$ER$290</f>
        <v>4.3E-3</v>
      </c>
      <c r="M56" s="242">
        <f>'[2]Ukraine Sunflower Imports'!$FP$290</f>
        <v>3.2200000000000002E-4</v>
      </c>
      <c r="N56" s="242">
        <f>'[2]Ukraine Sunflower Imports'!$GB$290</f>
        <v>2.3879999999999999E-3</v>
      </c>
      <c r="O56" s="242">
        <f>'[2]Ukraine Sunflower Imports'!$GN$290</f>
        <v>1.7461999999999998E-2</v>
      </c>
      <c r="P56" s="242">
        <f>'[2]Ukraine Sunflower Imports'!$GZ$290</f>
        <v>0.30956899999999998</v>
      </c>
      <c r="Q56" s="242">
        <f>'[2]Ukraine Sunflower Imports'!$HL$290</f>
        <v>2.8072E-2</v>
      </c>
      <c r="R56" s="242">
        <f>'[2]Ukraine Sunflower Imports'!$HX$290</f>
        <v>1.8873000000000001E-2</v>
      </c>
      <c r="S56" s="242">
        <f>'[2]Ukraine Sunflower Imports'!$IJ$290</f>
        <v>0.26494000000000001</v>
      </c>
      <c r="T56" s="242">
        <f>'[2]Ukraine Sunflower Imports'!$IV$290</f>
        <v>0.16447600000000001</v>
      </c>
      <c r="U56" s="242">
        <f>'[2]Ukraine Sunflower Imports'!$JH$290</f>
        <v>1.5233E-2</v>
      </c>
      <c r="V56" s="242">
        <f>'[2]Ukraine Sunflower Imports'!$JT$290</f>
        <v>8.3825999999999998E-2</v>
      </c>
      <c r="W56" s="242">
        <f>'[2]Ukraine Sunflower Imports'!$KF$290</f>
        <v>0.48842099999999999</v>
      </c>
      <c r="X56" s="242">
        <f>'[2]Ukraine Sunflower Imports'!$KR$290</f>
        <v>1.1956E-2</v>
      </c>
      <c r="Y56" s="242">
        <f>'[2]Ukraine Sunflower Imports'!$LD$290</f>
        <v>2.7902E-2</v>
      </c>
      <c r="Z56" s="242">
        <f>'[2]Ukraine Sunflower Imports'!$LP$290</f>
        <v>0.31418400000000002</v>
      </c>
      <c r="AA56" s="242">
        <f>'[2]Ukraine Sunflower Imports'!$MB$290</f>
        <v>0.121659</v>
      </c>
      <c r="AB56" s="242">
        <f>'[2]Ukraine Sunflower Imports'!$MN$290</f>
        <v>0.111447</v>
      </c>
      <c r="AC56" s="242">
        <f>'[2]Ukraine Sunflower Imports'!$MZ$290</f>
        <v>0.156</v>
      </c>
      <c r="AD56" s="242">
        <f>'[2]Ukraine Sunflower Imports'!$NL$290</f>
        <v>0.13100000000000001</v>
      </c>
      <c r="AE56" s="242">
        <f>'[2]Ukraine Sunflower Imports'!NX$290</f>
        <v>1.6040000000000001</v>
      </c>
      <c r="AF56" s="243">
        <f>(SUM(Z56:AD56)/SUM(Z$59:AD$59))*AF$59+0.5</f>
        <v>0.66166941540909885</v>
      </c>
      <c r="AG56" s="243">
        <f t="shared" si="39"/>
        <v>0.1798778939175868</v>
      </c>
      <c r="AI56" s="244"/>
      <c r="AJ56" s="244"/>
      <c r="AK56" s="354"/>
      <c r="AL56" s="354"/>
      <c r="AM56" s="354"/>
      <c r="AN56" s="354"/>
      <c r="AO56" s="244"/>
      <c r="AP56" s="244"/>
    </row>
    <row r="57" spans="1:42">
      <c r="A57" s="240" t="s">
        <v>236</v>
      </c>
      <c r="B57" s="241">
        <f t="shared" si="37"/>
        <v>0</v>
      </c>
      <c r="C57" s="241">
        <f t="shared" si="38"/>
        <v>0</v>
      </c>
      <c r="D57" s="241">
        <f t="shared" si="38"/>
        <v>0.11745606388895805</v>
      </c>
      <c r="E57" s="241">
        <f t="shared" si="38"/>
        <v>0.10532367132043262</v>
      </c>
      <c r="F57" s="241">
        <f t="shared" si="38"/>
        <v>8.419615077430237E-2</v>
      </c>
      <c r="G57" s="241">
        <f t="shared" si="38"/>
        <v>1.036097681880257E-2</v>
      </c>
      <c r="H57" s="242">
        <f>'[2]Ukraine Sunflower Imports'!$CW$290</f>
        <v>89.350999999999999</v>
      </c>
      <c r="I57" s="242">
        <f>'[2]Ukraine Sunflower Imports'!$DI$290</f>
        <v>128.006</v>
      </c>
      <c r="J57" s="242">
        <f>'[2]Ukraine Sunflower Imports'!$DU$290</f>
        <v>0</v>
      </c>
      <c r="K57" s="242">
        <f>'[2]Ukraine Sunflower Imports'!$EG$290</f>
        <v>0</v>
      </c>
      <c r="L57" s="242">
        <f>'[2]Ukraine Sunflower Imports'!$ES$290</f>
        <v>4.8467999999999997E-2</v>
      </c>
      <c r="M57" s="242">
        <f>'[2]Ukraine Sunflower Imports'!$FQ$290</f>
        <v>8.8599999999999996E-4</v>
      </c>
      <c r="N57" s="242">
        <f>'[2]Ukraine Sunflower Imports'!$GC$290</f>
        <v>3.4200000000000002E-4</v>
      </c>
      <c r="O57" s="242">
        <f>'[2]Ukraine Sunflower Imports'!$GO$290</f>
        <v>3.3897999999999998E-2</v>
      </c>
      <c r="P57" s="242">
        <f>'[2]Ukraine Sunflower Imports'!$HA$290</f>
        <v>0.13513600000000001</v>
      </c>
      <c r="Q57" s="242">
        <f>'[2]Ukraine Sunflower Imports'!$HM$290</f>
        <v>6.5960000000000003E-3</v>
      </c>
      <c r="R57" s="242">
        <f>'[2]Ukraine Sunflower Imports'!$HY$290</f>
        <v>4.0015000000000002E-2</v>
      </c>
      <c r="S57" s="242">
        <f>'[2]Ukraine Sunflower Imports'!$IK$290</f>
        <v>0</v>
      </c>
      <c r="T57" s="242">
        <f>'[2]Ukraine Sunflower Imports'!$IW$290</f>
        <v>7.3499999999999996E-2</v>
      </c>
      <c r="U57" s="242">
        <f>'[2]Ukraine Sunflower Imports'!$JI$290</f>
        <v>3.9E-2</v>
      </c>
      <c r="V57" s="242">
        <f>'[2]Ukraine Sunflower Imports'!$JU$290</f>
        <v>2.0032000000000001E-2</v>
      </c>
      <c r="W57" s="242">
        <f>'[2]Ukraine Sunflower Imports'!$KG$290</f>
        <v>1.2602169999999999</v>
      </c>
      <c r="X57" s="242">
        <f>'[2]Ukraine Sunflower Imports'!$KS$290</f>
        <v>5.5999999999999999E-5</v>
      </c>
      <c r="Y57" s="242">
        <f>'[2]Ukraine Sunflower Imports'!$LE$290</f>
        <v>7.9999999999999996E-6</v>
      </c>
      <c r="Z57" s="242">
        <f>'[2]Ukraine Sunflower Imports'!$LQ$290</f>
        <v>1.2455000000000001E-2</v>
      </c>
      <c r="AA57" s="242">
        <f>'[2]Ukraine Sunflower Imports'!$MC$290</f>
        <v>4.5446E-2</v>
      </c>
      <c r="AB57" s="242">
        <f>'[2]Ukraine Sunflower Imports'!$MO$290</f>
        <v>1.3447000000000001E-2</v>
      </c>
      <c r="AC57" s="242">
        <f>'[2]Ukraine Sunflower Imports'!$NA$290</f>
        <v>0.08</v>
      </c>
      <c r="AD57" s="242">
        <f>'[2]Ukraine Sunflower Imports'!$NM$290</f>
        <v>2.1000000000000001E-2</v>
      </c>
      <c r="AE57" s="242">
        <f>'[2]Ukraine Sunflower Imports'!NY$290</f>
        <v>0.91600000000000004</v>
      </c>
      <c r="AF57" s="243">
        <f t="shared" si="39"/>
        <v>3.3397739882927227E-2</v>
      </c>
      <c r="AG57" s="243">
        <f t="shared" si="39"/>
        <v>9.1110974179572105E-2</v>
      </c>
      <c r="AI57" s="244"/>
      <c r="AJ57" s="244"/>
      <c r="AK57" s="354"/>
      <c r="AL57" s="354"/>
      <c r="AM57" s="354"/>
      <c r="AN57" s="354"/>
      <c r="AO57" s="244"/>
      <c r="AP57" s="244"/>
    </row>
    <row r="58" spans="1:42">
      <c r="A58" s="240" t="s">
        <v>237</v>
      </c>
      <c r="B58" s="241">
        <f t="shared" si="37"/>
        <v>0</v>
      </c>
      <c r="C58" s="241">
        <f t="shared" si="38"/>
        <v>0</v>
      </c>
      <c r="D58" s="241">
        <f t="shared" si="38"/>
        <v>2.8287799168181704E-2</v>
      </c>
      <c r="E58" s="241">
        <f t="shared" si="38"/>
        <v>2.4524825113171243E-2</v>
      </c>
      <c r="F58" s="241">
        <f t="shared" si="38"/>
        <v>1.9552388594567528E-2</v>
      </c>
      <c r="G58" s="241">
        <f t="shared" si="38"/>
        <v>1.1806172482923317E-3</v>
      </c>
      <c r="H58" s="242">
        <f>'[2]Ukraine Sunflower Imports'!$CX$290</f>
        <v>98.498000000000005</v>
      </c>
      <c r="I58" s="242">
        <f>'[2]Ukraine Sunflower Imports'!$DJ$290</f>
        <v>80.08</v>
      </c>
      <c r="J58" s="242">
        <f>'[2]Ukraine Sunflower Imports'!$DV$290</f>
        <v>0</v>
      </c>
      <c r="K58" s="242">
        <f>'[2]Ukraine Sunflower Imports'!$EH$290</f>
        <v>0</v>
      </c>
      <c r="L58" s="242">
        <f>'[2]Ukraine Sunflower Imports'!$ET$290</f>
        <v>1.8699999999999999E-4</v>
      </c>
      <c r="M58" s="242">
        <f>'[2]Ukraine Sunflower Imports'!$FR$290</f>
        <v>5.9100000000000005E-4</v>
      </c>
      <c r="N58" s="242">
        <f>'[2]Ukraine Sunflower Imports'!$GD$290</f>
        <v>4.0700000000000003E-4</v>
      </c>
      <c r="O58" s="242">
        <f>'[2]Ukraine Sunflower Imports'!$GP$290</f>
        <v>2.0993000000000001E-2</v>
      </c>
      <c r="P58" s="242">
        <f>'[2]Ukraine Sunflower Imports'!$HB$290</f>
        <v>2.0603E-2</v>
      </c>
      <c r="Q58" s="242">
        <f>'[2]Ukraine Sunflower Imports'!$HN$290</f>
        <v>0</v>
      </c>
      <c r="R58" s="242">
        <f>'[2]Ukraine Sunflower Imports'!$HZ$290</f>
        <v>8.2900000000000005E-3</v>
      </c>
      <c r="S58" s="242">
        <f>'[2]Ukraine Sunflower Imports'!$IL$290</f>
        <v>1.92E-4</v>
      </c>
      <c r="T58" s="242">
        <f>'[2]Ukraine Sunflower Imports'!$IX$290</f>
        <v>0</v>
      </c>
      <c r="U58" s="242">
        <f>'[2]Ukraine Sunflower Imports'!$JJ$290</f>
        <v>3.7999999999999999E-2</v>
      </c>
      <c r="V58" s="242">
        <f>'[2]Ukraine Sunflower Imports'!$JV$290</f>
        <v>1.2999999999999999E-4</v>
      </c>
      <c r="W58" s="242">
        <f>'[2]Ukraine Sunflower Imports'!$KH$290</f>
        <v>0.18553900000000001</v>
      </c>
      <c r="X58" s="242">
        <f>'[2]Ukraine Sunflower Imports'!$KT$290</f>
        <v>1.0057999999999999E-2</v>
      </c>
      <c r="Y58" s="242">
        <f>'[2]Ukraine Sunflower Imports'!$LF$290</f>
        <v>0</v>
      </c>
      <c r="Z58" s="242">
        <f>'[2]Ukraine Sunflower Imports'!$LR$290</f>
        <v>3.6068000000000003E-2</v>
      </c>
      <c r="AA58" s="242">
        <f>'[2]Ukraine Sunflower Imports'!$MD$290</f>
        <v>1.5192000000000001E-2</v>
      </c>
      <c r="AB58" s="242">
        <f>'[2]Ukraine Sunflower Imports'!$MP$290</f>
        <v>0.202319</v>
      </c>
      <c r="AC58" s="242">
        <f>'[2]Ukraine Sunflower Imports'!$NB$290</f>
        <v>3.0000000000000001E-3</v>
      </c>
      <c r="AD58" s="242">
        <f>'[2]Ukraine Sunflower Imports'!NN$290</f>
        <v>7.0999999999999994E-2</v>
      </c>
      <c r="AE58" s="242">
        <f>'[2]Ukraine Sunflower Imports'!NZ$290</f>
        <v>1.075</v>
      </c>
      <c r="AF58" s="243">
        <f>AF59-SUM(AF47:AF57)</f>
        <v>1.8843536092270199</v>
      </c>
      <c r="AG58" s="243">
        <f>AG59-SUM(AG47:AG57)</f>
        <v>0.11572168276687655</v>
      </c>
      <c r="AI58" s="244"/>
      <c r="AJ58" s="244"/>
      <c r="AK58" s="354"/>
      <c r="AL58" s="354"/>
      <c r="AM58" s="354"/>
      <c r="AN58" s="354"/>
      <c r="AO58" s="244"/>
      <c r="AP58" s="244"/>
    </row>
    <row r="59" spans="1:42" ht="15.75" thickBot="1">
      <c r="A59" s="240" t="s">
        <v>242</v>
      </c>
      <c r="B59" s="245">
        <f t="shared" ref="B59:H59" si="40">B10</f>
        <v>0</v>
      </c>
      <c r="C59" s="245">
        <f t="shared" si="40"/>
        <v>0</v>
      </c>
      <c r="D59" s="245">
        <f t="shared" si="40"/>
        <v>20</v>
      </c>
      <c r="E59" s="245">
        <f t="shared" si="40"/>
        <v>15</v>
      </c>
      <c r="F59" s="245">
        <f t="shared" si="40"/>
        <v>15</v>
      </c>
      <c r="G59" s="245">
        <f t="shared" si="40"/>
        <v>2</v>
      </c>
      <c r="H59" s="245">
        <f t="shared" si="40"/>
        <v>2</v>
      </c>
      <c r="I59" s="245">
        <f t="shared" ref="I59:O59" si="41">SUM(I47:I58)</f>
        <v>1345.3150000000001</v>
      </c>
      <c r="J59" s="245">
        <f t="shared" si="41"/>
        <v>588.04300000000001</v>
      </c>
      <c r="K59" s="245">
        <f t="shared" si="41"/>
        <v>0.903609</v>
      </c>
      <c r="L59" s="245">
        <f t="shared" si="41"/>
        <v>1.20275</v>
      </c>
      <c r="M59" s="245">
        <f t="shared" si="41"/>
        <v>6.0459250000000004</v>
      </c>
      <c r="N59" s="245">
        <f t="shared" si="41"/>
        <v>4.5923579999999999</v>
      </c>
      <c r="O59" s="245">
        <f t="shared" si="41"/>
        <v>5.9635119999999997</v>
      </c>
      <c r="P59" s="245">
        <f t="shared" ref="P59:AA59" si="42">SUM(P47:P58)</f>
        <v>7.8804470000000011</v>
      </c>
      <c r="Q59" s="245">
        <f t="shared" si="42"/>
        <v>5.6325079999999996</v>
      </c>
      <c r="R59" s="245">
        <f t="shared" si="42"/>
        <v>6.6916390000000003</v>
      </c>
      <c r="S59" s="245">
        <f t="shared" si="42"/>
        <v>12.250218000000002</v>
      </c>
      <c r="T59" s="245">
        <f t="shared" si="42"/>
        <v>16.816025</v>
      </c>
      <c r="U59" s="245">
        <f t="shared" si="42"/>
        <v>19.750192000000002</v>
      </c>
      <c r="V59" s="245">
        <f t="shared" si="42"/>
        <v>15.360949999999999</v>
      </c>
      <c r="W59" s="245">
        <f t="shared" si="42"/>
        <v>15.422088999999998</v>
      </c>
      <c r="X59" s="245">
        <f t="shared" si="42"/>
        <v>21.718747000000008</v>
      </c>
      <c r="Y59" s="245">
        <f t="shared" si="42"/>
        <v>23.513722000000005</v>
      </c>
      <c r="Z59" s="245">
        <f t="shared" si="42"/>
        <v>30.151129999999998</v>
      </c>
      <c r="AA59" s="245">
        <f t="shared" si="42"/>
        <v>22.618764999999996</v>
      </c>
      <c r="AB59" s="245">
        <f>SUM(AB47:AB58)</f>
        <v>30.734186999999999</v>
      </c>
      <c r="AC59" s="245">
        <f>SUM(AC47:AC58)</f>
        <v>24.305641999999995</v>
      </c>
      <c r="AD59" s="245">
        <f>SUM(AD47:AD58)</f>
        <v>21.202000000000005</v>
      </c>
      <c r="AE59" s="245">
        <f>SUM(AE47:AE58)</f>
        <v>31.033999999999999</v>
      </c>
      <c r="AF59" s="247">
        <f>AF10</f>
        <v>25</v>
      </c>
      <c r="AG59" s="247">
        <f>AG10</f>
        <v>11</v>
      </c>
    </row>
    <row r="60" spans="1:42">
      <c r="A60" s="248"/>
      <c r="B60" s="248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  <c r="AE60" s="248"/>
      <c r="AF60" s="248"/>
      <c r="AG60" s="248"/>
    </row>
    <row r="61" spans="1:42" ht="15.75" thickBot="1">
      <c r="A61" s="235" t="s">
        <v>243</v>
      </c>
      <c r="J61" s="355"/>
      <c r="AK61" t="s">
        <v>341</v>
      </c>
      <c r="AL61"/>
      <c r="AM61"/>
    </row>
    <row r="62" spans="1:42" ht="15.75" thickBot="1">
      <c r="A62" s="236"/>
      <c r="B62" s="237" t="str">
        <f>B$2</f>
        <v xml:space="preserve">93/94 </v>
      </c>
      <c r="C62" s="237" t="str">
        <f t="shared" ref="C62:AG62" si="43">C$2</f>
        <v xml:space="preserve">94/95 </v>
      </c>
      <c r="D62" s="237" t="str">
        <f t="shared" si="43"/>
        <v xml:space="preserve">95/96 </v>
      </c>
      <c r="E62" s="237" t="str">
        <f t="shared" si="43"/>
        <v xml:space="preserve">96/97 </v>
      </c>
      <c r="F62" s="237" t="str">
        <f t="shared" si="43"/>
        <v xml:space="preserve">97/98 </v>
      </c>
      <c r="G62" s="237" t="str">
        <f t="shared" si="43"/>
        <v xml:space="preserve">98/99 </v>
      </c>
      <c r="H62" s="237" t="str">
        <f t="shared" si="43"/>
        <v xml:space="preserve">99/00 </v>
      </c>
      <c r="I62" s="237" t="str">
        <f t="shared" si="43"/>
        <v xml:space="preserve">00/01 </v>
      </c>
      <c r="J62" s="237" t="str">
        <f t="shared" si="43"/>
        <v xml:space="preserve">01/02 </v>
      </c>
      <c r="K62" s="237" t="str">
        <f t="shared" si="43"/>
        <v xml:space="preserve">02/03 </v>
      </c>
      <c r="L62" s="237" t="str">
        <f t="shared" si="43"/>
        <v xml:space="preserve">03/04 </v>
      </c>
      <c r="M62" s="237" t="str">
        <f t="shared" si="43"/>
        <v xml:space="preserve">04/05 </v>
      </c>
      <c r="N62" s="237" t="str">
        <f t="shared" si="43"/>
        <v xml:space="preserve">05/06 </v>
      </c>
      <c r="O62" s="237" t="str">
        <f t="shared" si="43"/>
        <v xml:space="preserve">06/07 </v>
      </c>
      <c r="P62" s="237" t="str">
        <f t="shared" si="43"/>
        <v xml:space="preserve">07/08 </v>
      </c>
      <c r="Q62" s="237" t="str">
        <f t="shared" si="43"/>
        <v xml:space="preserve">08/09 </v>
      </c>
      <c r="R62" s="237" t="str">
        <f t="shared" si="43"/>
        <v xml:space="preserve">09/10 </v>
      </c>
      <c r="S62" s="237" t="str">
        <f t="shared" si="43"/>
        <v xml:space="preserve">10/11 </v>
      </c>
      <c r="T62" s="237" t="str">
        <f t="shared" si="43"/>
        <v xml:space="preserve">11/12 </v>
      </c>
      <c r="U62" s="237" t="str">
        <f t="shared" si="43"/>
        <v xml:space="preserve">12/13 </v>
      </c>
      <c r="V62" s="237" t="str">
        <f t="shared" si="43"/>
        <v xml:space="preserve">13/14 </v>
      </c>
      <c r="W62" s="237" t="str">
        <f t="shared" si="43"/>
        <v xml:space="preserve">14/15 </v>
      </c>
      <c r="X62" s="237" t="str">
        <f t="shared" si="43"/>
        <v xml:space="preserve">15/16 </v>
      </c>
      <c r="Y62" s="237" t="str">
        <f t="shared" si="43"/>
        <v xml:space="preserve">16/17 </v>
      </c>
      <c r="Z62" s="237" t="str">
        <f t="shared" si="43"/>
        <v xml:space="preserve">17/18 </v>
      </c>
      <c r="AA62" s="237" t="str">
        <f t="shared" si="43"/>
        <v xml:space="preserve">18/19 </v>
      </c>
      <c r="AB62" s="237" t="str">
        <f t="shared" si="43"/>
        <v xml:space="preserve">19/20 </v>
      </c>
      <c r="AC62" s="237" t="str">
        <f t="shared" si="43"/>
        <v xml:space="preserve">20/21 </v>
      </c>
      <c r="AD62" s="237" t="str">
        <f t="shared" si="43"/>
        <v>21/22</v>
      </c>
      <c r="AE62" s="237" t="str">
        <f t="shared" si="43"/>
        <v>22/23</v>
      </c>
      <c r="AF62" s="237" t="str">
        <f t="shared" si="43"/>
        <v>23/24</v>
      </c>
      <c r="AG62" s="237" t="str">
        <f t="shared" si="43"/>
        <v>24/25</v>
      </c>
      <c r="AK62" s="226" t="s">
        <v>342</v>
      </c>
      <c r="AL62" s="226">
        <v>2021</v>
      </c>
      <c r="AM62" s="226">
        <v>2022</v>
      </c>
      <c r="AO62" s="226" t="s">
        <v>343</v>
      </c>
    </row>
    <row r="63" spans="1:42">
      <c r="A63" s="240" t="s">
        <v>238</v>
      </c>
      <c r="B63" s="241">
        <f>(SUM(K63:O63)/SUM(K$75:O$75))*B$75</f>
        <v>0.96775531101869183</v>
      </c>
      <c r="C63" s="146">
        <f>'[2]Ukraine Sunflower Exports'!AR$290</f>
        <v>12.5</v>
      </c>
      <c r="D63" s="146">
        <f>'[2]Ukraine Sunflower Exports'!BD$290</f>
        <v>9.1999999999999993</v>
      </c>
      <c r="E63" s="146">
        <f>'[2]Ukraine Sunflower Exports'!BP$290</f>
        <v>45.7</v>
      </c>
      <c r="F63" s="146">
        <f>'[2]Ukraine Sunflower Exports'!CB$290</f>
        <v>0.8</v>
      </c>
      <c r="G63" s="146">
        <f>'[2]Ukraine Sunflower Exports'!CN$290</f>
        <v>15.5</v>
      </c>
      <c r="H63" s="146">
        <f>'[2]Ukraine Sunflower Exports'!CZ$290</f>
        <v>15</v>
      </c>
      <c r="I63" s="146">
        <f>'[2]Ukraine Sunflower Exports'!DL$290</f>
        <v>23.8</v>
      </c>
      <c r="J63" s="146">
        <f>'[2]Ukraine Sunflower Exports'!DX$290</f>
        <v>0.3</v>
      </c>
      <c r="K63" s="146">
        <f>'[2]Ukraine Sunflower Exports'!EJ$290</f>
        <v>0.14085</v>
      </c>
      <c r="L63" s="146">
        <f>'[2]Ukraine Sunflower Exports'!EV$290</f>
        <v>7.6980000000000004</v>
      </c>
      <c r="M63" s="146">
        <f>'[2]Ukraine Sunflower Exports'!FH$290</f>
        <v>0.11</v>
      </c>
      <c r="N63" s="146">
        <f>'[2]Ukraine Sunflower Exports'!FT$290</f>
        <v>0.185</v>
      </c>
      <c r="O63" s="146">
        <f>'[2]Ukraine Sunflower Exports'!GF$290</f>
        <v>0.67100000000000004</v>
      </c>
      <c r="P63" s="146">
        <f>'[2]Ukraine Sunflower Exports'!GR$290</f>
        <v>2.21</v>
      </c>
      <c r="Q63" s="146">
        <f>'[2]Ukraine Sunflower Exports'!HD$290</f>
        <v>0.38400000000000001</v>
      </c>
      <c r="R63" s="146">
        <f>'[2]Ukraine Sunflower Exports'!HP$290</f>
        <v>6.66</v>
      </c>
      <c r="S63" s="146">
        <f>'[2]Ukraine Sunflower Exports'!IB$290</f>
        <v>2.851</v>
      </c>
      <c r="T63" s="146">
        <f>'[2]Ukraine Sunflower Exports'!IN$290</f>
        <v>4.4059999999999997</v>
      </c>
      <c r="U63" s="146">
        <f>'[2]Ukraine Sunflower Exports'!IZ$290</f>
        <v>5.8550000000000004</v>
      </c>
      <c r="V63" s="146">
        <f>'[2]Ukraine Sunflower Exports'!JL$290</f>
        <v>3.0710000000000002</v>
      </c>
      <c r="W63" s="146">
        <f>'[2]Ukraine Sunflower Exports'!JX$290</f>
        <v>3.9729999999999999</v>
      </c>
      <c r="X63" s="146">
        <f>'[2]Ukraine Sunflower Exports'!KJ$290</f>
        <v>1.3939999999999999</v>
      </c>
      <c r="Y63" s="146">
        <f>'[2]Ukraine Sunflower Exports'!KV$290</f>
        <v>3.14</v>
      </c>
      <c r="Z63" s="146">
        <f>'[2]Ukraine Sunflower Exports'!LH$290</f>
        <v>2.342498</v>
      </c>
      <c r="AA63" s="146">
        <f>'[2]Ukraine Sunflower Exports'!LT$290</f>
        <v>2.6936110000000002</v>
      </c>
      <c r="AB63" s="146">
        <f>'[2]Ukraine Sunflower Exports'!MF$290</f>
        <v>2.3712499999999999</v>
      </c>
      <c r="AC63" s="146">
        <f>'[2]Ukraine Sunflower Exports'!MR$290</f>
        <v>7.6473940000000002</v>
      </c>
      <c r="AD63" s="146">
        <f>'[2]Ukraine Sunflower Exports'!ND$290</f>
        <v>5.0869999999999997</v>
      </c>
      <c r="AE63" s="146">
        <f>'[2]Ukraine Sunflower Exports'!NP$290</f>
        <v>180.619</v>
      </c>
      <c r="AF63" s="146">
        <f>'[2]Ukraine Sunflower Exports'!OB$290</f>
        <v>12.287000000000001</v>
      </c>
      <c r="AG63" s="253">
        <f t="shared" ref="AG63:AG64" si="44">(SUM(AA63:AE63)/SUM(AA$75:AE$75))*AG$75</f>
        <v>12.844820507360931</v>
      </c>
      <c r="AK63" s="226" t="s">
        <v>231</v>
      </c>
      <c r="AL63" s="291">
        <f>AC67*1000</f>
        <v>24850</v>
      </c>
      <c r="AM63" s="291">
        <f>AD67*1000</f>
        <v>3775</v>
      </c>
      <c r="AO63" s="226"/>
    </row>
    <row r="64" spans="1:42">
      <c r="A64" s="240" t="s">
        <v>239</v>
      </c>
      <c r="B64" s="241">
        <f t="shared" ref="B64:B73" si="45">(SUM(K64:O64)/SUM(K$75:O$75))*B$75</f>
        <v>18.98997982489815</v>
      </c>
      <c r="C64" s="146">
        <f>'[2]Ukraine Sunflower Exports'!AS$290</f>
        <v>14.4</v>
      </c>
      <c r="D64" s="146">
        <f>'[2]Ukraine Sunflower Exports'!BE$290</f>
        <v>8.5</v>
      </c>
      <c r="E64" s="146">
        <f>'[2]Ukraine Sunflower Exports'!BQ$290</f>
        <v>34.200000000000003</v>
      </c>
      <c r="F64" s="146">
        <f>'[2]Ukraine Sunflower Exports'!CC$290</f>
        <v>70</v>
      </c>
      <c r="G64" s="146">
        <f>'[2]Ukraine Sunflower Exports'!CO$290</f>
        <v>108</v>
      </c>
      <c r="H64" s="146">
        <f>'[2]Ukraine Sunflower Exports'!DA$290</f>
        <v>16.909493000000001</v>
      </c>
      <c r="I64" s="146">
        <f>'[2]Ukraine Sunflower Exports'!DM$290</f>
        <v>56.2</v>
      </c>
      <c r="J64" s="146">
        <f>'[2]Ukraine Sunflower Exports'!DY$290</f>
        <v>20.957678999999995</v>
      </c>
      <c r="K64" s="146">
        <f>'[2]Ukraine Sunflower Exports'!EK$290</f>
        <v>0.66900000000000004</v>
      </c>
      <c r="L64" s="146">
        <f>'[2]Ukraine Sunflower Exports'!EW$290</f>
        <v>163.42099999999999</v>
      </c>
      <c r="M64" s="146">
        <f>'[2]Ukraine Sunflower Exports'!FI$290</f>
        <v>0.80800000000000005</v>
      </c>
      <c r="N64" s="146">
        <f>'[2]Ukraine Sunflower Exports'!FU$290</f>
        <v>1.109</v>
      </c>
      <c r="O64" s="146">
        <f>'[2]Ukraine Sunflower Exports'!GG$290</f>
        <v>6.7679999999999998</v>
      </c>
      <c r="P64" s="146">
        <f>'[2]Ukraine Sunflower Exports'!GS$290</f>
        <v>4.3490000000000002</v>
      </c>
      <c r="Q64" s="146">
        <f>'[2]Ukraine Sunflower Exports'!HE$290</f>
        <v>0.60299999999999998</v>
      </c>
      <c r="R64" s="146">
        <f>'[2]Ukraine Sunflower Exports'!HQ$290</f>
        <v>18.271000000000001</v>
      </c>
      <c r="S64" s="146">
        <f>'[2]Ukraine Sunflower Exports'!IC$290</f>
        <v>5.23</v>
      </c>
      <c r="T64" s="146">
        <f>'[2]Ukraine Sunflower Exports'!IO$290</f>
        <v>26.401</v>
      </c>
      <c r="U64" s="146">
        <f>'[2]Ukraine Sunflower Exports'!JA$290</f>
        <v>28.148</v>
      </c>
      <c r="V64" s="146">
        <f>'[2]Ukraine Sunflower Exports'!JM$290</f>
        <v>4.2709999999999999</v>
      </c>
      <c r="W64" s="146">
        <f>'[2]Ukraine Sunflower Exports'!JY$290</f>
        <v>7.0590000000000002</v>
      </c>
      <c r="X64" s="146">
        <f>'[2]Ukraine Sunflower Exports'!KK$290</f>
        <v>7.4480000000000004</v>
      </c>
      <c r="Y64" s="146">
        <f>'[2]Ukraine Sunflower Exports'!KW$290</f>
        <v>21.945</v>
      </c>
      <c r="Z64" s="146">
        <f>'[2]Ukraine Sunflower Exports'!LI$290</f>
        <v>3.6245530000000001</v>
      </c>
      <c r="AA64" s="146">
        <f>'[2]Ukraine Sunflower Exports'!LU$290</f>
        <v>10.374822999999999</v>
      </c>
      <c r="AB64" s="146">
        <f>'[2]Ukraine Sunflower Exports'!MG$290</f>
        <v>2.750842</v>
      </c>
      <c r="AC64" s="146">
        <f>'[2]Ukraine Sunflower Exports'!MS$290</f>
        <v>69.183460999999994</v>
      </c>
      <c r="AD64" s="146">
        <f>'[2]Ukraine Sunflower Exports'!NE$290</f>
        <v>16.847999999999999</v>
      </c>
      <c r="AE64" s="146">
        <f>'[2]Ukraine Sunflower Exports'!NQ$290</f>
        <v>307.75099999999998</v>
      </c>
      <c r="AF64" s="146">
        <f>'[2]Ukraine Sunflower Exports'!OC$290</f>
        <v>30.091999999999999</v>
      </c>
      <c r="AG64" s="253">
        <f t="shared" si="44"/>
        <v>26.341637978101385</v>
      </c>
      <c r="AK64" s="226" t="s">
        <v>232</v>
      </c>
      <c r="AL64" s="291">
        <f t="shared" ref="AL64:AM70" si="46">AC68*1000</f>
        <v>39097</v>
      </c>
      <c r="AM64" s="291">
        <f t="shared" si="46"/>
        <v>2567</v>
      </c>
      <c r="AO64" s="226">
        <v>4</v>
      </c>
    </row>
    <row r="65" spans="1:43">
      <c r="A65" s="240" t="s">
        <v>240</v>
      </c>
      <c r="B65" s="241">
        <f t="shared" si="45"/>
        <v>19.087801165046663</v>
      </c>
      <c r="C65" s="146">
        <f>'[2]Ukraine Sunflower Exports'!AT$290</f>
        <v>13.9</v>
      </c>
      <c r="D65" s="146">
        <f>'[2]Ukraine Sunflower Exports'!BF$290</f>
        <v>5.5</v>
      </c>
      <c r="E65" s="146">
        <f>'[2]Ukraine Sunflower Exports'!BR$290</f>
        <v>61.7</v>
      </c>
      <c r="F65" s="146">
        <f>'[2]Ukraine Sunflower Exports'!CD$290</f>
        <v>166.1</v>
      </c>
      <c r="G65" s="146">
        <f>'[2]Ukraine Sunflower Exports'!CP$290</f>
        <v>120</v>
      </c>
      <c r="H65" s="146">
        <f>'[2]Ukraine Sunflower Exports'!DB$290</f>
        <v>27.558482999999999</v>
      </c>
      <c r="I65" s="146">
        <f>'[2]Ukraine Sunflower Exports'!DN$290</f>
        <v>172.8</v>
      </c>
      <c r="J65" s="146">
        <f>'[2]Ukraine Sunflower Exports'!DZ$290</f>
        <v>17.154117999999997</v>
      </c>
      <c r="K65" s="146">
        <f>'[2]Ukraine Sunflower Exports'!EL$290</f>
        <v>6.0810000000000004</v>
      </c>
      <c r="L65" s="146">
        <f>'[2]Ukraine Sunflower Exports'!EX$290</f>
        <v>161.477</v>
      </c>
      <c r="M65" s="146">
        <f>'[2]Ukraine Sunflower Exports'!FJ$290</f>
        <v>1.417</v>
      </c>
      <c r="N65" s="146">
        <f>'[2]Ukraine Sunflower Exports'!FV$290</f>
        <v>1.581</v>
      </c>
      <c r="O65" s="146">
        <f>'[2]Ukraine Sunflower Exports'!GH$290</f>
        <v>3.109</v>
      </c>
      <c r="P65" s="146">
        <f>'[2]Ukraine Sunflower Exports'!GT$290</f>
        <v>34.472999999999999</v>
      </c>
      <c r="Q65" s="146">
        <f>'[2]Ukraine Sunflower Exports'!HF$290</f>
        <v>36.338999999999999</v>
      </c>
      <c r="R65" s="146">
        <f>'[2]Ukraine Sunflower Exports'!HR$290</f>
        <v>18.459</v>
      </c>
      <c r="S65" s="146">
        <f>'[2]Ukraine Sunflower Exports'!ID$290</f>
        <v>22.962</v>
      </c>
      <c r="T65" s="146">
        <f>'[2]Ukraine Sunflower Exports'!IP$290</f>
        <v>19.614000000000001</v>
      </c>
      <c r="U65" s="146">
        <f>'[2]Ukraine Sunflower Exports'!JB$290</f>
        <v>20.009</v>
      </c>
      <c r="V65" s="146">
        <f>'[2]Ukraine Sunflower Exports'!JN$290</f>
        <v>4.3650000000000002</v>
      </c>
      <c r="W65" s="146">
        <f>'[2]Ukraine Sunflower Exports'!JZ$290</f>
        <v>4.468</v>
      </c>
      <c r="X65" s="146">
        <f>'[2]Ukraine Sunflower Exports'!KL$290</f>
        <v>7.0190000000000001</v>
      </c>
      <c r="Y65" s="146">
        <f>'[2]Ukraine Sunflower Exports'!KX$290</f>
        <v>80.474000000000004</v>
      </c>
      <c r="Z65" s="146">
        <f>'[2]Ukraine Sunflower Exports'!LJ$290</f>
        <v>3.9076900000000001</v>
      </c>
      <c r="AA65" s="146">
        <f>'[2]Ukraine Sunflower Exports'!LV$290</f>
        <v>12.824946000000001</v>
      </c>
      <c r="AB65" s="146">
        <f>'[2]Ukraine Sunflower Exports'!MH$290</f>
        <v>3.5670280000000001</v>
      </c>
      <c r="AC65" s="146">
        <f>'[2]Ukraine Sunflower Exports'!MT$290</f>
        <v>37.906568999999998</v>
      </c>
      <c r="AD65" s="146">
        <f>'[2]Ukraine Sunflower Exports'!NF$290</f>
        <v>22.757999999999999</v>
      </c>
      <c r="AE65" s="146">
        <f>'[2]Ukraine Sunflower Exports'!NR$290</f>
        <v>397.88900000000001</v>
      </c>
      <c r="AF65" s="146">
        <f>'[2]Ukraine Sunflower Exports'!OD$290</f>
        <v>36.677</v>
      </c>
      <c r="AG65" s="253">
        <f>(SUM(AA65:AE65)/SUM(AA$75:AE$75))*AG$75</f>
        <v>30.746113811988078</v>
      </c>
      <c r="AK65" s="226" t="s">
        <v>233</v>
      </c>
      <c r="AL65" s="291">
        <f t="shared" si="46"/>
        <v>3883</v>
      </c>
      <c r="AM65" s="291">
        <f t="shared" si="46"/>
        <v>23231</v>
      </c>
      <c r="AO65" s="226">
        <v>31.760999999999999</v>
      </c>
    </row>
    <row r="66" spans="1:43">
      <c r="A66" s="240" t="s">
        <v>241</v>
      </c>
      <c r="B66" s="241">
        <f t="shared" si="45"/>
        <v>36.264898760271137</v>
      </c>
      <c r="C66" s="146">
        <f>'[2]Ukraine Sunflower Exports'!AU$290</f>
        <v>45.7</v>
      </c>
      <c r="D66" s="146">
        <f>'[2]Ukraine Sunflower Exports'!BG$290</f>
        <v>62.5</v>
      </c>
      <c r="E66" s="146">
        <f>'[2]Ukraine Sunflower Exports'!BS$290</f>
        <v>329.8</v>
      </c>
      <c r="F66" s="146">
        <f>'[2]Ukraine Sunflower Exports'!CE$290</f>
        <v>176</v>
      </c>
      <c r="G66" s="146">
        <f>'[2]Ukraine Sunflower Exports'!CQ$290</f>
        <v>228</v>
      </c>
      <c r="H66" s="146">
        <f>'[2]Ukraine Sunflower Exports'!DC$290</f>
        <v>33.729453999999997</v>
      </c>
      <c r="I66" s="146">
        <f>'[2]Ukraine Sunflower Exports'!DO$290</f>
        <v>257.10000000000002</v>
      </c>
      <c r="J66" s="146">
        <f>'[2]Ukraine Sunflower Exports'!EA$290</f>
        <v>15.324408</v>
      </c>
      <c r="K66" s="146">
        <f>'[2]Ukraine Sunflower Exports'!EM$290</f>
        <v>33.289000000000001</v>
      </c>
      <c r="L66" s="146">
        <f>'[2]Ukraine Sunflower Exports'!EY$290</f>
        <v>244.358</v>
      </c>
      <c r="M66" s="146">
        <f>'[2]Ukraine Sunflower Exports'!FK$290</f>
        <v>1.095</v>
      </c>
      <c r="N66" s="146">
        <f>'[2]Ukraine Sunflower Exports'!FW$290</f>
        <v>24.593</v>
      </c>
      <c r="O66" s="146">
        <f>'[2]Ukraine Sunflower Exports'!GI$290</f>
        <v>26.611000000000001</v>
      </c>
      <c r="P66" s="146">
        <f>'[2]Ukraine Sunflower Exports'!GU$290</f>
        <v>30.196000000000002</v>
      </c>
      <c r="Q66" s="146">
        <f>'[2]Ukraine Sunflower Exports'!HG$290</f>
        <v>55.652000000000001</v>
      </c>
      <c r="R66" s="146">
        <f>'[2]Ukraine Sunflower Exports'!HS$290</f>
        <v>10.145</v>
      </c>
      <c r="S66" s="146">
        <f>'[2]Ukraine Sunflower Exports'!IE$290</f>
        <v>78.774000000000001</v>
      </c>
      <c r="T66" s="146">
        <f>'[2]Ukraine Sunflower Exports'!IQ$290</f>
        <v>21.01</v>
      </c>
      <c r="U66" s="146">
        <f>'[2]Ukraine Sunflower Exports'!JC$290</f>
        <v>17.344000000000001</v>
      </c>
      <c r="V66" s="146">
        <f>'[2]Ukraine Sunflower Exports'!JO$290</f>
        <v>2.8479999999999999</v>
      </c>
      <c r="W66" s="146">
        <f>'[2]Ukraine Sunflower Exports'!KA$290</f>
        <v>3.2410000000000001</v>
      </c>
      <c r="X66" s="146">
        <f>'[2]Ukraine Sunflower Exports'!KM$290</f>
        <v>5.1580000000000004</v>
      </c>
      <c r="Y66" s="146">
        <f>'[2]Ukraine Sunflower Exports'!KY$290</f>
        <v>28.683</v>
      </c>
      <c r="Z66" s="146">
        <f>'[2]Ukraine Sunflower Exports'!LK$290</f>
        <v>6.3454090000000001</v>
      </c>
      <c r="AA66" s="146">
        <f>'[2]Ukraine Sunflower Exports'!LW$290</f>
        <v>10.510565</v>
      </c>
      <c r="AB66" s="146">
        <f>'[2]Ukraine Sunflower Exports'!MI$290</f>
        <v>5.4557510000000002</v>
      </c>
      <c r="AC66" s="146">
        <f>'[2]Ukraine Sunflower Exports'!MU$290</f>
        <v>34.214109000000001</v>
      </c>
      <c r="AD66" s="146">
        <f>'[2]Ukraine Sunflower Exports'!NG$290</f>
        <v>3.5150000000000001</v>
      </c>
      <c r="AE66" s="146">
        <f>'[2]Ukraine Sunflower Exports'!NS$290</f>
        <v>295.10300000000001</v>
      </c>
      <c r="AF66" s="146">
        <f>'[2]Ukraine Sunflower Exports'!OE$290</f>
        <v>40.890999999999998</v>
      </c>
      <c r="AG66" s="253">
        <f t="shared" ref="AG66:AG73" si="47">(SUM(AA66:AE66)/SUM(AA$75:AE$75))*AG$75</f>
        <v>22.5798435853354</v>
      </c>
      <c r="AK66" s="226" t="s">
        <v>234</v>
      </c>
      <c r="AL66" s="291">
        <f t="shared" si="46"/>
        <v>3981</v>
      </c>
      <c r="AM66" s="291">
        <f t="shared" si="46"/>
        <v>109037</v>
      </c>
      <c r="AO66" s="226">
        <v>9.7420000000000009</v>
      </c>
      <c r="AQ66" s="356"/>
    </row>
    <row r="67" spans="1:43">
      <c r="A67" s="240" t="s">
        <v>231</v>
      </c>
      <c r="B67" s="241">
        <f t="shared" si="45"/>
        <v>14.228388703646594</v>
      </c>
      <c r="C67" s="146">
        <f>'[2]Ukraine Sunflower Exports'!AV$290</f>
        <v>20.2</v>
      </c>
      <c r="D67" s="146">
        <f>'[2]Ukraine Sunflower Exports'!BH$290</f>
        <v>68.3</v>
      </c>
      <c r="E67" s="146">
        <f>'[2]Ukraine Sunflower Exports'!BT$290</f>
        <v>180.2</v>
      </c>
      <c r="F67" s="146">
        <f>'[2]Ukraine Sunflower Exports'!CF$290</f>
        <v>148.80000000000001</v>
      </c>
      <c r="G67" s="146">
        <f>'[2]Ukraine Sunflower Exports'!CR$290</f>
        <v>200</v>
      </c>
      <c r="H67" s="146">
        <f>'[2]Ukraine Sunflower Exports'!DD$290</f>
        <v>32.104419999999998</v>
      </c>
      <c r="I67" s="146">
        <f>'[2]Ukraine Sunflower Exports'!DP$290</f>
        <v>116.1</v>
      </c>
      <c r="J67" s="146">
        <f>'[2]Ukraine Sunflower Exports'!EB$290</f>
        <v>4.6778050000000002</v>
      </c>
      <c r="K67" s="146">
        <f>'[2]Ukraine Sunflower Exports'!EN$290</f>
        <v>49.686</v>
      </c>
      <c r="L67" s="146">
        <f>'[2]Ukraine Sunflower Exports'!EZ$290</f>
        <v>56.323</v>
      </c>
      <c r="M67" s="146">
        <f>'[2]Ukraine Sunflower Exports'!FL$290</f>
        <v>0.752</v>
      </c>
      <c r="N67" s="146">
        <f>'[2]Ukraine Sunflower Exports'!FX$290</f>
        <v>17.265000000000001</v>
      </c>
      <c r="O67" s="146">
        <f>'[2]Ukraine Sunflower Exports'!GJ$290</f>
        <v>5.4269999999999996</v>
      </c>
      <c r="P67" s="146">
        <f>'[2]Ukraine Sunflower Exports'!GV$290</f>
        <v>0.42799999999999999</v>
      </c>
      <c r="Q67" s="146">
        <f>'[2]Ukraine Sunflower Exports'!HH$290</f>
        <v>75.980999999999995</v>
      </c>
      <c r="R67" s="146">
        <f>'[2]Ukraine Sunflower Exports'!HT$290</f>
        <v>9.0039999999999996</v>
      </c>
      <c r="S67" s="146">
        <f>'[2]Ukraine Sunflower Exports'!IF$290</f>
        <v>80.340999999999994</v>
      </c>
      <c r="T67" s="146">
        <f>'[2]Ukraine Sunflower Exports'!IR$290</f>
        <v>17.597000000000001</v>
      </c>
      <c r="U67" s="146">
        <f>'[2]Ukraine Sunflower Exports'!JD$290</f>
        <v>9.6349999999999998</v>
      </c>
      <c r="V67" s="146">
        <f>'[2]Ukraine Sunflower Exports'!JP$290</f>
        <v>3.0819999999999999</v>
      </c>
      <c r="W67" s="146">
        <f>'[2]Ukraine Sunflower Exports'!KB$290</f>
        <v>0.92400000000000004</v>
      </c>
      <c r="X67" s="146">
        <f>'[2]Ukraine Sunflower Exports'!KN$290</f>
        <v>1.5269999999999999</v>
      </c>
      <c r="Y67" s="146">
        <f>'[2]Ukraine Sunflower Exports'!KZ$290</f>
        <v>3.9129999999999998</v>
      </c>
      <c r="Z67" s="146">
        <f>'[2]Ukraine Sunflower Exports'!LL$290</f>
        <v>2.426177</v>
      </c>
      <c r="AA67" s="146">
        <f>'[2]Ukraine Sunflower Exports'!LX$290</f>
        <v>2.6687340000000002</v>
      </c>
      <c r="AB67" s="146">
        <f>'[2]Ukraine Sunflower Exports'!MJ$290</f>
        <v>5.1704780000000001</v>
      </c>
      <c r="AC67" s="146">
        <f>'[2]Ukraine Sunflower Exports'!MV$290</f>
        <v>24.85</v>
      </c>
      <c r="AD67" s="146">
        <f>'[2]Ukraine Sunflower Exports'!NH$290</f>
        <v>3.7749999999999999</v>
      </c>
      <c r="AE67" s="146">
        <f>'[2]Ukraine Sunflower Exports'!NT$290</f>
        <v>193.744</v>
      </c>
      <c r="AF67" s="146">
        <f>'[2]Ukraine Sunflower Exports'!OF$290</f>
        <v>53.226999999999997</v>
      </c>
      <c r="AG67" s="253">
        <f t="shared" si="47"/>
        <v>14.902777783528499</v>
      </c>
      <c r="AK67" s="226" t="s">
        <v>46</v>
      </c>
      <c r="AL67" s="291">
        <f t="shared" si="46"/>
        <v>8047.0000000000009</v>
      </c>
      <c r="AM67" s="291">
        <f t="shared" si="46"/>
        <v>373631</v>
      </c>
      <c r="AQ67" s="356"/>
    </row>
    <row r="68" spans="1:43">
      <c r="A68" s="240" t="s">
        <v>232</v>
      </c>
      <c r="B68" s="241">
        <f t="shared" si="45"/>
        <v>22.930531158611064</v>
      </c>
      <c r="C68" s="146">
        <f>'[2]Ukraine Sunflower Exports'!AW$290</f>
        <v>11.4</v>
      </c>
      <c r="D68" s="146">
        <f>'[2]Ukraine Sunflower Exports'!BI$290</f>
        <v>45.7</v>
      </c>
      <c r="E68" s="146">
        <f>'[2]Ukraine Sunflower Exports'!BU$290</f>
        <v>217.1</v>
      </c>
      <c r="F68" s="146">
        <f>'[2]Ukraine Sunflower Exports'!CG$290</f>
        <v>88.1</v>
      </c>
      <c r="G68" s="146">
        <f>'[2]Ukraine Sunflower Exports'!CS$290</f>
        <v>80</v>
      </c>
      <c r="H68" s="146">
        <f>'[2]Ukraine Sunflower Exports'!DE$290</f>
        <v>50.616439000000007</v>
      </c>
      <c r="I68" s="146">
        <f>'[2]Ukraine Sunflower Exports'!DQ$290</f>
        <v>104.9</v>
      </c>
      <c r="J68" s="146">
        <f>'[2]Ukraine Sunflower Exports'!EC$290</f>
        <v>5.5315219999999998</v>
      </c>
      <c r="K68" s="146">
        <f>'[2]Ukraine Sunflower Exports'!EO$290</f>
        <v>24.754999999999999</v>
      </c>
      <c r="L68" s="146">
        <f>'[2]Ukraine Sunflower Exports'!FA$290</f>
        <v>89.76</v>
      </c>
      <c r="M68" s="146">
        <f>'[2]Ukraine Sunflower Exports'!FM$290</f>
        <v>0.90100000000000002</v>
      </c>
      <c r="N68" s="146">
        <f>'[2]Ukraine Sunflower Exports'!FY$290</f>
        <v>4.9770000000000003</v>
      </c>
      <c r="O68" s="146">
        <f>'[2]Ukraine Sunflower Exports'!GK$290</f>
        <v>88.233999999999995</v>
      </c>
      <c r="P68" s="146">
        <f>'[2]Ukraine Sunflower Exports'!GW$290</f>
        <v>3.0960000000000001</v>
      </c>
      <c r="Q68" s="146">
        <f>'[2]Ukraine Sunflower Exports'!HI$290</f>
        <v>148.95400000000001</v>
      </c>
      <c r="R68" s="146">
        <f>'[2]Ukraine Sunflower Exports'!HU$290</f>
        <v>4.2300000000000004</v>
      </c>
      <c r="S68" s="146">
        <f>'[2]Ukraine Sunflower Exports'!IG$290</f>
        <v>54.194000000000003</v>
      </c>
      <c r="T68" s="146">
        <f>'[2]Ukraine Sunflower Exports'!IS$290</f>
        <v>8.4819999999999993</v>
      </c>
      <c r="U68" s="146">
        <f>'[2]Ukraine Sunflower Exports'!JE$290</f>
        <v>19.526</v>
      </c>
      <c r="V68" s="146">
        <f>'[2]Ukraine Sunflower Exports'!JQ$290</f>
        <v>2.4239999999999999</v>
      </c>
      <c r="W68" s="146">
        <f>'[2]Ukraine Sunflower Exports'!KC$290</f>
        <v>1.496</v>
      </c>
      <c r="X68" s="146">
        <f>'[2]Ukraine Sunflower Exports'!KO$290</f>
        <v>9.9049999999999994</v>
      </c>
      <c r="Y68" s="146">
        <f>'[2]Ukraine Sunflower Exports'!LA$290</f>
        <v>11.558999999999999</v>
      </c>
      <c r="Z68" s="146">
        <f>'[2]Ukraine Sunflower Exports'!LM$290</f>
        <v>4.1256930000000001</v>
      </c>
      <c r="AA68" s="146">
        <f>'[2]Ukraine Sunflower Exports'!LY$290</f>
        <v>15.355582</v>
      </c>
      <c r="AB68" s="146">
        <f>'[2]Ukraine Sunflower Exports'!MK$290</f>
        <v>3.7207059999999998</v>
      </c>
      <c r="AC68" s="146">
        <f>'[2]Ukraine Sunflower Exports'!MW$290</f>
        <v>39.097000000000001</v>
      </c>
      <c r="AD68" s="146">
        <f>'[2]Ukraine Sunflower Exports'!NI$290</f>
        <v>2.5670000000000002</v>
      </c>
      <c r="AE68" s="146">
        <f>'[2]Ukraine Sunflower Exports'!NU$290</f>
        <v>165.27099999999999</v>
      </c>
      <c r="AF68" s="146">
        <f>'[2]Ukraine Sunflower Exports'!OG$290</f>
        <v>24.512</v>
      </c>
      <c r="AG68" s="253">
        <f t="shared" si="47"/>
        <v>14.631085365595304</v>
      </c>
      <c r="AK68" s="226" t="s">
        <v>235</v>
      </c>
      <c r="AL68" s="291">
        <f t="shared" si="46"/>
        <v>1186</v>
      </c>
      <c r="AM68" s="209">
        <f>AD72*1000</f>
        <v>529032</v>
      </c>
      <c r="AQ68" s="253"/>
    </row>
    <row r="69" spans="1:43">
      <c r="A69" s="240" t="s">
        <v>233</v>
      </c>
      <c r="B69" s="241">
        <f t="shared" si="45"/>
        <v>35.838331770252729</v>
      </c>
      <c r="C69" s="146">
        <f>'[2]Ukraine Sunflower Exports'!AX$290</f>
        <v>4.9000000000000004</v>
      </c>
      <c r="D69" s="146">
        <f>'[2]Ukraine Sunflower Exports'!BJ$290</f>
        <v>35.799999999999997</v>
      </c>
      <c r="E69" s="146">
        <f>'[2]Ukraine Sunflower Exports'!BV$290</f>
        <v>133.69999999999999</v>
      </c>
      <c r="F69" s="146">
        <f>'[2]Ukraine Sunflower Exports'!CH$290</f>
        <v>36.200000000000003</v>
      </c>
      <c r="G69" s="146">
        <f>'[2]Ukraine Sunflower Exports'!CT$290</f>
        <v>50</v>
      </c>
      <c r="H69" s="146">
        <f>'[2]Ukraine Sunflower Exports'!DF$290</f>
        <v>39.355252000000007</v>
      </c>
      <c r="I69" s="146">
        <f>'[2]Ukraine Sunflower Exports'!DR$290</f>
        <v>157.19999999999999</v>
      </c>
      <c r="J69" s="146">
        <f>'[2]Ukraine Sunflower Exports'!ED$290</f>
        <v>16.586711000000005</v>
      </c>
      <c r="K69" s="146">
        <f>'[2]Ukraine Sunflower Exports'!EP$290</f>
        <v>55.643000000000001</v>
      </c>
      <c r="L69" s="146">
        <f>'[2]Ukraine Sunflower Exports'!FB$290</f>
        <v>85.417000000000002</v>
      </c>
      <c r="M69" s="146">
        <f>'[2]Ukraine Sunflower Exports'!FN$290</f>
        <v>0.88</v>
      </c>
      <c r="N69" s="146">
        <f>'[2]Ukraine Sunflower Exports'!FZ$290</f>
        <v>92.524000000000001</v>
      </c>
      <c r="O69" s="146">
        <f>'[2]Ukraine Sunflower Exports'!GL$290</f>
        <v>91.600999999999999</v>
      </c>
      <c r="P69" s="146">
        <f>'[2]Ukraine Sunflower Exports'!GX$290</f>
        <v>0.16</v>
      </c>
      <c r="Q69" s="146">
        <f>'[2]Ukraine Sunflower Exports'!HJ$290</f>
        <v>135.03800000000001</v>
      </c>
      <c r="R69" s="146">
        <f>'[2]Ukraine Sunflower Exports'!HV$290</f>
        <v>43.323999999999998</v>
      </c>
      <c r="S69" s="146">
        <f>'[2]Ukraine Sunflower Exports'!IH$290</f>
        <v>83.518000000000001</v>
      </c>
      <c r="T69" s="146">
        <f>'[2]Ukraine Sunflower Exports'!IT$290</f>
        <v>30.045999999999999</v>
      </c>
      <c r="U69" s="146">
        <f>'[2]Ukraine Sunflower Exports'!JF$290</f>
        <v>14.629</v>
      </c>
      <c r="V69" s="146">
        <f>'[2]Ukraine Sunflower Exports'!JR$290</f>
        <v>5.4290000000000003</v>
      </c>
      <c r="W69" s="146">
        <f>'[2]Ukraine Sunflower Exports'!KD$290</f>
        <v>1.1339999999999999</v>
      </c>
      <c r="X69" s="146">
        <f>'[2]Ukraine Sunflower Exports'!KP$290</f>
        <v>3.7839999999999998</v>
      </c>
      <c r="Y69" s="146">
        <f>'[2]Ukraine Sunflower Exports'!LB$290</f>
        <v>19.652000000000001</v>
      </c>
      <c r="Z69" s="146">
        <f>'[2]Ukraine Sunflower Exports'!LN$290</f>
        <v>1.804559</v>
      </c>
      <c r="AA69" s="146">
        <f>'[2]Ukraine Sunflower Exports'!LZ$290</f>
        <v>15.696630000000001</v>
      </c>
      <c r="AB69" s="146">
        <f>'[2]Ukraine Sunflower Exports'!ML$290</f>
        <v>3.6673460000000002</v>
      </c>
      <c r="AC69" s="146">
        <f>'[2]Ukraine Sunflower Exports'!MX$290</f>
        <v>3.883</v>
      </c>
      <c r="AD69" s="146">
        <f>'[2]Ukraine Sunflower Exports'!NJ$290</f>
        <v>23.231000000000002</v>
      </c>
      <c r="AE69" s="146">
        <f>'[2]Ukraine Sunflower Exports'!NV$290</f>
        <v>198.75200000000001</v>
      </c>
      <c r="AF69" s="146">
        <f>'[2]Ukraine Sunflower Exports'!OH$290</f>
        <v>52.423999999999999</v>
      </c>
      <c r="AG69" s="253">
        <f t="shared" si="47"/>
        <v>15.875227935778536</v>
      </c>
      <c r="AK69" s="226" t="s">
        <v>236</v>
      </c>
      <c r="AL69" s="291">
        <f t="shared" si="46"/>
        <v>908</v>
      </c>
      <c r="AM69" s="209">
        <f t="shared" si="46"/>
        <v>364268</v>
      </c>
      <c r="AQ69" s="253"/>
    </row>
    <row r="70" spans="1:43">
      <c r="A70" s="240" t="s">
        <v>234</v>
      </c>
      <c r="B70" s="241">
        <f t="shared" si="45"/>
        <v>26.242937594628753</v>
      </c>
      <c r="C70" s="146">
        <f>'[2]Ukraine Sunflower Exports'!AY$290</f>
        <v>0.7</v>
      </c>
      <c r="D70" s="146">
        <f>'[2]Ukraine Sunflower Exports'!BK$290</f>
        <v>51.1</v>
      </c>
      <c r="E70" s="146">
        <f>'[2]Ukraine Sunflower Exports'!BW$290</f>
        <v>61.9</v>
      </c>
      <c r="F70" s="146">
        <f>'[2]Ukraine Sunflower Exports'!CI$290</f>
        <v>16</v>
      </c>
      <c r="G70" s="146">
        <f>'[2]Ukraine Sunflower Exports'!CU$290</f>
        <v>25</v>
      </c>
      <c r="H70" s="146">
        <f>'[2]Ukraine Sunflower Exports'!DG$290</f>
        <v>51</v>
      </c>
      <c r="I70" s="146">
        <f>'[2]Ukraine Sunflower Exports'!DS$290</f>
        <v>86.6</v>
      </c>
      <c r="J70" s="146">
        <f>'[2]Ukraine Sunflower Exports'!EE$290</f>
        <v>0.46232300000000004</v>
      </c>
      <c r="K70" s="146">
        <f>'[2]Ukraine Sunflower Exports'!EQ$290</f>
        <v>60.591000000000001</v>
      </c>
      <c r="L70" s="146">
        <f>'[2]Ukraine Sunflower Exports'!FC$290</f>
        <v>61.122999999999998</v>
      </c>
      <c r="M70" s="146">
        <f>'[2]Ukraine Sunflower Exports'!FO$290</f>
        <v>4.4649999999999999</v>
      </c>
      <c r="N70" s="146">
        <f>'[2]Ukraine Sunflower Exports'!GA$290</f>
        <v>36.869</v>
      </c>
      <c r="O70" s="146">
        <f>'[2]Ukraine Sunflower Exports'!GM$290</f>
        <v>75.715999999999994</v>
      </c>
      <c r="P70" s="146">
        <f>'[2]Ukraine Sunflower Exports'!GY$290</f>
        <v>0.114</v>
      </c>
      <c r="Q70" s="146">
        <f>'[2]Ukraine Sunflower Exports'!HK$290</f>
        <v>75.781999999999996</v>
      </c>
      <c r="R70" s="146">
        <f>'[2]Ukraine Sunflower Exports'!HW$290</f>
        <v>74.528000000000006</v>
      </c>
      <c r="S70" s="146">
        <f>'[2]Ukraine Sunflower Exports'!II$290</f>
        <v>68.831000000000003</v>
      </c>
      <c r="T70" s="146">
        <f>'[2]Ukraine Sunflower Exports'!IU$290</f>
        <v>34.045999999999999</v>
      </c>
      <c r="U70" s="146">
        <f>'[2]Ukraine Sunflower Exports'!JG$290</f>
        <v>3.9510000000000001</v>
      </c>
      <c r="V70" s="146">
        <f>'[2]Ukraine Sunflower Exports'!JS$290</f>
        <v>24.024000000000001</v>
      </c>
      <c r="W70" s="146">
        <f>'[2]Ukraine Sunflower Exports'!KE$290</f>
        <v>20.120999999999999</v>
      </c>
      <c r="X70" s="146">
        <f>'[2]Ukraine Sunflower Exports'!KQ$290</f>
        <v>11.755000000000001</v>
      </c>
      <c r="Y70" s="146">
        <f>'[2]Ukraine Sunflower Exports'!LC$290</f>
        <v>7.6749999999999998</v>
      </c>
      <c r="Z70" s="146">
        <f>'[2]Ukraine Sunflower Exports'!LO$290</f>
        <v>3.7668599999999999</v>
      </c>
      <c r="AA70" s="146">
        <f>'[2]Ukraine Sunflower Exports'!MA$290</f>
        <v>22.167211999999999</v>
      </c>
      <c r="AB70" s="146">
        <f>'[2]Ukraine Sunflower Exports'!MM$290</f>
        <v>8.5206649999999993</v>
      </c>
      <c r="AC70" s="146">
        <f>'[2]Ukraine Sunflower Exports'!MY$290</f>
        <v>3.9809999999999999</v>
      </c>
      <c r="AD70" s="146">
        <f>'[2]Ukraine Sunflower Exports'!NK$290</f>
        <v>109.03700000000001</v>
      </c>
      <c r="AE70" s="146">
        <f>'[2]Ukraine Sunflower Exports'!NW$290</f>
        <v>38.835999999999999</v>
      </c>
      <c r="AF70" s="253">
        <f>(SUM(Z70:AD70)/SUM(Z$75:AD$75))*AF$75*0.1</f>
        <v>1.9845676309672073</v>
      </c>
      <c r="AG70" s="253">
        <f t="shared" si="47"/>
        <v>11.817045992778016</v>
      </c>
      <c r="AK70" s="226" t="s">
        <v>237</v>
      </c>
      <c r="AL70" s="291">
        <f t="shared" si="46"/>
        <v>1527</v>
      </c>
      <c r="AM70" s="209">
        <f t="shared" si="46"/>
        <v>167204</v>
      </c>
      <c r="AQ70" s="253"/>
    </row>
    <row r="71" spans="1:43">
      <c r="A71" s="240" t="s">
        <v>46</v>
      </c>
      <c r="B71" s="241">
        <f t="shared" si="45"/>
        <v>15.331681526580047</v>
      </c>
      <c r="C71" s="146">
        <f>'[2]Ukraine Sunflower Exports'!AZ$290</f>
        <v>0.1</v>
      </c>
      <c r="D71" s="146">
        <f>'[2]Ukraine Sunflower Exports'!BL$290</f>
        <v>55.1</v>
      </c>
      <c r="E71" s="146">
        <f>'[2]Ukraine Sunflower Exports'!BX$290</f>
        <v>36.9</v>
      </c>
      <c r="F71" s="146">
        <f>'[2]Ukraine Sunflower Exports'!CJ$290</f>
        <v>11.9</v>
      </c>
      <c r="G71" s="146">
        <f>'[2]Ukraine Sunflower Exports'!CV$290</f>
        <v>8</v>
      </c>
      <c r="H71" s="146">
        <f>'[2]Ukraine Sunflower Exports'!DH$290</f>
        <v>31.550260999999999</v>
      </c>
      <c r="I71" s="146">
        <f>'[2]Ukraine Sunflower Exports'!DT$290</f>
        <v>24.6</v>
      </c>
      <c r="J71" s="146">
        <f>'[2]Ukraine Sunflower Exports'!EF$290</f>
        <v>0.28329799999999999</v>
      </c>
      <c r="K71" s="146">
        <f>'[2]Ukraine Sunflower Exports'!ER$290</f>
        <v>66.38</v>
      </c>
      <c r="L71" s="146">
        <f>'[2]Ukraine Sunflower Exports'!FD$290</f>
        <v>20.795999999999999</v>
      </c>
      <c r="M71" s="146">
        <f>'[2]Ukraine Sunflower Exports'!FP$290</f>
        <v>0.313</v>
      </c>
      <c r="N71" s="146">
        <f>'[2]Ukraine Sunflower Exports'!GB$290</f>
        <v>28.486999999999998</v>
      </c>
      <c r="O71" s="146">
        <f>'[2]Ukraine Sunflower Exports'!GN$290</f>
        <v>23.515000000000001</v>
      </c>
      <c r="P71" s="146">
        <f>'[2]Ukraine Sunflower Exports'!GZ$290</f>
        <v>0.12</v>
      </c>
      <c r="Q71" s="146">
        <f>'[2]Ukraine Sunflower Exports'!HL$290</f>
        <v>45.962000000000003</v>
      </c>
      <c r="R71" s="146">
        <f>'[2]Ukraine Sunflower Exports'!HX$290</f>
        <v>87.253</v>
      </c>
      <c r="S71" s="146">
        <f>'[2]Ukraine Sunflower Exports'!IJ$290</f>
        <v>13.983000000000001</v>
      </c>
      <c r="T71" s="146">
        <f>'[2]Ukraine Sunflower Exports'!IV$290</f>
        <v>45.360999999999997</v>
      </c>
      <c r="U71" s="146">
        <f>'[2]Ukraine Sunflower Exports'!JH$290</f>
        <v>5.0279999999999996</v>
      </c>
      <c r="V71" s="146">
        <f>'[2]Ukraine Sunflower Exports'!JT$290</f>
        <v>12.747</v>
      </c>
      <c r="W71" s="146">
        <f>'[2]Ukraine Sunflower Exports'!KF$290</f>
        <v>0.51200000000000001</v>
      </c>
      <c r="X71" s="146">
        <f>'[2]Ukraine Sunflower Exports'!KR$290</f>
        <v>28.327000000000002</v>
      </c>
      <c r="Y71" s="146">
        <f>'[2]Ukraine Sunflower Exports'!LD$290</f>
        <v>5.6719999999999997</v>
      </c>
      <c r="Z71" s="146">
        <f>'[2]Ukraine Sunflower Exports'!LP$290</f>
        <v>1.3949389999999999</v>
      </c>
      <c r="AA71" s="146">
        <f>'[2]Ukraine Sunflower Exports'!MB$290</f>
        <v>3.3707129999999998</v>
      </c>
      <c r="AB71" s="146">
        <f>'[2]Ukraine Sunflower Exports'!MN$290</f>
        <v>9.9982690000000005</v>
      </c>
      <c r="AC71" s="146">
        <f>'[2]Ukraine Sunflower Exports'!MZ$290</f>
        <v>8.0470000000000006</v>
      </c>
      <c r="AD71" s="146">
        <f>'[2]Ukraine Sunflower Exports'!NL$290</f>
        <v>373.63099999999997</v>
      </c>
      <c r="AE71" s="146">
        <f>'[2]Ukraine Sunflower Exports'!NX$290</f>
        <v>45.764000000000003</v>
      </c>
      <c r="AF71" s="253">
        <f>(SUM(Z71:AD71)/SUM(Z$75:AD$75))*AF$75*0.1</f>
        <v>5.3349915379617512</v>
      </c>
      <c r="AG71" s="253">
        <f t="shared" si="47"/>
        <v>28.536376058057307</v>
      </c>
      <c r="AK71" s="226" t="s">
        <v>238</v>
      </c>
      <c r="AL71" s="291">
        <f>AD63*1000</f>
        <v>5087</v>
      </c>
      <c r="AM71" s="209">
        <f>AE63*1000</f>
        <v>180619</v>
      </c>
      <c r="AQ71" s="253"/>
    </row>
    <row r="72" spans="1:43">
      <c r="A72" s="240" t="s">
        <v>235</v>
      </c>
      <c r="B72" s="241">
        <f t="shared" si="45"/>
        <v>7.3794660422147977</v>
      </c>
      <c r="C72" s="146">
        <f>'[2]Ukraine Sunflower Exports'!BA$290</f>
        <v>1.9</v>
      </c>
      <c r="D72" s="146">
        <f>'[2]Ukraine Sunflower Exports'!BM$290</f>
        <v>50.6</v>
      </c>
      <c r="E72" s="146">
        <f>'[2]Ukraine Sunflower Exports'!BY$290</f>
        <v>23.5</v>
      </c>
      <c r="F72" s="146">
        <f>'[2]Ukraine Sunflower Exports'!CK$290</f>
        <v>0.4</v>
      </c>
      <c r="G72" s="146">
        <f>'[2]Ukraine Sunflower Exports'!CW$290</f>
        <v>10</v>
      </c>
      <c r="H72" s="146">
        <f>'[2]Ukraine Sunflower Exports'!DI$290</f>
        <v>61.7</v>
      </c>
      <c r="I72" s="146">
        <f>'[2]Ukraine Sunflower Exports'!DU$290</f>
        <v>29.3</v>
      </c>
      <c r="J72" s="146">
        <f>'[2]Ukraine Sunflower Exports'!EG$290</f>
        <v>0.300147</v>
      </c>
      <c r="K72" s="146">
        <f>'[2]Ukraine Sunflower Exports'!ES$290</f>
        <v>20.23</v>
      </c>
      <c r="L72" s="146">
        <f>'[2]Ukraine Sunflower Exports'!FE$290</f>
        <v>25.260999999999999</v>
      </c>
      <c r="M72" s="146">
        <f>'[2]Ukraine Sunflower Exports'!FQ$290</f>
        <v>0.63</v>
      </c>
      <c r="N72" s="146">
        <f>'[2]Ukraine Sunflower Exports'!GC$290</f>
        <v>7.1029999999999998</v>
      </c>
      <c r="O72" s="146">
        <f>'[2]Ukraine Sunflower Exports'!GO$290</f>
        <v>13.916</v>
      </c>
      <c r="P72" s="146">
        <f>'[2]Ukraine Sunflower Exports'!HA$290</f>
        <v>6.3E-2</v>
      </c>
      <c r="Q72" s="146">
        <f>'[2]Ukraine Sunflower Exports'!HM$290</f>
        <v>102.24299999999999</v>
      </c>
      <c r="R72" s="146">
        <f>'[2]Ukraine Sunflower Exports'!HY$290</f>
        <v>71.301000000000002</v>
      </c>
      <c r="S72" s="146">
        <f>'[2]Ukraine Sunflower Exports'!IK$290</f>
        <v>29.606999999999999</v>
      </c>
      <c r="T72" s="146">
        <f>'[2]Ukraine Sunflower Exports'!IW$290</f>
        <v>42.113</v>
      </c>
      <c r="U72" s="146">
        <f>'[2]Ukraine Sunflower Exports'!JI$290</f>
        <v>1.772</v>
      </c>
      <c r="V72" s="146">
        <f>'[2]Ukraine Sunflower Exports'!JU$290</f>
        <v>5.5389999999999997</v>
      </c>
      <c r="W72" s="146">
        <f>'[2]Ukraine Sunflower Exports'!KG$290</f>
        <v>1.028</v>
      </c>
      <c r="X72" s="146">
        <f>'[2]Ukraine Sunflower Exports'!KS$290</f>
        <v>3.1749999999999998</v>
      </c>
      <c r="Y72" s="146">
        <f>'[2]Ukraine Sunflower Exports'!LE$290</f>
        <v>5.6199300000000001</v>
      </c>
      <c r="Z72" s="146">
        <f>'[2]Ukraine Sunflower Exports'!LQ$290</f>
        <v>5.1454719999999998</v>
      </c>
      <c r="AA72" s="146">
        <f>'[2]Ukraine Sunflower Exports'!MC$290</f>
        <v>3.906507</v>
      </c>
      <c r="AB72" s="146">
        <f>'[2]Ukraine Sunflower Exports'!MO$290</f>
        <v>2.3118240000000001</v>
      </c>
      <c r="AC72" s="146">
        <f>'[2]Ukraine Sunflower Exports'!NA$290</f>
        <v>1.1859999999999999</v>
      </c>
      <c r="AD72" s="146">
        <f>'[2]Ukraine Sunflower Exports'!NM$290</f>
        <v>529.03200000000004</v>
      </c>
      <c r="AE72" s="146">
        <f>'[2]Ukraine Sunflower Exports'!NY$290</f>
        <v>16.346</v>
      </c>
      <c r="AF72" s="253">
        <f>(SUM(Z72:AD72)/SUM(Z$75:AD$75))*AF$75*0.1</f>
        <v>7.2881655119390576</v>
      </c>
      <c r="AG72" s="253">
        <f t="shared" si="47"/>
        <v>35.78496253449854</v>
      </c>
      <c r="AK72" s="226" t="s">
        <v>239</v>
      </c>
      <c r="AL72" s="291">
        <f t="shared" ref="AL72:AM74" si="48">AD64*1000</f>
        <v>16848</v>
      </c>
      <c r="AM72" s="209">
        <f t="shared" si="48"/>
        <v>307751</v>
      </c>
      <c r="AQ72" s="253"/>
    </row>
    <row r="73" spans="1:43">
      <c r="A73" s="240" t="s">
        <v>236</v>
      </c>
      <c r="B73" s="241">
        <f t="shared" si="45"/>
        <v>2.7382281428313568</v>
      </c>
      <c r="C73" s="146">
        <f>'[2]Ukraine Sunflower Exports'!BB$290</f>
        <v>0.6</v>
      </c>
      <c r="D73" s="146">
        <f>'[2]Ukraine Sunflower Exports'!BN$290</f>
        <v>23.9</v>
      </c>
      <c r="E73" s="146">
        <f>'[2]Ukraine Sunflower Exports'!BZ$290</f>
        <v>6.5</v>
      </c>
      <c r="F73" s="146">
        <f>'[2]Ukraine Sunflower Exports'!CL$290</f>
        <v>0.1</v>
      </c>
      <c r="G73" s="146">
        <f>'[2]Ukraine Sunflower Exports'!CX$290</f>
        <v>15</v>
      </c>
      <c r="H73" s="146">
        <f>'[2]Ukraine Sunflower Exports'!DJ$290</f>
        <v>38.680970000000002</v>
      </c>
      <c r="I73" s="146">
        <f>'[2]Ukraine Sunflower Exports'!DV$290</f>
        <v>1.7</v>
      </c>
      <c r="J73" s="146">
        <f>'[2]Ukraine Sunflower Exports'!EH$290</f>
        <v>0.16303399999999998</v>
      </c>
      <c r="K73" s="146">
        <f>'[2]Ukraine Sunflower Exports'!ET$290</f>
        <v>13.263</v>
      </c>
      <c r="L73" s="146">
        <f>'[2]Ukraine Sunflower Exports'!FF$290</f>
        <v>6.06</v>
      </c>
      <c r="M73" s="146">
        <f>'[2]Ukraine Sunflower Exports'!FR$290</f>
        <v>7.8E-2</v>
      </c>
      <c r="N73" s="146">
        <f>'[2]Ukraine Sunflower Exports'!GD$290</f>
        <v>5.0529999999999999</v>
      </c>
      <c r="O73" s="146">
        <f>'[2]Ukraine Sunflower Exports'!GP$290</f>
        <v>0.45900000000000002</v>
      </c>
      <c r="P73" s="146">
        <f>'[2]Ukraine Sunflower Exports'!HB$290</f>
        <v>0.14799999999999999</v>
      </c>
      <c r="Q73" s="146">
        <f>'[2]Ukraine Sunflower Exports'!HN$290</f>
        <v>70.808999999999997</v>
      </c>
      <c r="R73" s="146">
        <f>'[2]Ukraine Sunflower Exports'!HZ$290</f>
        <v>8.9090000000000007</v>
      </c>
      <c r="S73" s="146">
        <f>'[2]Ukraine Sunflower Exports'!IL$290</f>
        <v>2.69</v>
      </c>
      <c r="T73" s="146">
        <f>'[2]Ukraine Sunflower Exports'!IX$290</f>
        <v>30.61</v>
      </c>
      <c r="U73" s="146">
        <f>'[2]Ukraine Sunflower Exports'!JJ$290</f>
        <v>0.79</v>
      </c>
      <c r="V73" s="146">
        <f>'[2]Ukraine Sunflower Exports'!JV$290</f>
        <v>1.4730000000000001</v>
      </c>
      <c r="W73" s="146">
        <f>'[2]Ukraine Sunflower Exports'!KH$290</f>
        <v>0.79500000000000004</v>
      </c>
      <c r="X73" s="146">
        <f>'[2]Ukraine Sunflower Exports'!KT$290</f>
        <v>2.048</v>
      </c>
      <c r="Y73" s="146">
        <f>'[2]Ukraine Sunflower Exports'!LF$290</f>
        <v>1.596638</v>
      </c>
      <c r="Z73" s="146">
        <f>'[2]Ukraine Sunflower Exports'!LR$290</f>
        <v>2.0295109999999998</v>
      </c>
      <c r="AA73" s="146">
        <f>'[2]Ukraine Sunflower Exports'!MD$290</f>
        <v>2.7432509999999999</v>
      </c>
      <c r="AB73" s="146">
        <f>'[2]Ukraine Sunflower Exports'!MP$290</f>
        <v>3.3746710000000002</v>
      </c>
      <c r="AC73" s="146">
        <f>'[2]Ukraine Sunflower Exports'!NB$290</f>
        <v>0.90800000000000003</v>
      </c>
      <c r="AD73" s="146">
        <f>'[2]Ukraine Sunflower Exports'!NN$290</f>
        <v>364.26799999999997</v>
      </c>
      <c r="AE73" s="146">
        <f>'[2]Ukraine Sunflower Exports'!NZ$290</f>
        <v>9.4860000000000007</v>
      </c>
      <c r="AF73" s="253">
        <f>(SUM(Z73:AD73)/SUM(Z$75:AD$75))*AF$75*0.1</f>
        <v>5.0238818108689136</v>
      </c>
      <c r="AG73" s="253">
        <f t="shared" si="47"/>
        <v>24.650200410727805</v>
      </c>
      <c r="AK73" s="226" t="s">
        <v>240</v>
      </c>
      <c r="AL73" s="291">
        <f t="shared" si="48"/>
        <v>22758</v>
      </c>
      <c r="AM73" s="209">
        <f t="shared" si="48"/>
        <v>397889</v>
      </c>
      <c r="AQ73" s="253"/>
    </row>
    <row r="74" spans="1:43">
      <c r="A74" s="240" t="s">
        <v>237</v>
      </c>
      <c r="B74" s="241">
        <f>(SUM(K74:O74)/SUM(K$75:O$75))*B$75</f>
        <v>0.70134603537939577</v>
      </c>
      <c r="C74" s="146">
        <f>'[2]Ukraine Sunflower Exports'!BC$290</f>
        <v>0.2</v>
      </c>
      <c r="D74" s="146">
        <f>'[2]Ukraine Sunflower Exports'!BO$290</f>
        <v>52.9</v>
      </c>
      <c r="E74" s="146">
        <f>'[2]Ukraine Sunflower Exports'!CA$290</f>
        <v>1.7</v>
      </c>
      <c r="F74" s="146">
        <f>'[2]Ukraine Sunflower Exports'!CM$290</f>
        <v>0</v>
      </c>
      <c r="G74" s="146">
        <f>'[2]Ukraine Sunflower Exports'!CY$290</f>
        <v>15</v>
      </c>
      <c r="H74" s="146">
        <f>'[2]Ukraine Sunflower Exports'!DK$290</f>
        <v>18.7</v>
      </c>
      <c r="I74" s="146">
        <f>'[2]Ukraine Sunflower Exports'!DW$290</f>
        <v>10.5</v>
      </c>
      <c r="J74" s="146">
        <f>'[2]Ukraine Sunflower Exports'!EI$290</f>
        <v>3.9E-2</v>
      </c>
      <c r="K74" s="146">
        <f>'[2]Ukraine Sunflower Exports'!EU$290</f>
        <v>4.8000000000000001E-2</v>
      </c>
      <c r="L74" s="146">
        <f>'[2]Ukraine Sunflower Exports'!FG$290</f>
        <v>5.9790000000000001</v>
      </c>
      <c r="M74" s="146">
        <f>'[2]Ukraine Sunflower Exports'!FS$290</f>
        <v>0.11</v>
      </c>
      <c r="N74" s="146">
        <f>'[2]Ukraine Sunflower Exports'!GE$290</f>
        <v>6.8000000000000005E-2</v>
      </c>
      <c r="O74" s="146">
        <f>'[2]Ukraine Sunflower Exports'!GQ$290</f>
        <v>0.17599999999999999</v>
      </c>
      <c r="P74" s="146">
        <f>'[2]Ukraine Sunflower Exports'!HC$290</f>
        <v>0.06</v>
      </c>
      <c r="Q74" s="146">
        <f>'[2]Ukraine Sunflower Exports'!HO$290</f>
        <v>19.488</v>
      </c>
      <c r="R74" s="146">
        <f>'[2]Ukraine Sunflower Exports'!IA$290</f>
        <v>1.3640000000000001</v>
      </c>
      <c r="S74" s="146">
        <f>'[2]Ukraine Sunflower Exports'!IM$290</f>
        <v>1.476</v>
      </c>
      <c r="T74" s="146">
        <f>'[2]Ukraine Sunflower Exports'!IY$290</f>
        <v>2.4860000000000002</v>
      </c>
      <c r="U74" s="146">
        <f>'[2]Ukraine Sunflower Exports'!JK$290</f>
        <v>0.35099999999999998</v>
      </c>
      <c r="V74" s="146">
        <f>'[2]Ukraine Sunflower Exports'!JW$290</f>
        <v>0.438</v>
      </c>
      <c r="W74" s="146">
        <f>'[2]Ukraine Sunflower Exports'!KI$290</f>
        <v>0.61699999999999999</v>
      </c>
      <c r="X74" s="146">
        <f>'[2]Ukraine Sunflower Exports'!KU$290</f>
        <v>1.843</v>
      </c>
      <c r="Y74" s="146">
        <f>'[2]Ukraine Sunflower Exports'!LG$290</f>
        <v>1.3282240000000001</v>
      </c>
      <c r="Z74" s="146">
        <f>'[2]Ukraine Sunflower Exports'!LS$290</f>
        <v>1.6069929999999999</v>
      </c>
      <c r="AA74" s="146">
        <f>'[2]Ukraine Sunflower Exports'!ME$290</f>
        <v>2.221949</v>
      </c>
      <c r="AB74" s="146">
        <f>'[2]Ukraine Sunflower Exports'!MQ$290</f>
        <v>2.18479</v>
      </c>
      <c r="AC74" s="146">
        <f>'[2]Ukraine Sunflower Exports'!NC$290</f>
        <v>1.5269999999999999</v>
      </c>
      <c r="AD74" s="146">
        <f>'[2]Ukraine Sunflower Exports'!NO$290</f>
        <v>167.20400000000001</v>
      </c>
      <c r="AE74" s="146">
        <f>'[2]Ukraine Sunflower Exports'!OA$290</f>
        <v>5.6680000000000001</v>
      </c>
      <c r="AF74" s="253">
        <f>AF75-SUM(AF63:AF73)</f>
        <v>5.2583935082631115</v>
      </c>
      <c r="AG74" s="253">
        <f>AG75-SUM(AG63:AG73)</f>
        <v>11.28990803625021</v>
      </c>
      <c r="AK74" s="226" t="s">
        <v>241</v>
      </c>
      <c r="AL74" s="291">
        <f t="shared" si="48"/>
        <v>3515</v>
      </c>
      <c r="AM74" s="209">
        <f t="shared" si="48"/>
        <v>295103</v>
      </c>
    </row>
    <row r="75" spans="1:43" ht="15.75" thickBot="1">
      <c r="A75" s="240" t="s">
        <v>242</v>
      </c>
      <c r="B75" s="245">
        <f>B13</f>
        <v>200</v>
      </c>
      <c r="C75" s="245">
        <f>SUM(C63:C74)</f>
        <v>126.50000000000001</v>
      </c>
      <c r="D75" s="245">
        <f>SUM(D63:D74)</f>
        <v>469.1</v>
      </c>
      <c r="E75" s="245">
        <f t="shared" ref="E75:AB75" si="49">SUM(E63:E73)</f>
        <v>1131.2000000000003</v>
      </c>
      <c r="F75" s="245">
        <f t="shared" si="49"/>
        <v>714.40000000000009</v>
      </c>
      <c r="G75" s="245">
        <f t="shared" si="49"/>
        <v>859.5</v>
      </c>
      <c r="H75" s="245">
        <f t="shared" si="49"/>
        <v>398.20477199999999</v>
      </c>
      <c r="I75" s="245">
        <f t="shared" si="49"/>
        <v>1030.3</v>
      </c>
      <c r="J75" s="245">
        <f t="shared" si="49"/>
        <v>81.741044999999986</v>
      </c>
      <c r="K75" s="245">
        <f t="shared" si="49"/>
        <v>330.72784999999999</v>
      </c>
      <c r="L75" s="245">
        <f t="shared" si="49"/>
        <v>921.69399999999996</v>
      </c>
      <c r="M75" s="245">
        <f t="shared" si="49"/>
        <v>11.449</v>
      </c>
      <c r="N75" s="245">
        <f t="shared" si="49"/>
        <v>219.74600000000001</v>
      </c>
      <c r="O75" s="245">
        <f t="shared" si="49"/>
        <v>336.02699999999999</v>
      </c>
      <c r="P75" s="245">
        <f t="shared" si="49"/>
        <v>75.356999999999999</v>
      </c>
      <c r="Q75" s="245">
        <f t="shared" si="49"/>
        <v>747.74700000000007</v>
      </c>
      <c r="R75" s="245">
        <f t="shared" si="49"/>
        <v>352.08399999999995</v>
      </c>
      <c r="S75" s="245">
        <f t="shared" si="49"/>
        <v>442.98100000000005</v>
      </c>
      <c r="T75" s="245">
        <f t="shared" si="49"/>
        <v>279.68599999999998</v>
      </c>
      <c r="U75" s="245">
        <f t="shared" si="49"/>
        <v>126.68700000000001</v>
      </c>
      <c r="V75" s="245">
        <f t="shared" si="49"/>
        <v>69.272999999999996</v>
      </c>
      <c r="W75" s="245">
        <f t="shared" si="49"/>
        <v>44.750999999999998</v>
      </c>
      <c r="X75" s="245">
        <f t="shared" si="49"/>
        <v>81.540000000000006</v>
      </c>
      <c r="Y75" s="245">
        <f t="shared" si="49"/>
        <v>189.92956800000002</v>
      </c>
      <c r="Z75" s="245">
        <f t="shared" si="49"/>
        <v>36.913361000000002</v>
      </c>
      <c r="AA75" s="245">
        <f t="shared" si="49"/>
        <v>102.312574</v>
      </c>
      <c r="AB75" s="245">
        <f t="shared" si="49"/>
        <v>50.908830000000002</v>
      </c>
      <c r="AC75" s="245">
        <f>SUM(AC63:AC74)</f>
        <v>232.430533</v>
      </c>
      <c r="AD75" s="245">
        <f>SUM(AD63:AD74)</f>
        <v>1620.953</v>
      </c>
      <c r="AE75" s="245">
        <f>SUM(AE63:AE74)</f>
        <v>1855.2289999999998</v>
      </c>
      <c r="AF75" s="247">
        <f>AF13</f>
        <v>275</v>
      </c>
      <c r="AG75" s="247">
        <f>AG13</f>
        <v>250</v>
      </c>
      <c r="AK75" s="226" t="s">
        <v>50</v>
      </c>
      <c r="AL75" s="209">
        <f>SUM(AL63:AL74)</f>
        <v>131687</v>
      </c>
      <c r="AM75" s="209">
        <f>SUM(AM63:AM74)</f>
        <v>2754107</v>
      </c>
    </row>
    <row r="76" spans="1:43">
      <c r="A76" s="248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  <c r="AB76" s="248"/>
      <c r="AC76" s="248"/>
      <c r="AD76" s="248"/>
      <c r="AE76" s="248"/>
      <c r="AF76" s="248"/>
      <c r="AG76" s="248"/>
    </row>
    <row r="77" spans="1:43" ht="15.75" thickBot="1">
      <c r="A77" s="235" t="s">
        <v>244</v>
      </c>
      <c r="AI77" s="265"/>
      <c r="AJ77" s="265"/>
      <c r="AK77" s="357"/>
      <c r="AL77" s="357"/>
      <c r="AM77" s="357"/>
      <c r="AN77" s="357"/>
      <c r="AO77" s="265"/>
      <c r="AP77" s="265"/>
    </row>
    <row r="78" spans="1:43" ht="15.75" thickBot="1">
      <c r="A78" s="236"/>
      <c r="B78" s="237" t="str">
        <f>B$2</f>
        <v xml:space="preserve">93/94 </v>
      </c>
      <c r="C78" s="237" t="str">
        <f t="shared" ref="C78:AG78" si="50">C$2</f>
        <v xml:space="preserve">94/95 </v>
      </c>
      <c r="D78" s="237" t="str">
        <f t="shared" si="50"/>
        <v xml:space="preserve">95/96 </v>
      </c>
      <c r="E78" s="237" t="str">
        <f t="shared" si="50"/>
        <v xml:space="preserve">96/97 </v>
      </c>
      <c r="F78" s="237" t="str">
        <f t="shared" si="50"/>
        <v xml:space="preserve">97/98 </v>
      </c>
      <c r="G78" s="237" t="str">
        <f t="shared" si="50"/>
        <v xml:space="preserve">98/99 </v>
      </c>
      <c r="H78" s="237" t="str">
        <f t="shared" si="50"/>
        <v xml:space="preserve">99/00 </v>
      </c>
      <c r="I78" s="237" t="str">
        <f t="shared" si="50"/>
        <v xml:space="preserve">00/01 </v>
      </c>
      <c r="J78" s="237" t="str">
        <f t="shared" si="50"/>
        <v xml:space="preserve">01/02 </v>
      </c>
      <c r="K78" s="237" t="str">
        <f t="shared" si="50"/>
        <v xml:space="preserve">02/03 </v>
      </c>
      <c r="L78" s="237" t="str">
        <f t="shared" si="50"/>
        <v xml:space="preserve">03/04 </v>
      </c>
      <c r="M78" s="237" t="str">
        <f t="shared" si="50"/>
        <v xml:space="preserve">04/05 </v>
      </c>
      <c r="N78" s="237" t="str">
        <f t="shared" si="50"/>
        <v xml:space="preserve">05/06 </v>
      </c>
      <c r="O78" s="237" t="str">
        <f t="shared" si="50"/>
        <v xml:space="preserve">06/07 </v>
      </c>
      <c r="P78" s="237" t="str">
        <f t="shared" si="50"/>
        <v xml:space="preserve">07/08 </v>
      </c>
      <c r="Q78" s="237" t="str">
        <f t="shared" si="50"/>
        <v xml:space="preserve">08/09 </v>
      </c>
      <c r="R78" s="237" t="str">
        <f t="shared" si="50"/>
        <v xml:space="preserve">09/10 </v>
      </c>
      <c r="S78" s="237" t="str">
        <f t="shared" si="50"/>
        <v xml:space="preserve">10/11 </v>
      </c>
      <c r="T78" s="237" t="str">
        <f t="shared" si="50"/>
        <v xml:space="preserve">11/12 </v>
      </c>
      <c r="U78" s="237" t="str">
        <f t="shared" si="50"/>
        <v xml:space="preserve">12/13 </v>
      </c>
      <c r="V78" s="237" t="str">
        <f t="shared" si="50"/>
        <v xml:space="preserve">13/14 </v>
      </c>
      <c r="W78" s="237" t="str">
        <f t="shared" si="50"/>
        <v xml:space="preserve">14/15 </v>
      </c>
      <c r="X78" s="237" t="str">
        <f t="shared" si="50"/>
        <v xml:space="preserve">15/16 </v>
      </c>
      <c r="Y78" s="237" t="str">
        <f t="shared" si="50"/>
        <v xml:space="preserve">16/17 </v>
      </c>
      <c r="Z78" s="237" t="str">
        <f t="shared" si="50"/>
        <v xml:space="preserve">17/18 </v>
      </c>
      <c r="AA78" s="237" t="str">
        <f t="shared" si="50"/>
        <v xml:space="preserve">18/19 </v>
      </c>
      <c r="AB78" s="237" t="str">
        <f t="shared" si="50"/>
        <v xml:space="preserve">19/20 </v>
      </c>
      <c r="AC78" s="237" t="str">
        <f t="shared" si="50"/>
        <v xml:space="preserve">20/21 </v>
      </c>
      <c r="AD78" s="237" t="str">
        <f t="shared" si="50"/>
        <v>21/22</v>
      </c>
      <c r="AE78" s="237" t="str">
        <f t="shared" si="50"/>
        <v>22/23</v>
      </c>
      <c r="AF78" s="237" t="str">
        <f t="shared" si="50"/>
        <v>23/24</v>
      </c>
      <c r="AG78" s="237" t="str">
        <f t="shared" si="50"/>
        <v>24/25</v>
      </c>
    </row>
    <row r="79" spans="1:43">
      <c r="A79" s="240" t="s">
        <v>238</v>
      </c>
      <c r="B79" s="251">
        <v>234.79225648481133</v>
      </c>
      <c r="C79" s="251">
        <f>B233/B$250</f>
        <v>123.37851651239197</v>
      </c>
      <c r="D79" s="251">
        <f t="shared" ref="D79:AC79" si="51">C233/C$250</f>
        <v>96.92822720082404</v>
      </c>
      <c r="E79" s="251">
        <f t="shared" si="51"/>
        <v>94.789520164851368</v>
      </c>
      <c r="F79" s="251">
        <f t="shared" si="51"/>
        <v>47.330799683293748</v>
      </c>
      <c r="G79" s="251">
        <f t="shared" si="51"/>
        <v>117.61622191011236</v>
      </c>
      <c r="H79" s="251">
        <f t="shared" si="51"/>
        <v>116.50458647177271</v>
      </c>
      <c r="I79" s="251">
        <f t="shared" si="51"/>
        <v>174.57770270270268</v>
      </c>
      <c r="J79" s="251">
        <f t="shared" si="51"/>
        <v>160.29864773635134</v>
      </c>
      <c r="K79" s="251">
        <f t="shared" si="51"/>
        <v>185.38103376018941</v>
      </c>
      <c r="L79" s="251">
        <f t="shared" si="51"/>
        <v>181.87826086956522</v>
      </c>
      <c r="M79" s="251">
        <f t="shared" si="51"/>
        <v>107.625</v>
      </c>
      <c r="N79" s="251">
        <f t="shared" si="51"/>
        <v>172.41106719367588</v>
      </c>
      <c r="O79" s="251">
        <f t="shared" si="51"/>
        <v>135.90909090909091</v>
      </c>
      <c r="P79" s="251">
        <f t="shared" si="51"/>
        <v>258.66429268292683</v>
      </c>
      <c r="Q79" s="251">
        <f t="shared" si="51"/>
        <v>242.35320334261837</v>
      </c>
      <c r="R79" s="251">
        <f t="shared" si="51"/>
        <v>331.92246294184724</v>
      </c>
      <c r="S79" s="251">
        <f t="shared" si="51"/>
        <v>395.29175050301808</v>
      </c>
      <c r="T79" s="251">
        <f t="shared" si="51"/>
        <v>549.94032983508248</v>
      </c>
      <c r="U79" s="251">
        <f t="shared" si="51"/>
        <v>642.11267605633816</v>
      </c>
      <c r="V79" s="251">
        <f t="shared" si="51"/>
        <v>696.65200659703123</v>
      </c>
      <c r="W79" s="251">
        <f t="shared" si="51"/>
        <v>690.27106534986342</v>
      </c>
      <c r="X79" s="251">
        <f t="shared" si="51"/>
        <v>700</v>
      </c>
      <c r="Y79" s="251">
        <f t="shared" si="51"/>
        <v>930.13972055888223</v>
      </c>
      <c r="Z79" s="251">
        <f t="shared" si="51"/>
        <v>953.23218390804595</v>
      </c>
      <c r="AA79" s="251">
        <f t="shared" si="51"/>
        <v>1084.4349535370241</v>
      </c>
      <c r="AB79" s="251">
        <f t="shared" si="51"/>
        <v>509.3492215712584</v>
      </c>
      <c r="AC79" s="251">
        <f t="shared" si="51"/>
        <v>842.2050319401867</v>
      </c>
      <c r="AD79" s="251">
        <f>AC233/AC$250</f>
        <v>84.997463216641293</v>
      </c>
      <c r="AE79" s="251">
        <f>AD233/AD$250</f>
        <v>1107.1549045915326</v>
      </c>
      <c r="AF79" s="251">
        <f t="shared" ref="AF79:AG79" si="52">AE233/AE$250</f>
        <v>1390.6208865235542</v>
      </c>
      <c r="AG79" s="251">
        <f t="shared" si="52"/>
        <v>2231.0963048307271</v>
      </c>
      <c r="AH79" s="252"/>
    </row>
    <row r="80" spans="1:43">
      <c r="A80" s="240" t="s">
        <v>239</v>
      </c>
      <c r="B80" s="251">
        <f>B222/B$250</f>
        <v>268.8027794066216</v>
      </c>
      <c r="C80" s="251">
        <f>C222/C$250</f>
        <v>207.9167126512894</v>
      </c>
      <c r="D80" s="251">
        <f t="shared" ref="D80:AD89" si="53">D222/D$250</f>
        <v>290.80070650574049</v>
      </c>
      <c r="E80" s="251">
        <f t="shared" si="53"/>
        <v>173.89500751814157</v>
      </c>
      <c r="F80" s="251">
        <f t="shared" si="53"/>
        <v>223.13690345884416</v>
      </c>
      <c r="G80" s="251">
        <f t="shared" si="53"/>
        <v>244.72958245351131</v>
      </c>
      <c r="H80" s="251">
        <f t="shared" si="53"/>
        <v>262.92179436284238</v>
      </c>
      <c r="I80" s="251">
        <f t="shared" si="53"/>
        <v>311.81001129039299</v>
      </c>
      <c r="J80" s="251">
        <f t="shared" si="53"/>
        <v>262.56440208280418</v>
      </c>
      <c r="K80" s="251">
        <f t="shared" si="53"/>
        <v>336.4482744365564</v>
      </c>
      <c r="L80" s="251">
        <f t="shared" si="53"/>
        <v>310.70454545454544</v>
      </c>
      <c r="M80" s="251">
        <f t="shared" si="53"/>
        <v>270.59288537549406</v>
      </c>
      <c r="N80" s="251">
        <f t="shared" si="53"/>
        <v>371.8</v>
      </c>
      <c r="O80" s="251">
        <f t="shared" si="53"/>
        <v>437.64863414634146</v>
      </c>
      <c r="P80" s="251">
        <f t="shared" si="53"/>
        <v>461.79387186629526</v>
      </c>
      <c r="Q80" s="251">
        <f t="shared" si="53"/>
        <v>474.00608133789433</v>
      </c>
      <c r="R80" s="251">
        <f t="shared" si="53"/>
        <v>648.73239436619713</v>
      </c>
      <c r="S80" s="251">
        <f t="shared" si="53"/>
        <v>692.27226386806592</v>
      </c>
      <c r="T80" s="251">
        <f t="shared" si="53"/>
        <v>800.2766599597586</v>
      </c>
      <c r="U80" s="251">
        <f t="shared" si="53"/>
        <v>843.21605277625065</v>
      </c>
      <c r="V80" s="251">
        <f t="shared" si="53"/>
        <v>933.75709182601383</v>
      </c>
      <c r="W80" s="251">
        <f t="shared" si="53"/>
        <v>902.32558139534888</v>
      </c>
      <c r="X80" s="251">
        <f t="shared" si="53"/>
        <v>913.86227544910173</v>
      </c>
      <c r="Y80" s="251">
        <f t="shared" si="53"/>
        <v>1186.2068965517242</v>
      </c>
      <c r="Z80" s="251">
        <f t="shared" si="53"/>
        <v>1301.4457551158464</v>
      </c>
      <c r="AA80" s="251">
        <f t="shared" si="53"/>
        <v>1370.1747432170544</v>
      </c>
      <c r="AB80" s="251">
        <f t="shared" si="53"/>
        <v>1342.9419970458387</v>
      </c>
      <c r="AC80" s="251">
        <f t="shared" si="53"/>
        <v>1564.5682149853428</v>
      </c>
      <c r="AD80" s="251">
        <f t="shared" si="53"/>
        <v>1037.5416666666667</v>
      </c>
      <c r="AE80" s="251">
        <f>AE222/AE$250</f>
        <v>1113.280666666667</v>
      </c>
      <c r="AF80" s="251">
        <f t="shared" ref="AF80:AG90" si="54">AF222/AF$250</f>
        <v>1157.3420023255815</v>
      </c>
      <c r="AG80" s="251">
        <f t="shared" si="54"/>
        <v>1258.6187662565644</v>
      </c>
    </row>
    <row r="81" spans="1:53">
      <c r="A81" s="240" t="s">
        <v>240</v>
      </c>
      <c r="B81" s="251">
        <f t="shared" ref="B81:Q90" si="55">B223/B$250</f>
        <v>257.64840436478846</v>
      </c>
      <c r="C81" s="251">
        <f t="shared" si="55"/>
        <v>199.67626825589522</v>
      </c>
      <c r="D81" s="251">
        <f t="shared" si="53"/>
        <v>280.30615248748899</v>
      </c>
      <c r="E81" s="251">
        <f t="shared" si="53"/>
        <v>184.91098084508269</v>
      </c>
      <c r="F81" s="251">
        <f t="shared" si="53"/>
        <v>237.73202167250443</v>
      </c>
      <c r="G81" s="251">
        <f t="shared" si="53"/>
        <v>211.50568762345884</v>
      </c>
      <c r="H81" s="251">
        <f t="shared" si="53"/>
        <v>230.31361651448989</v>
      </c>
      <c r="I81" s="251">
        <f t="shared" si="53"/>
        <v>299.45192315403858</v>
      </c>
      <c r="J81" s="251">
        <f t="shared" si="53"/>
        <v>252.15808443770919</v>
      </c>
      <c r="K81" s="251">
        <f t="shared" si="53"/>
        <v>323.11368838011629</v>
      </c>
      <c r="L81" s="251">
        <f t="shared" si="53"/>
        <v>303.78409090909088</v>
      </c>
      <c r="M81" s="251">
        <f t="shared" si="53"/>
        <v>273.67588932806325</v>
      </c>
      <c r="N81" s="251">
        <f t="shared" si="53"/>
        <v>384.56363636363636</v>
      </c>
      <c r="O81" s="251">
        <f t="shared" si="53"/>
        <v>433.15629268292679</v>
      </c>
      <c r="P81" s="251">
        <f t="shared" si="53"/>
        <v>443.6055710306407</v>
      </c>
      <c r="Q81" s="251">
        <f t="shared" si="53"/>
        <v>499.06575446598254</v>
      </c>
      <c r="R81" s="251">
        <f t="shared" si="53"/>
        <v>637.62072434607649</v>
      </c>
      <c r="S81" s="251">
        <f t="shared" si="53"/>
        <v>701.7295352323838</v>
      </c>
      <c r="T81" s="251">
        <f t="shared" si="53"/>
        <v>812.33400402414497</v>
      </c>
      <c r="U81" s="251">
        <f t="shared" si="53"/>
        <v>789.55470038482679</v>
      </c>
      <c r="V81" s="251">
        <f t="shared" si="53"/>
        <v>897.35238495482247</v>
      </c>
      <c r="W81" s="251">
        <f t="shared" si="53"/>
        <v>923.25581395348843</v>
      </c>
      <c r="X81" s="251">
        <f t="shared" si="53"/>
        <v>837.12574850299393</v>
      </c>
      <c r="Y81" s="251">
        <f t="shared" si="53"/>
        <v>1216.0919540229886</v>
      </c>
      <c r="Z81" s="251">
        <f t="shared" si="53"/>
        <v>1261.3468205648569</v>
      </c>
      <c r="AA81" s="251">
        <f t="shared" si="53"/>
        <v>1402.7205763118668</v>
      </c>
      <c r="AB81" s="251">
        <f t="shared" si="53"/>
        <v>1508.3724118899629</v>
      </c>
      <c r="AC81" s="251">
        <f t="shared" si="53"/>
        <v>2118.4936828429973</v>
      </c>
      <c r="AD81" s="251">
        <f t="shared" si="53"/>
        <v>1481.5910405485993</v>
      </c>
      <c r="AE81" s="251">
        <f t="shared" ref="AE81:AE90" si="56">AE223/AE$250</f>
        <v>1175.0345128205131</v>
      </c>
      <c r="AF81" s="251">
        <f t="shared" si="54"/>
        <v>1377.4372370304116</v>
      </c>
      <c r="AG81" s="251">
        <f t="shared" si="54"/>
        <v>1523.175065762224</v>
      </c>
    </row>
    <row r="82" spans="1:53">
      <c r="A82" s="240" t="s">
        <v>241</v>
      </c>
      <c r="B82" s="251">
        <f t="shared" si="55"/>
        <v>244.80748851735018</v>
      </c>
      <c r="C82" s="251">
        <f t="shared" si="55"/>
        <v>188.24265165728579</v>
      </c>
      <c r="D82" s="251">
        <f t="shared" si="53"/>
        <v>305.01913453046808</v>
      </c>
      <c r="E82" s="251">
        <f t="shared" si="53"/>
        <v>155.7973370524526</v>
      </c>
      <c r="F82" s="251">
        <f t="shared" si="53"/>
        <v>180.19357486865152</v>
      </c>
      <c r="G82" s="251">
        <f t="shared" si="53"/>
        <v>201.12322048906748</v>
      </c>
      <c r="H82" s="251">
        <f t="shared" si="53"/>
        <v>246.7645891226677</v>
      </c>
      <c r="I82" s="251">
        <f t="shared" si="53"/>
        <v>282.3050758648468</v>
      </c>
      <c r="J82" s="251">
        <f t="shared" si="53"/>
        <v>237.71931870513978</v>
      </c>
      <c r="K82" s="251">
        <f t="shared" si="53"/>
        <v>304.6119502268055</v>
      </c>
      <c r="L82" s="251">
        <f t="shared" si="53"/>
        <v>319.05681818181813</v>
      </c>
      <c r="M82" s="251">
        <f t="shared" si="53"/>
        <v>263.00395256916994</v>
      </c>
      <c r="N82" s="251">
        <f t="shared" si="53"/>
        <v>396.85454545454547</v>
      </c>
      <c r="O82" s="251">
        <f t="shared" si="53"/>
        <v>449.23414634146343</v>
      </c>
      <c r="P82" s="251">
        <f t="shared" si="53"/>
        <v>471.00612813370475</v>
      </c>
      <c r="Q82" s="251">
        <f t="shared" si="53"/>
        <v>550.1307487647282</v>
      </c>
      <c r="R82" s="251">
        <f t="shared" si="53"/>
        <v>667.40945674044269</v>
      </c>
      <c r="S82" s="251">
        <f t="shared" si="53"/>
        <v>718.75262368815595</v>
      </c>
      <c r="T82" s="251">
        <f t="shared" si="53"/>
        <v>868.60160965794773</v>
      </c>
      <c r="U82" s="251">
        <f t="shared" si="53"/>
        <v>815.79439252336454</v>
      </c>
      <c r="V82" s="251">
        <f t="shared" si="53"/>
        <v>934.93906282832518</v>
      </c>
      <c r="W82" s="251">
        <f t="shared" si="53"/>
        <v>883.7209302325582</v>
      </c>
      <c r="X82" s="251">
        <f t="shared" si="53"/>
        <v>844.10179640718559</v>
      </c>
      <c r="Y82" s="251">
        <f t="shared" si="53"/>
        <v>1280.4597701149426</v>
      </c>
      <c r="Z82" s="251">
        <f t="shared" si="53"/>
        <v>1108.6132250972435</v>
      </c>
      <c r="AA82" s="251">
        <f t="shared" si="53"/>
        <v>1444.3052763118669</v>
      </c>
      <c r="AB82" s="251">
        <f t="shared" si="53"/>
        <v>1410.8023776206801</v>
      </c>
      <c r="AC82" s="251">
        <f t="shared" si="53"/>
        <v>1740.4322774650163</v>
      </c>
      <c r="AD82" s="251">
        <f t="shared" si="53"/>
        <v>1600.4747614788312</v>
      </c>
      <c r="AE82" s="251">
        <f t="shared" si="56"/>
        <v>1074.8252104949318</v>
      </c>
      <c r="AF82" s="251">
        <f t="shared" si="54"/>
        <v>809.27557191413234</v>
      </c>
      <c r="AG82" s="251">
        <f t="shared" si="54"/>
        <v>1438.3645421500416</v>
      </c>
    </row>
    <row r="83" spans="1:53">
      <c r="A83" s="240" t="s">
        <v>231</v>
      </c>
      <c r="B83" s="251">
        <f t="shared" si="55"/>
        <v>178.75178800880749</v>
      </c>
      <c r="C83" s="251">
        <f t="shared" si="55"/>
        <v>135.7098186366479</v>
      </c>
      <c r="D83" s="251">
        <f t="shared" si="53"/>
        <v>235.95819841036217</v>
      </c>
      <c r="E83" s="251">
        <f t="shared" si="53"/>
        <v>90.589705769672818</v>
      </c>
      <c r="F83" s="251">
        <f t="shared" si="53"/>
        <v>140.57880930656935</v>
      </c>
      <c r="G83" s="251">
        <f t="shared" si="53"/>
        <v>143.77931693336518</v>
      </c>
      <c r="H83" s="251">
        <f t="shared" si="53"/>
        <v>184.81827111984279</v>
      </c>
      <c r="I83" s="251">
        <f t="shared" si="53"/>
        <v>268.5213995626367</v>
      </c>
      <c r="J83" s="251">
        <f t="shared" si="53"/>
        <v>214.57620744259697</v>
      </c>
      <c r="K83" s="251">
        <f t="shared" si="53"/>
        <v>304.10434782608701</v>
      </c>
      <c r="L83" s="251">
        <f t="shared" si="53"/>
        <v>293.28409090909093</v>
      </c>
      <c r="M83" s="251">
        <f t="shared" si="53"/>
        <v>267.27272727272725</v>
      </c>
      <c r="N83" s="251">
        <f t="shared" si="53"/>
        <v>400.87272727272727</v>
      </c>
      <c r="O83" s="251">
        <f t="shared" si="53"/>
        <v>476.18819512195125</v>
      </c>
      <c r="P83" s="251">
        <f t="shared" si="53"/>
        <v>499.82395543175488</v>
      </c>
      <c r="Q83" s="251">
        <f t="shared" si="53"/>
        <v>560.29646522234896</v>
      </c>
      <c r="R83" s="251">
        <f t="shared" si="53"/>
        <v>636.67505030181087</v>
      </c>
      <c r="S83" s="251">
        <f t="shared" si="53"/>
        <v>734.82998500749625</v>
      </c>
      <c r="T83" s="251">
        <f t="shared" si="53"/>
        <v>795.78470824949704</v>
      </c>
      <c r="U83" s="251">
        <f t="shared" si="53"/>
        <v>807.28422210005499</v>
      </c>
      <c r="V83" s="251">
        <f t="shared" si="53"/>
        <v>855.74700567346076</v>
      </c>
      <c r="W83" s="251">
        <f t="shared" si="53"/>
        <v>774.41860465116281</v>
      </c>
      <c r="X83" s="251">
        <f t="shared" si="53"/>
        <v>732.48502994011972</v>
      </c>
      <c r="Y83" s="251">
        <f t="shared" si="53"/>
        <v>1110.344827586207</v>
      </c>
      <c r="Z83" s="251">
        <f t="shared" si="53"/>
        <v>1010.9862020125147</v>
      </c>
      <c r="AA83" s="251">
        <f t="shared" si="53"/>
        <v>1218.8047786374482</v>
      </c>
      <c r="AB83" s="251">
        <f t="shared" si="53"/>
        <v>1406.5066866937516</v>
      </c>
      <c r="AC83" s="251">
        <f t="shared" si="53"/>
        <v>1134.5945163199729</v>
      </c>
      <c r="AD83" s="251">
        <f t="shared" si="53"/>
        <v>1414.5817382230173</v>
      </c>
      <c r="AE83" s="251">
        <f t="shared" si="56"/>
        <v>966.87869886702458</v>
      </c>
      <c r="AF83" s="251">
        <f t="shared" si="54"/>
        <v>620.31090679785325</v>
      </c>
      <c r="AG83" s="251">
        <f t="shared" si="54"/>
        <v>1280.124075504852</v>
      </c>
    </row>
    <row r="84" spans="1:53">
      <c r="A84" s="240" t="s">
        <v>232</v>
      </c>
      <c r="B84" s="251">
        <f t="shared" si="55"/>
        <v>163.51700912467479</v>
      </c>
      <c r="C84" s="251">
        <f t="shared" si="55"/>
        <v>125.10024647757791</v>
      </c>
      <c r="D84" s="251">
        <f t="shared" si="53"/>
        <v>200.41212834854289</v>
      </c>
      <c r="E84" s="251">
        <f t="shared" si="53"/>
        <v>104.39911213700101</v>
      </c>
      <c r="F84" s="251">
        <f t="shared" si="53"/>
        <v>96.970688868613138</v>
      </c>
      <c r="G84" s="251">
        <f t="shared" si="53"/>
        <v>123.8275614998806</v>
      </c>
      <c r="H84" s="251">
        <f t="shared" si="53"/>
        <v>202.57858546168956</v>
      </c>
      <c r="I84" s="251">
        <f t="shared" si="53"/>
        <v>247.52883473914403</v>
      </c>
      <c r="J84" s="251">
        <f t="shared" si="53"/>
        <v>197.80098970704671</v>
      </c>
      <c r="K84" s="251">
        <f t="shared" si="53"/>
        <v>264.4173913043478</v>
      </c>
      <c r="L84" s="251">
        <f t="shared" si="53"/>
        <v>272.76136363636363</v>
      </c>
      <c r="M84" s="251">
        <f t="shared" si="53"/>
        <v>232.41106719367588</v>
      </c>
      <c r="N84" s="251">
        <f t="shared" si="53"/>
        <v>382.67272727272729</v>
      </c>
      <c r="O84" s="251">
        <f t="shared" si="53"/>
        <v>416.13268292682926</v>
      </c>
      <c r="P84" s="251">
        <f t="shared" si="53"/>
        <v>402.97715877437327</v>
      </c>
      <c r="Q84" s="251">
        <f t="shared" si="53"/>
        <v>510.64994298745728</v>
      </c>
      <c r="R84" s="251">
        <f t="shared" si="53"/>
        <v>574.49698189134813</v>
      </c>
      <c r="S84" s="251">
        <f t="shared" si="53"/>
        <v>668.15622188905547</v>
      </c>
      <c r="T84" s="251">
        <f t="shared" si="53"/>
        <v>707.83702213279673</v>
      </c>
      <c r="U84" s="251">
        <f t="shared" si="53"/>
        <v>741.56679494227592</v>
      </c>
      <c r="V84" s="251">
        <f t="shared" si="53"/>
        <v>806.10422357638151</v>
      </c>
      <c r="W84" s="251">
        <f t="shared" si="53"/>
        <v>732.55813953488371</v>
      </c>
      <c r="X84" s="251">
        <f t="shared" si="53"/>
        <v>867.35528942115764</v>
      </c>
      <c r="Y84" s="251">
        <f t="shared" si="53"/>
        <v>1029.8850574712644</v>
      </c>
      <c r="Z84" s="251">
        <f t="shared" si="53"/>
        <v>993.78765643497366</v>
      </c>
      <c r="AA84" s="251">
        <f t="shared" si="53"/>
        <v>1370.2752065444249</v>
      </c>
      <c r="AB84" s="251">
        <f t="shared" si="53"/>
        <v>1508.366942076025</v>
      </c>
      <c r="AC84" s="251">
        <f t="shared" si="53"/>
        <v>1020.5120708608151</v>
      </c>
      <c r="AD84" s="251">
        <f t="shared" si="53"/>
        <v>970.88871496720367</v>
      </c>
      <c r="AE84" s="251">
        <f t="shared" si="56"/>
        <v>996.89032677400155</v>
      </c>
      <c r="AF84" s="251">
        <f t="shared" si="54"/>
        <v>1403.163111449016</v>
      </c>
      <c r="AG84" s="251">
        <f t="shared" si="54"/>
        <v>1250.0517347181815</v>
      </c>
    </row>
    <row r="85" spans="1:53">
      <c r="A85" s="240" t="s">
        <v>233</v>
      </c>
      <c r="B85" s="251">
        <f t="shared" si="55"/>
        <v>149.3463435084663</v>
      </c>
      <c r="C85" s="251">
        <f t="shared" si="55"/>
        <v>113.10009932678513</v>
      </c>
      <c r="D85" s="251">
        <f t="shared" si="53"/>
        <v>224.10950838975575</v>
      </c>
      <c r="E85" s="251">
        <f t="shared" si="53"/>
        <v>78.989804421117157</v>
      </c>
      <c r="F85" s="251">
        <f t="shared" si="53"/>
        <v>76.888001824817536</v>
      </c>
      <c r="G85" s="251">
        <f t="shared" si="53"/>
        <v>107.67614043467877</v>
      </c>
      <c r="H85" s="251">
        <f t="shared" si="53"/>
        <v>177.60314341846757</v>
      </c>
      <c r="I85" s="251">
        <f t="shared" si="53"/>
        <v>223.78481724461111</v>
      </c>
      <c r="J85" s="251">
        <f t="shared" si="53"/>
        <v>178.82707838479809</v>
      </c>
      <c r="K85" s="251">
        <f t="shared" si="53"/>
        <v>309.46086956521737</v>
      </c>
      <c r="L85" s="251">
        <f t="shared" si="53"/>
        <v>288.03409090909093</v>
      </c>
      <c r="M85" s="251">
        <f t="shared" si="53"/>
        <v>265.8498023715415</v>
      </c>
      <c r="N85" s="251">
        <f t="shared" si="53"/>
        <v>427.81818181818181</v>
      </c>
      <c r="O85" s="251">
        <f t="shared" si="53"/>
        <v>460.81965853658539</v>
      </c>
      <c r="P85" s="251">
        <f t="shared" si="53"/>
        <v>400.37883008356545</v>
      </c>
      <c r="Q85" s="251">
        <f t="shared" si="53"/>
        <v>575.19042189281652</v>
      </c>
      <c r="R85" s="251">
        <f t="shared" si="53"/>
        <v>626.98189134808854</v>
      </c>
      <c r="S85" s="251">
        <f t="shared" si="53"/>
        <v>713.78755622188896</v>
      </c>
      <c r="T85" s="251">
        <f t="shared" si="53"/>
        <v>773.56136820925553</v>
      </c>
      <c r="U85" s="251">
        <f t="shared" si="53"/>
        <v>726.67399670148427</v>
      </c>
      <c r="V85" s="251">
        <f t="shared" si="53"/>
        <v>957.39651187224206</v>
      </c>
      <c r="W85" s="251">
        <f t="shared" si="53"/>
        <v>811.62790697674416</v>
      </c>
      <c r="X85" s="251">
        <f t="shared" si="53"/>
        <v>848.75249500997995</v>
      </c>
      <c r="Y85" s="251">
        <f t="shared" si="53"/>
        <v>1188.5057471264367</v>
      </c>
      <c r="Z85" s="251">
        <f t="shared" si="53"/>
        <v>969.92804625401652</v>
      </c>
      <c r="AA85" s="251">
        <f t="shared" si="53"/>
        <v>1536.0231181723318</v>
      </c>
      <c r="AB85" s="251">
        <f t="shared" si="53"/>
        <v>1465.5382456010589</v>
      </c>
      <c r="AC85" s="251">
        <f t="shared" si="53"/>
        <v>1131.7210383899881</v>
      </c>
      <c r="AD85" s="251">
        <f t="shared" si="53"/>
        <v>269.9701103160408</v>
      </c>
      <c r="AE85" s="251">
        <f t="shared" si="56"/>
        <v>1271.1368384019081</v>
      </c>
      <c r="AF85" s="251">
        <f t="shared" si="54"/>
        <v>1548.7675509838998</v>
      </c>
      <c r="AG85" s="251">
        <f t="shared" si="54"/>
        <v>1139.6815483453488</v>
      </c>
    </row>
    <row r="86" spans="1:53">
      <c r="A86" s="240" t="s">
        <v>234</v>
      </c>
      <c r="B86" s="251">
        <f t="shared" si="55"/>
        <v>137.57741385052918</v>
      </c>
      <c r="C86" s="251">
        <f t="shared" si="55"/>
        <v>103.05705771989847</v>
      </c>
      <c r="D86" s="251">
        <f t="shared" si="53"/>
        <v>202.4433323520754</v>
      </c>
      <c r="E86" s="251">
        <f t="shared" si="53"/>
        <v>63.421025242038112</v>
      </c>
      <c r="F86" s="251">
        <f t="shared" si="53"/>
        <v>59.647817460317462</v>
      </c>
      <c r="G86" s="251">
        <f t="shared" si="53"/>
        <v>97.281739686600574</v>
      </c>
      <c r="H86" s="251">
        <f t="shared" si="53"/>
        <v>190.93243243243242</v>
      </c>
      <c r="I86" s="251">
        <f t="shared" si="53"/>
        <v>170.21256598511235</v>
      </c>
      <c r="J86" s="251">
        <f t="shared" si="53"/>
        <v>191.22945456199318</v>
      </c>
      <c r="K86" s="251">
        <f t="shared" si="53"/>
        <v>286.81739130434784</v>
      </c>
      <c r="L86" s="251">
        <f t="shared" si="53"/>
        <v>280.15909090909093</v>
      </c>
      <c r="M86" s="251">
        <f t="shared" si="53"/>
        <v>265.37549407114625</v>
      </c>
      <c r="N86" s="251">
        <f t="shared" si="53"/>
        <v>420.4909090909091</v>
      </c>
      <c r="O86" s="251">
        <f t="shared" si="53"/>
        <v>454.43580487804877</v>
      </c>
      <c r="P86" s="251">
        <f t="shared" si="53"/>
        <v>295.02841225626742</v>
      </c>
      <c r="Q86" s="251">
        <f t="shared" si="53"/>
        <v>564.0790573926264</v>
      </c>
      <c r="R86" s="251">
        <f t="shared" si="53"/>
        <v>617.52515090543261</v>
      </c>
      <c r="S86" s="251">
        <f t="shared" si="53"/>
        <v>643.80374812593709</v>
      </c>
      <c r="T86" s="251">
        <f t="shared" si="53"/>
        <v>738.57142857142856</v>
      </c>
      <c r="U86" s="251">
        <f t="shared" si="53"/>
        <v>574.20010995052223</v>
      </c>
      <c r="V86" s="251">
        <f t="shared" si="53"/>
        <v>903.02584576591721</v>
      </c>
      <c r="W86" s="251">
        <f t="shared" si="53"/>
        <v>697.67441860465112</v>
      </c>
      <c r="X86" s="251">
        <f t="shared" si="53"/>
        <v>895.25948103792416</v>
      </c>
      <c r="Y86" s="251">
        <f t="shared" si="53"/>
        <v>1045.9770114942528</v>
      </c>
      <c r="Z86" s="251">
        <f t="shared" si="53"/>
        <v>1046.4928970065955</v>
      </c>
      <c r="AA86" s="251">
        <f t="shared" si="53"/>
        <v>1227.7324204979132</v>
      </c>
      <c r="AB86" s="251">
        <f t="shared" si="53"/>
        <v>1707.352638760734</v>
      </c>
      <c r="AC86" s="251">
        <f t="shared" si="53"/>
        <v>922.53826314899379</v>
      </c>
      <c r="AD86" s="251">
        <f t="shared" si="53"/>
        <v>347.72359868813385</v>
      </c>
      <c r="AE86" s="251">
        <f t="shared" si="56"/>
        <v>1312.0926523553965</v>
      </c>
      <c r="AF86" s="251">
        <f t="shared" si="54"/>
        <v>1226.6652423944447</v>
      </c>
      <c r="AG86" s="251">
        <f t="shared" si="54"/>
        <v>1157.3158125297323</v>
      </c>
    </row>
    <row r="87" spans="1:53">
      <c r="A87" s="240" t="s">
        <v>46</v>
      </c>
      <c r="B87" s="251">
        <f t="shared" si="55"/>
        <v>110.50221538227115</v>
      </c>
      <c r="C87" s="251">
        <f t="shared" si="55"/>
        <v>82.764963396240276</v>
      </c>
      <c r="D87" s="251">
        <f t="shared" si="53"/>
        <v>192.96438033559028</v>
      </c>
      <c r="E87" s="251">
        <f t="shared" si="53"/>
        <v>38.723414450667498</v>
      </c>
      <c r="F87" s="251">
        <f t="shared" si="53"/>
        <v>41.914682539682545</v>
      </c>
      <c r="G87" s="251">
        <f t="shared" si="53"/>
        <v>58.369043811960346</v>
      </c>
      <c r="H87" s="251">
        <f t="shared" si="53"/>
        <v>161.35135135135135</v>
      </c>
      <c r="I87" s="251">
        <f t="shared" si="53"/>
        <v>136.69744804501525</v>
      </c>
      <c r="J87" s="251">
        <f t="shared" si="53"/>
        <v>153.57607870121089</v>
      </c>
      <c r="K87" s="251">
        <f t="shared" si="53"/>
        <v>287.30434782608694</v>
      </c>
      <c r="L87" s="251">
        <f t="shared" si="53"/>
        <v>302.35227272727275</v>
      </c>
      <c r="M87" s="251">
        <f t="shared" si="53"/>
        <v>235.49407114624503</v>
      </c>
      <c r="N87" s="251">
        <f t="shared" si="53"/>
        <v>430.65454545454543</v>
      </c>
      <c r="O87" s="251">
        <f t="shared" si="53"/>
        <v>491.08385365853655</v>
      </c>
      <c r="P87" s="251">
        <f t="shared" si="53"/>
        <v>262.66740947075209</v>
      </c>
      <c r="Q87" s="251">
        <f t="shared" si="53"/>
        <v>573.77194982896242</v>
      </c>
      <c r="R87" s="251">
        <f t="shared" si="53"/>
        <v>623.19919517102619</v>
      </c>
      <c r="S87" s="251">
        <f t="shared" si="53"/>
        <v>647.58665667166406</v>
      </c>
      <c r="T87" s="251">
        <f t="shared" si="53"/>
        <v>759.13983903420535</v>
      </c>
      <c r="U87" s="251">
        <f t="shared" si="53"/>
        <v>498.55415063221551</v>
      </c>
      <c r="V87" s="251">
        <f t="shared" si="53"/>
        <v>940.84891783988223</v>
      </c>
      <c r="W87" s="251">
        <f t="shared" si="53"/>
        <v>651.16279069767438</v>
      </c>
      <c r="X87" s="251">
        <f t="shared" si="53"/>
        <v>832.47504990019956</v>
      </c>
      <c r="Y87" s="251">
        <f t="shared" si="53"/>
        <v>1017.2206896551724</v>
      </c>
      <c r="Z87" s="251">
        <f t="shared" si="53"/>
        <v>1145.0510392477784</v>
      </c>
      <c r="AA87" s="251">
        <f t="shared" si="53"/>
        <v>1428.2345274746572</v>
      </c>
      <c r="AB87" s="251">
        <f t="shared" si="53"/>
        <v>1535.3179288859033</v>
      </c>
      <c r="AC87" s="251">
        <f t="shared" si="53"/>
        <v>708.94400050735669</v>
      </c>
      <c r="AD87" s="251">
        <f t="shared" si="53"/>
        <v>436.29801729278495</v>
      </c>
      <c r="AE87" s="251">
        <f t="shared" si="56"/>
        <v>1105.4345128205132</v>
      </c>
      <c r="AF87" s="251">
        <f t="shared" si="54"/>
        <v>1234.816562755296</v>
      </c>
      <c r="AG87" s="251">
        <f t="shared" si="54"/>
        <v>1189.1592595763263</v>
      </c>
    </row>
    <row r="88" spans="1:53">
      <c r="A88" s="240" t="s">
        <v>235</v>
      </c>
      <c r="B88" s="251">
        <f t="shared" si="55"/>
        <v>84.702205623789624</v>
      </c>
      <c r="C88" s="251">
        <f t="shared" si="55"/>
        <v>64.326969061545825</v>
      </c>
      <c r="D88" s="251">
        <f t="shared" si="53"/>
        <v>138.79894024138949</v>
      </c>
      <c r="E88" s="251">
        <f t="shared" si="53"/>
        <v>38.41850567546539</v>
      </c>
      <c r="F88" s="251">
        <f t="shared" si="53"/>
        <v>20.312500000000004</v>
      </c>
      <c r="G88" s="251">
        <f t="shared" si="53"/>
        <v>35.669971218420216</v>
      </c>
      <c r="H88" s="251">
        <f t="shared" si="53"/>
        <v>145.2162162162162</v>
      </c>
      <c r="I88" s="251">
        <f t="shared" si="53"/>
        <v>106.2446251451301</v>
      </c>
      <c r="J88" s="251">
        <f t="shared" si="53"/>
        <v>119.36311281755596</v>
      </c>
      <c r="K88" s="251">
        <f t="shared" si="53"/>
        <v>251.75652173913045</v>
      </c>
      <c r="L88" s="251">
        <f t="shared" si="53"/>
        <v>315</v>
      </c>
      <c r="M88" s="251">
        <f t="shared" si="53"/>
        <v>198.73517786561263</v>
      </c>
      <c r="N88" s="251">
        <f t="shared" si="53"/>
        <v>392.36363636363637</v>
      </c>
      <c r="O88" s="251">
        <f t="shared" si="53"/>
        <v>436.46643902439024</v>
      </c>
      <c r="P88" s="251">
        <f t="shared" si="53"/>
        <v>214.48022284122561</v>
      </c>
      <c r="Q88" s="251">
        <f t="shared" si="53"/>
        <v>519.16077537058152</v>
      </c>
      <c r="R88" s="251">
        <f t="shared" si="53"/>
        <v>613.74245472837026</v>
      </c>
      <c r="S88" s="251">
        <f t="shared" si="53"/>
        <v>506.43688155922035</v>
      </c>
      <c r="T88" s="251">
        <f t="shared" si="53"/>
        <v>733.6066398390343</v>
      </c>
      <c r="U88" s="251">
        <f t="shared" si="53"/>
        <v>388.63111599780098</v>
      </c>
      <c r="V88" s="251">
        <f t="shared" si="53"/>
        <v>903.02584576591721</v>
      </c>
      <c r="W88" s="251">
        <f t="shared" si="53"/>
        <v>581.39534883720933</v>
      </c>
      <c r="X88" s="251">
        <f t="shared" si="53"/>
        <v>734.8103792415169</v>
      </c>
      <c r="Y88" s="251">
        <f t="shared" si="53"/>
        <v>903.85057471264372</v>
      </c>
      <c r="Z88" s="251">
        <f t="shared" si="53"/>
        <v>1135.0410206447004</v>
      </c>
      <c r="AA88" s="251">
        <f t="shared" si="53"/>
        <v>1152.0629646839595</v>
      </c>
      <c r="AB88" s="251">
        <f t="shared" si="53"/>
        <v>1420.6019793628993</v>
      </c>
      <c r="AC88" s="251">
        <f t="shared" si="53"/>
        <v>589.65362337223064</v>
      </c>
      <c r="AD88" s="251">
        <f t="shared" si="53"/>
        <v>645.91662194394769</v>
      </c>
      <c r="AE88" s="251">
        <f t="shared" si="56"/>
        <v>1158.2089314251643</v>
      </c>
      <c r="AF88" s="251">
        <f t="shared" si="54"/>
        <v>1107.333096044714</v>
      </c>
      <c r="AG88" s="251">
        <f t="shared" si="54"/>
        <v>1079.4115893963603</v>
      </c>
    </row>
    <row r="89" spans="1:53">
      <c r="A89" s="240" t="s">
        <v>236</v>
      </c>
      <c r="B89" s="251">
        <f t="shared" si="55"/>
        <v>73.474086692283564</v>
      </c>
      <c r="C89" s="251">
        <f t="shared" si="55"/>
        <v>57.580105212816825</v>
      </c>
      <c r="D89" s="251">
        <f t="shared" si="53"/>
        <v>107.65381218722406</v>
      </c>
      <c r="E89" s="251">
        <f t="shared" si="53"/>
        <v>22.553602533650039</v>
      </c>
      <c r="F89" s="251">
        <f t="shared" si="53"/>
        <v>18.404494382022474</v>
      </c>
      <c r="G89" s="251">
        <f t="shared" si="53"/>
        <v>22.177268998433892</v>
      </c>
      <c r="H89" s="251">
        <f t="shared" si="53"/>
        <v>158.46283783783784</v>
      </c>
      <c r="I89" s="251">
        <f t="shared" si="53"/>
        <v>95.225232821063116</v>
      </c>
      <c r="J89" s="251">
        <f t="shared" si="53"/>
        <v>110.1253962507395</v>
      </c>
      <c r="K89" s="251">
        <f t="shared" si="53"/>
        <v>203.7913043478261</v>
      </c>
      <c r="L89" s="251">
        <f t="shared" si="53"/>
        <v>257.25</v>
      </c>
      <c r="M89" s="251">
        <f t="shared" si="53"/>
        <v>162.21343873517787</v>
      </c>
      <c r="N89" s="251">
        <f t="shared" si="53"/>
        <v>403.70909090909095</v>
      </c>
      <c r="O89" s="251">
        <f t="shared" si="53"/>
        <v>392.72521951219511</v>
      </c>
      <c r="P89" s="251">
        <f t="shared" ref="P89:AK90" si="57">P231/P$250</f>
        <v>270.69860724233979</v>
      </c>
      <c r="Q89" s="251">
        <f t="shared" si="57"/>
        <v>495.04675028506273</v>
      </c>
      <c r="R89" s="251">
        <f t="shared" si="57"/>
        <v>535.25150905432599</v>
      </c>
      <c r="S89" s="251">
        <f t="shared" si="57"/>
        <v>389.40314842578709</v>
      </c>
      <c r="T89" s="251">
        <f t="shared" si="57"/>
        <v>669.53722334004021</v>
      </c>
      <c r="U89" s="251">
        <f t="shared" si="57"/>
        <v>365.70093457943921</v>
      </c>
      <c r="V89" s="251">
        <f t="shared" si="57"/>
        <v>761.18932548854798</v>
      </c>
      <c r="W89" s="251">
        <f t="shared" si="57"/>
        <v>493.02325581395348</v>
      </c>
      <c r="X89" s="251">
        <f t="shared" si="57"/>
        <v>497.62475049900195</v>
      </c>
      <c r="Y89" s="251">
        <f t="shared" si="57"/>
        <v>775.66666666666674</v>
      </c>
      <c r="Z89" s="251">
        <f t="shared" si="57"/>
        <v>1055.9946076563699</v>
      </c>
      <c r="AA89" s="251">
        <f t="shared" si="57"/>
        <v>1354.7510437537269</v>
      </c>
      <c r="AB89" s="251">
        <f t="shared" si="57"/>
        <v>1431.2594528541038</v>
      </c>
      <c r="AC89" s="251">
        <f t="shared" si="57"/>
        <v>353.36221038389988</v>
      </c>
      <c r="AD89" s="251">
        <f t="shared" si="57"/>
        <v>641.81662194394778</v>
      </c>
      <c r="AE89" s="251">
        <f t="shared" si="56"/>
        <v>1221.5786988670245</v>
      </c>
      <c r="AF89" s="251">
        <f t="shared" si="54"/>
        <v>1136.0250274190844</v>
      </c>
      <c r="AG89" s="251">
        <f t="shared" si="54"/>
        <v>1136.1061420086403</v>
      </c>
    </row>
    <row r="90" spans="1:53">
      <c r="A90" s="240" t="s">
        <v>237</v>
      </c>
      <c r="B90" s="251">
        <f t="shared" si="55"/>
        <v>32.491749008025728</v>
      </c>
      <c r="C90" s="251">
        <f t="shared" si="55"/>
        <v>25.596880403193175</v>
      </c>
      <c r="D90" s="251">
        <f t="shared" si="55"/>
        <v>26.744186046511636</v>
      </c>
      <c r="E90" s="251">
        <f t="shared" si="55"/>
        <v>25.412509897070464</v>
      </c>
      <c r="F90" s="251">
        <f t="shared" si="55"/>
        <v>17.541783707865168</v>
      </c>
      <c r="G90" s="251">
        <f t="shared" si="55"/>
        <v>10.940786039227387</v>
      </c>
      <c r="H90" s="251">
        <f t="shared" si="55"/>
        <v>64.459459459459453</v>
      </c>
      <c r="I90" s="251">
        <f t="shared" si="55"/>
        <v>42.331789545678326</v>
      </c>
      <c r="J90" s="251">
        <f t="shared" si="55"/>
        <v>48.955565238477234</v>
      </c>
      <c r="K90" s="251">
        <f t="shared" si="55"/>
        <v>66.469565217391306</v>
      </c>
      <c r="L90" s="251">
        <f t="shared" si="55"/>
        <v>143.18181818181819</v>
      </c>
      <c r="M90" s="251">
        <f t="shared" si="55"/>
        <v>123.3201581027668</v>
      </c>
      <c r="N90" s="251">
        <f t="shared" si="55"/>
        <v>268.5090909090909</v>
      </c>
      <c r="O90" s="251">
        <f t="shared" si="55"/>
        <v>251.33468292682926</v>
      </c>
      <c r="P90" s="251">
        <f t="shared" si="55"/>
        <v>181.88300835654596</v>
      </c>
      <c r="Q90" s="251">
        <f t="shared" si="55"/>
        <v>341.3789433675409</v>
      </c>
      <c r="R90" s="251">
        <f t="shared" si="57"/>
        <v>228.14386317907446</v>
      </c>
      <c r="S90" s="251">
        <f t="shared" si="57"/>
        <v>168.57586206896551</v>
      </c>
      <c r="T90" s="251">
        <f t="shared" si="57"/>
        <v>267.15291750503019</v>
      </c>
      <c r="U90" s="251">
        <f t="shared" si="57"/>
        <v>163.11159978009894</v>
      </c>
      <c r="V90" s="251">
        <f t="shared" si="57"/>
        <v>420.78167682286193</v>
      </c>
      <c r="W90" s="251">
        <f t="shared" si="57"/>
        <v>140.46511627906978</v>
      </c>
      <c r="X90" s="251">
        <f t="shared" si="57"/>
        <v>165.79740518962075</v>
      </c>
      <c r="Y90" s="251">
        <f t="shared" si="57"/>
        <v>327.12183908045978</v>
      </c>
      <c r="Z90" s="251">
        <f t="shared" si="57"/>
        <v>946.54456347405937</v>
      </c>
      <c r="AA90" s="251">
        <f t="shared" si="57"/>
        <v>785.56612282349454</v>
      </c>
      <c r="AB90" s="251">
        <f t="shared" si="57"/>
        <v>845.73430726885329</v>
      </c>
      <c r="AC90" s="251">
        <f t="shared" si="57"/>
        <v>172.93421275156433</v>
      </c>
      <c r="AD90" s="251">
        <f t="shared" si="57"/>
        <v>846.04220333929663</v>
      </c>
      <c r="AE90" s="251">
        <f t="shared" si="56"/>
        <v>1214.0180639833036</v>
      </c>
      <c r="AF90" s="251">
        <f t="shared" si="54"/>
        <v>847.76738605483911</v>
      </c>
      <c r="AG90" s="251">
        <f t="shared" si="54"/>
        <v>878.06379564839517</v>
      </c>
    </row>
    <row r="91" spans="1:53" ht="15.75" thickBot="1">
      <c r="A91" s="240" t="s">
        <v>242</v>
      </c>
      <c r="B91" s="146">
        <f>SUM(B79:B90)</f>
        <v>1936.4137399724195</v>
      </c>
      <c r="C91" s="146">
        <f t="shared" ref="C91:AG91" si="58">SUM(C79:C90)</f>
        <v>1426.450289311568</v>
      </c>
      <c r="D91" s="146">
        <f t="shared" si="58"/>
        <v>2302.1387070359733</v>
      </c>
      <c r="E91" s="146">
        <f t="shared" si="58"/>
        <v>1071.9005257072108</v>
      </c>
      <c r="F91" s="146">
        <f t="shared" si="58"/>
        <v>1160.6520777731814</v>
      </c>
      <c r="G91" s="146">
        <f t="shared" si="58"/>
        <v>1374.6965410987168</v>
      </c>
      <c r="H91" s="146">
        <f t="shared" si="58"/>
        <v>2141.9268837690702</v>
      </c>
      <c r="I91" s="146">
        <f t="shared" si="58"/>
        <v>2358.6914261003722</v>
      </c>
      <c r="J91" s="146">
        <f t="shared" si="58"/>
        <v>2127.1943360664236</v>
      </c>
      <c r="K91" s="146">
        <f t="shared" si="58"/>
        <v>3123.6766859341028</v>
      </c>
      <c r="L91" s="146">
        <f t="shared" si="58"/>
        <v>3267.4464426877466</v>
      </c>
      <c r="M91" s="146">
        <f t="shared" si="58"/>
        <v>2665.569664031621</v>
      </c>
      <c r="N91" s="146">
        <f t="shared" si="58"/>
        <v>4452.7201581027675</v>
      </c>
      <c r="O91" s="146">
        <f t="shared" si="58"/>
        <v>4835.1347006651886</v>
      </c>
      <c r="P91" s="146">
        <f t="shared" si="58"/>
        <v>4163.0074681703927</v>
      </c>
      <c r="Q91" s="146">
        <f t="shared" si="58"/>
        <v>5905.1300942586195</v>
      </c>
      <c r="R91" s="146">
        <f t="shared" si="58"/>
        <v>6741.7011349740396</v>
      </c>
      <c r="S91" s="146">
        <f t="shared" si="58"/>
        <v>6980.6262332616398</v>
      </c>
      <c r="T91" s="146">
        <f t="shared" si="58"/>
        <v>8476.3437503582227</v>
      </c>
      <c r="U91" s="146">
        <f t="shared" si="58"/>
        <v>7356.4007464246733</v>
      </c>
      <c r="V91" s="146">
        <f t="shared" si="58"/>
        <v>10010.819899011403</v>
      </c>
      <c r="W91" s="146">
        <f t="shared" si="58"/>
        <v>8281.8989723266077</v>
      </c>
      <c r="X91" s="146">
        <f t="shared" si="58"/>
        <v>8869.6497005988003</v>
      </c>
      <c r="Y91" s="146">
        <f t="shared" si="58"/>
        <v>12011.470755041641</v>
      </c>
      <c r="Z91" s="146">
        <f t="shared" si="58"/>
        <v>12928.464017417002</v>
      </c>
      <c r="AA91" s="146">
        <f t="shared" si="58"/>
        <v>15375.085731965766</v>
      </c>
      <c r="AB91" s="146">
        <f t="shared" si="58"/>
        <v>16092.144189631066</v>
      </c>
      <c r="AC91" s="146">
        <f t="shared" si="58"/>
        <v>12299.959142968366</v>
      </c>
      <c r="AD91" s="146">
        <f t="shared" si="58"/>
        <v>9777.8425586251124</v>
      </c>
      <c r="AE91" s="146">
        <f t="shared" si="58"/>
        <v>13716.53401806798</v>
      </c>
      <c r="AF91" s="146">
        <f t="shared" si="58"/>
        <v>13859.524581692825</v>
      </c>
      <c r="AG91" s="146">
        <f t="shared" si="58"/>
        <v>15561.168636727394</v>
      </c>
    </row>
    <row r="92" spans="1:53">
      <c r="A92" s="248"/>
      <c r="B92" s="254">
        <f t="shared" ref="B92:AE92" si="59">SUM(B79:B90)-B12</f>
        <v>0</v>
      </c>
      <c r="C92" s="254">
        <f t="shared" si="59"/>
        <v>0</v>
      </c>
      <c r="D92" s="254">
        <f t="shared" si="59"/>
        <v>0</v>
      </c>
      <c r="E92" s="254">
        <f t="shared" si="59"/>
        <v>0</v>
      </c>
      <c r="F92" s="254">
        <f t="shared" si="59"/>
        <v>0</v>
      </c>
      <c r="G92" s="254">
        <f t="shared" si="59"/>
        <v>0</v>
      </c>
      <c r="H92" s="254">
        <f t="shared" si="59"/>
        <v>0</v>
      </c>
      <c r="I92" s="254">
        <f t="shared" si="59"/>
        <v>0</v>
      </c>
      <c r="J92" s="254">
        <f t="shared" si="59"/>
        <v>0</v>
      </c>
      <c r="K92" s="254">
        <f t="shared" si="59"/>
        <v>0</v>
      </c>
      <c r="L92" s="254">
        <f t="shared" si="59"/>
        <v>0</v>
      </c>
      <c r="M92" s="254">
        <f t="shared" si="59"/>
        <v>0</v>
      </c>
      <c r="N92" s="254">
        <f t="shared" si="59"/>
        <v>0</v>
      </c>
      <c r="O92" s="254">
        <f t="shared" si="59"/>
        <v>0</v>
      </c>
      <c r="P92" s="254">
        <f t="shared" si="59"/>
        <v>0</v>
      </c>
      <c r="Q92" s="254">
        <f t="shared" si="59"/>
        <v>0</v>
      </c>
      <c r="R92" s="254">
        <f t="shared" si="59"/>
        <v>0</v>
      </c>
      <c r="S92" s="254">
        <f t="shared" si="59"/>
        <v>0</v>
      </c>
      <c r="T92" s="254">
        <f t="shared" si="59"/>
        <v>0</v>
      </c>
      <c r="U92" s="254">
        <f t="shared" si="59"/>
        <v>0</v>
      </c>
      <c r="V92" s="254">
        <f t="shared" si="59"/>
        <v>0</v>
      </c>
      <c r="W92" s="254">
        <f t="shared" si="59"/>
        <v>0</v>
      </c>
      <c r="X92" s="254">
        <f t="shared" si="59"/>
        <v>0</v>
      </c>
      <c r="Y92" s="254">
        <f t="shared" si="59"/>
        <v>0</v>
      </c>
      <c r="Z92" s="254">
        <f t="shared" si="59"/>
        <v>0</v>
      </c>
      <c r="AA92" s="254">
        <f t="shared" si="59"/>
        <v>0</v>
      </c>
      <c r="AB92" s="254">
        <f t="shared" si="59"/>
        <v>0</v>
      </c>
      <c r="AC92" s="254">
        <f t="shared" si="59"/>
        <v>0</v>
      </c>
      <c r="AD92" s="254">
        <f t="shared" si="59"/>
        <v>0</v>
      </c>
      <c r="AE92" s="254">
        <f t="shared" si="59"/>
        <v>0</v>
      </c>
      <c r="AF92" s="254">
        <f t="shared" ref="AF92:AG92" si="60">SUM(AF79:AF90)-AF12</f>
        <v>0</v>
      </c>
      <c r="AG92" s="254">
        <f t="shared" si="60"/>
        <v>0</v>
      </c>
    </row>
    <row r="93" spans="1:53" ht="15.75" thickBot="1">
      <c r="A93" s="235" t="s">
        <v>252</v>
      </c>
      <c r="AT93" t="s">
        <v>344</v>
      </c>
    </row>
    <row r="94" spans="1:53" ht="15.75" thickBot="1">
      <c r="A94" s="236"/>
      <c r="B94" s="237" t="str">
        <f>B$2</f>
        <v xml:space="preserve">93/94 </v>
      </c>
      <c r="C94" s="237" t="str">
        <f t="shared" ref="C94:AG94" si="61">C$2</f>
        <v xml:space="preserve">94/95 </v>
      </c>
      <c r="D94" s="237" t="str">
        <f t="shared" si="61"/>
        <v xml:space="preserve">95/96 </v>
      </c>
      <c r="E94" s="237" t="str">
        <f t="shared" si="61"/>
        <v xml:space="preserve">96/97 </v>
      </c>
      <c r="F94" s="237" t="str">
        <f t="shared" si="61"/>
        <v xml:space="preserve">97/98 </v>
      </c>
      <c r="G94" s="237" t="str">
        <f t="shared" si="61"/>
        <v xml:space="preserve">98/99 </v>
      </c>
      <c r="H94" s="237" t="str">
        <f t="shared" si="61"/>
        <v xml:space="preserve">99/00 </v>
      </c>
      <c r="I94" s="237" t="str">
        <f t="shared" si="61"/>
        <v xml:space="preserve">00/01 </v>
      </c>
      <c r="J94" s="237" t="str">
        <f t="shared" si="61"/>
        <v xml:space="preserve">01/02 </v>
      </c>
      <c r="K94" s="237" t="str">
        <f t="shared" si="61"/>
        <v xml:space="preserve">02/03 </v>
      </c>
      <c r="L94" s="237" t="str">
        <f t="shared" si="61"/>
        <v xml:space="preserve">03/04 </v>
      </c>
      <c r="M94" s="237" t="str">
        <f t="shared" si="61"/>
        <v xml:space="preserve">04/05 </v>
      </c>
      <c r="N94" s="237" t="str">
        <f t="shared" si="61"/>
        <v xml:space="preserve">05/06 </v>
      </c>
      <c r="O94" s="237" t="str">
        <f t="shared" si="61"/>
        <v xml:space="preserve">06/07 </v>
      </c>
      <c r="P94" s="237" t="str">
        <f t="shared" si="61"/>
        <v xml:space="preserve">07/08 </v>
      </c>
      <c r="Q94" s="237" t="str">
        <f t="shared" si="61"/>
        <v xml:space="preserve">08/09 </v>
      </c>
      <c r="R94" s="237" t="str">
        <f t="shared" si="61"/>
        <v xml:space="preserve">09/10 </v>
      </c>
      <c r="S94" s="237" t="str">
        <f t="shared" si="61"/>
        <v xml:space="preserve">10/11 </v>
      </c>
      <c r="T94" s="237" t="str">
        <f t="shared" si="61"/>
        <v xml:space="preserve">11/12 </v>
      </c>
      <c r="U94" s="237" t="str">
        <f t="shared" si="61"/>
        <v xml:space="preserve">12/13 </v>
      </c>
      <c r="V94" s="237" t="str">
        <f t="shared" si="61"/>
        <v xml:space="preserve">13/14 </v>
      </c>
      <c r="W94" s="237" t="str">
        <f t="shared" si="61"/>
        <v xml:space="preserve">14/15 </v>
      </c>
      <c r="X94" s="237" t="str">
        <f t="shared" si="61"/>
        <v xml:space="preserve">15/16 </v>
      </c>
      <c r="Y94" s="237" t="str">
        <f t="shared" si="61"/>
        <v xml:space="preserve">16/17 </v>
      </c>
      <c r="Z94" s="237" t="str">
        <f t="shared" si="61"/>
        <v xml:space="preserve">17/18 </v>
      </c>
      <c r="AA94" s="237" t="str">
        <f t="shared" si="61"/>
        <v xml:space="preserve">18/19 </v>
      </c>
      <c r="AB94" s="237" t="str">
        <f t="shared" si="61"/>
        <v xml:space="preserve">19/20 </v>
      </c>
      <c r="AC94" s="237" t="str">
        <f t="shared" si="61"/>
        <v xml:space="preserve">20/21 </v>
      </c>
      <c r="AD94" s="237" t="str">
        <f t="shared" si="61"/>
        <v>21/22</v>
      </c>
      <c r="AE94" s="237" t="str">
        <f t="shared" si="61"/>
        <v>22/23</v>
      </c>
      <c r="AF94" s="237" t="str">
        <f t="shared" si="61"/>
        <v>23/24</v>
      </c>
      <c r="AG94" s="237" t="str">
        <f t="shared" si="61"/>
        <v>24/25</v>
      </c>
      <c r="AT94">
        <v>2017</v>
      </c>
      <c r="AU94">
        <v>2018</v>
      </c>
      <c r="AV94">
        <v>2019</v>
      </c>
      <c r="AW94">
        <v>2020</v>
      </c>
      <c r="AX94">
        <v>2021</v>
      </c>
      <c r="AY94">
        <v>2022</v>
      </c>
      <c r="AZ94">
        <v>2023</v>
      </c>
      <c r="BA94">
        <v>2024</v>
      </c>
    </row>
    <row r="95" spans="1:53">
      <c r="A95" s="240" t="s">
        <v>239</v>
      </c>
      <c r="B95" s="290">
        <f t="shared" ref="B95:AC104" si="62">B$123*B79</f>
        <v>101.25014019372412</v>
      </c>
      <c r="C95" s="290">
        <f t="shared" si="62"/>
        <v>49.351406604956793</v>
      </c>
      <c r="D95" s="290">
        <f t="shared" si="62"/>
        <v>36.874869043791755</v>
      </c>
      <c r="E95" s="290">
        <f t="shared" si="62"/>
        <v>42.527700971269304</v>
      </c>
      <c r="F95" s="290">
        <f t="shared" si="62"/>
        <v>19.071018187407738</v>
      </c>
      <c r="G95" s="290">
        <f t="shared" si="62"/>
        <v>47.046488764044945</v>
      </c>
      <c r="H95" s="290">
        <f t="shared" si="62"/>
        <v>47.156618333812766</v>
      </c>
      <c r="I95" s="290">
        <f t="shared" si="62"/>
        <v>71.179750028998953</v>
      </c>
      <c r="J95" s="290">
        <f t="shared" si="62"/>
        <v>64.83640005670604</v>
      </c>
      <c r="K95" s="290">
        <f t="shared" si="62"/>
        <v>76.138638865792075</v>
      </c>
      <c r="L95" s="290">
        <f t="shared" si="62"/>
        <v>75.060869565217388</v>
      </c>
      <c r="M95" s="290">
        <f t="shared" si="62"/>
        <v>44.84375</v>
      </c>
      <c r="N95" s="290">
        <f t="shared" si="62"/>
        <v>71.237979411892439</v>
      </c>
      <c r="O95" s="290">
        <f t="shared" si="62"/>
        <v>56.78067033028865</v>
      </c>
      <c r="P95" s="290">
        <f t="shared" si="62"/>
        <v>107.91913531983433</v>
      </c>
      <c r="Q95" s="290">
        <f t="shared" si="62"/>
        <v>101.30519753871508</v>
      </c>
      <c r="R95" s="290">
        <f t="shared" si="62"/>
        <v>138.74829762973388</v>
      </c>
      <c r="S95" s="290">
        <f t="shared" si="62"/>
        <v>165.23546095852222</v>
      </c>
      <c r="T95" s="290">
        <f t="shared" si="62"/>
        <v>229.92186130339087</v>
      </c>
      <c r="U95" s="290">
        <f t="shared" si="62"/>
        <v>268.4180314444809</v>
      </c>
      <c r="V95" s="290">
        <f t="shared" si="62"/>
        <v>287.70179756887177</v>
      </c>
      <c r="W95" s="290">
        <f t="shared" si="62"/>
        <v>285.08865165032222</v>
      </c>
      <c r="X95" s="290">
        <f t="shared" si="62"/>
        <v>289.07296137339057</v>
      </c>
      <c r="Y95" s="290">
        <f t="shared" si="62"/>
        <v>384.16044623082604</v>
      </c>
      <c r="Z95" s="290">
        <f t="shared" si="62"/>
        <v>393.70222344827584</v>
      </c>
      <c r="AA95" s="252">
        <f t="shared" si="62"/>
        <v>447.84232675799262</v>
      </c>
      <c r="AB95" s="252">
        <f t="shared" si="62"/>
        <v>200.17346881232712</v>
      </c>
      <c r="AC95" s="252">
        <f t="shared" si="62"/>
        <v>347.84599101005966</v>
      </c>
      <c r="AD95" s="252">
        <f>AD$123*AD79</f>
        <v>35.100804254279645</v>
      </c>
      <c r="AE95" s="252">
        <f>AE$123*AE79</f>
        <v>457.25497559630293</v>
      </c>
      <c r="AF95" s="252">
        <f>AF$123*AF79</f>
        <v>574.31696612819712</v>
      </c>
      <c r="AG95" s="252">
        <f>AG$123*AG79</f>
        <v>912.54089370824306</v>
      </c>
      <c r="AS95" s="240" t="s">
        <v>231</v>
      </c>
      <c r="AT95" s="264"/>
      <c r="AU95" s="264"/>
      <c r="AX95">
        <f>486.0258-17.8587</f>
        <v>468.1671</v>
      </c>
    </row>
    <row r="96" spans="1:53">
      <c r="A96" s="240" t="s">
        <v>240</v>
      </c>
      <c r="B96" s="290">
        <f t="shared" si="62"/>
        <v>115.91659583178696</v>
      </c>
      <c r="C96" s="290">
        <f t="shared" si="62"/>
        <v>83.166685060515761</v>
      </c>
      <c r="D96" s="290">
        <f t="shared" si="62"/>
        <v>110.6307035619665</v>
      </c>
      <c r="E96" s="290">
        <f t="shared" si="62"/>
        <v>78.018697291289826</v>
      </c>
      <c r="F96" s="290">
        <f t="shared" si="62"/>
        <v>89.908642419314504</v>
      </c>
      <c r="G96" s="290">
        <f t="shared" si="62"/>
        <v>97.891832981404534</v>
      </c>
      <c r="H96" s="290">
        <f t="shared" si="62"/>
        <v>106.42072628972191</v>
      </c>
      <c r="I96" s="290">
        <f t="shared" si="62"/>
        <v>127.13283722140487</v>
      </c>
      <c r="J96" s="290">
        <f t="shared" si="62"/>
        <v>106.20008873742978</v>
      </c>
      <c r="K96" s="290">
        <f t="shared" si="62"/>
        <v>138.18411271501424</v>
      </c>
      <c r="L96" s="290">
        <f t="shared" si="62"/>
        <v>128.22727272727272</v>
      </c>
      <c r="M96" s="290">
        <f t="shared" si="62"/>
        <v>112.74703557312253</v>
      </c>
      <c r="N96" s="290">
        <f t="shared" si="62"/>
        <v>153.62285714285713</v>
      </c>
      <c r="O96" s="290">
        <f t="shared" si="62"/>
        <v>182.84268292682927</v>
      </c>
      <c r="P96" s="290">
        <f t="shared" si="62"/>
        <v>192.66824512534816</v>
      </c>
      <c r="Q96" s="290">
        <f t="shared" si="62"/>
        <v>198.13759026985937</v>
      </c>
      <c r="R96" s="290">
        <f t="shared" si="62"/>
        <v>271.17934272300471</v>
      </c>
      <c r="S96" s="290">
        <f t="shared" si="62"/>
        <v>289.37595202398802</v>
      </c>
      <c r="T96" s="290">
        <f t="shared" si="62"/>
        <v>334.58375251509057</v>
      </c>
      <c r="U96" s="290">
        <f t="shared" si="62"/>
        <v>352.48391973611876</v>
      </c>
      <c r="V96" s="290">
        <f t="shared" si="62"/>
        <v>385.62092876654759</v>
      </c>
      <c r="W96" s="290">
        <f t="shared" si="62"/>
        <v>372.66922555881689</v>
      </c>
      <c r="X96" s="290">
        <f t="shared" si="62"/>
        <v>377.38982035928143</v>
      </c>
      <c r="Y96" s="290">
        <f t="shared" si="62"/>
        <v>489.91969768540389</v>
      </c>
      <c r="Z96" s="290">
        <f t="shared" si="62"/>
        <v>537.52075951293762</v>
      </c>
      <c r="AA96" s="252">
        <f t="shared" si="62"/>
        <v>565.84513719882682</v>
      </c>
      <c r="AB96" s="252">
        <f t="shared" si="62"/>
        <v>527.77416078726867</v>
      </c>
      <c r="AC96" s="252">
        <f t="shared" si="62"/>
        <v>646.19511948376453</v>
      </c>
      <c r="AD96" s="252">
        <f t="shared" ref="AD96:AG106" si="63">AD$123*AD80</f>
        <v>428.46628086419759</v>
      </c>
      <c r="AE96" s="252">
        <f t="shared" si="63"/>
        <v>459.78491533333346</v>
      </c>
      <c r="AF96" s="252">
        <f t="shared" si="63"/>
        <v>477.97437388561934</v>
      </c>
      <c r="AG96" s="252">
        <f t="shared" si="63"/>
        <v>514.78777106614905</v>
      </c>
      <c r="AS96" s="240" t="s">
        <v>232</v>
      </c>
      <c r="AT96" s="264"/>
      <c r="AU96" s="264"/>
      <c r="AX96">
        <f>448.2302-17.8587</f>
        <v>430.37150000000003</v>
      </c>
    </row>
    <row r="97" spans="1:53">
      <c r="A97" s="240" t="s">
        <v>241</v>
      </c>
      <c r="B97" s="290">
        <f t="shared" si="62"/>
        <v>111.10646259456905</v>
      </c>
      <c r="C97" s="290">
        <f t="shared" si="62"/>
        <v>79.870507302358092</v>
      </c>
      <c r="D97" s="290">
        <f t="shared" si="62"/>
        <v>106.63821018545778</v>
      </c>
      <c r="E97" s="290">
        <f t="shared" si="62"/>
        <v>82.961058205670199</v>
      </c>
      <c r="F97" s="290">
        <f t="shared" si="62"/>
        <v>95.789459281961499</v>
      </c>
      <c r="G97" s="290">
        <f t="shared" si="62"/>
        <v>84.602275049383536</v>
      </c>
      <c r="H97" s="290">
        <f t="shared" si="62"/>
        <v>93.222178113007814</v>
      </c>
      <c r="I97" s="290">
        <f t="shared" si="62"/>
        <v>122.0941317580844</v>
      </c>
      <c r="J97" s="290">
        <f t="shared" si="62"/>
        <v>101.9910190822431</v>
      </c>
      <c r="K97" s="290">
        <f t="shared" si="62"/>
        <v>132.70740772754775</v>
      </c>
      <c r="L97" s="290">
        <f t="shared" si="62"/>
        <v>125.3712121212121</v>
      </c>
      <c r="M97" s="290">
        <f t="shared" si="62"/>
        <v>114.03162055335969</v>
      </c>
      <c r="N97" s="290">
        <f t="shared" si="62"/>
        <v>158.89662337662335</v>
      </c>
      <c r="O97" s="290">
        <f t="shared" si="62"/>
        <v>180.96585365853659</v>
      </c>
      <c r="P97" s="290">
        <f t="shared" si="62"/>
        <v>185.07977715877439</v>
      </c>
      <c r="Q97" s="290">
        <f t="shared" si="62"/>
        <v>208.61269479285443</v>
      </c>
      <c r="R97" s="290">
        <f t="shared" si="62"/>
        <v>266.53450704225355</v>
      </c>
      <c r="S97" s="290">
        <f t="shared" si="62"/>
        <v>293.32917541229386</v>
      </c>
      <c r="T97" s="290">
        <f t="shared" si="62"/>
        <v>339.62474849094576</v>
      </c>
      <c r="U97" s="290">
        <f t="shared" si="62"/>
        <v>330.05222649807587</v>
      </c>
      <c r="V97" s="290">
        <f t="shared" si="62"/>
        <v>370.58659382223158</v>
      </c>
      <c r="W97" s="290">
        <f t="shared" si="62"/>
        <v>381.3136148114699</v>
      </c>
      <c r="X97" s="290">
        <f t="shared" si="62"/>
        <v>345.70059880239518</v>
      </c>
      <c r="Y97" s="290">
        <f t="shared" si="62"/>
        <v>502.262635805385</v>
      </c>
      <c r="Z97" s="290">
        <f t="shared" si="62"/>
        <v>520.95917047184162</v>
      </c>
      <c r="AA97" s="252">
        <f t="shared" si="62"/>
        <v>579.2856866498737</v>
      </c>
      <c r="AB97" s="252">
        <f t="shared" si="62"/>
        <v>592.78806202433543</v>
      </c>
      <c r="AC97" s="252">
        <f t="shared" si="62"/>
        <v>874.97640908111873</v>
      </c>
      <c r="AD97" s="252">
        <f t="shared" si="63"/>
        <v>611.84222600432895</v>
      </c>
      <c r="AE97" s="252">
        <f t="shared" si="63"/>
        <v>485.28925379487191</v>
      </c>
      <c r="AF97" s="252">
        <f t="shared" si="63"/>
        <v>568.87220857221962</v>
      </c>
      <c r="AG97" s="252">
        <f t="shared" si="63"/>
        <v>622.99396613909403</v>
      </c>
      <c r="AS97" s="240" t="s">
        <v>233</v>
      </c>
      <c r="AT97" s="264"/>
      <c r="AU97" s="264"/>
      <c r="AX97">
        <f>495.4739-17.8587</f>
        <v>477.61520000000002</v>
      </c>
    </row>
    <row r="98" spans="1:53">
      <c r="A98" s="240" t="s">
        <v>231</v>
      </c>
      <c r="B98" s="290">
        <f t="shared" si="62"/>
        <v>105.56903751405731</v>
      </c>
      <c r="C98" s="290">
        <f t="shared" si="62"/>
        <v>75.297060662914319</v>
      </c>
      <c r="D98" s="290">
        <f t="shared" si="62"/>
        <v>116.03988813659113</v>
      </c>
      <c r="E98" s="290">
        <f t="shared" si="62"/>
        <v>69.899104360522102</v>
      </c>
      <c r="F98" s="290">
        <f t="shared" si="62"/>
        <v>72.605469727295485</v>
      </c>
      <c r="G98" s="290">
        <f t="shared" si="62"/>
        <v>80.449288195626991</v>
      </c>
      <c r="H98" s="290">
        <f t="shared" si="62"/>
        <v>99.880905121079792</v>
      </c>
      <c r="I98" s="290">
        <f t="shared" si="62"/>
        <v>115.10292792772724</v>
      </c>
      <c r="J98" s="290">
        <f t="shared" si="62"/>
        <v>96.150934935671515</v>
      </c>
      <c r="K98" s="290">
        <f t="shared" si="62"/>
        <v>125.10847955743797</v>
      </c>
      <c r="L98" s="290">
        <f t="shared" si="62"/>
        <v>131.67424242424241</v>
      </c>
      <c r="M98" s="290">
        <f t="shared" si="62"/>
        <v>109.58498023715414</v>
      </c>
      <c r="N98" s="290">
        <f t="shared" si="62"/>
        <v>163.97506493506492</v>
      </c>
      <c r="O98" s="290">
        <f t="shared" si="62"/>
        <v>187.6829268292683</v>
      </c>
      <c r="P98" s="290">
        <f t="shared" si="62"/>
        <v>196.51175487465181</v>
      </c>
      <c r="Q98" s="290">
        <f t="shared" si="62"/>
        <v>229.9581908019764</v>
      </c>
      <c r="R98" s="290">
        <f t="shared" si="62"/>
        <v>278.9866197183099</v>
      </c>
      <c r="S98" s="290">
        <f t="shared" si="62"/>
        <v>300.44497751124442</v>
      </c>
      <c r="T98" s="290">
        <f t="shared" si="62"/>
        <v>363.14939637826967</v>
      </c>
      <c r="U98" s="290">
        <f t="shared" si="62"/>
        <v>341.02102803738319</v>
      </c>
      <c r="V98" s="290">
        <f t="shared" si="62"/>
        <v>386.10905652447991</v>
      </c>
      <c r="W98" s="290">
        <f t="shared" si="62"/>
        <v>364.98532400090318</v>
      </c>
      <c r="X98" s="290">
        <f t="shared" si="62"/>
        <v>348.58143712574849</v>
      </c>
      <c r="Y98" s="290">
        <f t="shared" si="62"/>
        <v>528.84742560226732</v>
      </c>
      <c r="Z98" s="290">
        <f t="shared" si="62"/>
        <v>457.87741856925425</v>
      </c>
      <c r="AA98" s="252">
        <f t="shared" si="62"/>
        <v>596.45904383906293</v>
      </c>
      <c r="AB98" s="252">
        <f t="shared" si="62"/>
        <v>554.44318706493084</v>
      </c>
      <c r="AC98" s="251">
        <f>AX95</f>
        <v>468.1671</v>
      </c>
      <c r="AD98" s="252">
        <f t="shared" si="63"/>
        <v>660.93679964773958</v>
      </c>
      <c r="AE98" s="252">
        <f t="shared" si="63"/>
        <v>443.90281193440677</v>
      </c>
      <c r="AF98" s="252">
        <f t="shared" si="63"/>
        <v>334.22530592453722</v>
      </c>
      <c r="AG98" s="252">
        <f t="shared" si="63"/>
        <v>588.30560649932636</v>
      </c>
      <c r="AS98" s="240" t="s">
        <v>234</v>
      </c>
      <c r="AT98" s="264"/>
      <c r="AU98" s="264"/>
      <c r="AX98">
        <f>409.9118-17.8587</f>
        <v>392.05310000000003</v>
      </c>
    </row>
    <row r="99" spans="1:53">
      <c r="A99" s="240" t="s">
        <v>232</v>
      </c>
      <c r="B99" s="290">
        <f t="shared" si="62"/>
        <v>77.083647760510416</v>
      </c>
      <c r="C99" s="290">
        <f t="shared" si="62"/>
        <v>54.283927454659164</v>
      </c>
      <c r="D99" s="290">
        <f t="shared" si="62"/>
        <v>89.766705916985615</v>
      </c>
      <c r="E99" s="290">
        <f t="shared" si="62"/>
        <v>40.643437284499271</v>
      </c>
      <c r="F99" s="290">
        <f t="shared" si="62"/>
        <v>56.643476277372272</v>
      </c>
      <c r="G99" s="290">
        <f t="shared" si="62"/>
        <v>57.511726773346076</v>
      </c>
      <c r="H99" s="290">
        <f t="shared" si="62"/>
        <v>74.807395453269706</v>
      </c>
      <c r="I99" s="290">
        <f t="shared" si="62"/>
        <v>109.48297407060295</v>
      </c>
      <c r="J99" s="290">
        <f t="shared" si="62"/>
        <v>86.79018210609658</v>
      </c>
      <c r="K99" s="290">
        <f t="shared" si="62"/>
        <v>124.90000000000002</v>
      </c>
      <c r="L99" s="290">
        <f t="shared" si="62"/>
        <v>121.0378787878788</v>
      </c>
      <c r="M99" s="290">
        <f t="shared" si="62"/>
        <v>111.36363636363636</v>
      </c>
      <c r="N99" s="290">
        <f t="shared" si="62"/>
        <v>165.63532467532465</v>
      </c>
      <c r="O99" s="290">
        <f t="shared" si="62"/>
        <v>198.94390243902441</v>
      </c>
      <c r="P99" s="290">
        <f t="shared" si="62"/>
        <v>208.53504178272979</v>
      </c>
      <c r="Q99" s="290">
        <f t="shared" si="62"/>
        <v>234.20752565564425</v>
      </c>
      <c r="R99" s="290">
        <f t="shared" si="62"/>
        <v>266.13920187793428</v>
      </c>
      <c r="S99" s="290">
        <f t="shared" si="62"/>
        <v>307.16545727136435</v>
      </c>
      <c r="T99" s="290">
        <f t="shared" si="62"/>
        <v>332.70573440643869</v>
      </c>
      <c r="U99" s="290">
        <f t="shared" si="62"/>
        <v>337.46357888949973</v>
      </c>
      <c r="V99" s="290">
        <f t="shared" si="62"/>
        <v>353.40449674301323</v>
      </c>
      <c r="W99" s="290">
        <f t="shared" si="62"/>
        <v>319.84240234815985</v>
      </c>
      <c r="X99" s="290">
        <f t="shared" si="62"/>
        <v>302.48802395209577</v>
      </c>
      <c r="Y99" s="290">
        <f t="shared" si="62"/>
        <v>458.58762399622111</v>
      </c>
      <c r="Z99" s="290">
        <f t="shared" si="62"/>
        <v>417.55568299847789</v>
      </c>
      <c r="AA99" s="252">
        <f t="shared" si="62"/>
        <v>503.33343290757318</v>
      </c>
      <c r="AB99" s="252">
        <f t="shared" si="62"/>
        <v>552.75498706899032</v>
      </c>
      <c r="AC99" s="251">
        <f t="shared" ref="AC99:AC104" si="64">AX96</f>
        <v>430.37150000000003</v>
      </c>
      <c r="AD99" s="252">
        <f t="shared" si="63"/>
        <v>584.16986596987567</v>
      </c>
      <c r="AE99" s="252">
        <f t="shared" si="63"/>
        <v>399.32090263208113</v>
      </c>
      <c r="AF99" s="252">
        <f t="shared" si="63"/>
        <v>256.18418470542633</v>
      </c>
      <c r="AG99" s="252">
        <f t="shared" si="63"/>
        <v>523.58365947240657</v>
      </c>
      <c r="AS99" s="240" t="s">
        <v>46</v>
      </c>
      <c r="AT99" s="264"/>
      <c r="AU99" s="264"/>
      <c r="AX99">
        <f>315.2573-17.8587</f>
        <v>297.39859999999999</v>
      </c>
    </row>
    <row r="100" spans="1:53">
      <c r="A100" s="240" t="s">
        <v>233</v>
      </c>
      <c r="B100" s="290">
        <f t="shared" si="62"/>
        <v>70.51391023622962</v>
      </c>
      <c r="C100" s="290">
        <f t="shared" si="62"/>
        <v>50.040098591031168</v>
      </c>
      <c r="D100" s="290">
        <f t="shared" si="62"/>
        <v>76.243744480423928</v>
      </c>
      <c r="E100" s="290">
        <f t="shared" si="62"/>
        <v>46.839083212014408</v>
      </c>
      <c r="F100" s="290">
        <f t="shared" si="62"/>
        <v>39.072438738269028</v>
      </c>
      <c r="G100" s="290">
        <f t="shared" si="62"/>
        <v>49.531024599952246</v>
      </c>
      <c r="H100" s="290">
        <f t="shared" si="62"/>
        <v>81.996094115445771</v>
      </c>
      <c r="I100" s="290">
        <f t="shared" si="62"/>
        <v>100.92377382068105</v>
      </c>
      <c r="J100" s="290">
        <f t="shared" si="62"/>
        <v>80.005067300079176</v>
      </c>
      <c r="K100" s="290">
        <f t="shared" si="62"/>
        <v>108.59999999999998</v>
      </c>
      <c r="L100" s="290">
        <f t="shared" si="62"/>
        <v>112.56818181818181</v>
      </c>
      <c r="M100" s="290">
        <f t="shared" si="62"/>
        <v>96.837944664031625</v>
      </c>
      <c r="N100" s="290">
        <f t="shared" si="62"/>
        <v>158.11532467532467</v>
      </c>
      <c r="O100" s="290">
        <f t="shared" si="62"/>
        <v>173.85365853658539</v>
      </c>
      <c r="P100" s="290">
        <f t="shared" si="62"/>
        <v>168.12891364902507</v>
      </c>
      <c r="Q100" s="290">
        <f t="shared" si="62"/>
        <v>213.45496009122007</v>
      </c>
      <c r="R100" s="290">
        <f t="shared" si="62"/>
        <v>240.14788732394371</v>
      </c>
      <c r="S100" s="290">
        <f t="shared" si="62"/>
        <v>279.29523238380813</v>
      </c>
      <c r="T100" s="290">
        <f t="shared" si="62"/>
        <v>295.93611670020118</v>
      </c>
      <c r="U100" s="290">
        <f t="shared" si="62"/>
        <v>309.99216602528861</v>
      </c>
      <c r="V100" s="290">
        <f t="shared" si="62"/>
        <v>332.90313090985495</v>
      </c>
      <c r="W100" s="290">
        <f t="shared" si="62"/>
        <v>302.55362384285394</v>
      </c>
      <c r="X100" s="290">
        <f t="shared" si="62"/>
        <v>358.18423153692612</v>
      </c>
      <c r="Y100" s="290">
        <f t="shared" si="62"/>
        <v>425.35663675011813</v>
      </c>
      <c r="Z100" s="290">
        <f t="shared" si="62"/>
        <v>410.45237097412479</v>
      </c>
      <c r="AA100" s="252">
        <f t="shared" si="62"/>
        <v>565.8866258378057</v>
      </c>
      <c r="AB100" s="252">
        <f t="shared" si="62"/>
        <v>592.78591239578327</v>
      </c>
      <c r="AC100" s="251">
        <f t="shared" si="64"/>
        <v>477.61520000000002</v>
      </c>
      <c r="AD100" s="252">
        <f t="shared" si="63"/>
        <v>400.94108044016002</v>
      </c>
      <c r="AE100" s="252">
        <f t="shared" si="63"/>
        <v>411.71570495766264</v>
      </c>
      <c r="AF100" s="252">
        <f t="shared" si="63"/>
        <v>579.49681970115478</v>
      </c>
      <c r="AG100" s="252">
        <f t="shared" si="63"/>
        <v>511.28376875144136</v>
      </c>
      <c r="AS100" s="240" t="s">
        <v>235</v>
      </c>
      <c r="AT100" s="264"/>
      <c r="AU100" s="264"/>
      <c r="AX100">
        <f>257.178-17.8587</f>
        <v>239.3193</v>
      </c>
    </row>
    <row r="101" spans="1:53">
      <c r="A101" s="240" t="s">
        <v>234</v>
      </c>
      <c r="B101" s="290">
        <f t="shared" si="62"/>
        <v>64.403053337623561</v>
      </c>
      <c r="C101" s="290">
        <f t="shared" si="62"/>
        <v>45.240039730714052</v>
      </c>
      <c r="D101" s="290">
        <f t="shared" si="62"/>
        <v>85.259052104798386</v>
      </c>
      <c r="E101" s="290">
        <f t="shared" si="62"/>
        <v>35.439094705386559</v>
      </c>
      <c r="F101" s="290">
        <f t="shared" si="62"/>
        <v>30.980513555787287</v>
      </c>
      <c r="G101" s="290">
        <f t="shared" si="62"/>
        <v>43.070456173871513</v>
      </c>
      <c r="H101" s="290">
        <f t="shared" si="62"/>
        <v>71.886986621760684</v>
      </c>
      <c r="I101" s="290">
        <f t="shared" si="62"/>
        <v>91.242736644798526</v>
      </c>
      <c r="J101" s="290">
        <f t="shared" si="62"/>
        <v>72.330641330166259</v>
      </c>
      <c r="K101" s="290">
        <f t="shared" si="62"/>
        <v>127.09999999999998</v>
      </c>
      <c r="L101" s="290">
        <f t="shared" si="62"/>
        <v>118.87121212121212</v>
      </c>
      <c r="M101" s="290">
        <f t="shared" si="62"/>
        <v>110.7707509881423</v>
      </c>
      <c r="N101" s="290">
        <f t="shared" si="62"/>
        <v>176.76883116883116</v>
      </c>
      <c r="O101" s="290">
        <f t="shared" si="62"/>
        <v>192.52317073170735</v>
      </c>
      <c r="P101" s="290">
        <f t="shared" si="62"/>
        <v>167.04484679665737</v>
      </c>
      <c r="Q101" s="290">
        <f t="shared" si="62"/>
        <v>240.43329532497154</v>
      </c>
      <c r="R101" s="290">
        <f t="shared" si="62"/>
        <v>262.087323943662</v>
      </c>
      <c r="S101" s="290">
        <f t="shared" si="62"/>
        <v>298.36953523238378</v>
      </c>
      <c r="T101" s="290">
        <f t="shared" si="62"/>
        <v>323.4144869215292</v>
      </c>
      <c r="U101" s="290">
        <f t="shared" si="62"/>
        <v>303.76663001649257</v>
      </c>
      <c r="V101" s="290">
        <f t="shared" si="62"/>
        <v>395.38348392519435</v>
      </c>
      <c r="W101" s="290">
        <f t="shared" si="62"/>
        <v>335.21020546398734</v>
      </c>
      <c r="X101" s="290">
        <f t="shared" si="62"/>
        <v>350.50199600798402</v>
      </c>
      <c r="Y101" s="290">
        <f t="shared" si="62"/>
        <v>490.86915446386394</v>
      </c>
      <c r="Z101" s="290">
        <f t="shared" si="62"/>
        <v>400.59791815829527</v>
      </c>
      <c r="AA101" s="252">
        <f t="shared" si="62"/>
        <v>634.33603366684406</v>
      </c>
      <c r="AB101" s="252">
        <f t="shared" si="62"/>
        <v>575.95429986939632</v>
      </c>
      <c r="AC101" s="251">
        <f t="shared" si="64"/>
        <v>392.05310000000003</v>
      </c>
      <c r="AD101" s="252">
        <f t="shared" si="63"/>
        <v>111.48765666755018</v>
      </c>
      <c r="AE101" s="252">
        <f t="shared" si="63"/>
        <v>524.97951425998804</v>
      </c>
      <c r="AF101" s="252">
        <f t="shared" si="63"/>
        <v>639.63046272267047</v>
      </c>
      <c r="AG101" s="252">
        <f t="shared" si="63"/>
        <v>466.14124922266132</v>
      </c>
      <c r="AS101" s="240" t="s">
        <v>236</v>
      </c>
      <c r="AT101" s="264"/>
      <c r="AU101" s="264"/>
      <c r="AX101">
        <v>141.34200000000001</v>
      </c>
    </row>
    <row r="102" spans="1:53">
      <c r="A102" s="240" t="s">
        <v>46</v>
      </c>
      <c r="B102" s="290">
        <f t="shared" si="62"/>
        <v>59.327903945406284</v>
      </c>
      <c r="C102" s="290">
        <f t="shared" si="62"/>
        <v>41.222823087959391</v>
      </c>
      <c r="D102" s="290">
        <f t="shared" si="62"/>
        <v>77.016485133941728</v>
      </c>
      <c r="E102" s="290">
        <f t="shared" si="62"/>
        <v>28.454099061731952</v>
      </c>
      <c r="F102" s="290">
        <f t="shared" si="62"/>
        <v>24.033919123204839</v>
      </c>
      <c r="G102" s="290">
        <f t="shared" si="62"/>
        <v>38.912695874640235</v>
      </c>
      <c r="H102" s="290">
        <f t="shared" si="62"/>
        <v>77.282175032175033</v>
      </c>
      <c r="I102" s="290">
        <f t="shared" si="62"/>
        <v>69.399973255732505</v>
      </c>
      <c r="J102" s="290">
        <f t="shared" si="62"/>
        <v>77.34706183547803</v>
      </c>
      <c r="K102" s="290">
        <f t="shared" si="62"/>
        <v>117.8</v>
      </c>
      <c r="L102" s="290">
        <f t="shared" si="62"/>
        <v>115.62121212121212</v>
      </c>
      <c r="M102" s="290">
        <f t="shared" si="62"/>
        <v>110.57312252964428</v>
      </c>
      <c r="N102" s="290">
        <f t="shared" si="62"/>
        <v>173.74129870129869</v>
      </c>
      <c r="O102" s="290">
        <f t="shared" si="62"/>
        <v>189.85609756097563</v>
      </c>
      <c r="P102" s="290">
        <f t="shared" si="62"/>
        <v>123.0908635097493</v>
      </c>
      <c r="Q102" s="290">
        <f t="shared" si="62"/>
        <v>235.7886735081718</v>
      </c>
      <c r="R102" s="290">
        <f t="shared" si="62"/>
        <v>258.13427230046949</v>
      </c>
      <c r="S102" s="290">
        <f t="shared" si="62"/>
        <v>269.11568215892055</v>
      </c>
      <c r="T102" s="290">
        <f t="shared" si="62"/>
        <v>308.78571428571428</v>
      </c>
      <c r="U102" s="290">
        <f t="shared" si="62"/>
        <v>240.02899945024737</v>
      </c>
      <c r="V102" s="290">
        <f t="shared" si="62"/>
        <v>372.92960706030681</v>
      </c>
      <c r="W102" s="290">
        <f t="shared" si="62"/>
        <v>288.14630842176564</v>
      </c>
      <c r="X102" s="290">
        <f t="shared" si="62"/>
        <v>369.70758483033933</v>
      </c>
      <c r="Y102" s="290">
        <f t="shared" si="62"/>
        <v>432.00283419933862</v>
      </c>
      <c r="Z102" s="290">
        <f t="shared" si="62"/>
        <v>432.22059360730589</v>
      </c>
      <c r="AA102" s="252">
        <f t="shared" si="62"/>
        <v>507.02030770832738</v>
      </c>
      <c r="AB102" s="252">
        <f t="shared" si="62"/>
        <v>670.98698832271157</v>
      </c>
      <c r="AC102" s="251">
        <f t="shared" si="64"/>
        <v>297.39859999999999</v>
      </c>
      <c r="AD102" s="252">
        <f t="shared" si="63"/>
        <v>143.59696760639602</v>
      </c>
      <c r="AE102" s="252">
        <f t="shared" si="63"/>
        <v>541.89426542277874</v>
      </c>
      <c r="AF102" s="252">
        <f t="shared" si="63"/>
        <v>506.60440044739272</v>
      </c>
      <c r="AG102" s="252">
        <f t="shared" si="63"/>
        <v>473.35384115061288</v>
      </c>
      <c r="AS102" s="240" t="s">
        <v>237</v>
      </c>
      <c r="AT102" s="264"/>
      <c r="AU102" s="264"/>
      <c r="AX102">
        <v>76.534000000000006</v>
      </c>
    </row>
    <row r="103" spans="1:53">
      <c r="A103" s="240" t="s">
        <v>235</v>
      </c>
      <c r="B103" s="290">
        <f t="shared" si="62"/>
        <v>47.652188222382136</v>
      </c>
      <c r="C103" s="290">
        <f t="shared" si="62"/>
        <v>33.105985358496113</v>
      </c>
      <c r="D103" s="290">
        <f t="shared" si="62"/>
        <v>73.410362084191959</v>
      </c>
      <c r="E103" s="290">
        <f t="shared" si="62"/>
        <v>17.373416254038258</v>
      </c>
      <c r="F103" s="290">
        <f t="shared" si="62"/>
        <v>16.888699924414212</v>
      </c>
      <c r="G103" s="290">
        <f t="shared" si="62"/>
        <v>23.347617524784141</v>
      </c>
      <c r="H103" s="290">
        <f t="shared" si="62"/>
        <v>65.308880308880305</v>
      </c>
      <c r="I103" s="290">
        <f t="shared" si="62"/>
        <v>55.735011005478327</v>
      </c>
      <c r="J103" s="290">
        <f t="shared" si="62"/>
        <v>62.117305532040575</v>
      </c>
      <c r="K103" s="290">
        <f t="shared" si="62"/>
        <v>117.99999999999999</v>
      </c>
      <c r="L103" s="290">
        <f t="shared" si="62"/>
        <v>124.78030303030303</v>
      </c>
      <c r="M103" s="290">
        <f t="shared" si="62"/>
        <v>98.122529644268766</v>
      </c>
      <c r="N103" s="290">
        <f t="shared" si="62"/>
        <v>177.94077922077921</v>
      </c>
      <c r="O103" s="290">
        <f t="shared" si="62"/>
        <v>205.1670731707317</v>
      </c>
      <c r="P103" s="290">
        <f t="shared" si="62"/>
        <v>109.5893036211699</v>
      </c>
      <c r="Q103" s="290">
        <f t="shared" si="62"/>
        <v>239.84036488027368</v>
      </c>
      <c r="R103" s="290">
        <f t="shared" si="62"/>
        <v>260.50610328638498</v>
      </c>
      <c r="S103" s="290">
        <f t="shared" si="62"/>
        <v>270.69697151424282</v>
      </c>
      <c r="T103" s="290">
        <f t="shared" si="62"/>
        <v>317.38506036217308</v>
      </c>
      <c r="U103" s="290">
        <f t="shared" si="62"/>
        <v>208.40722924683894</v>
      </c>
      <c r="V103" s="290">
        <f t="shared" si="62"/>
        <v>388.54969531414156</v>
      </c>
      <c r="W103" s="290">
        <f t="shared" si="62"/>
        <v>268.93655452698124</v>
      </c>
      <c r="X103" s="290">
        <f t="shared" si="62"/>
        <v>343.78003992015965</v>
      </c>
      <c r="Y103" s="290">
        <f t="shared" si="62"/>
        <v>420.12607935758143</v>
      </c>
      <c r="Z103" s="290">
        <f t="shared" si="62"/>
        <v>472.92689831913697</v>
      </c>
      <c r="AA103" s="252">
        <f t="shared" si="62"/>
        <v>589.82225891385838</v>
      </c>
      <c r="AB103" s="252">
        <f t="shared" si="62"/>
        <v>603.37760919077652</v>
      </c>
      <c r="AC103" s="251">
        <f t="shared" si="64"/>
        <v>239.3193</v>
      </c>
      <c r="AD103" s="252">
        <f t="shared" si="63"/>
        <v>180.17492195609452</v>
      </c>
      <c r="AE103" s="252">
        <f t="shared" si="63"/>
        <v>456.54445379487191</v>
      </c>
      <c r="AF103" s="252">
        <f t="shared" si="63"/>
        <v>509.97084030526543</v>
      </c>
      <c r="AG103" s="252">
        <f t="shared" si="63"/>
        <v>486.37813219700706</v>
      </c>
      <c r="AS103" s="240" t="s">
        <v>238</v>
      </c>
      <c r="AT103" s="264"/>
      <c r="AU103" s="264"/>
      <c r="AX103">
        <v>376.93900000000002</v>
      </c>
    </row>
    <row r="104" spans="1:53">
      <c r="A104" s="240" t="s">
        <v>236</v>
      </c>
      <c r="B104" s="290">
        <f t="shared" si="62"/>
        <v>36.526375795025992</v>
      </c>
      <c r="C104" s="290">
        <f t="shared" si="62"/>
        <v>25.73078762461833</v>
      </c>
      <c r="D104" s="290">
        <f t="shared" si="62"/>
        <v>52.803944657050351</v>
      </c>
      <c r="E104" s="290">
        <f t="shared" si="62"/>
        <v>17.236617700856854</v>
      </c>
      <c r="F104" s="290">
        <f t="shared" si="62"/>
        <v>8.184523809523812</v>
      </c>
      <c r="G104" s="290">
        <f t="shared" si="62"/>
        <v>14.267988487368086</v>
      </c>
      <c r="H104" s="290">
        <f t="shared" si="62"/>
        <v>58.777992277992269</v>
      </c>
      <c r="I104" s="290">
        <f t="shared" si="62"/>
        <v>43.318623986211847</v>
      </c>
      <c r="J104" s="290">
        <f t="shared" si="62"/>
        <v>48.279100565973046</v>
      </c>
      <c r="K104" s="290">
        <f t="shared" ref="C104:AG106" si="65">K$123*K88</f>
        <v>103.4</v>
      </c>
      <c r="L104" s="290">
        <f t="shared" si="65"/>
        <v>130</v>
      </c>
      <c r="M104" s="290">
        <f t="shared" si="65"/>
        <v>82.806324110671937</v>
      </c>
      <c r="N104" s="290">
        <f t="shared" si="65"/>
        <v>162.1194805194805</v>
      </c>
      <c r="O104" s="290">
        <f t="shared" si="65"/>
        <v>182.34878048780487</v>
      </c>
      <c r="P104" s="290">
        <f t="shared" si="65"/>
        <v>89.484791086350967</v>
      </c>
      <c r="Q104" s="290">
        <f t="shared" si="65"/>
        <v>217.01254275940707</v>
      </c>
      <c r="R104" s="290">
        <f t="shared" si="65"/>
        <v>256.55305164319253</v>
      </c>
      <c r="S104" s="290">
        <f t="shared" si="65"/>
        <v>211.6951124437781</v>
      </c>
      <c r="T104" s="290">
        <f t="shared" si="65"/>
        <v>306.71001006036221</v>
      </c>
      <c r="U104" s="290">
        <f t="shared" si="65"/>
        <v>162.45684442001098</v>
      </c>
      <c r="V104" s="290">
        <f t="shared" si="65"/>
        <v>372.92960706030681</v>
      </c>
      <c r="W104" s="290">
        <f t="shared" si="65"/>
        <v>240.1219236848047</v>
      </c>
      <c r="X104" s="290">
        <f t="shared" si="65"/>
        <v>303.44830339321356</v>
      </c>
      <c r="Y104" s="290">
        <f t="shared" si="65"/>
        <v>373.30266887104392</v>
      </c>
      <c r="Z104" s="290">
        <f t="shared" si="65"/>
        <v>468.79257863572758</v>
      </c>
      <c r="AA104" s="252">
        <f t="shared" si="65"/>
        <v>475.77086757759196</v>
      </c>
      <c r="AB104" s="252">
        <f t="shared" si="65"/>
        <v>558.29441563394312</v>
      </c>
      <c r="AC104" s="251">
        <f t="shared" si="64"/>
        <v>141.34200000000001</v>
      </c>
      <c r="AD104" s="252">
        <f t="shared" si="63"/>
        <v>266.73964202500065</v>
      </c>
      <c r="AE104" s="252">
        <f t="shared" si="63"/>
        <v>478.34028867859286</v>
      </c>
      <c r="AF104" s="252">
        <f t="shared" si="63"/>
        <v>457.32103578826246</v>
      </c>
      <c r="AG104" s="252">
        <f t="shared" si="63"/>
        <v>441.4902280704203</v>
      </c>
      <c r="AS104" s="240" t="s">
        <v>239</v>
      </c>
      <c r="AT104" s="264"/>
      <c r="AU104" s="264"/>
      <c r="AX104">
        <v>584.10699999999997</v>
      </c>
    </row>
    <row r="105" spans="1:53">
      <c r="A105" s="240" t="s">
        <v>237</v>
      </c>
      <c r="B105" s="290">
        <f t="shared" ref="B105:B106" si="66">B$123*B89</f>
        <v>31.684441768124476</v>
      </c>
      <c r="C105" s="290">
        <f t="shared" si="65"/>
        <v>23.032042085126733</v>
      </c>
      <c r="D105" s="290">
        <f t="shared" si="65"/>
        <v>40.955254636443939</v>
      </c>
      <c r="E105" s="290">
        <f t="shared" si="65"/>
        <v>10.1187648456057</v>
      </c>
      <c r="F105" s="290">
        <f t="shared" si="65"/>
        <v>7.4157303370786529</v>
      </c>
      <c r="G105" s="290">
        <f t="shared" si="65"/>
        <v>8.8709075993735578</v>
      </c>
      <c r="H105" s="290">
        <f t="shared" si="65"/>
        <v>64.139720077220076</v>
      </c>
      <c r="I105" s="290">
        <f t="shared" si="65"/>
        <v>38.825738703866939</v>
      </c>
      <c r="J105" s="290">
        <f t="shared" si="65"/>
        <v>44.542697948767753</v>
      </c>
      <c r="K105" s="290">
        <f t="shared" si="65"/>
        <v>83.7</v>
      </c>
      <c r="L105" s="290">
        <f t="shared" si="65"/>
        <v>106.16666666666666</v>
      </c>
      <c r="M105" s="290">
        <f t="shared" si="65"/>
        <v>67.588932806324124</v>
      </c>
      <c r="N105" s="290">
        <f t="shared" si="65"/>
        <v>166.80727272727273</v>
      </c>
      <c r="O105" s="290">
        <f t="shared" si="65"/>
        <v>164.07439024390246</v>
      </c>
      <c r="P105" s="290">
        <f t="shared" si="65"/>
        <v>112.94005571030638</v>
      </c>
      <c r="Q105" s="290">
        <f t="shared" si="65"/>
        <v>206.93272519954391</v>
      </c>
      <c r="R105" s="290">
        <f t="shared" si="65"/>
        <v>223.74272300469485</v>
      </c>
      <c r="S105" s="290">
        <f t="shared" si="65"/>
        <v>162.77397301349325</v>
      </c>
      <c r="T105" s="290">
        <f t="shared" si="65"/>
        <v>279.92354124748493</v>
      </c>
      <c r="U105" s="290">
        <f t="shared" si="65"/>
        <v>152.87149532710279</v>
      </c>
      <c r="V105" s="290">
        <f t="shared" si="65"/>
        <v>314.35427610842612</v>
      </c>
      <c r="W105" s="290">
        <f t="shared" si="65"/>
        <v>203.62339128471439</v>
      </c>
      <c r="X105" s="290">
        <f t="shared" si="65"/>
        <v>205.49980039920158</v>
      </c>
      <c r="Y105" s="290">
        <f t="shared" si="65"/>
        <v>320.36095890410962</v>
      </c>
      <c r="Z105" s="290">
        <f t="shared" si="65"/>
        <v>436.14497286403821</v>
      </c>
      <c r="AA105" s="252">
        <f t="shared" si="65"/>
        <v>559.47556617721477</v>
      </c>
      <c r="AB105" s="252">
        <f t="shared" si="65"/>
        <v>562.48278649456552</v>
      </c>
      <c r="AC105" s="252">
        <f t="shared" si="65"/>
        <v>145.94501765601217</v>
      </c>
      <c r="AD105" s="252">
        <f t="shared" si="63"/>
        <v>265.04649387685254</v>
      </c>
      <c r="AE105" s="252">
        <f t="shared" si="63"/>
        <v>504.51200263208108</v>
      </c>
      <c r="AF105" s="252">
        <f t="shared" si="63"/>
        <v>469.17060826267078</v>
      </c>
      <c r="AG105" s="252">
        <f t="shared" si="63"/>
        <v>464.67887196588146</v>
      </c>
      <c r="AS105" s="240" t="s">
        <v>240</v>
      </c>
      <c r="AT105" s="264"/>
      <c r="AU105" s="264"/>
    </row>
    <row r="106" spans="1:53">
      <c r="A106" s="240" t="s">
        <v>238</v>
      </c>
      <c r="B106" s="290">
        <f t="shared" si="66"/>
        <v>14.011510394145891</v>
      </c>
      <c r="C106" s="290">
        <f t="shared" si="65"/>
        <v>10.238752161277271</v>
      </c>
      <c r="D106" s="290">
        <f t="shared" si="65"/>
        <v>10.174418604651166</v>
      </c>
      <c r="E106" s="290">
        <f t="shared" si="65"/>
        <v>11.401425178147266</v>
      </c>
      <c r="F106" s="290">
        <f t="shared" si="65"/>
        <v>7.0681179775280896</v>
      </c>
      <c r="G106" s="290">
        <f t="shared" si="65"/>
        <v>4.3763144156909553</v>
      </c>
      <c r="H106" s="290">
        <f t="shared" si="65"/>
        <v>26.090733590733588</v>
      </c>
      <c r="I106" s="290">
        <f t="shared" si="65"/>
        <v>17.259742518624211</v>
      </c>
      <c r="J106" s="290">
        <f t="shared" si="65"/>
        <v>19.801181467386026</v>
      </c>
      <c r="K106" s="290">
        <f t="shared" si="65"/>
        <v>27.3</v>
      </c>
      <c r="L106" s="290">
        <f t="shared" si="65"/>
        <v>59.090909090909086</v>
      </c>
      <c r="M106" s="290">
        <f t="shared" si="65"/>
        <v>51.383399209486164</v>
      </c>
      <c r="N106" s="290">
        <f t="shared" si="65"/>
        <v>110.94441558441558</v>
      </c>
      <c r="O106" s="290">
        <f t="shared" si="65"/>
        <v>105.00365853658536</v>
      </c>
      <c r="P106" s="290">
        <f t="shared" si="65"/>
        <v>75.884679665738162</v>
      </c>
      <c r="Q106" s="290">
        <f t="shared" si="65"/>
        <v>142.69859369061194</v>
      </c>
      <c r="R106" s="290">
        <f t="shared" si="65"/>
        <v>95.367370892018783</v>
      </c>
      <c r="S106" s="290">
        <f t="shared" si="65"/>
        <v>70.466206896551725</v>
      </c>
      <c r="T106" s="290">
        <f t="shared" si="65"/>
        <v>111.69265593561369</v>
      </c>
      <c r="U106" s="290">
        <f t="shared" si="65"/>
        <v>68.184442001099498</v>
      </c>
      <c r="V106" s="290">
        <f t="shared" si="65"/>
        <v>173.77348182391259</v>
      </c>
      <c r="W106" s="290">
        <f t="shared" si="65"/>
        <v>58.013456762248815</v>
      </c>
      <c r="X106" s="290">
        <f t="shared" si="65"/>
        <v>68.467924151696607</v>
      </c>
      <c r="Y106" s="290">
        <f t="shared" si="65"/>
        <v>135.10580066131317</v>
      </c>
      <c r="Z106" s="290">
        <f t="shared" si="65"/>
        <v>390.94011461594062</v>
      </c>
      <c r="AA106" s="252">
        <f t="shared" si="65"/>
        <v>324.41757720927018</v>
      </c>
      <c r="AB106" s="252">
        <f t="shared" si="65"/>
        <v>332.37229548982941</v>
      </c>
      <c r="AC106" s="252">
        <f t="shared" si="65"/>
        <v>71.424974124809737</v>
      </c>
      <c r="AD106" s="252">
        <f t="shared" si="63"/>
        <v>349.38409508270956</v>
      </c>
      <c r="AE106" s="252">
        <f t="shared" si="63"/>
        <v>501.38946042510435</v>
      </c>
      <c r="AF106" s="252">
        <f t="shared" si="63"/>
        <v>350.12216331557335</v>
      </c>
      <c r="AG106" s="252">
        <f t="shared" si="63"/>
        <v>359.13694943555146</v>
      </c>
      <c r="AS106" s="240" t="s">
        <v>241</v>
      </c>
      <c r="AT106" s="264"/>
      <c r="AU106" s="264"/>
    </row>
    <row r="107" spans="1:53" ht="15.75" thickBot="1">
      <c r="A107" s="240" t="s">
        <v>242</v>
      </c>
      <c r="B107" s="290">
        <f>SUM(B95:B106)</f>
        <v>835.04526759358589</v>
      </c>
      <c r="C107" s="290">
        <f t="shared" ref="C107:AG107" si="67">SUM(C95:C106)</f>
        <v>570.58011572462715</v>
      </c>
      <c r="D107" s="290">
        <f t="shared" si="67"/>
        <v>875.81363854629421</v>
      </c>
      <c r="E107" s="290">
        <f t="shared" si="67"/>
        <v>480.91249907103179</v>
      </c>
      <c r="F107" s="290">
        <f t="shared" si="67"/>
        <v>467.66200935915742</v>
      </c>
      <c r="G107" s="290">
        <f t="shared" si="67"/>
        <v>549.87861643948679</v>
      </c>
      <c r="H107" s="290">
        <f t="shared" si="67"/>
        <v>866.97040533509971</v>
      </c>
      <c r="I107" s="290">
        <f t="shared" si="67"/>
        <v>961.69822094221172</v>
      </c>
      <c r="J107" s="290">
        <f t="shared" si="67"/>
        <v>860.39168089803798</v>
      </c>
      <c r="K107" s="290">
        <f t="shared" si="67"/>
        <v>1282.9386388657922</v>
      </c>
      <c r="L107" s="290">
        <f t="shared" si="67"/>
        <v>1348.4699604743082</v>
      </c>
      <c r="M107" s="290">
        <f t="shared" si="67"/>
        <v>1110.6540266798418</v>
      </c>
      <c r="N107" s="290">
        <f t="shared" si="67"/>
        <v>1839.8052521391651</v>
      </c>
      <c r="O107" s="290">
        <f t="shared" si="67"/>
        <v>2020.04286545224</v>
      </c>
      <c r="P107" s="290">
        <f t="shared" si="67"/>
        <v>1736.8774083003354</v>
      </c>
      <c r="Q107" s="290">
        <f t="shared" si="67"/>
        <v>2468.3823545132495</v>
      </c>
      <c r="R107" s="290">
        <f t="shared" si="67"/>
        <v>2818.1267013856027</v>
      </c>
      <c r="S107" s="290">
        <f t="shared" si="67"/>
        <v>2917.9637368205913</v>
      </c>
      <c r="T107" s="290">
        <f t="shared" si="67"/>
        <v>3543.8330786072142</v>
      </c>
      <c r="U107" s="290">
        <f t="shared" si="67"/>
        <v>3075.1465910926386</v>
      </c>
      <c r="V107" s="290">
        <f t="shared" si="67"/>
        <v>4134.2461556272865</v>
      </c>
      <c r="W107" s="290">
        <f t="shared" si="67"/>
        <v>3420.5046823570278</v>
      </c>
      <c r="X107" s="290">
        <f t="shared" si="67"/>
        <v>3662.8227218524321</v>
      </c>
      <c r="Y107" s="290">
        <f t="shared" si="67"/>
        <v>4960.9019625274723</v>
      </c>
      <c r="Z107" s="290">
        <f t="shared" si="67"/>
        <v>5339.6907021753568</v>
      </c>
      <c r="AA107" s="253">
        <f t="shared" si="67"/>
        <v>6349.494864444242</v>
      </c>
      <c r="AB107" s="253">
        <f t="shared" si="67"/>
        <v>6324.1881731548583</v>
      </c>
      <c r="AC107" s="253">
        <f t="shared" si="67"/>
        <v>4532.6543113557645</v>
      </c>
      <c r="AD107" s="253">
        <f t="shared" si="67"/>
        <v>4037.8868343951854</v>
      </c>
      <c r="AE107" s="253">
        <f t="shared" si="67"/>
        <v>5664.9285494620754</v>
      </c>
      <c r="AF107" s="253">
        <f t="shared" si="67"/>
        <v>5723.8893697589901</v>
      </c>
      <c r="AG107" s="253">
        <f t="shared" si="67"/>
        <v>6364.6749376787948</v>
      </c>
      <c r="AS107" s="240" t="s">
        <v>345</v>
      </c>
      <c r="AT107" s="264"/>
      <c r="AU107" s="264"/>
      <c r="AX107">
        <v>2446.2669000000001</v>
      </c>
    </row>
    <row r="108" spans="1:53">
      <c r="A108" s="248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48"/>
      <c r="AA108" s="248"/>
      <c r="AB108" s="248"/>
      <c r="AC108" s="254"/>
      <c r="AD108" s="254"/>
      <c r="AE108" s="254"/>
      <c r="AF108" s="254"/>
      <c r="AG108" s="254"/>
    </row>
    <row r="109" spans="1:53" ht="15.75" thickBot="1">
      <c r="A109" s="235" t="s">
        <v>254</v>
      </c>
      <c r="AT109" t="s">
        <v>346</v>
      </c>
    </row>
    <row r="110" spans="1:53" ht="15.75" thickBot="1">
      <c r="A110" s="236"/>
      <c r="B110" s="237" t="str">
        <f>B$2</f>
        <v xml:space="preserve">93/94 </v>
      </c>
      <c r="C110" s="237" t="str">
        <f t="shared" ref="C110:AG110" si="68">C$2</f>
        <v xml:space="preserve">94/95 </v>
      </c>
      <c r="D110" s="237" t="str">
        <f t="shared" si="68"/>
        <v xml:space="preserve">95/96 </v>
      </c>
      <c r="E110" s="237" t="str">
        <f t="shared" si="68"/>
        <v xml:space="preserve">96/97 </v>
      </c>
      <c r="F110" s="237" t="str">
        <f t="shared" si="68"/>
        <v xml:space="preserve">97/98 </v>
      </c>
      <c r="G110" s="237" t="str">
        <f t="shared" si="68"/>
        <v xml:space="preserve">98/99 </v>
      </c>
      <c r="H110" s="237" t="str">
        <f t="shared" si="68"/>
        <v xml:space="preserve">99/00 </v>
      </c>
      <c r="I110" s="237" t="str">
        <f t="shared" si="68"/>
        <v xml:space="preserve">00/01 </v>
      </c>
      <c r="J110" s="237" t="str">
        <f t="shared" si="68"/>
        <v xml:space="preserve">01/02 </v>
      </c>
      <c r="K110" s="237" t="str">
        <f t="shared" si="68"/>
        <v xml:space="preserve">02/03 </v>
      </c>
      <c r="L110" s="237" t="str">
        <f t="shared" si="68"/>
        <v xml:space="preserve">03/04 </v>
      </c>
      <c r="M110" s="237" t="str">
        <f t="shared" si="68"/>
        <v xml:space="preserve">04/05 </v>
      </c>
      <c r="N110" s="237" t="str">
        <f t="shared" si="68"/>
        <v xml:space="preserve">05/06 </v>
      </c>
      <c r="O110" s="237" t="str">
        <f t="shared" si="68"/>
        <v xml:space="preserve">06/07 </v>
      </c>
      <c r="P110" s="237" t="str">
        <f t="shared" si="68"/>
        <v xml:space="preserve">07/08 </v>
      </c>
      <c r="Q110" s="237" t="str">
        <f t="shared" si="68"/>
        <v xml:space="preserve">08/09 </v>
      </c>
      <c r="R110" s="237" t="str">
        <f t="shared" si="68"/>
        <v xml:space="preserve">09/10 </v>
      </c>
      <c r="S110" s="237" t="str">
        <f t="shared" si="68"/>
        <v xml:space="preserve">10/11 </v>
      </c>
      <c r="T110" s="237" t="str">
        <f t="shared" si="68"/>
        <v xml:space="preserve">11/12 </v>
      </c>
      <c r="U110" s="237" t="str">
        <f t="shared" si="68"/>
        <v xml:space="preserve">12/13 </v>
      </c>
      <c r="V110" s="237" t="str">
        <f t="shared" si="68"/>
        <v xml:space="preserve">13/14 </v>
      </c>
      <c r="W110" s="237" t="str">
        <f t="shared" si="68"/>
        <v xml:space="preserve">14/15 </v>
      </c>
      <c r="X110" s="237" t="str">
        <f t="shared" si="68"/>
        <v xml:space="preserve">15/16 </v>
      </c>
      <c r="Y110" s="237" t="str">
        <f t="shared" si="68"/>
        <v xml:space="preserve">16/17 </v>
      </c>
      <c r="Z110" s="237" t="str">
        <f t="shared" si="68"/>
        <v xml:space="preserve">17/18 </v>
      </c>
      <c r="AA110" s="237" t="str">
        <f t="shared" si="68"/>
        <v xml:space="preserve">18/19 </v>
      </c>
      <c r="AB110" s="237" t="str">
        <f t="shared" si="68"/>
        <v xml:space="preserve">19/20 </v>
      </c>
      <c r="AC110" s="237" t="str">
        <f t="shared" si="68"/>
        <v xml:space="preserve">20/21 </v>
      </c>
      <c r="AD110" s="237" t="str">
        <f t="shared" si="68"/>
        <v>21/22</v>
      </c>
      <c r="AE110" s="237" t="str">
        <f t="shared" si="68"/>
        <v>22/23</v>
      </c>
      <c r="AF110" s="237" t="str">
        <f t="shared" si="68"/>
        <v>23/24</v>
      </c>
      <c r="AG110" s="237" t="str">
        <f t="shared" si="68"/>
        <v>24/25</v>
      </c>
      <c r="AT110">
        <f>AT94</f>
        <v>2017</v>
      </c>
      <c r="AU110">
        <f t="shared" ref="AU110:BA110" si="69">AU94</f>
        <v>2018</v>
      </c>
      <c r="AV110">
        <f t="shared" si="69"/>
        <v>2019</v>
      </c>
      <c r="AW110">
        <f t="shared" si="69"/>
        <v>2020</v>
      </c>
      <c r="AX110">
        <f t="shared" si="69"/>
        <v>2021</v>
      </c>
      <c r="AY110">
        <f t="shared" si="69"/>
        <v>2022</v>
      </c>
      <c r="AZ110">
        <f t="shared" si="69"/>
        <v>2023</v>
      </c>
      <c r="BA110">
        <f t="shared" si="69"/>
        <v>2024</v>
      </c>
    </row>
    <row r="111" spans="1:53">
      <c r="A111" s="240" t="s">
        <v>239</v>
      </c>
      <c r="B111" s="298">
        <f t="shared" ref="B111:AG118" si="70">B95/B79</f>
        <v>0.43123287671232879</v>
      </c>
      <c r="C111" s="298">
        <f t="shared" si="70"/>
        <v>0.4</v>
      </c>
      <c r="D111" s="298">
        <f t="shared" si="70"/>
        <v>0.38043478260869568</v>
      </c>
      <c r="E111" s="298">
        <f t="shared" si="70"/>
        <v>0.44865403788634095</v>
      </c>
      <c r="F111" s="298">
        <f t="shared" si="70"/>
        <v>0.40293040293040294</v>
      </c>
      <c r="G111" s="298">
        <f t="shared" si="70"/>
        <v>0.4</v>
      </c>
      <c r="H111" s="298">
        <f t="shared" si="70"/>
        <v>0.40476190476190477</v>
      </c>
      <c r="I111" s="298">
        <f t="shared" si="70"/>
        <v>0.40772532188841204</v>
      </c>
      <c r="J111" s="298">
        <f t="shared" si="70"/>
        <v>0.40447253281477885</v>
      </c>
      <c r="K111" s="298">
        <f t="shared" si="70"/>
        <v>0.4107142857142857</v>
      </c>
      <c r="L111" s="298">
        <f t="shared" si="70"/>
        <v>0.41269841269841268</v>
      </c>
      <c r="M111" s="298">
        <f t="shared" si="70"/>
        <v>0.41666666666666669</v>
      </c>
      <c r="N111" s="298">
        <f t="shared" si="70"/>
        <v>0.41318681318681311</v>
      </c>
      <c r="O111" s="298">
        <f t="shared" si="70"/>
        <v>0.41778419641015063</v>
      </c>
      <c r="P111" s="298">
        <f t="shared" si="70"/>
        <v>0.41721698113207545</v>
      </c>
      <c r="Q111" s="298">
        <f t="shared" si="70"/>
        <v>0.41800643086816719</v>
      </c>
      <c r="R111" s="298">
        <f t="shared" si="70"/>
        <v>0.41801418439716315</v>
      </c>
      <c r="S111" s="298">
        <f t="shared" si="70"/>
        <v>0.41800887761572614</v>
      </c>
      <c r="T111" s="298">
        <f t="shared" si="70"/>
        <v>0.41808510638297874</v>
      </c>
      <c r="U111" s="298">
        <f t="shared" si="70"/>
        <v>0.4180232558139535</v>
      </c>
      <c r="V111" s="298">
        <f t="shared" si="70"/>
        <v>0.41297777777777783</v>
      </c>
      <c r="W111" s="298">
        <f t="shared" si="70"/>
        <v>0.41300970873786408</v>
      </c>
      <c r="X111" s="298">
        <f t="shared" si="70"/>
        <v>0.41296137339055794</v>
      </c>
      <c r="Y111" s="298">
        <f t="shared" si="70"/>
        <v>0.41301369863013698</v>
      </c>
      <c r="Z111" s="298">
        <f t="shared" si="70"/>
        <v>0.41301818181818178</v>
      </c>
      <c r="AA111" s="259">
        <f t="shared" si="70"/>
        <v>0.41297297297297297</v>
      </c>
      <c r="AB111" s="259">
        <f t="shared" si="70"/>
        <v>0.39299847792998477</v>
      </c>
      <c r="AC111" s="259">
        <f t="shared" si="70"/>
        <v>0.41301818181818184</v>
      </c>
      <c r="AD111" s="259">
        <f t="shared" si="70"/>
        <v>0.41296296296296298</v>
      </c>
      <c r="AE111" s="259">
        <f t="shared" si="70"/>
        <v>0.41299999999999998</v>
      </c>
      <c r="AF111" s="259">
        <f t="shared" si="70"/>
        <v>0.41299319727891159</v>
      </c>
      <c r="AG111" s="259">
        <f t="shared" si="70"/>
        <v>0.4090100869838863</v>
      </c>
      <c r="AS111" s="240" t="s">
        <v>231</v>
      </c>
      <c r="AT111" s="264"/>
      <c r="AU111" s="264"/>
      <c r="AX111">
        <v>99.815200000000004</v>
      </c>
    </row>
    <row r="112" spans="1:53">
      <c r="A112" s="240" t="s">
        <v>240</v>
      </c>
      <c r="B112" s="298">
        <f t="shared" si="70"/>
        <v>0.43123287671232879</v>
      </c>
      <c r="C112" s="298">
        <f t="shared" si="70"/>
        <v>0.4</v>
      </c>
      <c r="D112" s="298">
        <f t="shared" si="70"/>
        <v>0.38043478260869568</v>
      </c>
      <c r="E112" s="298">
        <f t="shared" si="70"/>
        <v>0.4486540378863409</v>
      </c>
      <c r="F112" s="298">
        <f t="shared" si="70"/>
        <v>0.40293040293040294</v>
      </c>
      <c r="G112" s="298">
        <f t="shared" si="70"/>
        <v>0.4</v>
      </c>
      <c r="H112" s="298">
        <f t="shared" si="70"/>
        <v>0.40476190476190477</v>
      </c>
      <c r="I112" s="298">
        <f t="shared" si="70"/>
        <v>0.40772532188841204</v>
      </c>
      <c r="J112" s="298">
        <f t="shared" si="70"/>
        <v>0.4044725328147788</v>
      </c>
      <c r="K112" s="298">
        <f t="shared" si="70"/>
        <v>0.4107142857142857</v>
      </c>
      <c r="L112" s="298">
        <f t="shared" si="70"/>
        <v>0.41269841269841268</v>
      </c>
      <c r="M112" s="298">
        <f t="shared" si="70"/>
        <v>0.41666666666666669</v>
      </c>
      <c r="N112" s="298">
        <f t="shared" si="70"/>
        <v>0.41318681318681316</v>
      </c>
      <c r="O112" s="298">
        <f t="shared" si="70"/>
        <v>0.41778419641015063</v>
      </c>
      <c r="P112" s="298">
        <f t="shared" si="70"/>
        <v>0.41721698113207539</v>
      </c>
      <c r="Q112" s="298">
        <f t="shared" si="70"/>
        <v>0.41800643086816724</v>
      </c>
      <c r="R112" s="298">
        <f t="shared" si="70"/>
        <v>0.4180141843971632</v>
      </c>
      <c r="S112" s="298">
        <f t="shared" si="70"/>
        <v>0.41800887761572614</v>
      </c>
      <c r="T112" s="298">
        <f t="shared" si="70"/>
        <v>0.41808510638297874</v>
      </c>
      <c r="U112" s="298">
        <f t="shared" si="70"/>
        <v>0.41802325581395355</v>
      </c>
      <c r="V112" s="298">
        <f t="shared" si="70"/>
        <v>0.41297777777777778</v>
      </c>
      <c r="W112" s="298">
        <f t="shared" si="70"/>
        <v>0.41300970873786408</v>
      </c>
      <c r="X112" s="298">
        <f t="shared" si="70"/>
        <v>0.41296137339055794</v>
      </c>
      <c r="Y112" s="298">
        <f t="shared" si="70"/>
        <v>0.41301369863013698</v>
      </c>
      <c r="Z112" s="298">
        <f t="shared" si="70"/>
        <v>0.41301818181818184</v>
      </c>
      <c r="AA112" s="259">
        <f t="shared" si="70"/>
        <v>0.41297297297297303</v>
      </c>
      <c r="AB112" s="259">
        <f t="shared" si="70"/>
        <v>0.39299847792998477</v>
      </c>
      <c r="AC112" s="259">
        <f t="shared" si="70"/>
        <v>0.41301818181818184</v>
      </c>
      <c r="AD112" s="259">
        <f t="shared" si="70"/>
        <v>0.41296296296296298</v>
      </c>
      <c r="AE112" s="259">
        <f t="shared" si="70"/>
        <v>0.41299999999999998</v>
      </c>
      <c r="AF112" s="259">
        <f t="shared" si="70"/>
        <v>0.41299319727891154</v>
      </c>
      <c r="AG112" s="259">
        <f t="shared" si="70"/>
        <v>0.4090100869838863</v>
      </c>
      <c r="AS112" s="240" t="s">
        <v>232</v>
      </c>
      <c r="AT112" s="264"/>
      <c r="AU112" s="264"/>
      <c r="AX112">
        <v>80.700699999999998</v>
      </c>
    </row>
    <row r="113" spans="1:50">
      <c r="A113" s="240" t="s">
        <v>241</v>
      </c>
      <c r="B113" s="298">
        <f t="shared" si="70"/>
        <v>0.43123287671232879</v>
      </c>
      <c r="C113" s="298">
        <f t="shared" si="70"/>
        <v>0.4</v>
      </c>
      <c r="D113" s="298">
        <f t="shared" si="70"/>
        <v>0.38043478260869568</v>
      </c>
      <c r="E113" s="298">
        <f t="shared" si="70"/>
        <v>0.44865403788634095</v>
      </c>
      <c r="F113" s="298">
        <f t="shared" si="70"/>
        <v>0.40293040293040294</v>
      </c>
      <c r="G113" s="298">
        <f t="shared" si="70"/>
        <v>0.4</v>
      </c>
      <c r="H113" s="298">
        <f t="shared" si="70"/>
        <v>0.40476190476190477</v>
      </c>
      <c r="I113" s="298">
        <f t="shared" si="70"/>
        <v>0.40772532188841204</v>
      </c>
      <c r="J113" s="298">
        <f t="shared" si="70"/>
        <v>0.4044725328147788</v>
      </c>
      <c r="K113" s="298">
        <f t="shared" si="70"/>
        <v>0.41071428571428564</v>
      </c>
      <c r="L113" s="298">
        <f t="shared" si="70"/>
        <v>0.41269841269841268</v>
      </c>
      <c r="M113" s="298">
        <f t="shared" si="70"/>
        <v>0.41666666666666669</v>
      </c>
      <c r="N113" s="298">
        <f t="shared" si="70"/>
        <v>0.41318681318681311</v>
      </c>
      <c r="O113" s="298">
        <f t="shared" si="70"/>
        <v>0.41778419641015063</v>
      </c>
      <c r="P113" s="298">
        <f t="shared" si="70"/>
        <v>0.4172169811320755</v>
      </c>
      <c r="Q113" s="298">
        <f t="shared" si="70"/>
        <v>0.41800643086816719</v>
      </c>
      <c r="R113" s="298">
        <f t="shared" si="70"/>
        <v>0.41801418439716315</v>
      </c>
      <c r="S113" s="298">
        <f t="shared" si="70"/>
        <v>0.41800887761572608</v>
      </c>
      <c r="T113" s="298">
        <f t="shared" si="70"/>
        <v>0.4180851063829788</v>
      </c>
      <c r="U113" s="298">
        <f t="shared" si="70"/>
        <v>0.4180232558139535</v>
      </c>
      <c r="V113" s="298">
        <f t="shared" si="70"/>
        <v>0.41297777777777778</v>
      </c>
      <c r="W113" s="298">
        <f t="shared" si="70"/>
        <v>0.41300970873786408</v>
      </c>
      <c r="X113" s="298">
        <f t="shared" si="70"/>
        <v>0.41296137339055794</v>
      </c>
      <c r="Y113" s="298">
        <f t="shared" si="70"/>
        <v>0.41301369863013698</v>
      </c>
      <c r="Z113" s="298">
        <f t="shared" si="70"/>
        <v>0.41301818181818184</v>
      </c>
      <c r="AA113" s="259">
        <f t="shared" si="70"/>
        <v>0.41297297297297303</v>
      </c>
      <c r="AB113" s="259">
        <f t="shared" si="70"/>
        <v>0.39299847792998471</v>
      </c>
      <c r="AC113" s="259">
        <f t="shared" si="70"/>
        <v>0.41301818181818184</v>
      </c>
      <c r="AD113" s="259">
        <f t="shared" si="70"/>
        <v>0.41296296296296298</v>
      </c>
      <c r="AE113" s="259">
        <f t="shared" si="70"/>
        <v>0.41299999999999998</v>
      </c>
      <c r="AF113" s="259">
        <f t="shared" si="70"/>
        <v>0.41299319727891154</v>
      </c>
      <c r="AG113" s="259">
        <f t="shared" si="70"/>
        <v>0.40901008698388636</v>
      </c>
      <c r="AS113" s="240" t="s">
        <v>233</v>
      </c>
      <c r="AT113" s="264"/>
      <c r="AU113" s="264"/>
      <c r="AX113">
        <v>110.7076</v>
      </c>
    </row>
    <row r="114" spans="1:50">
      <c r="A114" s="240" t="s">
        <v>231</v>
      </c>
      <c r="B114" s="298">
        <f t="shared" si="70"/>
        <v>0.43123287671232879</v>
      </c>
      <c r="C114" s="298">
        <f t="shared" si="70"/>
        <v>0.4</v>
      </c>
      <c r="D114" s="298">
        <f t="shared" si="70"/>
        <v>0.38043478260869568</v>
      </c>
      <c r="E114" s="298">
        <f t="shared" si="70"/>
        <v>0.44865403788634095</v>
      </c>
      <c r="F114" s="298">
        <f t="shared" si="70"/>
        <v>0.40293040293040294</v>
      </c>
      <c r="G114" s="298">
        <f t="shared" si="70"/>
        <v>0.4</v>
      </c>
      <c r="H114" s="298">
        <f t="shared" si="70"/>
        <v>0.40476190476190477</v>
      </c>
      <c r="I114" s="298">
        <f t="shared" si="70"/>
        <v>0.40772532188841204</v>
      </c>
      <c r="J114" s="298">
        <f t="shared" si="70"/>
        <v>0.4044725328147788</v>
      </c>
      <c r="K114" s="298">
        <f t="shared" si="70"/>
        <v>0.4107142857142857</v>
      </c>
      <c r="L114" s="298">
        <f t="shared" si="70"/>
        <v>0.41269841269841273</v>
      </c>
      <c r="M114" s="298">
        <f t="shared" si="70"/>
        <v>0.41666666666666669</v>
      </c>
      <c r="N114" s="298">
        <f t="shared" si="70"/>
        <v>0.41318681318681311</v>
      </c>
      <c r="O114" s="298">
        <f t="shared" si="70"/>
        <v>0.41778419641015063</v>
      </c>
      <c r="P114" s="298">
        <f t="shared" si="70"/>
        <v>0.41721698113207545</v>
      </c>
      <c r="Q114" s="298">
        <f t="shared" si="70"/>
        <v>0.41800643086816719</v>
      </c>
      <c r="R114" s="298">
        <f t="shared" si="70"/>
        <v>0.41801418439716315</v>
      </c>
      <c r="S114" s="298">
        <f t="shared" si="70"/>
        <v>0.41800887761572608</v>
      </c>
      <c r="T114" s="298">
        <f t="shared" si="70"/>
        <v>0.41808510638297874</v>
      </c>
      <c r="U114" s="298">
        <f t="shared" si="70"/>
        <v>0.4180232558139535</v>
      </c>
      <c r="V114" s="298">
        <f t="shared" si="70"/>
        <v>0.41297777777777778</v>
      </c>
      <c r="W114" s="298">
        <f t="shared" si="70"/>
        <v>0.41300970873786408</v>
      </c>
      <c r="X114" s="298">
        <f t="shared" si="70"/>
        <v>0.41296137339055794</v>
      </c>
      <c r="Y114" s="298">
        <f t="shared" si="70"/>
        <v>0.41301369863013693</v>
      </c>
      <c r="Z114" s="298">
        <f t="shared" si="70"/>
        <v>0.41301818181818184</v>
      </c>
      <c r="AA114" s="259">
        <f t="shared" si="70"/>
        <v>0.41297297297297303</v>
      </c>
      <c r="AB114" s="259">
        <f t="shared" si="70"/>
        <v>0.39299847792998471</v>
      </c>
      <c r="AC114" s="259">
        <f t="shared" si="70"/>
        <v>0.26899472393254925</v>
      </c>
      <c r="AD114" s="259">
        <f t="shared" si="70"/>
        <v>0.41296296296296298</v>
      </c>
      <c r="AE114" s="259">
        <f t="shared" si="70"/>
        <v>0.41299999999999998</v>
      </c>
      <c r="AF114" s="259">
        <f t="shared" si="70"/>
        <v>0.41299319727891154</v>
      </c>
      <c r="AG114" s="259">
        <f t="shared" si="70"/>
        <v>0.4090100869838863</v>
      </c>
      <c r="AS114" s="240" t="s">
        <v>234</v>
      </c>
      <c r="AT114" s="264"/>
      <c r="AU114" s="264"/>
      <c r="AX114">
        <v>83.831900000000005</v>
      </c>
    </row>
    <row r="115" spans="1:50">
      <c r="A115" s="240" t="s">
        <v>232</v>
      </c>
      <c r="B115" s="298">
        <f t="shared" si="70"/>
        <v>0.43123287671232879</v>
      </c>
      <c r="C115" s="298">
        <f t="shared" si="70"/>
        <v>0.4</v>
      </c>
      <c r="D115" s="298">
        <f t="shared" si="70"/>
        <v>0.38043478260869568</v>
      </c>
      <c r="E115" s="298">
        <f t="shared" si="70"/>
        <v>0.44865403788634101</v>
      </c>
      <c r="F115" s="298">
        <f t="shared" si="70"/>
        <v>0.40293040293040294</v>
      </c>
      <c r="G115" s="298">
        <f t="shared" si="70"/>
        <v>0.4</v>
      </c>
      <c r="H115" s="298">
        <f t="shared" si="70"/>
        <v>0.40476190476190477</v>
      </c>
      <c r="I115" s="298">
        <f t="shared" si="70"/>
        <v>0.40772532188841204</v>
      </c>
      <c r="J115" s="298">
        <f t="shared" si="70"/>
        <v>0.4044725328147788</v>
      </c>
      <c r="K115" s="298">
        <f t="shared" si="70"/>
        <v>0.4107142857142857</v>
      </c>
      <c r="L115" s="298">
        <f t="shared" si="70"/>
        <v>0.41269841269841268</v>
      </c>
      <c r="M115" s="298">
        <f t="shared" si="70"/>
        <v>0.41666666666666669</v>
      </c>
      <c r="N115" s="298">
        <f t="shared" si="70"/>
        <v>0.41318681318681311</v>
      </c>
      <c r="O115" s="298">
        <f t="shared" si="70"/>
        <v>0.41778419641015063</v>
      </c>
      <c r="P115" s="298">
        <f t="shared" si="70"/>
        <v>0.41721698113207545</v>
      </c>
      <c r="Q115" s="298">
        <f t="shared" si="70"/>
        <v>0.41800643086816719</v>
      </c>
      <c r="R115" s="298">
        <f t="shared" si="70"/>
        <v>0.41801418439716315</v>
      </c>
      <c r="S115" s="298">
        <f t="shared" si="70"/>
        <v>0.41800887761572608</v>
      </c>
      <c r="T115" s="298">
        <f t="shared" si="70"/>
        <v>0.41808510638297874</v>
      </c>
      <c r="U115" s="298">
        <f t="shared" si="70"/>
        <v>0.4180232558139535</v>
      </c>
      <c r="V115" s="298">
        <f t="shared" si="70"/>
        <v>0.41297777777777778</v>
      </c>
      <c r="W115" s="298">
        <f t="shared" si="70"/>
        <v>0.41300970873786408</v>
      </c>
      <c r="X115" s="298">
        <f t="shared" si="70"/>
        <v>0.41296137339055794</v>
      </c>
      <c r="Y115" s="298">
        <f t="shared" si="70"/>
        <v>0.41301369863013698</v>
      </c>
      <c r="Z115" s="298">
        <f t="shared" si="70"/>
        <v>0.41301818181818184</v>
      </c>
      <c r="AA115" s="259">
        <f t="shared" si="70"/>
        <v>0.41297297297297297</v>
      </c>
      <c r="AB115" s="259">
        <f t="shared" si="70"/>
        <v>0.39299847792998477</v>
      </c>
      <c r="AC115" s="259">
        <f t="shared" si="70"/>
        <v>0.37931745113302551</v>
      </c>
      <c r="AD115" s="259">
        <f t="shared" si="70"/>
        <v>0.41296296296296298</v>
      </c>
      <c r="AE115" s="259">
        <f t="shared" si="70"/>
        <v>0.41299999999999998</v>
      </c>
      <c r="AF115" s="259">
        <f t="shared" si="70"/>
        <v>0.41299319727891154</v>
      </c>
      <c r="AG115" s="259">
        <f t="shared" si="70"/>
        <v>0.4090100869838863</v>
      </c>
      <c r="AS115" s="240" t="s">
        <v>46</v>
      </c>
      <c r="AT115" s="264"/>
      <c r="AU115" s="264"/>
      <c r="AX115">
        <v>72.370400000000004</v>
      </c>
    </row>
    <row r="116" spans="1:50">
      <c r="A116" s="240" t="s">
        <v>233</v>
      </c>
      <c r="B116" s="298">
        <f t="shared" si="70"/>
        <v>0.43123287671232879</v>
      </c>
      <c r="C116" s="298">
        <f t="shared" si="70"/>
        <v>0.4</v>
      </c>
      <c r="D116" s="298">
        <f t="shared" si="70"/>
        <v>0.38043478260869568</v>
      </c>
      <c r="E116" s="298">
        <f t="shared" si="70"/>
        <v>0.44865403788634095</v>
      </c>
      <c r="F116" s="298">
        <f t="shared" si="70"/>
        <v>0.40293040293040289</v>
      </c>
      <c r="G116" s="298">
        <f t="shared" si="70"/>
        <v>0.4</v>
      </c>
      <c r="H116" s="298">
        <f t="shared" si="70"/>
        <v>0.40476190476190477</v>
      </c>
      <c r="I116" s="298">
        <f t="shared" si="70"/>
        <v>0.40772532188841204</v>
      </c>
      <c r="J116" s="298">
        <f t="shared" si="70"/>
        <v>0.4044725328147788</v>
      </c>
      <c r="K116" s="298">
        <f t="shared" si="70"/>
        <v>0.4107142857142857</v>
      </c>
      <c r="L116" s="298">
        <f t="shared" si="70"/>
        <v>0.41269841269841268</v>
      </c>
      <c r="M116" s="298">
        <f t="shared" si="70"/>
        <v>0.41666666666666669</v>
      </c>
      <c r="N116" s="298">
        <f t="shared" si="70"/>
        <v>0.41318681318681316</v>
      </c>
      <c r="O116" s="298">
        <f t="shared" si="70"/>
        <v>0.41778419641015069</v>
      </c>
      <c r="P116" s="298">
        <f t="shared" si="70"/>
        <v>0.41721698113207545</v>
      </c>
      <c r="Q116" s="298">
        <f t="shared" si="70"/>
        <v>0.41800643086816719</v>
      </c>
      <c r="R116" s="298">
        <f t="shared" si="70"/>
        <v>0.41801418439716315</v>
      </c>
      <c r="S116" s="298">
        <f t="shared" si="70"/>
        <v>0.41800887761572608</v>
      </c>
      <c r="T116" s="298">
        <f t="shared" si="70"/>
        <v>0.41808510638297874</v>
      </c>
      <c r="U116" s="298">
        <f t="shared" si="70"/>
        <v>0.4180232558139535</v>
      </c>
      <c r="V116" s="298">
        <f t="shared" si="70"/>
        <v>0.41297777777777772</v>
      </c>
      <c r="W116" s="298">
        <f t="shared" si="70"/>
        <v>0.41300970873786413</v>
      </c>
      <c r="X116" s="298">
        <f t="shared" si="70"/>
        <v>0.41296137339055794</v>
      </c>
      <c r="Y116" s="298">
        <f t="shared" si="70"/>
        <v>0.41301369863013698</v>
      </c>
      <c r="Z116" s="298">
        <f t="shared" si="70"/>
        <v>0.41301818181818184</v>
      </c>
      <c r="AA116" s="259">
        <f t="shared" si="70"/>
        <v>0.41297297297297292</v>
      </c>
      <c r="AB116" s="259">
        <f t="shared" si="70"/>
        <v>0.39299847792998471</v>
      </c>
      <c r="AC116" s="259">
        <f t="shared" si="70"/>
        <v>0.46801523826869135</v>
      </c>
      <c r="AD116" s="259">
        <f t="shared" si="70"/>
        <v>0.41296296296296298</v>
      </c>
      <c r="AE116" s="259">
        <f t="shared" si="70"/>
        <v>0.41299999999999998</v>
      </c>
      <c r="AF116" s="259">
        <f t="shared" si="70"/>
        <v>0.41299319727891154</v>
      </c>
      <c r="AG116" s="259">
        <f t="shared" si="70"/>
        <v>0.4090100869838863</v>
      </c>
      <c r="AS116" s="240" t="s">
        <v>235</v>
      </c>
      <c r="AT116" s="264"/>
      <c r="AU116" s="264"/>
      <c r="AX116">
        <v>54.687199999999997</v>
      </c>
    </row>
    <row r="117" spans="1:50">
      <c r="A117" s="240" t="s">
        <v>234</v>
      </c>
      <c r="B117" s="298">
        <f t="shared" si="70"/>
        <v>0.43123287671232885</v>
      </c>
      <c r="C117" s="298">
        <f t="shared" si="70"/>
        <v>0.4</v>
      </c>
      <c r="D117" s="298">
        <f t="shared" si="70"/>
        <v>0.38043478260869568</v>
      </c>
      <c r="E117" s="298">
        <f t="shared" si="70"/>
        <v>0.44865403788634095</v>
      </c>
      <c r="F117" s="298">
        <f t="shared" si="70"/>
        <v>0.40293040293040294</v>
      </c>
      <c r="G117" s="298">
        <f t="shared" si="70"/>
        <v>0.4</v>
      </c>
      <c r="H117" s="298">
        <f t="shared" si="70"/>
        <v>0.40476190476190477</v>
      </c>
      <c r="I117" s="298">
        <f t="shared" si="70"/>
        <v>0.40772532188841204</v>
      </c>
      <c r="J117" s="298">
        <f t="shared" si="70"/>
        <v>0.4044725328147788</v>
      </c>
      <c r="K117" s="298">
        <f t="shared" si="70"/>
        <v>0.4107142857142857</v>
      </c>
      <c r="L117" s="298">
        <f t="shared" si="70"/>
        <v>0.41269841269841268</v>
      </c>
      <c r="M117" s="298">
        <f t="shared" si="70"/>
        <v>0.41666666666666669</v>
      </c>
      <c r="N117" s="298">
        <f t="shared" si="70"/>
        <v>0.41318681318681316</v>
      </c>
      <c r="O117" s="298">
        <f t="shared" si="70"/>
        <v>0.41778419641015069</v>
      </c>
      <c r="P117" s="298">
        <f t="shared" si="70"/>
        <v>0.41721698113207545</v>
      </c>
      <c r="Q117" s="298">
        <f t="shared" si="70"/>
        <v>0.41800643086816719</v>
      </c>
      <c r="R117" s="298">
        <f t="shared" si="70"/>
        <v>0.41801418439716315</v>
      </c>
      <c r="S117" s="298">
        <f t="shared" si="70"/>
        <v>0.41800887761572608</v>
      </c>
      <c r="T117" s="298">
        <f t="shared" si="70"/>
        <v>0.41808510638297874</v>
      </c>
      <c r="U117" s="298">
        <f t="shared" si="70"/>
        <v>0.4180232558139535</v>
      </c>
      <c r="V117" s="298">
        <f t="shared" si="70"/>
        <v>0.41297777777777778</v>
      </c>
      <c r="W117" s="298">
        <f t="shared" si="70"/>
        <v>0.41300970873786408</v>
      </c>
      <c r="X117" s="298">
        <f t="shared" si="70"/>
        <v>0.41296137339055794</v>
      </c>
      <c r="Y117" s="298">
        <f t="shared" si="70"/>
        <v>0.41301369863013698</v>
      </c>
      <c r="Z117" s="298">
        <f t="shared" si="70"/>
        <v>0.41301818181818184</v>
      </c>
      <c r="AA117" s="259">
        <f t="shared" si="70"/>
        <v>0.41297297297297297</v>
      </c>
      <c r="AB117" s="259">
        <f t="shared" si="70"/>
        <v>0.39299847792998477</v>
      </c>
      <c r="AC117" s="259">
        <f t="shared" si="70"/>
        <v>0.34642203043052344</v>
      </c>
      <c r="AD117" s="259">
        <f t="shared" si="70"/>
        <v>0.41296296296296298</v>
      </c>
      <c r="AE117" s="259">
        <f t="shared" si="70"/>
        <v>0.41299999999999998</v>
      </c>
      <c r="AF117" s="259">
        <f t="shared" si="70"/>
        <v>0.41299319727891159</v>
      </c>
      <c r="AG117" s="259">
        <f t="shared" si="70"/>
        <v>0.4090100869838863</v>
      </c>
      <c r="AS117" s="240" t="s">
        <v>236</v>
      </c>
      <c r="AT117" s="264"/>
      <c r="AU117" s="264"/>
      <c r="AX117">
        <v>78.718400000000003</v>
      </c>
    </row>
    <row r="118" spans="1:50">
      <c r="A118" s="240" t="s">
        <v>46</v>
      </c>
      <c r="B118" s="298">
        <f t="shared" si="70"/>
        <v>0.43123287671232879</v>
      </c>
      <c r="C118" s="298">
        <f t="shared" si="70"/>
        <v>0.4</v>
      </c>
      <c r="D118" s="298">
        <f t="shared" si="70"/>
        <v>0.38043478260869568</v>
      </c>
      <c r="E118" s="298">
        <f t="shared" si="70"/>
        <v>0.44865403788634095</v>
      </c>
      <c r="F118" s="298">
        <f t="shared" si="70"/>
        <v>0.40293040293040294</v>
      </c>
      <c r="G118" s="298">
        <f t="shared" si="70"/>
        <v>0.40000000000000008</v>
      </c>
      <c r="H118" s="298">
        <f t="shared" si="70"/>
        <v>0.40476190476190477</v>
      </c>
      <c r="I118" s="298">
        <f t="shared" si="70"/>
        <v>0.40772532188841204</v>
      </c>
      <c r="J118" s="298">
        <f t="shared" si="70"/>
        <v>0.40447253281477874</v>
      </c>
      <c r="K118" s="298">
        <f t="shared" si="70"/>
        <v>0.4107142857142857</v>
      </c>
      <c r="L118" s="298">
        <f t="shared" si="70"/>
        <v>0.41269841269841268</v>
      </c>
      <c r="M118" s="298">
        <f t="shared" si="70"/>
        <v>0.41666666666666669</v>
      </c>
      <c r="N118" s="298">
        <f t="shared" si="70"/>
        <v>0.41318681318681316</v>
      </c>
      <c r="O118" s="298">
        <f t="shared" si="70"/>
        <v>0.41778419641015063</v>
      </c>
      <c r="P118" s="298">
        <f t="shared" si="70"/>
        <v>0.41721698113207545</v>
      </c>
      <c r="Q118" s="298">
        <f t="shared" si="70"/>
        <v>0.41800643086816719</v>
      </c>
      <c r="R118" s="298">
        <f t="shared" si="70"/>
        <v>0.41801418439716315</v>
      </c>
      <c r="S118" s="298">
        <f t="shared" si="70"/>
        <v>0.41800887761572603</v>
      </c>
      <c r="T118" s="298">
        <f t="shared" si="70"/>
        <v>0.41808510638297874</v>
      </c>
      <c r="U118" s="298">
        <f t="shared" si="70"/>
        <v>0.4180232558139535</v>
      </c>
      <c r="V118" s="298">
        <f t="shared" si="70"/>
        <v>0.41297777777777778</v>
      </c>
      <c r="W118" s="298">
        <f t="shared" si="70"/>
        <v>0.41300970873786408</v>
      </c>
      <c r="X118" s="298">
        <f t="shared" si="70"/>
        <v>0.41296137339055794</v>
      </c>
      <c r="Y118" s="298">
        <f t="shared" si="70"/>
        <v>0.41301369863013698</v>
      </c>
      <c r="Z118" s="298">
        <f t="shared" si="70"/>
        <v>0.41301818181818184</v>
      </c>
      <c r="AA118" s="259">
        <f t="shared" si="70"/>
        <v>0.41297297297297297</v>
      </c>
      <c r="AB118" s="259">
        <f t="shared" si="70"/>
        <v>0.39299847792998477</v>
      </c>
      <c r="AC118" s="259">
        <f t="shared" si="70"/>
        <v>0.32236993507982969</v>
      </c>
      <c r="AD118" s="259">
        <f t="shared" si="70"/>
        <v>0.41296296296296298</v>
      </c>
      <c r="AE118" s="259">
        <f t="shared" si="70"/>
        <v>0.41299999999999998</v>
      </c>
      <c r="AF118" s="259">
        <f t="shared" si="70"/>
        <v>0.41299319727891154</v>
      </c>
      <c r="AG118" s="259">
        <f t="shared" ref="AG118:AH118" si="71">AG102/AG86</f>
        <v>0.4090100869838863</v>
      </c>
      <c r="AS118" s="240" t="s">
        <v>237</v>
      </c>
      <c r="AT118" s="264"/>
      <c r="AU118" s="264"/>
      <c r="AX118">
        <v>17.667000000000002</v>
      </c>
    </row>
    <row r="119" spans="1:50">
      <c r="A119" s="240" t="s">
        <v>235</v>
      </c>
      <c r="B119" s="298">
        <f t="shared" ref="B119:AG122" si="72">B103/B87</f>
        <v>0.43123287671232879</v>
      </c>
      <c r="C119" s="298">
        <f t="shared" si="72"/>
        <v>0.4</v>
      </c>
      <c r="D119" s="298">
        <f t="shared" si="72"/>
        <v>0.38043478260869568</v>
      </c>
      <c r="E119" s="298">
        <f t="shared" si="72"/>
        <v>0.44865403788634095</v>
      </c>
      <c r="F119" s="298">
        <f t="shared" si="72"/>
        <v>0.40293040293040294</v>
      </c>
      <c r="G119" s="298">
        <f t="shared" si="72"/>
        <v>0.4</v>
      </c>
      <c r="H119" s="298">
        <f t="shared" si="72"/>
        <v>0.40476190476190471</v>
      </c>
      <c r="I119" s="298">
        <f t="shared" si="72"/>
        <v>0.40772532188841204</v>
      </c>
      <c r="J119" s="298">
        <f t="shared" si="72"/>
        <v>0.4044725328147788</v>
      </c>
      <c r="K119" s="298">
        <f t="shared" si="72"/>
        <v>0.4107142857142857</v>
      </c>
      <c r="L119" s="298">
        <f t="shared" si="72"/>
        <v>0.41269841269841268</v>
      </c>
      <c r="M119" s="298">
        <f t="shared" si="72"/>
        <v>0.41666666666666669</v>
      </c>
      <c r="N119" s="298">
        <f t="shared" si="72"/>
        <v>0.41318681318681316</v>
      </c>
      <c r="O119" s="298">
        <f t="shared" si="72"/>
        <v>0.41778419641015063</v>
      </c>
      <c r="P119" s="298">
        <f t="shared" si="72"/>
        <v>0.41721698113207545</v>
      </c>
      <c r="Q119" s="298">
        <f t="shared" si="72"/>
        <v>0.41800643086816719</v>
      </c>
      <c r="R119" s="298">
        <f t="shared" si="72"/>
        <v>0.41801418439716309</v>
      </c>
      <c r="S119" s="298">
        <f t="shared" si="72"/>
        <v>0.41800887761572603</v>
      </c>
      <c r="T119" s="298">
        <f t="shared" si="72"/>
        <v>0.41808510638297869</v>
      </c>
      <c r="U119" s="298">
        <f t="shared" si="72"/>
        <v>0.4180232558139535</v>
      </c>
      <c r="V119" s="298">
        <f t="shared" si="72"/>
        <v>0.41297777777777772</v>
      </c>
      <c r="W119" s="298">
        <f t="shared" si="72"/>
        <v>0.41300970873786408</v>
      </c>
      <c r="X119" s="298">
        <f t="shared" si="72"/>
        <v>0.41296137339055794</v>
      </c>
      <c r="Y119" s="298">
        <f t="shared" si="72"/>
        <v>0.41301369863013698</v>
      </c>
      <c r="Z119" s="298">
        <f t="shared" si="72"/>
        <v>0.41301818181818184</v>
      </c>
      <c r="AA119" s="259">
        <f t="shared" si="72"/>
        <v>0.41297297297297292</v>
      </c>
      <c r="AB119" s="259">
        <f t="shared" si="72"/>
        <v>0.39299847792998471</v>
      </c>
      <c r="AC119" s="259">
        <f t="shared" si="72"/>
        <v>0.33757151457481949</v>
      </c>
      <c r="AD119" s="259">
        <f t="shared" si="72"/>
        <v>0.41296296296296298</v>
      </c>
      <c r="AE119" s="259">
        <f t="shared" si="72"/>
        <v>0.41299999999999998</v>
      </c>
      <c r="AF119" s="259">
        <f t="shared" si="72"/>
        <v>0.41299319727891154</v>
      </c>
      <c r="AG119" s="259">
        <f t="shared" si="72"/>
        <v>0.4090100869838863</v>
      </c>
      <c r="AS119" s="240" t="s">
        <v>238</v>
      </c>
      <c r="AT119" s="264"/>
      <c r="AU119" s="264"/>
      <c r="AX119">
        <v>85.438000000000002</v>
      </c>
    </row>
    <row r="120" spans="1:50">
      <c r="A120" s="240" t="s">
        <v>236</v>
      </c>
      <c r="B120" s="298">
        <f t="shared" si="72"/>
        <v>0.43123287671232879</v>
      </c>
      <c r="C120" s="298">
        <f t="shared" si="72"/>
        <v>0.4</v>
      </c>
      <c r="D120" s="298">
        <f t="shared" si="72"/>
        <v>0.38043478260869568</v>
      </c>
      <c r="E120" s="298">
        <f t="shared" si="72"/>
        <v>0.44865403788634095</v>
      </c>
      <c r="F120" s="298">
        <f t="shared" si="72"/>
        <v>0.402930402930403</v>
      </c>
      <c r="G120" s="298">
        <f t="shared" si="72"/>
        <v>0.4</v>
      </c>
      <c r="H120" s="298">
        <f t="shared" si="72"/>
        <v>0.40476190476190477</v>
      </c>
      <c r="I120" s="298">
        <f t="shared" si="72"/>
        <v>0.40772532188841204</v>
      </c>
      <c r="J120" s="298">
        <f t="shared" si="72"/>
        <v>0.4044725328147788</v>
      </c>
      <c r="K120" s="298">
        <f t="shared" si="72"/>
        <v>0.4107142857142857</v>
      </c>
      <c r="L120" s="298">
        <f t="shared" si="72"/>
        <v>0.41269841269841268</v>
      </c>
      <c r="M120" s="298">
        <f t="shared" si="72"/>
        <v>0.41666666666666674</v>
      </c>
      <c r="N120" s="298">
        <f t="shared" si="72"/>
        <v>0.41318681318681316</v>
      </c>
      <c r="O120" s="298">
        <f t="shared" si="72"/>
        <v>0.41778419641015058</v>
      </c>
      <c r="P120" s="298">
        <f t="shared" si="72"/>
        <v>0.41721698113207545</v>
      </c>
      <c r="Q120" s="298">
        <f t="shared" si="72"/>
        <v>0.41800643086816719</v>
      </c>
      <c r="R120" s="298">
        <f t="shared" si="72"/>
        <v>0.41801418439716315</v>
      </c>
      <c r="S120" s="298">
        <f t="shared" si="72"/>
        <v>0.41800887761572608</v>
      </c>
      <c r="T120" s="298">
        <f t="shared" si="72"/>
        <v>0.41808510638297874</v>
      </c>
      <c r="U120" s="298">
        <f t="shared" si="72"/>
        <v>0.41802325581395344</v>
      </c>
      <c r="V120" s="298">
        <f t="shared" si="72"/>
        <v>0.41297777777777778</v>
      </c>
      <c r="W120" s="298">
        <f t="shared" si="72"/>
        <v>0.41300970873786408</v>
      </c>
      <c r="X120" s="298">
        <f t="shared" si="72"/>
        <v>0.41296137339055794</v>
      </c>
      <c r="Y120" s="298">
        <f t="shared" si="72"/>
        <v>0.41301369863013698</v>
      </c>
      <c r="Z120" s="298">
        <f t="shared" si="72"/>
        <v>0.41301818181818184</v>
      </c>
      <c r="AA120" s="259">
        <f t="shared" si="72"/>
        <v>0.41297297297297297</v>
      </c>
      <c r="AB120" s="259">
        <f t="shared" si="72"/>
        <v>0.39299847792998482</v>
      </c>
      <c r="AC120" s="259">
        <f t="shared" si="72"/>
        <v>0.2397034367255555</v>
      </c>
      <c r="AD120" s="259">
        <f t="shared" si="72"/>
        <v>0.41296296296296303</v>
      </c>
      <c r="AE120" s="259">
        <f t="shared" si="72"/>
        <v>0.41299999999999998</v>
      </c>
      <c r="AF120" s="259">
        <f t="shared" si="72"/>
        <v>0.41299319727891154</v>
      </c>
      <c r="AG120" s="259">
        <f t="shared" si="72"/>
        <v>0.4090100869838863</v>
      </c>
      <c r="AS120" s="240" t="s">
        <v>239</v>
      </c>
      <c r="AT120" s="264"/>
      <c r="AU120" s="264"/>
      <c r="AX120">
        <v>96.171000000000006</v>
      </c>
    </row>
    <row r="121" spans="1:50">
      <c r="A121" s="240" t="s">
        <v>237</v>
      </c>
      <c r="B121" s="298">
        <f t="shared" si="72"/>
        <v>0.43123287671232879</v>
      </c>
      <c r="C121" s="298">
        <f t="shared" si="72"/>
        <v>0.4</v>
      </c>
      <c r="D121" s="298">
        <f t="shared" si="72"/>
        <v>0.38043478260869568</v>
      </c>
      <c r="E121" s="298">
        <f t="shared" si="72"/>
        <v>0.44865403788634095</v>
      </c>
      <c r="F121" s="298">
        <f t="shared" si="72"/>
        <v>0.40293040293040294</v>
      </c>
      <c r="G121" s="298">
        <f t="shared" si="72"/>
        <v>0.4</v>
      </c>
      <c r="H121" s="298">
        <f t="shared" si="72"/>
        <v>0.40476190476190477</v>
      </c>
      <c r="I121" s="298">
        <f t="shared" si="72"/>
        <v>0.40772532188841204</v>
      </c>
      <c r="J121" s="298">
        <f t="shared" si="72"/>
        <v>0.40447253281477885</v>
      </c>
      <c r="K121" s="298">
        <f t="shared" si="72"/>
        <v>0.4107142857142857</v>
      </c>
      <c r="L121" s="298">
        <f t="shared" si="72"/>
        <v>0.41269841269841268</v>
      </c>
      <c r="M121" s="298">
        <f t="shared" si="72"/>
        <v>0.41666666666666674</v>
      </c>
      <c r="N121" s="298">
        <f t="shared" si="72"/>
        <v>0.41318681318681316</v>
      </c>
      <c r="O121" s="298">
        <f t="shared" si="72"/>
        <v>0.41778419641015069</v>
      </c>
      <c r="P121" s="298">
        <f t="shared" si="72"/>
        <v>0.41721698113207545</v>
      </c>
      <c r="Q121" s="298">
        <f t="shared" si="72"/>
        <v>0.41800643086816719</v>
      </c>
      <c r="R121" s="298">
        <f t="shared" si="72"/>
        <v>0.41801418439716315</v>
      </c>
      <c r="S121" s="298">
        <f t="shared" si="72"/>
        <v>0.41800887761572608</v>
      </c>
      <c r="T121" s="298">
        <f t="shared" si="72"/>
        <v>0.4180851063829788</v>
      </c>
      <c r="U121" s="298">
        <f t="shared" si="72"/>
        <v>0.4180232558139535</v>
      </c>
      <c r="V121" s="298">
        <f t="shared" si="72"/>
        <v>0.41297777777777778</v>
      </c>
      <c r="W121" s="298">
        <f t="shared" si="72"/>
        <v>0.41300970873786408</v>
      </c>
      <c r="X121" s="298">
        <f t="shared" si="72"/>
        <v>0.41296137339055794</v>
      </c>
      <c r="Y121" s="298">
        <f t="shared" si="72"/>
        <v>0.41301369863013698</v>
      </c>
      <c r="Z121" s="298">
        <f t="shared" si="72"/>
        <v>0.41301818181818184</v>
      </c>
      <c r="AA121" s="259">
        <f t="shared" si="72"/>
        <v>0.41297297297297297</v>
      </c>
      <c r="AB121" s="259">
        <f t="shared" si="72"/>
        <v>0.39299847792998471</v>
      </c>
      <c r="AC121" s="259">
        <f t="shared" si="72"/>
        <v>0.41301818181818178</v>
      </c>
      <c r="AD121" s="259">
        <f t="shared" si="72"/>
        <v>0.41296296296296303</v>
      </c>
      <c r="AE121" s="259">
        <f t="shared" si="72"/>
        <v>0.41299999999999998</v>
      </c>
      <c r="AF121" s="259">
        <f t="shared" si="72"/>
        <v>0.41299319727891154</v>
      </c>
      <c r="AG121" s="259">
        <f t="shared" si="72"/>
        <v>0.4090100869838863</v>
      </c>
      <c r="AS121" s="240" t="s">
        <v>240</v>
      </c>
      <c r="AT121" s="264"/>
      <c r="AU121" s="264"/>
    </row>
    <row r="122" spans="1:50">
      <c r="A122" s="240" t="s">
        <v>238</v>
      </c>
      <c r="B122" s="298">
        <f t="shared" si="72"/>
        <v>0.43123287671232879</v>
      </c>
      <c r="C122" s="298">
        <f t="shared" si="72"/>
        <v>0.4</v>
      </c>
      <c r="D122" s="298">
        <f t="shared" si="72"/>
        <v>0.38043478260869562</v>
      </c>
      <c r="E122" s="298">
        <f t="shared" si="72"/>
        <v>0.4486540378863409</v>
      </c>
      <c r="F122" s="298">
        <f t="shared" si="72"/>
        <v>0.40293040293040294</v>
      </c>
      <c r="G122" s="298">
        <f t="shared" si="72"/>
        <v>0.4</v>
      </c>
      <c r="H122" s="298">
        <f t="shared" si="72"/>
        <v>0.40476190476190477</v>
      </c>
      <c r="I122" s="298">
        <f t="shared" si="72"/>
        <v>0.40772532188841204</v>
      </c>
      <c r="J122" s="298">
        <f t="shared" si="72"/>
        <v>0.4044725328147788</v>
      </c>
      <c r="K122" s="298">
        <f t="shared" si="72"/>
        <v>0.4107142857142857</v>
      </c>
      <c r="L122" s="298">
        <f t="shared" si="72"/>
        <v>0.41269841269841268</v>
      </c>
      <c r="M122" s="298">
        <f t="shared" si="72"/>
        <v>0.41666666666666663</v>
      </c>
      <c r="N122" s="298">
        <f t="shared" si="72"/>
        <v>0.41318681318681316</v>
      </c>
      <c r="O122" s="298">
        <f t="shared" si="72"/>
        <v>0.41778419641015063</v>
      </c>
      <c r="P122" s="298">
        <f t="shared" si="72"/>
        <v>0.4172169811320755</v>
      </c>
      <c r="Q122" s="298">
        <f t="shared" si="72"/>
        <v>0.41800643086816719</v>
      </c>
      <c r="R122" s="298">
        <f t="shared" si="72"/>
        <v>0.41801418439716309</v>
      </c>
      <c r="S122" s="298">
        <f t="shared" si="72"/>
        <v>0.41800887761572608</v>
      </c>
      <c r="T122" s="298">
        <f t="shared" si="72"/>
        <v>0.41808510638297874</v>
      </c>
      <c r="U122" s="298">
        <f t="shared" si="72"/>
        <v>0.4180232558139535</v>
      </c>
      <c r="V122" s="298">
        <f t="shared" si="72"/>
        <v>0.41297777777777783</v>
      </c>
      <c r="W122" s="298">
        <f t="shared" si="72"/>
        <v>0.41300970873786408</v>
      </c>
      <c r="X122" s="298">
        <f t="shared" si="72"/>
        <v>0.412961373390558</v>
      </c>
      <c r="Y122" s="298">
        <f t="shared" si="72"/>
        <v>0.41301369863013693</v>
      </c>
      <c r="Z122" s="298">
        <f t="shared" si="72"/>
        <v>0.41301818181818184</v>
      </c>
      <c r="AA122" s="259">
        <f t="shared" si="72"/>
        <v>0.41297297297297297</v>
      </c>
      <c r="AB122" s="259">
        <f t="shared" si="72"/>
        <v>0.39299847792998477</v>
      </c>
      <c r="AC122" s="259">
        <f t="shared" si="72"/>
        <v>0.41301818181818184</v>
      </c>
      <c r="AD122" s="259">
        <f t="shared" si="72"/>
        <v>0.41296296296296298</v>
      </c>
      <c r="AE122" s="259">
        <f t="shared" si="72"/>
        <v>0.41299999999999998</v>
      </c>
      <c r="AF122" s="259">
        <f t="shared" si="72"/>
        <v>0.41299319727891154</v>
      </c>
      <c r="AG122" s="259">
        <f t="shared" si="72"/>
        <v>0.4090100869838863</v>
      </c>
      <c r="AS122" s="240" t="s">
        <v>241</v>
      </c>
      <c r="AT122" s="264"/>
      <c r="AU122" s="264"/>
    </row>
    <row r="123" spans="1:50" ht="15.75" thickBot="1">
      <c r="A123" s="240" t="s">
        <v>255</v>
      </c>
      <c r="B123" s="258">
        <v>0.43123287671232879</v>
      </c>
      <c r="C123" s="258">
        <v>0.4</v>
      </c>
      <c r="D123" s="258">
        <v>0.38043478260869568</v>
      </c>
      <c r="E123" s="258">
        <v>0.44865403788634095</v>
      </c>
      <c r="F123" s="258">
        <v>0.40293040293040294</v>
      </c>
      <c r="G123" s="258">
        <v>0.4</v>
      </c>
      <c r="H123" s="258">
        <v>0.40476190476190477</v>
      </c>
      <c r="I123" s="258">
        <v>0.40772532188841204</v>
      </c>
      <c r="J123" s="258">
        <v>0.4044725328147788</v>
      </c>
      <c r="K123" s="258">
        <v>0.4107142857142857</v>
      </c>
      <c r="L123" s="258">
        <v>0.41269841269841268</v>
      </c>
      <c r="M123" s="258">
        <v>0.41666666666666669</v>
      </c>
      <c r="N123" s="258">
        <v>0.41318681318681316</v>
      </c>
      <c r="O123" s="258">
        <v>0.41778419641015063</v>
      </c>
      <c r="P123" s="258">
        <v>0.41721698113207545</v>
      </c>
      <c r="Q123" s="258">
        <v>0.41800643086816719</v>
      </c>
      <c r="R123" s="258">
        <v>0.41801418439716315</v>
      </c>
      <c r="S123" s="258">
        <v>0.41800887761572608</v>
      </c>
      <c r="T123" s="258">
        <v>0.41808510638297874</v>
      </c>
      <c r="U123" s="258">
        <v>0.4180232558139535</v>
      </c>
      <c r="V123" s="258">
        <v>0.41297777777777778</v>
      </c>
      <c r="W123" s="258">
        <v>0.41300970873786408</v>
      </c>
      <c r="X123" s="258">
        <v>0.41296137339055794</v>
      </c>
      <c r="Y123" s="258">
        <v>0.41301369863013698</v>
      </c>
      <c r="Z123" s="258">
        <v>0.41301818181818184</v>
      </c>
      <c r="AA123" s="259">
        <v>0.41297297297297297</v>
      </c>
      <c r="AB123" s="259">
        <v>0.39299847792998477</v>
      </c>
      <c r="AC123" s="259">
        <v>0.41301818181818184</v>
      </c>
      <c r="AD123" s="259">
        <v>0.41296296296296298</v>
      </c>
      <c r="AE123" s="259">
        <v>0.41299999999999998</v>
      </c>
      <c r="AF123" s="259">
        <v>0.41299319727891154</v>
      </c>
      <c r="AG123" s="259">
        <f t="shared" ref="AG123" si="73">FORECAST(AG44,N123:AF123,N44:AF44)</f>
        <v>0.4090100869838863</v>
      </c>
    </row>
    <row r="124" spans="1:50">
      <c r="A124" s="248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  <c r="AA124" s="248"/>
      <c r="AB124" s="248"/>
      <c r="AC124" s="248"/>
      <c r="AD124" s="248"/>
      <c r="AE124" s="248"/>
      <c r="AF124" s="248"/>
      <c r="AG124" s="248"/>
    </row>
    <row r="125" spans="1:50" ht="15.75" thickBot="1">
      <c r="A125" s="235" t="s">
        <v>256</v>
      </c>
    </row>
    <row r="126" spans="1:50" ht="15.75" thickBot="1">
      <c r="A126" s="236"/>
      <c r="B126" s="237" t="str">
        <f>B$2</f>
        <v xml:space="preserve">93/94 </v>
      </c>
      <c r="C126" s="237" t="str">
        <f t="shared" ref="C126:AG126" si="74">C$2</f>
        <v xml:space="preserve">94/95 </v>
      </c>
      <c r="D126" s="237" t="str">
        <f t="shared" si="74"/>
        <v xml:space="preserve">95/96 </v>
      </c>
      <c r="E126" s="237" t="str">
        <f t="shared" si="74"/>
        <v xml:space="preserve">96/97 </v>
      </c>
      <c r="F126" s="237" t="str">
        <f t="shared" si="74"/>
        <v xml:space="preserve">97/98 </v>
      </c>
      <c r="G126" s="237" t="str">
        <f t="shared" si="74"/>
        <v xml:space="preserve">98/99 </v>
      </c>
      <c r="H126" s="237" t="str">
        <f t="shared" si="74"/>
        <v xml:space="preserve">99/00 </v>
      </c>
      <c r="I126" s="237" t="str">
        <f t="shared" si="74"/>
        <v xml:space="preserve">00/01 </v>
      </c>
      <c r="J126" s="237" t="str">
        <f t="shared" si="74"/>
        <v xml:space="preserve">01/02 </v>
      </c>
      <c r="K126" s="237" t="str">
        <f t="shared" si="74"/>
        <v xml:space="preserve">02/03 </v>
      </c>
      <c r="L126" s="237" t="str">
        <f t="shared" si="74"/>
        <v xml:space="preserve">03/04 </v>
      </c>
      <c r="M126" s="237" t="str">
        <f t="shared" si="74"/>
        <v xml:space="preserve">04/05 </v>
      </c>
      <c r="N126" s="237" t="str">
        <f t="shared" si="74"/>
        <v xml:space="preserve">05/06 </v>
      </c>
      <c r="O126" s="237" t="str">
        <f t="shared" si="74"/>
        <v xml:space="preserve">06/07 </v>
      </c>
      <c r="P126" s="237" t="str">
        <f t="shared" si="74"/>
        <v xml:space="preserve">07/08 </v>
      </c>
      <c r="Q126" s="237" t="str">
        <f t="shared" si="74"/>
        <v xml:space="preserve">08/09 </v>
      </c>
      <c r="R126" s="237" t="str">
        <f t="shared" si="74"/>
        <v xml:space="preserve">09/10 </v>
      </c>
      <c r="S126" s="237" t="str">
        <f t="shared" si="74"/>
        <v xml:space="preserve">10/11 </v>
      </c>
      <c r="T126" s="237" t="str">
        <f t="shared" si="74"/>
        <v xml:space="preserve">11/12 </v>
      </c>
      <c r="U126" s="237" t="str">
        <f t="shared" si="74"/>
        <v xml:space="preserve">12/13 </v>
      </c>
      <c r="V126" s="237" t="str">
        <f t="shared" si="74"/>
        <v xml:space="preserve">13/14 </v>
      </c>
      <c r="W126" s="237" t="str">
        <f t="shared" si="74"/>
        <v xml:space="preserve">14/15 </v>
      </c>
      <c r="X126" s="237" t="str">
        <f t="shared" si="74"/>
        <v xml:space="preserve">15/16 </v>
      </c>
      <c r="Y126" s="237" t="str">
        <f t="shared" si="74"/>
        <v xml:space="preserve">16/17 </v>
      </c>
      <c r="Z126" s="237" t="str">
        <f t="shared" si="74"/>
        <v xml:space="preserve">17/18 </v>
      </c>
      <c r="AA126" s="237" t="str">
        <f t="shared" si="74"/>
        <v xml:space="preserve">18/19 </v>
      </c>
      <c r="AB126" s="237" t="str">
        <f t="shared" si="74"/>
        <v xml:space="preserve">19/20 </v>
      </c>
      <c r="AC126" s="237" t="str">
        <f t="shared" si="74"/>
        <v xml:space="preserve">20/21 </v>
      </c>
      <c r="AD126" s="237" t="str">
        <f t="shared" si="74"/>
        <v>21/22</v>
      </c>
      <c r="AE126" s="237" t="str">
        <f t="shared" si="74"/>
        <v>22/23</v>
      </c>
      <c r="AF126" s="237" t="str">
        <f t="shared" si="74"/>
        <v>23/24</v>
      </c>
      <c r="AG126" s="237" t="str">
        <f t="shared" si="74"/>
        <v>24/25</v>
      </c>
    </row>
    <row r="127" spans="1:50">
      <c r="A127" s="240" t="s">
        <v>239</v>
      </c>
      <c r="B127" s="241">
        <f>(SUM(T127:X127)/SUM(T$139:X$139))*B$139</f>
        <v>0</v>
      </c>
      <c r="C127" s="241">
        <f t="shared" ref="C127:C138" si="75">(SUM(L127:P127)/SUM(L$139:P$139))*C$139</f>
        <v>0</v>
      </c>
      <c r="D127" s="241">
        <v>0</v>
      </c>
      <c r="E127" s="242">
        <f>'[5]Indonesia Copra Meal Imports'!BL$290</f>
        <v>0</v>
      </c>
      <c r="F127" s="358">
        <f>'[5]Indonesia Copra Meal Imports'!BX$290</f>
        <v>0</v>
      </c>
      <c r="G127" s="358">
        <f>'[5]Indonesia Copra Meal Imports'!CJ$290</f>
        <v>0</v>
      </c>
      <c r="H127" s="358">
        <f>'[5]Indonesia Copra Meal Imports'!CV$290</f>
        <v>0</v>
      </c>
      <c r="I127" s="358">
        <v>1.4</v>
      </c>
      <c r="J127" s="358">
        <v>0</v>
      </c>
      <c r="K127" s="358">
        <v>0</v>
      </c>
      <c r="L127" s="358">
        <v>0.91900000000000004</v>
      </c>
      <c r="M127" s="358">
        <v>0</v>
      </c>
      <c r="N127" s="358">
        <v>0</v>
      </c>
      <c r="O127" s="358">
        <v>0</v>
      </c>
      <c r="P127" s="358">
        <v>0</v>
      </c>
      <c r="Q127" s="358">
        <v>4.8000000000000001E-2</v>
      </c>
      <c r="R127" s="358">
        <v>0</v>
      </c>
      <c r="S127" s="358">
        <v>0</v>
      </c>
      <c r="T127" s="358">
        <v>0.41699999999999998</v>
      </c>
      <c r="U127" s="358">
        <v>0.83099999999999996</v>
      </c>
      <c r="V127" s="358">
        <v>0</v>
      </c>
      <c r="W127" s="358">
        <v>0</v>
      </c>
      <c r="X127" s="358">
        <v>8.8999999999999996E-2</v>
      </c>
      <c r="Y127" s="358">
        <v>0</v>
      </c>
      <c r="Z127" s="358">
        <v>1.5149999999999999</v>
      </c>
      <c r="AA127" s="358">
        <v>1.0309999999999999</v>
      </c>
      <c r="AB127" s="358">
        <v>2.2509999999999999</v>
      </c>
      <c r="AC127" s="358">
        <v>0</v>
      </c>
      <c r="AD127" s="358">
        <v>0.4</v>
      </c>
      <c r="AE127" s="242">
        <f>'[2]Ukraine Sun Meal Imports'!$NP$290</f>
        <v>0.06</v>
      </c>
      <c r="AF127" s="242">
        <f>'[2]Ukraine Sun Meal Imports'!OB$290</f>
        <v>2.133</v>
      </c>
      <c r="AG127" s="243">
        <f t="shared" ref="AF127:AG137" si="76">(SUM(AA127:AE127)/SUM(AA$139:AE$139))*AG$139</f>
        <v>1.7293117259227311</v>
      </c>
    </row>
    <row r="128" spans="1:50">
      <c r="A128" s="240" t="s">
        <v>240</v>
      </c>
      <c r="B128" s="241">
        <f t="shared" ref="B128:B138" si="77">(SUM(T128:X128)/SUM(T$139:X$139))*B$139</f>
        <v>0</v>
      </c>
      <c r="C128" s="241">
        <f t="shared" si="75"/>
        <v>0</v>
      </c>
      <c r="D128" s="241">
        <v>0</v>
      </c>
      <c r="E128" s="242">
        <f>'[5]Indonesia Copra Meal Imports'!BM$290</f>
        <v>0</v>
      </c>
      <c r="F128" s="358">
        <f>'[5]Indonesia Copra Meal Imports'!BY$290</f>
        <v>0</v>
      </c>
      <c r="G128" s="358">
        <f>'[5]Indonesia Copra Meal Imports'!CK$290</f>
        <v>0</v>
      </c>
      <c r="H128" s="358">
        <f>'[5]Indonesia Copra Meal Imports'!CW$290</f>
        <v>0</v>
      </c>
      <c r="I128" s="358">
        <v>0.8</v>
      </c>
      <c r="J128" s="358">
        <v>0</v>
      </c>
      <c r="K128" s="358">
        <v>0</v>
      </c>
      <c r="L128" s="358">
        <v>0</v>
      </c>
      <c r="M128" s="358">
        <v>0</v>
      </c>
      <c r="N128" s="358">
        <v>0</v>
      </c>
      <c r="O128" s="358">
        <v>0</v>
      </c>
      <c r="P128" s="358">
        <v>0</v>
      </c>
      <c r="Q128" s="358">
        <v>0</v>
      </c>
      <c r="R128" s="358">
        <v>0.33</v>
      </c>
      <c r="S128" s="358">
        <v>0</v>
      </c>
      <c r="T128" s="358">
        <v>0</v>
      </c>
      <c r="U128" s="358">
        <v>0.70899999999999996</v>
      </c>
      <c r="V128" s="358">
        <v>0</v>
      </c>
      <c r="W128" s="358">
        <v>0</v>
      </c>
      <c r="X128" s="358">
        <v>0</v>
      </c>
      <c r="Y128" s="358">
        <v>0.115</v>
      </c>
      <c r="Z128" s="358">
        <v>1.649</v>
      </c>
      <c r="AA128" s="358">
        <v>0.73699999999999999</v>
      </c>
      <c r="AB128" s="358">
        <v>2.6429999999999998</v>
      </c>
      <c r="AC128" s="358">
        <v>0.27600000000000002</v>
      </c>
      <c r="AD128" s="358">
        <v>0.6</v>
      </c>
      <c r="AE128" s="242">
        <f>'[2]Ukraine Sun Meal Imports'!$NQ$290</f>
        <v>0</v>
      </c>
      <c r="AF128" s="242">
        <f>'[2]Ukraine Sun Meal Imports'!OC$290</f>
        <v>3.0720000000000001</v>
      </c>
      <c r="AG128" s="243">
        <f t="shared" si="76"/>
        <v>1.9668494670035119</v>
      </c>
    </row>
    <row r="129" spans="1:44">
      <c r="A129" s="240" t="s">
        <v>241</v>
      </c>
      <c r="B129" s="241">
        <f t="shared" si="77"/>
        <v>0</v>
      </c>
      <c r="C129" s="241">
        <f t="shared" si="75"/>
        <v>0</v>
      </c>
      <c r="D129" s="241">
        <v>0</v>
      </c>
      <c r="E129" s="242">
        <f>'[5]Indonesia Copra Meal Imports'!BN$290</f>
        <v>0</v>
      </c>
      <c r="F129" s="358">
        <f>'[5]Indonesia Copra Meal Imports'!BZ$290</f>
        <v>0</v>
      </c>
      <c r="G129" s="358">
        <f>'[5]Indonesia Copra Meal Imports'!CL$290</f>
        <v>0</v>
      </c>
      <c r="H129" s="358">
        <f>'[5]Indonesia Copra Meal Imports'!CX$290</f>
        <v>0</v>
      </c>
      <c r="I129" s="358">
        <v>0.2</v>
      </c>
      <c r="J129" s="358">
        <v>0</v>
      </c>
      <c r="K129" s="358">
        <v>0</v>
      </c>
      <c r="L129" s="358">
        <v>0</v>
      </c>
      <c r="M129" s="358">
        <v>0</v>
      </c>
      <c r="N129" s="358">
        <v>0</v>
      </c>
      <c r="O129" s="358">
        <v>0</v>
      </c>
      <c r="P129" s="358">
        <v>0</v>
      </c>
      <c r="Q129" s="358">
        <v>0</v>
      </c>
      <c r="R129" s="358">
        <v>2.1000000000000001E-2</v>
      </c>
      <c r="S129" s="358">
        <v>0</v>
      </c>
      <c r="T129" s="358">
        <v>0</v>
      </c>
      <c r="U129" s="358">
        <v>0</v>
      </c>
      <c r="V129" s="358">
        <v>4.5999999999999999E-2</v>
      </c>
      <c r="W129" s="358">
        <v>0</v>
      </c>
      <c r="X129" s="358">
        <v>0.313</v>
      </c>
      <c r="Y129" s="358">
        <v>0</v>
      </c>
      <c r="Z129" s="358">
        <v>0.29499999999999998</v>
      </c>
      <c r="AA129" s="358">
        <v>0.52700000000000002</v>
      </c>
      <c r="AB129" s="358">
        <v>0.38500000000000001</v>
      </c>
      <c r="AC129" s="358">
        <v>0</v>
      </c>
      <c r="AD129" s="358">
        <v>0.2</v>
      </c>
      <c r="AE129" s="242">
        <f>'[2]Ukraine Sun Meal Imports'!$NR$290</f>
        <v>0</v>
      </c>
      <c r="AF129" s="242">
        <f>'[2]Ukraine Sun Meal Imports'!OD$290</f>
        <v>1.171</v>
      </c>
      <c r="AG129" s="243">
        <f t="shared" si="76"/>
        <v>0.51389487953663193</v>
      </c>
    </row>
    <row r="130" spans="1:44">
      <c r="A130" s="240" t="s">
        <v>231</v>
      </c>
      <c r="B130" s="241">
        <f t="shared" si="77"/>
        <v>0</v>
      </c>
      <c r="C130" s="241">
        <f t="shared" si="75"/>
        <v>0</v>
      </c>
      <c r="D130" s="242">
        <f>'[5]Indonesia Copra Meal Imports'!BC$290</f>
        <v>0</v>
      </c>
      <c r="E130" s="242">
        <f>'[5]Indonesia Copra Meal Imports'!BO$290</f>
        <v>0</v>
      </c>
      <c r="F130" s="358">
        <f>'[5]Indonesia Copra Meal Imports'!CA$290</f>
        <v>0</v>
      </c>
      <c r="G130" s="358">
        <f>'[5]Indonesia Copra Meal Imports'!CM$290</f>
        <v>0</v>
      </c>
      <c r="H130" s="358">
        <v>0.50068000000000001</v>
      </c>
      <c r="I130" s="358">
        <v>2.4</v>
      </c>
      <c r="J130" s="358">
        <v>0</v>
      </c>
      <c r="K130" s="358">
        <v>0</v>
      </c>
      <c r="L130" s="358">
        <v>0</v>
      </c>
      <c r="M130" s="358">
        <v>0.05</v>
      </c>
      <c r="N130" s="358">
        <v>0</v>
      </c>
      <c r="O130" s="358">
        <v>0</v>
      </c>
      <c r="P130" s="358">
        <v>0</v>
      </c>
      <c r="Q130" s="358">
        <v>0</v>
      </c>
      <c r="R130" s="358">
        <v>0</v>
      </c>
      <c r="S130" s="358">
        <v>0</v>
      </c>
      <c r="T130" s="358">
        <v>0</v>
      </c>
      <c r="U130" s="358">
        <v>0</v>
      </c>
      <c r="V130" s="358">
        <v>0</v>
      </c>
      <c r="W130" s="358">
        <v>0.14399999999999999</v>
      </c>
      <c r="X130" s="358">
        <v>0</v>
      </c>
      <c r="Y130" s="358">
        <v>0</v>
      </c>
      <c r="Z130" s="358">
        <v>0.57599999999999996</v>
      </c>
      <c r="AA130" s="358">
        <v>0.248</v>
      </c>
      <c r="AB130" s="358">
        <v>0</v>
      </c>
      <c r="AC130" s="358">
        <v>0</v>
      </c>
      <c r="AD130" s="359">
        <v>6.9000000000000006E-2</v>
      </c>
      <c r="AE130" s="242">
        <f>'[2]Ukraine Sun Meal Imports'!$NS$290</f>
        <v>0.39900000000000002</v>
      </c>
      <c r="AF130" s="242">
        <f>'[2]Ukraine Sun Meal Imports'!OE$290</f>
        <v>1.629</v>
      </c>
      <c r="AG130" s="243">
        <f t="shared" si="76"/>
        <v>0.33088914905416228</v>
      </c>
    </row>
    <row r="131" spans="1:44">
      <c r="A131" s="240" t="s">
        <v>232</v>
      </c>
      <c r="B131" s="241">
        <f t="shared" si="77"/>
        <v>0</v>
      </c>
      <c r="C131" s="241">
        <f t="shared" si="75"/>
        <v>0</v>
      </c>
      <c r="D131" s="242">
        <f>'[5]Indonesia Copra Meal Imports'!BD$290</f>
        <v>0</v>
      </c>
      <c r="E131" s="242">
        <f>'[5]Indonesia Copra Meal Imports'!BP$290</f>
        <v>0</v>
      </c>
      <c r="F131" s="358">
        <f>'[5]Indonesia Copra Meal Imports'!CB$290</f>
        <v>0</v>
      </c>
      <c r="G131" s="358">
        <f>'[5]Indonesia Copra Meal Imports'!CN$290</f>
        <v>0</v>
      </c>
      <c r="H131" s="358">
        <v>0</v>
      </c>
      <c r="I131" s="358">
        <v>2.8</v>
      </c>
      <c r="J131" s="358">
        <v>0</v>
      </c>
      <c r="K131" s="358">
        <v>0</v>
      </c>
      <c r="L131" s="358">
        <v>0</v>
      </c>
      <c r="M131" s="358">
        <v>0</v>
      </c>
      <c r="N131" s="358">
        <v>0</v>
      </c>
      <c r="O131" s="358">
        <v>0</v>
      </c>
      <c r="P131" s="358">
        <v>5.3999999999999999E-2</v>
      </c>
      <c r="Q131" s="358">
        <v>0</v>
      </c>
      <c r="R131" s="358">
        <v>0</v>
      </c>
      <c r="S131" s="358">
        <v>0</v>
      </c>
      <c r="T131" s="358">
        <v>0.08</v>
      </c>
      <c r="U131" s="358">
        <v>0</v>
      </c>
      <c r="V131" s="358">
        <v>0</v>
      </c>
      <c r="W131" s="358">
        <v>0</v>
      </c>
      <c r="X131" s="358">
        <v>0</v>
      </c>
      <c r="Y131" s="358">
        <v>0</v>
      </c>
      <c r="Z131" s="358">
        <v>0.129</v>
      </c>
      <c r="AA131" s="358">
        <v>0.33100000000000002</v>
      </c>
      <c r="AB131" s="358">
        <v>0</v>
      </c>
      <c r="AC131" s="358">
        <v>0</v>
      </c>
      <c r="AD131" s="359">
        <v>0.06</v>
      </c>
      <c r="AE131" s="242">
        <f>'[2]Ukraine Sun Meal Imports'!$NT$290</f>
        <v>4.5999999999999999E-2</v>
      </c>
      <c r="AF131" s="242">
        <f>'[2]Ukraine Sun Meal Imports'!OF$290</f>
        <v>0.35299999999999998</v>
      </c>
      <c r="AG131" s="243">
        <f t="shared" si="76"/>
        <v>0.20195329348696781</v>
      </c>
    </row>
    <row r="132" spans="1:44">
      <c r="A132" s="240" t="s">
        <v>233</v>
      </c>
      <c r="B132" s="241">
        <f t="shared" si="77"/>
        <v>0</v>
      </c>
      <c r="C132" s="241">
        <f t="shared" si="75"/>
        <v>0</v>
      </c>
      <c r="D132" s="242">
        <f>'[5]Indonesia Copra Meal Imports'!BE$290</f>
        <v>0</v>
      </c>
      <c r="E132" s="242">
        <f>'[5]Indonesia Copra Meal Imports'!BQ$290</f>
        <v>0</v>
      </c>
      <c r="F132" s="358">
        <f>'[5]Indonesia Copra Meal Imports'!CC$290</f>
        <v>0</v>
      </c>
      <c r="G132" s="358">
        <f>'[5]Indonesia Copra Meal Imports'!CO$290</f>
        <v>0</v>
      </c>
      <c r="H132" s="358">
        <v>1.88419</v>
      </c>
      <c r="I132" s="358">
        <v>5.0999999999999996</v>
      </c>
      <c r="J132" s="358">
        <v>0</v>
      </c>
      <c r="K132" s="358">
        <v>0</v>
      </c>
      <c r="L132" s="358">
        <v>0</v>
      </c>
      <c r="M132" s="358">
        <v>0</v>
      </c>
      <c r="N132" s="358">
        <v>0</v>
      </c>
      <c r="O132" s="358">
        <v>0</v>
      </c>
      <c r="P132" s="358">
        <v>0</v>
      </c>
      <c r="Q132" s="358">
        <v>0</v>
      </c>
      <c r="R132" s="358">
        <v>0</v>
      </c>
      <c r="S132" s="358">
        <v>0</v>
      </c>
      <c r="T132" s="358">
        <v>0</v>
      </c>
      <c r="U132" s="358">
        <v>0</v>
      </c>
      <c r="V132" s="358">
        <v>0</v>
      </c>
      <c r="W132" s="358">
        <v>0</v>
      </c>
      <c r="X132" s="358">
        <v>0.35299999999999998</v>
      </c>
      <c r="Y132" s="358">
        <v>0</v>
      </c>
      <c r="Z132" s="358">
        <v>1.752</v>
      </c>
      <c r="AA132" s="358">
        <v>0.13900000000000001</v>
      </c>
      <c r="AB132" s="358">
        <v>0</v>
      </c>
      <c r="AC132" s="358">
        <v>0</v>
      </c>
      <c r="AD132" s="358">
        <v>0</v>
      </c>
      <c r="AE132" s="242">
        <f>'[2]Ukraine Sun Meal Imports'!NU$290</f>
        <v>0</v>
      </c>
      <c r="AF132" s="242">
        <f>'[2]Ukraine Sun Meal Imports'!OG$290</f>
        <v>0.93899999999999995</v>
      </c>
      <c r="AG132" s="243">
        <f t="shared" si="76"/>
        <v>6.4236859942078992E-2</v>
      </c>
    </row>
    <row r="133" spans="1:44">
      <c r="A133" s="240" t="s">
        <v>234</v>
      </c>
      <c r="B133" s="241">
        <f t="shared" si="77"/>
        <v>0</v>
      </c>
      <c r="C133" s="241">
        <f t="shared" si="75"/>
        <v>0</v>
      </c>
      <c r="D133" s="242">
        <f>'[5]Indonesia Copra Meal Imports'!BF$290</f>
        <v>0</v>
      </c>
      <c r="E133" s="242">
        <f>'[5]Indonesia Copra Meal Imports'!BR$290</f>
        <v>0</v>
      </c>
      <c r="F133" s="358">
        <f>'[5]Indonesia Copra Meal Imports'!CD$290</f>
        <v>0</v>
      </c>
      <c r="G133" s="358">
        <f>'[5]Indonesia Copra Meal Imports'!CP$290</f>
        <v>0</v>
      </c>
      <c r="H133" s="358">
        <v>0.39002999999999999</v>
      </c>
      <c r="I133" s="358">
        <v>4.2</v>
      </c>
      <c r="J133" s="358">
        <v>0</v>
      </c>
      <c r="K133" s="358">
        <v>0</v>
      </c>
      <c r="L133" s="358">
        <v>0</v>
      </c>
      <c r="M133" s="358">
        <v>0</v>
      </c>
      <c r="N133" s="358">
        <v>0</v>
      </c>
      <c r="O133" s="358">
        <v>0</v>
      </c>
      <c r="P133" s="358">
        <v>0.73899999999999999</v>
      </c>
      <c r="Q133" s="358">
        <v>0</v>
      </c>
      <c r="R133" s="358">
        <v>0</v>
      </c>
      <c r="S133" s="358">
        <v>0</v>
      </c>
      <c r="T133" s="358">
        <v>0</v>
      </c>
      <c r="U133" s="358">
        <v>0</v>
      </c>
      <c r="V133" s="358">
        <v>0</v>
      </c>
      <c r="W133" s="358">
        <v>5.5</v>
      </c>
      <c r="X133" s="358">
        <v>0</v>
      </c>
      <c r="Y133" s="358">
        <v>0</v>
      </c>
      <c r="Z133" s="358">
        <v>0</v>
      </c>
      <c r="AA133" s="358">
        <v>0</v>
      </c>
      <c r="AB133" s="358">
        <v>0.3</v>
      </c>
      <c r="AC133" s="358">
        <v>0</v>
      </c>
      <c r="AD133" s="358">
        <v>0</v>
      </c>
      <c r="AE133" s="242">
        <f>'[2]Ukraine Sun Meal Imports'!$NV$290</f>
        <v>0.377</v>
      </c>
      <c r="AF133" s="243">
        <f t="shared" si="76"/>
        <v>0.16444363237712403</v>
      </c>
      <c r="AG133" s="243">
        <f t="shared" si="76"/>
        <v>0.3128658574157373</v>
      </c>
    </row>
    <row r="134" spans="1:44">
      <c r="A134" s="240" t="s">
        <v>46</v>
      </c>
      <c r="B134" s="241">
        <f t="shared" si="77"/>
        <v>0</v>
      </c>
      <c r="C134" s="241">
        <f t="shared" si="75"/>
        <v>0</v>
      </c>
      <c r="D134" s="242">
        <f>'[5]Indonesia Copra Meal Imports'!BG$290</f>
        <v>0</v>
      </c>
      <c r="E134" s="242">
        <f>'[5]Indonesia Copra Meal Imports'!BS$290</f>
        <v>0</v>
      </c>
      <c r="F134" s="358">
        <f>'[5]Indonesia Copra Meal Imports'!CE$290</f>
        <v>0</v>
      </c>
      <c r="G134" s="358">
        <f>'[5]Indonesia Copra Meal Imports'!CQ$290</f>
        <v>0</v>
      </c>
      <c r="H134" s="358">
        <v>0.12594</v>
      </c>
      <c r="I134" s="358">
        <v>0</v>
      </c>
      <c r="J134" s="358">
        <v>0.34599999999999997</v>
      </c>
      <c r="K134" s="358">
        <v>0</v>
      </c>
      <c r="L134" s="358">
        <v>0</v>
      </c>
      <c r="M134" s="358">
        <v>0</v>
      </c>
      <c r="N134" s="358">
        <v>0</v>
      </c>
      <c r="O134" s="358">
        <v>0</v>
      </c>
      <c r="P134" s="358">
        <v>0</v>
      </c>
      <c r="Q134" s="358">
        <v>0</v>
      </c>
      <c r="R134" s="358">
        <v>0</v>
      </c>
      <c r="S134" s="358">
        <v>0</v>
      </c>
      <c r="T134" s="358">
        <v>0</v>
      </c>
      <c r="U134" s="358">
        <v>0</v>
      </c>
      <c r="V134" s="358">
        <v>0</v>
      </c>
      <c r="W134" s="358">
        <v>0</v>
      </c>
      <c r="X134" s="358">
        <v>0</v>
      </c>
      <c r="Y134" s="358">
        <v>0</v>
      </c>
      <c r="Z134" s="358">
        <v>0.65900000000000003</v>
      </c>
      <c r="AA134" s="358">
        <v>6.3E-2</v>
      </c>
      <c r="AB134" s="358">
        <v>1.1220000000000001</v>
      </c>
      <c r="AC134" s="358">
        <v>0</v>
      </c>
      <c r="AD134" s="358">
        <v>0</v>
      </c>
      <c r="AE134" s="242">
        <f>'[2]Ukraine Sun Meal Imports'!$NW$290</f>
        <v>1.671</v>
      </c>
      <c r="AF134" s="243">
        <f t="shared" si="76"/>
        <v>1.010780193678056</v>
      </c>
      <c r="AG134" s="243">
        <f t="shared" si="76"/>
        <v>1.319859510752357</v>
      </c>
    </row>
    <row r="135" spans="1:44">
      <c r="A135" s="240" t="s">
        <v>235</v>
      </c>
      <c r="B135" s="241">
        <f t="shared" si="77"/>
        <v>0</v>
      </c>
      <c r="C135" s="241">
        <f t="shared" si="75"/>
        <v>0</v>
      </c>
      <c r="D135" s="242">
        <f>'[5]Indonesia Copra Meal Imports'!BH$290</f>
        <v>0</v>
      </c>
      <c r="E135" s="242">
        <f>'[5]Indonesia Copra Meal Imports'!BT$290</f>
        <v>0</v>
      </c>
      <c r="F135" s="358">
        <f>'[5]Indonesia Copra Meal Imports'!CF$290</f>
        <v>0</v>
      </c>
      <c r="G135" s="358">
        <f>'[5]Indonesia Copra Meal Imports'!CR$290</f>
        <v>0</v>
      </c>
      <c r="H135" s="358">
        <v>4.7479999999999994E-2</v>
      </c>
      <c r="I135" s="358">
        <v>0</v>
      </c>
      <c r="J135" s="358">
        <v>0</v>
      </c>
      <c r="K135" s="358">
        <v>0</v>
      </c>
      <c r="L135" s="358">
        <v>0</v>
      </c>
      <c r="M135" s="358">
        <v>0</v>
      </c>
      <c r="N135" s="358">
        <v>0</v>
      </c>
      <c r="O135" s="358">
        <v>0</v>
      </c>
      <c r="P135" s="358">
        <v>0.27300000000000002</v>
      </c>
      <c r="Q135" s="358">
        <v>0</v>
      </c>
      <c r="R135" s="358">
        <v>0</v>
      </c>
      <c r="S135" s="358">
        <v>0</v>
      </c>
      <c r="T135" s="358">
        <v>0</v>
      </c>
      <c r="U135" s="358">
        <v>0</v>
      </c>
      <c r="V135" s="358">
        <v>0</v>
      </c>
      <c r="W135" s="358">
        <v>0.11899999999999999</v>
      </c>
      <c r="X135" s="358">
        <v>6.6000000000000003E-2</v>
      </c>
      <c r="Y135" s="358">
        <v>0.314</v>
      </c>
      <c r="Z135" s="358">
        <v>0.53500000000000003</v>
      </c>
      <c r="AA135" s="358">
        <v>0.35</v>
      </c>
      <c r="AB135" s="358">
        <v>0.80900000000000005</v>
      </c>
      <c r="AC135" s="358">
        <v>0.36799999999999999</v>
      </c>
      <c r="AD135" s="359">
        <v>6.7000000000000004E-2</v>
      </c>
      <c r="AE135" s="242">
        <f>'[2]Ukraine Sun Meal Imports'!$NX$290</f>
        <v>5.2590000000000003</v>
      </c>
      <c r="AF135" s="243">
        <f t="shared" si="76"/>
        <v>1.1670016444363236</v>
      </c>
      <c r="AG135" s="243">
        <f t="shared" si="76"/>
        <v>3.1670158358494058</v>
      </c>
    </row>
    <row r="136" spans="1:44">
      <c r="A136" s="240" t="s">
        <v>236</v>
      </c>
      <c r="B136" s="241">
        <f t="shared" si="77"/>
        <v>0</v>
      </c>
      <c r="C136" s="241">
        <f t="shared" si="75"/>
        <v>0</v>
      </c>
      <c r="D136" s="242">
        <f>'[5]Indonesia Copra Meal Imports'!BI$290</f>
        <v>0</v>
      </c>
      <c r="E136" s="242">
        <f>'[5]Indonesia Copra Meal Imports'!BU$290</f>
        <v>0</v>
      </c>
      <c r="F136" s="358">
        <f>'[5]Indonesia Copra Meal Imports'!CG$290</f>
        <v>0</v>
      </c>
      <c r="G136" s="358">
        <f>'[5]Indonesia Copra Meal Imports'!CS$290</f>
        <v>0</v>
      </c>
      <c r="H136" s="358">
        <v>0.73968</v>
      </c>
      <c r="I136" s="358">
        <v>0.6</v>
      </c>
      <c r="J136" s="358">
        <v>0</v>
      </c>
      <c r="K136" s="358">
        <v>0</v>
      </c>
      <c r="L136" s="358">
        <v>0</v>
      </c>
      <c r="M136" s="358">
        <v>0</v>
      </c>
      <c r="N136" s="358">
        <v>0</v>
      </c>
      <c r="O136" s="358">
        <v>0</v>
      </c>
      <c r="P136" s="358">
        <v>0.02</v>
      </c>
      <c r="Q136" s="358">
        <v>0</v>
      </c>
      <c r="R136" s="358">
        <v>0</v>
      </c>
      <c r="S136" s="358">
        <v>0</v>
      </c>
      <c r="T136" s="358">
        <v>4.3999999999999997E-2</v>
      </c>
      <c r="U136" s="358">
        <v>0.187</v>
      </c>
      <c r="V136" s="358">
        <v>0</v>
      </c>
      <c r="W136" s="358">
        <v>0.05</v>
      </c>
      <c r="X136" s="358">
        <v>0</v>
      </c>
      <c r="Y136" s="358">
        <v>0.13900000000000001</v>
      </c>
      <c r="Z136" s="358">
        <v>0.72499999999999998</v>
      </c>
      <c r="AA136" s="358">
        <v>0.76600000000000001</v>
      </c>
      <c r="AB136" s="358">
        <v>6.6000000000000003E-2</v>
      </c>
      <c r="AC136" s="358">
        <v>0.4</v>
      </c>
      <c r="AD136" s="359">
        <v>6.8000000000000005E-2</v>
      </c>
      <c r="AE136" s="242">
        <f>'[2]Ukraine Sun Meal Imports'!$NY$290</f>
        <v>5.2839999999999998</v>
      </c>
      <c r="AF136" s="243">
        <f t="shared" si="76"/>
        <v>1.1099945185455875</v>
      </c>
      <c r="AG136" s="243">
        <f t="shared" si="76"/>
        <v>3.0427013371125762</v>
      </c>
    </row>
    <row r="137" spans="1:44">
      <c r="A137" s="240" t="s">
        <v>237</v>
      </c>
      <c r="B137" s="241">
        <f t="shared" si="77"/>
        <v>0</v>
      </c>
      <c r="C137" s="241">
        <f t="shared" si="75"/>
        <v>0</v>
      </c>
      <c r="D137" s="242">
        <f>'[5]Indonesia Copra Meal Imports'!BJ$290</f>
        <v>0</v>
      </c>
      <c r="E137" s="242">
        <f>'[5]Indonesia Copra Meal Imports'!BV$290</f>
        <v>0</v>
      </c>
      <c r="F137" s="358">
        <f>'[5]Indonesia Copra Meal Imports'!CH$290</f>
        <v>0</v>
      </c>
      <c r="G137" s="358">
        <f>'[5]Indonesia Copra Meal Imports'!CT$290</f>
        <v>0</v>
      </c>
      <c r="H137" s="358">
        <v>1.4</v>
      </c>
      <c r="I137" s="358">
        <v>0</v>
      </c>
      <c r="J137" s="358">
        <v>0</v>
      </c>
      <c r="K137" s="358">
        <v>0</v>
      </c>
      <c r="L137" s="358">
        <v>0</v>
      </c>
      <c r="M137" s="358">
        <v>0</v>
      </c>
      <c r="N137" s="358">
        <v>0</v>
      </c>
      <c r="O137" s="358">
        <v>0</v>
      </c>
      <c r="P137" s="358">
        <v>0</v>
      </c>
      <c r="Q137" s="358">
        <v>0</v>
      </c>
      <c r="R137" s="358">
        <v>0</v>
      </c>
      <c r="S137" s="358">
        <v>0.50900000000000001</v>
      </c>
      <c r="T137" s="358">
        <v>5.3999999999999999E-2</v>
      </c>
      <c r="U137" s="358">
        <v>0</v>
      </c>
      <c r="V137" s="358">
        <v>0</v>
      </c>
      <c r="W137" s="358">
        <v>0</v>
      </c>
      <c r="X137" s="358">
        <v>0</v>
      </c>
      <c r="Y137" s="358">
        <v>0.14699999999999999</v>
      </c>
      <c r="Z137" s="358">
        <v>0.66500000000000004</v>
      </c>
      <c r="AA137" s="358">
        <v>0</v>
      </c>
      <c r="AB137" s="358">
        <v>7.0999999999999994E-2</v>
      </c>
      <c r="AC137" s="358">
        <v>0.6</v>
      </c>
      <c r="AD137" s="359">
        <v>0.69599999999999995</v>
      </c>
      <c r="AE137" s="242">
        <f>'[2]Ukraine Sun Meal Imports'!$NZ$290</f>
        <v>2.1999999999999999E-2</v>
      </c>
      <c r="AF137" s="243">
        <f t="shared" si="76"/>
        <v>1.1138315366343869</v>
      </c>
      <c r="AG137" s="243">
        <f t="shared" si="76"/>
        <v>0.6419064637377534</v>
      </c>
    </row>
    <row r="138" spans="1:44">
      <c r="A138" s="240" t="s">
        <v>238</v>
      </c>
      <c r="B138" s="241">
        <f t="shared" si="77"/>
        <v>0</v>
      </c>
      <c r="C138" s="241">
        <f t="shared" si="75"/>
        <v>0</v>
      </c>
      <c r="D138" s="242">
        <f>'[5]Indonesia Copra Meal Imports'!BK$290</f>
        <v>0</v>
      </c>
      <c r="E138" s="242">
        <f>'[5]Indonesia Copra Meal Imports'!BW$290</f>
        <v>0</v>
      </c>
      <c r="F138" s="358">
        <f>'[5]Indonesia Copra Meal Imports'!CI$290</f>
        <v>0</v>
      </c>
      <c r="G138" s="358">
        <f>'[5]Indonesia Copra Meal Imports'!CU$290</f>
        <v>0</v>
      </c>
      <c r="H138" s="358">
        <v>1.4</v>
      </c>
      <c r="I138" s="358">
        <v>0</v>
      </c>
      <c r="J138" s="358">
        <v>0</v>
      </c>
      <c r="K138" s="358">
        <v>0</v>
      </c>
      <c r="L138" s="358">
        <v>0</v>
      </c>
      <c r="M138" s="358">
        <v>0</v>
      </c>
      <c r="N138" s="358">
        <v>0</v>
      </c>
      <c r="O138" s="358">
        <v>0</v>
      </c>
      <c r="P138" s="358">
        <v>0</v>
      </c>
      <c r="Q138" s="358">
        <v>0.14299999999999999</v>
      </c>
      <c r="R138" s="358">
        <v>0</v>
      </c>
      <c r="S138" s="358">
        <v>0</v>
      </c>
      <c r="T138" s="358">
        <v>0</v>
      </c>
      <c r="U138" s="358">
        <v>0</v>
      </c>
      <c r="V138" s="358">
        <v>0</v>
      </c>
      <c r="W138" s="358">
        <v>0</v>
      </c>
      <c r="X138" s="358">
        <v>0</v>
      </c>
      <c r="Y138" s="358">
        <v>5.6000000000000001E-2</v>
      </c>
      <c r="Z138" s="358">
        <v>0.41199999999999998</v>
      </c>
      <c r="AA138" s="358">
        <v>2.2320000000000002</v>
      </c>
      <c r="AB138" s="358">
        <v>0.27800000000000002</v>
      </c>
      <c r="AC138" s="358">
        <v>0.3</v>
      </c>
      <c r="AD138" s="359">
        <f>'[2]Ukraine Sun Meal Imports'!$NO$290</f>
        <v>0</v>
      </c>
      <c r="AE138" s="242">
        <f>'[2]Ukraine Sun Meal Imports'!OA$290</f>
        <v>0.88700000000000001</v>
      </c>
      <c r="AF138" s="243">
        <f>AF139-SUM(AF127:AF137)</f>
        <v>1.1369484743285234</v>
      </c>
      <c r="AG138" s="243">
        <f>AG139-SUM(AG127:AG137)</f>
        <v>1.7085156201860894</v>
      </c>
    </row>
    <row r="139" spans="1:44" ht="15.75" thickBot="1">
      <c r="A139" s="240" t="s">
        <v>242</v>
      </c>
      <c r="B139" s="242">
        <f>B24</f>
        <v>0</v>
      </c>
      <c r="C139" s="242">
        <f>C24</f>
        <v>0</v>
      </c>
      <c r="D139" s="242">
        <f>D24</f>
        <v>0</v>
      </c>
      <c r="E139" s="242">
        <f t="shared" ref="E139:AB139" si="78">SUM(E127:E138)</f>
        <v>0</v>
      </c>
      <c r="F139" s="242">
        <f t="shared" si="78"/>
        <v>0</v>
      </c>
      <c r="G139" s="242">
        <f t="shared" si="78"/>
        <v>0</v>
      </c>
      <c r="H139" s="242">
        <f t="shared" si="78"/>
        <v>6.4879999999999995</v>
      </c>
      <c r="I139" s="242">
        <f t="shared" si="78"/>
        <v>17.5</v>
      </c>
      <c r="J139" s="242">
        <f t="shared" si="78"/>
        <v>0.34599999999999997</v>
      </c>
      <c r="K139" s="242">
        <f t="shared" si="78"/>
        <v>0</v>
      </c>
      <c r="L139" s="242">
        <f t="shared" si="78"/>
        <v>0.91900000000000004</v>
      </c>
      <c r="M139" s="242">
        <f t="shared" si="78"/>
        <v>0.05</v>
      </c>
      <c r="N139" s="242">
        <f t="shared" si="78"/>
        <v>0</v>
      </c>
      <c r="O139" s="242">
        <f t="shared" si="78"/>
        <v>0</v>
      </c>
      <c r="P139" s="242">
        <f t="shared" si="78"/>
        <v>1.0860000000000001</v>
      </c>
      <c r="Q139" s="242">
        <f t="shared" si="78"/>
        <v>0.191</v>
      </c>
      <c r="R139" s="242">
        <f t="shared" si="78"/>
        <v>0.35100000000000003</v>
      </c>
      <c r="S139" s="242">
        <f t="shared" si="78"/>
        <v>0.50900000000000001</v>
      </c>
      <c r="T139" s="242">
        <f t="shared" si="78"/>
        <v>0.59500000000000008</v>
      </c>
      <c r="U139" s="242">
        <f t="shared" si="78"/>
        <v>1.7270000000000001</v>
      </c>
      <c r="V139" s="242">
        <f t="shared" si="78"/>
        <v>4.5999999999999999E-2</v>
      </c>
      <c r="W139" s="242">
        <f t="shared" si="78"/>
        <v>5.8129999999999997</v>
      </c>
      <c r="X139" s="242">
        <f t="shared" si="78"/>
        <v>0.82099999999999995</v>
      </c>
      <c r="Y139" s="242">
        <f t="shared" si="78"/>
        <v>0.77100000000000013</v>
      </c>
      <c r="Z139" s="242">
        <f t="shared" si="78"/>
        <v>8.9120000000000008</v>
      </c>
      <c r="AA139" s="242">
        <f t="shared" si="78"/>
        <v>6.4240000000000004</v>
      </c>
      <c r="AB139" s="242">
        <f t="shared" si="78"/>
        <v>7.9249999999999989</v>
      </c>
      <c r="AC139" s="242">
        <f>SUM(AC127:AC138)</f>
        <v>1.9440000000000002</v>
      </c>
      <c r="AD139" s="242">
        <f>SUM(AD127:AD138)</f>
        <v>2.16</v>
      </c>
      <c r="AE139" s="242">
        <f>SUM(AE127:AE138)</f>
        <v>14.005000000000001</v>
      </c>
      <c r="AF139" s="243">
        <f>AF24</f>
        <v>15</v>
      </c>
      <c r="AG139" s="243">
        <f>AG24</f>
        <v>15</v>
      </c>
    </row>
    <row r="140" spans="1:44">
      <c r="A140" s="248"/>
      <c r="B140" s="248"/>
      <c r="C140" s="248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8"/>
      <c r="Z140" s="248"/>
      <c r="AA140" s="248"/>
      <c r="AB140" s="248"/>
      <c r="AC140" s="248"/>
      <c r="AD140" s="248"/>
      <c r="AE140" s="248"/>
      <c r="AF140" s="248"/>
      <c r="AG140" s="248"/>
    </row>
    <row r="141" spans="1:44" ht="15.75" thickBot="1">
      <c r="A141" s="235" t="s">
        <v>257</v>
      </c>
      <c r="AK141" s="360" t="s">
        <v>343</v>
      </c>
      <c r="AL141" s="360"/>
      <c r="AM141" s="360"/>
      <c r="AN141" s="360"/>
      <c r="AO141" s="360"/>
      <c r="AP141" s="360"/>
      <c r="AQ141" s="360"/>
      <c r="AR141" s="360"/>
    </row>
    <row r="142" spans="1:44" ht="15.75" thickBot="1">
      <c r="A142" s="236"/>
      <c r="B142" s="237" t="str">
        <f>B$2</f>
        <v xml:space="preserve">93/94 </v>
      </c>
      <c r="C142" s="237" t="str">
        <f t="shared" ref="C142:AG142" si="79">C$2</f>
        <v xml:space="preserve">94/95 </v>
      </c>
      <c r="D142" s="237" t="str">
        <f t="shared" si="79"/>
        <v xml:space="preserve">95/96 </v>
      </c>
      <c r="E142" s="237" t="str">
        <f t="shared" si="79"/>
        <v xml:space="preserve">96/97 </v>
      </c>
      <c r="F142" s="237" t="str">
        <f t="shared" si="79"/>
        <v xml:space="preserve">97/98 </v>
      </c>
      <c r="G142" s="237" t="str">
        <f t="shared" si="79"/>
        <v xml:space="preserve">98/99 </v>
      </c>
      <c r="H142" s="237" t="str">
        <f t="shared" si="79"/>
        <v xml:space="preserve">99/00 </v>
      </c>
      <c r="I142" s="237" t="str">
        <f t="shared" si="79"/>
        <v xml:space="preserve">00/01 </v>
      </c>
      <c r="J142" s="237" t="str">
        <f t="shared" si="79"/>
        <v xml:space="preserve">01/02 </v>
      </c>
      <c r="K142" s="237" t="str">
        <f t="shared" si="79"/>
        <v xml:space="preserve">02/03 </v>
      </c>
      <c r="L142" s="237" t="str">
        <f t="shared" si="79"/>
        <v xml:space="preserve">03/04 </v>
      </c>
      <c r="M142" s="237" t="str">
        <f t="shared" si="79"/>
        <v xml:space="preserve">04/05 </v>
      </c>
      <c r="N142" s="237" t="str">
        <f t="shared" si="79"/>
        <v xml:space="preserve">05/06 </v>
      </c>
      <c r="O142" s="237" t="str">
        <f t="shared" si="79"/>
        <v xml:space="preserve">06/07 </v>
      </c>
      <c r="P142" s="237" t="str">
        <f t="shared" si="79"/>
        <v xml:space="preserve">07/08 </v>
      </c>
      <c r="Q142" s="237" t="str">
        <f t="shared" si="79"/>
        <v xml:space="preserve">08/09 </v>
      </c>
      <c r="R142" s="237" t="str">
        <f t="shared" si="79"/>
        <v xml:space="preserve">09/10 </v>
      </c>
      <c r="S142" s="237" t="str">
        <f t="shared" si="79"/>
        <v xml:space="preserve">10/11 </v>
      </c>
      <c r="T142" s="237" t="str">
        <f t="shared" si="79"/>
        <v xml:space="preserve">11/12 </v>
      </c>
      <c r="U142" s="237" t="str">
        <f t="shared" si="79"/>
        <v xml:space="preserve">12/13 </v>
      </c>
      <c r="V142" s="237" t="str">
        <f t="shared" si="79"/>
        <v xml:space="preserve">13/14 </v>
      </c>
      <c r="W142" s="237" t="str">
        <f t="shared" si="79"/>
        <v xml:space="preserve">14/15 </v>
      </c>
      <c r="X142" s="237" t="str">
        <f t="shared" si="79"/>
        <v xml:space="preserve">15/16 </v>
      </c>
      <c r="Y142" s="237" t="str">
        <f t="shared" si="79"/>
        <v xml:space="preserve">16/17 </v>
      </c>
      <c r="Z142" s="237" t="str">
        <f t="shared" si="79"/>
        <v xml:space="preserve">17/18 </v>
      </c>
      <c r="AA142" s="237" t="str">
        <f t="shared" si="79"/>
        <v xml:space="preserve">18/19 </v>
      </c>
      <c r="AB142" s="237" t="str">
        <f t="shared" si="79"/>
        <v xml:space="preserve">19/20 </v>
      </c>
      <c r="AC142" s="237" t="str">
        <f t="shared" si="79"/>
        <v xml:space="preserve">20/21 </v>
      </c>
      <c r="AD142" s="237" t="str">
        <f t="shared" si="79"/>
        <v>21/22</v>
      </c>
      <c r="AE142" s="237" t="str">
        <f t="shared" si="79"/>
        <v>22/23</v>
      </c>
      <c r="AF142" s="237" t="str">
        <f t="shared" si="79"/>
        <v>23/24</v>
      </c>
      <c r="AG142" s="237" t="str">
        <f t="shared" si="79"/>
        <v>24/25</v>
      </c>
      <c r="AK142" s="360" t="s">
        <v>347</v>
      </c>
      <c r="AL142" s="360"/>
      <c r="AM142" s="360"/>
      <c r="AN142" s="360"/>
      <c r="AO142" s="360"/>
      <c r="AP142" s="226"/>
      <c r="AQ142" s="360" t="s">
        <v>348</v>
      </c>
      <c r="AR142" s="360"/>
    </row>
    <row r="143" spans="1:44">
      <c r="A143" s="240" t="s">
        <v>239</v>
      </c>
      <c r="B143" s="290">
        <f t="shared" ref="B143:B154" si="80">(SUM(T143:X143)/SUM(T$155:X$155))*B$155</f>
        <v>0</v>
      </c>
      <c r="C143" s="290">
        <f t="shared" ref="C143:C154" si="81">(SUM(L143:P143)/SUM(L$155:P$155))*C$155</f>
        <v>0</v>
      </c>
      <c r="D143" s="290">
        <f t="shared" ref="D143:G154" si="82">(SUM(M143:Q143)/SUM(M$155:Q$155))*D$155</f>
        <v>0</v>
      </c>
      <c r="E143" s="290">
        <f t="shared" si="82"/>
        <v>0.75595644655513483</v>
      </c>
      <c r="F143" s="290">
        <f t="shared" si="82"/>
        <v>11.576686741724963</v>
      </c>
      <c r="G143" s="290">
        <f t="shared" si="82"/>
        <v>14.361465126130602</v>
      </c>
      <c r="H143" s="146">
        <f>'[2]Ukraine Sun Meal Exports'!DA$290</f>
        <v>41.308477000000025</v>
      </c>
      <c r="I143" s="146">
        <f>'[2]Ukraine Sun Meal Exports'!DM$290</f>
        <v>38.5</v>
      </c>
      <c r="J143" s="146">
        <f>'[2]Ukraine Sun Meal Exports'!DY$290</f>
        <v>64.900000000000006</v>
      </c>
      <c r="K143" s="146">
        <f>'[2]Ukraine Sun Meal Exports'!EK$290</f>
        <v>80.094999999999999</v>
      </c>
      <c r="L143" s="146">
        <f>'[2]Ukraine Sun Meal Exports'!EW$290</f>
        <v>93.688999999999993</v>
      </c>
      <c r="M143" s="146">
        <f>'[2]Ukraine Sun Meal Exports'!FI$290</f>
        <v>71.594999999999999</v>
      </c>
      <c r="N143" s="146">
        <f>'[2]Ukraine Sun Meal Exports'!FU$290</f>
        <v>99.289000000000001</v>
      </c>
      <c r="O143" s="146">
        <f>'[2]Ukraine Sun Meal Exports'!GG$290</f>
        <v>122.80200000000001</v>
      </c>
      <c r="P143" s="146">
        <f>'[2]Ukraine Sun Meal Exports'!GS$290</f>
        <v>111.518</v>
      </c>
      <c r="Q143" s="146">
        <f>'[2]Ukraine Sun Meal Exports'!HE$290</f>
        <v>142.434</v>
      </c>
      <c r="R143" s="146">
        <f>'[2]Ukraine Sun Meal Exports'!HQ$290</f>
        <v>195.221</v>
      </c>
      <c r="S143" s="146">
        <f>'[2]Ukraine Sun Meal Exports'!IC$290</f>
        <v>238.977</v>
      </c>
      <c r="T143" s="146">
        <f>'[2]Ukraine Sun Meal Exports'!IO$290</f>
        <v>288.58699999999999</v>
      </c>
      <c r="U143" s="146">
        <f>'[2]Ukraine Sun Meal Exports'!JA$290</f>
        <v>383.065</v>
      </c>
      <c r="V143" s="146">
        <f>'[2]Ukraine Sun Meal Exports'!JM$290</f>
        <v>288.18099999999998</v>
      </c>
      <c r="W143" s="146">
        <f>'[2]Ukraine Sun Meal Exports'!JY$290</f>
        <v>294.57600000000002</v>
      </c>
      <c r="X143" s="146">
        <f>'[2]Ukraine Sun Meal Exports'!KK$290</f>
        <v>359.68</v>
      </c>
      <c r="Y143" s="146">
        <f>'[2]Ukraine Sun Meal Exports'!KW$290</f>
        <v>353.87</v>
      </c>
      <c r="Z143" s="146">
        <f>'[2]Ukraine Sun Meal Exports'!LI$290</f>
        <v>369.88799999999998</v>
      </c>
      <c r="AA143" s="146">
        <f>'[2]Ukraine Sun Meal Exports'!LU$290</f>
        <v>307.52999999999997</v>
      </c>
      <c r="AB143" s="146">
        <f>'[2]Ukraine Sun Meal Exports'!MG$290</f>
        <v>406.87599999999998</v>
      </c>
      <c r="AC143" s="146">
        <f>'[2]Ukraine Sun Meal Exports'!MS$290</f>
        <v>479.572</v>
      </c>
      <c r="AD143" s="146">
        <f>'[2]Ukraine Sun Meal Exports'!NE$290</f>
        <v>409.28300000000002</v>
      </c>
      <c r="AE143" s="146">
        <f>'[2]Ukraine Sun Meal Exports'!NQ$290</f>
        <v>365.71</v>
      </c>
      <c r="AF143" s="146">
        <f>'[2]Ukraine Sun Meal Exports'!OC$290</f>
        <v>358.00900000000001</v>
      </c>
      <c r="AG143" s="253">
        <f>(SUM(AA143:AE143)/SUM(AA$155:AE$155))*AG$155</f>
        <v>407.47524472673825</v>
      </c>
      <c r="AK143" s="226">
        <v>233.142</v>
      </c>
      <c r="AO143" s="108">
        <f>AK143-AD143</f>
        <v>-176.14100000000002</v>
      </c>
      <c r="AP143" s="108"/>
    </row>
    <row r="144" spans="1:44">
      <c r="A144" s="240" t="s">
        <v>240</v>
      </c>
      <c r="B144" s="290">
        <f t="shared" si="80"/>
        <v>0</v>
      </c>
      <c r="C144" s="290">
        <f t="shared" si="81"/>
        <v>0</v>
      </c>
      <c r="D144" s="290">
        <f t="shared" si="82"/>
        <v>0</v>
      </c>
      <c r="E144" s="290">
        <f t="shared" si="82"/>
        <v>0.97701433556333483</v>
      </c>
      <c r="F144" s="290">
        <f t="shared" si="82"/>
        <v>15.337291243281271</v>
      </c>
      <c r="G144" s="290">
        <f t="shared" si="82"/>
        <v>18.505885506685374</v>
      </c>
      <c r="H144" s="146">
        <f>'[2]Ukraine Sun Meal Exports'!DB$290</f>
        <v>34.590372999999985</v>
      </c>
      <c r="I144" s="146">
        <f>'[2]Ukraine Sun Meal Exports'!DN$290</f>
        <v>50</v>
      </c>
      <c r="J144" s="146">
        <f>'[2]Ukraine Sun Meal Exports'!DZ$290</f>
        <v>80.7</v>
      </c>
      <c r="K144" s="146">
        <f>'[2]Ukraine Sun Meal Exports'!EL$290</f>
        <v>72.256</v>
      </c>
      <c r="L144" s="146">
        <f>'[2]Ukraine Sun Meal Exports'!EX$290</f>
        <v>98.819000000000003</v>
      </c>
      <c r="M144" s="146">
        <f>'[2]Ukraine Sun Meal Exports'!FJ$290</f>
        <v>95.685000000000002</v>
      </c>
      <c r="N144" s="146">
        <f>'[2]Ukraine Sun Meal Exports'!FV$290</f>
        <v>118.006</v>
      </c>
      <c r="O144" s="146">
        <f>'[2]Ukraine Sun Meal Exports'!GH$290</f>
        <v>139.35</v>
      </c>
      <c r="P144" s="146">
        <f>'[2]Ukraine Sun Meal Exports'!GT$290</f>
        <v>182.636</v>
      </c>
      <c r="Q144" s="146">
        <f>'[2]Ukraine Sun Meal Exports'!HF$290</f>
        <v>171.18299999999999</v>
      </c>
      <c r="R144" s="146">
        <f>'[2]Ukraine Sun Meal Exports'!HR$290</f>
        <v>256.38099999999997</v>
      </c>
      <c r="S144" s="146">
        <f>'[2]Ukraine Sun Meal Exports'!ID$290</f>
        <v>324.834</v>
      </c>
      <c r="T144" s="146">
        <f>'[2]Ukraine Sun Meal Exports'!IP$290</f>
        <v>323.56900000000002</v>
      </c>
      <c r="U144" s="146">
        <f>'[2]Ukraine Sun Meal Exports'!JB$290</f>
        <v>373.536</v>
      </c>
      <c r="V144" s="146">
        <f>'[2]Ukraine Sun Meal Exports'!JN$290</f>
        <v>306.40100000000001</v>
      </c>
      <c r="W144" s="146">
        <f>'[2]Ukraine Sun Meal Exports'!JZ$290</f>
        <v>334.06200000000001</v>
      </c>
      <c r="X144" s="146">
        <f>'[2]Ukraine Sun Meal Exports'!KL$290</f>
        <v>386.79500000000002</v>
      </c>
      <c r="Y144" s="146">
        <f>'[2]Ukraine Sun Meal Exports'!KX$290</f>
        <v>514.78200000000004</v>
      </c>
      <c r="Z144" s="146">
        <f>'[2]Ukraine Sun Meal Exports'!LJ$290</f>
        <v>527.93700000000001</v>
      </c>
      <c r="AA144" s="146">
        <f>'[2]Ukraine Sun Meal Exports'!LV$290</f>
        <v>538.25900000000001</v>
      </c>
      <c r="AB144" s="146">
        <f>'[2]Ukraine Sun Meal Exports'!MH$290</f>
        <v>530.21299999999997</v>
      </c>
      <c r="AC144" s="146">
        <f>'[2]Ukraine Sun Meal Exports'!MT$290</f>
        <v>505.89800000000002</v>
      </c>
      <c r="AD144" s="146">
        <f>'[2]Ukraine Sun Meal Exports'!NF$290</f>
        <v>516.34299999999996</v>
      </c>
      <c r="AE144" s="146">
        <f>'[2]Ukraine Sun Meal Exports'!NR$290</f>
        <v>291.66699999999997</v>
      </c>
      <c r="AF144" s="146">
        <f>'[2]Ukraine Sun Meal Exports'!OD$290</f>
        <v>355.61399999999998</v>
      </c>
      <c r="AG144" s="253">
        <f t="shared" ref="AG144:AG145" si="83">(SUM(AA144:AE144)/SUM(AA$155:AE$155))*AG$155-25</f>
        <v>468.02954362054425</v>
      </c>
      <c r="AK144" s="226">
        <v>321.43299999999999</v>
      </c>
      <c r="AO144" s="108">
        <f>AK144-AD144</f>
        <v>-194.90999999999997</v>
      </c>
      <c r="AP144" s="108"/>
      <c r="AQ144" s="356">
        <v>404.41500000000002</v>
      </c>
      <c r="AR144" s="108">
        <f>AQ144-AD144</f>
        <v>-111.92799999999994</v>
      </c>
    </row>
    <row r="145" spans="1:44">
      <c r="A145" s="240" t="s">
        <v>241</v>
      </c>
      <c r="B145" s="290">
        <f t="shared" si="80"/>
        <v>0</v>
      </c>
      <c r="C145" s="290">
        <f t="shared" si="81"/>
        <v>0</v>
      </c>
      <c r="D145" s="290">
        <f t="shared" si="82"/>
        <v>0</v>
      </c>
      <c r="E145" s="290">
        <f t="shared" si="82"/>
        <v>0.93221422204553894</v>
      </c>
      <c r="F145" s="290">
        <f t="shared" si="82"/>
        <v>13.95707150447592</v>
      </c>
      <c r="G145" s="290">
        <f t="shared" si="82"/>
        <v>17.360070149686404</v>
      </c>
      <c r="H145" s="146">
        <f>'[2]Ukraine Sun Meal Exports'!DC$290</f>
        <v>40.042587000000005</v>
      </c>
      <c r="I145" s="146">
        <f>'[2]Ukraine Sun Meal Exports'!DO$290</f>
        <v>50.9</v>
      </c>
      <c r="J145" s="146">
        <f>'[2]Ukraine Sun Meal Exports'!EA$290</f>
        <v>73.2</v>
      </c>
      <c r="K145" s="146">
        <f>'[2]Ukraine Sun Meal Exports'!EM$290</f>
        <v>82.638999999999996</v>
      </c>
      <c r="L145" s="146">
        <f>'[2]Ukraine Sun Meal Exports'!EY$290</f>
        <v>116.747</v>
      </c>
      <c r="M145" s="146">
        <f>'[2]Ukraine Sun Meal Exports'!FK$290</f>
        <v>91.024000000000001</v>
      </c>
      <c r="N145" s="146">
        <f>'[2]Ukraine Sun Meal Exports'!FW$290</f>
        <v>119.764</v>
      </c>
      <c r="O145" s="146">
        <f>'[2]Ukraine Sun Meal Exports'!GI$290</f>
        <v>133.578</v>
      </c>
      <c r="P145" s="146">
        <f>'[2]Ukraine Sun Meal Exports'!GU$290</f>
        <v>147.23500000000001</v>
      </c>
      <c r="Q145" s="146">
        <f>'[2]Ukraine Sun Meal Exports'!HG$290</f>
        <v>178.923</v>
      </c>
      <c r="R145" s="146">
        <f>'[2]Ukraine Sun Meal Exports'!HS$290</f>
        <v>248.27500000000001</v>
      </c>
      <c r="S145" s="146">
        <f>'[2]Ukraine Sun Meal Exports'!IE$290</f>
        <v>269.68799999999999</v>
      </c>
      <c r="T145" s="146">
        <f>'[2]Ukraine Sun Meal Exports'!IQ$290</f>
        <v>336.55399999999997</v>
      </c>
      <c r="U145" s="146">
        <f>'[2]Ukraine Sun Meal Exports'!JC$290</f>
        <v>365.339</v>
      </c>
      <c r="V145" s="146">
        <f>'[2]Ukraine Sun Meal Exports'!JO$290</f>
        <v>354.20600000000002</v>
      </c>
      <c r="W145" s="146">
        <f>'[2]Ukraine Sun Meal Exports'!KA$290</f>
        <v>423.58600000000001</v>
      </c>
      <c r="X145" s="146">
        <f>'[2]Ukraine Sun Meal Exports'!KM$290</f>
        <v>450.33600000000001</v>
      </c>
      <c r="Y145" s="146">
        <f>'[2]Ukraine Sun Meal Exports'!KY$290</f>
        <v>466.69099999999997</v>
      </c>
      <c r="Z145" s="146">
        <f>'[2]Ukraine Sun Meal Exports'!LK$290</f>
        <v>413.44400000000002</v>
      </c>
      <c r="AA145" s="146">
        <f>'[2]Ukraine Sun Meal Exports'!LW$290</f>
        <v>596.39700000000005</v>
      </c>
      <c r="AB145" s="146">
        <f>'[2]Ukraine Sun Meal Exports'!MI$290</f>
        <v>485.42599999999999</v>
      </c>
      <c r="AC145" s="146">
        <f>'[2]Ukraine Sun Meal Exports'!MU$290</f>
        <v>631.26700000000005</v>
      </c>
      <c r="AD145" s="146">
        <f>'[2]Ukraine Sun Meal Exports'!NG$290</f>
        <v>453.22199999999998</v>
      </c>
      <c r="AE145" s="146">
        <f>'[2]Ukraine Sun Meal Exports'!NS$290</f>
        <v>447.44099999999997</v>
      </c>
      <c r="AF145" s="146">
        <f>'[2]Ukraine Sun Meal Exports'!OE$290</f>
        <v>386.21300000000002</v>
      </c>
      <c r="AG145" s="253">
        <f t="shared" si="83"/>
        <v>515.91179775133628</v>
      </c>
      <c r="AK145" s="226">
        <v>387.56299999999999</v>
      </c>
      <c r="AO145" s="108">
        <f t="shared" ref="AO145:AO147" si="84">AK145-AD145</f>
        <v>-65.658999999999992</v>
      </c>
      <c r="AP145" s="108"/>
      <c r="AQ145" s="356">
        <v>379.03100000000001</v>
      </c>
      <c r="AR145" s="108">
        <f t="shared" ref="AR145:AR146" si="85">AQ145-AD145</f>
        <v>-74.190999999999974</v>
      </c>
    </row>
    <row r="146" spans="1:44">
      <c r="A146" s="240" t="s">
        <v>231</v>
      </c>
      <c r="B146" s="290">
        <f t="shared" si="80"/>
        <v>0</v>
      </c>
      <c r="C146" s="290">
        <f t="shared" si="81"/>
        <v>0</v>
      </c>
      <c r="D146" s="290">
        <f t="shared" si="82"/>
        <v>0</v>
      </c>
      <c r="E146" s="290">
        <f t="shared" si="82"/>
        <v>0.89540089631759767</v>
      </c>
      <c r="F146" s="290">
        <f t="shared" si="82"/>
        <v>14.039826159550177</v>
      </c>
      <c r="G146" s="290">
        <f t="shared" si="82"/>
        <v>17.487520199918247</v>
      </c>
      <c r="H146" s="146">
        <f>'[2]Ukraine Sun Meal Exports'!DD$290</f>
        <v>26.3</v>
      </c>
      <c r="I146" s="146">
        <f>'[2]Ukraine Sun Meal Exports'!DP$290</f>
        <v>51.7</v>
      </c>
      <c r="J146" s="146">
        <f>'[2]Ukraine Sun Meal Exports'!EB$290</f>
        <v>68.162000000000006</v>
      </c>
      <c r="K146" s="146">
        <f>'[2]Ukraine Sun Meal Exports'!EN$290</f>
        <v>91.063999999999993</v>
      </c>
      <c r="L146" s="146">
        <f>'[2]Ukraine Sun Meal Exports'!EZ$290</f>
        <v>98.156000000000006</v>
      </c>
      <c r="M146" s="146">
        <f>'[2]Ukraine Sun Meal Exports'!FL$290</f>
        <v>85.308999999999997</v>
      </c>
      <c r="N146" s="146">
        <f>'[2]Ukraine Sun Meal Exports'!FX$290</f>
        <v>100.313</v>
      </c>
      <c r="O146" s="146">
        <f>'[2]Ukraine Sun Meal Exports'!GJ$290</f>
        <v>155.35499999999999</v>
      </c>
      <c r="P146" s="146">
        <f>'[2]Ukraine Sun Meal Exports'!GV$290</f>
        <v>149.78899999999999</v>
      </c>
      <c r="Q146" s="146">
        <f>'[2]Ukraine Sun Meal Exports'!HH$290</f>
        <v>192.24</v>
      </c>
      <c r="R146" s="146">
        <f>'[2]Ukraine Sun Meal Exports'!HT$290</f>
        <v>197.38900000000001</v>
      </c>
      <c r="S146" s="146">
        <f>'[2]Ukraine Sun Meal Exports'!IF$290</f>
        <v>288.72300000000001</v>
      </c>
      <c r="T146" s="146">
        <f>'[2]Ukraine Sun Meal Exports'!IR$290</f>
        <v>361.202</v>
      </c>
      <c r="U146" s="146">
        <f>'[2]Ukraine Sun Meal Exports'!JD$290</f>
        <v>370.613</v>
      </c>
      <c r="V146" s="146">
        <f>'[2]Ukraine Sun Meal Exports'!JP$290</f>
        <v>330.30900000000003</v>
      </c>
      <c r="W146" s="146">
        <f>'[2]Ukraine Sun Meal Exports'!KB$290</f>
        <v>302.50200000000001</v>
      </c>
      <c r="X146" s="146">
        <f>'[2]Ukraine Sun Meal Exports'!KN$290</f>
        <v>213.512</v>
      </c>
      <c r="Y146" s="146">
        <f>'[2]Ukraine Sun Meal Exports'!KZ$290</f>
        <v>434.13</v>
      </c>
      <c r="Z146" s="146">
        <f>'[2]Ukraine Sun Meal Exports'!LL$290</f>
        <v>478.041</v>
      </c>
      <c r="AA146" s="146">
        <f>'[2]Ukraine Sun Meal Exports'!LX$290</f>
        <v>501.3</v>
      </c>
      <c r="AB146" s="146">
        <f>'[2]Ukraine Sun Meal Exports'!MJ$290</f>
        <v>665.82899999999995</v>
      </c>
      <c r="AC146" s="146">
        <f>'[2]Ukraine Sun Meal Exports'!MV$290</f>
        <v>287.339</v>
      </c>
      <c r="AD146" s="146">
        <f>'[2]Ukraine Sun Meal Exports'!NH$290</f>
        <v>620.68700000000001</v>
      </c>
      <c r="AE146" s="146">
        <f>'[2]Ukraine Sun Meal Exports'!NT$290</f>
        <v>290.74700000000001</v>
      </c>
      <c r="AF146" s="146">
        <f>'[2]Ukraine Sun Meal Exports'!OF$290</f>
        <v>532.03300000000002</v>
      </c>
      <c r="AG146" s="253">
        <f t="shared" ref="AF146:AG152" si="86">(SUM(AA146:AE146)/SUM(AA$155:AE$155))*AG$155</f>
        <v>489.61944916887012</v>
      </c>
      <c r="AK146" s="226">
        <v>319.19299999999998</v>
      </c>
      <c r="AO146" s="108">
        <f t="shared" si="84"/>
        <v>-301.49400000000003</v>
      </c>
      <c r="AP146" s="108"/>
      <c r="AQ146" s="356">
        <v>471.28500000000003</v>
      </c>
      <c r="AR146" s="108">
        <f t="shared" si="85"/>
        <v>-149.40199999999999</v>
      </c>
    </row>
    <row r="147" spans="1:44">
      <c r="A147" s="240" t="s">
        <v>232</v>
      </c>
      <c r="B147" s="290">
        <f t="shared" si="80"/>
        <v>0</v>
      </c>
      <c r="C147" s="290">
        <f t="shared" si="81"/>
        <v>0</v>
      </c>
      <c r="D147" s="290">
        <f t="shared" si="82"/>
        <v>0</v>
      </c>
      <c r="E147" s="290">
        <f t="shared" si="82"/>
        <v>0.89290755901264296</v>
      </c>
      <c r="F147" s="290">
        <f t="shared" si="82"/>
        <v>14.196784488434334</v>
      </c>
      <c r="G147" s="290">
        <f t="shared" si="82"/>
        <v>17.532924647901169</v>
      </c>
      <c r="H147" s="146">
        <f>'[2]Ukraine Sun Meal Exports'!DE$290</f>
        <v>30.4</v>
      </c>
      <c r="I147" s="146">
        <f>'[2]Ukraine Sun Meal Exports'!DQ$290</f>
        <v>36.299999999999997</v>
      </c>
      <c r="J147" s="146">
        <f>'[2]Ukraine Sun Meal Exports'!EC$290</f>
        <v>63.256999999999998</v>
      </c>
      <c r="K147" s="146">
        <f>'[2]Ukraine Sun Meal Exports'!EO$290</f>
        <v>92.346000000000004</v>
      </c>
      <c r="L147" s="146">
        <f>'[2]Ukraine Sun Meal Exports'!FA$290</f>
        <v>86.289000000000001</v>
      </c>
      <c r="M147" s="146">
        <f>'[2]Ukraine Sun Meal Exports'!FM$290</f>
        <v>71.010999999999996</v>
      </c>
      <c r="N147" s="146">
        <f>'[2]Ukraine Sun Meal Exports'!FY$290</f>
        <v>111.749</v>
      </c>
      <c r="O147" s="146">
        <f>'[2]Ukraine Sun Meal Exports'!GK$290</f>
        <v>130.96199999999999</v>
      </c>
      <c r="P147" s="146">
        <f>'[2]Ukraine Sun Meal Exports'!GW$290</f>
        <v>150.673</v>
      </c>
      <c r="Q147" s="146">
        <f>'[2]Ukraine Sun Meal Exports'!HI$290</f>
        <v>199.19499999999999</v>
      </c>
      <c r="R147" s="146">
        <f>'[2]Ukraine Sun Meal Exports'!HU$290</f>
        <v>200.29300000000001</v>
      </c>
      <c r="S147" s="146">
        <f>'[2]Ukraine Sun Meal Exports'!IG$290</f>
        <v>313.36799999999999</v>
      </c>
      <c r="T147" s="146">
        <f>'[2]Ukraine Sun Meal Exports'!IS$290</f>
        <v>328.90199999999999</v>
      </c>
      <c r="U147" s="146">
        <f>'[2]Ukraine Sun Meal Exports'!JE$290</f>
        <v>318.49</v>
      </c>
      <c r="V147" s="146">
        <f>'[2]Ukraine Sun Meal Exports'!JQ$290</f>
        <v>271.41199999999998</v>
      </c>
      <c r="W147" s="146">
        <f>'[2]Ukraine Sun Meal Exports'!KC$290</f>
        <v>335.04899999999998</v>
      </c>
      <c r="X147" s="146">
        <f>'[2]Ukraine Sun Meal Exports'!KO$290</f>
        <v>376.226</v>
      </c>
      <c r="Y147" s="146">
        <f>'[2]Ukraine Sun Meal Exports'!LA$290</f>
        <v>451.51499999999999</v>
      </c>
      <c r="Z147" s="146">
        <f>'[2]Ukraine Sun Meal Exports'!LM$290</f>
        <v>385.17200000000003</v>
      </c>
      <c r="AA147" s="146">
        <f>'[2]Ukraine Sun Meal Exports'!LY$290</f>
        <v>404.94900000000001</v>
      </c>
      <c r="AB147" s="146">
        <f>'[2]Ukraine Sun Meal Exports'!MK$290</f>
        <v>493.57299999999998</v>
      </c>
      <c r="AC147" s="146">
        <f>'[2]Ukraine Sun Meal Exports'!MW$290</f>
        <v>441.36500000000001</v>
      </c>
      <c r="AD147" s="146">
        <f>'[2]Ukraine Sun Meal Exports'!NI$290</f>
        <v>420.14699999999999</v>
      </c>
      <c r="AE147" s="146">
        <f>'[2]Ukraine Sun Meal Exports'!NU$290</f>
        <v>344.74</v>
      </c>
      <c r="AF147" s="146">
        <f>'[2]Ukraine Sun Meal Exports'!OG$290</f>
        <v>491.01299999999998</v>
      </c>
      <c r="AG147" s="253">
        <f t="shared" si="86"/>
        <v>435.57944771379351</v>
      </c>
      <c r="AK147" s="226">
        <v>163.05000000000001</v>
      </c>
      <c r="AO147" s="108">
        <f t="shared" si="84"/>
        <v>-257.09699999999998</v>
      </c>
      <c r="AP147" s="108"/>
    </row>
    <row r="148" spans="1:44">
      <c r="A148" s="240" t="s">
        <v>233</v>
      </c>
      <c r="B148" s="290">
        <f t="shared" si="80"/>
        <v>0</v>
      </c>
      <c r="C148" s="290">
        <f t="shared" si="81"/>
        <v>0</v>
      </c>
      <c r="D148" s="290">
        <f t="shared" si="82"/>
        <v>0</v>
      </c>
      <c r="E148" s="290">
        <f t="shared" si="82"/>
        <v>0.99865253925683017</v>
      </c>
      <c r="F148" s="290">
        <f t="shared" si="82"/>
        <v>15.345585266844864</v>
      </c>
      <c r="G148" s="290">
        <f t="shared" si="82"/>
        <v>18.996438809164037</v>
      </c>
      <c r="H148" s="146">
        <f>'[2]Ukraine Sun Meal Exports'!DF$290</f>
        <v>34.4</v>
      </c>
      <c r="I148" s="146">
        <f>'[2]Ukraine Sun Meal Exports'!DR$290</f>
        <v>45.8</v>
      </c>
      <c r="J148" s="146">
        <f>'[2]Ukraine Sun Meal Exports'!ED$290</f>
        <v>47.122</v>
      </c>
      <c r="K148" s="146">
        <f>'[2]Ukraine Sun Meal Exports'!EP$290</f>
        <v>100.86799999999999</v>
      </c>
      <c r="L148" s="146">
        <f>'[2]Ukraine Sun Meal Exports'!FB$290</f>
        <v>101.762</v>
      </c>
      <c r="M148" s="146">
        <f>'[2]Ukraine Sun Meal Exports'!FN$290</f>
        <v>98.76</v>
      </c>
      <c r="N148" s="146">
        <f>'[2]Ukraine Sun Meal Exports'!FZ$290</f>
        <v>133.36099999999999</v>
      </c>
      <c r="O148" s="146">
        <f>'[2]Ukraine Sun Meal Exports'!GL$290</f>
        <v>143.76499999999999</v>
      </c>
      <c r="P148" s="146">
        <f>'[2]Ukraine Sun Meal Exports'!GX$290</f>
        <v>111.381</v>
      </c>
      <c r="Q148" s="146">
        <f>'[2]Ukraine Sun Meal Exports'!HJ$290</f>
        <v>230.494</v>
      </c>
      <c r="R148" s="146">
        <f>'[2]Ukraine Sun Meal Exports'!HV$290</f>
        <v>267.76900000000001</v>
      </c>
      <c r="S148" s="146">
        <f>'[2]Ukraine Sun Meal Exports'!IH$290</f>
        <v>321.55599999999998</v>
      </c>
      <c r="T148" s="146">
        <f>'[2]Ukraine Sun Meal Exports'!IT$290</f>
        <v>360.76600000000002</v>
      </c>
      <c r="U148" s="146">
        <f>'[2]Ukraine Sun Meal Exports'!JF$290</f>
        <v>270.64400000000001</v>
      </c>
      <c r="V148" s="146">
        <f>'[2]Ukraine Sun Meal Exports'!JR$290</f>
        <v>359.142</v>
      </c>
      <c r="W148" s="146">
        <f>'[2]Ukraine Sun Meal Exports'!KD$290</f>
        <v>306.25099999999998</v>
      </c>
      <c r="X148" s="146">
        <f>'[2]Ukraine Sun Meal Exports'!KP$290</f>
        <v>384.88200000000001</v>
      </c>
      <c r="Y148" s="146">
        <f>'[2]Ukraine Sun Meal Exports'!LB$290</f>
        <v>484.81</v>
      </c>
      <c r="Z148" s="146">
        <f>'[2]Ukraine Sun Meal Exports'!LN$290</f>
        <v>358.42599999999999</v>
      </c>
      <c r="AA148" s="146">
        <f>'[2]Ukraine Sun Meal Exports'!LZ$290</f>
        <v>456.69600000000003</v>
      </c>
      <c r="AB148" s="146">
        <f>'[2]Ukraine Sun Meal Exports'!ML$290</f>
        <v>574.99400000000003</v>
      </c>
      <c r="AC148" s="146">
        <f>'[2]Ukraine Sun Meal Exports'!MX$290</f>
        <v>400.34500000000003</v>
      </c>
      <c r="AD148" s="146">
        <f>'[2]Ukraine Sun Meal Exports'!NJ$290</f>
        <v>62.122</v>
      </c>
      <c r="AE148" s="146">
        <f>'[2]Ukraine Sun Meal Exports'!NV$290</f>
        <v>371.67599999999999</v>
      </c>
      <c r="AF148" s="146">
        <f>'[2]Ukraine Sun Meal Exports'!OH$290</f>
        <v>398.363</v>
      </c>
      <c r="AG148" s="253">
        <f t="shared" si="86"/>
        <v>386.13100868129811</v>
      </c>
    </row>
    <row r="149" spans="1:44">
      <c r="A149" s="240" t="s">
        <v>234</v>
      </c>
      <c r="B149" s="290">
        <f t="shared" si="80"/>
        <v>0</v>
      </c>
      <c r="C149" s="290">
        <f t="shared" si="81"/>
        <v>0</v>
      </c>
      <c r="D149" s="290">
        <f t="shared" si="82"/>
        <v>0</v>
      </c>
      <c r="E149" s="290">
        <f t="shared" si="82"/>
        <v>0.9282838935928327</v>
      </c>
      <c r="F149" s="290">
        <f t="shared" si="82"/>
        <v>13.893702880381625</v>
      </c>
      <c r="G149" s="290">
        <f t="shared" si="82"/>
        <v>17.88100090991529</v>
      </c>
      <c r="H149" s="146">
        <f>'[2]Ukraine Sun Meal Exports'!DG$290</f>
        <v>25.9</v>
      </c>
      <c r="I149" s="146">
        <f>'[2]Ukraine Sun Meal Exports'!DS$290</f>
        <v>31.6</v>
      </c>
      <c r="J149" s="146">
        <f>'[2]Ukraine Sun Meal Exports'!EE$290</f>
        <v>49.427999999999997</v>
      </c>
      <c r="K149" s="146">
        <f>'[2]Ukraine Sun Meal Exports'!EQ$290</f>
        <v>71.984999999999999</v>
      </c>
      <c r="L149" s="146">
        <f>'[2]Ukraine Sun Meal Exports'!FC$290</f>
        <v>97.906000000000006</v>
      </c>
      <c r="M149" s="146">
        <f>'[2]Ukraine Sun Meal Exports'!FO$290</f>
        <v>86.582999999999998</v>
      </c>
      <c r="N149" s="146">
        <f>'[2]Ukraine Sun Meal Exports'!GA$290</f>
        <v>135.47900000000001</v>
      </c>
      <c r="O149" s="146">
        <f>'[2]Ukraine Sun Meal Exports'!GM$290</f>
        <v>138.78100000000001</v>
      </c>
      <c r="P149" s="146">
        <f>'[2]Ukraine Sun Meal Exports'!GY$290</f>
        <v>97.730999999999995</v>
      </c>
      <c r="Q149" s="146">
        <f>'[2]Ukraine Sun Meal Exports'!HK$290</f>
        <v>234.072</v>
      </c>
      <c r="R149" s="146">
        <f>'[2]Ukraine Sun Meal Exports'!HW$290</f>
        <v>218.22200000000001</v>
      </c>
      <c r="S149" s="146">
        <f>'[2]Ukraine Sun Meal Exports'!II$290</f>
        <v>284.45400000000001</v>
      </c>
      <c r="T149" s="146">
        <f>'[2]Ukraine Sun Meal Exports'!IU$290</f>
        <v>381.625</v>
      </c>
      <c r="U149" s="146">
        <f>'[2]Ukraine Sun Meal Exports'!JG$290</f>
        <v>276.77</v>
      </c>
      <c r="V149" s="146">
        <f>'[2]Ukraine Sun Meal Exports'!JS$290</f>
        <v>374.16399999999999</v>
      </c>
      <c r="W149" s="146">
        <f>'[2]Ukraine Sun Meal Exports'!KE$290</f>
        <v>328.11399999999998</v>
      </c>
      <c r="X149" s="146">
        <f>'[2]Ukraine Sun Meal Exports'!KQ$290</f>
        <v>328.69299999999998</v>
      </c>
      <c r="Y149" s="146">
        <f>'[2]Ukraine Sun Meal Exports'!LC$290</f>
        <v>470.21699999999998</v>
      </c>
      <c r="Z149" s="146">
        <f>'[2]Ukraine Sun Meal Exports'!LO$290</f>
        <v>487.86200000000002</v>
      </c>
      <c r="AA149" s="146">
        <f>'[2]Ukraine Sun Meal Exports'!MA$290</f>
        <v>404.67599999999999</v>
      </c>
      <c r="AB149" s="146">
        <f>'[2]Ukraine Sun Meal Exports'!MM$290</f>
        <v>366.98700000000002</v>
      </c>
      <c r="AC149" s="146">
        <f>'[2]Ukraine Sun Meal Exports'!MY$290</f>
        <v>471.96699999999998</v>
      </c>
      <c r="AD149" s="146">
        <f>'[2]Ukraine Sun Meal Exports'!NK$290</f>
        <v>47.298999999999999</v>
      </c>
      <c r="AE149" s="146">
        <f>'[2]Ukraine Sun Meal Exports'!NW$290</f>
        <v>232.60900000000001</v>
      </c>
      <c r="AF149" s="253">
        <f t="shared" si="86"/>
        <v>343.43252778912864</v>
      </c>
      <c r="AG149" s="253">
        <f t="shared" si="86"/>
        <v>315.29363276578749</v>
      </c>
    </row>
    <row r="150" spans="1:44">
      <c r="A150" s="240" t="s">
        <v>46</v>
      </c>
      <c r="B150" s="290">
        <f t="shared" si="80"/>
        <v>0</v>
      </c>
      <c r="C150" s="290">
        <f t="shared" si="81"/>
        <v>0</v>
      </c>
      <c r="D150" s="290">
        <f t="shared" si="82"/>
        <v>0</v>
      </c>
      <c r="E150" s="290">
        <f t="shared" si="82"/>
        <v>0.93619297574852212</v>
      </c>
      <c r="F150" s="290">
        <f t="shared" si="82"/>
        <v>13.411650233745856</v>
      </c>
      <c r="G150" s="290">
        <f t="shared" si="82"/>
        <v>17.569771651348439</v>
      </c>
      <c r="H150" s="146">
        <f>'[2]Ukraine Sun Meal Exports'!DH$290</f>
        <v>26.2</v>
      </c>
      <c r="I150" s="146">
        <f>'[2]Ukraine Sun Meal Exports'!DT$290</f>
        <v>23.6</v>
      </c>
      <c r="J150" s="146">
        <f>'[2]Ukraine Sun Meal Exports'!EF$290</f>
        <v>45.718000000000004</v>
      </c>
      <c r="K150" s="146">
        <f>'[2]Ukraine Sun Meal Exports'!ER$290</f>
        <v>69.784000000000006</v>
      </c>
      <c r="L150" s="146">
        <f>'[2]Ukraine Sun Meal Exports'!FD$290</f>
        <v>111.67700000000001</v>
      </c>
      <c r="M150" s="146">
        <f>'[2]Ukraine Sun Meal Exports'!FP$290</f>
        <v>76.334000000000003</v>
      </c>
      <c r="N150" s="146">
        <f>'[2]Ukraine Sun Meal Exports'!GB$290</f>
        <v>140.01900000000001</v>
      </c>
      <c r="O150" s="146">
        <f>'[2]Ukraine Sun Meal Exports'!GN$290</f>
        <v>161.99199999999999</v>
      </c>
      <c r="P150" s="146">
        <f>'[2]Ukraine Sun Meal Exports'!GZ$290</f>
        <v>73.02</v>
      </c>
      <c r="Q150" s="146">
        <f>'[2]Ukraine Sun Meal Exports'!HL$290</f>
        <v>225.62899999999999</v>
      </c>
      <c r="R150" s="146">
        <f>'[2]Ukraine Sun Meal Exports'!HX$290</f>
        <v>230.648</v>
      </c>
      <c r="S150" s="146">
        <f>'[2]Ukraine Sun Meal Exports'!IJ$290</f>
        <v>248.203</v>
      </c>
      <c r="T150" s="146">
        <f>'[2]Ukraine Sun Meal Exports'!IV$290</f>
        <v>417.43700000000001</v>
      </c>
      <c r="U150" s="146">
        <f>'[2]Ukraine Sun Meal Exports'!JH$290</f>
        <v>170.297</v>
      </c>
      <c r="V150" s="146">
        <f>'[2]Ukraine Sun Meal Exports'!JT$290</f>
        <v>331.90499999999997</v>
      </c>
      <c r="W150" s="146">
        <f>'[2]Ukraine Sun Meal Exports'!KF$290</f>
        <v>269.48099999999999</v>
      </c>
      <c r="X150" s="146">
        <f>'[2]Ukraine Sun Meal Exports'!KR$290</f>
        <v>418.36200000000002</v>
      </c>
      <c r="Y150" s="146">
        <f>'[2]Ukraine Sun Meal Exports'!LD$290</f>
        <v>460.78500000000003</v>
      </c>
      <c r="Z150" s="146">
        <f>'[2]Ukraine Sun Meal Exports'!LP$290</f>
        <v>376.41199999999998</v>
      </c>
      <c r="AA150" s="146">
        <f>'[2]Ukraine Sun Meal Exports'!MB$290</f>
        <v>526.93100000000004</v>
      </c>
      <c r="AB150" s="146">
        <f>'[2]Ukraine Sun Meal Exports'!MN$290</f>
        <v>526.14599999999996</v>
      </c>
      <c r="AC150" s="146">
        <f>'[2]Ukraine Sun Meal Exports'!MZ$290</f>
        <v>434.29300000000001</v>
      </c>
      <c r="AD150" s="146">
        <f>'[2]Ukraine Sun Meal Exports'!NL$290</f>
        <v>99.522000000000006</v>
      </c>
      <c r="AE150" s="146">
        <f>'[2]Ukraine Sun Meal Exports'!NX$290</f>
        <v>388.28300000000002</v>
      </c>
      <c r="AF150" s="253">
        <f t="shared" si="86"/>
        <v>379.05659267362347</v>
      </c>
      <c r="AG150" s="253">
        <f t="shared" si="86"/>
        <v>408.75915211708815</v>
      </c>
    </row>
    <row r="151" spans="1:44">
      <c r="A151" s="240" t="s">
        <v>235</v>
      </c>
      <c r="B151" s="290">
        <f t="shared" si="80"/>
        <v>0</v>
      </c>
      <c r="C151" s="290">
        <f t="shared" si="81"/>
        <v>0</v>
      </c>
      <c r="D151" s="290">
        <f t="shared" si="82"/>
        <v>0</v>
      </c>
      <c r="E151" s="290">
        <f t="shared" si="82"/>
        <v>0.85213462444810706</v>
      </c>
      <c r="F151" s="290">
        <f t="shared" si="82"/>
        <v>12.414468774214695</v>
      </c>
      <c r="G151" s="290">
        <f t="shared" si="82"/>
        <v>16.083687597710647</v>
      </c>
      <c r="H151" s="146">
        <f>'[2]Ukraine Sun Meal Exports'!DI$290</f>
        <v>25.3</v>
      </c>
      <c r="I151" s="146">
        <f>'[2]Ukraine Sun Meal Exports'!DU$290</f>
        <v>34.299999999999997</v>
      </c>
      <c r="J151" s="146">
        <f>'[2]Ukraine Sun Meal Exports'!EG$290</f>
        <v>34.298999999999999</v>
      </c>
      <c r="K151" s="146">
        <f>'[2]Ukraine Sun Meal Exports'!ES$290</f>
        <v>77.114999999999995</v>
      </c>
      <c r="L151" s="146">
        <f>'[2]Ukraine Sun Meal Exports'!FE$290</f>
        <v>110.794</v>
      </c>
      <c r="M151" s="146">
        <f>'[2]Ukraine Sun Meal Exports'!FQ$290</f>
        <v>72.322000000000003</v>
      </c>
      <c r="N151" s="146">
        <f>'[2]Ukraine Sun Meal Exports'!GC$290</f>
        <v>122.73</v>
      </c>
      <c r="O151" s="146">
        <f>'[2]Ukraine Sun Meal Exports'!GO$290</f>
        <v>112.628</v>
      </c>
      <c r="P151" s="146">
        <f>'[2]Ukraine Sun Meal Exports'!HA$290</f>
        <v>56.366999999999997</v>
      </c>
      <c r="Q151" s="146">
        <f>'[2]Ukraine Sun Meal Exports'!HM$290</f>
        <v>224.05600000000001</v>
      </c>
      <c r="R151" s="146">
        <f>'[2]Ukraine Sun Meal Exports'!HY$290</f>
        <v>240.886</v>
      </c>
      <c r="S151" s="146">
        <f>'[2]Ukraine Sun Meal Exports'!IK$290</f>
        <v>235.702</v>
      </c>
      <c r="T151" s="146">
        <f>'[2]Ukraine Sun Meal Exports'!IW$290</f>
        <v>336.85599999999999</v>
      </c>
      <c r="U151" s="146">
        <f>'[2]Ukraine Sun Meal Exports'!JI$290</f>
        <v>127.88</v>
      </c>
      <c r="V151" s="146">
        <f>'[2]Ukraine Sun Meal Exports'!JU$290</f>
        <v>312.42500000000001</v>
      </c>
      <c r="W151" s="146">
        <f>'[2]Ukraine Sun Meal Exports'!KG$290</f>
        <v>265.31900000000002</v>
      </c>
      <c r="X151" s="146">
        <f>'[2]Ukraine Sun Meal Exports'!KS$290</f>
        <v>382.44400000000002</v>
      </c>
      <c r="Y151" s="146">
        <f>'[2]Ukraine Sun Meal Exports'!LE$290</f>
        <v>392.00200000000001</v>
      </c>
      <c r="Z151" s="146">
        <f>'[2]Ukraine Sun Meal Exports'!LQ$290</f>
        <v>312.142</v>
      </c>
      <c r="AA151" s="146">
        <f>'[2]Ukraine Sun Meal Exports'!MC$290</f>
        <v>310.90300000000002</v>
      </c>
      <c r="AB151" s="146">
        <f>'[2]Ukraine Sun Meal Exports'!MO$290</f>
        <v>378.58300000000003</v>
      </c>
      <c r="AC151" s="146">
        <f>'[2]Ukraine Sun Meal Exports'!NA$290</f>
        <v>257.22500000000002</v>
      </c>
      <c r="AD151" s="146">
        <f>'[2]Ukraine Sun Meal Exports'!NM$290</f>
        <v>111.467</v>
      </c>
      <c r="AE151" s="146">
        <f>'[2]Ukraine Sun Meal Exports'!NY$290</f>
        <v>380.27800000000002</v>
      </c>
      <c r="AF151" s="253">
        <f t="shared" si="86"/>
        <v>264.56872194653488</v>
      </c>
      <c r="AG151" s="253">
        <f t="shared" si="86"/>
        <v>297.68605562430582</v>
      </c>
    </row>
    <row r="152" spans="1:44">
      <c r="A152" s="240" t="s">
        <v>236</v>
      </c>
      <c r="B152" s="290">
        <f t="shared" si="80"/>
        <v>0</v>
      </c>
      <c r="C152" s="290">
        <f t="shared" si="81"/>
        <v>0</v>
      </c>
      <c r="D152" s="290">
        <f t="shared" si="82"/>
        <v>0</v>
      </c>
      <c r="E152" s="290">
        <f t="shared" si="82"/>
        <v>0.82582957803025225</v>
      </c>
      <c r="F152" s="290">
        <f t="shared" si="82"/>
        <v>11.280728572154578</v>
      </c>
      <c r="G152" s="290">
        <f t="shared" si="82"/>
        <v>15.327868218140077</v>
      </c>
      <c r="H152" s="146">
        <f>'[2]Ukraine Sun Meal Exports'!DJ$290</f>
        <v>25.8</v>
      </c>
      <c r="I152" s="146">
        <f>'[2]Ukraine Sun Meal Exports'!DV$290</f>
        <v>34.4</v>
      </c>
      <c r="J152" s="146">
        <f>'[2]Ukraine Sun Meal Exports'!EH$290</f>
        <v>34.624000000000002</v>
      </c>
      <c r="K152" s="146">
        <f>'[2]Ukraine Sun Meal Exports'!ET$290</f>
        <v>49.280999999999999</v>
      </c>
      <c r="L152" s="146">
        <f>'[2]Ukraine Sun Meal Exports'!FF$290</f>
        <v>82.754000000000005</v>
      </c>
      <c r="M152" s="146">
        <f>'[2]Ukraine Sun Meal Exports'!FR$290</f>
        <v>48.423000000000002</v>
      </c>
      <c r="N152" s="146">
        <f>'[2]Ukraine Sun Meal Exports'!GD$290</f>
        <v>119.35</v>
      </c>
      <c r="O152" s="146">
        <f>'[2]Ukraine Sun Meal Exports'!GP$290</f>
        <v>107.43600000000001</v>
      </c>
      <c r="P152" s="146">
        <f>'[2]Ukraine Sun Meal Exports'!HB$290</f>
        <v>82.691999999999993</v>
      </c>
      <c r="Q152" s="146">
        <f>'[2]Ukraine Sun Meal Exports'!HN$290</f>
        <v>198.75899999999999</v>
      </c>
      <c r="R152" s="146">
        <f>'[2]Ukraine Sun Meal Exports'!HZ$290</f>
        <v>225.072</v>
      </c>
      <c r="S152" s="146">
        <f>'[2]Ukraine Sun Meal Exports'!IL$290</f>
        <v>176.261</v>
      </c>
      <c r="T152" s="146">
        <f>'[2]Ukraine Sun Meal Exports'!IX$290</f>
        <v>359.67899999999997</v>
      </c>
      <c r="U152" s="146">
        <f>'[2]Ukraine Sun Meal Exports'!JJ$290</f>
        <v>133.761</v>
      </c>
      <c r="V152" s="146">
        <f>'[2]Ukraine Sun Meal Exports'!JV$290</f>
        <v>393.72199999999998</v>
      </c>
      <c r="W152" s="146">
        <f>'[2]Ukraine Sun Meal Exports'!KH$290</f>
        <v>245.35900000000001</v>
      </c>
      <c r="X152" s="146">
        <f>'[2]Ukraine Sun Meal Exports'!KT$290</f>
        <v>274.42399999999998</v>
      </c>
      <c r="Y152" s="146">
        <f>'[2]Ukraine Sun Meal Exports'!LF$290</f>
        <v>385.94200000000001</v>
      </c>
      <c r="Z152" s="146">
        <f>'[2]Ukraine Sun Meal Exports'!LR$290</f>
        <v>224.33699999999999</v>
      </c>
      <c r="AA152" s="146">
        <f>'[2]Ukraine Sun Meal Exports'!MD$290</f>
        <v>347.07900000000001</v>
      </c>
      <c r="AB152" s="146">
        <f>'[2]Ukraine Sun Meal Exports'!MP$290</f>
        <v>468.98599999999999</v>
      </c>
      <c r="AC152" s="146">
        <f>'[2]Ukraine Sun Meal Exports'!NB$290</f>
        <v>228.477</v>
      </c>
      <c r="AD152" s="146">
        <f>'[2]Ukraine Sun Meal Exports'!NN$290</f>
        <v>152.65799999999999</v>
      </c>
      <c r="AE152" s="146">
        <f>'[2]Ukraine Sun Meal Exports'!NZ$290</f>
        <v>257.99</v>
      </c>
      <c r="AF152" s="253">
        <f t="shared" si="86"/>
        <v>274.45722699056523</v>
      </c>
      <c r="AG152" s="253">
        <f t="shared" si="86"/>
        <v>301.14912884643923</v>
      </c>
    </row>
    <row r="153" spans="1:44">
      <c r="A153" s="240" t="s">
        <v>237</v>
      </c>
      <c r="B153" s="290">
        <f t="shared" si="80"/>
        <v>0</v>
      </c>
      <c r="C153" s="290">
        <f t="shared" si="81"/>
        <v>0</v>
      </c>
      <c r="D153" s="290">
        <f t="shared" si="82"/>
        <v>0</v>
      </c>
      <c r="E153" s="290">
        <f t="shared" si="82"/>
        <v>0.59918814504826479</v>
      </c>
      <c r="F153" s="290">
        <f t="shared" si="82"/>
        <v>7.9767521802860912</v>
      </c>
      <c r="G153" s="290">
        <f t="shared" si="82"/>
        <v>9.7786889140619913</v>
      </c>
      <c r="H153" s="146">
        <f>'[2]Ukraine Sun Meal Exports'!DK$290</f>
        <v>10.9</v>
      </c>
      <c r="I153" s="146">
        <f>'[2]Ukraine Sun Meal Exports'!DW$290</f>
        <v>20.6</v>
      </c>
      <c r="J153" s="146">
        <f>'[2]Ukraine Sun Meal Exports'!EI$290</f>
        <v>6.585</v>
      </c>
      <c r="K153" s="146">
        <f>'[2]Ukraine Sun Meal Exports'!EU$290</f>
        <v>26.995999999999999</v>
      </c>
      <c r="L153" s="146">
        <f>'[2]Ukraine Sun Meal Exports'!FG$290</f>
        <v>59.771999999999998</v>
      </c>
      <c r="M153" s="146">
        <f>'[2]Ukraine Sun Meal Exports'!FS$290</f>
        <v>32.003999999999998</v>
      </c>
      <c r="N153" s="146">
        <f>'[2]Ukraine Sun Meal Exports'!GE$290</f>
        <v>97.216999999999999</v>
      </c>
      <c r="O153" s="146">
        <f>'[2]Ukraine Sun Meal Exports'!GQ$290</f>
        <v>92.174999999999997</v>
      </c>
      <c r="P153" s="146">
        <f>'[2]Ukraine Sun Meal Exports'!HC$290</f>
        <v>38.953000000000003</v>
      </c>
      <c r="Q153" s="146">
        <f>'[2]Ukraine Sun Meal Exports'!HO$290</f>
        <v>169.81</v>
      </c>
      <c r="R153" s="146">
        <f>'[2]Ukraine Sun Meal Exports'!IA$290</f>
        <v>133.904</v>
      </c>
      <c r="S153" s="146">
        <f>'[2]Ukraine Sun Meal Exports'!IM$290</f>
        <v>123.93300000000001</v>
      </c>
      <c r="T153" s="146">
        <f>'[2]Ukraine Sun Meal Exports'!IY$290</f>
        <v>198.458</v>
      </c>
      <c r="U153" s="146">
        <f>'[2]Ukraine Sun Meal Exports'!JK$290</f>
        <v>31.529</v>
      </c>
      <c r="V153" s="146">
        <f>'[2]Ukraine Sun Meal Exports'!JW$290</f>
        <v>176.90199999999999</v>
      </c>
      <c r="W153" s="146">
        <f>'[2]Ukraine Sun Meal Exports'!KI$290</f>
        <v>100.443</v>
      </c>
      <c r="X153" s="146">
        <f>'[2]Ukraine Sun Meal Exports'!KU$290</f>
        <v>94.998999999999995</v>
      </c>
      <c r="Y153" s="146">
        <f>'[2]Ukraine Sun Meal Exports'!LG$290</f>
        <v>217.245</v>
      </c>
      <c r="Z153" s="146">
        <f>'[2]Ukraine Sun Meal Exports'!LS$290</f>
        <v>109.733</v>
      </c>
      <c r="AA153" s="146">
        <f>'[2]Ukraine Sun Meal Exports'!ME$290</f>
        <v>280.33199999999999</v>
      </c>
      <c r="AB153" s="146">
        <f>'[2]Ukraine Sun Meal Exports'!MQ$290</f>
        <v>171.215</v>
      </c>
      <c r="AC153" s="146">
        <f>'[2]Ukraine Sun Meal Exports'!NC$290</f>
        <v>162.01499999999999</v>
      </c>
      <c r="AD153" s="146">
        <f>'[2]Ukraine Sun Meal Exports'!NO$290</f>
        <v>281.75200000000001</v>
      </c>
      <c r="AE153" s="146">
        <f>'[2]Ukraine Sun Meal Exports'!OA$290</f>
        <v>256.803</v>
      </c>
      <c r="AF153" s="253">
        <f>(SUM(Z153:AD153)/SUM(Z$155:AD$155))*AF$155+50</f>
        <v>244.04518673463062</v>
      </c>
      <c r="AG153" s="253">
        <f>(SUM(AA153:AE153)/SUM(AA$155:AE$155))*AG$155+50</f>
        <v>288.42868002059737</v>
      </c>
    </row>
    <row r="154" spans="1:44">
      <c r="A154" s="240" t="s">
        <v>238</v>
      </c>
      <c r="B154" s="290">
        <f t="shared" si="80"/>
        <v>0</v>
      </c>
      <c r="C154" s="290">
        <f t="shared" si="81"/>
        <v>0</v>
      </c>
      <c r="D154" s="290">
        <f t="shared" si="82"/>
        <v>0</v>
      </c>
      <c r="E154" s="290">
        <f t="shared" si="82"/>
        <v>0.40622478438094234</v>
      </c>
      <c r="F154" s="290">
        <f t="shared" si="82"/>
        <v>6.5694519549056372</v>
      </c>
      <c r="G154" s="290">
        <f t="shared" si="82"/>
        <v>9.1146782693377109</v>
      </c>
      <c r="H154" s="146">
        <f>'[2]Ukraine Sun Meal Exports'!DL$290</f>
        <v>25.8</v>
      </c>
      <c r="I154" s="146">
        <f>'[2]Ukraine Sun Meal Exports'!DX$290</f>
        <v>17</v>
      </c>
      <c r="J154" s="146">
        <f>'[2]Ukraine Sun Meal Exports'!EJ$290</f>
        <v>33.945999999999998</v>
      </c>
      <c r="K154" s="146">
        <f>'[2]Ukraine Sun Meal Exports'!EV$290</f>
        <v>30.8</v>
      </c>
      <c r="L154" s="146">
        <f>'[2]Ukraine Sun Meal Exports'!FH$290</f>
        <v>32.457999999999998</v>
      </c>
      <c r="M154" s="146">
        <f>'[2]Ukraine Sun Meal Exports'!FT$290</f>
        <v>39.463000000000001</v>
      </c>
      <c r="N154" s="146">
        <f>'[2]Ukraine Sun Meal Exports'!GF$290</f>
        <v>44.353999999999999</v>
      </c>
      <c r="O154" s="146">
        <f>'[2]Ukraine Sun Meal Exports'!GR$290</f>
        <v>70.811999999999998</v>
      </c>
      <c r="P154" s="146">
        <f>'[2]Ukraine Sun Meal Exports'!HD$290</f>
        <v>42.469000000000001</v>
      </c>
      <c r="Q154" s="146">
        <f>'[2]Ukraine Sun Meal Exports'!HP$290</f>
        <v>101.43899999999999</v>
      </c>
      <c r="R154" s="146">
        <f>'[2]Ukraine Sun Meal Exports'!IB$290</f>
        <v>101.64</v>
      </c>
      <c r="S154" s="146">
        <f>'[2]Ukraine Sun Meal Exports'!IN$290</f>
        <v>143.833</v>
      </c>
      <c r="T154" s="146">
        <f>'[2]Ukraine Sun Meal Exports'!IZ$290</f>
        <v>230.517</v>
      </c>
      <c r="U154" s="146">
        <f>'[2]Ukraine Sun Meal Exports'!JL$290</f>
        <v>149.22999999999999</v>
      </c>
      <c r="V154" s="146">
        <f>'[2]Ukraine Sun Meal Exports'!JX$290</f>
        <v>189.21</v>
      </c>
      <c r="W154" s="146">
        <f>'[2]Ukraine Sun Meal Exports'!KJ$290</f>
        <v>146.95099999999999</v>
      </c>
      <c r="X154" s="146">
        <f>'[2]Ukraine Sun Meal Exports'!KV$290</f>
        <v>175.172</v>
      </c>
      <c r="Y154" s="146">
        <f>'[2]Ukraine Sun Meal Exports'!LH$290</f>
        <v>194.803</v>
      </c>
      <c r="Z154" s="146">
        <f>'[2]Ukraine Sun Meal Exports'!LT$290</f>
        <v>132.52099999999999</v>
      </c>
      <c r="AA154" s="146">
        <f>'[2]Ukraine Sun Meal Exports'!MF$290</f>
        <v>112.854</v>
      </c>
      <c r="AB154" s="146">
        <f>'[2]Ukraine Sun Meal Exports'!MR$290</f>
        <v>96.022999999999996</v>
      </c>
      <c r="AC154" s="146">
        <f>'[2]Ukraine Sun Meal Exports'!ND$290</f>
        <v>65.671000000000006</v>
      </c>
      <c r="AD154" s="146">
        <f>'[2]Ukraine Sun Meal Exports'!NP$290</f>
        <v>344.04700000000003</v>
      </c>
      <c r="AE154" s="146">
        <f>'[2]Ukraine Sun Meal Exports'!OB$290</f>
        <v>279.875</v>
      </c>
      <c r="AF154" s="253">
        <f>AF155-SUM(AF143:AF153)</f>
        <v>223.19474386551747</v>
      </c>
      <c r="AG154" s="253">
        <f>AG155-SUM(AG143:AG153)</f>
        <v>185.9368589632013</v>
      </c>
    </row>
    <row r="155" spans="1:44" ht="15.75" thickBot="1">
      <c r="A155" s="299" t="s">
        <v>242</v>
      </c>
      <c r="B155" s="146">
        <f t="shared" ref="B155:G155" si="87">B27</f>
        <v>0</v>
      </c>
      <c r="C155" s="146">
        <f t="shared" si="87"/>
        <v>0</v>
      </c>
      <c r="D155" s="146">
        <f t="shared" si="87"/>
        <v>0</v>
      </c>
      <c r="E155" s="146">
        <f t="shared" si="87"/>
        <v>10</v>
      </c>
      <c r="F155" s="146">
        <f t="shared" si="87"/>
        <v>150</v>
      </c>
      <c r="G155" s="146">
        <f t="shared" si="87"/>
        <v>190</v>
      </c>
      <c r="H155" s="146">
        <f t="shared" ref="H155:AB155" si="88">SUM(H143:H154)</f>
        <v>346.94143700000006</v>
      </c>
      <c r="I155" s="146">
        <f t="shared" si="88"/>
        <v>434.7000000000001</v>
      </c>
      <c r="J155" s="146">
        <f t="shared" si="88"/>
        <v>601.94100000000014</v>
      </c>
      <c r="K155" s="146">
        <f t="shared" si="88"/>
        <v>845.22899999999993</v>
      </c>
      <c r="L155" s="146">
        <f t="shared" si="88"/>
        <v>1090.8230000000001</v>
      </c>
      <c r="M155" s="146">
        <f t="shared" si="88"/>
        <v>868.51299999999992</v>
      </c>
      <c r="N155" s="146">
        <f t="shared" si="88"/>
        <v>1341.6310000000001</v>
      </c>
      <c r="O155" s="146">
        <f t="shared" si="88"/>
        <v>1509.6359999999997</v>
      </c>
      <c r="P155" s="146">
        <f t="shared" si="88"/>
        <v>1244.4639999999999</v>
      </c>
      <c r="Q155" s="146">
        <f t="shared" si="88"/>
        <v>2268.2339999999995</v>
      </c>
      <c r="R155" s="146">
        <f t="shared" si="88"/>
        <v>2515.6999999999998</v>
      </c>
      <c r="S155" s="146">
        <f t="shared" si="88"/>
        <v>2969.5320000000002</v>
      </c>
      <c r="T155" s="146">
        <f t="shared" si="88"/>
        <v>3924.1519999999996</v>
      </c>
      <c r="U155" s="146">
        <f t="shared" si="88"/>
        <v>2971.154</v>
      </c>
      <c r="V155" s="146">
        <f t="shared" si="88"/>
        <v>3687.9790000000003</v>
      </c>
      <c r="W155" s="146">
        <f t="shared" si="88"/>
        <v>3351.6930000000002</v>
      </c>
      <c r="X155" s="146">
        <f t="shared" si="88"/>
        <v>3845.5249999999996</v>
      </c>
      <c r="Y155" s="146">
        <f t="shared" si="88"/>
        <v>4826.7919999999995</v>
      </c>
      <c r="Z155" s="146">
        <f t="shared" si="88"/>
        <v>4175.915</v>
      </c>
      <c r="AA155" s="146">
        <f t="shared" si="88"/>
        <v>4787.9059999999999</v>
      </c>
      <c r="AB155" s="146">
        <f t="shared" si="88"/>
        <v>5164.8509999999997</v>
      </c>
      <c r="AC155" s="146">
        <f>SUM(AC143:AC154)</f>
        <v>4365.4340000000011</v>
      </c>
      <c r="AD155" s="146">
        <f>SUM(AD143:AD154)</f>
        <v>3518.5489999999995</v>
      </c>
      <c r="AE155" s="146">
        <f>SUM(AE143:AE154)</f>
        <v>3907.8189999999995</v>
      </c>
      <c r="AF155" s="253">
        <f>AF27</f>
        <v>4250</v>
      </c>
      <c r="AG155" s="253">
        <f>AG27</f>
        <v>4500</v>
      </c>
    </row>
    <row r="156" spans="1:44">
      <c r="A156" s="248"/>
      <c r="B156" s="248"/>
      <c r="C156" s="248"/>
      <c r="D156" s="248"/>
      <c r="E156" s="248"/>
      <c r="F156" s="263"/>
      <c r="G156" s="263"/>
      <c r="H156" s="263"/>
      <c r="I156" s="263"/>
      <c r="J156" s="263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  <c r="AD156" s="248"/>
      <c r="AE156" s="248"/>
      <c r="AF156" s="248"/>
      <c r="AG156" s="248"/>
    </row>
    <row r="157" spans="1:44" ht="15.75" thickBot="1">
      <c r="A157" s="235" t="s">
        <v>258</v>
      </c>
      <c r="D157" s="264"/>
      <c r="E157" s="264"/>
      <c r="F157" s="264"/>
      <c r="G157" s="264"/>
      <c r="H157" s="264"/>
      <c r="I157" s="264"/>
      <c r="J157" s="264"/>
    </row>
    <row r="158" spans="1:44" ht="15.75" thickBot="1">
      <c r="A158" s="236"/>
      <c r="B158" s="237" t="str">
        <f>B$2</f>
        <v xml:space="preserve">93/94 </v>
      </c>
      <c r="C158" s="237" t="str">
        <f t="shared" ref="C158:AG158" si="89">C$2</f>
        <v xml:space="preserve">94/95 </v>
      </c>
      <c r="D158" s="237" t="str">
        <f t="shared" si="89"/>
        <v xml:space="preserve">95/96 </v>
      </c>
      <c r="E158" s="237" t="str">
        <f t="shared" si="89"/>
        <v xml:space="preserve">96/97 </v>
      </c>
      <c r="F158" s="237" t="str">
        <f t="shared" si="89"/>
        <v xml:space="preserve">97/98 </v>
      </c>
      <c r="G158" s="237" t="str">
        <f t="shared" si="89"/>
        <v xml:space="preserve">98/99 </v>
      </c>
      <c r="H158" s="237" t="str">
        <f t="shared" si="89"/>
        <v xml:space="preserve">99/00 </v>
      </c>
      <c r="I158" s="237" t="str">
        <f t="shared" si="89"/>
        <v xml:space="preserve">00/01 </v>
      </c>
      <c r="J158" s="237" t="str">
        <f t="shared" si="89"/>
        <v xml:space="preserve">01/02 </v>
      </c>
      <c r="K158" s="237" t="str">
        <f t="shared" si="89"/>
        <v xml:space="preserve">02/03 </v>
      </c>
      <c r="L158" s="237" t="str">
        <f t="shared" si="89"/>
        <v xml:space="preserve">03/04 </v>
      </c>
      <c r="M158" s="237" t="str">
        <f t="shared" si="89"/>
        <v xml:space="preserve">04/05 </v>
      </c>
      <c r="N158" s="237" t="str">
        <f t="shared" si="89"/>
        <v xml:space="preserve">05/06 </v>
      </c>
      <c r="O158" s="237" t="str">
        <f t="shared" si="89"/>
        <v xml:space="preserve">06/07 </v>
      </c>
      <c r="P158" s="237" t="str">
        <f t="shared" si="89"/>
        <v xml:space="preserve">07/08 </v>
      </c>
      <c r="Q158" s="237" t="str">
        <f t="shared" si="89"/>
        <v xml:space="preserve">08/09 </v>
      </c>
      <c r="R158" s="237" t="str">
        <f t="shared" si="89"/>
        <v xml:space="preserve">09/10 </v>
      </c>
      <c r="S158" s="237" t="str">
        <f t="shared" si="89"/>
        <v xml:space="preserve">10/11 </v>
      </c>
      <c r="T158" s="237" t="str">
        <f t="shared" si="89"/>
        <v xml:space="preserve">11/12 </v>
      </c>
      <c r="U158" s="237" t="str">
        <f t="shared" si="89"/>
        <v xml:space="preserve">12/13 </v>
      </c>
      <c r="V158" s="237" t="str">
        <f t="shared" si="89"/>
        <v xml:space="preserve">13/14 </v>
      </c>
      <c r="W158" s="237" t="str">
        <f t="shared" si="89"/>
        <v xml:space="preserve">14/15 </v>
      </c>
      <c r="X158" s="237" t="str">
        <f t="shared" si="89"/>
        <v xml:space="preserve">15/16 </v>
      </c>
      <c r="Y158" s="237" t="str">
        <f t="shared" si="89"/>
        <v xml:space="preserve">16/17 </v>
      </c>
      <c r="Z158" s="237" t="str">
        <f t="shared" si="89"/>
        <v xml:space="preserve">17/18 </v>
      </c>
      <c r="AA158" s="237" t="str">
        <f t="shared" si="89"/>
        <v xml:space="preserve">18/19 </v>
      </c>
      <c r="AB158" s="237" t="str">
        <f t="shared" si="89"/>
        <v xml:space="preserve">19/20 </v>
      </c>
      <c r="AC158" s="237" t="str">
        <f t="shared" si="89"/>
        <v xml:space="preserve">20/21 </v>
      </c>
      <c r="AD158" s="237" t="str">
        <f t="shared" si="89"/>
        <v>21/22</v>
      </c>
      <c r="AE158" s="237" t="str">
        <f t="shared" si="89"/>
        <v>22/23</v>
      </c>
      <c r="AF158" s="237" t="str">
        <f t="shared" si="89"/>
        <v>23/24</v>
      </c>
      <c r="AG158" s="237" t="str">
        <f t="shared" si="89"/>
        <v>24/25</v>
      </c>
    </row>
    <row r="159" spans="1:44">
      <c r="A159" s="240" t="s">
        <v>239</v>
      </c>
      <c r="B159" s="290">
        <f t="shared" ref="B159:Y159" si="90">B22+B95+B130-B143-B175</f>
        <v>101.25014019372412</v>
      </c>
      <c r="C159" s="290">
        <f t="shared" si="90"/>
        <v>49.351406604956793</v>
      </c>
      <c r="D159" s="290">
        <f t="shared" si="90"/>
        <v>36.874869043791755</v>
      </c>
      <c r="E159" s="290">
        <f t="shared" si="90"/>
        <v>41.771744524714173</v>
      </c>
      <c r="F159" s="290">
        <f t="shared" si="90"/>
        <v>7.494331445682775</v>
      </c>
      <c r="G159" s="290">
        <f t="shared" si="90"/>
        <v>32.685023637914341</v>
      </c>
      <c r="H159" s="290">
        <f t="shared" si="90"/>
        <v>6.1949751799665895</v>
      </c>
      <c r="I159" s="290">
        <f t="shared" si="90"/>
        <v>35.079750028998959</v>
      </c>
      <c r="J159" s="290">
        <f t="shared" si="90"/>
        <v>-6.3599943293965566E-2</v>
      </c>
      <c r="K159" s="290">
        <f t="shared" si="90"/>
        <v>-4.1102072880540774</v>
      </c>
      <c r="L159" s="290">
        <f t="shared" si="90"/>
        <v>-18.705053511705682</v>
      </c>
      <c r="M159" s="290">
        <f t="shared" si="90"/>
        <v>-26.701250000000002</v>
      </c>
      <c r="N159" s="290">
        <f t="shared" si="90"/>
        <v>-28.051020588107562</v>
      </c>
      <c r="O159" s="290">
        <f t="shared" si="90"/>
        <v>-66.021329669711349</v>
      </c>
      <c r="P159" s="290">
        <f t="shared" si="90"/>
        <v>-4.3680954493964448</v>
      </c>
      <c r="Q159" s="290">
        <f t="shared" si="90"/>
        <v>-44.282648615131073</v>
      </c>
      <c r="R159" s="290">
        <f t="shared" si="90"/>
        <v>-61.93424083180458</v>
      </c>
      <c r="S159" s="290">
        <f t="shared" si="90"/>
        <v>-73.741539041477751</v>
      </c>
      <c r="T159" s="290">
        <f t="shared" si="90"/>
        <v>-48.972831004301426</v>
      </c>
      <c r="U159" s="290">
        <f t="shared" si="90"/>
        <v>-115.03158394013448</v>
      </c>
      <c r="V159" s="290">
        <f t="shared" si="90"/>
        <v>-23.402279354205138</v>
      </c>
      <c r="W159" s="290">
        <f t="shared" si="90"/>
        <v>-14.420271426600948</v>
      </c>
      <c r="X159" s="290">
        <f t="shared" si="90"/>
        <v>-62.145500165070928</v>
      </c>
      <c r="Y159" s="290">
        <f t="shared" si="90"/>
        <v>36.136600076979818</v>
      </c>
      <c r="Z159" s="253">
        <f>Y186+Z95+Z127-Z143-Z175</f>
        <v>13.790761909814307</v>
      </c>
      <c r="AA159" s="253">
        <f>AA22+AA95+AA127-AA143-AA175</f>
        <v>144.49717291183873</v>
      </c>
      <c r="AB159" s="253">
        <f>AB22+AB95+AB127-AB143-AB175</f>
        <v>-199.37460811074982</v>
      </c>
      <c r="AC159" s="253">
        <f>(SUM(X159:AB159)/SUM(X$171:AB$171))*AC$171</f>
        <v>-44.883824198391899</v>
      </c>
      <c r="AD159" s="253">
        <f>AD22+AD95+AD127-AD143-AD175</f>
        <v>-365.16681113033576</v>
      </c>
      <c r="AE159" s="253">
        <f>AE22+AE95+AE127-AE143-AE175</f>
        <v>82.220360211687563</v>
      </c>
      <c r="AF159" s="253">
        <f>AF22+AF95+AF127-AF143-AF175</f>
        <v>220.13327382050483</v>
      </c>
      <c r="AG159" s="253">
        <f>AG22+AG95+AG127-AG143-AG175</f>
        <v>504.87188378435053</v>
      </c>
    </row>
    <row r="160" spans="1:44">
      <c r="A160" s="240" t="s">
        <v>240</v>
      </c>
      <c r="B160" s="290">
        <f t="shared" ref="B160:Y167" si="91">B175+B96+B131-B144-B176</f>
        <v>115.91659583178696</v>
      </c>
      <c r="C160" s="290">
        <f t="shared" si="91"/>
        <v>83.166685060515761</v>
      </c>
      <c r="D160" s="290">
        <f t="shared" si="91"/>
        <v>110.6307035619665</v>
      </c>
      <c r="E160" s="290">
        <f t="shared" si="91"/>
        <v>77.041682955726486</v>
      </c>
      <c r="F160" s="290">
        <f t="shared" si="91"/>
        <v>74.571351176033232</v>
      </c>
      <c r="G160" s="290">
        <f t="shared" si="91"/>
        <v>79.38594747471916</v>
      </c>
      <c r="H160" s="290">
        <f t="shared" si="91"/>
        <v>71.676507135875781</v>
      </c>
      <c r="I160" s="290">
        <f t="shared" si="91"/>
        <v>79.932837221404895</v>
      </c>
      <c r="J160" s="290">
        <f t="shared" si="91"/>
        <v>25.500088737429778</v>
      </c>
      <c r="K160" s="290">
        <f t="shared" si="91"/>
        <v>65.774266561168091</v>
      </c>
      <c r="L160" s="290">
        <f t="shared" si="91"/>
        <v>29.33134965034963</v>
      </c>
      <c r="M160" s="290">
        <f t="shared" si="91"/>
        <v>17.062035573122529</v>
      </c>
      <c r="N160" s="290">
        <f t="shared" si="91"/>
        <v>35.616857142857128</v>
      </c>
      <c r="O160" s="290">
        <f t="shared" si="91"/>
        <v>43.492682926829275</v>
      </c>
      <c r="P160" s="290">
        <f t="shared" si="91"/>
        <v>9.3170143561174061</v>
      </c>
      <c r="Q160" s="290">
        <f t="shared" si="91"/>
        <v>23.800744116013234</v>
      </c>
      <c r="R160" s="290">
        <f t="shared" si="91"/>
        <v>9.3368042614662698</v>
      </c>
      <c r="S160" s="290">
        <f t="shared" si="91"/>
        <v>-35.458047976011983</v>
      </c>
      <c r="T160" s="290">
        <f t="shared" si="91"/>
        <v>20.787060207398241</v>
      </c>
      <c r="U160" s="290">
        <f t="shared" si="91"/>
        <v>-21.436695648496649</v>
      </c>
      <c r="V160" s="290">
        <f t="shared" si="91"/>
        <v>56.296851843470641</v>
      </c>
      <c r="W160" s="290">
        <f t="shared" si="91"/>
        <v>33.530302481893727</v>
      </c>
      <c r="X160" s="290">
        <f t="shared" si="91"/>
        <v>-0.94364117918013335</v>
      </c>
      <c r="Y160" s="290">
        <f t="shared" si="91"/>
        <v>-19.016148468442282</v>
      </c>
      <c r="Z160" s="253">
        <f t="shared" ref="Z160:AC170" si="92">Z175+Z96+Z128-Z144-Z176</f>
        <v>-0.30570202552394221</v>
      </c>
      <c r="AA160" s="253">
        <f t="shared" si="92"/>
        <v>31.47698335267296</v>
      </c>
      <c r="AB160" s="253">
        <f t="shared" si="92"/>
        <v>5.2810838641918281</v>
      </c>
      <c r="AC160" s="253">
        <f t="shared" ref="AC160:AC161" si="93">(SUM(X160:AB160)/SUM(X$171:AB$171))*AC$171</f>
        <v>11.032767499005178</v>
      </c>
      <c r="AD160" s="253">
        <f t="shared" ref="AD160:AG170" si="94">AD175+AD96+AD128-AD144-AD176</f>
        <v>-78.661334520417711</v>
      </c>
      <c r="AE160" s="253">
        <f t="shared" si="94"/>
        <v>158.73329994871813</v>
      </c>
      <c r="AF160" s="253">
        <f t="shared" si="94"/>
        <v>127.12468157792711</v>
      </c>
      <c r="AG160" s="253">
        <f t="shared" si="94"/>
        <v>46.801999989531339</v>
      </c>
    </row>
    <row r="161" spans="1:33">
      <c r="A161" s="240" t="s">
        <v>241</v>
      </c>
      <c r="B161" s="290">
        <f t="shared" si="91"/>
        <v>111.10646259456905</v>
      </c>
      <c r="C161" s="290">
        <f t="shared" si="91"/>
        <v>79.870507302358092</v>
      </c>
      <c r="D161" s="290">
        <f t="shared" si="91"/>
        <v>106.63821018545778</v>
      </c>
      <c r="E161" s="290">
        <f t="shared" si="91"/>
        <v>82.028843983624654</v>
      </c>
      <c r="F161" s="290">
        <f t="shared" si="91"/>
        <v>81.832387777485579</v>
      </c>
      <c r="G161" s="290">
        <f t="shared" si="91"/>
        <v>67.242204899697128</v>
      </c>
      <c r="H161" s="290">
        <f t="shared" si="91"/>
        <v>54.90993495916166</v>
      </c>
      <c r="I161" s="290">
        <f t="shared" si="91"/>
        <v>76.294131758084404</v>
      </c>
      <c r="J161" s="290">
        <f t="shared" si="91"/>
        <v>28.791019082243096</v>
      </c>
      <c r="K161" s="290">
        <f t="shared" si="91"/>
        <v>49.914561573701612</v>
      </c>
      <c r="L161" s="290">
        <f t="shared" si="91"/>
        <v>8.5472890442890268</v>
      </c>
      <c r="M161" s="290">
        <f t="shared" si="91"/>
        <v>23.007620553359686</v>
      </c>
      <c r="N161" s="290">
        <f t="shared" si="91"/>
        <v>39.132623376623357</v>
      </c>
      <c r="O161" s="290">
        <f t="shared" si="91"/>
        <v>47.387853658536585</v>
      </c>
      <c r="P161" s="290">
        <f t="shared" si="91"/>
        <v>37.075546389543618</v>
      </c>
      <c r="Q161" s="290">
        <f t="shared" si="91"/>
        <v>26.535848639008286</v>
      </c>
      <c r="R161" s="290">
        <f t="shared" si="91"/>
        <v>12.797968580715064</v>
      </c>
      <c r="S161" s="290">
        <f t="shared" si="91"/>
        <v>23.641175412293876</v>
      </c>
      <c r="T161" s="290">
        <f t="shared" si="91"/>
        <v>12.763056183253511</v>
      </c>
      <c r="U161" s="290">
        <f t="shared" si="91"/>
        <v>-35.671388886539511</v>
      </c>
      <c r="V161" s="290">
        <f t="shared" si="91"/>
        <v>-6.5424831008453452</v>
      </c>
      <c r="W161" s="290">
        <f t="shared" si="91"/>
        <v>-47.349308265453146</v>
      </c>
      <c r="X161" s="290">
        <f t="shared" si="91"/>
        <v>-95.820862736066374</v>
      </c>
      <c r="Y161" s="290">
        <f t="shared" si="91"/>
        <v>41.417789651538811</v>
      </c>
      <c r="Z161" s="253">
        <f t="shared" si="92"/>
        <v>96.271708933380012</v>
      </c>
      <c r="AA161" s="253">
        <f t="shared" si="92"/>
        <v>-13.430467196280176</v>
      </c>
      <c r="AB161" s="253">
        <f t="shared" si="92"/>
        <v>112.82398510125853</v>
      </c>
      <c r="AC161" s="253">
        <f t="shared" si="93"/>
        <v>94.497823862830913</v>
      </c>
      <c r="AD161" s="253">
        <f t="shared" si="94"/>
        <v>167.43561061971357</v>
      </c>
      <c r="AE161" s="253">
        <f t="shared" si="94"/>
        <v>28.463638410256493</v>
      </c>
      <c r="AF161" s="253">
        <f t="shared" si="94"/>
        <v>185.52251626452733</v>
      </c>
      <c r="AG161" s="253">
        <f t="shared" si="94"/>
        <v>105.67298634421743</v>
      </c>
    </row>
    <row r="162" spans="1:33">
      <c r="A162" s="240" t="s">
        <v>231</v>
      </c>
      <c r="B162" s="290">
        <f t="shared" si="91"/>
        <v>105.56903751405731</v>
      </c>
      <c r="C162" s="290">
        <f t="shared" si="91"/>
        <v>75.297060662914319</v>
      </c>
      <c r="D162" s="290">
        <f t="shared" si="91"/>
        <v>116.03988813659113</v>
      </c>
      <c r="E162" s="290">
        <f t="shared" si="91"/>
        <v>69.003703464204506</v>
      </c>
      <c r="F162" s="290">
        <f t="shared" si="91"/>
        <v>58.565643567745312</v>
      </c>
      <c r="G162" s="290">
        <f t="shared" si="91"/>
        <v>62.96176799570874</v>
      </c>
      <c r="H162" s="290">
        <f t="shared" si="91"/>
        <v>73.817088967233644</v>
      </c>
      <c r="I162" s="290">
        <f t="shared" si="91"/>
        <v>67.602927927727237</v>
      </c>
      <c r="J162" s="290">
        <f t="shared" si="91"/>
        <v>27.988934935671509</v>
      </c>
      <c r="K162" s="290">
        <f t="shared" si="91"/>
        <v>33.890633403591835</v>
      </c>
      <c r="L162" s="290">
        <f t="shared" si="91"/>
        <v>33.441319347319322</v>
      </c>
      <c r="M162" s="290">
        <f t="shared" si="91"/>
        <v>24.275980237154144</v>
      </c>
      <c r="N162" s="290">
        <f t="shared" si="91"/>
        <v>63.662064935064919</v>
      </c>
      <c r="O162" s="290">
        <f t="shared" si="91"/>
        <v>32.327926829268307</v>
      </c>
      <c r="P162" s="290">
        <f t="shared" si="91"/>
        <v>46.692524105421072</v>
      </c>
      <c r="Q162" s="290">
        <f t="shared" si="91"/>
        <v>34.564344648130231</v>
      </c>
      <c r="R162" s="290">
        <f t="shared" si="91"/>
        <v>76.136081256771448</v>
      </c>
      <c r="S162" s="290">
        <f t="shared" si="91"/>
        <v>11.721977511244404</v>
      </c>
      <c r="T162" s="290">
        <f t="shared" si="91"/>
        <v>11.639704070577352</v>
      </c>
      <c r="U162" s="290">
        <f t="shared" si="91"/>
        <v>-29.976587347232218</v>
      </c>
      <c r="V162" s="290">
        <f t="shared" si="91"/>
        <v>32.876979601402965</v>
      </c>
      <c r="W162" s="290">
        <f t="shared" si="91"/>
        <v>62.906400923980016</v>
      </c>
      <c r="X162" s="290">
        <f t="shared" si="91"/>
        <v>143.53097558728695</v>
      </c>
      <c r="Y162" s="290">
        <f t="shared" si="91"/>
        <v>100.56357944842114</v>
      </c>
      <c r="Z162" s="253">
        <f t="shared" si="92"/>
        <v>-31.126042969207276</v>
      </c>
      <c r="AA162" s="253">
        <f t="shared" si="92"/>
        <v>98.56088999290904</v>
      </c>
      <c r="AB162" s="253">
        <f t="shared" si="92"/>
        <v>-106.30888985814602</v>
      </c>
      <c r="AC162" s="146">
        <f>AC177+AC98+AC130-AC146-AC178</f>
        <v>310.32059230769227</v>
      </c>
      <c r="AD162" s="253">
        <f t="shared" si="94"/>
        <v>48.934184263124166</v>
      </c>
      <c r="AE162" s="253">
        <f t="shared" si="94"/>
        <v>144.17019654979134</v>
      </c>
      <c r="AF162" s="253">
        <f t="shared" si="94"/>
        <v>-194.48638638315515</v>
      </c>
      <c r="AG162" s="253">
        <f t="shared" si="94"/>
        <v>97.093969556433535</v>
      </c>
    </row>
    <row r="163" spans="1:33">
      <c r="A163" s="240" t="s">
        <v>232</v>
      </c>
      <c r="B163" s="290">
        <f t="shared" si="91"/>
        <v>77.083647760510416</v>
      </c>
      <c r="C163" s="290">
        <f t="shared" si="91"/>
        <v>54.283927454659164</v>
      </c>
      <c r="D163" s="290">
        <f t="shared" si="91"/>
        <v>89.766705916985615</v>
      </c>
      <c r="E163" s="290">
        <f t="shared" si="91"/>
        <v>39.750529725486629</v>
      </c>
      <c r="F163" s="290">
        <f t="shared" si="91"/>
        <v>42.44669178893794</v>
      </c>
      <c r="G163" s="290">
        <f t="shared" si="91"/>
        <v>39.978802125444908</v>
      </c>
      <c r="H163" s="290">
        <f t="shared" si="91"/>
        <v>44.379489299423554</v>
      </c>
      <c r="I163" s="290">
        <f t="shared" si="91"/>
        <v>73.182974070602953</v>
      </c>
      <c r="J163" s="290">
        <f t="shared" si="91"/>
        <v>23.879182106096586</v>
      </c>
      <c r="K163" s="290">
        <f t="shared" si="91"/>
        <v>32.400153846153863</v>
      </c>
      <c r="L163" s="290">
        <f t="shared" si="91"/>
        <v>34.671955710955714</v>
      </c>
      <c r="M163" s="290">
        <f t="shared" si="91"/>
        <v>40.352636363636364</v>
      </c>
      <c r="N163" s="290">
        <f t="shared" si="91"/>
        <v>53.886324675324659</v>
      </c>
      <c r="O163" s="290">
        <f t="shared" si="91"/>
        <v>67.981902439024424</v>
      </c>
      <c r="P163" s="290">
        <f t="shared" si="91"/>
        <v>57.092811013499009</v>
      </c>
      <c r="Q163" s="290">
        <f t="shared" si="91"/>
        <v>31.858679501798072</v>
      </c>
      <c r="R163" s="290">
        <f t="shared" si="91"/>
        <v>60.384663416395824</v>
      </c>
      <c r="S163" s="290">
        <f t="shared" si="91"/>
        <v>-6.2025427286356489</v>
      </c>
      <c r="T163" s="290">
        <f t="shared" si="91"/>
        <v>13.4960420987464</v>
      </c>
      <c r="U163" s="290">
        <f t="shared" si="91"/>
        <v>18.588963504884344</v>
      </c>
      <c r="V163" s="290">
        <f t="shared" si="91"/>
        <v>59.069419819936314</v>
      </c>
      <c r="W163" s="290">
        <f t="shared" si="91"/>
        <v>-20.283520728763278</v>
      </c>
      <c r="X163" s="290">
        <f t="shared" si="91"/>
        <v>-65.276437586365773</v>
      </c>
      <c r="Y163" s="290">
        <f t="shared" si="91"/>
        <v>12.918777842375022</v>
      </c>
      <c r="Z163" s="253">
        <f t="shared" si="92"/>
        <v>20.974221460016338</v>
      </c>
      <c r="AA163" s="253">
        <f t="shared" si="92"/>
        <v>101.86927906141932</v>
      </c>
      <c r="AB163" s="253">
        <f t="shared" si="92"/>
        <v>64.258910145913433</v>
      </c>
      <c r="AC163" s="146">
        <f t="shared" si="92"/>
        <v>8.1209999999999667</v>
      </c>
      <c r="AD163" s="253">
        <f t="shared" si="94"/>
        <v>172.69825058526024</v>
      </c>
      <c r="AE163" s="253">
        <f t="shared" si="94"/>
        <v>45.242287247465782</v>
      </c>
      <c r="AF163" s="253">
        <f t="shared" si="94"/>
        <v>-232.78350760226596</v>
      </c>
      <c r="AG163" s="253">
        <f t="shared" si="94"/>
        <v>86.283088129023128</v>
      </c>
    </row>
    <row r="164" spans="1:33">
      <c r="A164" s="240" t="s">
        <v>233</v>
      </c>
      <c r="B164" s="290">
        <f t="shared" si="91"/>
        <v>70.51391023622962</v>
      </c>
      <c r="C164" s="290">
        <f t="shared" si="91"/>
        <v>50.040098591031168</v>
      </c>
      <c r="D164" s="290">
        <f t="shared" si="91"/>
        <v>76.243744480423928</v>
      </c>
      <c r="E164" s="290">
        <f t="shared" si="91"/>
        <v>45.840430672757577</v>
      </c>
      <c r="F164" s="290">
        <f t="shared" si="91"/>
        <v>23.726853471424164</v>
      </c>
      <c r="G164" s="290">
        <f t="shared" si="91"/>
        <v>30.53458579078821</v>
      </c>
      <c r="H164" s="290">
        <f t="shared" si="91"/>
        <v>47.48972796159962</v>
      </c>
      <c r="I164" s="290">
        <f t="shared" si="91"/>
        <v>55.123773820681052</v>
      </c>
      <c r="J164" s="290">
        <f t="shared" si="91"/>
        <v>32.883067300079176</v>
      </c>
      <c r="K164" s="290">
        <f t="shared" si="91"/>
        <v>7.5781538461538362</v>
      </c>
      <c r="L164" s="290">
        <f t="shared" si="91"/>
        <v>10.729258741258739</v>
      </c>
      <c r="M164" s="290">
        <f t="shared" si="91"/>
        <v>-1.9220553359683805</v>
      </c>
      <c r="N164" s="290">
        <f t="shared" si="91"/>
        <v>24.754324675324682</v>
      </c>
      <c r="O164" s="290">
        <f t="shared" si="91"/>
        <v>30.088658536585399</v>
      </c>
      <c r="P164" s="290">
        <f t="shared" si="91"/>
        <v>56.251682879794288</v>
      </c>
      <c r="Q164" s="290">
        <f t="shared" si="91"/>
        <v>-20.192886062626073</v>
      </c>
      <c r="R164" s="290">
        <f t="shared" si="91"/>
        <v>-33.082651137594738</v>
      </c>
      <c r="S164" s="290">
        <f t="shared" si="91"/>
        <v>-42.260767616191856</v>
      </c>
      <c r="T164" s="290">
        <f t="shared" si="91"/>
        <v>-55.137575607491129</v>
      </c>
      <c r="U164" s="290">
        <f t="shared" si="91"/>
        <v>38.963550640673205</v>
      </c>
      <c r="V164" s="290">
        <f t="shared" si="91"/>
        <v>-49.161946013222007</v>
      </c>
      <c r="W164" s="290">
        <f t="shared" si="91"/>
        <v>-8.655299234069048</v>
      </c>
      <c r="X164" s="290">
        <f t="shared" si="91"/>
        <v>-18.170230001535344</v>
      </c>
      <c r="Y164" s="290">
        <f t="shared" si="91"/>
        <v>-53.293209403728042</v>
      </c>
      <c r="Z164" s="253">
        <f t="shared" si="92"/>
        <v>42.239909435663265</v>
      </c>
      <c r="AA164" s="253">
        <f t="shared" si="92"/>
        <v>112.48347199165175</v>
      </c>
      <c r="AB164" s="253">
        <f t="shared" si="92"/>
        <v>22.868835472706337</v>
      </c>
      <c r="AC164" s="146">
        <f t="shared" si="92"/>
        <v>47.263300000000029</v>
      </c>
      <c r="AD164" s="253">
        <f t="shared" si="94"/>
        <v>347.43446505554465</v>
      </c>
      <c r="AE164" s="253">
        <f t="shared" si="94"/>
        <v>30.655089573047235</v>
      </c>
      <c r="AF164" s="253">
        <f t="shared" si="94"/>
        <v>183.76512739346236</v>
      </c>
      <c r="AG164" s="253">
        <f t="shared" si="94"/>
        <v>123.29392000700835</v>
      </c>
    </row>
    <row r="165" spans="1:33">
      <c r="A165" s="240" t="s">
        <v>234</v>
      </c>
      <c r="B165" s="290">
        <f t="shared" si="91"/>
        <v>64.403053337623561</v>
      </c>
      <c r="C165" s="290">
        <f t="shared" si="91"/>
        <v>45.240039730714052</v>
      </c>
      <c r="D165" s="290">
        <f t="shared" si="91"/>
        <v>85.259052104798386</v>
      </c>
      <c r="E165" s="290">
        <f t="shared" si="91"/>
        <v>34.510810811793725</v>
      </c>
      <c r="F165" s="290">
        <f t="shared" si="91"/>
        <v>17.086810675405662</v>
      </c>
      <c r="G165" s="290">
        <f t="shared" si="91"/>
        <v>25.189455263956223</v>
      </c>
      <c r="H165" s="290">
        <f t="shared" si="91"/>
        <v>46.572820467914532</v>
      </c>
      <c r="I165" s="290">
        <f t="shared" si="91"/>
        <v>60.242736644798519</v>
      </c>
      <c r="J165" s="290">
        <f t="shared" si="91"/>
        <v>22.902641330166261</v>
      </c>
      <c r="K165" s="290">
        <f t="shared" si="91"/>
        <v>54.961153846153827</v>
      </c>
      <c r="L165" s="290">
        <f t="shared" si="91"/>
        <v>20.888289044289035</v>
      </c>
      <c r="M165" s="290">
        <f t="shared" si="91"/>
        <v>24.187750988142298</v>
      </c>
      <c r="N165" s="290">
        <f t="shared" si="91"/>
        <v>41.289831168831142</v>
      </c>
      <c r="O165" s="290">
        <f t="shared" si="91"/>
        <v>53.742170731707347</v>
      </c>
      <c r="P165" s="290">
        <f t="shared" si="91"/>
        <v>68.564616027426609</v>
      </c>
      <c r="Q165" s="290">
        <f t="shared" si="91"/>
        <v>3.2074491711253685</v>
      </c>
      <c r="R165" s="290">
        <f t="shared" si="91"/>
        <v>38.40378548212351</v>
      </c>
      <c r="S165" s="290">
        <f t="shared" si="91"/>
        <v>13.915535232383775</v>
      </c>
      <c r="T165" s="290">
        <f t="shared" si="91"/>
        <v>-48.474205386163092</v>
      </c>
      <c r="U165" s="290">
        <f t="shared" si="91"/>
        <v>26.799014631877228</v>
      </c>
      <c r="V165" s="290">
        <f t="shared" si="91"/>
        <v>-1.7035929978825664</v>
      </c>
      <c r="W165" s="290">
        <f t="shared" si="91"/>
        <v>2.0692823870642201</v>
      </c>
      <c r="X165" s="290">
        <f t="shared" si="91"/>
        <v>30.270534469522431</v>
      </c>
      <c r="Y165" s="290">
        <f t="shared" si="91"/>
        <v>26.637308310017801</v>
      </c>
      <c r="Z165" s="253">
        <f t="shared" si="92"/>
        <v>-98.802543380166355</v>
      </c>
      <c r="AA165" s="253">
        <f t="shared" si="92"/>
        <v>232.81387982069015</v>
      </c>
      <c r="AB165" s="253">
        <f t="shared" si="92"/>
        <v>214.34422294631935</v>
      </c>
      <c r="AC165" s="146">
        <f t="shared" si="92"/>
        <v>-53.038199999999946</v>
      </c>
      <c r="AD165" s="253">
        <f t="shared" si="94"/>
        <v>72.804041282934804</v>
      </c>
      <c r="AE165" s="253">
        <f t="shared" si="94"/>
        <v>283.36289887537259</v>
      </c>
      <c r="AF165" s="253">
        <f t="shared" si="94"/>
        <v>298.05468625822658</v>
      </c>
      <c r="AG165" s="253">
        <f t="shared" si="94"/>
        <v>149.23740539121266</v>
      </c>
    </row>
    <row r="166" spans="1:33">
      <c r="A166" s="240" t="s">
        <v>46</v>
      </c>
      <c r="B166" s="290">
        <f t="shared" si="91"/>
        <v>59.327903945406284</v>
      </c>
      <c r="C166" s="290">
        <f t="shared" si="91"/>
        <v>41.222823087959391</v>
      </c>
      <c r="D166" s="290">
        <f t="shared" si="91"/>
        <v>77.016485133941728</v>
      </c>
      <c r="E166" s="290">
        <f t="shared" si="91"/>
        <v>27.51790608598343</v>
      </c>
      <c r="F166" s="290">
        <f t="shared" si="91"/>
        <v>10.622268889458983</v>
      </c>
      <c r="G166" s="290">
        <f t="shared" si="91"/>
        <v>21.342924223291796</v>
      </c>
      <c r="H166" s="290">
        <f t="shared" si="91"/>
        <v>52.328328878328882</v>
      </c>
      <c r="I166" s="290">
        <f t="shared" si="91"/>
        <v>45.799973255732503</v>
      </c>
      <c r="J166" s="290">
        <f t="shared" si="91"/>
        <v>31.629061835478026</v>
      </c>
      <c r="K166" s="290">
        <f t="shared" si="91"/>
        <v>47.862153846153845</v>
      </c>
      <c r="L166" s="290">
        <f t="shared" si="91"/>
        <v>3.8672890442890377</v>
      </c>
      <c r="M166" s="290">
        <f t="shared" si="91"/>
        <v>34.239122529644277</v>
      </c>
      <c r="N166" s="290">
        <f t="shared" si="91"/>
        <v>33.722298701298683</v>
      </c>
      <c r="O166" s="290">
        <f t="shared" si="91"/>
        <v>27.864097560975637</v>
      </c>
      <c r="P166" s="290">
        <f t="shared" si="91"/>
        <v>49.301632740518542</v>
      </c>
      <c r="Q166" s="290">
        <f t="shared" si="91"/>
        <v>7.0058273543256462</v>
      </c>
      <c r="R166" s="290">
        <f t="shared" si="91"/>
        <v>22.024733838930999</v>
      </c>
      <c r="S166" s="290">
        <f t="shared" si="91"/>
        <v>21.421682158920561</v>
      </c>
      <c r="T166" s="290">
        <f t="shared" si="91"/>
        <v>-98.904978021978081</v>
      </c>
      <c r="U166" s="290">
        <f t="shared" si="91"/>
        <v>69.347384065631971</v>
      </c>
      <c r="V166" s="290">
        <f t="shared" si="91"/>
        <v>18.101530137229872</v>
      </c>
      <c r="W166" s="290">
        <f t="shared" si="91"/>
        <v>13.58838534484255</v>
      </c>
      <c r="X166" s="290">
        <f t="shared" si="91"/>
        <v>-40.192876708122242</v>
      </c>
      <c r="Y166" s="290">
        <f t="shared" si="91"/>
        <v>-22.789011954507544</v>
      </c>
      <c r="Z166" s="253">
        <f t="shared" si="92"/>
        <v>44.929132068844353</v>
      </c>
      <c r="AA166" s="253">
        <f t="shared" si="92"/>
        <v>-16.69384613782654</v>
      </c>
      <c r="AB166" s="253">
        <f t="shared" si="92"/>
        <v>151.03991139963463</v>
      </c>
      <c r="AC166" s="146">
        <f t="shared" si="92"/>
        <v>-125.4329</v>
      </c>
      <c r="AD166" s="253">
        <f t="shared" si="94"/>
        <v>52.690352221780643</v>
      </c>
      <c r="AE166" s="253">
        <f t="shared" si="94"/>
        <v>145.89765003816342</v>
      </c>
      <c r="AF166" s="253">
        <f t="shared" si="94"/>
        <v>130.25089565975503</v>
      </c>
      <c r="AG166" s="253">
        <f t="shared" si="94"/>
        <v>63.991471621200219</v>
      </c>
    </row>
    <row r="167" spans="1:33">
      <c r="A167" s="240" t="s">
        <v>235</v>
      </c>
      <c r="B167" s="290">
        <f t="shared" si="91"/>
        <v>47.652188222382136</v>
      </c>
      <c r="C167" s="290">
        <f t="shared" si="91"/>
        <v>33.105985358496113</v>
      </c>
      <c r="D167" s="290">
        <f t="shared" si="91"/>
        <v>73.410362084191959</v>
      </c>
      <c r="E167" s="290">
        <f t="shared" si="91"/>
        <v>16.521281629590149</v>
      </c>
      <c r="F167" s="290">
        <f t="shared" si="91"/>
        <v>4.4742311501995164</v>
      </c>
      <c r="G167" s="290">
        <f t="shared" si="91"/>
        <v>7.2639299270734945</v>
      </c>
      <c r="H167" s="290">
        <f t="shared" si="91"/>
        <v>41.255034155034153</v>
      </c>
      <c r="I167" s="290">
        <f t="shared" si="91"/>
        <v>21.43501100547833</v>
      </c>
      <c r="J167" s="290">
        <f t="shared" si="91"/>
        <v>27.818305532040576</v>
      </c>
      <c r="K167" s="290">
        <f t="shared" si="91"/>
        <v>40.731153846153831</v>
      </c>
      <c r="L167" s="290">
        <f t="shared" si="91"/>
        <v>13.909379953379958</v>
      </c>
      <c r="M167" s="290">
        <f t="shared" si="91"/>
        <v>25.800529644268764</v>
      </c>
      <c r="N167" s="290">
        <f t="shared" si="91"/>
        <v>55.210779220779202</v>
      </c>
      <c r="O167" s="290">
        <f t="shared" si="91"/>
        <v>92.539073170731697</v>
      </c>
      <c r="P167" s="290">
        <f t="shared" si="91"/>
        <v>52.453072851939147</v>
      </c>
      <c r="Q167" s="290">
        <f t="shared" si="91"/>
        <v>12.77351872642749</v>
      </c>
      <c r="R167" s="290">
        <f t="shared" si="91"/>
        <v>14.158564824846536</v>
      </c>
      <c r="S167" s="290">
        <f t="shared" si="91"/>
        <v>34.99497151424282</v>
      </c>
      <c r="T167" s="290">
        <f t="shared" si="91"/>
        <v>-9.7786319455192228</v>
      </c>
      <c r="U167" s="290">
        <f t="shared" si="91"/>
        <v>80.142613862223541</v>
      </c>
      <c r="V167" s="290">
        <f t="shared" si="91"/>
        <v>53.201618391064557</v>
      </c>
      <c r="W167" s="290">
        <f t="shared" si="91"/>
        <v>-1.4593685499418712</v>
      </c>
      <c r="X167" s="290">
        <f t="shared" si="91"/>
        <v>-30.202421618301912</v>
      </c>
      <c r="Y167" s="290">
        <f t="shared" si="91"/>
        <v>34.026233203735245</v>
      </c>
      <c r="Z167" s="253">
        <f t="shared" si="92"/>
        <v>149.78143678067539</v>
      </c>
      <c r="AA167" s="253">
        <f t="shared" si="92"/>
        <v>282.42310506770451</v>
      </c>
      <c r="AB167" s="253">
        <f t="shared" si="92"/>
        <v>230.6805322676995</v>
      </c>
      <c r="AC167" s="146">
        <f t="shared" si="92"/>
        <v>0.1454999999999913</v>
      </c>
      <c r="AD167" s="253">
        <f t="shared" si="94"/>
        <v>77.390306571479158</v>
      </c>
      <c r="AE167" s="253">
        <f t="shared" si="94"/>
        <v>72.140838410256578</v>
      </c>
      <c r="AF167" s="253">
        <f t="shared" si="94"/>
        <v>248.26142769547465</v>
      </c>
      <c r="AG167" s="253">
        <f t="shared" si="94"/>
        <v>189.93601548547369</v>
      </c>
    </row>
    <row r="168" spans="1:33">
      <c r="A168" s="240" t="s">
        <v>236</v>
      </c>
      <c r="B168" s="290">
        <f t="shared" ref="B168:Y170" si="95">B183+B104+C127-B152-B184</f>
        <v>36.526375795025992</v>
      </c>
      <c r="C168" s="290">
        <f t="shared" si="95"/>
        <v>25.73078762461833</v>
      </c>
      <c r="D168" s="290">
        <f t="shared" si="95"/>
        <v>52.803944657050351</v>
      </c>
      <c r="E168" s="290">
        <f t="shared" si="95"/>
        <v>16.410788122826602</v>
      </c>
      <c r="F168" s="290">
        <f t="shared" si="95"/>
        <v>-3.0962047626307658</v>
      </c>
      <c r="G168" s="290">
        <f t="shared" si="95"/>
        <v>-1.0598797307719909</v>
      </c>
      <c r="H168" s="290">
        <f t="shared" si="95"/>
        <v>34.22414612414611</v>
      </c>
      <c r="I168" s="290">
        <f t="shared" si="95"/>
        <v>8.9186239862118484</v>
      </c>
      <c r="J168" s="290">
        <f t="shared" si="95"/>
        <v>13.655100565973044</v>
      </c>
      <c r="K168" s="290">
        <f t="shared" si="95"/>
        <v>54.884153846153851</v>
      </c>
      <c r="L168" s="290">
        <f t="shared" si="95"/>
        <v>47.169076923076908</v>
      </c>
      <c r="M168" s="290">
        <f t="shared" si="95"/>
        <v>34.383324110671936</v>
      </c>
      <c r="N168" s="290">
        <f t="shared" si="95"/>
        <v>42.76948051948051</v>
      </c>
      <c r="O168" s="290">
        <f t="shared" si="95"/>
        <v>74.912780487804866</v>
      </c>
      <c r="P168" s="290">
        <f t="shared" si="95"/>
        <v>6.0715603171201984</v>
      </c>
      <c r="Q168" s="290">
        <f t="shared" si="95"/>
        <v>15.099696605560936</v>
      </c>
      <c r="R168" s="290">
        <f t="shared" si="95"/>
        <v>26.019513181654062</v>
      </c>
      <c r="S168" s="290">
        <f t="shared" si="95"/>
        <v>35.851112443778078</v>
      </c>
      <c r="T168" s="290">
        <f t="shared" si="95"/>
        <v>-42.445682247330041</v>
      </c>
      <c r="U168" s="290">
        <f t="shared" si="95"/>
        <v>28.311229035395591</v>
      </c>
      <c r="V168" s="290">
        <f t="shared" si="95"/>
        <v>-43.715469862770078</v>
      </c>
      <c r="W168" s="290">
        <f t="shared" si="95"/>
        <v>-10.224999392118434</v>
      </c>
      <c r="X168" s="290">
        <f t="shared" si="95"/>
        <v>37.485841854752039</v>
      </c>
      <c r="Y168" s="290">
        <f t="shared" si="95"/>
        <v>-5.2781772828022326</v>
      </c>
      <c r="Z168" s="253">
        <f t="shared" si="92"/>
        <v>233.64211709726612</v>
      </c>
      <c r="AA168" s="253">
        <f t="shared" si="92"/>
        <v>132.6117137314381</v>
      </c>
      <c r="AB168" s="253">
        <f t="shared" si="92"/>
        <v>94.451338710866168</v>
      </c>
      <c r="AC168" s="146">
        <f>AC183+AC104+AC136-AC152-AC184</f>
        <v>-110.7662</v>
      </c>
      <c r="AD168" s="253">
        <f t="shared" si="94"/>
        <v>122.7650266403852</v>
      </c>
      <c r="AE168" s="253">
        <f t="shared" si="94"/>
        <v>216.24967329397742</v>
      </c>
      <c r="AF168" s="253">
        <f t="shared" si="94"/>
        <v>185.6661110085505</v>
      </c>
      <c r="AG168" s="253">
        <f t="shared" si="94"/>
        <v>141.46072363801676</v>
      </c>
    </row>
    <row r="169" spans="1:33">
      <c r="A169" s="240" t="s">
        <v>237</v>
      </c>
      <c r="B169" s="290">
        <f t="shared" si="95"/>
        <v>31.684441768124476</v>
      </c>
      <c r="C169" s="290">
        <f t="shared" si="95"/>
        <v>23.032042085126733</v>
      </c>
      <c r="D169" s="290">
        <f t="shared" si="95"/>
        <v>40.955254636443939</v>
      </c>
      <c r="E169" s="290">
        <f t="shared" si="95"/>
        <v>9.519576700557435</v>
      </c>
      <c r="F169" s="290">
        <f t="shared" si="95"/>
        <v>-0.56102184320743831</v>
      </c>
      <c r="G169" s="290">
        <f t="shared" si="95"/>
        <v>-0.90778131468843348</v>
      </c>
      <c r="H169" s="290">
        <f t="shared" si="95"/>
        <v>53.885873923373914</v>
      </c>
      <c r="I169" s="290">
        <f t="shared" si="95"/>
        <v>18.225738703866938</v>
      </c>
      <c r="J169" s="290">
        <f t="shared" si="95"/>
        <v>37.957697948767752</v>
      </c>
      <c r="K169" s="290">
        <f t="shared" si="95"/>
        <v>56.550153846153847</v>
      </c>
      <c r="L169" s="290">
        <f t="shared" si="95"/>
        <v>46.317743589743586</v>
      </c>
      <c r="M169" s="290">
        <f t="shared" si="95"/>
        <v>35.584932806324126</v>
      </c>
      <c r="N169" s="290">
        <f t="shared" si="95"/>
        <v>69.590272727272733</v>
      </c>
      <c r="O169" s="290">
        <f t="shared" si="95"/>
        <v>71.899390243902459</v>
      </c>
      <c r="P169" s="290">
        <f t="shared" si="95"/>
        <v>73.217824941075605</v>
      </c>
      <c r="Q169" s="290">
        <f t="shared" si="95"/>
        <v>34.298879045697753</v>
      </c>
      <c r="R169" s="290">
        <f t="shared" si="95"/>
        <v>84.377184543156403</v>
      </c>
      <c r="S169" s="290">
        <f t="shared" si="95"/>
        <v>38.840973013493226</v>
      </c>
      <c r="T169" s="290">
        <f t="shared" si="95"/>
        <v>91.866848939792604</v>
      </c>
      <c r="U169" s="290">
        <f t="shared" si="95"/>
        <v>120.95787994248741</v>
      </c>
      <c r="V169" s="290">
        <f t="shared" si="95"/>
        <v>114.52919918534923</v>
      </c>
      <c r="W169" s="290">
        <f t="shared" si="95"/>
        <v>98.103468207791366</v>
      </c>
      <c r="X169" s="290">
        <f t="shared" si="95"/>
        <v>119.07733886074004</v>
      </c>
      <c r="Y169" s="290">
        <f t="shared" si="95"/>
        <v>110.61111275026346</v>
      </c>
      <c r="Z169" s="253">
        <f>Z184+Z105+Z137-Z153-Z185</f>
        <v>315.53851132557668</v>
      </c>
      <c r="AA169" s="253">
        <f t="shared" si="92"/>
        <v>282.29741233106091</v>
      </c>
      <c r="AB169" s="253">
        <f t="shared" si="92"/>
        <v>396.41570957148861</v>
      </c>
      <c r="AC169" s="253">
        <f t="shared" ref="AC169" si="96">(SUM(X169:AB169)/SUM(X$171:AB$171))*AC$171</f>
        <v>818.75910484374799</v>
      </c>
      <c r="AD169" s="253">
        <f t="shared" si="94"/>
        <v>-7.3941215077628328</v>
      </c>
      <c r="AE169" s="253">
        <f t="shared" si="94"/>
        <v>238.34638724746574</v>
      </c>
      <c r="AF169" s="253">
        <f t="shared" si="94"/>
        <v>227.93156075698215</v>
      </c>
      <c r="AG169" s="253">
        <f t="shared" si="94"/>
        <v>174.96902148594492</v>
      </c>
    </row>
    <row r="170" spans="1:33">
      <c r="A170" s="240" t="s">
        <v>238</v>
      </c>
      <c r="B170" s="290">
        <f t="shared" si="95"/>
        <v>14.011510394145891</v>
      </c>
      <c r="C170" s="290">
        <f t="shared" si="95"/>
        <v>10.238752161277271</v>
      </c>
      <c r="D170" s="290">
        <f t="shared" si="95"/>
        <v>10.174418604651166</v>
      </c>
      <c r="E170" s="290">
        <f t="shared" si="95"/>
        <v>10.995200393766323</v>
      </c>
      <c r="F170" s="290">
        <f t="shared" si="95"/>
        <v>0.49866602262245241</v>
      </c>
      <c r="G170" s="290">
        <f t="shared" si="95"/>
        <v>-4.7383638536467556</v>
      </c>
      <c r="H170" s="290">
        <f t="shared" si="95"/>
        <v>0.18304128304128042</v>
      </c>
      <c r="I170" s="290">
        <f t="shared" si="95"/>
        <v>0.25974251862421127</v>
      </c>
      <c r="J170" s="290">
        <f t="shared" si="95"/>
        <v>-14.144818532613971</v>
      </c>
      <c r="K170" s="290">
        <f t="shared" si="95"/>
        <v>-3.8076923076923102</v>
      </c>
      <c r="L170" s="290">
        <f t="shared" si="95"/>
        <v>26.479062937062935</v>
      </c>
      <c r="M170" s="290">
        <f t="shared" si="95"/>
        <v>11.920399209486163</v>
      </c>
      <c r="N170" s="290">
        <f t="shared" si="95"/>
        <v>66.590415584415581</v>
      </c>
      <c r="O170" s="290">
        <f t="shared" si="95"/>
        <v>34.191658536585365</v>
      </c>
      <c r="P170" s="290">
        <f t="shared" si="95"/>
        <v>31.877218127276628</v>
      </c>
      <c r="Q170" s="290">
        <f t="shared" si="95"/>
        <v>34.972901382919616</v>
      </c>
      <c r="R170" s="290">
        <f t="shared" si="95"/>
        <v>-17.195706031058094</v>
      </c>
      <c r="S170" s="290">
        <f t="shared" si="95"/>
        <v>-73.366793103448259</v>
      </c>
      <c r="T170" s="290">
        <f t="shared" si="95"/>
        <v>-99.439728679770951</v>
      </c>
      <c r="U170" s="290">
        <f t="shared" si="95"/>
        <v>-81.768788768131259</v>
      </c>
      <c r="V170" s="290">
        <f t="shared" si="95"/>
        <v>-61.282672022241258</v>
      </c>
      <c r="W170" s="290">
        <f t="shared" si="95"/>
        <v>-98.778389391597102</v>
      </c>
      <c r="X170" s="290">
        <f t="shared" si="95"/>
        <v>-89.780998925226385</v>
      </c>
      <c r="Y170" s="290">
        <f t="shared" si="95"/>
        <v>-47.709891646379049</v>
      </c>
      <c r="Z170" s="253">
        <f>Z185+Z106+Z138-Z154-Z186</f>
        <v>235.75419153901771</v>
      </c>
      <c r="AA170" s="253">
        <f t="shared" si="92"/>
        <v>220.10326951696265</v>
      </c>
      <c r="AB170" s="253">
        <f t="shared" si="92"/>
        <v>246.78114164367548</v>
      </c>
      <c r="AC170" s="253">
        <f>AC171-SUM(AC159:AC169)</f>
        <v>1724.4910356851149</v>
      </c>
      <c r="AD170" s="253">
        <f t="shared" si="94"/>
        <v>22.567864313478822</v>
      </c>
      <c r="AE170" s="253">
        <f t="shared" si="94"/>
        <v>203.63222965587352</v>
      </c>
      <c r="AF170" s="253">
        <f t="shared" si="94"/>
        <v>131.44898330899991</v>
      </c>
      <c r="AG170" s="253">
        <f t="shared" si="94"/>
        <v>171.06245224638246</v>
      </c>
    </row>
    <row r="171" spans="1:33" ht="15.75" thickBot="1">
      <c r="A171" s="240" t="s">
        <v>242</v>
      </c>
      <c r="B171" s="146">
        <f>SUM(B159:B170)</f>
        <v>835.04526759358589</v>
      </c>
      <c r="C171" s="146">
        <f t="shared" ref="C171:AB171" si="97">SUM(C159:C170)</f>
        <v>570.58011572462715</v>
      </c>
      <c r="D171" s="146">
        <f t="shared" si="97"/>
        <v>875.81363854629421</v>
      </c>
      <c r="E171" s="146">
        <f t="shared" si="97"/>
        <v>470.91249907103162</v>
      </c>
      <c r="F171" s="146">
        <f t="shared" si="97"/>
        <v>317.66200935915742</v>
      </c>
      <c r="G171" s="146">
        <f t="shared" si="97"/>
        <v>359.87861643948685</v>
      </c>
      <c r="H171" s="146">
        <f t="shared" si="97"/>
        <v>526.91696833509968</v>
      </c>
      <c r="I171" s="146">
        <f t="shared" si="97"/>
        <v>542.09822094221181</v>
      </c>
      <c r="J171" s="146">
        <f t="shared" si="97"/>
        <v>258.79668089803783</v>
      </c>
      <c r="K171" s="146">
        <f t="shared" si="97"/>
        <v>436.62863886579208</v>
      </c>
      <c r="L171" s="146">
        <f t="shared" si="97"/>
        <v>256.64696047430823</v>
      </c>
      <c r="M171" s="146">
        <f t="shared" si="97"/>
        <v>242.19102667984188</v>
      </c>
      <c r="N171" s="146">
        <f t="shared" si="97"/>
        <v>498.17425213916511</v>
      </c>
      <c r="O171" s="146">
        <f t="shared" si="97"/>
        <v>510.40686545224003</v>
      </c>
      <c r="P171" s="146">
        <f t="shared" si="97"/>
        <v>483.54740830033575</v>
      </c>
      <c r="Q171" s="146">
        <f t="shared" si="97"/>
        <v>159.6423545132495</v>
      </c>
      <c r="R171" s="146">
        <f t="shared" si="97"/>
        <v>231.42670138560271</v>
      </c>
      <c r="S171" s="146">
        <f t="shared" si="97"/>
        <v>-50.642263179408758</v>
      </c>
      <c r="T171" s="146">
        <f t="shared" si="97"/>
        <v>-252.60092139278584</v>
      </c>
      <c r="U171" s="146">
        <f t="shared" si="97"/>
        <v>99.225591092639149</v>
      </c>
      <c r="V171" s="146">
        <f t="shared" si="97"/>
        <v>148.26715562728717</v>
      </c>
      <c r="W171" s="146">
        <f t="shared" si="97"/>
        <v>9.0266823570280508</v>
      </c>
      <c r="X171" s="146">
        <f t="shared" si="97"/>
        <v>-72.168278147567634</v>
      </c>
      <c r="Y171" s="146">
        <f t="shared" si="97"/>
        <v>214.22496252747214</v>
      </c>
      <c r="Z171" s="253">
        <f t="shared" si="97"/>
        <v>1022.6877021753567</v>
      </c>
      <c r="AA171" s="253">
        <f t="shared" si="97"/>
        <v>1609.0128644442416</v>
      </c>
      <c r="AB171" s="253">
        <f t="shared" si="97"/>
        <v>1233.2621731548579</v>
      </c>
      <c r="AC171" s="253">
        <f>AC26</f>
        <v>2680.5099999999993</v>
      </c>
      <c r="AD171" s="253">
        <f t="shared" ref="AD171:AG171" si="98">SUM(AD159:AD170)</f>
        <v>633.4978343951849</v>
      </c>
      <c r="AE171" s="253">
        <f t="shared" si="98"/>
        <v>1649.114549462076</v>
      </c>
      <c r="AF171" s="253">
        <f t="shared" si="98"/>
        <v>1510.8893697589892</v>
      </c>
      <c r="AG171" s="253">
        <f t="shared" si="98"/>
        <v>1854.674937678795</v>
      </c>
    </row>
    <row r="172" spans="1:33">
      <c r="A172" s="248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>
        <f t="shared" ref="Y172:AG172" si="99">Y26</f>
        <v>210.88096252747255</v>
      </c>
      <c r="Z172" s="254">
        <f t="shared" si="99"/>
        <v>1022.6877021753571</v>
      </c>
      <c r="AA172" s="254">
        <f t="shared" si="99"/>
        <v>1609.0128644442411</v>
      </c>
      <c r="AB172" s="254">
        <f t="shared" si="99"/>
        <v>1233.2621731548579</v>
      </c>
      <c r="AC172" s="254">
        <f t="shared" si="99"/>
        <v>2680.5099999999993</v>
      </c>
      <c r="AD172" s="254">
        <f t="shared" si="99"/>
        <v>3650.6110000000003</v>
      </c>
      <c r="AE172" s="254">
        <f t="shared" si="99"/>
        <v>3040.1860000000006</v>
      </c>
      <c r="AF172" s="254">
        <f t="shared" si="99"/>
        <v>1510.8893697589892</v>
      </c>
      <c r="AG172" s="254">
        <f t="shared" si="99"/>
        <v>1854.6749376787948</v>
      </c>
    </row>
    <row r="173" spans="1:33" ht="15.75" thickBot="1">
      <c r="A173" s="235" t="s">
        <v>259</v>
      </c>
      <c r="Y173" s="146"/>
    </row>
    <row r="174" spans="1:33" ht="15.75" thickBot="1">
      <c r="A174" s="236"/>
      <c r="B174" s="237" t="str">
        <f>B$2</f>
        <v xml:space="preserve">93/94 </v>
      </c>
      <c r="C174" s="237" t="str">
        <f t="shared" ref="C174:AG174" si="100">C$2</f>
        <v xml:space="preserve">94/95 </v>
      </c>
      <c r="D174" s="237" t="str">
        <f t="shared" si="100"/>
        <v xml:space="preserve">95/96 </v>
      </c>
      <c r="E174" s="237" t="str">
        <f t="shared" si="100"/>
        <v xml:space="preserve">96/97 </v>
      </c>
      <c r="F174" s="237" t="str">
        <f t="shared" si="100"/>
        <v xml:space="preserve">97/98 </v>
      </c>
      <c r="G174" s="237" t="str">
        <f t="shared" si="100"/>
        <v xml:space="preserve">98/99 </v>
      </c>
      <c r="H174" s="237" t="str">
        <f t="shared" si="100"/>
        <v xml:space="preserve">99/00 </v>
      </c>
      <c r="I174" s="237" t="str">
        <f t="shared" si="100"/>
        <v xml:space="preserve">00/01 </v>
      </c>
      <c r="J174" s="237" t="str">
        <f t="shared" si="100"/>
        <v xml:space="preserve">01/02 </v>
      </c>
      <c r="K174" s="237" t="str">
        <f t="shared" si="100"/>
        <v xml:space="preserve">02/03 </v>
      </c>
      <c r="L174" s="237" t="str">
        <f t="shared" si="100"/>
        <v xml:space="preserve">03/04 </v>
      </c>
      <c r="M174" s="237" t="str">
        <f t="shared" si="100"/>
        <v xml:space="preserve">04/05 </v>
      </c>
      <c r="N174" s="237" t="str">
        <f t="shared" si="100"/>
        <v xml:space="preserve">05/06 </v>
      </c>
      <c r="O174" s="237" t="str">
        <f t="shared" si="100"/>
        <v xml:space="preserve">06/07 </v>
      </c>
      <c r="P174" s="237" t="str">
        <f t="shared" si="100"/>
        <v xml:space="preserve">07/08 </v>
      </c>
      <c r="Q174" s="237" t="str">
        <f t="shared" si="100"/>
        <v xml:space="preserve">08/09 </v>
      </c>
      <c r="R174" s="237" t="str">
        <f t="shared" si="100"/>
        <v xml:space="preserve">09/10 </v>
      </c>
      <c r="S174" s="237" t="str">
        <f t="shared" si="100"/>
        <v xml:space="preserve">10/11 </v>
      </c>
      <c r="T174" s="237" t="str">
        <f t="shared" si="100"/>
        <v xml:space="preserve">11/12 </v>
      </c>
      <c r="U174" s="237" t="str">
        <f t="shared" si="100"/>
        <v xml:space="preserve">12/13 </v>
      </c>
      <c r="V174" s="237" t="str">
        <f t="shared" si="100"/>
        <v xml:space="preserve">13/14 </v>
      </c>
      <c r="W174" s="237" t="str">
        <f t="shared" si="100"/>
        <v xml:space="preserve">14/15 </v>
      </c>
      <c r="X174" s="237" t="str">
        <f t="shared" si="100"/>
        <v xml:space="preserve">15/16 </v>
      </c>
      <c r="Y174" s="237" t="str">
        <f t="shared" si="100"/>
        <v xml:space="preserve">16/17 </v>
      </c>
      <c r="Z174" s="237" t="str">
        <f t="shared" si="100"/>
        <v xml:space="preserve">17/18 </v>
      </c>
      <c r="AA174" s="237" t="str">
        <f t="shared" si="100"/>
        <v xml:space="preserve">18/19 </v>
      </c>
      <c r="AB174" s="237" t="str">
        <f t="shared" si="100"/>
        <v xml:space="preserve">19/20 </v>
      </c>
      <c r="AC174" s="237" t="str">
        <f t="shared" si="100"/>
        <v xml:space="preserve">20/21 </v>
      </c>
      <c r="AD174" s="237" t="str">
        <f t="shared" si="100"/>
        <v>21/22</v>
      </c>
      <c r="AE174" s="237" t="str">
        <f t="shared" si="100"/>
        <v>22/23</v>
      </c>
      <c r="AF174" s="237" t="str">
        <f t="shared" si="100"/>
        <v>23/24</v>
      </c>
      <c r="AG174" s="237" t="str">
        <f t="shared" si="100"/>
        <v>24/25</v>
      </c>
    </row>
    <row r="175" spans="1:33">
      <c r="A175" s="240" t="s">
        <v>239</v>
      </c>
      <c r="B175" s="290">
        <f>(B$186-B$22)/13+B22</f>
        <v>0</v>
      </c>
      <c r="C175" s="290">
        <f>(C$186-B$186)/13+B186</f>
        <v>0</v>
      </c>
      <c r="D175" s="290">
        <f t="shared" ref="D175:AG175" si="101">(D$186-C$186)/13+C186</f>
        <v>0</v>
      </c>
      <c r="E175" s="290">
        <f t="shared" si="101"/>
        <v>0</v>
      </c>
      <c r="F175" s="290">
        <f t="shared" si="101"/>
        <v>0</v>
      </c>
      <c r="G175" s="290">
        <f t="shared" si="101"/>
        <v>0</v>
      </c>
      <c r="H175" s="290">
        <f t="shared" si="101"/>
        <v>0.15384615384615385</v>
      </c>
      <c r="I175" s="290">
        <f t="shared" si="101"/>
        <v>2</v>
      </c>
      <c r="J175" s="290">
        <f t="shared" si="101"/>
        <v>2</v>
      </c>
      <c r="K175" s="290">
        <f t="shared" si="101"/>
        <v>2.1538461538461537</v>
      </c>
      <c r="L175" s="290">
        <f t="shared" si="101"/>
        <v>4.0769230769230766</v>
      </c>
      <c r="M175" s="290">
        <f t="shared" si="101"/>
        <v>5</v>
      </c>
      <c r="N175" s="290">
        <f t="shared" si="101"/>
        <v>5</v>
      </c>
      <c r="O175" s="290">
        <f t="shared" si="101"/>
        <v>5</v>
      </c>
      <c r="P175" s="290">
        <f t="shared" si="101"/>
        <v>5.7692307692307692</v>
      </c>
      <c r="Q175" s="290">
        <f t="shared" si="101"/>
        <v>18.153846153846153</v>
      </c>
      <c r="R175" s="290">
        <f t="shared" si="101"/>
        <v>61.46153846153846</v>
      </c>
      <c r="S175" s="290">
        <f t="shared" si="101"/>
        <v>127</v>
      </c>
      <c r="T175" s="290">
        <f t="shared" si="101"/>
        <v>117.30769230769231</v>
      </c>
      <c r="U175" s="290">
        <f t="shared" si="101"/>
        <v>1.3846153846153846</v>
      </c>
      <c r="V175" s="290">
        <f t="shared" si="101"/>
        <v>28.923076923076923</v>
      </c>
      <c r="W175" s="290">
        <f t="shared" si="101"/>
        <v>309.07692307692309</v>
      </c>
      <c r="X175" s="290">
        <f t="shared" si="101"/>
        <v>361.53846153846155</v>
      </c>
      <c r="Y175" s="290">
        <f t="shared" si="101"/>
        <v>254.15384615384616</v>
      </c>
      <c r="Z175" s="252">
        <f t="shared" si="101"/>
        <v>195.53846153846155</v>
      </c>
      <c r="AA175" s="252">
        <f t="shared" si="101"/>
        <v>330.84615384615387</v>
      </c>
      <c r="AB175" s="252">
        <f t="shared" si="101"/>
        <v>287.92307692307691</v>
      </c>
      <c r="AC175" s="252">
        <f t="shared" si="101"/>
        <v>227.76923076923077</v>
      </c>
      <c r="AD175" s="252">
        <f t="shared" si="101"/>
        <v>228.38461538461539</v>
      </c>
      <c r="AE175" s="252">
        <f t="shared" si="101"/>
        <v>134.38461538461539</v>
      </c>
      <c r="AF175" s="252">
        <f t="shared" si="101"/>
        <v>245.30769230769232</v>
      </c>
      <c r="AG175" s="252">
        <f t="shared" si="101"/>
        <v>226.92307692307693</v>
      </c>
    </row>
    <row r="176" spans="1:33">
      <c r="A176" s="240" t="s">
        <v>240</v>
      </c>
      <c r="B176" s="290">
        <f t="shared" ref="B176:B185" si="102">(B$186-B$22)/13+B175</f>
        <v>0</v>
      </c>
      <c r="C176" s="290">
        <f>(C$186-B$186)/13+C175</f>
        <v>0</v>
      </c>
      <c r="D176" s="290">
        <f t="shared" ref="D176:AG184" si="103">(D$186-C$186)/13+D175</f>
        <v>0</v>
      </c>
      <c r="E176" s="290">
        <f t="shared" si="103"/>
        <v>0</v>
      </c>
      <c r="F176" s="290">
        <f t="shared" si="103"/>
        <v>0</v>
      </c>
      <c r="G176" s="290">
        <f t="shared" si="103"/>
        <v>0</v>
      </c>
      <c r="H176" s="290">
        <f t="shared" si="103"/>
        <v>0.30769230769230771</v>
      </c>
      <c r="I176" s="290">
        <f t="shared" si="103"/>
        <v>2</v>
      </c>
      <c r="J176" s="290">
        <f t="shared" si="103"/>
        <v>2</v>
      </c>
      <c r="K176" s="290">
        <f t="shared" si="103"/>
        <v>2.3076923076923075</v>
      </c>
      <c r="L176" s="290">
        <f t="shared" si="103"/>
        <v>4.1538461538461533</v>
      </c>
      <c r="M176" s="290">
        <f t="shared" si="103"/>
        <v>5</v>
      </c>
      <c r="N176" s="290">
        <f t="shared" si="103"/>
        <v>5</v>
      </c>
      <c r="O176" s="290">
        <f t="shared" si="103"/>
        <v>5</v>
      </c>
      <c r="P176" s="290">
        <f t="shared" si="103"/>
        <v>6.5384615384615383</v>
      </c>
      <c r="Q176" s="290">
        <f t="shared" si="103"/>
        <v>21.307692307692307</v>
      </c>
      <c r="R176" s="290">
        <f t="shared" si="103"/>
        <v>66.92307692307692</v>
      </c>
      <c r="S176" s="290">
        <f t="shared" si="103"/>
        <v>127</v>
      </c>
      <c r="T176" s="290">
        <f t="shared" si="103"/>
        <v>107.61538461538461</v>
      </c>
      <c r="U176" s="290">
        <f t="shared" si="103"/>
        <v>1.7692307692307692</v>
      </c>
      <c r="V176" s="290">
        <f t="shared" si="103"/>
        <v>51.846153846153847</v>
      </c>
      <c r="W176" s="290">
        <f t="shared" si="103"/>
        <v>314.15384615384619</v>
      </c>
      <c r="X176" s="290">
        <f t="shared" si="103"/>
        <v>353.07692307692309</v>
      </c>
      <c r="Y176" s="290">
        <f t="shared" si="103"/>
        <v>248.30769230769232</v>
      </c>
      <c r="Z176" s="252">
        <f t="shared" si="103"/>
        <v>207.07692307692309</v>
      </c>
      <c r="AA176" s="252">
        <f t="shared" si="103"/>
        <v>327.69230769230774</v>
      </c>
      <c r="AB176" s="252">
        <f t="shared" si="103"/>
        <v>282.84615384615381</v>
      </c>
      <c r="AC176" s="252">
        <f t="shared" si="103"/>
        <v>228.53846153846155</v>
      </c>
      <c r="AD176" s="252">
        <f t="shared" si="103"/>
        <v>219.76923076923077</v>
      </c>
      <c r="AE176" s="252">
        <f t="shared" si="103"/>
        <v>143.76923076923077</v>
      </c>
      <c r="AF176" s="252">
        <f t="shared" si="103"/>
        <v>243.61538461538464</v>
      </c>
      <c r="AG176" s="252">
        <f t="shared" si="103"/>
        <v>228.84615384615387</v>
      </c>
    </row>
    <row r="177" spans="1:40">
      <c r="A177" s="240" t="s">
        <v>241</v>
      </c>
      <c r="B177" s="290">
        <f t="shared" si="102"/>
        <v>0</v>
      </c>
      <c r="C177" s="290">
        <f t="shared" ref="C177:C185" si="104">(C$186-B$186)/13+C176</f>
        <v>0</v>
      </c>
      <c r="D177" s="290">
        <f t="shared" si="103"/>
        <v>0</v>
      </c>
      <c r="E177" s="290">
        <f t="shared" si="103"/>
        <v>0</v>
      </c>
      <c r="F177" s="290">
        <f t="shared" si="103"/>
        <v>0</v>
      </c>
      <c r="G177" s="290">
        <f t="shared" si="103"/>
        <v>0</v>
      </c>
      <c r="H177" s="290">
        <f t="shared" si="103"/>
        <v>0.46153846153846156</v>
      </c>
      <c r="I177" s="290">
        <f t="shared" si="103"/>
        <v>2</v>
      </c>
      <c r="J177" s="290">
        <f t="shared" si="103"/>
        <v>2</v>
      </c>
      <c r="K177" s="290">
        <f t="shared" si="103"/>
        <v>2.4615384615384612</v>
      </c>
      <c r="L177" s="290">
        <f t="shared" si="103"/>
        <v>4.2307692307692299</v>
      </c>
      <c r="M177" s="290">
        <f t="shared" si="103"/>
        <v>5</v>
      </c>
      <c r="N177" s="290">
        <f t="shared" si="103"/>
        <v>5</v>
      </c>
      <c r="O177" s="290">
        <f t="shared" si="103"/>
        <v>5</v>
      </c>
      <c r="P177" s="290">
        <f t="shared" si="103"/>
        <v>7.3076923076923075</v>
      </c>
      <c r="Q177" s="290">
        <f t="shared" si="103"/>
        <v>24.46153846153846</v>
      </c>
      <c r="R177" s="290">
        <f t="shared" si="103"/>
        <v>72.384615384615387</v>
      </c>
      <c r="S177" s="290">
        <f t="shared" si="103"/>
        <v>127</v>
      </c>
      <c r="T177" s="290">
        <f t="shared" si="103"/>
        <v>97.92307692307692</v>
      </c>
      <c r="U177" s="290">
        <f t="shared" si="103"/>
        <v>2.1538461538461537</v>
      </c>
      <c r="V177" s="290">
        <f t="shared" si="103"/>
        <v>74.769230769230774</v>
      </c>
      <c r="W177" s="290">
        <f t="shared" si="103"/>
        <v>319.23076923076928</v>
      </c>
      <c r="X177" s="290">
        <f t="shared" si="103"/>
        <v>344.61538461538464</v>
      </c>
      <c r="Y177" s="290">
        <f t="shared" si="103"/>
        <v>242.46153846153848</v>
      </c>
      <c r="Z177" s="252">
        <f t="shared" si="103"/>
        <v>218.61538461538464</v>
      </c>
      <c r="AA177" s="252">
        <f t="shared" si="103"/>
        <v>324.5384615384616</v>
      </c>
      <c r="AB177" s="252">
        <f t="shared" si="103"/>
        <v>277.76923076923072</v>
      </c>
      <c r="AC177" s="252">
        <f t="shared" si="103"/>
        <v>229.30769230769232</v>
      </c>
      <c r="AD177" s="252">
        <f t="shared" si="103"/>
        <v>211.15384615384616</v>
      </c>
      <c r="AE177" s="252">
        <f t="shared" si="103"/>
        <v>153.15384615384616</v>
      </c>
      <c r="AF177" s="252">
        <f t="shared" si="103"/>
        <v>241.92307692307696</v>
      </c>
      <c r="AG177" s="252">
        <f t="shared" si="103"/>
        <v>230.7692307692308</v>
      </c>
    </row>
    <row r="178" spans="1:40">
      <c r="A178" s="240" t="s">
        <v>231</v>
      </c>
      <c r="B178" s="290">
        <f t="shared" si="102"/>
        <v>0</v>
      </c>
      <c r="C178" s="290">
        <f t="shared" si="104"/>
        <v>0</v>
      </c>
      <c r="D178" s="290">
        <f t="shared" si="103"/>
        <v>0</v>
      </c>
      <c r="E178" s="290">
        <f t="shared" si="103"/>
        <v>0</v>
      </c>
      <c r="F178" s="290">
        <f t="shared" si="103"/>
        <v>0</v>
      </c>
      <c r="G178" s="290">
        <f t="shared" si="103"/>
        <v>0</v>
      </c>
      <c r="H178" s="290">
        <f t="shared" si="103"/>
        <v>0.61538461538461542</v>
      </c>
      <c r="I178" s="290">
        <f t="shared" si="103"/>
        <v>2</v>
      </c>
      <c r="J178" s="290">
        <f t="shared" si="103"/>
        <v>2</v>
      </c>
      <c r="K178" s="290">
        <f t="shared" si="103"/>
        <v>2.615384615384615</v>
      </c>
      <c r="L178" s="290">
        <f t="shared" si="103"/>
        <v>4.3076923076923066</v>
      </c>
      <c r="M178" s="290">
        <f t="shared" si="103"/>
        <v>5</v>
      </c>
      <c r="N178" s="290">
        <f t="shared" si="103"/>
        <v>5</v>
      </c>
      <c r="O178" s="290">
        <f t="shared" si="103"/>
        <v>5</v>
      </c>
      <c r="P178" s="290">
        <f t="shared" si="103"/>
        <v>8.0769230769230766</v>
      </c>
      <c r="Q178" s="290">
        <f t="shared" si="103"/>
        <v>27.615384615384613</v>
      </c>
      <c r="R178" s="290">
        <f t="shared" si="103"/>
        <v>77.846153846153854</v>
      </c>
      <c r="S178" s="290">
        <f t="shared" si="103"/>
        <v>127</v>
      </c>
      <c r="T178" s="290">
        <f t="shared" si="103"/>
        <v>88.230769230769226</v>
      </c>
      <c r="U178" s="290">
        <f t="shared" si="103"/>
        <v>2.5384615384615383</v>
      </c>
      <c r="V178" s="290">
        <f t="shared" si="103"/>
        <v>97.692307692307693</v>
      </c>
      <c r="W178" s="290">
        <f t="shared" si="103"/>
        <v>324.30769230769238</v>
      </c>
      <c r="X178" s="290">
        <f t="shared" si="103"/>
        <v>336.15384615384619</v>
      </c>
      <c r="Y178" s="290">
        <f t="shared" si="103"/>
        <v>236.61538461538464</v>
      </c>
      <c r="Z178" s="252">
        <f t="shared" si="103"/>
        <v>230.15384615384619</v>
      </c>
      <c r="AA178" s="252">
        <f t="shared" si="103"/>
        <v>321.38461538461547</v>
      </c>
      <c r="AB178" s="252">
        <f t="shared" si="103"/>
        <v>272.69230769230762</v>
      </c>
      <c r="AC178" s="251">
        <f>AX111</f>
        <v>99.815200000000004</v>
      </c>
      <c r="AD178" s="252">
        <f t="shared" si="103"/>
        <v>202.53846153846155</v>
      </c>
      <c r="AE178" s="252">
        <f t="shared" si="103"/>
        <v>162.53846153846155</v>
      </c>
      <c r="AF178" s="252">
        <f t="shared" si="103"/>
        <v>240.23076923076928</v>
      </c>
      <c r="AG178" s="252">
        <f t="shared" si="103"/>
        <v>232.69230769230774</v>
      </c>
    </row>
    <row r="179" spans="1:40">
      <c r="A179" s="240" t="s">
        <v>232</v>
      </c>
      <c r="B179" s="290">
        <f t="shared" si="102"/>
        <v>0</v>
      </c>
      <c r="C179" s="290">
        <f t="shared" si="104"/>
        <v>0</v>
      </c>
      <c r="D179" s="290">
        <f t="shared" si="103"/>
        <v>0</v>
      </c>
      <c r="E179" s="290">
        <f t="shared" si="103"/>
        <v>0</v>
      </c>
      <c r="F179" s="290">
        <f t="shared" si="103"/>
        <v>0</v>
      </c>
      <c r="G179" s="290">
        <f t="shared" si="103"/>
        <v>0</v>
      </c>
      <c r="H179" s="290">
        <f t="shared" si="103"/>
        <v>0.76923076923076927</v>
      </c>
      <c r="I179" s="290">
        <f t="shared" si="103"/>
        <v>2</v>
      </c>
      <c r="J179" s="290">
        <f t="shared" si="103"/>
        <v>2</v>
      </c>
      <c r="K179" s="290">
        <f t="shared" si="103"/>
        <v>2.7692307692307687</v>
      </c>
      <c r="L179" s="290">
        <f t="shared" si="103"/>
        <v>4.3846153846153832</v>
      </c>
      <c r="M179" s="290">
        <f t="shared" si="103"/>
        <v>5</v>
      </c>
      <c r="N179" s="290">
        <f t="shared" si="103"/>
        <v>5</v>
      </c>
      <c r="O179" s="290">
        <f t="shared" si="103"/>
        <v>5</v>
      </c>
      <c r="P179" s="290">
        <f t="shared" si="103"/>
        <v>8.8461538461538467</v>
      </c>
      <c r="Q179" s="290">
        <f t="shared" si="103"/>
        <v>30.769230769230766</v>
      </c>
      <c r="R179" s="290">
        <f t="shared" si="103"/>
        <v>83.307692307692321</v>
      </c>
      <c r="S179" s="290">
        <f t="shared" si="103"/>
        <v>127</v>
      </c>
      <c r="T179" s="290">
        <f t="shared" si="103"/>
        <v>78.538461538461533</v>
      </c>
      <c r="U179" s="290">
        <f t="shared" si="103"/>
        <v>2.9230769230769229</v>
      </c>
      <c r="V179" s="290">
        <f t="shared" si="103"/>
        <v>120.61538461538461</v>
      </c>
      <c r="W179" s="290">
        <f t="shared" si="103"/>
        <v>329.38461538461547</v>
      </c>
      <c r="X179" s="290">
        <f t="shared" si="103"/>
        <v>327.69230769230774</v>
      </c>
      <c r="Y179" s="290">
        <f t="shared" si="103"/>
        <v>230.7692307692308</v>
      </c>
      <c r="Z179" s="252">
        <f t="shared" si="103"/>
        <v>241.69230769230774</v>
      </c>
      <c r="AA179" s="252">
        <f t="shared" si="103"/>
        <v>318.23076923076934</v>
      </c>
      <c r="AB179" s="252">
        <f t="shared" si="103"/>
        <v>267.61538461538453</v>
      </c>
      <c r="AC179" s="251">
        <f t="shared" ref="AC179:AC184" si="105">AX112</f>
        <v>80.700699999999998</v>
      </c>
      <c r="AD179" s="252">
        <f t="shared" si="103"/>
        <v>193.92307692307693</v>
      </c>
      <c r="AE179" s="252">
        <f t="shared" si="103"/>
        <v>171.92307692307693</v>
      </c>
      <c r="AF179" s="252">
        <f t="shared" si="103"/>
        <v>238.5384615384616</v>
      </c>
      <c r="AG179" s="252">
        <f t="shared" si="103"/>
        <v>234.61538461538467</v>
      </c>
    </row>
    <row r="180" spans="1:40">
      <c r="A180" s="240" t="s">
        <v>233</v>
      </c>
      <c r="B180" s="290">
        <f t="shared" si="102"/>
        <v>0</v>
      </c>
      <c r="C180" s="290">
        <f t="shared" si="104"/>
        <v>0</v>
      </c>
      <c r="D180" s="290">
        <f t="shared" si="103"/>
        <v>0</v>
      </c>
      <c r="E180" s="290">
        <f t="shared" si="103"/>
        <v>0</v>
      </c>
      <c r="F180" s="290">
        <f t="shared" si="103"/>
        <v>0</v>
      </c>
      <c r="G180" s="290">
        <f t="shared" si="103"/>
        <v>0</v>
      </c>
      <c r="H180" s="290">
        <f t="shared" si="103"/>
        <v>0.92307692307692313</v>
      </c>
      <c r="I180" s="290">
        <f t="shared" si="103"/>
        <v>2</v>
      </c>
      <c r="J180" s="290">
        <f t="shared" si="103"/>
        <v>2</v>
      </c>
      <c r="K180" s="290">
        <f t="shared" si="103"/>
        <v>2.9230769230769225</v>
      </c>
      <c r="L180" s="290">
        <f t="shared" si="103"/>
        <v>4.4615384615384599</v>
      </c>
      <c r="M180" s="290">
        <f t="shared" si="103"/>
        <v>5</v>
      </c>
      <c r="N180" s="290">
        <f t="shared" si="103"/>
        <v>5</v>
      </c>
      <c r="O180" s="290">
        <f t="shared" si="103"/>
        <v>5</v>
      </c>
      <c r="P180" s="290">
        <f t="shared" si="103"/>
        <v>9.6153846153846168</v>
      </c>
      <c r="Q180" s="290">
        <f t="shared" si="103"/>
        <v>33.92307692307692</v>
      </c>
      <c r="R180" s="290">
        <f t="shared" si="103"/>
        <v>88.769230769230788</v>
      </c>
      <c r="S180" s="290">
        <f t="shared" si="103"/>
        <v>127</v>
      </c>
      <c r="T180" s="290">
        <f t="shared" si="103"/>
        <v>68.84615384615384</v>
      </c>
      <c r="U180" s="290">
        <f t="shared" si="103"/>
        <v>3.3076923076923075</v>
      </c>
      <c r="V180" s="290">
        <f t="shared" si="103"/>
        <v>143.53846153846155</v>
      </c>
      <c r="W180" s="290">
        <f t="shared" si="103"/>
        <v>334.46153846153857</v>
      </c>
      <c r="X180" s="290">
        <f t="shared" si="103"/>
        <v>319.23076923076928</v>
      </c>
      <c r="Y180" s="290">
        <f t="shared" si="103"/>
        <v>224.92307692307696</v>
      </c>
      <c r="Z180" s="252">
        <f t="shared" si="103"/>
        <v>253.23076923076928</v>
      </c>
      <c r="AA180" s="252">
        <f t="shared" si="103"/>
        <v>315.07692307692321</v>
      </c>
      <c r="AB180" s="252">
        <f t="shared" si="103"/>
        <v>262.53846153846143</v>
      </c>
      <c r="AC180" s="251">
        <f t="shared" si="105"/>
        <v>110.7076</v>
      </c>
      <c r="AD180" s="252">
        <f t="shared" si="103"/>
        <v>185.30769230769232</v>
      </c>
      <c r="AE180" s="252">
        <f t="shared" si="103"/>
        <v>181.30769230769232</v>
      </c>
      <c r="AF180" s="252">
        <f t="shared" si="103"/>
        <v>236.84615384615392</v>
      </c>
      <c r="AG180" s="252">
        <f t="shared" si="103"/>
        <v>236.5384615384616</v>
      </c>
    </row>
    <row r="181" spans="1:40">
      <c r="A181" s="240" t="s">
        <v>234</v>
      </c>
      <c r="B181" s="290">
        <f t="shared" si="102"/>
        <v>0</v>
      </c>
      <c r="C181" s="290">
        <f t="shared" si="104"/>
        <v>0</v>
      </c>
      <c r="D181" s="290">
        <f t="shared" si="103"/>
        <v>0</v>
      </c>
      <c r="E181" s="290">
        <f t="shared" si="103"/>
        <v>0</v>
      </c>
      <c r="F181" s="290">
        <f t="shared" si="103"/>
        <v>0</v>
      </c>
      <c r="G181" s="290">
        <f t="shared" si="103"/>
        <v>0</v>
      </c>
      <c r="H181" s="290">
        <f t="shared" si="103"/>
        <v>1.0769230769230771</v>
      </c>
      <c r="I181" s="290">
        <f t="shared" si="103"/>
        <v>2</v>
      </c>
      <c r="J181" s="290">
        <f t="shared" si="103"/>
        <v>2</v>
      </c>
      <c r="K181" s="290">
        <f t="shared" si="103"/>
        <v>3.0769230769230762</v>
      </c>
      <c r="L181" s="290">
        <f t="shared" si="103"/>
        <v>4.5384615384615365</v>
      </c>
      <c r="M181" s="290">
        <f t="shared" si="103"/>
        <v>5</v>
      </c>
      <c r="N181" s="290">
        <f t="shared" si="103"/>
        <v>5</v>
      </c>
      <c r="O181" s="290">
        <f t="shared" si="103"/>
        <v>5</v>
      </c>
      <c r="P181" s="290">
        <f t="shared" si="103"/>
        <v>10.384615384615387</v>
      </c>
      <c r="Q181" s="290">
        <f t="shared" si="103"/>
        <v>37.076923076923073</v>
      </c>
      <c r="R181" s="290">
        <f t="shared" si="103"/>
        <v>94.230769230769255</v>
      </c>
      <c r="S181" s="290">
        <f t="shared" si="103"/>
        <v>127</v>
      </c>
      <c r="T181" s="290">
        <f t="shared" si="103"/>
        <v>59.153846153846146</v>
      </c>
      <c r="U181" s="290">
        <f t="shared" si="103"/>
        <v>3.6923076923076921</v>
      </c>
      <c r="V181" s="290">
        <f t="shared" si="103"/>
        <v>166.46153846153848</v>
      </c>
      <c r="W181" s="290">
        <f t="shared" si="103"/>
        <v>339.53846153846166</v>
      </c>
      <c r="X181" s="290">
        <f t="shared" si="103"/>
        <v>310.76923076923083</v>
      </c>
      <c r="Y181" s="290">
        <f t="shared" si="103"/>
        <v>219.07692307692312</v>
      </c>
      <c r="Z181" s="252">
        <f t="shared" si="103"/>
        <v>264.76923076923083</v>
      </c>
      <c r="AA181" s="252">
        <f t="shared" si="103"/>
        <v>311.92307692307708</v>
      </c>
      <c r="AB181" s="252">
        <f t="shared" si="103"/>
        <v>257.46153846153834</v>
      </c>
      <c r="AC181" s="251">
        <f t="shared" si="105"/>
        <v>83.831900000000005</v>
      </c>
      <c r="AD181" s="252">
        <f t="shared" si="103"/>
        <v>176.69230769230771</v>
      </c>
      <c r="AE181" s="252">
        <f t="shared" si="103"/>
        <v>190.69230769230771</v>
      </c>
      <c r="AF181" s="252">
        <f t="shared" si="103"/>
        <v>235.15384615384625</v>
      </c>
      <c r="AG181" s="252">
        <f t="shared" si="103"/>
        <v>238.46153846153854</v>
      </c>
    </row>
    <row r="182" spans="1:40">
      <c r="A182" s="240" t="s">
        <v>46</v>
      </c>
      <c r="B182" s="290">
        <f t="shared" si="102"/>
        <v>0</v>
      </c>
      <c r="C182" s="290">
        <f t="shared" si="104"/>
        <v>0</v>
      </c>
      <c r="D182" s="290">
        <f t="shared" si="103"/>
        <v>0</v>
      </c>
      <c r="E182" s="290">
        <f t="shared" si="103"/>
        <v>0</v>
      </c>
      <c r="F182" s="290">
        <f t="shared" si="103"/>
        <v>0</v>
      </c>
      <c r="G182" s="290">
        <f t="shared" si="103"/>
        <v>0</v>
      </c>
      <c r="H182" s="290">
        <f t="shared" si="103"/>
        <v>1.2307692307692308</v>
      </c>
      <c r="I182" s="290">
        <f t="shared" si="103"/>
        <v>2</v>
      </c>
      <c r="J182" s="290">
        <f t="shared" si="103"/>
        <v>2</v>
      </c>
      <c r="K182" s="290">
        <f t="shared" si="103"/>
        <v>3.2307692307692299</v>
      </c>
      <c r="L182" s="290">
        <f t="shared" si="103"/>
        <v>4.6153846153846132</v>
      </c>
      <c r="M182" s="290">
        <f t="shared" si="103"/>
        <v>5</v>
      </c>
      <c r="N182" s="290">
        <f t="shared" si="103"/>
        <v>5</v>
      </c>
      <c r="O182" s="290">
        <f t="shared" si="103"/>
        <v>5</v>
      </c>
      <c r="P182" s="290">
        <f t="shared" si="103"/>
        <v>11.153846153846157</v>
      </c>
      <c r="Q182" s="290">
        <f t="shared" si="103"/>
        <v>40.230769230769226</v>
      </c>
      <c r="R182" s="290">
        <f t="shared" si="103"/>
        <v>99.692307692307722</v>
      </c>
      <c r="S182" s="290">
        <f t="shared" si="103"/>
        <v>127</v>
      </c>
      <c r="T182" s="290">
        <f t="shared" si="103"/>
        <v>49.461538461538453</v>
      </c>
      <c r="U182" s="290">
        <f t="shared" si="103"/>
        <v>4.0769230769230766</v>
      </c>
      <c r="V182" s="290">
        <f t="shared" si="103"/>
        <v>189.38461538461542</v>
      </c>
      <c r="W182" s="290">
        <f t="shared" si="103"/>
        <v>344.61538461538476</v>
      </c>
      <c r="X182" s="290">
        <f t="shared" si="103"/>
        <v>302.30769230769238</v>
      </c>
      <c r="Y182" s="290">
        <f t="shared" si="103"/>
        <v>213.23076923076928</v>
      </c>
      <c r="Z182" s="252">
        <f t="shared" si="103"/>
        <v>276.30769230769238</v>
      </c>
      <c r="AA182" s="252">
        <f t="shared" si="103"/>
        <v>308.76923076923094</v>
      </c>
      <c r="AB182" s="252">
        <f t="shared" si="103"/>
        <v>252.38461538461527</v>
      </c>
      <c r="AC182" s="251">
        <f t="shared" si="105"/>
        <v>72.370400000000004</v>
      </c>
      <c r="AD182" s="252">
        <f t="shared" si="103"/>
        <v>168.07692307692309</v>
      </c>
      <c r="AE182" s="252">
        <f t="shared" si="103"/>
        <v>200.07692307692309</v>
      </c>
      <c r="AF182" s="252">
        <f t="shared" si="103"/>
        <v>233.46153846153857</v>
      </c>
      <c r="AG182" s="252">
        <f t="shared" si="103"/>
        <v>240.38461538461547</v>
      </c>
    </row>
    <row r="183" spans="1:40">
      <c r="A183" s="240" t="s">
        <v>235</v>
      </c>
      <c r="B183" s="290">
        <f t="shared" si="102"/>
        <v>0</v>
      </c>
      <c r="C183" s="290">
        <f t="shared" si="104"/>
        <v>0</v>
      </c>
      <c r="D183" s="290">
        <f t="shared" si="103"/>
        <v>0</v>
      </c>
      <c r="E183" s="290">
        <f t="shared" si="103"/>
        <v>0</v>
      </c>
      <c r="F183" s="290">
        <f t="shared" si="103"/>
        <v>0</v>
      </c>
      <c r="G183" s="290">
        <f t="shared" si="103"/>
        <v>0</v>
      </c>
      <c r="H183" s="290">
        <f t="shared" si="103"/>
        <v>1.3846153846153846</v>
      </c>
      <c r="I183" s="290">
        <f t="shared" si="103"/>
        <v>2</v>
      </c>
      <c r="J183" s="290">
        <f t="shared" si="103"/>
        <v>2</v>
      </c>
      <c r="K183" s="290">
        <f t="shared" si="103"/>
        <v>3.3846153846153837</v>
      </c>
      <c r="L183" s="290">
        <f t="shared" si="103"/>
        <v>4.6923076923076898</v>
      </c>
      <c r="M183" s="290">
        <f t="shared" si="103"/>
        <v>5</v>
      </c>
      <c r="N183" s="290">
        <f t="shared" si="103"/>
        <v>5</v>
      </c>
      <c r="O183" s="290">
        <f t="shared" si="103"/>
        <v>5</v>
      </c>
      <c r="P183" s="290">
        <f t="shared" si="103"/>
        <v>11.923076923076927</v>
      </c>
      <c r="Q183" s="290">
        <f t="shared" si="103"/>
        <v>43.38461538461538</v>
      </c>
      <c r="R183" s="290">
        <f t="shared" si="103"/>
        <v>105.15384615384619</v>
      </c>
      <c r="S183" s="290">
        <f t="shared" si="103"/>
        <v>127</v>
      </c>
      <c r="T183" s="290">
        <f t="shared" si="103"/>
        <v>39.769230769230759</v>
      </c>
      <c r="U183" s="290">
        <f t="shared" si="103"/>
        <v>4.4615384615384617</v>
      </c>
      <c r="V183" s="290">
        <f t="shared" si="103"/>
        <v>212.30769230769235</v>
      </c>
      <c r="W183" s="290">
        <f t="shared" si="103"/>
        <v>349.69230769230785</v>
      </c>
      <c r="X183" s="290">
        <f t="shared" si="103"/>
        <v>293.84615384615392</v>
      </c>
      <c r="Y183" s="290">
        <f t="shared" si="103"/>
        <v>207.38461538461544</v>
      </c>
      <c r="Z183" s="252">
        <f t="shared" si="103"/>
        <v>287.84615384615392</v>
      </c>
      <c r="AA183" s="252">
        <f t="shared" si="103"/>
        <v>305.61538461538481</v>
      </c>
      <c r="AB183" s="252">
        <f t="shared" si="103"/>
        <v>247.30769230769221</v>
      </c>
      <c r="AC183" s="251">
        <f t="shared" si="105"/>
        <v>54.687199999999997</v>
      </c>
      <c r="AD183" s="252">
        <f t="shared" si="103"/>
        <v>159.46153846153848</v>
      </c>
      <c r="AE183" s="252">
        <f t="shared" si="103"/>
        <v>209.46153846153848</v>
      </c>
      <c r="AF183" s="252">
        <f t="shared" si="103"/>
        <v>231.76923076923089</v>
      </c>
      <c r="AG183" s="252">
        <f t="shared" si="103"/>
        <v>242.30769230769241</v>
      </c>
    </row>
    <row r="184" spans="1:40">
      <c r="A184" s="240" t="s">
        <v>236</v>
      </c>
      <c r="B184" s="290">
        <f t="shared" si="102"/>
        <v>0</v>
      </c>
      <c r="C184" s="290">
        <f t="shared" si="104"/>
        <v>0</v>
      </c>
      <c r="D184" s="290">
        <f t="shared" si="103"/>
        <v>0</v>
      </c>
      <c r="E184" s="290">
        <f t="shared" si="103"/>
        <v>0</v>
      </c>
      <c r="F184" s="290">
        <f t="shared" si="103"/>
        <v>0</v>
      </c>
      <c r="G184" s="290">
        <f t="shared" si="103"/>
        <v>0</v>
      </c>
      <c r="H184" s="290">
        <f t="shared" si="103"/>
        <v>1.5384615384615383</v>
      </c>
      <c r="I184" s="290">
        <f t="shared" si="103"/>
        <v>2</v>
      </c>
      <c r="J184" s="290">
        <f t="shared" si="103"/>
        <v>2</v>
      </c>
      <c r="K184" s="290">
        <f t="shared" si="103"/>
        <v>3.5384615384615374</v>
      </c>
      <c r="L184" s="290">
        <f t="shared" si="103"/>
        <v>4.7692307692307665</v>
      </c>
      <c r="M184" s="290">
        <f t="shared" si="103"/>
        <v>5</v>
      </c>
      <c r="N184" s="290">
        <f t="shared" si="103"/>
        <v>5</v>
      </c>
      <c r="O184" s="290">
        <f t="shared" si="103"/>
        <v>5</v>
      </c>
      <c r="P184" s="290">
        <f t="shared" si="103"/>
        <v>12.692307692307697</v>
      </c>
      <c r="Q184" s="290">
        <f t="shared" si="103"/>
        <v>46.538461538461533</v>
      </c>
      <c r="R184" s="290">
        <f t="shared" si="103"/>
        <v>110.61538461538466</v>
      </c>
      <c r="S184" s="290">
        <f t="shared" si="103"/>
        <v>127</v>
      </c>
      <c r="T184" s="290">
        <f t="shared" si="103"/>
        <v>30.076923076923066</v>
      </c>
      <c r="U184" s="290">
        <f t="shared" si="103"/>
        <v>4.8461538461538467</v>
      </c>
      <c r="V184" s="290">
        <f t="shared" si="103"/>
        <v>235.23076923076928</v>
      </c>
      <c r="W184" s="290">
        <f t="shared" si="103"/>
        <v>354.76923076923094</v>
      </c>
      <c r="X184" s="290">
        <f t="shared" si="103"/>
        <v>285.38461538461547</v>
      </c>
      <c r="Y184" s="290">
        <f t="shared" ref="D184:AB185" si="106">(Y$186-X$186)/13+Y183</f>
        <v>201.5384615384616</v>
      </c>
      <c r="Z184" s="252">
        <f t="shared" si="106"/>
        <v>299.38461538461547</v>
      </c>
      <c r="AA184" s="252">
        <f t="shared" si="106"/>
        <v>302.46153846153868</v>
      </c>
      <c r="AB184" s="252">
        <f t="shared" si="106"/>
        <v>242.23076923076914</v>
      </c>
      <c r="AC184" s="251">
        <f t="shared" si="105"/>
        <v>78.718400000000003</v>
      </c>
      <c r="AD184" s="252">
        <f t="shared" ref="AD184:AG184" si="107">(AD$186-AC$186)/13+AD183</f>
        <v>150.84615384615387</v>
      </c>
      <c r="AE184" s="252">
        <f t="shared" si="107"/>
        <v>218.84615384615387</v>
      </c>
      <c r="AF184" s="252">
        <f t="shared" si="107"/>
        <v>230.07692307692321</v>
      </c>
      <c r="AG184" s="252">
        <f t="shared" si="107"/>
        <v>244.23076923076934</v>
      </c>
    </row>
    <row r="185" spans="1:40">
      <c r="A185" s="240" t="s">
        <v>237</v>
      </c>
      <c r="B185" s="290">
        <f t="shared" si="102"/>
        <v>0</v>
      </c>
      <c r="C185" s="290">
        <f t="shared" si="104"/>
        <v>0</v>
      </c>
      <c r="D185" s="290">
        <f t="shared" si="106"/>
        <v>0</v>
      </c>
      <c r="E185" s="290">
        <f t="shared" si="106"/>
        <v>0</v>
      </c>
      <c r="F185" s="290">
        <f t="shared" si="106"/>
        <v>0</v>
      </c>
      <c r="G185" s="290">
        <f t="shared" si="106"/>
        <v>0</v>
      </c>
      <c r="H185" s="290">
        <f t="shared" si="106"/>
        <v>1.6923076923076921</v>
      </c>
      <c r="I185" s="290">
        <f t="shared" si="106"/>
        <v>2</v>
      </c>
      <c r="J185" s="290">
        <f t="shared" si="106"/>
        <v>2</v>
      </c>
      <c r="K185" s="290">
        <f t="shared" si="106"/>
        <v>3.6923076923076912</v>
      </c>
      <c r="L185" s="290">
        <f t="shared" si="106"/>
        <v>4.8461538461538431</v>
      </c>
      <c r="M185" s="290">
        <f t="shared" si="106"/>
        <v>5</v>
      </c>
      <c r="N185" s="290">
        <f t="shared" si="106"/>
        <v>5</v>
      </c>
      <c r="O185" s="290">
        <f t="shared" si="106"/>
        <v>5</v>
      </c>
      <c r="P185" s="290">
        <f t="shared" si="106"/>
        <v>13.461538461538467</v>
      </c>
      <c r="Q185" s="290">
        <f t="shared" si="106"/>
        <v>49.692307692307686</v>
      </c>
      <c r="R185" s="290">
        <f t="shared" si="106"/>
        <v>116.07692307692312</v>
      </c>
      <c r="S185" s="290">
        <f t="shared" si="106"/>
        <v>127</v>
      </c>
      <c r="T185" s="290">
        <f t="shared" si="106"/>
        <v>20.384615384615373</v>
      </c>
      <c r="U185" s="290">
        <f t="shared" si="106"/>
        <v>5.2307692307692317</v>
      </c>
      <c r="V185" s="290">
        <f t="shared" si="106"/>
        <v>258.15384615384619</v>
      </c>
      <c r="W185" s="290">
        <f t="shared" si="106"/>
        <v>359.84615384615404</v>
      </c>
      <c r="X185" s="290">
        <f t="shared" si="106"/>
        <v>276.92307692307702</v>
      </c>
      <c r="Y185" s="290">
        <f t="shared" si="106"/>
        <v>195.69230769230776</v>
      </c>
      <c r="Z185" s="252">
        <f t="shared" si="106"/>
        <v>310.92307692307702</v>
      </c>
      <c r="AA185" s="252">
        <f t="shared" si="106"/>
        <v>299.30769230769255</v>
      </c>
      <c r="AB185" s="252">
        <f t="shared" si="106"/>
        <v>237.15384615384608</v>
      </c>
      <c r="AC185" s="252">
        <f t="shared" ref="AC185:AG185" si="108">(AC$186-AB$186)/13+AC184</f>
        <v>79.487630769230776</v>
      </c>
      <c r="AD185" s="252">
        <f t="shared" si="108"/>
        <v>142.23076923076925</v>
      </c>
      <c r="AE185" s="252">
        <f t="shared" si="108"/>
        <v>228.23076923076925</v>
      </c>
      <c r="AF185" s="252">
        <f t="shared" si="108"/>
        <v>228.38461538461553</v>
      </c>
      <c r="AG185" s="252">
        <f t="shared" si="108"/>
        <v>246.15384615384627</v>
      </c>
    </row>
    <row r="186" spans="1:40" ht="15.75" thickBot="1">
      <c r="A186" s="240" t="s">
        <v>238</v>
      </c>
      <c r="B186" s="267">
        <f t="shared" ref="B186:AG186" si="109">B29</f>
        <v>0</v>
      </c>
      <c r="C186" s="267">
        <f t="shared" si="109"/>
        <v>0</v>
      </c>
      <c r="D186" s="267">
        <f t="shared" si="109"/>
        <v>0</v>
      </c>
      <c r="E186" s="267">
        <f t="shared" si="109"/>
        <v>0</v>
      </c>
      <c r="F186" s="267">
        <f t="shared" si="109"/>
        <v>0</v>
      </c>
      <c r="G186" s="267">
        <f t="shared" si="109"/>
        <v>0</v>
      </c>
      <c r="H186" s="267">
        <f t="shared" si="109"/>
        <v>2</v>
      </c>
      <c r="I186" s="267">
        <f t="shared" si="109"/>
        <v>2</v>
      </c>
      <c r="J186" s="267">
        <f t="shared" si="109"/>
        <v>2</v>
      </c>
      <c r="K186" s="267">
        <f t="shared" si="109"/>
        <v>4</v>
      </c>
      <c r="L186" s="267">
        <f t="shared" si="109"/>
        <v>5</v>
      </c>
      <c r="M186" s="267">
        <f t="shared" si="109"/>
        <v>5</v>
      </c>
      <c r="N186" s="267">
        <f t="shared" si="109"/>
        <v>5</v>
      </c>
      <c r="O186" s="267">
        <f t="shared" si="109"/>
        <v>5</v>
      </c>
      <c r="P186" s="267">
        <f t="shared" si="109"/>
        <v>15</v>
      </c>
      <c r="Q186" s="267">
        <f t="shared" si="109"/>
        <v>56</v>
      </c>
      <c r="R186" s="267">
        <f t="shared" si="109"/>
        <v>127</v>
      </c>
      <c r="S186" s="267">
        <f t="shared" si="109"/>
        <v>127</v>
      </c>
      <c r="T186" s="267">
        <f t="shared" si="109"/>
        <v>1</v>
      </c>
      <c r="U186" s="267">
        <f t="shared" si="109"/>
        <v>6</v>
      </c>
      <c r="V186" s="267">
        <f t="shared" si="109"/>
        <v>304</v>
      </c>
      <c r="W186" s="267">
        <f t="shared" si="109"/>
        <v>370</v>
      </c>
      <c r="X186" s="267">
        <f t="shared" si="109"/>
        <v>260</v>
      </c>
      <c r="Y186" s="267">
        <f t="shared" si="109"/>
        <v>184</v>
      </c>
      <c r="Z186" s="268">
        <f t="shared" si="109"/>
        <v>334</v>
      </c>
      <c r="AA186" s="268">
        <f t="shared" si="109"/>
        <v>293</v>
      </c>
      <c r="AB186" s="268">
        <f t="shared" si="109"/>
        <v>227</v>
      </c>
      <c r="AC186" s="268">
        <f t="shared" si="109"/>
        <v>237</v>
      </c>
      <c r="AD186" s="268">
        <f t="shared" si="109"/>
        <v>125</v>
      </c>
      <c r="AE186" s="268">
        <f t="shared" si="109"/>
        <v>247</v>
      </c>
      <c r="AF186" s="268">
        <f t="shared" si="109"/>
        <v>225</v>
      </c>
      <c r="AG186" s="268">
        <f t="shared" si="109"/>
        <v>250</v>
      </c>
    </row>
    <row r="187" spans="1:40">
      <c r="A187" s="248"/>
      <c r="B187" s="248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  <c r="AA187" s="248"/>
      <c r="AB187" s="248"/>
      <c r="AC187" s="248"/>
      <c r="AD187" s="248"/>
      <c r="AE187" s="248"/>
      <c r="AF187" s="248"/>
      <c r="AG187" s="248"/>
    </row>
    <row r="188" spans="1:40" ht="15.75" thickBot="1">
      <c r="A188" s="235" t="s">
        <v>261</v>
      </c>
    </row>
    <row r="189" spans="1:40" ht="15.75" thickBot="1">
      <c r="A189" s="236"/>
      <c r="B189" s="237" t="str">
        <f>B$2</f>
        <v xml:space="preserve">93/94 </v>
      </c>
      <c r="C189" s="237" t="str">
        <f t="shared" ref="C189:AG189" si="110">C$2</f>
        <v xml:space="preserve">94/95 </v>
      </c>
      <c r="D189" s="237" t="str">
        <f t="shared" si="110"/>
        <v xml:space="preserve">95/96 </v>
      </c>
      <c r="E189" s="237" t="str">
        <f t="shared" si="110"/>
        <v xml:space="preserve">96/97 </v>
      </c>
      <c r="F189" s="237" t="str">
        <f t="shared" si="110"/>
        <v xml:space="preserve">97/98 </v>
      </c>
      <c r="G189" s="237" t="str">
        <f t="shared" si="110"/>
        <v xml:space="preserve">98/99 </v>
      </c>
      <c r="H189" s="237" t="str">
        <f t="shared" si="110"/>
        <v xml:space="preserve">99/00 </v>
      </c>
      <c r="I189" s="237" t="str">
        <f t="shared" si="110"/>
        <v xml:space="preserve">00/01 </v>
      </c>
      <c r="J189" s="237" t="str">
        <f t="shared" si="110"/>
        <v xml:space="preserve">01/02 </v>
      </c>
      <c r="K189" s="237" t="str">
        <f t="shared" si="110"/>
        <v xml:space="preserve">02/03 </v>
      </c>
      <c r="L189" s="237" t="str">
        <f t="shared" si="110"/>
        <v xml:space="preserve">03/04 </v>
      </c>
      <c r="M189" s="237" t="str">
        <f t="shared" si="110"/>
        <v xml:space="preserve">04/05 </v>
      </c>
      <c r="N189" s="237" t="str">
        <f t="shared" si="110"/>
        <v xml:space="preserve">05/06 </v>
      </c>
      <c r="O189" s="237" t="str">
        <f t="shared" si="110"/>
        <v xml:space="preserve">06/07 </v>
      </c>
      <c r="P189" s="237" t="str">
        <f t="shared" si="110"/>
        <v xml:space="preserve">07/08 </v>
      </c>
      <c r="Q189" s="237" t="str">
        <f t="shared" si="110"/>
        <v xml:space="preserve">08/09 </v>
      </c>
      <c r="R189" s="237" t="str">
        <f t="shared" si="110"/>
        <v xml:space="preserve">09/10 </v>
      </c>
      <c r="S189" s="237" t="str">
        <f t="shared" si="110"/>
        <v xml:space="preserve">10/11 </v>
      </c>
      <c r="T189" s="237" t="str">
        <f t="shared" si="110"/>
        <v xml:space="preserve">11/12 </v>
      </c>
      <c r="U189" s="237" t="str">
        <f t="shared" si="110"/>
        <v xml:space="preserve">12/13 </v>
      </c>
      <c r="V189" s="237" t="str">
        <f t="shared" si="110"/>
        <v xml:space="preserve">13/14 </v>
      </c>
      <c r="W189" s="237" t="str">
        <f t="shared" si="110"/>
        <v xml:space="preserve">14/15 </v>
      </c>
      <c r="X189" s="237" t="str">
        <f t="shared" si="110"/>
        <v xml:space="preserve">15/16 </v>
      </c>
      <c r="Y189" s="237" t="str">
        <f t="shared" si="110"/>
        <v xml:space="preserve">16/17 </v>
      </c>
      <c r="Z189" s="237" t="str">
        <f t="shared" si="110"/>
        <v xml:space="preserve">17/18 </v>
      </c>
      <c r="AA189" s="237" t="str">
        <f t="shared" si="110"/>
        <v xml:space="preserve">18/19 </v>
      </c>
      <c r="AB189" s="237" t="str">
        <f t="shared" si="110"/>
        <v xml:space="preserve">19/20 </v>
      </c>
      <c r="AC189" s="237" t="str">
        <f t="shared" si="110"/>
        <v xml:space="preserve">20/21 </v>
      </c>
      <c r="AD189" s="237" t="str">
        <f t="shared" si="110"/>
        <v>21/22</v>
      </c>
      <c r="AE189" s="237" t="str">
        <f t="shared" si="110"/>
        <v>22/23</v>
      </c>
      <c r="AF189" s="237" t="str">
        <f t="shared" si="110"/>
        <v>23/24</v>
      </c>
      <c r="AG189" s="237" t="str">
        <f t="shared" si="110"/>
        <v>24/25</v>
      </c>
    </row>
    <row r="190" spans="1:40">
      <c r="A190" s="240" t="s">
        <v>239</v>
      </c>
      <c r="Z190" s="146"/>
      <c r="AA190" s="146">
        <v>259</v>
      </c>
      <c r="AB190" s="146">
        <v>196</v>
      </c>
      <c r="AC190" s="146">
        <v>265</v>
      </c>
      <c r="AD190" s="146">
        <v>277</v>
      </c>
      <c r="AE190" s="356">
        <f>MROUND('[4]Soy Complex-old'!BL260*0.48*1.10231,10)</f>
        <v>250</v>
      </c>
      <c r="AF190" s="356">
        <f>MROUND('[4]Soy Complex-old'!BM260*0.48*1.10231,10)</f>
        <v>230</v>
      </c>
      <c r="AG190" s="356">
        <f>MROUND('[4]Soy Complex-old'!BN260*0.48*1.10231,10)</f>
        <v>150</v>
      </c>
      <c r="AH190" s="361"/>
      <c r="AI190" s="361"/>
      <c r="AJ190" s="361"/>
      <c r="AK190" s="362"/>
      <c r="AL190" s="362"/>
      <c r="AM190" s="362"/>
      <c r="AN190" s="362"/>
    </row>
    <row r="191" spans="1:40">
      <c r="A191" s="240" t="s">
        <v>240</v>
      </c>
      <c r="Z191" s="146"/>
      <c r="AA191" s="146">
        <v>220</v>
      </c>
      <c r="AB191" s="146">
        <v>200</v>
      </c>
      <c r="AC191" s="146">
        <v>320</v>
      </c>
      <c r="AD191" s="146">
        <v>265</v>
      </c>
      <c r="AE191" s="356">
        <f>MROUND('[4]Soy Complex-old'!BL261*0.48*1.10231,10)</f>
        <v>230</v>
      </c>
      <c r="AF191" s="356">
        <f>MROUND('[4]Soy Complex-old'!BM261*0.48*1.10231,10)</f>
        <v>260</v>
      </c>
      <c r="AG191" s="356">
        <f>MROUND('[4]Soy Complex-old'!BN261*0.48*1.10231,10)</f>
        <v>160</v>
      </c>
      <c r="AH191" s="361"/>
      <c r="AI191" s="361"/>
      <c r="AJ191" s="361"/>
      <c r="AK191" s="362"/>
      <c r="AL191" s="362"/>
      <c r="AM191" s="362"/>
      <c r="AN191" s="362"/>
    </row>
    <row r="192" spans="1:40">
      <c r="A192" s="240" t="s">
        <v>241</v>
      </c>
      <c r="Z192" s="146"/>
      <c r="AA192" s="146">
        <v>214</v>
      </c>
      <c r="AB192" s="146">
        <v>200</v>
      </c>
      <c r="AC192" s="146">
        <v>325</v>
      </c>
      <c r="AD192" s="146">
        <v>275</v>
      </c>
      <c r="AE192" s="356">
        <f>MROUND('[4]Soy Complex-old'!BL262*0.48*1.10231,10)</f>
        <v>240</v>
      </c>
      <c r="AF192" s="356">
        <f>MROUND('[4]Soy Complex-old'!BM262*0.48*1.10231,10)</f>
        <v>230</v>
      </c>
      <c r="AG192" s="356">
        <f>MROUND('[4]Soy Complex-old'!BN262*0.48*1.10231,10)</f>
        <v>160</v>
      </c>
      <c r="AH192" s="361"/>
      <c r="AI192" s="361"/>
      <c r="AJ192" s="361"/>
      <c r="AK192" s="362"/>
      <c r="AL192" s="362"/>
      <c r="AM192" s="362"/>
      <c r="AN192" s="362"/>
    </row>
    <row r="193" spans="1:54">
      <c r="A193" s="240" t="s">
        <v>231</v>
      </c>
      <c r="Z193" s="146"/>
      <c r="AA193" s="146">
        <v>205</v>
      </c>
      <c r="AB193" s="146">
        <v>208</v>
      </c>
      <c r="AC193" s="146">
        <v>347</v>
      </c>
      <c r="AD193" s="146">
        <v>287</v>
      </c>
      <c r="AE193" s="356">
        <f>MROUND('[4]Soy Complex-old'!BL263*0.48*1.10231,10)</f>
        <v>260</v>
      </c>
      <c r="AF193" s="356">
        <f>MROUND('[4]Soy Complex-old'!BM263*0.48*1.10231,10)</f>
        <v>210</v>
      </c>
      <c r="AG193" s="356">
        <f>MROUND('[4]Soy Complex-old'!BN263*0.48*1.10231,10)</f>
        <v>160</v>
      </c>
      <c r="AH193" s="361"/>
      <c r="AI193" s="361"/>
      <c r="AJ193" s="361"/>
      <c r="AK193" s="362"/>
      <c r="AL193" s="362"/>
      <c r="AM193" s="362"/>
      <c r="AN193" s="362"/>
    </row>
    <row r="194" spans="1:54">
      <c r="A194" s="240" t="s">
        <v>232</v>
      </c>
      <c r="Z194" s="146"/>
      <c r="AA194" s="146">
        <v>199</v>
      </c>
      <c r="AB194" s="146">
        <v>206</v>
      </c>
      <c r="AC194" s="146">
        <v>340</v>
      </c>
      <c r="AD194" s="146">
        <v>307</v>
      </c>
      <c r="AE194" s="356">
        <f>MROUND('[4]Soy Complex-old'!BL264*0.48*1.10231,10)</f>
        <v>260</v>
      </c>
      <c r="AF194" s="356">
        <f>MROUND('[4]Soy Complex-old'!BM264*0.48*1.10231,10)</f>
        <v>210</v>
      </c>
      <c r="AG194" s="356">
        <f>MROUND('[4]Soy Complex-old'!BN264*0.48*1.10231,10)</f>
        <v>160</v>
      </c>
      <c r="AH194" s="361"/>
      <c r="AI194" s="361"/>
      <c r="AJ194" s="361"/>
      <c r="AK194" s="362"/>
      <c r="AL194" s="362"/>
      <c r="AM194" s="362"/>
      <c r="AN194" s="362"/>
    </row>
    <row r="195" spans="1:54">
      <c r="A195" s="240" t="s">
        <v>233</v>
      </c>
      <c r="Z195" s="146"/>
      <c r="AA195" s="146">
        <v>202</v>
      </c>
      <c r="AB195" s="146">
        <v>217</v>
      </c>
      <c r="AC195" s="146">
        <v>310</v>
      </c>
      <c r="AD195" s="356">
        <f>MROUND('[4]Soy Complex-old'!BK265*0.48*1.10231,10)</f>
        <v>260</v>
      </c>
      <c r="AE195" s="356">
        <f>MROUND('[4]Soy Complex-old'!BL265*0.48*1.10231,10)</f>
        <v>260</v>
      </c>
      <c r="AF195" s="356">
        <f>MROUND('[4]Soy Complex-old'!BM265*0.48*1.10231,10)</f>
        <v>200</v>
      </c>
      <c r="AG195" s="356">
        <f>MROUND('[4]Soy Complex-old'!BN265*0.48*1.10231,10)</f>
        <v>160</v>
      </c>
      <c r="AH195" s="361"/>
      <c r="AI195" s="361"/>
      <c r="AJ195" s="361"/>
      <c r="AK195" s="362"/>
      <c r="AL195" s="362"/>
      <c r="AM195" s="362"/>
      <c r="AN195" s="362"/>
    </row>
    <row r="196" spans="1:54">
      <c r="A196" s="240" t="s">
        <v>234</v>
      </c>
      <c r="Z196" s="146"/>
      <c r="AA196" s="146">
        <v>208</v>
      </c>
      <c r="AB196" s="146">
        <v>240</v>
      </c>
      <c r="AC196" s="146">
        <v>340</v>
      </c>
      <c r="AD196" s="356">
        <f>MROUND('[4]Soy Complex-old'!BK266*0.48*1.10231,10)</f>
        <v>250</v>
      </c>
      <c r="AE196" s="356">
        <f>MROUND('[4]Soy Complex-old'!BL266*0.48*1.10231,10)</f>
        <v>240</v>
      </c>
      <c r="AF196" s="356">
        <f>MROUND('[4]Soy Complex-old'!BM266*0.48*1.10231,10)</f>
        <v>190</v>
      </c>
      <c r="AG196" s="356">
        <f>MROUND('[4]Soy Complex-old'!BN266*0.48*1.10231,10)</f>
        <v>160</v>
      </c>
      <c r="AH196" s="361"/>
      <c r="AI196" s="361"/>
      <c r="AJ196" s="361"/>
      <c r="AK196" s="362"/>
      <c r="AL196" s="362"/>
      <c r="AM196" s="362"/>
      <c r="AN196" s="362"/>
    </row>
    <row r="197" spans="1:54">
      <c r="A197" s="240" t="s">
        <v>46</v>
      </c>
      <c r="Z197" s="146"/>
      <c r="AA197" s="146">
        <v>215</v>
      </c>
      <c r="AB197" s="146">
        <v>225</v>
      </c>
      <c r="AC197" s="146">
        <v>315</v>
      </c>
      <c r="AD197" s="356">
        <f>MROUND('[4]Soy Complex-old'!BK267*0.48*1.10231,10)</f>
        <v>230</v>
      </c>
      <c r="AE197" s="356">
        <f>MROUND('[4]Soy Complex-old'!BL267*0.48*1.10231,10)</f>
        <v>220</v>
      </c>
      <c r="AF197" s="356">
        <f>MROUND('[4]Soy Complex-old'!BM267*0.48*1.10231,10)</f>
        <v>210</v>
      </c>
      <c r="AG197" s="356">
        <f>MROUND('[4]Soy Complex-old'!BN267*0.48*1.10231,10)</f>
        <v>160</v>
      </c>
      <c r="AH197" s="361"/>
      <c r="AI197" s="361"/>
      <c r="AJ197" s="361"/>
      <c r="AK197" s="362"/>
      <c r="AL197" s="362"/>
      <c r="AM197" s="362"/>
      <c r="AN197" s="362"/>
      <c r="AR197" s="363"/>
    </row>
    <row r="198" spans="1:54">
      <c r="A198" s="240" t="s">
        <v>235</v>
      </c>
      <c r="Z198" s="146">
        <v>262</v>
      </c>
      <c r="AA198" s="146">
        <v>230</v>
      </c>
      <c r="AB198" s="146">
        <v>228</v>
      </c>
      <c r="AC198" s="146">
        <v>297</v>
      </c>
      <c r="AD198" s="356">
        <f>MROUND('[4]Soy Complex-old'!BK268*0.48*1.10231,10)</f>
        <v>240</v>
      </c>
      <c r="AE198" s="356">
        <f>MROUND('[4]Soy Complex-old'!BL268*0.48*1.10231,10)</f>
        <v>220</v>
      </c>
      <c r="AF198" s="356">
        <f>MROUND('[4]Soy Complex-old'!BM268*0.48*1.10231,10)</f>
        <v>200</v>
      </c>
      <c r="AG198" s="356">
        <f>MROUND('[4]Soy Complex-old'!BN268*0.48*1.10231,10)</f>
        <v>150</v>
      </c>
      <c r="AH198" s="361"/>
      <c r="AI198" s="361"/>
      <c r="AJ198" s="361"/>
      <c r="AK198" s="362"/>
      <c r="AL198" s="362"/>
      <c r="AM198" s="362"/>
      <c r="AN198" s="362"/>
      <c r="AR198" s="364" t="s">
        <v>323</v>
      </c>
    </row>
    <row r="199" spans="1:54">
      <c r="A199" s="240" t="s">
        <v>236</v>
      </c>
      <c r="Z199" s="146">
        <v>250</v>
      </c>
      <c r="AA199" s="146">
        <v>220</v>
      </c>
      <c r="AB199" s="146">
        <v>228</v>
      </c>
      <c r="AC199" s="146">
        <v>280</v>
      </c>
      <c r="AD199" s="356">
        <f>MROUND('[4]Soy Complex-old'!BK269*0.48*1.10231,10)</f>
        <v>250</v>
      </c>
      <c r="AE199" s="356">
        <f>MROUND('[4]Soy Complex-old'!BL269*0.48*1.10231,10)</f>
        <v>230</v>
      </c>
      <c r="AF199" s="356">
        <f>MROUND('[4]Soy Complex-old'!BM269*0.48*1.10231,10)</f>
        <v>210</v>
      </c>
      <c r="AG199" s="356">
        <f>MROUND('[4]Soy Complex-old'!BN269*0.48*1.10231,10)</f>
        <v>160</v>
      </c>
      <c r="AH199" s="361"/>
      <c r="AI199" s="361"/>
      <c r="AJ199" s="361"/>
      <c r="AK199" s="362"/>
      <c r="AL199" s="362"/>
      <c r="AM199" s="362"/>
      <c r="AN199" s="362"/>
      <c r="AR199" s="363" t="s">
        <v>324</v>
      </c>
    </row>
    <row r="200" spans="1:54">
      <c r="A200" s="240" t="s">
        <v>237</v>
      </c>
      <c r="Z200" s="146">
        <v>245</v>
      </c>
      <c r="AA200" s="146">
        <v>215</v>
      </c>
      <c r="AB200" s="146">
        <v>225</v>
      </c>
      <c r="AC200" s="146">
        <v>263</v>
      </c>
      <c r="AD200" s="356">
        <f>MROUND('[4]Soy Complex-old'!BK270*0.48*1.10231,10)</f>
        <v>270</v>
      </c>
      <c r="AE200" s="356">
        <f>MROUND('[4]Soy Complex-old'!BL270*0.48*1.10231,10)</f>
        <v>230</v>
      </c>
      <c r="AF200" s="356">
        <f>MROUND('[4]Soy Complex-old'!BM270*0.48*1.10231,10)</f>
        <v>190</v>
      </c>
      <c r="AG200" s="356">
        <f>MROUND('[4]Soy Complex-old'!BN270*0.48*1.10231,10)</f>
        <v>150</v>
      </c>
      <c r="AH200" s="361"/>
      <c r="AI200" s="361"/>
      <c r="AJ200" s="361"/>
      <c r="AK200" s="362"/>
      <c r="AL200" s="362"/>
      <c r="AM200" s="362"/>
      <c r="AN200" s="362"/>
      <c r="AR200" s="363" t="s">
        <v>349</v>
      </c>
    </row>
    <row r="201" spans="1:54">
      <c r="A201" s="240" t="s">
        <v>238</v>
      </c>
      <c r="Z201" s="146">
        <v>225</v>
      </c>
      <c r="AA201" s="146">
        <v>200</v>
      </c>
      <c r="AB201" s="146">
        <v>245</v>
      </c>
      <c r="AC201" s="146">
        <v>275</v>
      </c>
      <c r="AD201" s="356">
        <f>MROUND('[4]Soy Complex-old'!BK271*0.48*1.10231,10)</f>
        <v>250</v>
      </c>
      <c r="AE201" s="356">
        <f>MROUND('[4]Soy Complex-old'!BL271*0.48*1.10231,10)</f>
        <v>220</v>
      </c>
      <c r="AF201" s="356">
        <f>MROUND('[4]Soy Complex-old'!BM271*0.48*1.10231,10)</f>
        <v>180</v>
      </c>
      <c r="AG201" s="356">
        <f>MROUND('[4]Soy Complex-old'!BN271*0.48*1.10231,10)</f>
        <v>150</v>
      </c>
      <c r="AH201" s="361"/>
      <c r="AI201" s="361"/>
      <c r="AJ201" s="361"/>
      <c r="AK201" s="362"/>
      <c r="AL201" s="362"/>
      <c r="AM201" s="362"/>
      <c r="AN201" s="362"/>
      <c r="AR201" s="300" t="s">
        <v>350</v>
      </c>
    </row>
    <row r="202" spans="1:54" ht="15.75" thickBot="1">
      <c r="A202" s="240" t="s">
        <v>255</v>
      </c>
      <c r="Z202" s="108"/>
      <c r="AA202" s="146">
        <f>AVERAGE(AA190:AA201)</f>
        <v>215.58333333333334</v>
      </c>
      <c r="AB202" s="146">
        <f t="shared" ref="AB202:AG202" si="111">AVERAGE(AB190:AB201)</f>
        <v>218.16666666666666</v>
      </c>
      <c r="AC202" s="146">
        <f t="shared" si="111"/>
        <v>306.41666666666669</v>
      </c>
      <c r="AD202" s="356">
        <f t="shared" si="111"/>
        <v>263.41666666666669</v>
      </c>
      <c r="AE202" s="356">
        <f t="shared" si="111"/>
        <v>238.33333333333334</v>
      </c>
      <c r="AF202" s="356">
        <f t="shared" si="111"/>
        <v>210</v>
      </c>
      <c r="AG202" s="356">
        <f t="shared" si="111"/>
        <v>156.66666666666666</v>
      </c>
      <c r="AH202" s="361"/>
      <c r="AI202" s="361"/>
      <c r="AJ202" s="361"/>
      <c r="AK202" s="362"/>
      <c r="AL202" s="362"/>
      <c r="AM202" s="362"/>
      <c r="AN202" s="362"/>
      <c r="AR202" s="300" t="s">
        <v>351</v>
      </c>
    </row>
    <row r="203" spans="1:54">
      <c r="A203" s="248"/>
      <c r="B203" s="248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8"/>
      <c r="S203" s="248"/>
      <c r="T203" s="248"/>
      <c r="U203" s="248"/>
      <c r="V203" s="248"/>
      <c r="W203" s="248"/>
      <c r="X203" s="248"/>
      <c r="Y203" s="248"/>
      <c r="Z203" s="248"/>
      <c r="AA203" s="248"/>
      <c r="AB203" s="248"/>
      <c r="AC203" s="248"/>
      <c r="AD203" s="248"/>
      <c r="AE203" s="248"/>
      <c r="AF203" s="248"/>
      <c r="AG203" s="248"/>
      <c r="AR203" s="365" t="s">
        <v>352</v>
      </c>
      <c r="BB203" t="s">
        <v>353</v>
      </c>
    </row>
    <row r="204" spans="1:54" ht="15.75" thickBot="1">
      <c r="A204" s="235" t="s">
        <v>354</v>
      </c>
      <c r="AR204" s="365"/>
    </row>
    <row r="205" spans="1:54" ht="15.75" thickBot="1">
      <c r="A205" s="236"/>
      <c r="B205" s="237" t="str">
        <f t="shared" ref="B205:AD205" si="112">B2</f>
        <v xml:space="preserve">93/94 </v>
      </c>
      <c r="C205" s="237" t="str">
        <f t="shared" si="112"/>
        <v xml:space="preserve">94/95 </v>
      </c>
      <c r="D205" s="237" t="str">
        <f t="shared" si="112"/>
        <v xml:space="preserve">95/96 </v>
      </c>
      <c r="E205" s="237" t="str">
        <f t="shared" si="112"/>
        <v xml:space="preserve">96/97 </v>
      </c>
      <c r="F205" s="237" t="str">
        <f t="shared" si="112"/>
        <v xml:space="preserve">97/98 </v>
      </c>
      <c r="G205" s="237" t="str">
        <f t="shared" si="112"/>
        <v xml:space="preserve">98/99 </v>
      </c>
      <c r="H205" s="237" t="str">
        <f t="shared" si="112"/>
        <v xml:space="preserve">99/00 </v>
      </c>
      <c r="I205" s="237" t="str">
        <f t="shared" si="112"/>
        <v xml:space="preserve">00/01 </v>
      </c>
      <c r="J205" s="237" t="str">
        <f t="shared" si="112"/>
        <v xml:space="preserve">01/02 </v>
      </c>
      <c r="K205" s="237" t="str">
        <f t="shared" si="112"/>
        <v xml:space="preserve">02/03 </v>
      </c>
      <c r="L205" s="237" t="str">
        <f t="shared" si="112"/>
        <v xml:space="preserve">03/04 </v>
      </c>
      <c r="M205" s="237" t="str">
        <f t="shared" si="112"/>
        <v xml:space="preserve">04/05 </v>
      </c>
      <c r="N205" s="237" t="str">
        <f t="shared" si="112"/>
        <v xml:space="preserve">05/06 </v>
      </c>
      <c r="O205" s="237" t="str">
        <f t="shared" si="112"/>
        <v xml:space="preserve">06/07 </v>
      </c>
      <c r="P205" s="237" t="str">
        <f t="shared" si="112"/>
        <v xml:space="preserve">07/08 </v>
      </c>
      <c r="Q205" s="237" t="str">
        <f t="shared" si="112"/>
        <v xml:space="preserve">08/09 </v>
      </c>
      <c r="R205" s="237" t="str">
        <f t="shared" si="112"/>
        <v xml:space="preserve">09/10 </v>
      </c>
      <c r="S205" s="237" t="str">
        <f t="shared" si="112"/>
        <v xml:space="preserve">10/11 </v>
      </c>
      <c r="T205" s="237" t="str">
        <f t="shared" si="112"/>
        <v xml:space="preserve">11/12 </v>
      </c>
      <c r="U205" s="237" t="str">
        <f t="shared" si="112"/>
        <v xml:space="preserve">12/13 </v>
      </c>
      <c r="V205" s="237" t="str">
        <f t="shared" si="112"/>
        <v xml:space="preserve">13/14 </v>
      </c>
      <c r="W205" s="237" t="str">
        <f t="shared" si="112"/>
        <v xml:space="preserve">14/15 </v>
      </c>
      <c r="X205" s="237" t="str">
        <f t="shared" si="112"/>
        <v xml:space="preserve">15/16 </v>
      </c>
      <c r="Y205" s="237" t="str">
        <f t="shared" si="112"/>
        <v xml:space="preserve">16/17 </v>
      </c>
      <c r="Z205" s="237" t="str">
        <f t="shared" si="112"/>
        <v xml:space="preserve">17/18 </v>
      </c>
      <c r="AA205" s="237" t="str">
        <f t="shared" si="112"/>
        <v xml:space="preserve">18/19 </v>
      </c>
      <c r="AB205" s="237" t="str">
        <f t="shared" si="112"/>
        <v xml:space="preserve">19/20 </v>
      </c>
      <c r="AC205" s="237" t="str">
        <f t="shared" si="112"/>
        <v xml:space="preserve">20/21 </v>
      </c>
      <c r="AD205" s="237" t="str">
        <f t="shared" si="112"/>
        <v>21/22</v>
      </c>
      <c r="AE205" s="237" t="str">
        <f>AE2</f>
        <v>22/23</v>
      </c>
      <c r="AF205" s="237" t="str">
        <f>AF2</f>
        <v>23/24</v>
      </c>
      <c r="AG205" s="237" t="str">
        <f>AG2</f>
        <v>24/25</v>
      </c>
      <c r="AR205" s="365"/>
    </row>
    <row r="206" spans="1:54">
      <c r="A206" s="240" t="s">
        <v>239</v>
      </c>
      <c r="Z206" s="146"/>
      <c r="AA206" s="146">
        <f>(AA190*0.35)-('[4]Soy Complex-old'!BH260*0.48*1.10231)</f>
        <v>-78.215073519999962</v>
      </c>
      <c r="AB206" s="146">
        <f>(AB190*0.35)-('[4]Soy Complex-old'!BI260*0.48*1.10231)</f>
        <v>-95.148591423999989</v>
      </c>
      <c r="AC206" s="146">
        <f>(AC190*0.35)-('[4]Soy Complex-old'!BJ260*0.48*1.10231)</f>
        <v>-101.49113156799996</v>
      </c>
      <c r="AD206" s="146">
        <f>(AD190*0.35)-('[4]Soy Complex-old'!BK260*0.48*1.10231)</f>
        <v>-75.237876784000008</v>
      </c>
      <c r="AE206" s="253">
        <v>-90</v>
      </c>
      <c r="AF206" s="253">
        <v>-90</v>
      </c>
      <c r="AG206" s="253">
        <v>-90</v>
      </c>
      <c r="AJ206" s="366">
        <f t="shared" ref="AJ206:AJ218" si="113">AVERAGE(AA206:AC206)</f>
        <v>-91.618265503999964</v>
      </c>
      <c r="AR206" s="365"/>
    </row>
    <row r="207" spans="1:54">
      <c r="A207" s="240" t="s">
        <v>240</v>
      </c>
      <c r="Z207" s="146"/>
      <c r="AA207" s="146">
        <f>(AA191*0.35)-('[4]Soy Complex-old'!BH261*0.48*1.10231)</f>
        <v>-87.349129911999995</v>
      </c>
      <c r="AB207" s="146">
        <f>(AB191*0.35)-('[4]Soy Complex-old'!BI261*0.48*1.10231)</f>
        <v>-90.388750543999976</v>
      </c>
      <c r="AC207" s="146">
        <f>(AC191*0.35)-('[4]Soy Complex-old'!BJ261*0.48*1.10231)</f>
        <v>-93.204265903999953</v>
      </c>
      <c r="AD207" s="146">
        <f>(AD191*0.35)-('[4]Soy Complex-old'!BK261*0.48*1.10231)</f>
        <v>-97.057199824000008</v>
      </c>
      <c r="AE207" s="253">
        <v>-90</v>
      </c>
      <c r="AF207" s="253">
        <v>-90</v>
      </c>
      <c r="AG207" s="253">
        <v>-90</v>
      </c>
      <c r="AJ207" s="366">
        <f t="shared" si="113"/>
        <v>-90.314048786666646</v>
      </c>
      <c r="AR207" s="365"/>
    </row>
    <row r="208" spans="1:54">
      <c r="A208" s="240" t="s">
        <v>241</v>
      </c>
      <c r="Z208" s="146"/>
      <c r="AA208" s="146">
        <f>(AA192*0.35)-('[4]Soy Complex-old'!BH262*0.48*1.10231)</f>
        <v>-90.023212959999981</v>
      </c>
      <c r="AB208" s="146">
        <f>(AB192*0.35)-('[4]Soy Complex-old'!BI262*0.48*1.10231)</f>
        <v>-88.515705391999973</v>
      </c>
      <c r="AC208" s="146">
        <f>(AC192*0.35)-('[4]Soy Complex-old'!BJ262*0.48*1.10231)</f>
        <v>-96.13687878399999</v>
      </c>
      <c r="AD208" s="146">
        <f>(AD192*0.35)-('[4]Soy Complex-old'!BK262*0.48*1.10231)</f>
        <v>-115.14483886399998</v>
      </c>
      <c r="AE208" s="253">
        <v>-90</v>
      </c>
      <c r="AF208" s="253">
        <v>-90</v>
      </c>
      <c r="AG208" s="253">
        <v>-90</v>
      </c>
      <c r="AJ208" s="366">
        <f t="shared" si="113"/>
        <v>-91.55859904533331</v>
      </c>
      <c r="AR208" s="365"/>
    </row>
    <row r="209" spans="1:60">
      <c r="A209" s="240" t="s">
        <v>231</v>
      </c>
      <c r="Z209" s="146"/>
      <c r="AA209" s="146">
        <f>(AA193*0.35)-('[4]Soy Complex-old'!BH263*0.48*1.10231)</f>
        <v>-94.876943295999979</v>
      </c>
      <c r="AB209" s="146">
        <f>(AB193*0.35)-('[4]Soy Complex-old'!BI263*0.48*1.10231)</f>
        <v>-85.99084196799997</v>
      </c>
      <c r="AC209" s="146">
        <f>(AC193*0.35)-('[4]Soy Complex-old'!BJ263*0.48*1.10231)</f>
        <v>-110.95574931199997</v>
      </c>
      <c r="AD209" s="146">
        <f>(AD193*0.35)-('[4]Soy Complex-old'!BK263*0.48*1.10231)</f>
        <v>-122.41591764799998</v>
      </c>
      <c r="AE209" s="253">
        <v>-95</v>
      </c>
      <c r="AF209" s="253">
        <v>-95</v>
      </c>
      <c r="AG209" s="253">
        <v>-95</v>
      </c>
      <c r="AJ209" s="366">
        <f t="shared" si="113"/>
        <v>-97.27451152533331</v>
      </c>
      <c r="AR209" s="365"/>
    </row>
    <row r="210" spans="1:60">
      <c r="A210" s="240" t="s">
        <v>232</v>
      </c>
      <c r="Z210" s="146"/>
      <c r="AA210" s="146">
        <f>(AA194*0.35)-('[4]Soy Complex-old'!BH264*0.48*1.10231)</f>
        <v>-92.696453103999957</v>
      </c>
      <c r="AB210" s="146">
        <f>(AB194*0.35)-('[4]Soy Complex-old'!BI264*0.48*1.10231)</f>
        <v>-84.135246463999977</v>
      </c>
      <c r="AC210" s="146">
        <f>(AC194*0.35)-('[4]Soy Complex-old'!BJ264*0.48*1.10231)</f>
        <v>-107.07760806399996</v>
      </c>
      <c r="AD210" s="146">
        <f>(AD194*0.35)-('[4]Soy Complex-old'!BK264*0.48*1.10231)</f>
        <v>-136.17814695999999</v>
      </c>
      <c r="AE210" s="253">
        <v>-95</v>
      </c>
      <c r="AF210" s="253">
        <v>-95</v>
      </c>
      <c r="AG210" s="253">
        <v>-95</v>
      </c>
      <c r="AJ210" s="366">
        <f t="shared" si="113"/>
        <v>-94.636435877333284</v>
      </c>
      <c r="AR210" s="365"/>
    </row>
    <row r="211" spans="1:60">
      <c r="A211" s="240" t="s">
        <v>233</v>
      </c>
      <c r="Z211" s="146"/>
      <c r="AA211" s="146">
        <f>(AA195*0.35)-('[4]Soy Complex-old'!BH265*0.48*1.10231)</f>
        <v>-91.408354143999986</v>
      </c>
      <c r="AB211" s="146">
        <f>(AB195*0.35)-('[4]Soy Complex-old'!BI265*0.48*1.10231)</f>
        <v>-89.333006943999976</v>
      </c>
      <c r="AC211" s="146">
        <f>(AC195*0.35)-('[4]Soy Complex-old'!BJ265*0.48*1.10231)</f>
        <v>-108.44519017599995</v>
      </c>
      <c r="AD211" s="253">
        <v>-130</v>
      </c>
      <c r="AE211" s="253">
        <v>-95</v>
      </c>
      <c r="AF211" s="253">
        <v>-95</v>
      </c>
      <c r="AG211" s="253">
        <v>-95</v>
      </c>
      <c r="AJ211" s="366">
        <f t="shared" si="113"/>
        <v>-96.395517087999977</v>
      </c>
      <c r="AR211" s="365"/>
    </row>
    <row r="212" spans="1:60">
      <c r="A212" s="240" t="s">
        <v>234</v>
      </c>
      <c r="Z212" s="146"/>
      <c r="AA212" s="146">
        <f>(AA196*0.35)-('[4]Soy Complex-old'!BH266*0.48*1.10231)</f>
        <v>-88.186643487999973</v>
      </c>
      <c r="AB212" s="146">
        <f>(AB196*0.35)-('[4]Soy Complex-old'!BI266*0.48*1.10231)</f>
        <v>-72.293448431999963</v>
      </c>
      <c r="AC212" s="146">
        <f>(AC196*0.35)-('[4]Soy Complex-old'!BJ266*0.48*1.10231)</f>
        <v>-99.712413568000002</v>
      </c>
      <c r="AD212" s="253">
        <v>-115</v>
      </c>
      <c r="AE212" s="253">
        <v>-85</v>
      </c>
      <c r="AF212" s="253">
        <v>-85</v>
      </c>
      <c r="AG212" s="253">
        <v>-85</v>
      </c>
      <c r="AJ212" s="366">
        <f t="shared" si="113"/>
        <v>-86.730835162666651</v>
      </c>
      <c r="AR212" s="365"/>
    </row>
    <row r="213" spans="1:60">
      <c r="A213" s="240" t="s">
        <v>46</v>
      </c>
      <c r="Z213" s="146"/>
      <c r="AA213" s="146">
        <f>(AA197*0.35)-('[4]Soy Complex-old'!BH267*0.48*1.10231)</f>
        <v>-82.170450175999974</v>
      </c>
      <c r="AB213" s="146">
        <f>(AB197*0.35)-('[4]Soy Complex-old'!BI267*0.48*1.10231)</f>
        <v>-73.929635327999989</v>
      </c>
      <c r="AC213" s="146">
        <f>(AC197*0.35)-('[4]Soy Complex-old'!BJ267*0.48*1.10231)</f>
        <v>-112.52067806399995</v>
      </c>
      <c r="AD213" s="253">
        <v>-110</v>
      </c>
      <c r="AE213" s="253">
        <v>-90</v>
      </c>
      <c r="AF213" s="253">
        <v>-90</v>
      </c>
      <c r="AG213" s="253">
        <v>-90</v>
      </c>
      <c r="AJ213" s="366">
        <f t="shared" si="113"/>
        <v>-89.540254522666643</v>
      </c>
      <c r="AR213" s="365"/>
    </row>
    <row r="214" spans="1:60">
      <c r="A214" s="240" t="s">
        <v>235</v>
      </c>
      <c r="Z214" s="146">
        <f>(Z198*0.35)-('[4]Soy Complex-old'!BG268*0.48*1.10231)</f>
        <v>-96.509291247999982</v>
      </c>
      <c r="AA214" s="146">
        <f>(AA198*0.35)-('[4]Soy Complex-old'!BH268*0.48*1.10231)</f>
        <v>-91.328082799999976</v>
      </c>
      <c r="AB214" s="146">
        <f>(AB198*0.35)-('[4]Soy Complex-old'!BI268*0.48*1.10231)</f>
        <v>-72.932546208000005</v>
      </c>
      <c r="AC214" s="146">
        <f>(AC198*0.35)-('[4]Soy Complex-old'!BJ268*0.48*1.10231)</f>
        <v>-96.14836598399998</v>
      </c>
      <c r="AD214" s="253">
        <v>-100</v>
      </c>
      <c r="AE214" s="253">
        <v>-85</v>
      </c>
      <c r="AF214" s="253">
        <v>-85</v>
      </c>
      <c r="AG214" s="253">
        <v>-85</v>
      </c>
      <c r="AJ214" s="366">
        <f t="shared" si="113"/>
        <v>-86.802998330666654</v>
      </c>
      <c r="AR214" s="365"/>
    </row>
    <row r="215" spans="1:60">
      <c r="A215" s="240" t="s">
        <v>236</v>
      </c>
      <c r="Z215" s="146">
        <f>(Z199*0.35)-('[4]Soy Complex-old'!BG269*0.48*1.10231)</f>
        <v>-92.968429503999943</v>
      </c>
      <c r="AA215" s="146">
        <f>(AA199*0.35)-('[4]Soy Complex-old'!BH269*0.48*1.10231)</f>
        <v>-87.431141775999947</v>
      </c>
      <c r="AB215" s="146">
        <f>(AB199*0.35)-('[4]Soy Complex-old'!BI269*0.48*1.10231)</f>
        <v>-74.302937999999969</v>
      </c>
      <c r="AC215" s="146">
        <f>(AC199*0.35)-('[4]Soy Complex-old'!BJ269*0.48*1.10231)</f>
        <v>-95.246407024000007</v>
      </c>
      <c r="AD215" s="253">
        <v>-100</v>
      </c>
      <c r="AE215" s="253">
        <v>-85</v>
      </c>
      <c r="AF215" s="253">
        <v>-85</v>
      </c>
      <c r="AG215" s="253">
        <v>-85</v>
      </c>
      <c r="AJ215" s="366">
        <f t="shared" si="113"/>
        <v>-85.660162266666646</v>
      </c>
      <c r="AR215" s="365"/>
    </row>
    <row r="216" spans="1:60">
      <c r="A216" s="240" t="s">
        <v>237</v>
      </c>
      <c r="Z216" s="146">
        <f>(Z200*0.35)-('[4]Soy Complex-old'!BG270*0.48*1.10231)</f>
        <v>-90.178675999999967</v>
      </c>
      <c r="AA216" s="146">
        <f>(AA200*0.35)-('[4]Soy Complex-old'!BH270*0.48*1.10231)</f>
        <v>-81.852984895999981</v>
      </c>
      <c r="AB216" s="146">
        <f>(AB200*0.35)-('[4]Soy Complex-old'!BI270*0.48*1.10231)</f>
        <v>-74.786791583999957</v>
      </c>
      <c r="AC216" s="146">
        <f>(AC200*0.35)-('[4]Soy Complex-old'!BJ270*0.48*1.10231)</f>
        <v>-97.482063247999989</v>
      </c>
      <c r="AD216" s="253">
        <v>-95</v>
      </c>
      <c r="AE216" s="253">
        <v>-85</v>
      </c>
      <c r="AF216" s="253">
        <v>-85</v>
      </c>
      <c r="AG216" s="253">
        <v>-85</v>
      </c>
      <c r="AJ216" s="366">
        <f t="shared" si="113"/>
        <v>-84.707279909333309</v>
      </c>
      <c r="AR216" s="365"/>
    </row>
    <row r="217" spans="1:60">
      <c r="A217" s="240" t="s">
        <v>238</v>
      </c>
      <c r="Z217" s="146">
        <f>(Z201*0.35)-('[4]Soy Complex-old'!BG271*0.48*1.10231)</f>
        <v>-89.675913215999969</v>
      </c>
      <c r="AA217" s="146">
        <f>(AA201*0.35)-('[4]Soy Complex-old'!BH271*0.48*1.10231)</f>
        <v>-86.388688015999975</v>
      </c>
      <c r="AB217" s="146">
        <f>(AB201*0.35)-('[4]Soy Complex-old'!BI271*0.48*1.10231)</f>
        <v>-83.559524912000001</v>
      </c>
      <c r="AC217" s="146">
        <f>(AC201*0.35)-('[4]Soy Complex-old'!BJ271*0.48*1.10231)</f>
        <v>-85.525328239999993</v>
      </c>
      <c r="AD217" s="253">
        <v>-90</v>
      </c>
      <c r="AE217" s="253">
        <v>-85</v>
      </c>
      <c r="AF217" s="253">
        <v>-85</v>
      </c>
      <c r="AG217" s="253">
        <v>-85</v>
      </c>
      <c r="AJ217" s="366">
        <f t="shared" si="113"/>
        <v>-85.157847055999994</v>
      </c>
      <c r="AR217" s="365"/>
    </row>
    <row r="218" spans="1:60" ht="15.75" thickBot="1">
      <c r="A218" s="240" t="s">
        <v>255</v>
      </c>
      <c r="Z218" s="146"/>
      <c r="AA218" s="146">
        <f>AVERAGE(AA206:AA217)</f>
        <v>-87.66059650733331</v>
      </c>
      <c r="AB218" s="146">
        <f t="shared" ref="AB218:AG218" si="114">AVERAGE(AB206:AB217)</f>
        <v>-82.109752266666646</v>
      </c>
      <c r="AC218" s="146">
        <f t="shared" si="114"/>
        <v>-100.32883999466664</v>
      </c>
      <c r="AD218" s="253">
        <f t="shared" si="114"/>
        <v>-107.16949834</v>
      </c>
      <c r="AE218" s="253">
        <f t="shared" si="114"/>
        <v>-89.166666666666671</v>
      </c>
      <c r="AF218" s="253">
        <f t="shared" si="114"/>
        <v>-89.166666666666671</v>
      </c>
      <c r="AG218" s="253">
        <f t="shared" si="114"/>
        <v>-89.166666666666671</v>
      </c>
      <c r="AJ218" s="366">
        <f t="shared" si="113"/>
        <v>-90.03306292288886</v>
      </c>
      <c r="AR218" s="365"/>
    </row>
    <row r="219" spans="1:60">
      <c r="A219" s="248"/>
      <c r="B219" s="248"/>
      <c r="C219" s="248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  <c r="AA219" s="248"/>
      <c r="AB219" s="248"/>
      <c r="AC219" s="248"/>
      <c r="AD219" s="248"/>
      <c r="AE219" s="248"/>
      <c r="AF219" s="248"/>
      <c r="AG219" s="248"/>
      <c r="AR219" s="365"/>
    </row>
    <row r="220" spans="1:60" ht="15.75" thickBot="1">
      <c r="A220" s="235" t="s">
        <v>262</v>
      </c>
      <c r="AR220" t="s">
        <v>355</v>
      </c>
      <c r="BB220" t="s">
        <v>356</v>
      </c>
    </row>
    <row r="221" spans="1:60" ht="15.75" thickBot="1">
      <c r="A221" s="236"/>
      <c r="B221" s="237" t="str">
        <f>B$2</f>
        <v xml:space="preserve">93/94 </v>
      </c>
      <c r="C221" s="237" t="str">
        <f t="shared" ref="C221:AG221" si="115">C$2</f>
        <v xml:space="preserve">94/95 </v>
      </c>
      <c r="D221" s="237" t="str">
        <f t="shared" si="115"/>
        <v xml:space="preserve">95/96 </v>
      </c>
      <c r="E221" s="237" t="str">
        <f t="shared" si="115"/>
        <v xml:space="preserve">96/97 </v>
      </c>
      <c r="F221" s="237" t="str">
        <f t="shared" si="115"/>
        <v xml:space="preserve">97/98 </v>
      </c>
      <c r="G221" s="237" t="str">
        <f t="shared" si="115"/>
        <v xml:space="preserve">98/99 </v>
      </c>
      <c r="H221" s="237" t="str">
        <f t="shared" si="115"/>
        <v xml:space="preserve">99/00 </v>
      </c>
      <c r="I221" s="237" t="str">
        <f t="shared" si="115"/>
        <v xml:space="preserve">00/01 </v>
      </c>
      <c r="J221" s="237" t="str">
        <f t="shared" si="115"/>
        <v xml:space="preserve">01/02 </v>
      </c>
      <c r="K221" s="237" t="str">
        <f t="shared" si="115"/>
        <v xml:space="preserve">02/03 </v>
      </c>
      <c r="L221" s="237" t="str">
        <f t="shared" si="115"/>
        <v xml:space="preserve">03/04 </v>
      </c>
      <c r="M221" s="237" t="str">
        <f t="shared" si="115"/>
        <v xml:space="preserve">04/05 </v>
      </c>
      <c r="N221" s="237" t="str">
        <f t="shared" si="115"/>
        <v xml:space="preserve">05/06 </v>
      </c>
      <c r="O221" s="237" t="str">
        <f t="shared" si="115"/>
        <v xml:space="preserve">06/07 </v>
      </c>
      <c r="P221" s="237" t="str">
        <f t="shared" si="115"/>
        <v xml:space="preserve">07/08 </v>
      </c>
      <c r="Q221" s="237" t="str">
        <f t="shared" si="115"/>
        <v xml:space="preserve">08/09 </v>
      </c>
      <c r="R221" s="237" t="str">
        <f t="shared" si="115"/>
        <v xml:space="preserve">09/10 </v>
      </c>
      <c r="S221" s="237" t="str">
        <f t="shared" si="115"/>
        <v xml:space="preserve">10/11 </v>
      </c>
      <c r="T221" s="237" t="str">
        <f t="shared" si="115"/>
        <v xml:space="preserve">11/12 </v>
      </c>
      <c r="U221" s="237" t="str">
        <f t="shared" si="115"/>
        <v xml:space="preserve">12/13 </v>
      </c>
      <c r="V221" s="237" t="str">
        <f t="shared" si="115"/>
        <v xml:space="preserve">13/14 </v>
      </c>
      <c r="W221" s="237" t="str">
        <f t="shared" si="115"/>
        <v xml:space="preserve">14/15 </v>
      </c>
      <c r="X221" s="237" t="str">
        <f t="shared" si="115"/>
        <v xml:space="preserve">15/16 </v>
      </c>
      <c r="Y221" s="237" t="str">
        <f t="shared" si="115"/>
        <v xml:space="preserve">16/17 </v>
      </c>
      <c r="Z221" s="237" t="str">
        <f t="shared" si="115"/>
        <v xml:space="preserve">17/18 </v>
      </c>
      <c r="AA221" s="237" t="str">
        <f t="shared" si="115"/>
        <v xml:space="preserve">18/19 </v>
      </c>
      <c r="AB221" s="237" t="str">
        <f t="shared" si="115"/>
        <v xml:space="preserve">19/20 </v>
      </c>
      <c r="AC221" s="237" t="str">
        <f t="shared" si="115"/>
        <v xml:space="preserve">20/21 </v>
      </c>
      <c r="AD221" s="237" t="str">
        <f t="shared" si="115"/>
        <v>21/22</v>
      </c>
      <c r="AE221" s="237" t="str">
        <f t="shared" si="115"/>
        <v>22/23</v>
      </c>
      <c r="AF221" s="237" t="str">
        <f t="shared" si="115"/>
        <v>23/24</v>
      </c>
      <c r="AG221" s="237" t="str">
        <f t="shared" si="115"/>
        <v>24/25</v>
      </c>
      <c r="AR221">
        <v>2017</v>
      </c>
      <c r="AS221">
        <v>2018</v>
      </c>
      <c r="AT221">
        <v>2019</v>
      </c>
      <c r="AU221">
        <v>2020</v>
      </c>
      <c r="AV221">
        <v>2021</v>
      </c>
      <c r="AW221" s="367">
        <f>(AV234-SUM(AV222:AV228))/(COUNT(AV222:AV233)-1)</f>
        <v>-7.431630000000041</v>
      </c>
      <c r="AX221" t="s">
        <v>357</v>
      </c>
      <c r="BB221">
        <v>2017</v>
      </c>
      <c r="BC221">
        <v>2018</v>
      </c>
      <c r="BD221">
        <v>2019</v>
      </c>
      <c r="BE221">
        <v>2020</v>
      </c>
      <c r="BF221">
        <v>2021</v>
      </c>
      <c r="BG221" s="367">
        <f>(BF234-SUM(BF222:BF228))/(COUNT(BF222:BF233)-1)</f>
        <v>-2.9999999998153726E-5</v>
      </c>
      <c r="BH221" t="s">
        <v>357</v>
      </c>
    </row>
    <row r="222" spans="1:60">
      <c r="A222" s="240" t="s">
        <v>239</v>
      </c>
      <c r="B222" s="290">
        <f>(SUM(D222:H222)/SUM(D$234:H$234))*B$234</f>
        <v>112.97081194787879</v>
      </c>
      <c r="C222" s="251">
        <v>87.325019313541546</v>
      </c>
      <c r="D222" s="251">
        <v>119.22828966735359</v>
      </c>
      <c r="E222" s="251">
        <v>72.990825688073386</v>
      </c>
      <c r="F222" s="251">
        <v>91.543345008756575</v>
      </c>
      <c r="G222" s="251">
        <v>99.774368231046921</v>
      </c>
      <c r="H222" s="251">
        <v>105.16871774513696</v>
      </c>
      <c r="I222" s="251">
        <v>129.80931800501338</v>
      </c>
      <c r="J222" s="251">
        <v>107.47653211167774</v>
      </c>
      <c r="K222" s="251">
        <v>138.18411271501424</v>
      </c>
      <c r="L222" s="251">
        <v>130.19999999999999</v>
      </c>
      <c r="M222" s="251">
        <v>114.1</v>
      </c>
      <c r="N222" s="251">
        <v>157.30000000000001</v>
      </c>
      <c r="O222" s="251">
        <v>185.1</v>
      </c>
      <c r="P222" s="251">
        <v>195.5</v>
      </c>
      <c r="Q222" s="251">
        <v>200.5</v>
      </c>
      <c r="R222" s="251">
        <v>274.39999999999998</v>
      </c>
      <c r="S222" s="251">
        <v>292.8</v>
      </c>
      <c r="T222" s="251">
        <v>338.5</v>
      </c>
      <c r="U222" s="251">
        <v>356.7</v>
      </c>
      <c r="V222" s="251">
        <v>395</v>
      </c>
      <c r="W222" s="251">
        <v>388</v>
      </c>
      <c r="X222" s="251">
        <v>393</v>
      </c>
      <c r="Y222" s="251">
        <v>516</v>
      </c>
      <c r="Z222" s="251">
        <f>AR231</f>
        <v>559.66899999999998</v>
      </c>
      <c r="AA222" s="252">
        <f t="shared" ref="AA222:AG222" si="116">AA318-Z329+AA286-AA270+AA302</f>
        <v>589.17513958333336</v>
      </c>
      <c r="AB222" s="252">
        <f t="shared" si="116"/>
        <v>604.2216960833332</v>
      </c>
      <c r="AC222" s="252">
        <f t="shared" si="116"/>
        <v>672.8212258333333</v>
      </c>
      <c r="AD222" s="252">
        <f t="shared" si="116"/>
        <v>446.14291666666674</v>
      </c>
      <c r="AE222" s="252">
        <f t="shared" si="116"/>
        <v>478.71068666666679</v>
      </c>
      <c r="AF222" s="252">
        <f t="shared" si="116"/>
        <v>497.657061</v>
      </c>
      <c r="AG222" s="252">
        <f t="shared" si="116"/>
        <v>541.2940847886623</v>
      </c>
      <c r="AI222" s="252"/>
      <c r="AJ222" s="252"/>
      <c r="AK222" s="368"/>
      <c r="AL222" s="368"/>
      <c r="AM222" s="368"/>
      <c r="AN222" s="368"/>
      <c r="AO222" s="252"/>
      <c r="AP222" s="252"/>
      <c r="AQ222" s="240" t="s">
        <v>231</v>
      </c>
      <c r="AR222" s="264">
        <v>483</v>
      </c>
      <c r="AS222" s="264">
        <f>434.358+0.4065-0.00367</f>
        <v>434.76083</v>
      </c>
      <c r="AV222">
        <f>477.2351+0.0652+10.6166</f>
        <v>487.9169</v>
      </c>
      <c r="BA222" s="240" t="s">
        <v>231</v>
      </c>
      <c r="BB222" s="264"/>
      <c r="BC222" s="264"/>
      <c r="BF222">
        <f>56.7921-0.2286</f>
        <v>56.563499999999998</v>
      </c>
    </row>
    <row r="223" spans="1:60">
      <c r="A223" s="240" t="s">
        <v>240</v>
      </c>
      <c r="B223" s="290">
        <f t="shared" ref="B223:B233" si="117">(SUM(D223:H223)/SUM(D$234:H$234))*B$234</f>
        <v>108.28291843714672</v>
      </c>
      <c r="C223" s="251">
        <v>83.864032667475996</v>
      </c>
      <c r="D223" s="251">
        <v>114.92552251987048</v>
      </c>
      <c r="E223" s="251">
        <v>77.614678899082563</v>
      </c>
      <c r="F223" s="251">
        <v>97.531085814360793</v>
      </c>
      <c r="G223" s="251">
        <v>86.2292418772563</v>
      </c>
      <c r="H223" s="251">
        <v>92.125446605795958</v>
      </c>
      <c r="I223" s="251">
        <v>124.66453453193881</v>
      </c>
      <c r="J223" s="251">
        <v>103.21687267698159</v>
      </c>
      <c r="K223" s="251">
        <v>132.70740772754775</v>
      </c>
      <c r="L223" s="251">
        <v>127.3</v>
      </c>
      <c r="M223" s="251">
        <v>115.4</v>
      </c>
      <c r="N223" s="251">
        <v>162.69999999999999</v>
      </c>
      <c r="O223" s="251">
        <v>183.2</v>
      </c>
      <c r="P223" s="251">
        <v>187.8</v>
      </c>
      <c r="Q223" s="251">
        <v>211.1</v>
      </c>
      <c r="R223" s="251">
        <v>269.7</v>
      </c>
      <c r="S223" s="251">
        <v>296.8</v>
      </c>
      <c r="T223" s="251">
        <v>343.6</v>
      </c>
      <c r="U223" s="251">
        <v>334</v>
      </c>
      <c r="V223" s="251">
        <v>379.6</v>
      </c>
      <c r="W223" s="251">
        <v>397</v>
      </c>
      <c r="X223" s="251">
        <v>360</v>
      </c>
      <c r="Y223" s="251">
        <v>529</v>
      </c>
      <c r="Z223" s="251">
        <f>AR232</f>
        <v>542.42499999999995</v>
      </c>
      <c r="AA223" s="252">
        <f t="shared" ref="AA223:AG233" si="118">AA319-AA318+AA287-AA271+AA303</f>
        <v>603.1698478141027</v>
      </c>
      <c r="AB223" s="252">
        <f t="shared" si="118"/>
        <v>678.65279292948708</v>
      </c>
      <c r="AC223" s="252">
        <f>AC319-AC318+AC287-AC271+AC303</f>
        <v>911.02931975641036</v>
      </c>
      <c r="AD223" s="252">
        <f>AD319-AD318+AD287-AD271+AD303</f>
        <v>637.08414743589765</v>
      </c>
      <c r="AE223" s="252">
        <f>AE319-AE318+AE287-AE271+AE303</f>
        <v>505.26484051282063</v>
      </c>
      <c r="AF223" s="252">
        <f>AF319-AF318+AF287-AF271+AF303</f>
        <v>592.29801192307696</v>
      </c>
      <c r="AG223" s="252">
        <f>AG319-AG318+AG287-AG271+AG303</f>
        <v>655.07179401662074</v>
      </c>
      <c r="AI223" s="252"/>
      <c r="AJ223" s="252"/>
      <c r="AK223" s="368"/>
      <c r="AL223" s="368"/>
      <c r="AM223" s="368"/>
      <c r="AN223" s="368"/>
      <c r="AO223" s="252"/>
      <c r="AP223" s="252"/>
      <c r="AQ223" s="240" t="s">
        <v>232</v>
      </c>
      <c r="AR223" s="264">
        <v>448</v>
      </c>
      <c r="AS223" s="264">
        <f>426.962+0.4065-0.00367</f>
        <v>427.36482999999998</v>
      </c>
      <c r="AV223">
        <f>428.1755+0.0652+10.6166</f>
        <v>438.85730000000001</v>
      </c>
      <c r="BA223" s="240" t="s">
        <v>232</v>
      </c>
      <c r="BB223" s="264"/>
      <c r="BC223" s="264"/>
      <c r="BF223">
        <f>56.5708-0.2286</f>
        <v>56.342199999999998</v>
      </c>
    </row>
    <row r="224" spans="1:60">
      <c r="A224" s="240" t="s">
        <v>241</v>
      </c>
      <c r="B224" s="290">
        <f t="shared" si="117"/>
        <v>102.88621572208635</v>
      </c>
      <c r="C224" s="251">
        <v>79.061913696060031</v>
      </c>
      <c r="D224" s="251">
        <v>125.05784515749191</v>
      </c>
      <c r="E224" s="251">
        <v>65.394495412844023</v>
      </c>
      <c r="F224" s="251">
        <v>73.925569176882675</v>
      </c>
      <c r="G224" s="251">
        <v>81.996389891696737</v>
      </c>
      <c r="H224" s="251">
        <v>98.705835649067083</v>
      </c>
      <c r="I224" s="251">
        <v>117.52614746304779</v>
      </c>
      <c r="J224" s="251">
        <v>97.30659521134065</v>
      </c>
      <c r="K224" s="251">
        <v>125.10847955743797</v>
      </c>
      <c r="L224" s="251">
        <v>133.69999999999999</v>
      </c>
      <c r="M224" s="251">
        <v>110.9</v>
      </c>
      <c r="N224" s="251">
        <v>167.9</v>
      </c>
      <c r="O224" s="251">
        <v>190</v>
      </c>
      <c r="P224" s="251">
        <v>199.4</v>
      </c>
      <c r="Q224" s="251">
        <v>232.7</v>
      </c>
      <c r="R224" s="251">
        <v>282.3</v>
      </c>
      <c r="S224" s="251">
        <v>304</v>
      </c>
      <c r="T224" s="251">
        <v>367.4</v>
      </c>
      <c r="U224" s="251">
        <v>345.1</v>
      </c>
      <c r="V224" s="251">
        <v>395.5</v>
      </c>
      <c r="W224" s="251">
        <v>380</v>
      </c>
      <c r="X224" s="251">
        <v>363</v>
      </c>
      <c r="Y224" s="251">
        <v>557</v>
      </c>
      <c r="Z224" s="251">
        <f>AR233</f>
        <v>476.74400000000003</v>
      </c>
      <c r="AA224" s="252">
        <f>AA320-AA319+AA288-AA272+AA304</f>
        <v>621.05126881410274</v>
      </c>
      <c r="AB224" s="252">
        <f t="shared" si="118"/>
        <v>634.75370292948708</v>
      </c>
      <c r="AC224" s="252">
        <f t="shared" si="118"/>
        <v>748.44916775641036</v>
      </c>
      <c r="AD224" s="252">
        <f t="shared" si="118"/>
        <v>688.20414743589743</v>
      </c>
      <c r="AE224" s="252">
        <f t="shared" si="118"/>
        <v>462.17484051282065</v>
      </c>
      <c r="AF224" s="252">
        <f t="shared" si="118"/>
        <v>347.98849592307693</v>
      </c>
      <c r="AG224" s="252">
        <f t="shared" si="118"/>
        <v>618.59733805753535</v>
      </c>
      <c r="AI224" s="252"/>
      <c r="AJ224" s="252"/>
      <c r="AK224" s="368"/>
      <c r="AL224" s="368"/>
      <c r="AM224" s="368"/>
      <c r="AN224" s="368"/>
      <c r="AO224" s="252"/>
      <c r="AP224" s="252"/>
      <c r="AQ224" s="240" t="s">
        <v>233</v>
      </c>
      <c r="AR224" s="264">
        <v>517</v>
      </c>
      <c r="AS224" s="264">
        <f>417.108-0.00367</f>
        <v>417.10433</v>
      </c>
      <c r="AV224">
        <f>475.9994+0.0652+10.6166</f>
        <v>486.68119999999999</v>
      </c>
      <c r="BA224" s="240" t="s">
        <v>233</v>
      </c>
      <c r="BB224" s="264"/>
      <c r="BC224" s="264"/>
      <c r="BF224">
        <f>59.3443-0.2286</f>
        <v>59.115699999999997</v>
      </c>
    </row>
    <row r="225" spans="1:58">
      <c r="A225" s="240" t="s">
        <v>231</v>
      </c>
      <c r="B225" s="290">
        <f t="shared" si="117"/>
        <v>75.124724056304302</v>
      </c>
      <c r="C225" s="251">
        <v>56.998123827392114</v>
      </c>
      <c r="D225" s="251">
        <v>96.742861348248482</v>
      </c>
      <c r="E225" s="251">
        <v>38.024193548387096</v>
      </c>
      <c r="F225" s="251">
        <v>57.673357664233578</v>
      </c>
      <c r="G225" s="251">
        <v>58.617721518987338</v>
      </c>
      <c r="H225" s="251">
        <v>73.927308447937122</v>
      </c>
      <c r="I225" s="251">
        <v>111.78787878787878</v>
      </c>
      <c r="J225" s="251">
        <v>87.833333333333329</v>
      </c>
      <c r="K225" s="251">
        <v>124.9</v>
      </c>
      <c r="L225" s="251">
        <v>122.9</v>
      </c>
      <c r="M225" s="251">
        <v>112.7</v>
      </c>
      <c r="N225" s="251">
        <v>169.6</v>
      </c>
      <c r="O225" s="251">
        <v>201.4</v>
      </c>
      <c r="P225" s="251">
        <v>211.6</v>
      </c>
      <c r="Q225" s="251">
        <v>237</v>
      </c>
      <c r="R225" s="251">
        <v>269.3</v>
      </c>
      <c r="S225" s="251">
        <v>310.8</v>
      </c>
      <c r="T225" s="251">
        <v>336.6</v>
      </c>
      <c r="U225" s="251">
        <v>341.5</v>
      </c>
      <c r="V225" s="251">
        <v>362</v>
      </c>
      <c r="W225" s="251">
        <v>333</v>
      </c>
      <c r="X225" s="251">
        <v>315</v>
      </c>
      <c r="Y225" s="251">
        <v>483</v>
      </c>
      <c r="Z225" s="251">
        <f>AS222</f>
        <v>434.76083</v>
      </c>
      <c r="AA225" s="252">
        <f t="shared" ref="Z225:AB233" si="119">AA321-AA320+AA289-AA273+AA305</f>
        <v>524.08605481410268</v>
      </c>
      <c r="AB225" s="252">
        <f t="shared" si="118"/>
        <v>632.82096892948698</v>
      </c>
      <c r="AC225" s="251">
        <f>AV222</f>
        <v>487.9169</v>
      </c>
      <c r="AD225" s="252">
        <f t="shared" si="118"/>
        <v>608.27014743589746</v>
      </c>
      <c r="AE225" s="252">
        <f t="shared" si="118"/>
        <v>415.75784051282056</v>
      </c>
      <c r="AF225" s="252">
        <f t="shared" si="118"/>
        <v>266.73368992307689</v>
      </c>
      <c r="AG225" s="252">
        <f t="shared" si="118"/>
        <v>550.54287163320555</v>
      </c>
      <c r="AI225" s="252"/>
      <c r="AJ225" s="252"/>
      <c r="AK225" s="368"/>
      <c r="AL225" s="368"/>
      <c r="AM225" s="368"/>
      <c r="AN225" s="368"/>
      <c r="AO225" s="252"/>
      <c r="AP225" s="252"/>
      <c r="AQ225" s="240" t="s">
        <v>234</v>
      </c>
      <c r="AR225" s="264">
        <v>455</v>
      </c>
      <c r="AS225" s="264">
        <v>450.03</v>
      </c>
      <c r="AV225">
        <f>386.0432+0.0652+10.6166</f>
        <v>396.72500000000002</v>
      </c>
      <c r="BA225" s="240" t="s">
        <v>234</v>
      </c>
      <c r="BB225" s="264"/>
      <c r="BC225" s="264"/>
      <c r="BF225">
        <f>57.9056-0.2286</f>
        <v>57.677</v>
      </c>
    </row>
    <row r="226" spans="1:58">
      <c r="A226" s="240" t="s">
        <v>232</v>
      </c>
      <c r="B226" s="290">
        <f t="shared" si="117"/>
        <v>68.721943012945516</v>
      </c>
      <c r="C226" s="251">
        <v>52.542103520582721</v>
      </c>
      <c r="D226" s="251">
        <v>82.168972622902587</v>
      </c>
      <c r="E226" s="251">
        <v>43.820564516129039</v>
      </c>
      <c r="F226" s="251">
        <v>39.782846715328468</v>
      </c>
      <c r="G226" s="251">
        <v>50.483544303797473</v>
      </c>
      <c r="H226" s="251">
        <v>81.031434184675831</v>
      </c>
      <c r="I226" s="251">
        <v>103.04848484848485</v>
      </c>
      <c r="J226" s="251">
        <v>80.966666666666669</v>
      </c>
      <c r="K226" s="251">
        <v>108.6</v>
      </c>
      <c r="L226" s="251">
        <v>114.3</v>
      </c>
      <c r="M226" s="251">
        <v>98</v>
      </c>
      <c r="N226" s="251">
        <v>161.9</v>
      </c>
      <c r="O226" s="251">
        <v>176</v>
      </c>
      <c r="P226" s="251">
        <v>170.6</v>
      </c>
      <c r="Q226" s="251">
        <v>216</v>
      </c>
      <c r="R226" s="251">
        <v>243</v>
      </c>
      <c r="S226" s="251">
        <v>282.60000000000002</v>
      </c>
      <c r="T226" s="251">
        <v>299.39999999999998</v>
      </c>
      <c r="U226" s="251">
        <v>313.7</v>
      </c>
      <c r="V226" s="251">
        <v>341</v>
      </c>
      <c r="W226" s="251">
        <v>315</v>
      </c>
      <c r="X226" s="251">
        <v>373</v>
      </c>
      <c r="Y226" s="251">
        <v>448</v>
      </c>
      <c r="Z226" s="251">
        <f>AS223</f>
        <v>427.36482999999998</v>
      </c>
      <c r="AA226" s="252">
        <f t="shared" si="119"/>
        <v>589.21833881410271</v>
      </c>
      <c r="AB226" s="252">
        <f t="shared" si="118"/>
        <v>678.65033192948704</v>
      </c>
      <c r="AC226" s="251">
        <f t="shared" ref="AC226:AC233" si="120">AV223</f>
        <v>438.85730000000001</v>
      </c>
      <c r="AD226" s="252">
        <f t="shared" si="118"/>
        <v>417.48214743589756</v>
      </c>
      <c r="AE226" s="252">
        <f t="shared" si="118"/>
        <v>428.66284051282065</v>
      </c>
      <c r="AF226" s="252">
        <f t="shared" si="118"/>
        <v>603.36013792307688</v>
      </c>
      <c r="AG226" s="252">
        <f t="shared" si="118"/>
        <v>537.60966213404311</v>
      </c>
      <c r="AI226" s="252"/>
      <c r="AJ226" s="252"/>
      <c r="AK226" s="368"/>
      <c r="AL226" s="368"/>
      <c r="AM226" s="368"/>
      <c r="AN226" s="368"/>
      <c r="AO226" s="252"/>
      <c r="AP226" s="252"/>
      <c r="AQ226" s="240" t="s">
        <v>46</v>
      </c>
      <c r="AR226" s="264">
        <v>442.49099999999999</v>
      </c>
      <c r="AS226" s="264"/>
      <c r="AV226">
        <f>294.1899+0.0652+10.6166</f>
        <v>304.87170000000003</v>
      </c>
      <c r="BA226" s="240" t="s">
        <v>46</v>
      </c>
      <c r="BB226" s="264"/>
      <c r="BC226" s="264"/>
      <c r="BF226">
        <f>54.1989-0.2286</f>
        <v>53.970300000000002</v>
      </c>
    </row>
    <row r="227" spans="1:58">
      <c r="A227" s="240" t="s">
        <v>233</v>
      </c>
      <c r="B227" s="290">
        <f t="shared" si="117"/>
        <v>62.76638107999652</v>
      </c>
      <c r="C227" s="251">
        <v>47.502041717249753</v>
      </c>
      <c r="D227" s="251">
        <v>91.884898439799855</v>
      </c>
      <c r="E227" s="251">
        <v>33.155241935483872</v>
      </c>
      <c r="F227" s="251">
        <v>31.543795620437962</v>
      </c>
      <c r="G227" s="251">
        <v>43.898734177215189</v>
      </c>
      <c r="H227" s="251">
        <v>71.041257367387033</v>
      </c>
      <c r="I227" s="251">
        <v>93.163636363636371</v>
      </c>
      <c r="J227" s="251">
        <v>73.2</v>
      </c>
      <c r="K227" s="251">
        <v>127.1</v>
      </c>
      <c r="L227" s="251">
        <v>120.7</v>
      </c>
      <c r="M227" s="251">
        <v>112.1</v>
      </c>
      <c r="N227" s="251">
        <v>181</v>
      </c>
      <c r="O227" s="251">
        <v>194.9</v>
      </c>
      <c r="P227" s="251">
        <v>169.5</v>
      </c>
      <c r="Q227" s="251">
        <v>243.3</v>
      </c>
      <c r="R227" s="251">
        <v>265.2</v>
      </c>
      <c r="S227" s="251">
        <v>301.89999999999998</v>
      </c>
      <c r="T227" s="251">
        <v>327.2</v>
      </c>
      <c r="U227" s="251">
        <v>307.39999999999998</v>
      </c>
      <c r="V227" s="251">
        <v>405</v>
      </c>
      <c r="W227" s="251">
        <v>349</v>
      </c>
      <c r="X227" s="251">
        <v>365</v>
      </c>
      <c r="Y227" s="251">
        <v>517</v>
      </c>
      <c r="Z227" s="251">
        <f>AS224</f>
        <v>417.10433</v>
      </c>
      <c r="AA227" s="252">
        <f t="shared" si="119"/>
        <v>660.48994081410262</v>
      </c>
      <c r="AB227" s="252">
        <f t="shared" si="118"/>
        <v>659.38067792948709</v>
      </c>
      <c r="AC227" s="251">
        <f t="shared" si="120"/>
        <v>486.68119999999999</v>
      </c>
      <c r="AD227" s="252">
        <f t="shared" si="118"/>
        <v>116.08714743589753</v>
      </c>
      <c r="AE227" s="252">
        <f t="shared" si="118"/>
        <v>546.58884051282052</v>
      </c>
      <c r="AF227" s="252">
        <f t="shared" si="118"/>
        <v>665.97004692307689</v>
      </c>
      <c r="AG227" s="252">
        <f t="shared" si="118"/>
        <v>490.14276379887377</v>
      </c>
      <c r="AI227" s="252"/>
      <c r="AJ227" s="252"/>
      <c r="AK227" s="368"/>
      <c r="AL227" s="368"/>
      <c r="AM227" s="368"/>
      <c r="AN227" s="368"/>
      <c r="AO227" s="252"/>
      <c r="AP227" s="252"/>
      <c r="AQ227" s="240" t="s">
        <v>235</v>
      </c>
      <c r="AR227" s="264">
        <v>393.17500000000001</v>
      </c>
      <c r="AS227" s="264"/>
      <c r="AV227">
        <f>242.8907+0.0652+10.6166</f>
        <v>253.57250000000002</v>
      </c>
      <c r="BA227" s="240" t="s">
        <v>235</v>
      </c>
      <c r="BB227" s="264"/>
      <c r="BC227" s="264"/>
      <c r="BF227">
        <f>55.0924-0.2286</f>
        <v>54.863799999999998</v>
      </c>
    </row>
    <row r="228" spans="1:58">
      <c r="A228" s="240" t="s">
        <v>234</v>
      </c>
      <c r="B228" s="290">
        <f t="shared" si="117"/>
        <v>57.820206259373094</v>
      </c>
      <c r="C228" s="251">
        <v>43.283964242357357</v>
      </c>
      <c r="D228" s="251">
        <v>83.001766264350906</v>
      </c>
      <c r="E228" s="251">
        <v>26.620390455531453</v>
      </c>
      <c r="F228" s="251">
        <v>24.470899470899472</v>
      </c>
      <c r="G228" s="251">
        <v>39.66101694915254</v>
      </c>
      <c r="H228" s="251">
        <v>76.372972972972974</v>
      </c>
      <c r="I228" s="251">
        <v>70.861025324274237</v>
      </c>
      <c r="J228" s="251">
        <v>78.276714021000615</v>
      </c>
      <c r="K228" s="251">
        <v>117.8</v>
      </c>
      <c r="L228" s="251">
        <v>117.4</v>
      </c>
      <c r="M228" s="251">
        <v>111.9</v>
      </c>
      <c r="N228" s="251">
        <v>177.9</v>
      </c>
      <c r="O228" s="251">
        <v>192.2</v>
      </c>
      <c r="P228" s="251">
        <v>124.9</v>
      </c>
      <c r="Q228" s="251">
        <v>238.6</v>
      </c>
      <c r="R228" s="251">
        <v>261.2</v>
      </c>
      <c r="S228" s="251">
        <v>272.3</v>
      </c>
      <c r="T228" s="251">
        <v>312.39999999999998</v>
      </c>
      <c r="U228" s="251">
        <v>242.9</v>
      </c>
      <c r="V228" s="251">
        <v>382</v>
      </c>
      <c r="W228" s="251">
        <v>300</v>
      </c>
      <c r="X228" s="251">
        <v>385</v>
      </c>
      <c r="Y228" s="251">
        <v>455</v>
      </c>
      <c r="Z228" s="251">
        <f>AS225</f>
        <v>450.03</v>
      </c>
      <c r="AA228" s="252">
        <f t="shared" si="119"/>
        <v>527.92494081410268</v>
      </c>
      <c r="AB228" s="252">
        <f t="shared" si="118"/>
        <v>768.17875192948702</v>
      </c>
      <c r="AC228" s="251">
        <f t="shared" si="120"/>
        <v>396.72500000000002</v>
      </c>
      <c r="AD228" s="252">
        <f t="shared" si="118"/>
        <v>149.52114743589755</v>
      </c>
      <c r="AE228" s="252">
        <f t="shared" si="118"/>
        <v>564.19984051282051</v>
      </c>
      <c r="AF228" s="252">
        <f t="shared" si="118"/>
        <v>527.46605422961125</v>
      </c>
      <c r="AG228" s="252">
        <f t="shared" si="118"/>
        <v>497.72673056348629</v>
      </c>
      <c r="AI228" s="252"/>
      <c r="AJ228" s="252"/>
      <c r="AK228" s="368"/>
      <c r="AL228" s="368"/>
      <c r="AM228" s="368"/>
      <c r="AN228" s="368"/>
      <c r="AO228" s="252"/>
      <c r="AP228" s="252"/>
      <c r="AQ228" s="240" t="s">
        <v>236</v>
      </c>
      <c r="AR228" s="264">
        <v>337.41500000000002</v>
      </c>
      <c r="AS228" s="264"/>
      <c r="AV228">
        <f>141.342+10.6166</f>
        <v>151.95860000000002</v>
      </c>
      <c r="BA228" s="240" t="s">
        <v>236</v>
      </c>
      <c r="BB228" s="264"/>
      <c r="BC228" s="264"/>
      <c r="BF228">
        <v>58.437800000000003</v>
      </c>
    </row>
    <row r="229" spans="1:58">
      <c r="A229" s="240" t="s">
        <v>46</v>
      </c>
      <c r="B229" s="290">
        <f t="shared" si="117"/>
        <v>46.441205040110667</v>
      </c>
      <c r="C229" s="251">
        <v>34.761284626420917</v>
      </c>
      <c r="D229" s="251">
        <v>79.115395937592012</v>
      </c>
      <c r="E229" s="251">
        <v>16.253796095444685</v>
      </c>
      <c r="F229" s="251">
        <v>17.195767195767196</v>
      </c>
      <c r="G229" s="251">
        <v>23.796610169491526</v>
      </c>
      <c r="H229" s="251">
        <v>64.540540540540547</v>
      </c>
      <c r="I229" s="251">
        <v>56.908379658225229</v>
      </c>
      <c r="J229" s="251">
        <v>62.863907761992984</v>
      </c>
      <c r="K229" s="251">
        <v>118</v>
      </c>
      <c r="L229" s="251">
        <v>126.7</v>
      </c>
      <c r="M229" s="251">
        <v>99.3</v>
      </c>
      <c r="N229" s="251">
        <v>182.2</v>
      </c>
      <c r="O229" s="251">
        <v>207.7</v>
      </c>
      <c r="P229" s="251">
        <v>111.2</v>
      </c>
      <c r="Q229" s="251">
        <v>242.7</v>
      </c>
      <c r="R229" s="251">
        <v>263.60000000000002</v>
      </c>
      <c r="S229" s="251">
        <v>273.89999999999998</v>
      </c>
      <c r="T229" s="251">
        <v>321.10000000000002</v>
      </c>
      <c r="U229" s="251">
        <v>210.9</v>
      </c>
      <c r="V229" s="251">
        <v>398</v>
      </c>
      <c r="W229" s="251">
        <v>280</v>
      </c>
      <c r="X229" s="251">
        <v>358</v>
      </c>
      <c r="Y229" s="251">
        <f>AR226</f>
        <v>442.49099999999999</v>
      </c>
      <c r="Z229" s="252">
        <f t="shared" si="119"/>
        <v>492.41358509615372</v>
      </c>
      <c r="AA229" s="252">
        <f t="shared" si="119"/>
        <v>614.14084681410259</v>
      </c>
      <c r="AB229" s="252">
        <f t="shared" si="118"/>
        <v>690.77622492948706</v>
      </c>
      <c r="AC229" s="251">
        <f t="shared" si="120"/>
        <v>304.87170000000003</v>
      </c>
      <c r="AD229" s="252">
        <f t="shared" si="118"/>
        <v>187.60814743589754</v>
      </c>
      <c r="AE229" s="252">
        <f t="shared" si="118"/>
        <v>475.33684051282063</v>
      </c>
      <c r="AF229" s="252">
        <f t="shared" si="118"/>
        <v>530.97112198477726</v>
      </c>
      <c r="AG229" s="252">
        <f t="shared" si="118"/>
        <v>511.42163960800048</v>
      </c>
      <c r="AI229" s="252"/>
      <c r="AJ229" s="252"/>
      <c r="AK229" s="368"/>
      <c r="AL229" s="368"/>
      <c r="AM229" s="368"/>
      <c r="AN229" s="368"/>
      <c r="AO229" s="252"/>
      <c r="AP229" s="252"/>
      <c r="AQ229" s="240" t="s">
        <v>237</v>
      </c>
      <c r="AR229" s="264">
        <v>142.298</v>
      </c>
      <c r="AS229" s="264"/>
      <c r="AV229">
        <v>74.367999999999995</v>
      </c>
      <c r="BA229" s="240" t="s">
        <v>237</v>
      </c>
      <c r="BB229" s="264"/>
      <c r="BC229" s="264"/>
      <c r="BF229">
        <v>43.210999999999999</v>
      </c>
    </row>
    <row r="230" spans="1:58">
      <c r="A230" s="240" t="s">
        <v>235</v>
      </c>
      <c r="B230" s="290">
        <f t="shared" si="117"/>
        <v>35.59813244572419</v>
      </c>
      <c r="C230" s="251">
        <v>27.017327005849243</v>
      </c>
      <c r="D230" s="251">
        <v>56.907565498969689</v>
      </c>
      <c r="E230" s="251">
        <v>16.125813449023859</v>
      </c>
      <c r="F230" s="251">
        <v>8.3333333333333339</v>
      </c>
      <c r="G230" s="251">
        <v>14.542372881355933</v>
      </c>
      <c r="H230" s="251">
        <v>58.086486486486486</v>
      </c>
      <c r="I230" s="251">
        <v>44.230595017500512</v>
      </c>
      <c r="J230" s="251">
        <v>48.85937821700638</v>
      </c>
      <c r="K230" s="251">
        <v>103.4</v>
      </c>
      <c r="L230" s="251">
        <v>132</v>
      </c>
      <c r="M230" s="251">
        <v>83.8</v>
      </c>
      <c r="N230" s="251">
        <v>166</v>
      </c>
      <c r="O230" s="251">
        <v>184.6</v>
      </c>
      <c r="P230" s="251">
        <v>90.8</v>
      </c>
      <c r="Q230" s="251">
        <v>219.6</v>
      </c>
      <c r="R230" s="251">
        <v>259.60000000000002</v>
      </c>
      <c r="S230" s="251">
        <v>214.2</v>
      </c>
      <c r="T230" s="251">
        <v>310.3</v>
      </c>
      <c r="U230" s="251">
        <v>164.4</v>
      </c>
      <c r="V230" s="251">
        <v>382</v>
      </c>
      <c r="W230" s="251">
        <v>250</v>
      </c>
      <c r="X230" s="251">
        <v>316</v>
      </c>
      <c r="Y230" s="251">
        <f>AR227</f>
        <v>393.17500000000001</v>
      </c>
      <c r="Z230" s="252">
        <f t="shared" si="119"/>
        <v>488.10891309615374</v>
      </c>
      <c r="AA230" s="252">
        <f t="shared" si="119"/>
        <v>495.38707481410262</v>
      </c>
      <c r="AB230" s="252">
        <f t="shared" si="118"/>
        <v>639.16277792948711</v>
      </c>
      <c r="AC230" s="251">
        <f t="shared" si="120"/>
        <v>253.57250000000002</v>
      </c>
      <c r="AD230" s="252">
        <f t="shared" si="118"/>
        <v>277.7441474358975</v>
      </c>
      <c r="AE230" s="252">
        <f t="shared" si="118"/>
        <v>498.02984051282061</v>
      </c>
      <c r="AF230" s="252">
        <f t="shared" si="118"/>
        <v>476.153231299227</v>
      </c>
      <c r="AG230" s="252">
        <f t="shared" si="118"/>
        <v>464.22246676836477</v>
      </c>
      <c r="AI230" s="252"/>
      <c r="AJ230" s="252"/>
      <c r="AK230" s="368"/>
      <c r="AL230" s="368"/>
      <c r="AM230" s="368"/>
      <c r="AN230" s="368"/>
      <c r="AO230" s="252"/>
      <c r="AP230" s="252"/>
      <c r="AQ230" s="240" t="s">
        <v>238</v>
      </c>
      <c r="AR230" s="264">
        <v>414.65600000000001</v>
      </c>
      <c r="AS230" s="264"/>
      <c r="AV230" s="369">
        <v>36.552</v>
      </c>
      <c r="BA230" s="240" t="s">
        <v>238</v>
      </c>
      <c r="BB230" s="264"/>
      <c r="BC230" s="264"/>
      <c r="BF230">
        <v>39.112000000000002</v>
      </c>
    </row>
    <row r="231" spans="1:58">
      <c r="A231" s="240" t="s">
        <v>236</v>
      </c>
      <c r="B231" s="290">
        <f t="shared" si="117"/>
        <v>30.879246297524109</v>
      </c>
      <c r="C231" s="251">
        <v>24.183644189383067</v>
      </c>
      <c r="D231" s="251">
        <v>44.13806299676186</v>
      </c>
      <c r="E231" s="251">
        <v>9.4666666666666668</v>
      </c>
      <c r="F231" s="251">
        <v>7.5505617977528097</v>
      </c>
      <c r="G231" s="251">
        <v>9.0415019762845859</v>
      </c>
      <c r="H231" s="251">
        <v>63.385135135135137</v>
      </c>
      <c r="I231" s="251">
        <v>39.643122676579921</v>
      </c>
      <c r="J231" s="251">
        <v>45.078066914498137</v>
      </c>
      <c r="K231" s="251">
        <v>83.7</v>
      </c>
      <c r="L231" s="251">
        <v>107.8</v>
      </c>
      <c r="M231" s="251">
        <v>68.400000000000006</v>
      </c>
      <c r="N231" s="251">
        <v>170.8</v>
      </c>
      <c r="O231" s="251">
        <v>166.1</v>
      </c>
      <c r="P231" s="251">
        <v>114.6</v>
      </c>
      <c r="Q231" s="251">
        <v>209.4</v>
      </c>
      <c r="R231" s="251">
        <v>226.4</v>
      </c>
      <c r="S231" s="251">
        <v>164.7</v>
      </c>
      <c r="T231" s="251">
        <v>283.2</v>
      </c>
      <c r="U231" s="251">
        <v>154.69999999999999</v>
      </c>
      <c r="V231" s="251">
        <v>322</v>
      </c>
      <c r="W231" s="251">
        <v>212</v>
      </c>
      <c r="X231" s="251">
        <v>214</v>
      </c>
      <c r="Y231" s="251">
        <f>AR228</f>
        <v>337.41500000000002</v>
      </c>
      <c r="Z231" s="252">
        <f t="shared" si="119"/>
        <v>454.11608109615383</v>
      </c>
      <c r="AA231" s="252">
        <f t="shared" si="119"/>
        <v>582.5429488141026</v>
      </c>
      <c r="AB231" s="252">
        <f t="shared" si="118"/>
        <v>643.95782992948716</v>
      </c>
      <c r="AC231" s="251">
        <f t="shared" si="120"/>
        <v>151.95860000000002</v>
      </c>
      <c r="AD231" s="252">
        <f t="shared" si="118"/>
        <v>275.98114743589753</v>
      </c>
      <c r="AE231" s="252">
        <f t="shared" si="118"/>
        <v>525.27884051282058</v>
      </c>
      <c r="AF231" s="252">
        <f t="shared" si="118"/>
        <v>488.49076179020631</v>
      </c>
      <c r="AG231" s="252">
        <f t="shared" si="118"/>
        <v>488.60508904567394</v>
      </c>
      <c r="AI231" s="252"/>
      <c r="AJ231" s="252"/>
      <c r="AK231" s="368"/>
      <c r="AL231" s="368"/>
      <c r="AM231" s="368"/>
      <c r="AN231" s="368"/>
      <c r="AO231" s="252"/>
      <c r="AP231" s="252"/>
      <c r="AQ231" s="240" t="s">
        <v>239</v>
      </c>
      <c r="AR231" s="264">
        <v>559.66899999999998</v>
      </c>
      <c r="AS231" s="264"/>
      <c r="AV231">
        <v>57.502000000000002</v>
      </c>
      <c r="BA231" s="240" t="s">
        <v>239</v>
      </c>
      <c r="BB231" s="264"/>
      <c r="BC231" s="264"/>
      <c r="BF231">
        <v>77.728999999999999</v>
      </c>
    </row>
    <row r="232" spans="1:58">
      <c r="A232" s="240" t="s">
        <v>237</v>
      </c>
      <c r="B232" s="290">
        <f t="shared" si="117"/>
        <v>13.655436432414101</v>
      </c>
      <c r="C232" s="251">
        <v>10.750689769341133</v>
      </c>
      <c r="D232" s="251">
        <v>10.96511627906977</v>
      </c>
      <c r="E232" s="251">
        <v>10.666666666666666</v>
      </c>
      <c r="F232" s="251">
        <v>7.1966292134831455</v>
      </c>
      <c r="G232" s="251">
        <v>4.4604743083003964</v>
      </c>
      <c r="H232" s="251">
        <v>25.783783783783782</v>
      </c>
      <c r="I232" s="251">
        <v>17.623105519016299</v>
      </c>
      <c r="J232" s="251">
        <v>20.039176436945958</v>
      </c>
      <c r="K232" s="251">
        <v>27.3</v>
      </c>
      <c r="L232" s="251">
        <v>60</v>
      </c>
      <c r="M232" s="251">
        <v>52</v>
      </c>
      <c r="N232" s="251">
        <v>113.6</v>
      </c>
      <c r="O232" s="251">
        <v>106.3</v>
      </c>
      <c r="P232" s="251">
        <v>77</v>
      </c>
      <c r="Q232" s="251">
        <v>144.4</v>
      </c>
      <c r="R232" s="251">
        <v>96.5</v>
      </c>
      <c r="S232" s="251">
        <v>71.3</v>
      </c>
      <c r="T232" s="251">
        <v>113</v>
      </c>
      <c r="U232" s="251">
        <v>69</v>
      </c>
      <c r="V232" s="251">
        <v>178</v>
      </c>
      <c r="W232" s="251">
        <v>60.4</v>
      </c>
      <c r="X232" s="251">
        <v>71.3</v>
      </c>
      <c r="Y232" s="251">
        <f>AR229</f>
        <v>142.298</v>
      </c>
      <c r="Z232" s="252">
        <f t="shared" si="119"/>
        <v>407.04858209615372</v>
      </c>
      <c r="AA232" s="252">
        <f t="shared" si="119"/>
        <v>337.79343281410263</v>
      </c>
      <c r="AB232" s="252">
        <f t="shared" si="118"/>
        <v>380.5160749294871</v>
      </c>
      <c r="AC232" s="251">
        <f t="shared" si="120"/>
        <v>74.367999999999995</v>
      </c>
      <c r="AD232" s="252">
        <f t="shared" si="118"/>
        <v>363.79814743589753</v>
      </c>
      <c r="AE232" s="252">
        <f t="shared" si="118"/>
        <v>522.02776751282056</v>
      </c>
      <c r="AF232" s="252">
        <f t="shared" si="118"/>
        <v>364.53997600358082</v>
      </c>
      <c r="AG232" s="252">
        <f t="shared" si="118"/>
        <v>377.62883519144265</v>
      </c>
      <c r="AI232" s="252"/>
      <c r="AJ232" s="252"/>
      <c r="AK232" s="368"/>
      <c r="AL232" s="368"/>
      <c r="AM232" s="368"/>
      <c r="AN232" s="368"/>
      <c r="AO232" s="252"/>
      <c r="AP232" s="252"/>
      <c r="AQ232" s="240" t="s">
        <v>240</v>
      </c>
      <c r="AR232" s="264">
        <v>542.42499999999995</v>
      </c>
      <c r="AS232" s="264"/>
      <c r="AV232">
        <v>55.433500000000002</v>
      </c>
      <c r="BA232" s="240" t="s">
        <v>240</v>
      </c>
      <c r="BB232" s="264"/>
      <c r="BC232" s="264"/>
      <c r="BF232">
        <v>81.063000000000002</v>
      </c>
    </row>
    <row r="233" spans="1:58">
      <c r="A233" s="240" t="s">
        <v>238</v>
      </c>
      <c r="B233" s="290">
        <f t="shared" si="117"/>
        <v>51.852779268495695</v>
      </c>
      <c r="C233" s="251">
        <v>40.709855424346095</v>
      </c>
      <c r="D233" s="251">
        <v>38.863703267589059</v>
      </c>
      <c r="E233" s="251">
        <v>19.866666666666667</v>
      </c>
      <c r="F233" s="251">
        <v>48.252808988764045</v>
      </c>
      <c r="G233" s="251">
        <v>47.49802371541503</v>
      </c>
      <c r="H233" s="251">
        <v>69.831081081081081</v>
      </c>
      <c r="I233" s="251">
        <v>66.733771804403773</v>
      </c>
      <c r="J233" s="251">
        <v>75.882756648555898</v>
      </c>
      <c r="K233" s="251">
        <v>74.7</v>
      </c>
      <c r="L233" s="251">
        <v>45.1</v>
      </c>
      <c r="M233" s="251">
        <v>72.7</v>
      </c>
      <c r="N233" s="251">
        <v>57.5</v>
      </c>
      <c r="O233" s="251">
        <v>109.4</v>
      </c>
      <c r="P233" s="251">
        <v>102.6</v>
      </c>
      <c r="Q233" s="251">
        <v>140.4</v>
      </c>
      <c r="R233" s="251">
        <v>167.2</v>
      </c>
      <c r="S233" s="251">
        <v>232.6</v>
      </c>
      <c r="T233" s="251">
        <v>271.60000000000002</v>
      </c>
      <c r="U233" s="251">
        <v>294.7</v>
      </c>
      <c r="V233" s="251">
        <v>292</v>
      </c>
      <c r="W233" s="251">
        <v>301</v>
      </c>
      <c r="X233" s="251">
        <v>400</v>
      </c>
      <c r="Y233" s="251">
        <f>AR230</f>
        <v>414.65600000000001</v>
      </c>
      <c r="Z233" s="252">
        <f t="shared" si="119"/>
        <v>466.34646401923078</v>
      </c>
      <c r="AA233" s="252">
        <f t="shared" si="119"/>
        <v>219.02016527564112</v>
      </c>
      <c r="AB233" s="252">
        <f t="shared" si="118"/>
        <v>378.92816962179484</v>
      </c>
      <c r="AC233" s="251">
        <f t="shared" si="120"/>
        <v>36.552</v>
      </c>
      <c r="AD233" s="252">
        <f t="shared" si="118"/>
        <v>476.07660897435903</v>
      </c>
      <c r="AE233" s="252">
        <f t="shared" si="118"/>
        <v>597.96698120512826</v>
      </c>
      <c r="AF233" s="252">
        <f t="shared" si="118"/>
        <v>959.37141107721266</v>
      </c>
      <c r="AG233" s="252">
        <f t="shared" si="118"/>
        <v>417.13672439409186</v>
      </c>
      <c r="AI233" s="252"/>
      <c r="AJ233" s="252"/>
      <c r="AK233" s="368"/>
      <c r="AL233" s="368"/>
      <c r="AM233" s="368"/>
      <c r="AN233" s="368"/>
      <c r="AO233" s="252"/>
      <c r="AP233" s="252"/>
      <c r="AQ233" s="240" t="s">
        <v>241</v>
      </c>
      <c r="AR233" s="264">
        <v>476.74400000000003</v>
      </c>
      <c r="AS233" s="264"/>
      <c r="BA233" s="240" t="s">
        <v>241</v>
      </c>
      <c r="BB233" s="264"/>
      <c r="BC233" s="264"/>
    </row>
    <row r="234" spans="1:58" ht="15.75" thickBot="1">
      <c r="A234" s="240" t="s">
        <v>242</v>
      </c>
      <c r="B234" s="146">
        <f>B33</f>
        <v>767</v>
      </c>
      <c r="C234" s="146">
        <f t="shared" ref="C234:X234" si="121">SUM(C222:C233)</f>
        <v>587.99999999999977</v>
      </c>
      <c r="D234" s="146">
        <f t="shared" si="121"/>
        <v>943.00000000000011</v>
      </c>
      <c r="E234" s="146">
        <f t="shared" si="121"/>
        <v>429.99999999999994</v>
      </c>
      <c r="F234" s="146">
        <f t="shared" si="121"/>
        <v>505.00000000000011</v>
      </c>
      <c r="G234" s="146">
        <f t="shared" si="121"/>
        <v>560</v>
      </c>
      <c r="H234" s="146">
        <f t="shared" si="121"/>
        <v>879.99999999999989</v>
      </c>
      <c r="I234" s="146">
        <f t="shared" si="121"/>
        <v>975.99999999999989</v>
      </c>
      <c r="J234" s="146">
        <f t="shared" si="121"/>
        <v>880.99999999999989</v>
      </c>
      <c r="K234" s="146">
        <f t="shared" si="121"/>
        <v>1281.5</v>
      </c>
      <c r="L234" s="146">
        <f t="shared" si="121"/>
        <v>1338.1</v>
      </c>
      <c r="M234" s="146">
        <f t="shared" si="121"/>
        <v>1151.3</v>
      </c>
      <c r="N234" s="146">
        <f t="shared" si="121"/>
        <v>1868.3999999999999</v>
      </c>
      <c r="O234" s="146">
        <f t="shared" si="121"/>
        <v>2096.8999999999996</v>
      </c>
      <c r="P234" s="146">
        <f t="shared" si="121"/>
        <v>1755.5</v>
      </c>
      <c r="Q234" s="146">
        <f t="shared" si="121"/>
        <v>2535.6999999999998</v>
      </c>
      <c r="R234" s="146">
        <f t="shared" si="121"/>
        <v>2878.3999999999996</v>
      </c>
      <c r="S234" s="146">
        <f t="shared" si="121"/>
        <v>3017.9</v>
      </c>
      <c r="T234" s="146">
        <f t="shared" si="121"/>
        <v>3624.2999999999997</v>
      </c>
      <c r="U234" s="146">
        <f t="shared" si="121"/>
        <v>3135</v>
      </c>
      <c r="V234" s="146">
        <f t="shared" si="121"/>
        <v>4232.1000000000004</v>
      </c>
      <c r="W234" s="146">
        <f t="shared" si="121"/>
        <v>3565.4</v>
      </c>
      <c r="X234" s="146">
        <f t="shared" si="121"/>
        <v>3913.3</v>
      </c>
      <c r="Y234" s="146">
        <v>6351</v>
      </c>
      <c r="Z234" s="253">
        <v>5913</v>
      </c>
      <c r="AA234" s="253">
        <v>6364</v>
      </c>
      <c r="AB234" s="253">
        <v>7390</v>
      </c>
      <c r="AC234" s="253">
        <v>5913</v>
      </c>
      <c r="AD234" s="253">
        <v>4644</v>
      </c>
      <c r="AE234" s="253">
        <v>6020</v>
      </c>
      <c r="AF234" s="253">
        <v>6321</v>
      </c>
      <c r="AG234" s="253">
        <v>6150</v>
      </c>
      <c r="AQ234" s="240" t="s">
        <v>345</v>
      </c>
      <c r="AR234" s="264">
        <v>5211.8729999999996</v>
      </c>
      <c r="AS234" s="264"/>
      <c r="AV234">
        <v>2446.2669000000001</v>
      </c>
      <c r="BA234" s="240" t="s">
        <v>345</v>
      </c>
      <c r="BB234" s="264"/>
      <c r="BC234" s="264"/>
      <c r="BF234">
        <v>396.97</v>
      </c>
    </row>
    <row r="235" spans="1:58">
      <c r="A235" s="248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4"/>
      <c r="Z235" s="254"/>
      <c r="AA235" s="254"/>
      <c r="AB235" s="254"/>
      <c r="AC235" s="254">
        <f>AC33</f>
        <v>5913</v>
      </c>
      <c r="AD235" s="254">
        <v>6328</v>
      </c>
      <c r="AE235" s="254">
        <v>6144</v>
      </c>
      <c r="AF235" s="254"/>
      <c r="AG235" s="254"/>
    </row>
    <row r="236" spans="1:58" ht="15.75" thickBot="1">
      <c r="A236" s="235" t="s">
        <v>263</v>
      </c>
      <c r="AR236" t="s">
        <v>358</v>
      </c>
      <c r="BB236" t="s">
        <v>359</v>
      </c>
    </row>
    <row r="237" spans="1:58" ht="15.75" thickBot="1">
      <c r="A237" s="236"/>
      <c r="B237" s="237" t="str">
        <f>B$2</f>
        <v xml:space="preserve">93/94 </v>
      </c>
      <c r="C237" s="237" t="str">
        <f t="shared" ref="C237:AG237" si="122">C$2</f>
        <v xml:space="preserve">94/95 </v>
      </c>
      <c r="D237" s="237" t="str">
        <f t="shared" si="122"/>
        <v xml:space="preserve">95/96 </v>
      </c>
      <c r="E237" s="237" t="str">
        <f t="shared" si="122"/>
        <v xml:space="preserve">96/97 </v>
      </c>
      <c r="F237" s="237" t="str">
        <f t="shared" si="122"/>
        <v xml:space="preserve">97/98 </v>
      </c>
      <c r="G237" s="237" t="str">
        <f t="shared" si="122"/>
        <v xml:space="preserve">98/99 </v>
      </c>
      <c r="H237" s="237" t="str">
        <f t="shared" si="122"/>
        <v xml:space="preserve">99/00 </v>
      </c>
      <c r="I237" s="237" t="str">
        <f t="shared" si="122"/>
        <v xml:space="preserve">00/01 </v>
      </c>
      <c r="J237" s="237" t="str">
        <f t="shared" si="122"/>
        <v xml:space="preserve">01/02 </v>
      </c>
      <c r="K237" s="237" t="str">
        <f t="shared" si="122"/>
        <v xml:space="preserve">02/03 </v>
      </c>
      <c r="L237" s="237" t="str">
        <f t="shared" si="122"/>
        <v xml:space="preserve">03/04 </v>
      </c>
      <c r="M237" s="237" t="str">
        <f t="shared" si="122"/>
        <v xml:space="preserve">04/05 </v>
      </c>
      <c r="N237" s="237" t="str">
        <f t="shared" si="122"/>
        <v xml:space="preserve">05/06 </v>
      </c>
      <c r="O237" s="237" t="str">
        <f t="shared" si="122"/>
        <v xml:space="preserve">06/07 </v>
      </c>
      <c r="P237" s="237" t="str">
        <f t="shared" si="122"/>
        <v xml:space="preserve">07/08 </v>
      </c>
      <c r="Q237" s="237" t="str">
        <f t="shared" si="122"/>
        <v xml:space="preserve">08/09 </v>
      </c>
      <c r="R237" s="237" t="str">
        <f t="shared" si="122"/>
        <v xml:space="preserve">09/10 </v>
      </c>
      <c r="S237" s="237" t="str">
        <f t="shared" si="122"/>
        <v xml:space="preserve">10/11 </v>
      </c>
      <c r="T237" s="237" t="str">
        <f t="shared" si="122"/>
        <v xml:space="preserve">11/12 </v>
      </c>
      <c r="U237" s="237" t="str">
        <f t="shared" si="122"/>
        <v xml:space="preserve">12/13 </v>
      </c>
      <c r="V237" s="237" t="str">
        <f t="shared" si="122"/>
        <v xml:space="preserve">13/14 </v>
      </c>
      <c r="W237" s="237" t="str">
        <f t="shared" si="122"/>
        <v xml:space="preserve">14/15 </v>
      </c>
      <c r="X237" s="237" t="str">
        <f t="shared" si="122"/>
        <v xml:space="preserve">15/16 </v>
      </c>
      <c r="Y237" s="237" t="str">
        <f t="shared" si="122"/>
        <v xml:space="preserve">16/17 </v>
      </c>
      <c r="Z237" s="237" t="str">
        <f t="shared" si="122"/>
        <v xml:space="preserve">17/18 </v>
      </c>
      <c r="AA237" s="237" t="str">
        <f t="shared" si="122"/>
        <v xml:space="preserve">18/19 </v>
      </c>
      <c r="AB237" s="237" t="str">
        <f t="shared" si="122"/>
        <v xml:space="preserve">19/20 </v>
      </c>
      <c r="AC237" s="237" t="str">
        <f t="shared" si="122"/>
        <v xml:space="preserve">20/21 </v>
      </c>
      <c r="AD237" s="237" t="str">
        <f t="shared" si="122"/>
        <v>21/22</v>
      </c>
      <c r="AE237" s="237" t="str">
        <f t="shared" si="122"/>
        <v>22/23</v>
      </c>
      <c r="AF237" s="237" t="str">
        <f t="shared" si="122"/>
        <v>23/24</v>
      </c>
      <c r="AG237" s="237" t="str">
        <f t="shared" si="122"/>
        <v>24/25</v>
      </c>
      <c r="AR237">
        <f>AR221</f>
        <v>2017</v>
      </c>
      <c r="AS237">
        <f t="shared" ref="AS237:AV237" si="123">AS221</f>
        <v>2018</v>
      </c>
      <c r="AT237">
        <f t="shared" si="123"/>
        <v>2019</v>
      </c>
      <c r="AU237">
        <f t="shared" si="123"/>
        <v>2020</v>
      </c>
      <c r="AV237">
        <f t="shared" si="123"/>
        <v>2021</v>
      </c>
      <c r="BB237">
        <f>BB221</f>
        <v>2017</v>
      </c>
      <c r="BC237">
        <f t="shared" ref="BC237:BF237" si="124">BC221</f>
        <v>2018</v>
      </c>
      <c r="BD237">
        <f t="shared" si="124"/>
        <v>2019</v>
      </c>
      <c r="BE237">
        <f t="shared" si="124"/>
        <v>2020</v>
      </c>
      <c r="BF237">
        <f t="shared" si="124"/>
        <v>2021</v>
      </c>
    </row>
    <row r="238" spans="1:58">
      <c r="A238" s="240" t="s">
        <v>239</v>
      </c>
      <c r="B238" s="298">
        <f t="shared" ref="B238:AG245" si="125">B222/B80</f>
        <v>0.42027397260273974</v>
      </c>
      <c r="C238" s="298">
        <f t="shared" si="125"/>
        <v>0.42</v>
      </c>
      <c r="D238" s="298">
        <f t="shared" si="125"/>
        <v>0.41</v>
      </c>
      <c r="E238" s="298">
        <f t="shared" si="125"/>
        <v>0.41974077766699902</v>
      </c>
      <c r="F238" s="298">
        <f t="shared" si="125"/>
        <v>0.41025641025641024</v>
      </c>
      <c r="G238" s="298">
        <f t="shared" si="125"/>
        <v>0.40769230769230769</v>
      </c>
      <c r="H238" s="298">
        <f t="shared" si="125"/>
        <v>0.4</v>
      </c>
      <c r="I238" s="298">
        <f t="shared" si="125"/>
        <v>0.41630901287553645</v>
      </c>
      <c r="J238" s="298">
        <f t="shared" si="125"/>
        <v>0.40933398152649486</v>
      </c>
      <c r="K238" s="298">
        <f t="shared" si="125"/>
        <v>0.4107142857142857</v>
      </c>
      <c r="L238" s="298">
        <f t="shared" si="125"/>
        <v>0.41904761904761906</v>
      </c>
      <c r="M238" s="298">
        <f t="shared" si="125"/>
        <v>0.42166666666666663</v>
      </c>
      <c r="N238" s="298">
        <f t="shared" si="125"/>
        <v>0.42307692307692307</v>
      </c>
      <c r="O238" s="298">
        <f t="shared" si="125"/>
        <v>0.4229420259954611</v>
      </c>
      <c r="P238" s="298">
        <f t="shared" si="125"/>
        <v>0.42334905660377359</v>
      </c>
      <c r="Q238" s="298">
        <f t="shared" si="125"/>
        <v>0.42299035369774918</v>
      </c>
      <c r="R238" s="298">
        <f t="shared" si="125"/>
        <v>0.4229787234042553</v>
      </c>
      <c r="S238" s="298">
        <f t="shared" si="125"/>
        <v>0.42295497780596075</v>
      </c>
      <c r="T238" s="298">
        <f t="shared" si="125"/>
        <v>0.4229787234042553</v>
      </c>
      <c r="U238" s="298">
        <f t="shared" si="125"/>
        <v>0.4230232558139535</v>
      </c>
      <c r="V238" s="298">
        <f t="shared" si="125"/>
        <v>0.42302222222222224</v>
      </c>
      <c r="W238" s="298">
        <f t="shared" si="125"/>
        <v>0.43</v>
      </c>
      <c r="X238" s="298">
        <f t="shared" si="125"/>
        <v>0.43004291845493564</v>
      </c>
      <c r="Y238" s="298">
        <f t="shared" si="125"/>
        <v>0.435</v>
      </c>
      <c r="Z238" s="298">
        <f t="shared" si="125"/>
        <v>0.43003636363636366</v>
      </c>
      <c r="AA238" s="298">
        <f t="shared" si="125"/>
        <v>0.43</v>
      </c>
      <c r="AB238" s="298">
        <f t="shared" si="125"/>
        <v>0.44992389649923897</v>
      </c>
      <c r="AC238" s="298">
        <f t="shared" si="125"/>
        <v>0.43003636363636366</v>
      </c>
      <c r="AD238" s="298">
        <f t="shared" si="125"/>
        <v>0.43000000000000005</v>
      </c>
      <c r="AE238" s="298">
        <f t="shared" si="125"/>
        <v>0.43</v>
      </c>
      <c r="AF238" s="298">
        <f t="shared" si="125"/>
        <v>0.43</v>
      </c>
      <c r="AG238" s="298">
        <f t="shared" si="125"/>
        <v>0.43006993006993005</v>
      </c>
      <c r="AQ238" s="240" t="s">
        <v>231</v>
      </c>
      <c r="AR238" s="264"/>
      <c r="AS238" s="264">
        <v>124.23399999999999</v>
      </c>
      <c r="AV238">
        <v>117.449</v>
      </c>
      <c r="BA238" s="240" t="s">
        <v>231</v>
      </c>
      <c r="BB238" s="264"/>
      <c r="BC238" s="264"/>
      <c r="BF238">
        <v>23.379200000000001</v>
      </c>
    </row>
    <row r="239" spans="1:58">
      <c r="A239" s="240" t="s">
        <v>240</v>
      </c>
      <c r="B239" s="298">
        <f t="shared" si="125"/>
        <v>0.42027397260273974</v>
      </c>
      <c r="C239" s="298">
        <f t="shared" si="125"/>
        <v>0.42</v>
      </c>
      <c r="D239" s="298">
        <f t="shared" si="125"/>
        <v>0.41</v>
      </c>
      <c r="E239" s="298">
        <f t="shared" si="125"/>
        <v>0.41974077766699897</v>
      </c>
      <c r="F239" s="298">
        <f t="shared" si="125"/>
        <v>0.41025641025641024</v>
      </c>
      <c r="G239" s="298">
        <f t="shared" si="125"/>
        <v>0.40769230769230769</v>
      </c>
      <c r="H239" s="298">
        <f t="shared" si="125"/>
        <v>0.4</v>
      </c>
      <c r="I239" s="298">
        <f t="shared" si="125"/>
        <v>0.41630901287553651</v>
      </c>
      <c r="J239" s="298">
        <f t="shared" si="125"/>
        <v>0.40933398152649492</v>
      </c>
      <c r="K239" s="298">
        <f t="shared" si="125"/>
        <v>0.41071428571428564</v>
      </c>
      <c r="L239" s="298">
        <f t="shared" si="125"/>
        <v>0.41904761904761906</v>
      </c>
      <c r="M239" s="298">
        <f t="shared" si="125"/>
        <v>0.42166666666666669</v>
      </c>
      <c r="N239" s="298">
        <f t="shared" si="125"/>
        <v>0.42307692307692307</v>
      </c>
      <c r="O239" s="298">
        <f t="shared" si="125"/>
        <v>0.4229420259954611</v>
      </c>
      <c r="P239" s="298">
        <f t="shared" si="125"/>
        <v>0.42334905660377359</v>
      </c>
      <c r="Q239" s="298">
        <f t="shared" si="125"/>
        <v>0.42299035369774918</v>
      </c>
      <c r="R239" s="298">
        <f t="shared" si="125"/>
        <v>0.4229787234042553</v>
      </c>
      <c r="S239" s="298">
        <f t="shared" si="125"/>
        <v>0.4229549778059607</v>
      </c>
      <c r="T239" s="298">
        <f t="shared" si="125"/>
        <v>0.4229787234042553</v>
      </c>
      <c r="U239" s="298">
        <f t="shared" si="125"/>
        <v>0.4230232558139535</v>
      </c>
      <c r="V239" s="298">
        <f t="shared" si="125"/>
        <v>0.42302222222222224</v>
      </c>
      <c r="W239" s="298">
        <f t="shared" si="125"/>
        <v>0.43</v>
      </c>
      <c r="X239" s="298">
        <f t="shared" si="125"/>
        <v>0.43004291845493564</v>
      </c>
      <c r="Y239" s="298">
        <f t="shared" si="125"/>
        <v>0.43499999999999994</v>
      </c>
      <c r="Z239" s="298">
        <f t="shared" si="125"/>
        <v>0.43003636363636366</v>
      </c>
      <c r="AA239" s="298">
        <f t="shared" si="125"/>
        <v>0.43</v>
      </c>
      <c r="AB239" s="298">
        <f t="shared" si="125"/>
        <v>0.44992389649923892</v>
      </c>
      <c r="AC239" s="298">
        <f t="shared" si="125"/>
        <v>0.43003636363636361</v>
      </c>
      <c r="AD239" s="298">
        <f t="shared" si="125"/>
        <v>0.43</v>
      </c>
      <c r="AE239" s="298">
        <f t="shared" si="125"/>
        <v>0.43</v>
      </c>
      <c r="AF239" s="298">
        <f t="shared" si="125"/>
        <v>0.43</v>
      </c>
      <c r="AG239" s="298">
        <f t="shared" si="125"/>
        <v>0.43006993006993005</v>
      </c>
      <c r="AQ239" s="240" t="s">
        <v>232</v>
      </c>
      <c r="AR239" s="264"/>
      <c r="AS239" s="264">
        <v>130.94300000000001</v>
      </c>
      <c r="AV239">
        <v>101.2017</v>
      </c>
      <c r="BA239" s="240" t="s">
        <v>232</v>
      </c>
      <c r="BB239" s="264"/>
      <c r="BC239" s="264"/>
      <c r="BF239">
        <v>18.470400000000001</v>
      </c>
    </row>
    <row r="240" spans="1:58">
      <c r="A240" s="240" t="s">
        <v>241</v>
      </c>
      <c r="B240" s="298">
        <f t="shared" si="125"/>
        <v>0.42027397260273974</v>
      </c>
      <c r="C240" s="298">
        <f t="shared" si="125"/>
        <v>0.42</v>
      </c>
      <c r="D240" s="298">
        <f t="shared" si="125"/>
        <v>0.41</v>
      </c>
      <c r="E240" s="298">
        <f t="shared" si="125"/>
        <v>0.41974077766699908</v>
      </c>
      <c r="F240" s="298">
        <f t="shared" si="125"/>
        <v>0.41025641025641024</v>
      </c>
      <c r="G240" s="298">
        <f t="shared" si="125"/>
        <v>0.40769230769230769</v>
      </c>
      <c r="H240" s="298">
        <f t="shared" si="125"/>
        <v>0.4</v>
      </c>
      <c r="I240" s="298">
        <f t="shared" si="125"/>
        <v>0.4163090128755364</v>
      </c>
      <c r="J240" s="298">
        <f t="shared" si="125"/>
        <v>0.40933398152649492</v>
      </c>
      <c r="K240" s="298">
        <f t="shared" si="125"/>
        <v>0.4107142857142857</v>
      </c>
      <c r="L240" s="298">
        <f t="shared" si="125"/>
        <v>0.41904761904761906</v>
      </c>
      <c r="M240" s="298">
        <f t="shared" si="125"/>
        <v>0.42166666666666675</v>
      </c>
      <c r="N240" s="298">
        <f t="shared" si="125"/>
        <v>0.42307692307692307</v>
      </c>
      <c r="O240" s="298">
        <f t="shared" si="125"/>
        <v>0.4229420259954611</v>
      </c>
      <c r="P240" s="298">
        <f t="shared" si="125"/>
        <v>0.42334905660377359</v>
      </c>
      <c r="Q240" s="298">
        <f t="shared" si="125"/>
        <v>0.42299035369774923</v>
      </c>
      <c r="R240" s="298">
        <f t="shared" si="125"/>
        <v>0.4229787234042553</v>
      </c>
      <c r="S240" s="298">
        <f t="shared" si="125"/>
        <v>0.42295497780596064</v>
      </c>
      <c r="T240" s="298">
        <f t="shared" si="125"/>
        <v>0.4229787234042553</v>
      </c>
      <c r="U240" s="298">
        <f t="shared" si="125"/>
        <v>0.4230232558139535</v>
      </c>
      <c r="V240" s="298">
        <f t="shared" si="125"/>
        <v>0.42302222222222224</v>
      </c>
      <c r="W240" s="298">
        <f t="shared" si="125"/>
        <v>0.43</v>
      </c>
      <c r="X240" s="298">
        <f t="shared" si="125"/>
        <v>0.43004291845493564</v>
      </c>
      <c r="Y240" s="298">
        <f t="shared" si="125"/>
        <v>0.435</v>
      </c>
      <c r="Z240" s="298">
        <f t="shared" si="125"/>
        <v>0.43003636363636361</v>
      </c>
      <c r="AA240" s="298">
        <f t="shared" si="125"/>
        <v>0.43</v>
      </c>
      <c r="AB240" s="298">
        <f t="shared" si="125"/>
        <v>0.44992389649923892</v>
      </c>
      <c r="AC240" s="298">
        <f t="shared" si="125"/>
        <v>0.43003636363636366</v>
      </c>
      <c r="AD240" s="298">
        <f t="shared" si="125"/>
        <v>0.43</v>
      </c>
      <c r="AE240" s="298">
        <f t="shared" si="125"/>
        <v>0.43</v>
      </c>
      <c r="AF240" s="298">
        <f t="shared" si="125"/>
        <v>0.43000000000000005</v>
      </c>
      <c r="AG240" s="298">
        <f t="shared" si="125"/>
        <v>0.43006993006993005</v>
      </c>
      <c r="AQ240" s="240" t="s">
        <v>233</v>
      </c>
      <c r="AR240" s="264"/>
      <c r="AS240" s="264">
        <v>104.399</v>
      </c>
      <c r="AV240">
        <v>111.2183</v>
      </c>
      <c r="BA240" s="240" t="s">
        <v>233</v>
      </c>
      <c r="BB240" s="264"/>
      <c r="BC240" s="264"/>
      <c r="BF240">
        <v>27.216999999999999</v>
      </c>
    </row>
    <row r="241" spans="1:58">
      <c r="A241" s="240" t="s">
        <v>231</v>
      </c>
      <c r="B241" s="298">
        <f t="shared" si="125"/>
        <v>0.42027397260273974</v>
      </c>
      <c r="C241" s="298">
        <f t="shared" si="125"/>
        <v>0.42</v>
      </c>
      <c r="D241" s="298">
        <f t="shared" si="125"/>
        <v>0.41</v>
      </c>
      <c r="E241" s="298">
        <f t="shared" si="125"/>
        <v>0.41974077766699902</v>
      </c>
      <c r="F241" s="298">
        <f t="shared" si="125"/>
        <v>0.41025641025641024</v>
      </c>
      <c r="G241" s="298">
        <f t="shared" si="125"/>
        <v>0.40769230769230763</v>
      </c>
      <c r="H241" s="298">
        <f t="shared" si="125"/>
        <v>0.4</v>
      </c>
      <c r="I241" s="298">
        <f t="shared" si="125"/>
        <v>0.4163090128755364</v>
      </c>
      <c r="J241" s="298">
        <f t="shared" si="125"/>
        <v>0.40933398152649492</v>
      </c>
      <c r="K241" s="298">
        <f t="shared" si="125"/>
        <v>0.41071428571428564</v>
      </c>
      <c r="L241" s="298">
        <f t="shared" si="125"/>
        <v>0.41904761904761906</v>
      </c>
      <c r="M241" s="298">
        <f t="shared" si="125"/>
        <v>0.42166666666666669</v>
      </c>
      <c r="N241" s="298">
        <f t="shared" si="125"/>
        <v>0.42307692307692307</v>
      </c>
      <c r="O241" s="298">
        <f t="shared" si="125"/>
        <v>0.4229420259954611</v>
      </c>
      <c r="P241" s="298">
        <f t="shared" si="125"/>
        <v>0.42334905660377359</v>
      </c>
      <c r="Q241" s="298">
        <f t="shared" si="125"/>
        <v>0.42299035369774918</v>
      </c>
      <c r="R241" s="298">
        <f t="shared" si="125"/>
        <v>0.42297872340425535</v>
      </c>
      <c r="S241" s="298">
        <f t="shared" si="125"/>
        <v>0.4229549778059607</v>
      </c>
      <c r="T241" s="298">
        <f t="shared" si="125"/>
        <v>0.4229787234042553</v>
      </c>
      <c r="U241" s="298">
        <f t="shared" si="125"/>
        <v>0.4230232558139535</v>
      </c>
      <c r="V241" s="298">
        <f t="shared" si="125"/>
        <v>0.42302222222222224</v>
      </c>
      <c r="W241" s="298">
        <f t="shared" si="125"/>
        <v>0.43</v>
      </c>
      <c r="X241" s="298">
        <f t="shared" si="125"/>
        <v>0.43004291845493564</v>
      </c>
      <c r="Y241" s="298">
        <f t="shared" si="125"/>
        <v>0.43499999999999994</v>
      </c>
      <c r="Z241" s="298">
        <f t="shared" si="125"/>
        <v>0.43003636363636366</v>
      </c>
      <c r="AA241" s="298">
        <f t="shared" si="125"/>
        <v>0.43</v>
      </c>
      <c r="AB241" s="298">
        <f t="shared" si="125"/>
        <v>0.44992389649923892</v>
      </c>
      <c r="AC241" s="298">
        <f t="shared" si="125"/>
        <v>0.43003636363636366</v>
      </c>
      <c r="AD241" s="298">
        <f t="shared" si="125"/>
        <v>0.43</v>
      </c>
      <c r="AE241" s="298">
        <f t="shared" si="125"/>
        <v>0.43</v>
      </c>
      <c r="AF241" s="298">
        <f t="shared" si="125"/>
        <v>0.43</v>
      </c>
      <c r="AG241" s="298">
        <f t="shared" si="125"/>
        <v>0.43006993006993005</v>
      </c>
      <c r="AQ241" s="240" t="s">
        <v>234</v>
      </c>
      <c r="AR241" s="264"/>
      <c r="AS241" s="264">
        <v>90.424000000000007</v>
      </c>
      <c r="AV241">
        <v>131.1925</v>
      </c>
      <c r="BA241" s="240" t="s">
        <v>234</v>
      </c>
      <c r="BB241" s="264"/>
      <c r="BC241" s="264"/>
      <c r="BF241">
        <v>29.846299999999999</v>
      </c>
    </row>
    <row r="242" spans="1:58">
      <c r="A242" s="240" t="s">
        <v>232</v>
      </c>
      <c r="B242" s="298">
        <f t="shared" si="125"/>
        <v>0.42027397260273974</v>
      </c>
      <c r="C242" s="298">
        <f t="shared" si="125"/>
        <v>0.42</v>
      </c>
      <c r="D242" s="298">
        <f t="shared" si="125"/>
        <v>0.41</v>
      </c>
      <c r="E242" s="298">
        <f t="shared" si="125"/>
        <v>0.41974077766699902</v>
      </c>
      <c r="F242" s="298">
        <f t="shared" si="125"/>
        <v>0.41025641025641024</v>
      </c>
      <c r="G242" s="298">
        <f t="shared" si="125"/>
        <v>0.40769230769230769</v>
      </c>
      <c r="H242" s="298">
        <f t="shared" si="125"/>
        <v>0.4</v>
      </c>
      <c r="I242" s="298">
        <f t="shared" si="125"/>
        <v>0.41630901287553645</v>
      </c>
      <c r="J242" s="298">
        <f t="shared" si="125"/>
        <v>0.40933398152649492</v>
      </c>
      <c r="K242" s="298">
        <f t="shared" si="125"/>
        <v>0.41071428571428575</v>
      </c>
      <c r="L242" s="298">
        <f t="shared" si="125"/>
        <v>0.41904761904761906</v>
      </c>
      <c r="M242" s="298">
        <f t="shared" si="125"/>
        <v>0.42166666666666669</v>
      </c>
      <c r="N242" s="298">
        <f t="shared" si="125"/>
        <v>0.42307692307692307</v>
      </c>
      <c r="O242" s="298">
        <f t="shared" si="125"/>
        <v>0.4229420259954611</v>
      </c>
      <c r="P242" s="298">
        <f t="shared" si="125"/>
        <v>0.42334905660377359</v>
      </c>
      <c r="Q242" s="298">
        <f t="shared" si="125"/>
        <v>0.42299035369774918</v>
      </c>
      <c r="R242" s="298">
        <f t="shared" si="125"/>
        <v>0.4229787234042553</v>
      </c>
      <c r="S242" s="298">
        <f t="shared" si="125"/>
        <v>0.4229549778059607</v>
      </c>
      <c r="T242" s="298">
        <f t="shared" si="125"/>
        <v>0.4229787234042553</v>
      </c>
      <c r="U242" s="298">
        <f t="shared" si="125"/>
        <v>0.4230232558139535</v>
      </c>
      <c r="V242" s="298">
        <f t="shared" si="125"/>
        <v>0.42302222222222224</v>
      </c>
      <c r="W242" s="298">
        <f t="shared" si="125"/>
        <v>0.43</v>
      </c>
      <c r="X242" s="298">
        <f t="shared" si="125"/>
        <v>0.43004291845493564</v>
      </c>
      <c r="Y242" s="298">
        <f t="shared" si="125"/>
        <v>0.435</v>
      </c>
      <c r="Z242" s="298">
        <f t="shared" si="125"/>
        <v>0.43003636363636366</v>
      </c>
      <c r="AA242" s="298">
        <f t="shared" si="125"/>
        <v>0.43</v>
      </c>
      <c r="AB242" s="298">
        <f t="shared" si="125"/>
        <v>0.44992389649923897</v>
      </c>
      <c r="AC242" s="298">
        <f t="shared" si="125"/>
        <v>0.43003636363636366</v>
      </c>
      <c r="AD242" s="298">
        <f t="shared" si="125"/>
        <v>0.43</v>
      </c>
      <c r="AE242" s="298">
        <f t="shared" si="125"/>
        <v>0.43</v>
      </c>
      <c r="AF242" s="298">
        <f t="shared" si="125"/>
        <v>0.43</v>
      </c>
      <c r="AG242" s="298">
        <f t="shared" si="125"/>
        <v>0.43006993006993011</v>
      </c>
      <c r="AQ242" s="240" t="s">
        <v>46</v>
      </c>
      <c r="AR242" s="264"/>
      <c r="AS242" s="264"/>
      <c r="AV242">
        <v>136.96430000000001</v>
      </c>
      <c r="BA242" s="240" t="s">
        <v>46</v>
      </c>
      <c r="BB242" s="264"/>
      <c r="BC242" s="264"/>
      <c r="BF242">
        <v>24.508600000000001</v>
      </c>
    </row>
    <row r="243" spans="1:58">
      <c r="A243" s="240" t="s">
        <v>233</v>
      </c>
      <c r="B243" s="298">
        <f t="shared" si="125"/>
        <v>0.42027397260273969</v>
      </c>
      <c r="C243" s="298">
        <f t="shared" si="125"/>
        <v>0.42</v>
      </c>
      <c r="D243" s="298">
        <f t="shared" si="125"/>
        <v>0.41</v>
      </c>
      <c r="E243" s="298">
        <f t="shared" si="125"/>
        <v>0.41974077766699902</v>
      </c>
      <c r="F243" s="298">
        <f t="shared" si="125"/>
        <v>0.41025641025641024</v>
      </c>
      <c r="G243" s="298">
        <f t="shared" si="125"/>
        <v>0.40769230769230769</v>
      </c>
      <c r="H243" s="298">
        <f t="shared" si="125"/>
        <v>0.4</v>
      </c>
      <c r="I243" s="298">
        <f t="shared" si="125"/>
        <v>0.41630901287553645</v>
      </c>
      <c r="J243" s="298">
        <f t="shared" si="125"/>
        <v>0.40933398152649497</v>
      </c>
      <c r="K243" s="298">
        <f t="shared" si="125"/>
        <v>0.41071428571428575</v>
      </c>
      <c r="L243" s="298">
        <f t="shared" si="125"/>
        <v>0.419047619047619</v>
      </c>
      <c r="M243" s="298">
        <f t="shared" si="125"/>
        <v>0.42166666666666663</v>
      </c>
      <c r="N243" s="298">
        <f t="shared" si="125"/>
        <v>0.42307692307692307</v>
      </c>
      <c r="O243" s="298">
        <f t="shared" si="125"/>
        <v>0.4229420259954611</v>
      </c>
      <c r="P243" s="298">
        <f t="shared" si="125"/>
        <v>0.42334905660377359</v>
      </c>
      <c r="Q243" s="298">
        <f t="shared" si="125"/>
        <v>0.42299035369774912</v>
      </c>
      <c r="R243" s="298">
        <f t="shared" si="125"/>
        <v>0.4229787234042553</v>
      </c>
      <c r="S243" s="298">
        <f t="shared" si="125"/>
        <v>0.4229549778059607</v>
      </c>
      <c r="T243" s="298">
        <f t="shared" si="125"/>
        <v>0.4229787234042553</v>
      </c>
      <c r="U243" s="298">
        <f t="shared" si="125"/>
        <v>0.4230232558139535</v>
      </c>
      <c r="V243" s="298">
        <f t="shared" si="125"/>
        <v>0.42302222222222224</v>
      </c>
      <c r="W243" s="298">
        <f t="shared" si="125"/>
        <v>0.43</v>
      </c>
      <c r="X243" s="298">
        <f t="shared" si="125"/>
        <v>0.43004291845493564</v>
      </c>
      <c r="Y243" s="298">
        <f t="shared" si="125"/>
        <v>0.435</v>
      </c>
      <c r="Z243" s="298">
        <f t="shared" si="125"/>
        <v>0.43003636363636366</v>
      </c>
      <c r="AA243" s="298">
        <f t="shared" si="125"/>
        <v>0.43</v>
      </c>
      <c r="AB243" s="298">
        <f t="shared" si="125"/>
        <v>0.44992389649923897</v>
      </c>
      <c r="AC243" s="298">
        <f t="shared" si="125"/>
        <v>0.43003636363636366</v>
      </c>
      <c r="AD243" s="298">
        <f t="shared" si="125"/>
        <v>0.42999999999999994</v>
      </c>
      <c r="AE243" s="298">
        <f t="shared" si="125"/>
        <v>0.43000000000000005</v>
      </c>
      <c r="AF243" s="298">
        <f t="shared" si="125"/>
        <v>0.43</v>
      </c>
      <c r="AG243" s="298">
        <f t="shared" si="125"/>
        <v>0.43006993006993005</v>
      </c>
      <c r="AQ243" s="240" t="s">
        <v>235</v>
      </c>
      <c r="AR243" s="264"/>
      <c r="AS243" s="264"/>
      <c r="AV243">
        <v>126.3253</v>
      </c>
      <c r="BA243" s="240" t="s">
        <v>235</v>
      </c>
      <c r="BB243" s="264"/>
      <c r="BC243" s="264"/>
      <c r="BF243">
        <v>21.020499999999998</v>
      </c>
    </row>
    <row r="244" spans="1:58">
      <c r="A244" s="240" t="s">
        <v>234</v>
      </c>
      <c r="B244" s="298">
        <f t="shared" si="125"/>
        <v>0.4202739726027398</v>
      </c>
      <c r="C244" s="298">
        <f t="shared" si="125"/>
        <v>0.42</v>
      </c>
      <c r="D244" s="298">
        <f t="shared" si="125"/>
        <v>0.41</v>
      </c>
      <c r="E244" s="298">
        <f t="shared" si="125"/>
        <v>0.41974077766699902</v>
      </c>
      <c r="F244" s="298">
        <f t="shared" si="125"/>
        <v>0.41025641025641024</v>
      </c>
      <c r="G244" s="298">
        <f t="shared" si="125"/>
        <v>0.40769230769230769</v>
      </c>
      <c r="H244" s="298">
        <f t="shared" si="125"/>
        <v>0.4</v>
      </c>
      <c r="I244" s="298">
        <f t="shared" si="125"/>
        <v>0.41630901287553645</v>
      </c>
      <c r="J244" s="298">
        <f t="shared" si="125"/>
        <v>0.40933398152649492</v>
      </c>
      <c r="K244" s="298">
        <f t="shared" si="125"/>
        <v>0.4107142857142857</v>
      </c>
      <c r="L244" s="298">
        <f t="shared" si="125"/>
        <v>0.419047619047619</v>
      </c>
      <c r="M244" s="298">
        <f t="shared" si="125"/>
        <v>0.42166666666666669</v>
      </c>
      <c r="N244" s="298">
        <f t="shared" si="125"/>
        <v>0.42307692307692307</v>
      </c>
      <c r="O244" s="298">
        <f t="shared" si="125"/>
        <v>0.4229420259954611</v>
      </c>
      <c r="P244" s="298">
        <f t="shared" si="125"/>
        <v>0.42334905660377359</v>
      </c>
      <c r="Q244" s="298">
        <f t="shared" si="125"/>
        <v>0.42299035369774918</v>
      </c>
      <c r="R244" s="298">
        <f t="shared" si="125"/>
        <v>0.4229787234042553</v>
      </c>
      <c r="S244" s="298">
        <f t="shared" si="125"/>
        <v>0.42295497780596064</v>
      </c>
      <c r="T244" s="298">
        <f t="shared" si="125"/>
        <v>0.4229787234042553</v>
      </c>
      <c r="U244" s="298">
        <f t="shared" si="125"/>
        <v>0.4230232558139535</v>
      </c>
      <c r="V244" s="298">
        <f t="shared" si="125"/>
        <v>0.42302222222222224</v>
      </c>
      <c r="W244" s="298">
        <f t="shared" si="125"/>
        <v>0.43000000000000005</v>
      </c>
      <c r="X244" s="298">
        <f t="shared" si="125"/>
        <v>0.43004291845493564</v>
      </c>
      <c r="Y244" s="298">
        <f t="shared" si="125"/>
        <v>0.43500000000000005</v>
      </c>
      <c r="Z244" s="298">
        <f t="shared" si="125"/>
        <v>0.43003636363636366</v>
      </c>
      <c r="AA244" s="298">
        <f t="shared" si="125"/>
        <v>0.43000000000000005</v>
      </c>
      <c r="AB244" s="298">
        <f t="shared" si="125"/>
        <v>0.44992389649923897</v>
      </c>
      <c r="AC244" s="298">
        <f t="shared" si="125"/>
        <v>0.43003636363636366</v>
      </c>
      <c r="AD244" s="298">
        <f t="shared" si="125"/>
        <v>0.43</v>
      </c>
      <c r="AE244" s="298">
        <f t="shared" si="125"/>
        <v>0.43000000000000005</v>
      </c>
      <c r="AF244" s="298">
        <f t="shared" si="125"/>
        <v>0.43</v>
      </c>
      <c r="AG244" s="298">
        <f t="shared" si="125"/>
        <v>0.43006993006993011</v>
      </c>
      <c r="AQ244" s="240" t="s">
        <v>236</v>
      </c>
      <c r="AR244" s="264"/>
      <c r="AS244" s="264"/>
      <c r="AV244">
        <v>78.718400000000003</v>
      </c>
      <c r="BA244" s="240" t="s">
        <v>236</v>
      </c>
      <c r="BB244" s="264"/>
      <c r="BC244" s="264"/>
      <c r="BF244">
        <v>18.9102</v>
      </c>
    </row>
    <row r="245" spans="1:58">
      <c r="A245" s="240" t="s">
        <v>46</v>
      </c>
      <c r="B245" s="298">
        <f t="shared" si="125"/>
        <v>0.42027397260273974</v>
      </c>
      <c r="C245" s="298">
        <f t="shared" si="125"/>
        <v>0.42</v>
      </c>
      <c r="D245" s="298">
        <f t="shared" si="125"/>
        <v>0.41</v>
      </c>
      <c r="E245" s="298">
        <f t="shared" si="125"/>
        <v>0.41974077766699908</v>
      </c>
      <c r="F245" s="298">
        <f t="shared" si="125"/>
        <v>0.41025641025641024</v>
      </c>
      <c r="G245" s="298">
        <f t="shared" si="125"/>
        <v>0.40769230769230769</v>
      </c>
      <c r="H245" s="298">
        <f t="shared" si="125"/>
        <v>0.4</v>
      </c>
      <c r="I245" s="298">
        <f t="shared" si="125"/>
        <v>0.41630901287553645</v>
      </c>
      <c r="J245" s="298">
        <f t="shared" si="125"/>
        <v>0.40933398152649492</v>
      </c>
      <c r="K245" s="298">
        <f t="shared" si="125"/>
        <v>0.41071428571428575</v>
      </c>
      <c r="L245" s="298">
        <f t="shared" si="125"/>
        <v>0.419047619047619</v>
      </c>
      <c r="M245" s="298">
        <f t="shared" si="125"/>
        <v>0.42166666666666669</v>
      </c>
      <c r="N245" s="298">
        <f t="shared" si="125"/>
        <v>0.42307692307692307</v>
      </c>
      <c r="O245" s="298">
        <f t="shared" si="125"/>
        <v>0.4229420259954611</v>
      </c>
      <c r="P245" s="298">
        <f t="shared" si="125"/>
        <v>0.42334905660377359</v>
      </c>
      <c r="Q245" s="298">
        <f t="shared" si="125"/>
        <v>0.42299035369774912</v>
      </c>
      <c r="R245" s="298">
        <f t="shared" si="125"/>
        <v>0.42297872340425535</v>
      </c>
      <c r="S245" s="298">
        <f t="shared" si="125"/>
        <v>0.4229549778059607</v>
      </c>
      <c r="T245" s="298">
        <f t="shared" si="125"/>
        <v>0.4229787234042553</v>
      </c>
      <c r="U245" s="298">
        <f t="shared" si="125"/>
        <v>0.4230232558139535</v>
      </c>
      <c r="V245" s="298">
        <f t="shared" si="125"/>
        <v>0.42302222222222224</v>
      </c>
      <c r="W245" s="298">
        <f t="shared" si="125"/>
        <v>0.43000000000000005</v>
      </c>
      <c r="X245" s="298">
        <f t="shared" si="125"/>
        <v>0.43004291845493564</v>
      </c>
      <c r="Y245" s="298">
        <f t="shared" si="125"/>
        <v>0.435</v>
      </c>
      <c r="Z245" s="298">
        <f t="shared" si="125"/>
        <v>0.43003636363636366</v>
      </c>
      <c r="AA245" s="298">
        <f t="shared" si="125"/>
        <v>0.43</v>
      </c>
      <c r="AB245" s="298">
        <f t="shared" si="125"/>
        <v>0.44992389649923897</v>
      </c>
      <c r="AC245" s="298">
        <f t="shared" si="125"/>
        <v>0.43003636363636366</v>
      </c>
      <c r="AD245" s="298">
        <f t="shared" si="125"/>
        <v>0.43</v>
      </c>
      <c r="AE245" s="298">
        <f t="shared" si="125"/>
        <v>0.42999999999999994</v>
      </c>
      <c r="AF245" s="298">
        <f t="shared" si="125"/>
        <v>0.43</v>
      </c>
      <c r="AG245" s="298">
        <f t="shared" ref="AG245:AK245" si="126">AG229/AG87</f>
        <v>0.43006993006993005</v>
      </c>
      <c r="AQ245" s="240" t="s">
        <v>237</v>
      </c>
      <c r="AR245" s="264"/>
      <c r="AS245" s="264"/>
      <c r="AV245">
        <v>41.548999999999999</v>
      </c>
      <c r="BA245" s="240" t="s">
        <v>237</v>
      </c>
      <c r="BB245" s="264"/>
      <c r="BC245" s="264"/>
      <c r="BF245">
        <v>14.236000000000001</v>
      </c>
    </row>
    <row r="246" spans="1:58">
      <c r="A246" s="240" t="s">
        <v>235</v>
      </c>
      <c r="B246" s="298">
        <f t="shared" ref="B246:AG248" si="127">B230/B88</f>
        <v>0.42027397260273974</v>
      </c>
      <c r="C246" s="298">
        <f t="shared" si="127"/>
        <v>0.41999999999999993</v>
      </c>
      <c r="D246" s="298">
        <f t="shared" si="127"/>
        <v>0.41</v>
      </c>
      <c r="E246" s="298">
        <f t="shared" si="127"/>
        <v>0.41974077766699902</v>
      </c>
      <c r="F246" s="298">
        <f t="shared" si="127"/>
        <v>0.41025641025641019</v>
      </c>
      <c r="G246" s="298">
        <f t="shared" si="127"/>
        <v>0.40769230769230763</v>
      </c>
      <c r="H246" s="298">
        <f t="shared" si="127"/>
        <v>0.4</v>
      </c>
      <c r="I246" s="298">
        <f t="shared" si="127"/>
        <v>0.41630901287553645</v>
      </c>
      <c r="J246" s="298">
        <f t="shared" si="127"/>
        <v>0.40933398152649492</v>
      </c>
      <c r="K246" s="298">
        <f t="shared" si="127"/>
        <v>0.4107142857142857</v>
      </c>
      <c r="L246" s="298">
        <f t="shared" si="127"/>
        <v>0.41904761904761906</v>
      </c>
      <c r="M246" s="298">
        <f t="shared" si="127"/>
        <v>0.42166666666666669</v>
      </c>
      <c r="N246" s="298">
        <f t="shared" si="127"/>
        <v>0.42307692307692307</v>
      </c>
      <c r="O246" s="298">
        <f t="shared" si="127"/>
        <v>0.4229420259954611</v>
      </c>
      <c r="P246" s="298">
        <f t="shared" si="127"/>
        <v>0.42334905660377359</v>
      </c>
      <c r="Q246" s="298">
        <f t="shared" si="127"/>
        <v>0.42299035369774918</v>
      </c>
      <c r="R246" s="298">
        <f t="shared" si="127"/>
        <v>0.42297872340425535</v>
      </c>
      <c r="S246" s="298">
        <f t="shared" si="127"/>
        <v>0.4229549778059607</v>
      </c>
      <c r="T246" s="298">
        <f t="shared" si="127"/>
        <v>0.4229787234042553</v>
      </c>
      <c r="U246" s="298">
        <f t="shared" si="127"/>
        <v>0.4230232558139535</v>
      </c>
      <c r="V246" s="298">
        <f t="shared" si="127"/>
        <v>0.42302222222222224</v>
      </c>
      <c r="W246" s="298">
        <f t="shared" si="127"/>
        <v>0.43</v>
      </c>
      <c r="X246" s="298">
        <f t="shared" si="127"/>
        <v>0.43004291845493564</v>
      </c>
      <c r="Y246" s="298">
        <f t="shared" si="127"/>
        <v>0.435</v>
      </c>
      <c r="Z246" s="298">
        <f t="shared" si="127"/>
        <v>0.43003636363636366</v>
      </c>
      <c r="AA246" s="298">
        <f t="shared" si="127"/>
        <v>0.43</v>
      </c>
      <c r="AB246" s="298">
        <f t="shared" si="127"/>
        <v>0.44992389649923897</v>
      </c>
      <c r="AC246" s="298">
        <f t="shared" si="127"/>
        <v>0.43003636363636372</v>
      </c>
      <c r="AD246" s="298">
        <f t="shared" si="127"/>
        <v>0.43</v>
      </c>
      <c r="AE246" s="298">
        <f t="shared" si="127"/>
        <v>0.42999999999999994</v>
      </c>
      <c r="AF246" s="298">
        <f t="shared" si="127"/>
        <v>0.43</v>
      </c>
      <c r="AG246" s="298">
        <f t="shared" si="127"/>
        <v>0.43006993006993005</v>
      </c>
      <c r="AQ246" s="240" t="s">
        <v>238</v>
      </c>
      <c r="AR246" s="264"/>
      <c r="AS246" s="264"/>
      <c r="AV246">
        <v>85.082999999999998</v>
      </c>
      <c r="BA246" s="240" t="s">
        <v>238</v>
      </c>
      <c r="BB246" s="264"/>
      <c r="BC246" s="264"/>
      <c r="BF246">
        <v>12.215999999999999</v>
      </c>
    </row>
    <row r="247" spans="1:58">
      <c r="A247" s="240" t="s">
        <v>236</v>
      </c>
      <c r="B247" s="298">
        <f t="shared" si="127"/>
        <v>0.42027397260273974</v>
      </c>
      <c r="C247" s="298">
        <f t="shared" si="127"/>
        <v>0.42</v>
      </c>
      <c r="D247" s="298">
        <f t="shared" si="127"/>
        <v>0.41</v>
      </c>
      <c r="E247" s="298">
        <f t="shared" si="127"/>
        <v>0.41974077766699902</v>
      </c>
      <c r="F247" s="298">
        <f t="shared" si="127"/>
        <v>0.41025641025641024</v>
      </c>
      <c r="G247" s="298">
        <f t="shared" si="127"/>
        <v>0.40769230769230763</v>
      </c>
      <c r="H247" s="298">
        <f t="shared" si="127"/>
        <v>0.4</v>
      </c>
      <c r="I247" s="298">
        <f t="shared" si="127"/>
        <v>0.41630901287553645</v>
      </c>
      <c r="J247" s="298">
        <f t="shared" si="127"/>
        <v>0.40933398152649492</v>
      </c>
      <c r="K247" s="298">
        <f t="shared" si="127"/>
        <v>0.4107142857142857</v>
      </c>
      <c r="L247" s="298">
        <f t="shared" si="127"/>
        <v>0.41904761904761906</v>
      </c>
      <c r="M247" s="298">
        <f t="shared" si="127"/>
        <v>0.42166666666666669</v>
      </c>
      <c r="N247" s="298">
        <f t="shared" si="127"/>
        <v>0.42307692307692307</v>
      </c>
      <c r="O247" s="298">
        <f t="shared" si="127"/>
        <v>0.4229420259954611</v>
      </c>
      <c r="P247" s="298">
        <f t="shared" si="127"/>
        <v>0.42334905660377364</v>
      </c>
      <c r="Q247" s="298">
        <f t="shared" si="127"/>
        <v>0.42299035369774918</v>
      </c>
      <c r="R247" s="298">
        <f t="shared" si="127"/>
        <v>0.4229787234042553</v>
      </c>
      <c r="S247" s="298">
        <f t="shared" si="127"/>
        <v>0.42295497780596064</v>
      </c>
      <c r="T247" s="298">
        <f t="shared" si="127"/>
        <v>0.4229787234042553</v>
      </c>
      <c r="U247" s="298">
        <f t="shared" si="127"/>
        <v>0.4230232558139535</v>
      </c>
      <c r="V247" s="298">
        <f t="shared" si="127"/>
        <v>0.42302222222222224</v>
      </c>
      <c r="W247" s="298">
        <f t="shared" si="127"/>
        <v>0.43</v>
      </c>
      <c r="X247" s="298">
        <f t="shared" si="127"/>
        <v>0.43004291845493564</v>
      </c>
      <c r="Y247" s="298">
        <f t="shared" si="127"/>
        <v>0.435</v>
      </c>
      <c r="Z247" s="298">
        <f t="shared" si="127"/>
        <v>0.43003636363636366</v>
      </c>
      <c r="AA247" s="298">
        <f t="shared" si="127"/>
        <v>0.43000000000000005</v>
      </c>
      <c r="AB247" s="298">
        <f t="shared" si="127"/>
        <v>0.44992389649923897</v>
      </c>
      <c r="AC247" s="298">
        <f t="shared" si="127"/>
        <v>0.43003636363636372</v>
      </c>
      <c r="AD247" s="298">
        <f t="shared" si="127"/>
        <v>0.43</v>
      </c>
      <c r="AE247" s="298">
        <f t="shared" si="127"/>
        <v>0.43000000000000005</v>
      </c>
      <c r="AF247" s="298">
        <f t="shared" si="127"/>
        <v>0.43</v>
      </c>
      <c r="AG247" s="298">
        <f t="shared" si="127"/>
        <v>0.43006993006993005</v>
      </c>
      <c r="AQ247" s="240" t="s">
        <v>239</v>
      </c>
      <c r="AR247" s="264"/>
      <c r="AS247" s="264"/>
      <c r="AV247">
        <v>122.754</v>
      </c>
      <c r="BA247" s="240" t="s">
        <v>239</v>
      </c>
      <c r="BB247" s="264"/>
      <c r="BC247" s="264"/>
      <c r="BF247">
        <v>15.333</v>
      </c>
    </row>
    <row r="248" spans="1:58">
      <c r="A248" s="240" t="s">
        <v>237</v>
      </c>
      <c r="B248" s="298">
        <f t="shared" si="127"/>
        <v>0.42027397260273974</v>
      </c>
      <c r="C248" s="298">
        <f t="shared" si="127"/>
        <v>0.41999999999999993</v>
      </c>
      <c r="D248" s="298">
        <f t="shared" si="127"/>
        <v>0.41</v>
      </c>
      <c r="E248" s="298">
        <f t="shared" si="127"/>
        <v>0.41974077766699902</v>
      </c>
      <c r="F248" s="298">
        <f t="shared" si="127"/>
        <v>0.41025641025641024</v>
      </c>
      <c r="G248" s="298">
        <f t="shared" si="127"/>
        <v>0.40769230769230769</v>
      </c>
      <c r="H248" s="298">
        <f t="shared" si="127"/>
        <v>0.4</v>
      </c>
      <c r="I248" s="298">
        <f t="shared" si="127"/>
        <v>0.41630901287553651</v>
      </c>
      <c r="J248" s="298">
        <f t="shared" si="127"/>
        <v>0.40933398152649492</v>
      </c>
      <c r="K248" s="298">
        <f t="shared" si="127"/>
        <v>0.4107142857142857</v>
      </c>
      <c r="L248" s="298">
        <f t="shared" si="127"/>
        <v>0.41904761904761906</v>
      </c>
      <c r="M248" s="298">
        <f t="shared" si="127"/>
        <v>0.42166666666666669</v>
      </c>
      <c r="N248" s="298">
        <f t="shared" si="127"/>
        <v>0.42307692307692307</v>
      </c>
      <c r="O248" s="298">
        <f t="shared" si="127"/>
        <v>0.4229420259954611</v>
      </c>
      <c r="P248" s="298">
        <f t="shared" si="127"/>
        <v>0.42334905660377359</v>
      </c>
      <c r="Q248" s="298">
        <f t="shared" si="127"/>
        <v>0.42299035369774918</v>
      </c>
      <c r="R248" s="298">
        <f t="shared" si="127"/>
        <v>0.4229787234042553</v>
      </c>
      <c r="S248" s="298">
        <f t="shared" si="127"/>
        <v>0.4229549778059607</v>
      </c>
      <c r="T248" s="298">
        <f t="shared" si="127"/>
        <v>0.4229787234042553</v>
      </c>
      <c r="U248" s="298">
        <f t="shared" si="127"/>
        <v>0.4230232558139535</v>
      </c>
      <c r="V248" s="298">
        <f t="shared" si="127"/>
        <v>0.42302222222222224</v>
      </c>
      <c r="W248" s="298">
        <f t="shared" si="127"/>
        <v>0.43</v>
      </c>
      <c r="X248" s="298">
        <f t="shared" si="127"/>
        <v>0.43004291845493564</v>
      </c>
      <c r="Y248" s="298">
        <f t="shared" si="127"/>
        <v>0.435</v>
      </c>
      <c r="Z248" s="298">
        <f t="shared" si="127"/>
        <v>0.43003636363636366</v>
      </c>
      <c r="AA248" s="298">
        <f t="shared" si="127"/>
        <v>0.43</v>
      </c>
      <c r="AB248" s="298">
        <f t="shared" si="127"/>
        <v>0.44992389649923897</v>
      </c>
      <c r="AC248" s="298">
        <f t="shared" si="127"/>
        <v>0.43003636363636366</v>
      </c>
      <c r="AD248" s="298">
        <f t="shared" si="127"/>
        <v>0.43</v>
      </c>
      <c r="AE248" s="298">
        <f t="shared" si="127"/>
        <v>0.43</v>
      </c>
      <c r="AF248" s="298">
        <f>AF232/AF90</f>
        <v>0.43</v>
      </c>
      <c r="AG248" s="298">
        <f t="shared" si="127"/>
        <v>0.43006993006993005</v>
      </c>
      <c r="AQ248" s="240" t="s">
        <v>240</v>
      </c>
      <c r="AR248" s="264"/>
      <c r="AS248" s="264"/>
      <c r="AV248">
        <v>124.24</v>
      </c>
      <c r="BA248" s="240" t="s">
        <v>240</v>
      </c>
      <c r="BB248" s="264"/>
      <c r="BC248" s="264"/>
      <c r="BF248">
        <v>14.141999999999999</v>
      </c>
    </row>
    <row r="249" spans="1:58">
      <c r="A249" s="240" t="s">
        <v>238</v>
      </c>
      <c r="B249" s="298">
        <f>B233/C79</f>
        <v>0.42027397260273974</v>
      </c>
      <c r="C249" s="298">
        <f t="shared" ref="C249:AG249" si="128">C233/D79</f>
        <v>0.42</v>
      </c>
      <c r="D249" s="298">
        <f t="shared" si="128"/>
        <v>0.41</v>
      </c>
      <c r="E249" s="298">
        <f t="shared" si="128"/>
        <v>0.41974077766699897</v>
      </c>
      <c r="F249" s="298">
        <f t="shared" si="128"/>
        <v>0.41025641025641024</v>
      </c>
      <c r="G249" s="298">
        <f t="shared" si="128"/>
        <v>0.40769230769230769</v>
      </c>
      <c r="H249" s="298">
        <f t="shared" si="128"/>
        <v>0.4</v>
      </c>
      <c r="I249" s="298">
        <f t="shared" si="128"/>
        <v>0.41630901287553645</v>
      </c>
      <c r="J249" s="298">
        <f t="shared" si="128"/>
        <v>0.40933398152649492</v>
      </c>
      <c r="K249" s="298">
        <f t="shared" si="128"/>
        <v>0.4107142857142857</v>
      </c>
      <c r="L249" s="298">
        <f t="shared" si="128"/>
        <v>0.41904761904761906</v>
      </c>
      <c r="M249" s="298">
        <f t="shared" si="128"/>
        <v>0.42166666666666669</v>
      </c>
      <c r="N249" s="298">
        <f t="shared" si="128"/>
        <v>0.42307692307692307</v>
      </c>
      <c r="O249" s="298">
        <f t="shared" si="128"/>
        <v>0.42294202599546116</v>
      </c>
      <c r="P249" s="298">
        <f t="shared" si="128"/>
        <v>0.42334905660377359</v>
      </c>
      <c r="Q249" s="298">
        <f t="shared" si="128"/>
        <v>0.42299035369774918</v>
      </c>
      <c r="R249" s="298">
        <f t="shared" si="128"/>
        <v>0.4229787234042553</v>
      </c>
      <c r="S249" s="298">
        <f t="shared" si="128"/>
        <v>0.42295497780596064</v>
      </c>
      <c r="T249" s="298">
        <f t="shared" si="128"/>
        <v>0.42297872340425524</v>
      </c>
      <c r="U249" s="298">
        <f t="shared" si="128"/>
        <v>0.42302325581395356</v>
      </c>
      <c r="V249" s="298">
        <f t="shared" si="128"/>
        <v>0.42302222222222224</v>
      </c>
      <c r="W249" s="298">
        <f t="shared" si="128"/>
        <v>0.43</v>
      </c>
      <c r="X249" s="298">
        <f t="shared" si="128"/>
        <v>0.43004291845493564</v>
      </c>
      <c r="Y249" s="298">
        <f t="shared" si="128"/>
        <v>0.435</v>
      </c>
      <c r="Z249" s="298">
        <f t="shared" si="128"/>
        <v>0.43003636363636366</v>
      </c>
      <c r="AA249" s="298">
        <f t="shared" si="128"/>
        <v>0.43</v>
      </c>
      <c r="AB249" s="298">
        <f t="shared" si="128"/>
        <v>0.44992389649923897</v>
      </c>
      <c r="AC249" s="298">
        <f t="shared" si="128"/>
        <v>0.43003636363636366</v>
      </c>
      <c r="AD249" s="298">
        <f t="shared" si="128"/>
        <v>0.43</v>
      </c>
      <c r="AE249" s="298">
        <f t="shared" si="128"/>
        <v>0.43</v>
      </c>
      <c r="AF249" s="298">
        <f t="shared" si="128"/>
        <v>0.43</v>
      </c>
      <c r="AG249" s="298" t="e">
        <f t="shared" si="128"/>
        <v>#DIV/0!</v>
      </c>
      <c r="AQ249" s="240" t="s">
        <v>241</v>
      </c>
      <c r="AR249" s="264">
        <v>111.01</v>
      </c>
      <c r="AS249" s="264"/>
      <c r="BA249" s="240" t="s">
        <v>241</v>
      </c>
      <c r="BB249" s="264"/>
      <c r="BC249" s="264"/>
    </row>
    <row r="250" spans="1:58" ht="15.75" thickBot="1">
      <c r="A250" s="240" t="s">
        <v>255</v>
      </c>
      <c r="B250" s="258">
        <v>0.42027397260273974</v>
      </c>
      <c r="C250" s="258">
        <v>0.42</v>
      </c>
      <c r="D250" s="258">
        <v>0.41</v>
      </c>
      <c r="E250" s="258">
        <v>0.41974077766699902</v>
      </c>
      <c r="F250" s="258">
        <v>0.41025641025641024</v>
      </c>
      <c r="G250" s="258">
        <v>0.40769230769230769</v>
      </c>
      <c r="H250" s="258">
        <v>0.4</v>
      </c>
      <c r="I250" s="258">
        <v>0.41630901287553645</v>
      </c>
      <c r="J250" s="258">
        <v>0.40933398152649492</v>
      </c>
      <c r="K250" s="258">
        <v>0.4107142857142857</v>
      </c>
      <c r="L250" s="258">
        <v>0.41904761904761906</v>
      </c>
      <c r="M250" s="258">
        <v>0.42166666666666669</v>
      </c>
      <c r="N250" s="258">
        <v>0.42307692307692307</v>
      </c>
      <c r="O250" s="258">
        <v>0.4229420259954611</v>
      </c>
      <c r="P250" s="258">
        <v>0.42334905660377359</v>
      </c>
      <c r="Q250" s="258">
        <v>0.42299035369774918</v>
      </c>
      <c r="R250" s="258">
        <v>0.4229787234042553</v>
      </c>
      <c r="S250" s="258">
        <v>0.4229549778059607</v>
      </c>
      <c r="T250" s="258">
        <v>0.4229787234042553</v>
      </c>
      <c r="U250" s="258">
        <v>0.4230232558139535</v>
      </c>
      <c r="V250" s="258">
        <v>0.42302222222222224</v>
      </c>
      <c r="W250" s="258">
        <v>0.43</v>
      </c>
      <c r="X250" s="258">
        <v>0.43004291845493564</v>
      </c>
      <c r="Y250" s="258">
        <v>0.435</v>
      </c>
      <c r="Z250" s="259">
        <v>0.43003636363636366</v>
      </c>
      <c r="AA250" s="259">
        <v>0.43</v>
      </c>
      <c r="AB250" s="259">
        <v>0.44992389649923897</v>
      </c>
      <c r="AC250" s="259">
        <v>0.43003636363636366</v>
      </c>
      <c r="AD250" s="259">
        <v>0.43</v>
      </c>
      <c r="AE250" s="259">
        <v>0.43</v>
      </c>
      <c r="AF250" s="259">
        <v>0.43</v>
      </c>
      <c r="AG250" s="259">
        <v>0.43006993006993005</v>
      </c>
    </row>
    <row r="251" spans="1:58">
      <c r="A251" s="248"/>
      <c r="B251" s="248"/>
      <c r="C251" s="248"/>
      <c r="D251" s="248"/>
      <c r="E251" s="248"/>
      <c r="F251" s="248"/>
      <c r="G251" s="248"/>
      <c r="H251" s="248"/>
      <c r="I251" s="248"/>
      <c r="J251" s="248"/>
      <c r="K251" s="248"/>
      <c r="L251" s="248"/>
      <c r="M251" s="248"/>
      <c r="N251" s="248"/>
      <c r="O251" s="248"/>
      <c r="P251" s="248"/>
      <c r="Q251" s="248"/>
      <c r="R251" s="248"/>
      <c r="S251" s="248"/>
      <c r="T251" s="248"/>
      <c r="U251" s="248"/>
      <c r="V251" s="248"/>
      <c r="W251" s="248"/>
      <c r="X251" s="248"/>
      <c r="Y251" s="248"/>
      <c r="Z251" s="248"/>
      <c r="AA251" s="248"/>
      <c r="AB251" s="248"/>
      <c r="AC251" s="248"/>
      <c r="AD251" s="248"/>
      <c r="AE251" s="248"/>
      <c r="AF251" s="248"/>
      <c r="AG251" s="248"/>
    </row>
    <row r="252" spans="1:58" ht="15.75" thickBot="1">
      <c r="A252" s="235" t="s">
        <v>264</v>
      </c>
    </row>
    <row r="253" spans="1:58" ht="15.75" thickBot="1">
      <c r="A253" s="236"/>
      <c r="B253" s="237" t="str">
        <f>B$2</f>
        <v xml:space="preserve">93/94 </v>
      </c>
      <c r="C253" s="237" t="str">
        <f t="shared" ref="C253:AG253" si="129">C$2</f>
        <v xml:space="preserve">94/95 </v>
      </c>
      <c r="D253" s="237" t="str">
        <f t="shared" si="129"/>
        <v xml:space="preserve">95/96 </v>
      </c>
      <c r="E253" s="237" t="str">
        <f t="shared" si="129"/>
        <v xml:space="preserve">96/97 </v>
      </c>
      <c r="F253" s="237" t="str">
        <f t="shared" si="129"/>
        <v xml:space="preserve">97/98 </v>
      </c>
      <c r="G253" s="237" t="str">
        <f t="shared" si="129"/>
        <v xml:space="preserve">98/99 </v>
      </c>
      <c r="H253" s="237" t="str">
        <f t="shared" si="129"/>
        <v xml:space="preserve">99/00 </v>
      </c>
      <c r="I253" s="237" t="str">
        <f t="shared" si="129"/>
        <v xml:space="preserve">00/01 </v>
      </c>
      <c r="J253" s="237" t="str">
        <f t="shared" si="129"/>
        <v xml:space="preserve">01/02 </v>
      </c>
      <c r="K253" s="237" t="str">
        <f t="shared" si="129"/>
        <v xml:space="preserve">02/03 </v>
      </c>
      <c r="L253" s="237" t="str">
        <f t="shared" si="129"/>
        <v xml:space="preserve">03/04 </v>
      </c>
      <c r="M253" s="237" t="str">
        <f t="shared" si="129"/>
        <v xml:space="preserve">04/05 </v>
      </c>
      <c r="N253" s="237" t="str">
        <f t="shared" si="129"/>
        <v xml:space="preserve">05/06 </v>
      </c>
      <c r="O253" s="237" t="str">
        <f t="shared" si="129"/>
        <v xml:space="preserve">06/07 </v>
      </c>
      <c r="P253" s="237" t="str">
        <f t="shared" si="129"/>
        <v xml:space="preserve">07/08 </v>
      </c>
      <c r="Q253" s="237" t="str">
        <f t="shared" si="129"/>
        <v xml:space="preserve">08/09 </v>
      </c>
      <c r="R253" s="237" t="str">
        <f t="shared" si="129"/>
        <v xml:space="preserve">09/10 </v>
      </c>
      <c r="S253" s="237" t="str">
        <f t="shared" si="129"/>
        <v xml:space="preserve">10/11 </v>
      </c>
      <c r="T253" s="237" t="str">
        <f t="shared" si="129"/>
        <v xml:space="preserve">11/12 </v>
      </c>
      <c r="U253" s="237" t="str">
        <f t="shared" si="129"/>
        <v xml:space="preserve">12/13 </v>
      </c>
      <c r="V253" s="237" t="str">
        <f t="shared" si="129"/>
        <v xml:space="preserve">13/14 </v>
      </c>
      <c r="W253" s="237" t="str">
        <f t="shared" si="129"/>
        <v xml:space="preserve">14/15 </v>
      </c>
      <c r="X253" s="237" t="str">
        <f t="shared" si="129"/>
        <v xml:space="preserve">15/16 </v>
      </c>
      <c r="Y253" s="237" t="str">
        <f t="shared" si="129"/>
        <v xml:space="preserve">16/17 </v>
      </c>
      <c r="Z253" s="237" t="str">
        <f t="shared" si="129"/>
        <v xml:space="preserve">17/18 </v>
      </c>
      <c r="AA253" s="237" t="str">
        <f t="shared" si="129"/>
        <v xml:space="preserve">18/19 </v>
      </c>
      <c r="AB253" s="237" t="str">
        <f t="shared" si="129"/>
        <v xml:space="preserve">19/20 </v>
      </c>
      <c r="AC253" s="237" t="str">
        <f t="shared" si="129"/>
        <v xml:space="preserve">20/21 </v>
      </c>
      <c r="AD253" s="237" t="str">
        <f t="shared" si="129"/>
        <v>21/22</v>
      </c>
      <c r="AE253" s="237" t="str">
        <f t="shared" si="129"/>
        <v>22/23</v>
      </c>
      <c r="AF253" s="237" t="str">
        <f t="shared" si="129"/>
        <v>23/24</v>
      </c>
      <c r="AG253" s="237" t="str">
        <f t="shared" si="129"/>
        <v>24/25</v>
      </c>
    </row>
    <row r="254" spans="1:58">
      <c r="A254" s="240" t="s">
        <v>239</v>
      </c>
      <c r="B254" s="298">
        <f t="shared" ref="B254:AG261" si="130">B238+B111</f>
        <v>0.85150684931506859</v>
      </c>
      <c r="C254" s="298">
        <f t="shared" si="130"/>
        <v>0.82000000000000006</v>
      </c>
      <c r="D254" s="298">
        <f t="shared" si="130"/>
        <v>0.79043478260869571</v>
      </c>
      <c r="E254" s="298">
        <f t="shared" si="130"/>
        <v>0.86839481555333997</v>
      </c>
      <c r="F254" s="298">
        <f t="shared" si="130"/>
        <v>0.81318681318681318</v>
      </c>
      <c r="G254" s="298">
        <f t="shared" si="130"/>
        <v>0.80769230769230771</v>
      </c>
      <c r="H254" s="298">
        <f t="shared" si="130"/>
        <v>0.80476190476190479</v>
      </c>
      <c r="I254" s="298">
        <f t="shared" si="130"/>
        <v>0.82403433476394849</v>
      </c>
      <c r="J254" s="298">
        <f t="shared" si="130"/>
        <v>0.81380651434127371</v>
      </c>
      <c r="K254" s="298">
        <f t="shared" si="130"/>
        <v>0.8214285714285714</v>
      </c>
      <c r="L254" s="298">
        <f t="shared" si="130"/>
        <v>0.83174603174603168</v>
      </c>
      <c r="M254" s="298">
        <f t="shared" si="130"/>
        <v>0.83833333333333337</v>
      </c>
      <c r="N254" s="298">
        <f t="shared" si="130"/>
        <v>0.83626373626373618</v>
      </c>
      <c r="O254" s="298">
        <f t="shared" si="130"/>
        <v>0.84072622240561179</v>
      </c>
      <c r="P254" s="298">
        <f t="shared" si="130"/>
        <v>0.84056603773584904</v>
      </c>
      <c r="Q254" s="298">
        <f t="shared" si="130"/>
        <v>0.84099678456591631</v>
      </c>
      <c r="R254" s="298">
        <f t="shared" si="130"/>
        <v>0.84099290780141844</v>
      </c>
      <c r="S254" s="298">
        <f t="shared" si="130"/>
        <v>0.84096385542168695</v>
      </c>
      <c r="T254" s="298">
        <f t="shared" si="130"/>
        <v>0.84106382978723404</v>
      </c>
      <c r="U254" s="298">
        <f t="shared" si="130"/>
        <v>0.841046511627907</v>
      </c>
      <c r="V254" s="298">
        <f t="shared" si="130"/>
        <v>0.83600000000000008</v>
      </c>
      <c r="W254" s="298">
        <f t="shared" si="130"/>
        <v>0.84300970873786407</v>
      </c>
      <c r="X254" s="298">
        <f t="shared" si="130"/>
        <v>0.84300429184549364</v>
      </c>
      <c r="Y254" s="298">
        <f t="shared" si="130"/>
        <v>0.84801369863013698</v>
      </c>
      <c r="Z254" s="298">
        <f t="shared" si="130"/>
        <v>0.8430545454545455</v>
      </c>
      <c r="AA254" s="259">
        <f t="shared" si="130"/>
        <v>0.84297297297297291</v>
      </c>
      <c r="AB254" s="259">
        <f t="shared" si="130"/>
        <v>0.8429223744292238</v>
      </c>
      <c r="AC254" s="259">
        <f t="shared" si="130"/>
        <v>0.8430545454545455</v>
      </c>
      <c r="AD254" s="259">
        <f t="shared" si="130"/>
        <v>0.84296296296296302</v>
      </c>
      <c r="AE254" s="259">
        <f t="shared" si="130"/>
        <v>0.84299999999999997</v>
      </c>
      <c r="AF254" s="259">
        <f t="shared" si="130"/>
        <v>0.84299319727891153</v>
      </c>
      <c r="AG254" s="259">
        <f t="shared" si="130"/>
        <v>0.83908001705381641</v>
      </c>
    </row>
    <row r="255" spans="1:58">
      <c r="A255" s="240" t="s">
        <v>240</v>
      </c>
      <c r="B255" s="298">
        <f t="shared" si="130"/>
        <v>0.85150684931506859</v>
      </c>
      <c r="C255" s="298">
        <f t="shared" si="130"/>
        <v>0.82000000000000006</v>
      </c>
      <c r="D255" s="298">
        <f t="shared" si="130"/>
        <v>0.79043478260869571</v>
      </c>
      <c r="E255" s="298">
        <f t="shared" si="130"/>
        <v>0.86839481555333986</v>
      </c>
      <c r="F255" s="298">
        <f t="shared" si="130"/>
        <v>0.81318681318681318</v>
      </c>
      <c r="G255" s="298">
        <f t="shared" si="130"/>
        <v>0.80769230769230771</v>
      </c>
      <c r="H255" s="298">
        <f t="shared" si="130"/>
        <v>0.80476190476190479</v>
      </c>
      <c r="I255" s="298">
        <f t="shared" si="130"/>
        <v>0.82403433476394849</v>
      </c>
      <c r="J255" s="298">
        <f t="shared" si="130"/>
        <v>0.81380651434127371</v>
      </c>
      <c r="K255" s="298">
        <f t="shared" si="130"/>
        <v>0.8214285714285714</v>
      </c>
      <c r="L255" s="298">
        <f t="shared" si="130"/>
        <v>0.83174603174603168</v>
      </c>
      <c r="M255" s="298">
        <f t="shared" si="130"/>
        <v>0.83833333333333337</v>
      </c>
      <c r="N255" s="298">
        <f t="shared" si="130"/>
        <v>0.83626373626373618</v>
      </c>
      <c r="O255" s="298">
        <f t="shared" si="130"/>
        <v>0.84072622240561179</v>
      </c>
      <c r="P255" s="298">
        <f t="shared" si="130"/>
        <v>0.84056603773584904</v>
      </c>
      <c r="Q255" s="298">
        <f t="shared" si="130"/>
        <v>0.84099678456591642</v>
      </c>
      <c r="R255" s="298">
        <f t="shared" si="130"/>
        <v>0.84099290780141844</v>
      </c>
      <c r="S255" s="298">
        <f t="shared" si="130"/>
        <v>0.84096385542168683</v>
      </c>
      <c r="T255" s="298">
        <f t="shared" si="130"/>
        <v>0.84106382978723404</v>
      </c>
      <c r="U255" s="298">
        <f t="shared" si="130"/>
        <v>0.84104651162790711</v>
      </c>
      <c r="V255" s="298">
        <f t="shared" si="130"/>
        <v>0.83600000000000008</v>
      </c>
      <c r="W255" s="298">
        <f t="shared" si="130"/>
        <v>0.84300970873786407</v>
      </c>
      <c r="X255" s="298">
        <f t="shared" si="130"/>
        <v>0.84300429184549364</v>
      </c>
      <c r="Y255" s="298">
        <f t="shared" si="130"/>
        <v>0.84801369863013698</v>
      </c>
      <c r="Z255" s="298">
        <f t="shared" si="130"/>
        <v>0.8430545454545455</v>
      </c>
      <c r="AA255" s="259">
        <f t="shared" si="130"/>
        <v>0.84297297297297302</v>
      </c>
      <c r="AB255" s="259">
        <f t="shared" si="130"/>
        <v>0.84292237442922369</v>
      </c>
      <c r="AC255" s="259">
        <f t="shared" si="130"/>
        <v>0.8430545454545455</v>
      </c>
      <c r="AD255" s="259">
        <f t="shared" si="130"/>
        <v>0.84296296296296291</v>
      </c>
      <c r="AE255" s="259">
        <f t="shared" si="130"/>
        <v>0.84299999999999997</v>
      </c>
      <c r="AF255" s="259">
        <f t="shared" si="130"/>
        <v>0.84299319727891153</v>
      </c>
      <c r="AG255" s="259">
        <f t="shared" si="130"/>
        <v>0.83908001705381641</v>
      </c>
    </row>
    <row r="256" spans="1:58">
      <c r="A256" s="240" t="s">
        <v>241</v>
      </c>
      <c r="B256" s="298">
        <f t="shared" si="130"/>
        <v>0.85150684931506859</v>
      </c>
      <c r="C256" s="298">
        <f t="shared" si="130"/>
        <v>0.82000000000000006</v>
      </c>
      <c r="D256" s="298">
        <f t="shared" si="130"/>
        <v>0.79043478260869571</v>
      </c>
      <c r="E256" s="298">
        <f t="shared" si="130"/>
        <v>0.86839481555334008</v>
      </c>
      <c r="F256" s="298">
        <f t="shared" si="130"/>
        <v>0.81318681318681318</v>
      </c>
      <c r="G256" s="298">
        <f t="shared" si="130"/>
        <v>0.80769230769230771</v>
      </c>
      <c r="H256" s="298">
        <f t="shared" si="130"/>
        <v>0.80476190476190479</v>
      </c>
      <c r="I256" s="298">
        <f t="shared" si="130"/>
        <v>0.82403433476394849</v>
      </c>
      <c r="J256" s="298">
        <f t="shared" si="130"/>
        <v>0.81380651434127371</v>
      </c>
      <c r="K256" s="298">
        <f t="shared" si="130"/>
        <v>0.8214285714285714</v>
      </c>
      <c r="L256" s="298">
        <f t="shared" si="130"/>
        <v>0.83174603174603168</v>
      </c>
      <c r="M256" s="298">
        <f t="shared" si="130"/>
        <v>0.83833333333333337</v>
      </c>
      <c r="N256" s="298">
        <f t="shared" si="130"/>
        <v>0.83626373626373618</v>
      </c>
      <c r="O256" s="298">
        <f t="shared" si="130"/>
        <v>0.84072622240561179</v>
      </c>
      <c r="P256" s="298">
        <f t="shared" si="130"/>
        <v>0.84056603773584904</v>
      </c>
      <c r="Q256" s="298">
        <f t="shared" si="130"/>
        <v>0.84099678456591642</v>
      </c>
      <c r="R256" s="298">
        <f t="shared" si="130"/>
        <v>0.84099290780141844</v>
      </c>
      <c r="S256" s="298">
        <f t="shared" si="130"/>
        <v>0.84096385542168672</v>
      </c>
      <c r="T256" s="298">
        <f t="shared" si="130"/>
        <v>0.84106382978723415</v>
      </c>
      <c r="U256" s="298">
        <f t="shared" si="130"/>
        <v>0.841046511627907</v>
      </c>
      <c r="V256" s="298">
        <f t="shared" si="130"/>
        <v>0.83600000000000008</v>
      </c>
      <c r="W256" s="298">
        <f t="shared" si="130"/>
        <v>0.84300970873786407</v>
      </c>
      <c r="X256" s="298">
        <f t="shared" si="130"/>
        <v>0.84300429184549364</v>
      </c>
      <c r="Y256" s="298">
        <f t="shared" si="130"/>
        <v>0.84801369863013698</v>
      </c>
      <c r="Z256" s="298">
        <f t="shared" si="130"/>
        <v>0.8430545454545455</v>
      </c>
      <c r="AA256" s="259">
        <f t="shared" si="130"/>
        <v>0.84297297297297302</v>
      </c>
      <c r="AB256" s="259">
        <f t="shared" si="130"/>
        <v>0.84292237442922358</v>
      </c>
      <c r="AC256" s="259">
        <f t="shared" si="130"/>
        <v>0.8430545454545455</v>
      </c>
      <c r="AD256" s="259">
        <f t="shared" si="130"/>
        <v>0.84296296296296291</v>
      </c>
      <c r="AE256" s="259">
        <f t="shared" si="130"/>
        <v>0.84299999999999997</v>
      </c>
      <c r="AF256" s="259">
        <f t="shared" si="130"/>
        <v>0.84299319727891153</v>
      </c>
      <c r="AG256" s="259">
        <f t="shared" si="130"/>
        <v>0.83908001705381641</v>
      </c>
    </row>
    <row r="257" spans="1:34">
      <c r="A257" s="240" t="s">
        <v>231</v>
      </c>
      <c r="B257" s="298">
        <f t="shared" si="130"/>
        <v>0.85150684931506859</v>
      </c>
      <c r="C257" s="298">
        <f t="shared" si="130"/>
        <v>0.82000000000000006</v>
      </c>
      <c r="D257" s="298">
        <f t="shared" si="130"/>
        <v>0.79043478260869571</v>
      </c>
      <c r="E257" s="298">
        <f t="shared" si="130"/>
        <v>0.86839481555333997</v>
      </c>
      <c r="F257" s="298">
        <f t="shared" si="130"/>
        <v>0.81318681318681318</v>
      </c>
      <c r="G257" s="298">
        <f t="shared" si="130"/>
        <v>0.80769230769230771</v>
      </c>
      <c r="H257" s="298">
        <f t="shared" si="130"/>
        <v>0.80476190476190479</v>
      </c>
      <c r="I257" s="298">
        <f t="shared" si="130"/>
        <v>0.82403433476394849</v>
      </c>
      <c r="J257" s="298">
        <f t="shared" si="130"/>
        <v>0.81380651434127371</v>
      </c>
      <c r="K257" s="298">
        <f t="shared" si="130"/>
        <v>0.8214285714285714</v>
      </c>
      <c r="L257" s="298">
        <f t="shared" si="130"/>
        <v>0.83174603174603179</v>
      </c>
      <c r="M257" s="298">
        <f t="shared" si="130"/>
        <v>0.83833333333333337</v>
      </c>
      <c r="N257" s="298">
        <f t="shared" si="130"/>
        <v>0.83626373626373618</v>
      </c>
      <c r="O257" s="298">
        <f t="shared" si="130"/>
        <v>0.84072622240561179</v>
      </c>
      <c r="P257" s="298">
        <f t="shared" si="130"/>
        <v>0.84056603773584904</v>
      </c>
      <c r="Q257" s="298">
        <f t="shared" si="130"/>
        <v>0.84099678456591631</v>
      </c>
      <c r="R257" s="298">
        <f t="shared" si="130"/>
        <v>0.84099290780141844</v>
      </c>
      <c r="S257" s="298">
        <f t="shared" si="130"/>
        <v>0.84096385542168672</v>
      </c>
      <c r="T257" s="298">
        <f t="shared" si="130"/>
        <v>0.84106382978723404</v>
      </c>
      <c r="U257" s="298">
        <f t="shared" si="130"/>
        <v>0.841046511627907</v>
      </c>
      <c r="V257" s="298">
        <f t="shared" si="130"/>
        <v>0.83600000000000008</v>
      </c>
      <c r="W257" s="298">
        <f t="shared" si="130"/>
        <v>0.84300970873786407</v>
      </c>
      <c r="X257" s="298">
        <f t="shared" si="130"/>
        <v>0.84300429184549364</v>
      </c>
      <c r="Y257" s="298">
        <f t="shared" si="130"/>
        <v>0.84801369863013687</v>
      </c>
      <c r="Z257" s="298">
        <f t="shared" si="130"/>
        <v>0.8430545454545455</v>
      </c>
      <c r="AA257" s="259">
        <f t="shared" si="130"/>
        <v>0.84297297297297302</v>
      </c>
      <c r="AB257" s="259">
        <f t="shared" si="130"/>
        <v>0.84292237442922358</v>
      </c>
      <c r="AC257" s="259">
        <f t="shared" si="130"/>
        <v>0.69903108756891297</v>
      </c>
      <c r="AD257" s="259">
        <f t="shared" si="130"/>
        <v>0.84296296296296291</v>
      </c>
      <c r="AE257" s="259">
        <f t="shared" si="130"/>
        <v>0.84299999999999997</v>
      </c>
      <c r="AF257" s="259">
        <f t="shared" si="130"/>
        <v>0.84299319727891153</v>
      </c>
      <c r="AG257" s="259">
        <f t="shared" si="130"/>
        <v>0.83908001705381641</v>
      </c>
    </row>
    <row r="258" spans="1:34">
      <c r="A258" s="240" t="s">
        <v>232</v>
      </c>
      <c r="B258" s="298">
        <f t="shared" si="130"/>
        <v>0.85150684931506859</v>
      </c>
      <c r="C258" s="298">
        <f t="shared" si="130"/>
        <v>0.82000000000000006</v>
      </c>
      <c r="D258" s="298">
        <f t="shared" si="130"/>
        <v>0.79043478260869571</v>
      </c>
      <c r="E258" s="298">
        <f t="shared" si="130"/>
        <v>0.86839481555334008</v>
      </c>
      <c r="F258" s="298">
        <f t="shared" si="130"/>
        <v>0.81318681318681318</v>
      </c>
      <c r="G258" s="298">
        <f t="shared" si="130"/>
        <v>0.80769230769230771</v>
      </c>
      <c r="H258" s="298">
        <f t="shared" si="130"/>
        <v>0.80476190476190479</v>
      </c>
      <c r="I258" s="298">
        <f t="shared" si="130"/>
        <v>0.82403433476394849</v>
      </c>
      <c r="J258" s="298">
        <f t="shared" si="130"/>
        <v>0.81380651434127371</v>
      </c>
      <c r="K258" s="298">
        <f t="shared" si="130"/>
        <v>0.8214285714285714</v>
      </c>
      <c r="L258" s="298">
        <f t="shared" si="130"/>
        <v>0.83174603174603168</v>
      </c>
      <c r="M258" s="298">
        <f t="shared" si="130"/>
        <v>0.83833333333333337</v>
      </c>
      <c r="N258" s="298">
        <f t="shared" si="130"/>
        <v>0.83626373626373618</v>
      </c>
      <c r="O258" s="298">
        <f t="shared" si="130"/>
        <v>0.84072622240561179</v>
      </c>
      <c r="P258" s="298">
        <f t="shared" si="130"/>
        <v>0.84056603773584904</v>
      </c>
      <c r="Q258" s="298">
        <f t="shared" si="130"/>
        <v>0.84099678456591631</v>
      </c>
      <c r="R258" s="298">
        <f t="shared" si="130"/>
        <v>0.84099290780141844</v>
      </c>
      <c r="S258" s="298">
        <f t="shared" si="130"/>
        <v>0.84096385542168672</v>
      </c>
      <c r="T258" s="298">
        <f t="shared" si="130"/>
        <v>0.84106382978723404</v>
      </c>
      <c r="U258" s="298">
        <f t="shared" si="130"/>
        <v>0.841046511627907</v>
      </c>
      <c r="V258" s="298">
        <f t="shared" si="130"/>
        <v>0.83600000000000008</v>
      </c>
      <c r="W258" s="298">
        <f t="shared" si="130"/>
        <v>0.84300970873786407</v>
      </c>
      <c r="X258" s="298">
        <f t="shared" si="130"/>
        <v>0.84300429184549364</v>
      </c>
      <c r="Y258" s="298">
        <f t="shared" si="130"/>
        <v>0.84801369863013698</v>
      </c>
      <c r="Z258" s="298">
        <f t="shared" si="130"/>
        <v>0.8430545454545455</v>
      </c>
      <c r="AA258" s="259">
        <f t="shared" si="130"/>
        <v>0.84297297297297291</v>
      </c>
      <c r="AB258" s="259">
        <f t="shared" si="130"/>
        <v>0.8429223744292238</v>
      </c>
      <c r="AC258" s="259">
        <f t="shared" si="130"/>
        <v>0.80935381476938917</v>
      </c>
      <c r="AD258" s="259">
        <f t="shared" si="130"/>
        <v>0.84296296296296291</v>
      </c>
      <c r="AE258" s="259">
        <f t="shared" si="130"/>
        <v>0.84299999999999997</v>
      </c>
      <c r="AF258" s="259">
        <f t="shared" si="130"/>
        <v>0.84299319727891153</v>
      </c>
      <c r="AG258" s="259">
        <f t="shared" si="130"/>
        <v>0.83908001705381641</v>
      </c>
    </row>
    <row r="259" spans="1:34">
      <c r="A259" s="240" t="s">
        <v>233</v>
      </c>
      <c r="B259" s="298">
        <f t="shared" si="130"/>
        <v>0.85150684931506848</v>
      </c>
      <c r="C259" s="298">
        <f t="shared" si="130"/>
        <v>0.82000000000000006</v>
      </c>
      <c r="D259" s="298">
        <f t="shared" si="130"/>
        <v>0.79043478260869571</v>
      </c>
      <c r="E259" s="298">
        <f t="shared" si="130"/>
        <v>0.86839481555333997</v>
      </c>
      <c r="F259" s="298">
        <f t="shared" si="130"/>
        <v>0.81318681318681318</v>
      </c>
      <c r="G259" s="298">
        <f t="shared" si="130"/>
        <v>0.80769230769230771</v>
      </c>
      <c r="H259" s="298">
        <f t="shared" si="130"/>
        <v>0.80476190476190479</v>
      </c>
      <c r="I259" s="298">
        <f t="shared" si="130"/>
        <v>0.82403433476394849</v>
      </c>
      <c r="J259" s="298">
        <f t="shared" si="130"/>
        <v>0.81380651434127382</v>
      </c>
      <c r="K259" s="298">
        <f t="shared" si="130"/>
        <v>0.8214285714285714</v>
      </c>
      <c r="L259" s="298">
        <f t="shared" si="130"/>
        <v>0.83174603174603168</v>
      </c>
      <c r="M259" s="298">
        <f t="shared" si="130"/>
        <v>0.83833333333333337</v>
      </c>
      <c r="N259" s="298">
        <f t="shared" si="130"/>
        <v>0.83626373626373618</v>
      </c>
      <c r="O259" s="298">
        <f t="shared" si="130"/>
        <v>0.84072622240561179</v>
      </c>
      <c r="P259" s="298">
        <f t="shared" si="130"/>
        <v>0.84056603773584904</v>
      </c>
      <c r="Q259" s="298">
        <f t="shared" si="130"/>
        <v>0.84099678456591631</v>
      </c>
      <c r="R259" s="298">
        <f t="shared" si="130"/>
        <v>0.84099290780141844</v>
      </c>
      <c r="S259" s="298">
        <f t="shared" si="130"/>
        <v>0.84096385542168672</v>
      </c>
      <c r="T259" s="298">
        <f t="shared" si="130"/>
        <v>0.84106382978723404</v>
      </c>
      <c r="U259" s="298">
        <f t="shared" si="130"/>
        <v>0.841046511627907</v>
      </c>
      <c r="V259" s="298">
        <f t="shared" si="130"/>
        <v>0.83599999999999997</v>
      </c>
      <c r="W259" s="298">
        <f t="shared" si="130"/>
        <v>0.84300970873786407</v>
      </c>
      <c r="X259" s="298">
        <f t="shared" si="130"/>
        <v>0.84300429184549364</v>
      </c>
      <c r="Y259" s="298">
        <f t="shared" si="130"/>
        <v>0.84801369863013698</v>
      </c>
      <c r="Z259" s="298">
        <f t="shared" si="130"/>
        <v>0.8430545454545455</v>
      </c>
      <c r="AA259" s="259">
        <f t="shared" si="130"/>
        <v>0.84297297297297291</v>
      </c>
      <c r="AB259" s="259">
        <f t="shared" si="130"/>
        <v>0.84292237442922369</v>
      </c>
      <c r="AC259" s="259">
        <f t="shared" si="130"/>
        <v>0.89805160190505506</v>
      </c>
      <c r="AD259" s="259">
        <f t="shared" si="130"/>
        <v>0.84296296296296291</v>
      </c>
      <c r="AE259" s="259">
        <f t="shared" si="130"/>
        <v>0.84299999999999997</v>
      </c>
      <c r="AF259" s="259">
        <f t="shared" si="130"/>
        <v>0.84299319727891153</v>
      </c>
      <c r="AG259" s="259">
        <f t="shared" si="130"/>
        <v>0.83908001705381641</v>
      </c>
    </row>
    <row r="260" spans="1:34">
      <c r="A260" s="240" t="s">
        <v>234</v>
      </c>
      <c r="B260" s="298">
        <f t="shared" si="130"/>
        <v>0.85150684931506859</v>
      </c>
      <c r="C260" s="298">
        <f t="shared" si="130"/>
        <v>0.82000000000000006</v>
      </c>
      <c r="D260" s="298">
        <f t="shared" si="130"/>
        <v>0.79043478260869571</v>
      </c>
      <c r="E260" s="298">
        <f t="shared" si="130"/>
        <v>0.86839481555333997</v>
      </c>
      <c r="F260" s="298">
        <f t="shared" si="130"/>
        <v>0.81318681318681318</v>
      </c>
      <c r="G260" s="298">
        <f t="shared" si="130"/>
        <v>0.80769230769230771</v>
      </c>
      <c r="H260" s="298">
        <f t="shared" si="130"/>
        <v>0.80476190476190479</v>
      </c>
      <c r="I260" s="298">
        <f t="shared" si="130"/>
        <v>0.82403433476394849</v>
      </c>
      <c r="J260" s="298">
        <f t="shared" si="130"/>
        <v>0.81380651434127371</v>
      </c>
      <c r="K260" s="298">
        <f t="shared" si="130"/>
        <v>0.8214285714285714</v>
      </c>
      <c r="L260" s="298">
        <f t="shared" si="130"/>
        <v>0.83174603174603168</v>
      </c>
      <c r="M260" s="298">
        <f t="shared" si="130"/>
        <v>0.83833333333333337</v>
      </c>
      <c r="N260" s="298">
        <f t="shared" si="130"/>
        <v>0.83626373626373618</v>
      </c>
      <c r="O260" s="298">
        <f t="shared" si="130"/>
        <v>0.84072622240561179</v>
      </c>
      <c r="P260" s="298">
        <f t="shared" si="130"/>
        <v>0.84056603773584904</v>
      </c>
      <c r="Q260" s="298">
        <f t="shared" si="130"/>
        <v>0.84099678456591631</v>
      </c>
      <c r="R260" s="298">
        <f t="shared" si="130"/>
        <v>0.84099290780141844</v>
      </c>
      <c r="S260" s="298">
        <f t="shared" si="130"/>
        <v>0.84096385542168672</v>
      </c>
      <c r="T260" s="298">
        <f t="shared" si="130"/>
        <v>0.84106382978723404</v>
      </c>
      <c r="U260" s="298">
        <f t="shared" si="130"/>
        <v>0.841046511627907</v>
      </c>
      <c r="V260" s="298">
        <f t="shared" si="130"/>
        <v>0.83600000000000008</v>
      </c>
      <c r="W260" s="298">
        <f t="shared" si="130"/>
        <v>0.84300970873786407</v>
      </c>
      <c r="X260" s="298">
        <f t="shared" si="130"/>
        <v>0.84300429184549364</v>
      </c>
      <c r="Y260" s="298">
        <f t="shared" si="130"/>
        <v>0.84801369863013698</v>
      </c>
      <c r="Z260" s="259">
        <f t="shared" si="130"/>
        <v>0.8430545454545455</v>
      </c>
      <c r="AA260" s="259">
        <f t="shared" si="130"/>
        <v>0.84297297297297302</v>
      </c>
      <c r="AB260" s="259">
        <f t="shared" si="130"/>
        <v>0.8429223744292238</v>
      </c>
      <c r="AC260" s="259">
        <f t="shared" si="130"/>
        <v>0.7764583940668871</v>
      </c>
      <c r="AD260" s="259">
        <f t="shared" si="130"/>
        <v>0.84296296296296291</v>
      </c>
      <c r="AE260" s="259">
        <f t="shared" si="130"/>
        <v>0.84299999999999997</v>
      </c>
      <c r="AF260" s="259">
        <f t="shared" si="130"/>
        <v>0.84299319727891153</v>
      </c>
      <c r="AG260" s="259">
        <f t="shared" si="130"/>
        <v>0.83908001705381641</v>
      </c>
    </row>
    <row r="261" spans="1:34">
      <c r="A261" s="240" t="s">
        <v>46</v>
      </c>
      <c r="B261" s="298">
        <f t="shared" si="130"/>
        <v>0.85150684931506859</v>
      </c>
      <c r="C261" s="298">
        <f t="shared" si="130"/>
        <v>0.82000000000000006</v>
      </c>
      <c r="D261" s="298">
        <f t="shared" si="130"/>
        <v>0.79043478260869571</v>
      </c>
      <c r="E261" s="298">
        <f t="shared" si="130"/>
        <v>0.86839481555334008</v>
      </c>
      <c r="F261" s="298">
        <f t="shared" si="130"/>
        <v>0.81318681318681318</v>
      </c>
      <c r="G261" s="298">
        <f t="shared" si="130"/>
        <v>0.80769230769230771</v>
      </c>
      <c r="H261" s="298">
        <f t="shared" si="130"/>
        <v>0.80476190476190479</v>
      </c>
      <c r="I261" s="298">
        <f t="shared" si="130"/>
        <v>0.82403433476394849</v>
      </c>
      <c r="J261" s="298">
        <f t="shared" si="130"/>
        <v>0.8138065143412736</v>
      </c>
      <c r="K261" s="298">
        <f t="shared" si="130"/>
        <v>0.8214285714285714</v>
      </c>
      <c r="L261" s="298">
        <f t="shared" si="130"/>
        <v>0.83174603174603168</v>
      </c>
      <c r="M261" s="298">
        <f t="shared" si="130"/>
        <v>0.83833333333333337</v>
      </c>
      <c r="N261" s="298">
        <f t="shared" si="130"/>
        <v>0.83626373626373618</v>
      </c>
      <c r="O261" s="298">
        <f t="shared" si="130"/>
        <v>0.84072622240561179</v>
      </c>
      <c r="P261" s="298">
        <f t="shared" si="130"/>
        <v>0.84056603773584904</v>
      </c>
      <c r="Q261" s="298">
        <f t="shared" si="130"/>
        <v>0.84099678456591631</v>
      </c>
      <c r="R261" s="298">
        <f t="shared" si="130"/>
        <v>0.84099290780141844</v>
      </c>
      <c r="S261" s="298">
        <f t="shared" si="130"/>
        <v>0.84096385542168672</v>
      </c>
      <c r="T261" s="298">
        <f t="shared" si="130"/>
        <v>0.84106382978723404</v>
      </c>
      <c r="U261" s="298">
        <f t="shared" si="130"/>
        <v>0.841046511627907</v>
      </c>
      <c r="V261" s="298">
        <f t="shared" si="130"/>
        <v>0.83600000000000008</v>
      </c>
      <c r="W261" s="298">
        <f t="shared" si="130"/>
        <v>0.84300970873786407</v>
      </c>
      <c r="X261" s="298">
        <f t="shared" si="130"/>
        <v>0.84300429184549364</v>
      </c>
      <c r="Y261" s="298">
        <f t="shared" si="130"/>
        <v>0.84801369863013698</v>
      </c>
      <c r="Z261" s="259">
        <f t="shared" si="130"/>
        <v>0.8430545454545455</v>
      </c>
      <c r="AA261" s="259">
        <f t="shared" si="130"/>
        <v>0.84297297297297291</v>
      </c>
      <c r="AB261" s="259">
        <f t="shared" si="130"/>
        <v>0.8429223744292238</v>
      </c>
      <c r="AC261" s="259">
        <f t="shared" si="130"/>
        <v>0.75240629871619336</v>
      </c>
      <c r="AD261" s="259">
        <f t="shared" si="130"/>
        <v>0.84296296296296291</v>
      </c>
      <c r="AE261" s="259">
        <f t="shared" si="130"/>
        <v>0.84299999999999997</v>
      </c>
      <c r="AF261" s="259">
        <f t="shared" si="130"/>
        <v>0.84299319727891153</v>
      </c>
      <c r="AG261" s="259">
        <f t="shared" ref="AG261:AH261" si="131">AG245+AG118</f>
        <v>0.83908001705381641</v>
      </c>
    </row>
    <row r="262" spans="1:34">
      <c r="A262" s="240" t="s">
        <v>235</v>
      </c>
      <c r="B262" s="298">
        <f t="shared" ref="B262:AG266" si="132">B246+B119</f>
        <v>0.85150684931506859</v>
      </c>
      <c r="C262" s="298">
        <f t="shared" si="132"/>
        <v>0.82</v>
      </c>
      <c r="D262" s="298">
        <f t="shared" si="132"/>
        <v>0.79043478260869571</v>
      </c>
      <c r="E262" s="298">
        <f t="shared" si="132"/>
        <v>0.86839481555333997</v>
      </c>
      <c r="F262" s="298">
        <f t="shared" si="132"/>
        <v>0.81318681318681318</v>
      </c>
      <c r="G262" s="298">
        <f t="shared" si="132"/>
        <v>0.80769230769230771</v>
      </c>
      <c r="H262" s="298">
        <f t="shared" si="132"/>
        <v>0.80476190476190479</v>
      </c>
      <c r="I262" s="298">
        <f t="shared" si="132"/>
        <v>0.82403433476394849</v>
      </c>
      <c r="J262" s="298">
        <f t="shared" si="132"/>
        <v>0.81380651434127371</v>
      </c>
      <c r="K262" s="298">
        <f t="shared" si="132"/>
        <v>0.8214285714285714</v>
      </c>
      <c r="L262" s="298">
        <f t="shared" si="132"/>
        <v>0.83174603174603168</v>
      </c>
      <c r="M262" s="298">
        <f t="shared" si="132"/>
        <v>0.83833333333333337</v>
      </c>
      <c r="N262" s="298">
        <f t="shared" si="132"/>
        <v>0.83626373626373618</v>
      </c>
      <c r="O262" s="298">
        <f t="shared" si="132"/>
        <v>0.84072622240561179</v>
      </c>
      <c r="P262" s="298">
        <f t="shared" si="132"/>
        <v>0.84056603773584904</v>
      </c>
      <c r="Q262" s="298">
        <f t="shared" si="132"/>
        <v>0.84099678456591631</v>
      </c>
      <c r="R262" s="298">
        <f t="shared" si="132"/>
        <v>0.84099290780141844</v>
      </c>
      <c r="S262" s="298">
        <f t="shared" si="132"/>
        <v>0.84096385542168672</v>
      </c>
      <c r="T262" s="298">
        <f t="shared" si="132"/>
        <v>0.84106382978723393</v>
      </c>
      <c r="U262" s="298">
        <f t="shared" si="132"/>
        <v>0.841046511627907</v>
      </c>
      <c r="V262" s="298">
        <f t="shared" si="132"/>
        <v>0.83599999999999997</v>
      </c>
      <c r="W262" s="298">
        <f t="shared" si="132"/>
        <v>0.84300970873786407</v>
      </c>
      <c r="X262" s="298">
        <f t="shared" si="132"/>
        <v>0.84300429184549364</v>
      </c>
      <c r="Y262" s="298">
        <f t="shared" si="132"/>
        <v>0.84801369863013698</v>
      </c>
      <c r="Z262" s="259">
        <f t="shared" si="132"/>
        <v>0.8430545454545455</v>
      </c>
      <c r="AA262" s="259">
        <f t="shared" si="132"/>
        <v>0.84297297297297291</v>
      </c>
      <c r="AB262" s="259">
        <f t="shared" si="132"/>
        <v>0.84292237442922369</v>
      </c>
      <c r="AC262" s="259">
        <f t="shared" si="132"/>
        <v>0.76760787821118326</v>
      </c>
      <c r="AD262" s="259">
        <f t="shared" si="132"/>
        <v>0.84296296296296291</v>
      </c>
      <c r="AE262" s="259">
        <f t="shared" si="132"/>
        <v>0.84299999999999997</v>
      </c>
      <c r="AF262" s="259">
        <f t="shared" si="132"/>
        <v>0.84299319727891153</v>
      </c>
      <c r="AG262" s="259">
        <f t="shared" si="132"/>
        <v>0.83908001705381641</v>
      </c>
    </row>
    <row r="263" spans="1:34">
      <c r="A263" s="240" t="s">
        <v>236</v>
      </c>
      <c r="B263" s="298">
        <f t="shared" si="132"/>
        <v>0.85150684931506859</v>
      </c>
      <c r="C263" s="298">
        <f t="shared" si="132"/>
        <v>0.82000000000000006</v>
      </c>
      <c r="D263" s="298">
        <f t="shared" si="132"/>
        <v>0.79043478260869571</v>
      </c>
      <c r="E263" s="298">
        <f t="shared" si="132"/>
        <v>0.86839481555333997</v>
      </c>
      <c r="F263" s="298">
        <f t="shared" si="132"/>
        <v>0.81318681318681318</v>
      </c>
      <c r="G263" s="298">
        <f t="shared" si="132"/>
        <v>0.80769230769230771</v>
      </c>
      <c r="H263" s="298">
        <f t="shared" si="132"/>
        <v>0.80476190476190479</v>
      </c>
      <c r="I263" s="298">
        <f t="shared" si="132"/>
        <v>0.82403433476394849</v>
      </c>
      <c r="J263" s="298">
        <f t="shared" si="132"/>
        <v>0.81380651434127371</v>
      </c>
      <c r="K263" s="298">
        <f t="shared" si="132"/>
        <v>0.8214285714285714</v>
      </c>
      <c r="L263" s="298">
        <f t="shared" si="132"/>
        <v>0.83174603174603168</v>
      </c>
      <c r="M263" s="298">
        <f t="shared" si="132"/>
        <v>0.83833333333333337</v>
      </c>
      <c r="N263" s="298">
        <f t="shared" si="132"/>
        <v>0.83626373626373618</v>
      </c>
      <c r="O263" s="298">
        <f t="shared" si="132"/>
        <v>0.84072622240561168</v>
      </c>
      <c r="P263" s="298">
        <f t="shared" si="132"/>
        <v>0.84056603773584904</v>
      </c>
      <c r="Q263" s="298">
        <f t="shared" si="132"/>
        <v>0.84099678456591631</v>
      </c>
      <c r="R263" s="298">
        <f t="shared" si="132"/>
        <v>0.84099290780141844</v>
      </c>
      <c r="S263" s="298">
        <f t="shared" si="132"/>
        <v>0.84096385542168672</v>
      </c>
      <c r="T263" s="298">
        <f t="shared" si="132"/>
        <v>0.84106382978723404</v>
      </c>
      <c r="U263" s="298">
        <f t="shared" si="132"/>
        <v>0.84104651162790689</v>
      </c>
      <c r="V263" s="298">
        <f t="shared" si="132"/>
        <v>0.83600000000000008</v>
      </c>
      <c r="W263" s="298">
        <f t="shared" si="132"/>
        <v>0.84300970873786407</v>
      </c>
      <c r="X263" s="298">
        <f t="shared" si="132"/>
        <v>0.84300429184549364</v>
      </c>
      <c r="Y263" s="298">
        <f t="shared" si="132"/>
        <v>0.84801369863013698</v>
      </c>
      <c r="Z263" s="259">
        <f t="shared" si="132"/>
        <v>0.8430545454545455</v>
      </c>
      <c r="AA263" s="259">
        <f t="shared" si="132"/>
        <v>0.84297297297297302</v>
      </c>
      <c r="AB263" s="259">
        <f t="shared" si="132"/>
        <v>0.8429223744292238</v>
      </c>
      <c r="AC263" s="259">
        <f t="shared" si="132"/>
        <v>0.66973980036191927</v>
      </c>
      <c r="AD263" s="259">
        <f t="shared" si="132"/>
        <v>0.84296296296296302</v>
      </c>
      <c r="AE263" s="259">
        <f t="shared" si="132"/>
        <v>0.84299999999999997</v>
      </c>
      <c r="AF263" s="259">
        <f t="shared" si="132"/>
        <v>0.84299319727891153</v>
      </c>
      <c r="AG263" s="259">
        <f t="shared" si="132"/>
        <v>0.83908001705381641</v>
      </c>
    </row>
    <row r="264" spans="1:34">
      <c r="A264" s="240" t="s">
        <v>237</v>
      </c>
      <c r="B264" s="298">
        <f t="shared" si="132"/>
        <v>0.85150684931506859</v>
      </c>
      <c r="C264" s="298">
        <f t="shared" si="132"/>
        <v>0.82</v>
      </c>
      <c r="D264" s="298">
        <f t="shared" si="132"/>
        <v>0.79043478260869571</v>
      </c>
      <c r="E264" s="298">
        <f t="shared" si="132"/>
        <v>0.86839481555333997</v>
      </c>
      <c r="F264" s="298">
        <f t="shared" si="132"/>
        <v>0.81318681318681318</v>
      </c>
      <c r="G264" s="298">
        <f t="shared" si="132"/>
        <v>0.80769230769230771</v>
      </c>
      <c r="H264" s="298">
        <f t="shared" si="132"/>
        <v>0.80476190476190479</v>
      </c>
      <c r="I264" s="298">
        <f t="shared" si="132"/>
        <v>0.82403433476394849</v>
      </c>
      <c r="J264" s="298">
        <f t="shared" si="132"/>
        <v>0.81380651434127382</v>
      </c>
      <c r="K264" s="298">
        <f t="shared" si="132"/>
        <v>0.8214285714285714</v>
      </c>
      <c r="L264" s="298">
        <f t="shared" si="132"/>
        <v>0.83174603174603168</v>
      </c>
      <c r="M264" s="298">
        <f t="shared" si="132"/>
        <v>0.83833333333333337</v>
      </c>
      <c r="N264" s="298">
        <f t="shared" si="132"/>
        <v>0.83626373626373618</v>
      </c>
      <c r="O264" s="298">
        <f t="shared" si="132"/>
        <v>0.84072622240561179</v>
      </c>
      <c r="P264" s="298">
        <f t="shared" si="132"/>
        <v>0.84056603773584904</v>
      </c>
      <c r="Q264" s="298">
        <f t="shared" si="132"/>
        <v>0.84099678456591631</v>
      </c>
      <c r="R264" s="298">
        <f t="shared" si="132"/>
        <v>0.84099290780141844</v>
      </c>
      <c r="S264" s="298">
        <f t="shared" si="132"/>
        <v>0.84096385542168672</v>
      </c>
      <c r="T264" s="298">
        <f t="shared" si="132"/>
        <v>0.84106382978723415</v>
      </c>
      <c r="U264" s="298">
        <f t="shared" si="132"/>
        <v>0.841046511627907</v>
      </c>
      <c r="V264" s="298">
        <f t="shared" si="132"/>
        <v>0.83600000000000008</v>
      </c>
      <c r="W264" s="298">
        <f t="shared" si="132"/>
        <v>0.84300970873786407</v>
      </c>
      <c r="X264" s="298">
        <f t="shared" si="132"/>
        <v>0.84300429184549364</v>
      </c>
      <c r="Y264" s="298">
        <f t="shared" si="132"/>
        <v>0.84801369863013698</v>
      </c>
      <c r="Z264" s="259">
        <f t="shared" si="132"/>
        <v>0.8430545454545455</v>
      </c>
      <c r="AA264" s="259">
        <f t="shared" si="132"/>
        <v>0.84297297297297291</v>
      </c>
      <c r="AB264" s="259">
        <f t="shared" si="132"/>
        <v>0.84292237442922369</v>
      </c>
      <c r="AC264" s="259">
        <f t="shared" si="132"/>
        <v>0.8430545454545455</v>
      </c>
      <c r="AD264" s="259">
        <f t="shared" si="132"/>
        <v>0.84296296296296302</v>
      </c>
      <c r="AE264" s="259">
        <f t="shared" si="132"/>
        <v>0.84299999999999997</v>
      </c>
      <c r="AF264" s="259">
        <f t="shared" si="132"/>
        <v>0.84299319727891153</v>
      </c>
      <c r="AG264" s="259">
        <f t="shared" si="132"/>
        <v>0.83908001705381641</v>
      </c>
    </row>
    <row r="265" spans="1:34">
      <c r="A265" s="240" t="s">
        <v>238</v>
      </c>
      <c r="B265" s="298">
        <f t="shared" si="132"/>
        <v>0.85150684931506859</v>
      </c>
      <c r="C265" s="298">
        <f t="shared" si="132"/>
        <v>0.82000000000000006</v>
      </c>
      <c r="D265" s="298">
        <f t="shared" si="132"/>
        <v>0.7904347826086956</v>
      </c>
      <c r="E265" s="298">
        <f t="shared" si="132"/>
        <v>0.86839481555333986</v>
      </c>
      <c r="F265" s="298">
        <f t="shared" si="132"/>
        <v>0.81318681318681318</v>
      </c>
      <c r="G265" s="298">
        <f t="shared" si="132"/>
        <v>0.80769230769230771</v>
      </c>
      <c r="H265" s="298">
        <f t="shared" si="132"/>
        <v>0.80476190476190479</v>
      </c>
      <c r="I265" s="298">
        <f t="shared" si="132"/>
        <v>0.82403433476394849</v>
      </c>
      <c r="J265" s="298">
        <f t="shared" si="132"/>
        <v>0.81380651434127371</v>
      </c>
      <c r="K265" s="298">
        <f t="shared" si="132"/>
        <v>0.8214285714285714</v>
      </c>
      <c r="L265" s="298">
        <f t="shared" si="132"/>
        <v>0.83174603174603168</v>
      </c>
      <c r="M265" s="298">
        <f t="shared" si="132"/>
        <v>0.83833333333333337</v>
      </c>
      <c r="N265" s="298">
        <f t="shared" si="132"/>
        <v>0.83626373626373618</v>
      </c>
      <c r="O265" s="298">
        <f t="shared" si="132"/>
        <v>0.84072622240561179</v>
      </c>
      <c r="P265" s="298">
        <f t="shared" si="132"/>
        <v>0.84056603773584904</v>
      </c>
      <c r="Q265" s="298">
        <f t="shared" si="132"/>
        <v>0.84099678456591631</v>
      </c>
      <c r="R265" s="298">
        <f t="shared" si="132"/>
        <v>0.84099290780141844</v>
      </c>
      <c r="S265" s="298">
        <f t="shared" si="132"/>
        <v>0.84096385542168672</v>
      </c>
      <c r="T265" s="298">
        <f t="shared" si="132"/>
        <v>0.84106382978723393</v>
      </c>
      <c r="U265" s="298">
        <f t="shared" si="132"/>
        <v>0.84104651162790711</v>
      </c>
      <c r="V265" s="298">
        <f t="shared" si="132"/>
        <v>0.83600000000000008</v>
      </c>
      <c r="W265" s="298">
        <f t="shared" si="132"/>
        <v>0.84300970873786407</v>
      </c>
      <c r="X265" s="298">
        <f t="shared" si="132"/>
        <v>0.84300429184549364</v>
      </c>
      <c r="Y265" s="298">
        <f t="shared" si="132"/>
        <v>0.84801369863013698</v>
      </c>
      <c r="Z265" s="259">
        <f t="shared" si="132"/>
        <v>0.8430545454545455</v>
      </c>
      <c r="AA265" s="259">
        <f t="shared" si="132"/>
        <v>0.84297297297297291</v>
      </c>
      <c r="AB265" s="259">
        <f t="shared" si="132"/>
        <v>0.8429223744292238</v>
      </c>
      <c r="AC265" s="259">
        <f t="shared" si="132"/>
        <v>0.8430545454545455</v>
      </c>
      <c r="AD265" s="259">
        <f>AD249+AD122</f>
        <v>0.84296296296296291</v>
      </c>
      <c r="AE265" s="259">
        <f t="shared" si="132"/>
        <v>0.84299999999999997</v>
      </c>
      <c r="AF265" s="259">
        <f t="shared" si="132"/>
        <v>0.84299319727891153</v>
      </c>
      <c r="AG265" s="259" t="e">
        <f t="shared" si="132"/>
        <v>#DIV/0!</v>
      </c>
    </row>
    <row r="266" spans="1:34" ht="15.75" thickBot="1">
      <c r="A266" s="240" t="s">
        <v>255</v>
      </c>
      <c r="B266" s="258">
        <f t="shared" si="132"/>
        <v>0.85150684931506859</v>
      </c>
      <c r="C266" s="258">
        <f t="shared" si="132"/>
        <v>0.82000000000000006</v>
      </c>
      <c r="D266" s="258">
        <f t="shared" si="132"/>
        <v>0.79043478260869571</v>
      </c>
      <c r="E266" s="258">
        <f t="shared" si="132"/>
        <v>0.86839481555333997</v>
      </c>
      <c r="F266" s="258">
        <f t="shared" si="132"/>
        <v>0.81318681318681318</v>
      </c>
      <c r="G266" s="258">
        <f t="shared" si="132"/>
        <v>0.80769230769230771</v>
      </c>
      <c r="H266" s="258">
        <f t="shared" si="132"/>
        <v>0.80476190476190479</v>
      </c>
      <c r="I266" s="258">
        <f t="shared" si="132"/>
        <v>0.82403433476394849</v>
      </c>
      <c r="J266" s="258">
        <f t="shared" si="132"/>
        <v>0.81380651434127371</v>
      </c>
      <c r="K266" s="258">
        <f t="shared" si="132"/>
        <v>0.8214285714285714</v>
      </c>
      <c r="L266" s="258">
        <f t="shared" si="132"/>
        <v>0.83174603174603168</v>
      </c>
      <c r="M266" s="258">
        <f t="shared" si="132"/>
        <v>0.83833333333333337</v>
      </c>
      <c r="N266" s="258">
        <f t="shared" si="132"/>
        <v>0.83626373626373618</v>
      </c>
      <c r="O266" s="258">
        <f t="shared" si="132"/>
        <v>0.84072622240561179</v>
      </c>
      <c r="P266" s="258">
        <f t="shared" si="132"/>
        <v>0.84056603773584904</v>
      </c>
      <c r="Q266" s="258">
        <f t="shared" si="132"/>
        <v>0.84099678456591631</v>
      </c>
      <c r="R266" s="258">
        <f t="shared" si="132"/>
        <v>0.84099290780141844</v>
      </c>
      <c r="S266" s="258">
        <f t="shared" si="132"/>
        <v>0.84096385542168672</v>
      </c>
      <c r="T266" s="258">
        <f t="shared" si="132"/>
        <v>0.84106382978723404</v>
      </c>
      <c r="U266" s="258">
        <f t="shared" si="132"/>
        <v>0.841046511627907</v>
      </c>
      <c r="V266" s="258">
        <f t="shared" si="132"/>
        <v>0.83600000000000008</v>
      </c>
      <c r="W266" s="258">
        <f t="shared" si="132"/>
        <v>0.84300970873786407</v>
      </c>
      <c r="X266" s="258">
        <f t="shared" si="132"/>
        <v>0.84300429184549364</v>
      </c>
      <c r="Y266" s="258">
        <f t="shared" si="132"/>
        <v>0.84801369863013698</v>
      </c>
      <c r="Z266" s="259">
        <f t="shared" si="132"/>
        <v>0.8430545454545455</v>
      </c>
      <c r="AA266" s="259">
        <f t="shared" si="132"/>
        <v>0.84297297297297291</v>
      </c>
      <c r="AB266" s="259">
        <f t="shared" si="132"/>
        <v>0.8429223744292238</v>
      </c>
      <c r="AC266" s="259">
        <f t="shared" si="132"/>
        <v>0.8430545454545455</v>
      </c>
      <c r="AD266" s="259">
        <f t="shared" si="132"/>
        <v>0.84296296296296291</v>
      </c>
      <c r="AE266" s="259">
        <f t="shared" si="132"/>
        <v>0.84299999999999997</v>
      </c>
      <c r="AF266" s="259">
        <f t="shared" si="132"/>
        <v>0.84299319727891153</v>
      </c>
      <c r="AG266" s="259">
        <f t="shared" si="132"/>
        <v>0.83908001705381641</v>
      </c>
    </row>
    <row r="267" spans="1:34">
      <c r="A267" s="248"/>
      <c r="B267" s="248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48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48"/>
      <c r="AG267" s="248"/>
    </row>
    <row r="268" spans="1:34" ht="15.75" thickBot="1">
      <c r="A268" s="235" t="s">
        <v>265</v>
      </c>
    </row>
    <row r="269" spans="1:34" ht="15.75" thickBot="1">
      <c r="A269" s="236"/>
      <c r="B269" s="237" t="str">
        <f>B$2</f>
        <v xml:space="preserve">93/94 </v>
      </c>
      <c r="C269" s="237" t="str">
        <f t="shared" ref="C269:AG269" si="133">C$2</f>
        <v xml:space="preserve">94/95 </v>
      </c>
      <c r="D269" s="237" t="str">
        <f t="shared" si="133"/>
        <v xml:space="preserve">95/96 </v>
      </c>
      <c r="E269" s="237" t="str">
        <f t="shared" si="133"/>
        <v xml:space="preserve">96/97 </v>
      </c>
      <c r="F269" s="237" t="str">
        <f t="shared" si="133"/>
        <v xml:space="preserve">97/98 </v>
      </c>
      <c r="G269" s="237" t="str">
        <f t="shared" si="133"/>
        <v xml:space="preserve">98/99 </v>
      </c>
      <c r="H269" s="237" t="str">
        <f t="shared" si="133"/>
        <v xml:space="preserve">99/00 </v>
      </c>
      <c r="I269" s="237" t="str">
        <f t="shared" si="133"/>
        <v xml:space="preserve">00/01 </v>
      </c>
      <c r="J269" s="237" t="str">
        <f t="shared" si="133"/>
        <v xml:space="preserve">01/02 </v>
      </c>
      <c r="K269" s="237" t="str">
        <f t="shared" si="133"/>
        <v xml:space="preserve">02/03 </v>
      </c>
      <c r="L269" s="237" t="str">
        <f t="shared" si="133"/>
        <v xml:space="preserve">03/04 </v>
      </c>
      <c r="M269" s="237" t="str">
        <f t="shared" si="133"/>
        <v xml:space="preserve">04/05 </v>
      </c>
      <c r="N269" s="237" t="str">
        <f t="shared" si="133"/>
        <v xml:space="preserve">05/06 </v>
      </c>
      <c r="O269" s="237" t="str">
        <f t="shared" si="133"/>
        <v xml:space="preserve">06/07 </v>
      </c>
      <c r="P269" s="237" t="str">
        <f t="shared" si="133"/>
        <v xml:space="preserve">07/08 </v>
      </c>
      <c r="Q269" s="237" t="str">
        <f t="shared" si="133"/>
        <v xml:space="preserve">08/09 </v>
      </c>
      <c r="R269" s="237" t="str">
        <f t="shared" si="133"/>
        <v xml:space="preserve">09/10 </v>
      </c>
      <c r="S269" s="237" t="str">
        <f t="shared" si="133"/>
        <v xml:space="preserve">10/11 </v>
      </c>
      <c r="T269" s="237" t="str">
        <f t="shared" si="133"/>
        <v xml:space="preserve">11/12 </v>
      </c>
      <c r="U269" s="237" t="str">
        <f t="shared" si="133"/>
        <v xml:space="preserve">12/13 </v>
      </c>
      <c r="V269" s="237" t="str">
        <f t="shared" si="133"/>
        <v xml:space="preserve">13/14 </v>
      </c>
      <c r="W269" s="237" t="str">
        <f t="shared" si="133"/>
        <v xml:space="preserve">14/15 </v>
      </c>
      <c r="X269" s="237" t="str">
        <f t="shared" si="133"/>
        <v xml:space="preserve">15/16 </v>
      </c>
      <c r="Y269" s="237" t="str">
        <f t="shared" si="133"/>
        <v xml:space="preserve">16/17 </v>
      </c>
      <c r="Z269" s="237" t="str">
        <f t="shared" si="133"/>
        <v xml:space="preserve">17/18 </v>
      </c>
      <c r="AA269" s="237" t="str">
        <f t="shared" si="133"/>
        <v xml:space="preserve">18/19 </v>
      </c>
      <c r="AB269" s="237" t="str">
        <f t="shared" si="133"/>
        <v xml:space="preserve">19/20 </v>
      </c>
      <c r="AC269" s="237" t="str">
        <f t="shared" si="133"/>
        <v xml:space="preserve">20/21 </v>
      </c>
      <c r="AD269" s="237" t="str">
        <f t="shared" si="133"/>
        <v>21/22</v>
      </c>
      <c r="AE269" s="237" t="str">
        <f t="shared" si="133"/>
        <v>22/23</v>
      </c>
      <c r="AF269" s="237" t="str">
        <f t="shared" si="133"/>
        <v>23/24</v>
      </c>
      <c r="AG269" s="237" t="str">
        <f t="shared" si="133"/>
        <v>24/25</v>
      </c>
      <c r="AH269" s="269"/>
    </row>
    <row r="270" spans="1:34">
      <c r="A270" s="240" t="s">
        <v>239</v>
      </c>
      <c r="B270" s="241">
        <f>(SUM(K270:O270)/SUM(K$282:O$282))*B$282</f>
        <v>0</v>
      </c>
      <c r="C270" s="241">
        <f>(SUM(L270:P270)/SUM(L$282:P$282))*C$282</f>
        <v>1.0135135135135136</v>
      </c>
      <c r="D270" s="241">
        <f t="shared" ref="D270:I270" si="134">(SUM(M270:Q270)/SUM(M$282:Q$282))*D$282</f>
        <v>0</v>
      </c>
      <c r="E270" s="241">
        <f t="shared" si="134"/>
        <v>0.85956844711708524</v>
      </c>
      <c r="F270" s="241">
        <f t="shared" si="134"/>
        <v>0.4511278195488721</v>
      </c>
      <c r="G270" s="241">
        <f t="shared" si="134"/>
        <v>1.1379516869634656</v>
      </c>
      <c r="H270" s="241">
        <f t="shared" si="134"/>
        <v>0</v>
      </c>
      <c r="I270" s="241">
        <f t="shared" si="134"/>
        <v>0</v>
      </c>
      <c r="J270" s="242">
        <f>'[5]Indonesia Coconut Oil Imports'!DT$290</f>
        <v>0</v>
      </c>
      <c r="K270" s="242">
        <v>0.01</v>
      </c>
      <c r="L270" s="242">
        <v>0</v>
      </c>
      <c r="M270" s="242">
        <v>0.72599999999999998</v>
      </c>
      <c r="N270" s="242">
        <v>3.0000000000000001E-3</v>
      </c>
      <c r="O270" s="242">
        <v>2E-3</v>
      </c>
      <c r="P270" s="242">
        <v>1.9E-2</v>
      </c>
      <c r="Q270" s="242">
        <v>1E-3</v>
      </c>
      <c r="R270" s="242">
        <v>5.6000000000000001E-2</v>
      </c>
      <c r="S270" s="242">
        <v>3.7999999999999999E-2</v>
      </c>
      <c r="T270" s="242">
        <v>7.5999999999999998E-2</v>
      </c>
      <c r="U270" s="242">
        <v>0.121</v>
      </c>
      <c r="V270" s="242">
        <v>0.121</v>
      </c>
      <c r="W270" s="242">
        <v>9.5000000000000001E-2</v>
      </c>
      <c r="X270" s="242">
        <v>0.114</v>
      </c>
      <c r="Y270" s="242">
        <v>1.9E-2</v>
      </c>
      <c r="Z270" s="242">
        <v>1E-3</v>
      </c>
      <c r="AA270" s="242">
        <v>2.1999999999999999E-2</v>
      </c>
      <c r="AB270" s="242">
        <v>0</v>
      </c>
      <c r="AC270" s="242">
        <v>2.7E-2</v>
      </c>
      <c r="AD270" s="242">
        <v>0</v>
      </c>
      <c r="AE270" s="242">
        <f>'[2]Ukraine Sun Oil Imports'!NP$290</f>
        <v>1.7999999999999999E-2</v>
      </c>
      <c r="AF270" s="242">
        <f>'[2]Ukraine Sun Oil Imports'!OB$290</f>
        <v>0</v>
      </c>
      <c r="AG270" s="243">
        <f t="shared" ref="AF270:AG280" si="135">(SUM(AA270:AE270)/SUM(AA$282:AE$282))*AG$282</f>
        <v>3.4253578732106341E-2</v>
      </c>
    </row>
    <row r="271" spans="1:34">
      <c r="A271" s="240" t="s">
        <v>240</v>
      </c>
      <c r="B271" s="241">
        <f t="shared" ref="B271:I281" si="136">(SUM(K271:O271)/SUM(K$282:O$282))*B$282</f>
        <v>0</v>
      </c>
      <c r="C271" s="241">
        <f t="shared" si="136"/>
        <v>0.7108108108108111</v>
      </c>
      <c r="D271" s="241">
        <f t="shared" si="136"/>
        <v>0</v>
      </c>
      <c r="E271" s="241">
        <f t="shared" si="136"/>
        <v>0.54120976299964618</v>
      </c>
      <c r="F271" s="241">
        <f t="shared" si="136"/>
        <v>0.56390977443609014</v>
      </c>
      <c r="G271" s="241">
        <f t="shared" si="136"/>
        <v>1.4733479736474344</v>
      </c>
      <c r="H271" s="241">
        <f t="shared" si="136"/>
        <v>0</v>
      </c>
      <c r="I271" s="241">
        <f t="shared" si="136"/>
        <v>0</v>
      </c>
      <c r="J271" s="242">
        <f>'[5]Indonesia Coconut Oil Imports'!DU$290</f>
        <v>0</v>
      </c>
      <c r="K271" s="242">
        <v>3.0000000000000001E-3</v>
      </c>
      <c r="L271" s="242">
        <v>7.0000000000000001E-3</v>
      </c>
      <c r="M271" s="242">
        <v>0.50600000000000001</v>
      </c>
      <c r="N271" s="242">
        <v>0</v>
      </c>
      <c r="O271" s="242">
        <v>1.0999999999999999E-2</v>
      </c>
      <c r="P271" s="242">
        <v>2E-3</v>
      </c>
      <c r="Q271" s="242">
        <v>0</v>
      </c>
      <c r="R271" s="242">
        <v>3.7999999999999999E-2</v>
      </c>
      <c r="S271" s="242">
        <v>9.4E-2</v>
      </c>
      <c r="T271" s="242">
        <v>0.112</v>
      </c>
      <c r="U271" s="242">
        <v>0.114</v>
      </c>
      <c r="V271" s="242">
        <v>0.113</v>
      </c>
      <c r="W271" s="242">
        <v>9.5000000000000001E-2</v>
      </c>
      <c r="X271" s="242">
        <v>0.13200000000000001</v>
      </c>
      <c r="Y271" s="242">
        <v>0.17499999999999999</v>
      </c>
      <c r="Z271" s="242">
        <v>4.5999999999999999E-2</v>
      </c>
      <c r="AA271" s="242">
        <v>0</v>
      </c>
      <c r="AB271" s="242">
        <v>0</v>
      </c>
      <c r="AC271" s="242">
        <v>0</v>
      </c>
      <c r="AD271" s="242">
        <f>'[2]Ukraine Sun Oil Imports'!NE$290</f>
        <v>1E-3</v>
      </c>
      <c r="AE271" s="242">
        <f>'[2]Ukraine Sun Oil Imports'!NQ$290</f>
        <v>1E-3</v>
      </c>
      <c r="AF271" s="242">
        <f>'[2]Ukraine Sun Oil Imports'!OC$290</f>
        <v>0.438</v>
      </c>
      <c r="AG271" s="243">
        <f t="shared" si="135"/>
        <v>1.0224948875255625E-3</v>
      </c>
    </row>
    <row r="272" spans="1:34">
      <c r="A272" s="240" t="s">
        <v>241</v>
      </c>
      <c r="B272" s="241">
        <f t="shared" si="136"/>
        <v>0</v>
      </c>
      <c r="C272" s="241">
        <f t="shared" si="136"/>
        <v>0.11756756756756759</v>
      </c>
      <c r="D272" s="241">
        <f t="shared" si="136"/>
        <v>0</v>
      </c>
      <c r="E272" s="241">
        <f t="shared" si="136"/>
        <v>2.759108595684471</v>
      </c>
      <c r="F272" s="241">
        <f t="shared" si="136"/>
        <v>1.462276380606689</v>
      </c>
      <c r="G272" s="241">
        <f t="shared" si="136"/>
        <v>3.2162108205230577</v>
      </c>
      <c r="H272" s="241">
        <f t="shared" si="136"/>
        <v>0</v>
      </c>
      <c r="I272" s="241">
        <f t="shared" si="136"/>
        <v>0</v>
      </c>
      <c r="J272" s="242">
        <f>'[5]Indonesia Coconut Oil Imports'!DV$290</f>
        <v>0</v>
      </c>
      <c r="K272" s="242">
        <v>1.4999999999999999E-2</v>
      </c>
      <c r="L272" s="242">
        <v>1.2999999999999999E-2</v>
      </c>
      <c r="M272" s="242">
        <v>1.4E-2</v>
      </c>
      <c r="N272" s="242">
        <v>3.4000000000000002E-2</v>
      </c>
      <c r="O272" s="242">
        <v>1.6E-2</v>
      </c>
      <c r="P272" s="242">
        <v>0.01</v>
      </c>
      <c r="Q272" s="242">
        <v>0</v>
      </c>
      <c r="R272" s="242">
        <v>0.2</v>
      </c>
      <c r="S272" s="242">
        <v>0.15</v>
      </c>
      <c r="T272" s="242">
        <v>0.17699999999999999</v>
      </c>
      <c r="U272" s="242">
        <v>0.19600000000000001</v>
      </c>
      <c r="V272" s="242">
        <v>0.155</v>
      </c>
      <c r="W272" s="242">
        <v>0.16</v>
      </c>
      <c r="X272" s="242">
        <v>0.20399999999999999</v>
      </c>
      <c r="Y272" s="242">
        <v>3.1E-2</v>
      </c>
      <c r="Z272" s="242">
        <v>3.4000000000000002E-2</v>
      </c>
      <c r="AA272" s="242">
        <v>0.01</v>
      </c>
      <c r="AB272" s="242">
        <v>0.02</v>
      </c>
      <c r="AC272" s="242">
        <v>2.5000000000000001E-2</v>
      </c>
      <c r="AD272" s="242">
        <f>'[2]Ukraine Sun Oil Imports'!NF$290</f>
        <v>4.0000000000000001E-3</v>
      </c>
      <c r="AE272" s="242">
        <f>'[2]Ukraine Sun Oil Imports'!NR$290</f>
        <v>1.7000000000000001E-2</v>
      </c>
      <c r="AF272" s="242">
        <f>'[2]Ukraine Sun Oil Imports'!OD$290</f>
        <v>0</v>
      </c>
      <c r="AG272" s="243">
        <f t="shared" si="135"/>
        <v>3.8854805725971372E-2</v>
      </c>
    </row>
    <row r="273" spans="1:48">
      <c r="A273" s="240" t="s">
        <v>231</v>
      </c>
      <c r="B273" s="241">
        <f t="shared" si="136"/>
        <v>0</v>
      </c>
      <c r="C273" s="241">
        <f t="shared" si="136"/>
        <v>5.2702702702702713E-2</v>
      </c>
      <c r="D273" s="241">
        <f t="shared" si="136"/>
        <v>0</v>
      </c>
      <c r="E273" s="241">
        <f t="shared" si="136"/>
        <v>0.29713477184294307</v>
      </c>
      <c r="F273" s="241">
        <f t="shared" si="136"/>
        <v>0.29556650246305416</v>
      </c>
      <c r="G273" s="241">
        <f t="shared" si="136"/>
        <v>0.80854461968456781</v>
      </c>
      <c r="H273" s="241">
        <f t="shared" si="136"/>
        <v>0</v>
      </c>
      <c r="I273" s="241">
        <f t="shared" si="136"/>
        <v>0</v>
      </c>
      <c r="J273" s="242">
        <v>1.2999999999999999E-2</v>
      </c>
      <c r="K273" s="242">
        <v>0.26800000000000002</v>
      </c>
      <c r="L273" s="242">
        <v>2.1000000000000001E-2</v>
      </c>
      <c r="M273" s="242">
        <v>8.9999999999999993E-3</v>
      </c>
      <c r="N273" s="242">
        <v>7.0000000000000001E-3</v>
      </c>
      <c r="O273" s="242">
        <v>2E-3</v>
      </c>
      <c r="P273" s="242">
        <v>0</v>
      </c>
      <c r="Q273" s="242">
        <v>0</v>
      </c>
      <c r="R273" s="242">
        <v>1.9E-2</v>
      </c>
      <c r="S273" s="242">
        <v>5.5E-2</v>
      </c>
      <c r="T273" s="242">
        <v>6.0999999999999999E-2</v>
      </c>
      <c r="U273" s="242">
        <v>7.1999999999999995E-2</v>
      </c>
      <c r="V273" s="242">
        <v>3.9E-2</v>
      </c>
      <c r="W273" s="242">
        <v>0.111</v>
      </c>
      <c r="X273" s="242">
        <v>0.18</v>
      </c>
      <c r="Y273" s="242">
        <v>4.3999999999999997E-2</v>
      </c>
      <c r="Z273" s="242">
        <v>0.24199999999999999</v>
      </c>
      <c r="AA273" s="242">
        <v>5.0000000000000001E-3</v>
      </c>
      <c r="AB273" s="242">
        <v>3.0000000000000001E-3</v>
      </c>
      <c r="AC273" s="242">
        <v>4.0000000000000001E-3</v>
      </c>
      <c r="AD273" s="242">
        <f>'[2]Ukraine Sun Oil Imports'!NG$290</f>
        <v>4.0000000000000001E-3</v>
      </c>
      <c r="AE273" s="242">
        <f>'[2]Ukraine Sun Oil Imports'!NS$290</f>
        <v>0</v>
      </c>
      <c r="AF273" s="242">
        <f>'[2]Ukraine Sun Oil Imports'!OE$290</f>
        <v>1.9E-2</v>
      </c>
      <c r="AG273" s="243">
        <f t="shared" si="135"/>
        <v>8.1799591002044997E-3</v>
      </c>
    </row>
    <row r="274" spans="1:48">
      <c r="A274" s="240" t="s">
        <v>232</v>
      </c>
      <c r="B274" s="241">
        <f t="shared" si="136"/>
        <v>0</v>
      </c>
      <c r="C274" s="241">
        <f t="shared" si="136"/>
        <v>4.8648648648648665E-2</v>
      </c>
      <c r="D274" s="241">
        <f t="shared" si="136"/>
        <v>0</v>
      </c>
      <c r="E274" s="241">
        <f t="shared" si="136"/>
        <v>0.75344888574460567</v>
      </c>
      <c r="F274" s="241">
        <f t="shared" si="136"/>
        <v>0.65335753176043554</v>
      </c>
      <c r="G274" s="241">
        <f t="shared" si="136"/>
        <v>1.5452186065082849</v>
      </c>
      <c r="H274" s="241">
        <f t="shared" si="136"/>
        <v>0</v>
      </c>
      <c r="I274" s="241">
        <f t="shared" si="136"/>
        <v>0</v>
      </c>
      <c r="J274" s="242">
        <v>8.9999999999999993E-3</v>
      </c>
      <c r="K274" s="242">
        <v>0.25700000000000001</v>
      </c>
      <c r="L274" s="242">
        <v>1.9E-2</v>
      </c>
      <c r="M274" s="242">
        <v>2E-3</v>
      </c>
      <c r="N274" s="242">
        <v>1E-3</v>
      </c>
      <c r="O274" s="242">
        <v>1.2E-2</v>
      </c>
      <c r="P274" s="242">
        <v>2E-3</v>
      </c>
      <c r="Q274" s="242">
        <v>0</v>
      </c>
      <c r="R274" s="242">
        <v>5.6000000000000001E-2</v>
      </c>
      <c r="S274" s="242">
        <v>9.8000000000000004E-2</v>
      </c>
      <c r="T274" s="242">
        <v>0.10199999999999999</v>
      </c>
      <c r="U274" s="242">
        <v>0.11600000000000001</v>
      </c>
      <c r="V274" s="242">
        <v>9.6000000000000002E-2</v>
      </c>
      <c r="W274" s="242">
        <v>0.12</v>
      </c>
      <c r="X274" s="242">
        <v>6.5000000000000002E-2</v>
      </c>
      <c r="Y274" s="242">
        <v>3.0000000000000001E-3</v>
      </c>
      <c r="Z274" s="242">
        <v>0.114</v>
      </c>
      <c r="AA274" s="242">
        <v>1E-3</v>
      </c>
      <c r="AB274" s="242">
        <v>1E-3</v>
      </c>
      <c r="AC274" s="242">
        <v>0</v>
      </c>
      <c r="AD274" s="242">
        <f>'[2]Ukraine Sun Oil Imports'!NH$290</f>
        <v>0</v>
      </c>
      <c r="AE274" s="242">
        <f>'[2]Ukraine Sun Oil Imports'!NT$290</f>
        <v>1E-3</v>
      </c>
      <c r="AF274" s="242">
        <f>'[2]Ukraine Sun Oil Imports'!OF$290</f>
        <v>2.5000000000000001E-2</v>
      </c>
      <c r="AG274" s="243">
        <f t="shared" si="135"/>
        <v>1.5337423312883436E-3</v>
      </c>
    </row>
    <row r="275" spans="1:48">
      <c r="A275" s="240" t="s">
        <v>233</v>
      </c>
      <c r="B275" s="241">
        <f t="shared" si="136"/>
        <v>0</v>
      </c>
      <c r="C275" s="241">
        <f t="shared" si="136"/>
        <v>4.8648648648648665E-2</v>
      </c>
      <c r="D275" s="241">
        <f t="shared" si="136"/>
        <v>0</v>
      </c>
      <c r="E275" s="241">
        <f t="shared" si="136"/>
        <v>1.1991510435090202</v>
      </c>
      <c r="F275" s="241">
        <f t="shared" si="136"/>
        <v>0.76225045372050815</v>
      </c>
      <c r="G275" s="241">
        <f t="shared" si="136"/>
        <v>1.7248951886604114</v>
      </c>
      <c r="H275" s="241">
        <f t="shared" si="136"/>
        <v>0</v>
      </c>
      <c r="I275" s="241">
        <f t="shared" si="136"/>
        <v>0</v>
      </c>
      <c r="J275" s="242">
        <v>8.9999999999999993E-3</v>
      </c>
      <c r="K275" s="242">
        <v>0.35199999999999998</v>
      </c>
      <c r="L275" s="242">
        <v>1.2999999999999999E-2</v>
      </c>
      <c r="M275" s="242">
        <v>0.02</v>
      </c>
      <c r="N275" s="242">
        <v>0</v>
      </c>
      <c r="O275" s="242">
        <v>3.0000000000000001E-3</v>
      </c>
      <c r="P275" s="242">
        <v>0</v>
      </c>
      <c r="Q275" s="242">
        <v>0</v>
      </c>
      <c r="R275" s="242">
        <v>0.11</v>
      </c>
      <c r="S275" s="242">
        <v>8.3000000000000004E-2</v>
      </c>
      <c r="T275" s="242">
        <v>9.5000000000000001E-2</v>
      </c>
      <c r="U275" s="242">
        <v>9.2999999999999999E-2</v>
      </c>
      <c r="V275" s="242">
        <v>0.17399999999999999</v>
      </c>
      <c r="W275" s="242">
        <v>0.14000000000000001</v>
      </c>
      <c r="X275" s="242">
        <v>5.5E-2</v>
      </c>
      <c r="Y275" s="242">
        <v>5.0000000000000001E-3</v>
      </c>
      <c r="Z275" s="242">
        <v>7.3999999999999996E-2</v>
      </c>
      <c r="AA275" s="242">
        <v>3.3000000000000002E-2</v>
      </c>
      <c r="AB275" s="242">
        <v>7.2999999999999995E-2</v>
      </c>
      <c r="AC275" s="242">
        <v>1E-3</v>
      </c>
      <c r="AD275" s="242">
        <f>'[2]Ukraine Sun Oil Imports'!NI$290</f>
        <v>3.0000000000000001E-3</v>
      </c>
      <c r="AE275" s="242">
        <f>'[2]Ukraine Sun Oil Imports'!NU$290</f>
        <v>3.9E-2</v>
      </c>
      <c r="AF275" s="242">
        <f>'[2]Ukraine Sun Oil Imports'!OG$290</f>
        <v>3.4E-5</v>
      </c>
      <c r="AG275" s="243">
        <f t="shared" si="135"/>
        <v>7.6175869120654396E-2</v>
      </c>
    </row>
    <row r="276" spans="1:48">
      <c r="A276" s="240" t="s">
        <v>234</v>
      </c>
      <c r="B276" s="241">
        <f t="shared" si="136"/>
        <v>0</v>
      </c>
      <c r="C276" s="241">
        <f t="shared" si="136"/>
        <v>8.2432432432432437E-2</v>
      </c>
      <c r="D276" s="241">
        <f t="shared" si="136"/>
        <v>0</v>
      </c>
      <c r="E276" s="241">
        <f t="shared" si="136"/>
        <v>1.5917934205871949</v>
      </c>
      <c r="F276" s="241">
        <f t="shared" si="136"/>
        <v>0.9722582317863625</v>
      </c>
      <c r="G276" s="241">
        <f t="shared" si="136"/>
        <v>2.4076662008384906</v>
      </c>
      <c r="H276" s="241">
        <f t="shared" si="136"/>
        <v>0</v>
      </c>
      <c r="I276" s="241">
        <f t="shared" si="136"/>
        <v>0</v>
      </c>
      <c r="J276" s="242">
        <v>8.0000000000000002E-3</v>
      </c>
      <c r="K276" s="242">
        <v>0.35899999999999999</v>
      </c>
      <c r="L276" s="242">
        <v>2.4E-2</v>
      </c>
      <c r="M276" s="242">
        <v>0.02</v>
      </c>
      <c r="N276" s="242">
        <v>1.2999999999999999E-2</v>
      </c>
      <c r="O276" s="242">
        <v>1E-3</v>
      </c>
      <c r="P276" s="242">
        <v>3.0000000000000001E-3</v>
      </c>
      <c r="Q276" s="242">
        <v>0</v>
      </c>
      <c r="R276" s="242">
        <v>0.13300000000000001</v>
      </c>
      <c r="S276" s="242">
        <v>0.113</v>
      </c>
      <c r="T276" s="242">
        <v>0.153</v>
      </c>
      <c r="U276" s="242">
        <v>0.17100000000000001</v>
      </c>
      <c r="V276" s="242">
        <v>0.112</v>
      </c>
      <c r="W276" s="242">
        <v>0.114</v>
      </c>
      <c r="X276" s="242">
        <v>5.5E-2</v>
      </c>
      <c r="Y276" s="242">
        <v>0</v>
      </c>
      <c r="Z276" s="242">
        <v>0.11600000000000001</v>
      </c>
      <c r="AA276" s="242">
        <v>0</v>
      </c>
      <c r="AB276" s="242">
        <v>8.9999999999999993E-3</v>
      </c>
      <c r="AC276" s="242">
        <v>2E-3</v>
      </c>
      <c r="AD276" s="242">
        <f>'[2]Ukraine Sun Oil Imports'!NJ$290</f>
        <v>0</v>
      </c>
      <c r="AE276" s="242">
        <f>'[2]Ukraine Sun Oil Imports'!NV$290</f>
        <v>7.1999999999999995E-2</v>
      </c>
      <c r="AF276" s="243">
        <f t="shared" si="135"/>
        <v>6.362725450901803E-2</v>
      </c>
      <c r="AG276" s="243">
        <f t="shared" si="135"/>
        <v>4.2433537832310832E-2</v>
      </c>
    </row>
    <row r="277" spans="1:48">
      <c r="A277" s="240" t="s">
        <v>46</v>
      </c>
      <c r="B277" s="241">
        <f t="shared" si="136"/>
        <v>0</v>
      </c>
      <c r="C277" s="241">
        <f t="shared" si="136"/>
        <v>1.0810810810810813E-2</v>
      </c>
      <c r="D277" s="241">
        <f t="shared" si="136"/>
        <v>0</v>
      </c>
      <c r="E277" s="241">
        <f t="shared" si="136"/>
        <v>1.804032543332154</v>
      </c>
      <c r="F277" s="241">
        <f t="shared" si="136"/>
        <v>0.96448016593207142</v>
      </c>
      <c r="G277" s="241">
        <f t="shared" si="136"/>
        <v>2.4735476142942701</v>
      </c>
      <c r="H277" s="241">
        <f t="shared" si="136"/>
        <v>0</v>
      </c>
      <c r="I277" s="241">
        <f t="shared" si="136"/>
        <v>0</v>
      </c>
      <c r="J277" s="242">
        <v>2E-3</v>
      </c>
      <c r="K277" s="242">
        <v>3.0000000000000001E-3</v>
      </c>
      <c r="L277" s="242">
        <v>2E-3</v>
      </c>
      <c r="M277" s="242">
        <v>5.0000000000000001E-3</v>
      </c>
      <c r="N277" s="242">
        <v>0</v>
      </c>
      <c r="O277" s="242">
        <v>0</v>
      </c>
      <c r="P277" s="242">
        <v>1E-3</v>
      </c>
      <c r="Q277" s="242">
        <v>9.4E-2</v>
      </c>
      <c r="R277" s="242">
        <v>7.4999999999999997E-2</v>
      </c>
      <c r="S277" s="242">
        <v>7.8E-2</v>
      </c>
      <c r="T277" s="242">
        <v>0.16500000000000001</v>
      </c>
      <c r="U277" s="242">
        <v>7.8E-2</v>
      </c>
      <c r="V277" s="242">
        <v>0.121</v>
      </c>
      <c r="W277" s="242">
        <v>0.15</v>
      </c>
      <c r="X277" s="242">
        <v>7.0000000000000007E-2</v>
      </c>
      <c r="Y277" s="242">
        <v>0</v>
      </c>
      <c r="Z277" s="242">
        <v>4.7E-2</v>
      </c>
      <c r="AA277" s="242">
        <v>1.2E-2</v>
      </c>
      <c r="AB277" s="242">
        <v>6.0000000000000001E-3</v>
      </c>
      <c r="AC277" s="242">
        <v>2E-3</v>
      </c>
      <c r="AD277" s="242">
        <f>'[2]Ukraine Sun Oil Imports'!NK$290</f>
        <v>0.90500000000000003</v>
      </c>
      <c r="AE277" s="242">
        <f>'[2]Ukraine Sun Oil Imports'!NW$290</f>
        <v>0.11899999999999999</v>
      </c>
      <c r="AF277" s="243">
        <f>(SUM(Z277:AD277)/SUM(Z$282:AD$282))*AF$282-0.4</f>
        <v>8.6973947895791492E-2</v>
      </c>
      <c r="AG277" s="243">
        <f t="shared" si="135"/>
        <v>0.53374233128834359</v>
      </c>
    </row>
    <row r="278" spans="1:48">
      <c r="A278" s="240" t="s">
        <v>235</v>
      </c>
      <c r="B278" s="241">
        <f t="shared" si="136"/>
        <v>0</v>
      </c>
      <c r="C278" s="241">
        <f t="shared" si="136"/>
        <v>1.5959459459459464</v>
      </c>
      <c r="D278" s="241">
        <f t="shared" si="136"/>
        <v>0</v>
      </c>
      <c r="E278" s="241">
        <f t="shared" si="136"/>
        <v>3.5868411743898125</v>
      </c>
      <c r="F278" s="241">
        <f t="shared" si="136"/>
        <v>1.7578428830697432</v>
      </c>
      <c r="G278" s="241">
        <f t="shared" si="136"/>
        <v>2.1800758634457971</v>
      </c>
      <c r="H278" s="241">
        <f t="shared" si="136"/>
        <v>0</v>
      </c>
      <c r="I278" s="241">
        <f t="shared" si="136"/>
        <v>0</v>
      </c>
      <c r="J278" s="242">
        <v>1.0999999999999999E-2</v>
      </c>
      <c r="K278" s="242">
        <v>6.0000000000000001E-3</v>
      </c>
      <c r="L278" s="242">
        <v>2E-3</v>
      </c>
      <c r="M278" s="242">
        <v>0.98399999999999999</v>
      </c>
      <c r="N278" s="242">
        <v>0</v>
      </c>
      <c r="O278" s="242">
        <v>0.19500000000000001</v>
      </c>
      <c r="P278" s="242">
        <v>0</v>
      </c>
      <c r="Q278" s="242">
        <v>6.8000000000000005E-2</v>
      </c>
      <c r="R278" s="242">
        <v>7.4999999999999997E-2</v>
      </c>
      <c r="S278" s="242">
        <v>0.114</v>
      </c>
      <c r="T278" s="242">
        <v>0.107</v>
      </c>
      <c r="U278" s="242">
        <v>0.112</v>
      </c>
      <c r="V278" s="242">
        <v>0.11600000000000001</v>
      </c>
      <c r="W278" s="242">
        <v>0.16500000000000001</v>
      </c>
      <c r="X278" s="242">
        <v>5.8999999999999997E-2</v>
      </c>
      <c r="Y278" s="242">
        <v>6.0000000000000001E-3</v>
      </c>
      <c r="Z278" s="242">
        <v>0</v>
      </c>
      <c r="AA278" s="242">
        <v>0</v>
      </c>
      <c r="AB278" s="242">
        <v>1E-3</v>
      </c>
      <c r="AC278" s="242">
        <v>1E-3</v>
      </c>
      <c r="AD278" s="242">
        <f>'[2]Ukraine Sun Oil Imports'!NL$290</f>
        <v>2.1000000000000001E-2</v>
      </c>
      <c r="AE278" s="242">
        <f>'[2]Ukraine Sun Oil Imports'!NX$290</f>
        <v>0.31</v>
      </c>
      <c r="AF278" s="243">
        <f t="shared" si="135"/>
        <v>1.1523046092184368E-2</v>
      </c>
      <c r="AG278" s="243">
        <f t="shared" si="135"/>
        <v>0.17024539877300615</v>
      </c>
    </row>
    <row r="279" spans="1:48">
      <c r="A279" s="240" t="s">
        <v>236</v>
      </c>
      <c r="B279" s="241">
        <f t="shared" si="136"/>
        <v>0</v>
      </c>
      <c r="C279" s="241">
        <f t="shared" si="136"/>
        <v>0.74864864864864888</v>
      </c>
      <c r="D279" s="241">
        <f t="shared" si="136"/>
        <v>0</v>
      </c>
      <c r="E279" s="241">
        <f t="shared" si="136"/>
        <v>7.576936681995047</v>
      </c>
      <c r="F279" s="241">
        <f t="shared" si="136"/>
        <v>3.1540057039149594</v>
      </c>
      <c r="G279" s="241">
        <f t="shared" si="136"/>
        <v>5.7197045318426829</v>
      </c>
      <c r="H279" s="241">
        <f t="shared" si="136"/>
        <v>0</v>
      </c>
      <c r="I279" s="241">
        <f t="shared" si="136"/>
        <v>0</v>
      </c>
      <c r="J279" s="242">
        <v>7.0000000000000001E-3</v>
      </c>
      <c r="K279" s="242">
        <v>2.4E-2</v>
      </c>
      <c r="L279" s="242">
        <v>0.02</v>
      </c>
      <c r="M279" s="242">
        <v>4.0000000000000001E-3</v>
      </c>
      <c r="N279" s="242">
        <v>0</v>
      </c>
      <c r="O279" s="242">
        <v>1E-3</v>
      </c>
      <c r="P279" s="242">
        <v>0.52900000000000003</v>
      </c>
      <c r="Q279" s="242">
        <v>0.09</v>
      </c>
      <c r="R279" s="242">
        <v>9.4E-2</v>
      </c>
      <c r="S279" s="242">
        <v>9.7000000000000003E-2</v>
      </c>
      <c r="T279" s="242">
        <v>0.14499999999999999</v>
      </c>
      <c r="U279" s="242">
        <v>0.14399999999999999</v>
      </c>
      <c r="V279" s="242">
        <v>0.112</v>
      </c>
      <c r="W279" s="242">
        <v>0.155</v>
      </c>
      <c r="X279" s="242">
        <v>2.1000000000000001E-2</v>
      </c>
      <c r="Y279" s="242">
        <v>0.01</v>
      </c>
      <c r="Z279" s="242">
        <v>0</v>
      </c>
      <c r="AA279" s="242">
        <v>0</v>
      </c>
      <c r="AB279" s="242">
        <v>2E-3</v>
      </c>
      <c r="AC279" s="242">
        <v>0</v>
      </c>
      <c r="AD279" s="242">
        <f>'[2]Ukraine Sun Oil Imports'!NM$290</f>
        <v>9.2999999999999999E-2</v>
      </c>
      <c r="AE279" s="242">
        <f>'[2]Ukraine Sun Oil Imports'!NY$290</f>
        <v>0</v>
      </c>
      <c r="AF279" s="243">
        <f t="shared" si="135"/>
        <v>4.7595190380761515E-2</v>
      </c>
      <c r="AG279" s="243">
        <f t="shared" si="135"/>
        <v>4.8568507157464212E-2</v>
      </c>
    </row>
    <row r="280" spans="1:48">
      <c r="A280" s="240" t="s">
        <v>237</v>
      </c>
      <c r="B280" s="241">
        <f t="shared" si="136"/>
        <v>0</v>
      </c>
      <c r="C280" s="241">
        <f t="shared" si="136"/>
        <v>0.46081081081081088</v>
      </c>
      <c r="D280" s="241">
        <f t="shared" si="136"/>
        <v>0</v>
      </c>
      <c r="E280" s="241">
        <f t="shared" si="136"/>
        <v>5.4014856738592147</v>
      </c>
      <c r="F280" s="241">
        <f t="shared" si="136"/>
        <v>2.4112004148301787</v>
      </c>
      <c r="G280" s="241">
        <f t="shared" si="136"/>
        <v>4.4799361149930128</v>
      </c>
      <c r="H280" s="241">
        <f t="shared" si="136"/>
        <v>0</v>
      </c>
      <c r="I280" s="241">
        <f t="shared" si="136"/>
        <v>0</v>
      </c>
      <c r="J280" s="242">
        <v>0</v>
      </c>
      <c r="K280" s="242">
        <v>3.0000000000000001E-3</v>
      </c>
      <c r="L280" s="242">
        <v>0.01</v>
      </c>
      <c r="M280" s="242">
        <v>1.7999999999999999E-2</v>
      </c>
      <c r="N280" s="242">
        <v>3.0000000000000001E-3</v>
      </c>
      <c r="O280" s="242">
        <v>3.0000000000000001E-3</v>
      </c>
      <c r="P280" s="242">
        <v>0.307</v>
      </c>
      <c r="Q280" s="242">
        <v>0.107</v>
      </c>
      <c r="R280" s="242">
        <v>8.8999999999999996E-2</v>
      </c>
      <c r="S280" s="242">
        <v>0.114</v>
      </c>
      <c r="T280" s="242">
        <v>0.13100000000000001</v>
      </c>
      <c r="U280" s="242">
        <v>0.152</v>
      </c>
      <c r="V280" s="242">
        <v>0.13800000000000001</v>
      </c>
      <c r="W280" s="242">
        <v>0.13900000000000001</v>
      </c>
      <c r="X280" s="242">
        <v>0</v>
      </c>
      <c r="Y280" s="242">
        <v>2E-3</v>
      </c>
      <c r="Z280" s="242">
        <v>4.0000000000000001E-3</v>
      </c>
      <c r="AA280" s="242">
        <v>2E-3</v>
      </c>
      <c r="AB280" s="242">
        <v>0</v>
      </c>
      <c r="AC280" s="242">
        <v>0</v>
      </c>
      <c r="AD280" s="242">
        <f>'[2]Ukraine Sun Oil Imports'!NN$290</f>
        <v>0</v>
      </c>
      <c r="AE280" s="242">
        <f>'[2]Ukraine Sun Oil Imports'!NZ$290</f>
        <v>0.04</v>
      </c>
      <c r="AF280" s="243">
        <f t="shared" si="135"/>
        <v>3.0060120240480957E-3</v>
      </c>
      <c r="AG280" s="243">
        <f t="shared" si="135"/>
        <v>2.1472392638036811E-2</v>
      </c>
    </row>
    <row r="281" spans="1:48">
      <c r="A281" s="240" t="s">
        <v>238</v>
      </c>
      <c r="B281" s="241">
        <f t="shared" si="136"/>
        <v>0</v>
      </c>
      <c r="C281" s="241">
        <f t="shared" si="136"/>
        <v>0.10945945945945948</v>
      </c>
      <c r="D281" s="241">
        <f t="shared" si="136"/>
        <v>0</v>
      </c>
      <c r="E281" s="241">
        <f t="shared" si="136"/>
        <v>3.6292889989388044</v>
      </c>
      <c r="F281" s="241">
        <f t="shared" si="136"/>
        <v>1.5517241379310345</v>
      </c>
      <c r="G281" s="241">
        <f t="shared" si="136"/>
        <v>2.8329007785985225</v>
      </c>
      <c r="H281" s="241">
        <f t="shared" si="136"/>
        <v>0</v>
      </c>
      <c r="I281" s="241">
        <f t="shared" si="136"/>
        <v>0</v>
      </c>
      <c r="J281" s="242">
        <v>8.0000000000000002E-3</v>
      </c>
      <c r="K281" s="242">
        <v>4.0000000000000001E-3</v>
      </c>
      <c r="L281" s="242">
        <v>0</v>
      </c>
      <c r="M281" s="242">
        <v>5.0000000000000001E-3</v>
      </c>
      <c r="N281" s="242">
        <v>5.6000000000000001E-2</v>
      </c>
      <c r="O281" s="242">
        <v>0.02</v>
      </c>
      <c r="P281" s="242">
        <v>0</v>
      </c>
      <c r="Q281" s="242">
        <v>0.13500000000000001</v>
      </c>
      <c r="R281" s="242">
        <v>0.13100000000000001</v>
      </c>
      <c r="S281" s="242">
        <v>0.113</v>
      </c>
      <c r="T281" s="242">
        <v>9.4E-2</v>
      </c>
      <c r="U281" s="242">
        <v>0.14099999999999999</v>
      </c>
      <c r="V281" s="242">
        <v>0.16900000000000001</v>
      </c>
      <c r="W281" s="242">
        <v>0.16700000000000001</v>
      </c>
      <c r="X281" s="242">
        <v>1.7000000000000001E-2</v>
      </c>
      <c r="Y281" s="242">
        <v>0</v>
      </c>
      <c r="Z281" s="242">
        <v>0</v>
      </c>
      <c r="AA281" s="242">
        <v>1E-3</v>
      </c>
      <c r="AB281" s="242">
        <v>0</v>
      </c>
      <c r="AC281" s="242">
        <v>0</v>
      </c>
      <c r="AD281" s="242">
        <f>'[2]Ukraine Sun Oil Imports'!NO$290</f>
        <v>2.4E-2</v>
      </c>
      <c r="AE281" s="242">
        <f>'[2]Ukraine Sun Oil Imports'!OA$290</f>
        <v>2.1000000000000001E-2</v>
      </c>
      <c r="AF281" s="243">
        <f>AF282-SUM(AF270:AF280)</f>
        <v>0.30524054909819653</v>
      </c>
      <c r="AG281" s="243">
        <f>AG282-SUM(AG270:AG280)</f>
        <v>2.3517382413087984E-2</v>
      </c>
    </row>
    <row r="282" spans="1:48" ht="15.75" thickBot="1">
      <c r="A282" s="240" t="s">
        <v>242</v>
      </c>
      <c r="B282" s="245">
        <f t="shared" ref="B282:I282" si="137">B34</f>
        <v>0</v>
      </c>
      <c r="C282" s="245">
        <f t="shared" si="137"/>
        <v>5</v>
      </c>
      <c r="D282" s="245">
        <f t="shared" si="137"/>
        <v>0</v>
      </c>
      <c r="E282" s="245">
        <f t="shared" si="137"/>
        <v>30</v>
      </c>
      <c r="F282" s="245">
        <f t="shared" si="137"/>
        <v>15</v>
      </c>
      <c r="G282" s="245">
        <f t="shared" si="137"/>
        <v>30</v>
      </c>
      <c r="H282" s="245">
        <f t="shared" si="137"/>
        <v>0</v>
      </c>
      <c r="I282" s="245">
        <f t="shared" si="137"/>
        <v>0</v>
      </c>
      <c r="J282" s="245">
        <f t="shared" ref="J282:AB282" si="138">SUM(J270:J281)</f>
        <v>6.7000000000000004E-2</v>
      </c>
      <c r="K282" s="245">
        <f t="shared" si="138"/>
        <v>1.3039999999999998</v>
      </c>
      <c r="L282" s="245">
        <f t="shared" si="138"/>
        <v>0.13100000000000001</v>
      </c>
      <c r="M282" s="245">
        <f t="shared" si="138"/>
        <v>2.3129999999999993</v>
      </c>
      <c r="N282" s="245">
        <f t="shared" si="138"/>
        <v>0.11700000000000001</v>
      </c>
      <c r="O282" s="245">
        <f t="shared" si="138"/>
        <v>0.26600000000000001</v>
      </c>
      <c r="P282" s="245">
        <f t="shared" si="138"/>
        <v>0.873</v>
      </c>
      <c r="Q282" s="245">
        <f t="shared" si="138"/>
        <v>0.495</v>
      </c>
      <c r="R282" s="245">
        <f t="shared" si="138"/>
        <v>1.0760000000000001</v>
      </c>
      <c r="S282" s="245">
        <f t="shared" si="138"/>
        <v>1.147</v>
      </c>
      <c r="T282" s="245">
        <f t="shared" si="138"/>
        <v>1.4180000000000001</v>
      </c>
      <c r="U282" s="245">
        <f t="shared" si="138"/>
        <v>1.5099999999999998</v>
      </c>
      <c r="V282" s="245">
        <f t="shared" si="138"/>
        <v>1.4660000000000002</v>
      </c>
      <c r="W282" s="245">
        <f t="shared" si="138"/>
        <v>1.611</v>
      </c>
      <c r="X282" s="245">
        <f t="shared" si="138"/>
        <v>0.97199999999999998</v>
      </c>
      <c r="Y282" s="245">
        <f t="shared" si="138"/>
        <v>0.29499999999999998</v>
      </c>
      <c r="Z282" s="245">
        <f t="shared" si="138"/>
        <v>0.67800000000000005</v>
      </c>
      <c r="AA282" s="245">
        <f t="shared" si="138"/>
        <v>8.6000000000000007E-2</v>
      </c>
      <c r="AB282" s="245">
        <f t="shared" si="138"/>
        <v>0.115</v>
      </c>
      <c r="AC282" s="246">
        <f>SUM(AC270:AC281)</f>
        <v>6.2000000000000013E-2</v>
      </c>
      <c r="AD282" s="246">
        <f>SUM(AD270:AD281)</f>
        <v>1.0550000000000002</v>
      </c>
      <c r="AE282" s="246">
        <f>SUM(AE270:AE281)</f>
        <v>0.63800000000000001</v>
      </c>
      <c r="AF282" s="243">
        <f>AF34</f>
        <v>1</v>
      </c>
      <c r="AG282" s="243">
        <f>AG34</f>
        <v>1</v>
      </c>
    </row>
    <row r="283" spans="1:48">
      <c r="A283" s="248"/>
      <c r="B283" s="248"/>
      <c r="C283" s="248"/>
      <c r="E283" s="248"/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  <c r="AA283" s="248"/>
      <c r="AB283" s="248"/>
      <c r="AC283" s="248"/>
      <c r="AD283" s="248"/>
      <c r="AE283" s="248"/>
      <c r="AF283" s="248"/>
      <c r="AG283" s="248"/>
    </row>
    <row r="284" spans="1:48" ht="15.75" thickBot="1">
      <c r="A284" s="235" t="s">
        <v>267</v>
      </c>
      <c r="D284" s="271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  <c r="P284" s="264"/>
      <c r="Q284" s="264"/>
      <c r="R284" s="264"/>
      <c r="S284" s="264"/>
      <c r="AK284" s="360" t="s">
        <v>360</v>
      </c>
      <c r="AL284" s="360"/>
      <c r="AM284" s="360"/>
      <c r="AS284" s="360" t="s">
        <v>361</v>
      </c>
      <c r="AT284" s="360"/>
      <c r="AU284" s="360"/>
      <c r="AV284" s="360"/>
    </row>
    <row r="285" spans="1:48" ht="15.75" thickBot="1">
      <c r="A285" s="236"/>
      <c r="B285" s="237" t="str">
        <f>B$2</f>
        <v xml:space="preserve">93/94 </v>
      </c>
      <c r="C285" s="237" t="str">
        <f t="shared" ref="C285:AG285" si="139">C$2</f>
        <v xml:space="preserve">94/95 </v>
      </c>
      <c r="D285" s="237" t="str">
        <f t="shared" si="139"/>
        <v xml:space="preserve">95/96 </v>
      </c>
      <c r="E285" s="237" t="str">
        <f t="shared" si="139"/>
        <v xml:space="preserve">96/97 </v>
      </c>
      <c r="F285" s="237" t="str">
        <f t="shared" si="139"/>
        <v xml:space="preserve">97/98 </v>
      </c>
      <c r="G285" s="237" t="str">
        <f t="shared" si="139"/>
        <v xml:space="preserve">98/99 </v>
      </c>
      <c r="H285" s="237" t="str">
        <f t="shared" si="139"/>
        <v xml:space="preserve">99/00 </v>
      </c>
      <c r="I285" s="237" t="str">
        <f t="shared" si="139"/>
        <v xml:space="preserve">00/01 </v>
      </c>
      <c r="J285" s="237" t="str">
        <f t="shared" si="139"/>
        <v xml:space="preserve">01/02 </v>
      </c>
      <c r="K285" s="237" t="str">
        <f t="shared" si="139"/>
        <v xml:space="preserve">02/03 </v>
      </c>
      <c r="L285" s="237" t="str">
        <f t="shared" si="139"/>
        <v xml:space="preserve">03/04 </v>
      </c>
      <c r="M285" s="237" t="str">
        <f t="shared" si="139"/>
        <v xml:space="preserve">04/05 </v>
      </c>
      <c r="N285" s="237" t="str">
        <f t="shared" si="139"/>
        <v xml:space="preserve">05/06 </v>
      </c>
      <c r="O285" s="237" t="str">
        <f t="shared" si="139"/>
        <v xml:space="preserve">06/07 </v>
      </c>
      <c r="P285" s="237" t="str">
        <f t="shared" si="139"/>
        <v xml:space="preserve">07/08 </v>
      </c>
      <c r="Q285" s="237" t="str">
        <f t="shared" si="139"/>
        <v xml:space="preserve">08/09 </v>
      </c>
      <c r="R285" s="237" t="str">
        <f t="shared" si="139"/>
        <v xml:space="preserve">09/10 </v>
      </c>
      <c r="S285" s="237" t="str">
        <f t="shared" si="139"/>
        <v xml:space="preserve">10/11 </v>
      </c>
      <c r="T285" s="237" t="str">
        <f t="shared" si="139"/>
        <v xml:space="preserve">11/12 </v>
      </c>
      <c r="U285" s="237" t="str">
        <f t="shared" si="139"/>
        <v xml:space="preserve">12/13 </v>
      </c>
      <c r="V285" s="237" t="str">
        <f t="shared" si="139"/>
        <v xml:space="preserve">13/14 </v>
      </c>
      <c r="W285" s="237" t="str">
        <f t="shared" si="139"/>
        <v xml:space="preserve">14/15 </v>
      </c>
      <c r="X285" s="237" t="str">
        <f t="shared" si="139"/>
        <v xml:space="preserve">15/16 </v>
      </c>
      <c r="Y285" s="237" t="str">
        <f t="shared" si="139"/>
        <v xml:space="preserve">16/17 </v>
      </c>
      <c r="Z285" s="237" t="str">
        <f t="shared" si="139"/>
        <v xml:space="preserve">17/18 </v>
      </c>
      <c r="AA285" s="237" t="str">
        <f t="shared" si="139"/>
        <v xml:space="preserve">18/19 </v>
      </c>
      <c r="AB285" s="237" t="str">
        <f t="shared" si="139"/>
        <v xml:space="preserve">19/20 </v>
      </c>
      <c r="AC285" s="237" t="str">
        <f t="shared" si="139"/>
        <v xml:space="preserve">20/21 </v>
      </c>
      <c r="AD285" s="237" t="str">
        <f t="shared" si="139"/>
        <v>21/22</v>
      </c>
      <c r="AE285" s="237" t="str">
        <f t="shared" si="139"/>
        <v>22/23</v>
      </c>
      <c r="AF285" s="237" t="str">
        <f t="shared" si="139"/>
        <v>23/24</v>
      </c>
      <c r="AG285" s="237" t="str">
        <f t="shared" si="139"/>
        <v>24/25</v>
      </c>
      <c r="AH285" s="269"/>
      <c r="AK285" s="226" t="s">
        <v>342</v>
      </c>
      <c r="AL285" s="226">
        <v>2021</v>
      </c>
      <c r="AM285" s="226">
        <v>2022</v>
      </c>
      <c r="AS285" t="s">
        <v>362</v>
      </c>
      <c r="AU285" t="s">
        <v>363</v>
      </c>
    </row>
    <row r="286" spans="1:48">
      <c r="A286" s="240" t="s">
        <v>239</v>
      </c>
      <c r="B286" s="251">
        <f>'[2]Ukraine Sun Oil Exports'!AG$290</f>
        <v>10.6</v>
      </c>
      <c r="C286" s="251">
        <f>'[2]Ukraine Sun Oil Exports'!AS$290</f>
        <v>17.7</v>
      </c>
      <c r="D286" s="251">
        <f>'[2]Ukraine Sun Oil Exports'!BF$290</f>
        <v>29.2</v>
      </c>
      <c r="E286" s="251">
        <f>'[2]Ukraine Sun Oil Exports'!BR$290</f>
        <v>26.4</v>
      </c>
      <c r="F286" s="146">
        <f>'[2]Ukraine Sun Oil Exports'!CC$290</f>
        <v>17.5</v>
      </c>
      <c r="G286" s="146">
        <f>'[2]Ukraine Sun Oil Exports'!CO$290</f>
        <v>15</v>
      </c>
      <c r="H286" s="146">
        <f>'[2]Ukraine Sun Oil Exports'!DA$290</f>
        <v>18.831002499999997</v>
      </c>
      <c r="I286" s="146">
        <f>'[2]Ukraine Sun Oil Exports'!DM$290</f>
        <v>56</v>
      </c>
      <c r="J286" s="146">
        <f>'[2]Ukraine Sun Oil Exports'!DY$290</f>
        <v>50.3</v>
      </c>
      <c r="K286" s="146">
        <f>'[2]Ukraine Sun Oil Exports'!EK$290</f>
        <v>85.304000000000002</v>
      </c>
      <c r="L286" s="146">
        <f>'[2]Ukraine Sun Oil Exports'!EW$290</f>
        <v>94.885000000000005</v>
      </c>
      <c r="M286" s="146">
        <f>'[2]Ukraine Sun Oil Exports'!FI$290</f>
        <v>54.412999999999997</v>
      </c>
      <c r="N286" s="146">
        <f>'[2]Ukraine Sun Oil Exports'!FU$290</f>
        <v>106.84399999999999</v>
      </c>
      <c r="O286" s="146">
        <f>'[2]Ukraine Sun Oil Exports'!GG$290</f>
        <v>114.271</v>
      </c>
      <c r="P286" s="146">
        <f>'[2]Ukraine Sun Oil Exports'!GS$290</f>
        <v>137.30500000000001</v>
      </c>
      <c r="Q286" s="146">
        <f>'[2]Ukraine Sun Oil Exports'!HE$290</f>
        <v>141.13999999999999</v>
      </c>
      <c r="R286" s="146">
        <f>'[2]Ukraine Sun Oil Exports'!HQ$290</f>
        <v>194.083</v>
      </c>
      <c r="S286" s="146">
        <f>'[2]Ukraine Sun Oil Exports'!IC$290</f>
        <v>219.69800000000001</v>
      </c>
      <c r="T286" s="146">
        <f>'[2]Ukraine Sun Oil Exports'!IO$290</f>
        <v>269.363</v>
      </c>
      <c r="U286" s="146">
        <f>'[2]Ukraine Sun Oil Exports'!JA$290</f>
        <v>376.88799999999998</v>
      </c>
      <c r="V286" s="146">
        <f>'[2]Ukraine Sun Oil Exports'!JM$290</f>
        <v>388.91500000000002</v>
      </c>
      <c r="W286" s="146">
        <f>'[2]Ukraine Sun Oil Exports'!JY$290</f>
        <v>383.82</v>
      </c>
      <c r="X286" s="146">
        <f>'[2]Ukraine Sun Oil Exports'!KK$290</f>
        <v>408.01799999999997</v>
      </c>
      <c r="Y286" s="146">
        <f>'[2]Ukraine Sun Oil Exports'!KW$290</f>
        <v>434.27600000000001</v>
      </c>
      <c r="Z286" s="146">
        <f>'[2]Ukraine Sun Oil Exports'!LI$290</f>
        <v>536.49101800000005</v>
      </c>
      <c r="AA286" s="146">
        <f>'[2]Ukraine Sun Oil Exports'!LU$290</f>
        <v>541.94789500000002</v>
      </c>
      <c r="AB286" s="146">
        <f>'[2]Ukraine Sun Oil Exports'!MG$290</f>
        <v>564.71206099999995</v>
      </c>
      <c r="AC286" s="146">
        <f>'[2]Ukraine Sun Oil Exports'!MS$290</f>
        <v>524.80828799999995</v>
      </c>
      <c r="AD286" s="146">
        <f>'[2]Ukraine Sun Oil Exports'!NE$290</f>
        <v>433.59</v>
      </c>
      <c r="AE286" s="146">
        <f>'[2]Ukraine Sun Oil Exports'!NQ$290</f>
        <v>450.952</v>
      </c>
      <c r="AF286" s="146">
        <f>'[2]Ukraine Sun Oil Exports'!MC$290</f>
        <v>466.907061</v>
      </c>
      <c r="AG286" s="253">
        <f t="shared" ref="AF286:AG296" si="140">(SUM(AA286:AE286)/SUM(AA$298:AE$298))*AG$298</f>
        <v>507.91167170072771</v>
      </c>
      <c r="AH286" s="146"/>
      <c r="AK286" s="226" t="s">
        <v>231</v>
      </c>
      <c r="AL286" s="226">
        <f t="shared" ref="AL286:AM294" si="141">AC289*1000</f>
        <v>481530</v>
      </c>
      <c r="AM286" s="226">
        <f t="shared" si="141"/>
        <v>609952</v>
      </c>
      <c r="AU286">
        <v>472.113</v>
      </c>
      <c r="AV286" s="108">
        <f>AU286-AD286</f>
        <v>38.523000000000025</v>
      </c>
    </row>
    <row r="287" spans="1:48">
      <c r="A287" s="240" t="s">
        <v>240</v>
      </c>
      <c r="B287" s="251">
        <f>'[2]Ukraine Sun Oil Exports'!AH$290</f>
        <v>7.5</v>
      </c>
      <c r="C287" s="251">
        <f>'[2]Ukraine Sun Oil Exports'!AT$290</f>
        <v>24.1</v>
      </c>
      <c r="D287" s="251">
        <f>'[2]Ukraine Sun Oil Exports'!BG$290</f>
        <v>25.8</v>
      </c>
      <c r="E287" s="251">
        <f>'[2]Ukraine Sun Oil Exports'!BS$290</f>
        <v>28.1</v>
      </c>
      <c r="F287" s="146">
        <f>'[2]Ukraine Sun Oil Exports'!CD$290</f>
        <v>33.6</v>
      </c>
      <c r="G287" s="146">
        <f>'[2]Ukraine Sun Oil Exports'!CP$290</f>
        <v>15</v>
      </c>
      <c r="H287" s="146">
        <f>'[2]Ukraine Sun Oil Exports'!DB$290</f>
        <v>38.272650999999996</v>
      </c>
      <c r="I287" s="146">
        <f>'[2]Ukraine Sun Oil Exports'!DN$290</f>
        <v>75.099999999999994</v>
      </c>
      <c r="J287" s="146">
        <f>'[2]Ukraine Sun Oil Exports'!DZ$290</f>
        <v>47.669477000000001</v>
      </c>
      <c r="K287" s="146">
        <f>'[2]Ukraine Sun Oil Exports'!EL$290</f>
        <v>75.3</v>
      </c>
      <c r="L287" s="146">
        <f>'[2]Ukraine Sun Oil Exports'!EX$290</f>
        <v>82.816000000000003</v>
      </c>
      <c r="M287" s="146">
        <f>'[2]Ukraine Sun Oil Exports'!FJ$290</f>
        <v>47.856000000000002</v>
      </c>
      <c r="N287" s="146">
        <f>'[2]Ukraine Sun Oil Exports'!FV$290</f>
        <v>122.02</v>
      </c>
      <c r="O287" s="146">
        <f>'[2]Ukraine Sun Oil Exports'!GH$290</f>
        <v>149.25700000000001</v>
      </c>
      <c r="P287" s="146">
        <f>'[2]Ukraine Sun Oil Exports'!GT$290</f>
        <v>170.81399999999999</v>
      </c>
      <c r="Q287" s="146">
        <f>'[2]Ukraine Sun Oil Exports'!HF$290</f>
        <v>163.18100000000001</v>
      </c>
      <c r="R287" s="146">
        <f>'[2]Ukraine Sun Oil Exports'!HR$290</f>
        <v>181.01300000000001</v>
      </c>
      <c r="S287" s="146">
        <f>'[2]Ukraine Sun Oil Exports'!ID$290</f>
        <v>257.85700000000003</v>
      </c>
      <c r="T287" s="146">
        <f>'[2]Ukraine Sun Oil Exports'!IP$290</f>
        <v>295.84399999999999</v>
      </c>
      <c r="U287" s="146">
        <f>'[2]Ukraine Sun Oil Exports'!JB$290</f>
        <v>294.96800000000002</v>
      </c>
      <c r="V287" s="146">
        <f>'[2]Ukraine Sun Oil Exports'!JN$290</f>
        <v>349.87700000000001</v>
      </c>
      <c r="W287" s="146">
        <f>'[2]Ukraine Sun Oil Exports'!JZ$290</f>
        <v>383.24099999999999</v>
      </c>
      <c r="X287" s="146">
        <f>'[2]Ukraine Sun Oil Exports'!KL$290</f>
        <v>372.56599999999997</v>
      </c>
      <c r="Y287" s="146">
        <f>'[2]Ukraine Sun Oil Exports'!KX$290</f>
        <v>535.56700000000001</v>
      </c>
      <c r="Z287" s="146">
        <f>'[2]Ukraine Sun Oil Exports'!LJ$290</f>
        <v>455.57198499999998</v>
      </c>
      <c r="AA287" s="146">
        <f>'[2]Ukraine Sun Oil Exports'!LV$290</f>
        <v>574.68983400000002</v>
      </c>
      <c r="AB287" s="146">
        <f>'[2]Ukraine Sun Oil Exports'!MH$290</f>
        <v>627.29700400000002</v>
      </c>
      <c r="AC287" s="146">
        <f>'[2]Ukraine Sun Oil Exports'!MT$290</f>
        <v>756.06630500000006</v>
      </c>
      <c r="AD287" s="146">
        <f>'[2]Ukraine Sun Oil Exports'!NF$290</f>
        <v>638.76300000000003</v>
      </c>
      <c r="AE287" s="146">
        <f>'[2]Ukraine Sun Oil Exports'!NR$290</f>
        <v>482.64299999999997</v>
      </c>
      <c r="AF287" s="146">
        <f>'[2]Ukraine Sun Oil Exports'!MD$290</f>
        <v>554.06293500000004</v>
      </c>
      <c r="AG287" s="253">
        <f t="shared" si="140"/>
        <v>621.65614984484159</v>
      </c>
      <c r="AH287" s="146"/>
      <c r="AK287" s="226" t="s">
        <v>232</v>
      </c>
      <c r="AL287" s="226">
        <f t="shared" si="141"/>
        <v>484361</v>
      </c>
      <c r="AM287" s="226">
        <f t="shared" si="141"/>
        <v>419160</v>
      </c>
      <c r="AS287">
        <v>499.69099999999997</v>
      </c>
      <c r="AT287" s="108">
        <f>AS287-AD287</f>
        <v>-139.07200000000006</v>
      </c>
      <c r="AU287">
        <v>492.99299999999999</v>
      </c>
      <c r="AV287" s="108">
        <f>AU287-AD287</f>
        <v>-145.77000000000004</v>
      </c>
    </row>
    <row r="288" spans="1:48">
      <c r="A288" s="240" t="s">
        <v>241</v>
      </c>
      <c r="B288" s="251">
        <f>'[2]Ukraine Sun Oil Exports'!AI$290</f>
        <v>13.7</v>
      </c>
      <c r="C288" s="251">
        <f>'[2]Ukraine Sun Oil Exports'!AU$290</f>
        <v>16.7</v>
      </c>
      <c r="D288" s="251">
        <f>'[2]Ukraine Sun Oil Exports'!BH$290</f>
        <v>29</v>
      </c>
      <c r="E288" s="251">
        <f>'[2]Ukraine Sun Oil Exports'!BT$290</f>
        <v>17.100000000000001</v>
      </c>
      <c r="F288" s="146">
        <f>'[2]Ukraine Sun Oil Exports'!CE$290</f>
        <v>43.6</v>
      </c>
      <c r="G288" s="146">
        <f>'[2]Ukraine Sun Oil Exports'!CQ$290</f>
        <v>46</v>
      </c>
      <c r="H288" s="146">
        <f>'[2]Ukraine Sun Oil Exports'!DC$290</f>
        <v>30.701353509999997</v>
      </c>
      <c r="I288" s="146">
        <f>'[2]Ukraine Sun Oil Exports'!DO$290</f>
        <v>90.4</v>
      </c>
      <c r="J288" s="146">
        <f>'[2]Ukraine Sun Oil Exports'!EA$290</f>
        <v>35.5119872</v>
      </c>
      <c r="K288" s="146">
        <f>'[2]Ukraine Sun Oil Exports'!EM$290</f>
        <v>93.031999999999996</v>
      </c>
      <c r="L288" s="146">
        <f>'[2]Ukraine Sun Oil Exports'!EY$290</f>
        <v>92.948999999999998</v>
      </c>
      <c r="M288" s="146">
        <f>'[2]Ukraine Sun Oil Exports'!FK$290</f>
        <v>65.724999999999994</v>
      </c>
      <c r="N288" s="146">
        <f>'[2]Ukraine Sun Oil Exports'!FW$290</f>
        <v>134.60400000000001</v>
      </c>
      <c r="O288" s="146">
        <f>'[2]Ukraine Sun Oil Exports'!GI$290</f>
        <v>142.53399999999999</v>
      </c>
      <c r="P288" s="146">
        <f>'[2]Ukraine Sun Oil Exports'!GU$290</f>
        <v>194.78100000000001</v>
      </c>
      <c r="Q288" s="146">
        <f>'[2]Ukraine Sun Oil Exports'!HG$290</f>
        <v>201.27</v>
      </c>
      <c r="R288" s="146">
        <f>'[2]Ukraine Sun Oil Exports'!HS$290</f>
        <v>269.11700000000002</v>
      </c>
      <c r="S288" s="146">
        <f>'[2]Ukraine Sun Oil Exports'!IE$290</f>
        <v>317.69400000000002</v>
      </c>
      <c r="T288" s="146">
        <f>'[2]Ukraine Sun Oil Exports'!IQ$290</f>
        <v>262.17200000000003</v>
      </c>
      <c r="U288" s="146">
        <f>'[2]Ukraine Sun Oil Exports'!JC$290</f>
        <v>309.56099999999998</v>
      </c>
      <c r="V288" s="146">
        <f>'[2]Ukraine Sun Oil Exports'!JO$290</f>
        <v>335.74799999999999</v>
      </c>
      <c r="W288" s="146">
        <f>'[2]Ukraine Sun Oil Exports'!KA$290</f>
        <v>327.02499999999998</v>
      </c>
      <c r="X288" s="146">
        <f>'[2]Ukraine Sun Oil Exports'!KM$290</f>
        <v>511.60300000000001</v>
      </c>
      <c r="Y288" s="146">
        <f>'[2]Ukraine Sun Oil Exports'!KY$290</f>
        <v>556.76</v>
      </c>
      <c r="Z288" s="146">
        <f>'[2]Ukraine Sun Oil Exports'!LK$290</f>
        <v>411.92444899999998</v>
      </c>
      <c r="AA288" s="146">
        <f>'[2]Ukraine Sun Oil Exports'!LW$290</f>
        <v>592.58125500000006</v>
      </c>
      <c r="AB288" s="146">
        <f>'[2]Ukraine Sun Oil Exports'!MI$290</f>
        <v>583.417914</v>
      </c>
      <c r="AC288" s="146">
        <f>'[2]Ukraine Sun Oil Exports'!MU$290</f>
        <v>593.51115300000004</v>
      </c>
      <c r="AD288" s="146">
        <f>'[2]Ukraine Sun Oil Exports'!NG$290</f>
        <v>689.88599999999997</v>
      </c>
      <c r="AE288" s="146">
        <f>'[2]Ukraine Sun Oil Exports'!NS$290</f>
        <v>439.56900000000002</v>
      </c>
      <c r="AF288" s="146">
        <f>'[2]Ukraine Sun Oil Exports'!ME$290</f>
        <v>309.31541900000002</v>
      </c>
      <c r="AG288" s="253">
        <f t="shared" si="140"/>
        <v>585.21952619659464</v>
      </c>
      <c r="AH288" s="146"/>
      <c r="AK288" s="226" t="s">
        <v>233</v>
      </c>
      <c r="AL288" s="226">
        <f t="shared" si="141"/>
        <v>380919</v>
      </c>
      <c r="AM288" s="226">
        <f t="shared" si="141"/>
        <v>117768</v>
      </c>
      <c r="AS288">
        <v>628.28399999999999</v>
      </c>
      <c r="AT288" s="108">
        <f t="shared" ref="AT288:AT289" si="142">AS288-AD288</f>
        <v>-61.601999999999975</v>
      </c>
      <c r="AU288">
        <v>631.02599999999995</v>
      </c>
      <c r="AV288" s="108">
        <f>AU288-AD288</f>
        <v>-58.860000000000014</v>
      </c>
    </row>
    <row r="289" spans="1:48">
      <c r="A289" s="240" t="s">
        <v>231</v>
      </c>
      <c r="B289" s="251">
        <f>'[2]Ukraine Sun Oil Exports'!AJ$290</f>
        <v>28.9</v>
      </c>
      <c r="C289" s="251">
        <f>'[2]Ukraine Sun Oil Exports'!AV$290</f>
        <v>10.9</v>
      </c>
      <c r="D289" s="251">
        <f>'[2]Ukraine Sun Oil Exports'!BI$290</f>
        <v>29</v>
      </c>
      <c r="E289" s="146">
        <f>'[2]Ukraine Sun Oil Exports'!BT$290</f>
        <v>17.100000000000001</v>
      </c>
      <c r="F289" s="146">
        <f>'[2]Ukraine Sun Oil Exports'!CF$290</f>
        <v>26</v>
      </c>
      <c r="G289" s="146">
        <f>'[2]Ukraine Sun Oil Exports'!CR$290</f>
        <v>15</v>
      </c>
      <c r="H289" s="146">
        <f>'[2]Ukraine Sun Oil Exports'!DD$290</f>
        <v>29.4</v>
      </c>
      <c r="I289" s="146">
        <f>'[2]Ukraine Sun Oil Exports'!DP$290</f>
        <v>61.1</v>
      </c>
      <c r="J289" s="146">
        <f>'[2]Ukraine Sun Oil Exports'!EB$290</f>
        <v>35.562013499999999</v>
      </c>
      <c r="K289" s="146">
        <f>'[2]Ukraine Sun Oil Exports'!EN$290</f>
        <v>76.394999999999996</v>
      </c>
      <c r="L289" s="146">
        <f>'[2]Ukraine Sun Oil Exports'!EZ$290</f>
        <v>67.051000000000002</v>
      </c>
      <c r="M289" s="146">
        <f>'[2]Ukraine Sun Oil Exports'!FL$290</f>
        <v>74.537000000000006</v>
      </c>
      <c r="N289" s="146">
        <f>'[2]Ukraine Sun Oil Exports'!FX$290</f>
        <v>125.322</v>
      </c>
      <c r="O289" s="146">
        <f>'[2]Ukraine Sun Oil Exports'!GJ$290</f>
        <v>147.88200000000001</v>
      </c>
      <c r="P289" s="146">
        <f>'[2]Ukraine Sun Oil Exports'!GV$290</f>
        <v>115.402</v>
      </c>
      <c r="Q289" s="146">
        <f>'[2]Ukraine Sun Oil Exports'!HH$290</f>
        <v>193.81200000000001</v>
      </c>
      <c r="R289" s="146">
        <f>'[2]Ukraine Sun Oil Exports'!HT$290</f>
        <v>156.26300000000001</v>
      </c>
      <c r="S289" s="146">
        <f>'[2]Ukraine Sun Oil Exports'!IF$290</f>
        <v>265.88900000000001</v>
      </c>
      <c r="T289" s="146">
        <f>'[2]Ukraine Sun Oil Exports'!IR$290</f>
        <v>249.78200000000001</v>
      </c>
      <c r="U289" s="146">
        <f>'[2]Ukraine Sun Oil Exports'!JD$290</f>
        <v>277.13200000000001</v>
      </c>
      <c r="V289" s="146">
        <f>'[2]Ukraine Sun Oil Exports'!JP$290</f>
        <v>293.55099999999999</v>
      </c>
      <c r="W289" s="146">
        <f>'[2]Ukraine Sun Oil Exports'!KB$290</f>
        <v>314.255</v>
      </c>
      <c r="X289" s="146">
        <f>'[2]Ukraine Sun Oil Exports'!KN$290</f>
        <v>348.10500000000002</v>
      </c>
      <c r="Y289" s="146">
        <f>'[2]Ukraine Sun Oil Exports'!KZ$290</f>
        <v>465.10500000000002</v>
      </c>
      <c r="Z289" s="146">
        <f>'[2]Ukraine Sun Oil Exports'!LL$290</f>
        <v>419.98776600000002</v>
      </c>
      <c r="AA289" s="146">
        <f>'[2]Ukraine Sun Oil Exports'!LX$290</f>
        <v>495.611041</v>
      </c>
      <c r="AB289" s="146">
        <f>'[2]Ukraine Sun Oil Exports'!MJ$290</f>
        <v>581.46817999999996</v>
      </c>
      <c r="AC289" s="146">
        <f>'[2]Ukraine Sun Oil Exports'!MV$290</f>
        <v>481.53</v>
      </c>
      <c r="AD289" s="146">
        <f>'[2]Ukraine Sun Oil Exports'!NH$290</f>
        <v>609.952</v>
      </c>
      <c r="AE289" s="146">
        <f>'[2]Ukraine Sun Oil Exports'!NT$290</f>
        <v>393.13499999999999</v>
      </c>
      <c r="AF289" s="146">
        <f>'[2]Ukraine Sun Oil Exports'!MF$290</f>
        <v>228.07961299999999</v>
      </c>
      <c r="AG289" s="253">
        <f t="shared" si="140"/>
        <v>517.1343849256391</v>
      </c>
      <c r="AH289" s="146"/>
      <c r="AK289" s="226" t="s">
        <v>234</v>
      </c>
      <c r="AL289" s="226">
        <f t="shared" si="141"/>
        <v>391109</v>
      </c>
      <c r="AM289" s="226">
        <f t="shared" si="141"/>
        <v>151199</v>
      </c>
      <c r="AO289" s="253"/>
      <c r="AP289" s="253"/>
      <c r="AS289">
        <v>564.32299999999998</v>
      </c>
      <c r="AT289" s="108">
        <f t="shared" si="142"/>
        <v>-45.629000000000019</v>
      </c>
      <c r="AU289">
        <v>479.64</v>
      </c>
      <c r="AV289" s="108">
        <f>AU289-AD289</f>
        <v>-130.31200000000001</v>
      </c>
    </row>
    <row r="290" spans="1:48">
      <c r="A290" s="240" t="s">
        <v>232</v>
      </c>
      <c r="B290" s="251">
        <f>'[2]Ukraine Sun Oil Exports'!AK$290</f>
        <v>12.2</v>
      </c>
      <c r="C290" s="251">
        <f>'[2]Ukraine Sun Oil Exports'!AW$290</f>
        <v>10.7</v>
      </c>
      <c r="D290" s="251">
        <f>'[2]Ukraine Sun Oil Exports'!BJ$290</f>
        <v>26</v>
      </c>
      <c r="E290" s="146">
        <f>'[2]Ukraine Sun Oil Exports'!BU$290</f>
        <v>23.9</v>
      </c>
      <c r="F290" s="146">
        <f>'[2]Ukraine Sun Oil Exports'!CG$290</f>
        <v>18.2</v>
      </c>
      <c r="G290" s="146">
        <f>'[2]Ukraine Sun Oil Exports'!CS$290</f>
        <v>15</v>
      </c>
      <c r="H290" s="146">
        <f>'[2]Ukraine Sun Oil Exports'!DE$290</f>
        <v>50.3</v>
      </c>
      <c r="I290" s="146">
        <f>'[2]Ukraine Sun Oil Exports'!DQ$290</f>
        <v>63.5</v>
      </c>
      <c r="J290" s="146">
        <f>'[2]Ukraine Sun Oil Exports'!EC$290</f>
        <v>27.251011500000001</v>
      </c>
      <c r="K290" s="146">
        <f>'[2]Ukraine Sun Oil Exports'!EO$290</f>
        <v>69.561999999999998</v>
      </c>
      <c r="L290" s="146">
        <f>'[2]Ukraine Sun Oil Exports'!FA$290</f>
        <v>67.221999999999994</v>
      </c>
      <c r="M290" s="146">
        <f>'[2]Ukraine Sun Oil Exports'!FM$290</f>
        <v>46.591000000000001</v>
      </c>
      <c r="N290" s="146">
        <f>'[2]Ukraine Sun Oil Exports'!FY$290</f>
        <v>132.30000000000001</v>
      </c>
      <c r="O290" s="146">
        <f>'[2]Ukraine Sun Oil Exports'!GK$290</f>
        <v>170.99299999999999</v>
      </c>
      <c r="P290" s="146">
        <f>'[2]Ukraine Sun Oil Exports'!GW$290</f>
        <v>177.71600000000001</v>
      </c>
      <c r="Q290" s="146">
        <f>'[2]Ukraine Sun Oil Exports'!HI$290</f>
        <v>159.38200000000001</v>
      </c>
      <c r="R290" s="146">
        <f>'[2]Ukraine Sun Oil Exports'!HU$290</f>
        <v>216.43100000000001</v>
      </c>
      <c r="S290" s="146">
        <f>'[2]Ukraine Sun Oil Exports'!IG$290</f>
        <v>199.3</v>
      </c>
      <c r="T290" s="146">
        <f>'[2]Ukraine Sun Oil Exports'!IS$290</f>
        <v>258.50700000000001</v>
      </c>
      <c r="U290" s="146">
        <f>'[2]Ukraine Sun Oil Exports'!JE$290</f>
        <v>281.84100000000001</v>
      </c>
      <c r="V290" s="146">
        <f>'[2]Ukraine Sun Oil Exports'!JQ$290</f>
        <v>266.25599999999997</v>
      </c>
      <c r="W290" s="146">
        <f>'[2]Ukraine Sun Oil Exports'!KC$290</f>
        <v>315.12400000000002</v>
      </c>
      <c r="X290" s="146">
        <f>'[2]Ukraine Sun Oil Exports'!KO$290</f>
        <v>392.84</v>
      </c>
      <c r="Y290" s="146">
        <f>'[2]Ukraine Sun Oil Exports'!LA$290</f>
        <v>441.65499999999997</v>
      </c>
      <c r="Z290" s="146">
        <f>'[2]Ukraine Sun Oil Exports'!LM$290</f>
        <v>431.85909800000002</v>
      </c>
      <c r="AA290" s="146">
        <f>'[2]Ukraine Sun Oil Exports'!LY$290</f>
        <v>560.73932500000001</v>
      </c>
      <c r="AB290" s="146">
        <f>'[2]Ukraine Sun Oil Exports'!MK$290</f>
        <v>627.29554299999995</v>
      </c>
      <c r="AC290" s="146">
        <f>'[2]Ukraine Sun Oil Exports'!MW$290</f>
        <v>484.36099999999999</v>
      </c>
      <c r="AD290" s="146">
        <f>'[2]Ukraine Sun Oil Exports'!NI$290</f>
        <v>419.16</v>
      </c>
      <c r="AE290" s="146">
        <f>'[2]Ukraine Sun Oil Exports'!NU$290</f>
        <v>406.041</v>
      </c>
      <c r="AF290" s="146">
        <f>'[2]Ukraine Sun Oil Exports'!MG$290</f>
        <v>564.71206099999995</v>
      </c>
      <c r="AG290" s="253">
        <f t="shared" si="140"/>
        <v>504.19452920970775</v>
      </c>
      <c r="AH290" s="146"/>
      <c r="AI290">
        <v>553.8672170932565</v>
      </c>
      <c r="AK290" s="226" t="s">
        <v>46</v>
      </c>
      <c r="AL290" s="226">
        <f t="shared" si="141"/>
        <v>502384</v>
      </c>
      <c r="AM290" s="226">
        <f t="shared" si="141"/>
        <v>190191</v>
      </c>
      <c r="AO290" s="253"/>
      <c r="AP290" s="253"/>
      <c r="AQ290" s="108">
        <f>AI290-AD290</f>
        <v>134.70721709325647</v>
      </c>
    </row>
    <row r="291" spans="1:48">
      <c r="A291" s="240" t="s">
        <v>233</v>
      </c>
      <c r="B291" s="251">
        <f>'[2]Ukraine Sun Oil Exports'!AL$290</f>
        <v>17.2</v>
      </c>
      <c r="C291" s="251">
        <f>'[2]Ukraine Sun Oil Exports'!AX$290</f>
        <v>17.399999999999999</v>
      </c>
      <c r="D291" s="251">
        <f>'[2]Ukraine Sun Oil Exports'!BK$290</f>
        <v>19</v>
      </c>
      <c r="E291" s="146">
        <f>'[2]Ukraine Sun Oil Exports'!BV$290</f>
        <v>14.9</v>
      </c>
      <c r="F291" s="146">
        <f>'[2]Ukraine Sun Oil Exports'!CH$290</f>
        <v>13.4</v>
      </c>
      <c r="G291" s="146">
        <f>'[2]Ukraine Sun Oil Exports'!CT$290</f>
        <v>15</v>
      </c>
      <c r="H291" s="146">
        <f>'[2]Ukraine Sun Oil Exports'!DF$290</f>
        <v>36.200000000000003</v>
      </c>
      <c r="I291" s="146">
        <f>'[2]Ukraine Sun Oil Exports'!DR$290</f>
        <v>51.4</v>
      </c>
      <c r="J291" s="146">
        <f>'[2]Ukraine Sun Oil Exports'!ED$290</f>
        <v>49.874612649999996</v>
      </c>
      <c r="K291" s="146">
        <f>'[2]Ukraine Sun Oil Exports'!EP$290</f>
        <v>97.436000000000007</v>
      </c>
      <c r="L291" s="146">
        <f>'[2]Ukraine Sun Oil Exports'!FB$290</f>
        <v>105.078</v>
      </c>
      <c r="M291" s="146">
        <f>'[2]Ukraine Sun Oil Exports'!FN$290</f>
        <v>60.488</v>
      </c>
      <c r="N291" s="146">
        <f>'[2]Ukraine Sun Oil Exports'!FZ$290</f>
        <v>163.93299999999999</v>
      </c>
      <c r="O291" s="146">
        <f>'[2]Ukraine Sun Oil Exports'!GL$290</f>
        <v>192.965</v>
      </c>
      <c r="P291" s="146">
        <f>'[2]Ukraine Sun Oil Exports'!GX$290</f>
        <v>115.15900000000001</v>
      </c>
      <c r="Q291" s="146">
        <f>'[2]Ukraine Sun Oil Exports'!HJ$290</f>
        <v>202.91</v>
      </c>
      <c r="R291" s="146">
        <f>'[2]Ukraine Sun Oil Exports'!HV$290</f>
        <v>198.571</v>
      </c>
      <c r="S291" s="146">
        <f>'[2]Ukraine Sun Oil Exports'!IH$290</f>
        <v>310.226</v>
      </c>
      <c r="T291" s="146">
        <f>'[2]Ukraine Sun Oil Exports'!IT$290</f>
        <v>283.44400000000002</v>
      </c>
      <c r="U291" s="146">
        <f>'[2]Ukraine Sun Oil Exports'!JF$290</f>
        <v>230.02099999999999</v>
      </c>
      <c r="V291" s="146">
        <f>'[2]Ukraine Sun Oil Exports'!JR$290</f>
        <v>377.97399999999999</v>
      </c>
      <c r="W291" s="146">
        <f>'[2]Ukraine Sun Oil Exports'!KD$290</f>
        <v>402.29</v>
      </c>
      <c r="X291" s="146">
        <f>'[2]Ukraine Sun Oil Exports'!KP$290</f>
        <v>429.41699999999997</v>
      </c>
      <c r="Y291" s="146">
        <f>'[2]Ukraine Sun Oil Exports'!LB$290</f>
        <v>683.72699999999998</v>
      </c>
      <c r="Z291" s="146">
        <f>'[2]Ukraine Sun Oil Exports'!LN$290</f>
        <v>561.99392799999998</v>
      </c>
      <c r="AA291" s="146">
        <f>'[2]Ukraine Sun Oil Exports'!LZ$290</f>
        <v>632.04292699999996</v>
      </c>
      <c r="AB291" s="146">
        <f>'[2]Ukraine Sun Oil Exports'!ML$290</f>
        <v>608.09788900000001</v>
      </c>
      <c r="AC291" s="146">
        <f>'[2]Ukraine Sun Oil Exports'!MX$290</f>
        <v>380.91899999999998</v>
      </c>
      <c r="AD291" s="146">
        <f>'[2]Ukraine Sun Oil Exports'!NJ$290</f>
        <v>117.768</v>
      </c>
      <c r="AE291" s="146">
        <f>'[2]Ukraine Sun Oil Exports'!NV$290</f>
        <v>524.005</v>
      </c>
      <c r="AF291" s="146">
        <f>'[2]Ukraine Sun Oil Exports'!MH$290</f>
        <v>627.29700400000002</v>
      </c>
      <c r="AG291" s="253">
        <f t="shared" si="140"/>
        <v>456.80227300132776</v>
      </c>
      <c r="AH291" s="146"/>
      <c r="AI291">
        <v>657.87344522734656</v>
      </c>
      <c r="AK291" s="226" t="s">
        <v>235</v>
      </c>
      <c r="AL291" s="226">
        <f t="shared" si="141"/>
        <v>325024</v>
      </c>
      <c r="AM291" s="201">
        <f t="shared" si="141"/>
        <v>279443</v>
      </c>
      <c r="AO291" s="253"/>
      <c r="AP291" s="253"/>
      <c r="AQ291" s="108">
        <f t="shared" ref="AQ291:AQ296" si="143">AI291-AD291</f>
        <v>540.10544522734654</v>
      </c>
    </row>
    <row r="292" spans="1:48">
      <c r="A292" s="240" t="s">
        <v>234</v>
      </c>
      <c r="B292" s="251">
        <f>'[2]Ukraine Sun Oil Exports'!AM$290</f>
        <v>24.3</v>
      </c>
      <c r="C292" s="251">
        <f>'[2]Ukraine Sun Oil Exports'!AY$290</f>
        <v>8</v>
      </c>
      <c r="D292" s="251">
        <f>'[2]Ukraine Sun Oil Exports'!BL$290</f>
        <v>20.7</v>
      </c>
      <c r="E292" s="146">
        <f>'[2]Ukraine Sun Oil Exports'!BW$290</f>
        <v>14.4</v>
      </c>
      <c r="F292" s="146">
        <f>'[2]Ukraine Sun Oil Exports'!CI$290</f>
        <v>2.2999999999999998</v>
      </c>
      <c r="G292" s="146">
        <f>'[2]Ukraine Sun Oil Exports'!CU$290</f>
        <v>15</v>
      </c>
      <c r="H292" s="146">
        <f>'[2]Ukraine Sun Oil Exports'!DG$290</f>
        <v>30.6</v>
      </c>
      <c r="I292" s="146">
        <f>'[2]Ukraine Sun Oil Exports'!DS$290</f>
        <v>28.1</v>
      </c>
      <c r="J292" s="146">
        <f>'[2]Ukraine Sun Oil Exports'!EE$290</f>
        <v>41.326000000000001</v>
      </c>
      <c r="K292" s="146">
        <f>'[2]Ukraine Sun Oil Exports'!EQ$290</f>
        <v>100.86</v>
      </c>
      <c r="L292" s="146">
        <f>'[2]Ukraine Sun Oil Exports'!FC$290</f>
        <v>102.76900000000001</v>
      </c>
      <c r="M292" s="146">
        <f>'[2]Ukraine Sun Oil Exports'!FO$290</f>
        <v>61.981999999999999</v>
      </c>
      <c r="N292" s="146">
        <f>'[2]Ukraine Sun Oil Exports'!GA$290</f>
        <v>139.684</v>
      </c>
      <c r="O292" s="146">
        <f>'[2]Ukraine Sun Oil Exports'!GM$290</f>
        <v>186.655</v>
      </c>
      <c r="P292" s="146">
        <f>'[2]Ukraine Sun Oil Exports'!GY$290</f>
        <v>14.031000000000001</v>
      </c>
      <c r="Q292" s="146">
        <f>'[2]Ukraine Sun Oil Exports'!HK$290</f>
        <v>178.48099999999999</v>
      </c>
      <c r="R292" s="146">
        <f>'[2]Ukraine Sun Oil Exports'!HW$290</f>
        <v>263.15199999999999</v>
      </c>
      <c r="S292" s="146">
        <f>'[2]Ukraine Sun Oil Exports'!II$290</f>
        <v>205.798</v>
      </c>
      <c r="T292" s="146">
        <f>'[2]Ukraine Sun Oil Exports'!IU$290</f>
        <v>342.995</v>
      </c>
      <c r="U292" s="146">
        <f>'[2]Ukraine Sun Oil Exports'!JG$290</f>
        <v>205.83199999999999</v>
      </c>
      <c r="V292" s="146">
        <f>'[2]Ukraine Sun Oil Exports'!JS$290</f>
        <v>483.06099999999998</v>
      </c>
      <c r="W292" s="146">
        <f>'[2]Ukraine Sun Oil Exports'!KE$290</f>
        <v>326.58499999999998</v>
      </c>
      <c r="X292" s="146">
        <f>'[2]Ukraine Sun Oil Exports'!KQ$290</f>
        <v>418.00700000000001</v>
      </c>
      <c r="Y292" s="146">
        <f>'[2]Ukraine Sun Oil Exports'!LC$290</f>
        <v>575.14599999999996</v>
      </c>
      <c r="Z292" s="146">
        <f>'[2]Ukraine Sun Oil Exports'!LO$290</f>
        <v>582.19029999999998</v>
      </c>
      <c r="AA292" s="146">
        <f>'[2]Ukraine Sun Oil Exports'!MA$290</f>
        <v>499.44492700000001</v>
      </c>
      <c r="AB292" s="146">
        <f>'[2]Ukraine Sun Oil Exports'!MM$290</f>
        <v>716.83196299999997</v>
      </c>
      <c r="AC292" s="146">
        <f>'[2]Ukraine Sun Oil Exports'!MY$290</f>
        <v>391.10899999999998</v>
      </c>
      <c r="AD292" s="146">
        <f>'[2]Ukraine Sun Oil Exports'!NK$290</f>
        <v>151.19900000000001</v>
      </c>
      <c r="AE292" s="146">
        <f>'[2]Ukraine Sun Oil Exports'!NW$290</f>
        <v>541.649</v>
      </c>
      <c r="AF292" s="253">
        <f t="shared" si="140"/>
        <v>488.8566045610433</v>
      </c>
      <c r="AG292" s="253">
        <f t="shared" si="140"/>
        <v>464.35249743465192</v>
      </c>
      <c r="AH292" s="146"/>
      <c r="AI292">
        <v>629.96816202955836</v>
      </c>
      <c r="AK292" s="226" t="s">
        <v>236</v>
      </c>
      <c r="AL292" s="226">
        <f t="shared" si="141"/>
        <v>328004</v>
      </c>
      <c r="AM292" s="201">
        <f t="shared" si="141"/>
        <v>277752</v>
      </c>
      <c r="AO292" s="253"/>
      <c r="AP292" s="253"/>
      <c r="AQ292" s="108">
        <f t="shared" si="143"/>
        <v>478.76916202955834</v>
      </c>
    </row>
    <row r="293" spans="1:48">
      <c r="A293" s="240" t="s">
        <v>46</v>
      </c>
      <c r="B293" s="251">
        <f>'[2]Ukraine Sun Oil Exports'!AN$290</f>
        <v>18.600000000000001</v>
      </c>
      <c r="C293" s="251">
        <f>'[2]Ukraine Sun Oil Exports'!AZ$290</f>
        <v>15.1</v>
      </c>
      <c r="D293" s="251">
        <f>'[2]Ukraine Sun Oil Exports'!BM$290</f>
        <v>24.7</v>
      </c>
      <c r="E293" s="146">
        <f>'[2]Ukraine Sun Oil Exports'!BX$290</f>
        <v>10.7</v>
      </c>
      <c r="F293" s="146">
        <f>'[2]Ukraine Sun Oil Exports'!CJ$290</f>
        <v>2.9</v>
      </c>
      <c r="G293" s="146">
        <f>'[2]Ukraine Sun Oil Exports'!CV$290</f>
        <v>8</v>
      </c>
      <c r="H293" s="146">
        <f>'[2]Ukraine Sun Oil Exports'!DH$290</f>
        <v>28.5</v>
      </c>
      <c r="I293" s="146">
        <f>'[2]Ukraine Sun Oil Exports'!DT$290</f>
        <v>22.1</v>
      </c>
      <c r="J293" s="146">
        <f>'[2]Ukraine Sun Oil Exports'!EF$290</f>
        <v>33.131</v>
      </c>
      <c r="K293" s="146">
        <f>'[2]Ukraine Sun Oil Exports'!ER$290</f>
        <v>94.347999999999999</v>
      </c>
      <c r="L293" s="146">
        <f>'[2]Ukraine Sun Oil Exports'!FD$290</f>
        <v>69.835999999999999</v>
      </c>
      <c r="M293" s="146">
        <f>'[2]Ukraine Sun Oil Exports'!FP$290</f>
        <v>50.91</v>
      </c>
      <c r="N293" s="146">
        <f>'[2]Ukraine Sun Oil Exports'!GB$290</f>
        <v>166.666</v>
      </c>
      <c r="O293" s="146">
        <f>'[2]Ukraine Sun Oil Exports'!GN$290</f>
        <v>197.642</v>
      </c>
      <c r="P293" s="146">
        <f>'[2]Ukraine Sun Oil Exports'!GZ$290</f>
        <v>56.164999999999999</v>
      </c>
      <c r="Q293" s="146">
        <f>'[2]Ukraine Sun Oil Exports'!HL$290</f>
        <v>228.85300000000001</v>
      </c>
      <c r="R293" s="146">
        <f>'[2]Ukraine Sun Oil Exports'!HX$290</f>
        <v>235.53399999999999</v>
      </c>
      <c r="S293" s="146">
        <f>'[2]Ukraine Sun Oil Exports'!IJ$290</f>
        <v>273.73399999999998</v>
      </c>
      <c r="T293" s="146">
        <f>'[2]Ukraine Sun Oil Exports'!IV$290</f>
        <v>349.202</v>
      </c>
      <c r="U293" s="146">
        <f>'[2]Ukraine Sun Oil Exports'!JH$290</f>
        <v>298.98500000000001</v>
      </c>
      <c r="V293" s="146">
        <f>'[2]Ukraine Sun Oil Exports'!JT$290</f>
        <v>510.57</v>
      </c>
      <c r="W293" s="146">
        <f>'[2]Ukraine Sun Oil Exports'!KF$290</f>
        <v>265.036</v>
      </c>
      <c r="X293" s="146">
        <f>'[2]Ukraine Sun Oil Exports'!KR$290</f>
        <v>384.06900000000002</v>
      </c>
      <c r="Y293" s="146">
        <f>'[2]Ukraine Sun Oil Exports'!LD$290</f>
        <v>473.55099999999999</v>
      </c>
      <c r="Z293" s="146">
        <f>'[2]Ukraine Sun Oil Exports'!LP$290</f>
        <v>439.99590599999999</v>
      </c>
      <c r="AA293" s="146">
        <f>'[2]Ukraine Sun Oil Exports'!MB$290</f>
        <v>585.67283299999997</v>
      </c>
      <c r="AB293" s="146">
        <f>'[2]Ukraine Sun Oil Exports'!MN$290</f>
        <v>639.42643599999997</v>
      </c>
      <c r="AC293" s="146">
        <f>'[2]Ukraine Sun Oil Exports'!MZ$290</f>
        <v>502.38400000000001</v>
      </c>
      <c r="AD293" s="146">
        <f>'[2]Ukraine Sun Oil Exports'!NL$290</f>
        <v>190.191</v>
      </c>
      <c r="AE293" s="146">
        <f>'[2]Ukraine Sun Oil Exports'!NX$290</f>
        <v>452.83300000000003</v>
      </c>
      <c r="AF293" s="253">
        <f t="shared" si="140"/>
        <v>492.38501900959608</v>
      </c>
      <c r="AG293" s="253">
        <f t="shared" si="140"/>
        <v>478.53871527262214</v>
      </c>
      <c r="AH293" s="146"/>
      <c r="AI293">
        <v>569.28598231653632</v>
      </c>
      <c r="AK293" s="226" t="s">
        <v>237</v>
      </c>
      <c r="AL293" s="226">
        <f t="shared" si="141"/>
        <v>201812</v>
      </c>
      <c r="AM293" s="201">
        <f t="shared" si="141"/>
        <v>365476</v>
      </c>
      <c r="AO293" s="253"/>
      <c r="AP293" s="253"/>
      <c r="AQ293" s="108">
        <f t="shared" si="143"/>
        <v>379.09498231653629</v>
      </c>
    </row>
    <row r="294" spans="1:48">
      <c r="A294" s="240" t="s">
        <v>235</v>
      </c>
      <c r="B294" s="251">
        <f>'[2]Ukraine Sun Oil Exports'!AO$290</f>
        <v>17.8</v>
      </c>
      <c r="C294" s="251">
        <f>'[2]Ukraine Sun Oil Exports'!BA$290</f>
        <v>12.9</v>
      </c>
      <c r="D294" s="251">
        <f>'[2]Ukraine Sun Oil Exports'!BN$290</f>
        <v>10.7</v>
      </c>
      <c r="E294" s="146">
        <f>'[2]Ukraine Sun Oil Exports'!BY$290</f>
        <v>5.9</v>
      </c>
      <c r="F294" s="146">
        <f>'[2]Ukraine Sun Oil Exports'!CK$290</f>
        <v>2.5</v>
      </c>
      <c r="G294" s="146">
        <f>'[2]Ukraine Sun Oil Exports'!CW$290</f>
        <v>15</v>
      </c>
      <c r="H294" s="146">
        <f>'[2]Ukraine Sun Oil Exports'!DI$290</f>
        <v>51.3</v>
      </c>
      <c r="I294" s="146">
        <f>'[2]Ukraine Sun Oil Exports'!DU$290</f>
        <v>37.799999999999997</v>
      </c>
      <c r="J294" s="146">
        <f>'[2]Ukraine Sun Oil Exports'!EG$290</f>
        <v>29.664999999999999</v>
      </c>
      <c r="K294" s="146">
        <f>'[2]Ukraine Sun Oil Exports'!ES$290</f>
        <v>76.277000000000001</v>
      </c>
      <c r="L294" s="146">
        <f>'[2]Ukraine Sun Oil Exports'!FE$290</f>
        <v>106.31</v>
      </c>
      <c r="M294" s="146">
        <f>'[2]Ukraine Sun Oil Exports'!FQ$290</f>
        <v>68.117000000000004</v>
      </c>
      <c r="N294" s="146">
        <f>'[2]Ukraine Sun Oil Exports'!GC$290</f>
        <v>163.964</v>
      </c>
      <c r="O294" s="146">
        <f>'[2]Ukraine Sun Oil Exports'!GO$290</f>
        <v>199.5</v>
      </c>
      <c r="P294" s="146">
        <f>'[2]Ukraine Sun Oil Exports'!HA$290</f>
        <v>95.971999999999994</v>
      </c>
      <c r="Q294" s="146">
        <f>'[2]Ukraine Sun Oil Exports'!HM$290</f>
        <v>208.54499999999999</v>
      </c>
      <c r="R294" s="146">
        <f>'[2]Ukraine Sun Oil Exports'!HY$290</f>
        <v>277.29300000000001</v>
      </c>
      <c r="S294" s="146">
        <f>'[2]Ukraine Sun Oil Exports'!IK$290</f>
        <v>216.61500000000001</v>
      </c>
      <c r="T294" s="146">
        <f>'[2]Ukraine Sun Oil Exports'!IW$290</f>
        <v>285.435</v>
      </c>
      <c r="U294" s="146">
        <f>'[2]Ukraine Sun Oil Exports'!JI$290</f>
        <v>284.55900000000003</v>
      </c>
      <c r="V294" s="146">
        <f>'[2]Ukraine Sun Oil Exports'!JU$290</f>
        <v>379.92399999999998</v>
      </c>
      <c r="W294" s="146">
        <f>'[2]Ukraine Sun Oil Exports'!KG$290</f>
        <v>348.43299999999999</v>
      </c>
      <c r="X294" s="146">
        <f>'[2]Ukraine Sun Oil Exports'!KS$290</f>
        <v>444.43900000000002</v>
      </c>
      <c r="Y294" s="146">
        <f>'[2]Ukraine Sun Oil Exports'!LE$290</f>
        <v>509.02368100000001</v>
      </c>
      <c r="Z294" s="146">
        <f>'[2]Ukraine Sun Oil Exports'!LQ$290</f>
        <v>435.64423399999998</v>
      </c>
      <c r="AA294" s="146">
        <f>'[2]Ukraine Sun Oil Exports'!MC$290</f>
        <v>466.907061</v>
      </c>
      <c r="AB294" s="146">
        <f>'[2]Ukraine Sun Oil Exports'!MO$290</f>
        <v>587.80798900000002</v>
      </c>
      <c r="AC294" s="146">
        <f>'[2]Ukraine Sun Oil Exports'!NA$290</f>
        <v>325.024</v>
      </c>
      <c r="AD294" s="146">
        <f>'[2]Ukraine Sun Oil Exports'!NM$290</f>
        <v>279.44299999999998</v>
      </c>
      <c r="AE294" s="146">
        <f>'[2]Ukraine Sun Oil Exports'!NY$290</f>
        <v>475.71699999999998</v>
      </c>
      <c r="AF294" s="253">
        <f t="shared" si="140"/>
        <v>437.49167742224228</v>
      </c>
      <c r="AG294" s="253">
        <f t="shared" si="140"/>
        <v>430.97604550047112</v>
      </c>
      <c r="AH294" s="146"/>
      <c r="AI294">
        <v>551.48262544214992</v>
      </c>
      <c r="AK294" s="226" t="s">
        <v>238</v>
      </c>
      <c r="AL294" s="226">
        <f t="shared" si="141"/>
        <v>277054</v>
      </c>
      <c r="AM294" s="201">
        <f t="shared" si="141"/>
        <v>506240</v>
      </c>
      <c r="AO294" s="253"/>
      <c r="AP294" s="253"/>
      <c r="AQ294" s="108">
        <f t="shared" si="143"/>
        <v>272.03962544214994</v>
      </c>
    </row>
    <row r="295" spans="1:48">
      <c r="A295" s="240" t="s">
        <v>236</v>
      </c>
      <c r="B295" s="251">
        <f>'[2]Ukraine Sun Oil Exports'!AP$290</f>
        <v>17.100000000000001</v>
      </c>
      <c r="C295" s="251">
        <f>'[2]Ukraine Sun Oil Exports'!BB$290</f>
        <v>13.5</v>
      </c>
      <c r="D295" s="251">
        <f>'[2]Ukraine Sun Oil Exports'!BO$290</f>
        <v>22.8</v>
      </c>
      <c r="E295" s="146">
        <f>'[2]Ukraine Sun Oil Exports'!BZ$290</f>
        <v>1.9</v>
      </c>
      <c r="F295" s="146">
        <f>'[2]Ukraine Sun Oil Exports'!CL$290</f>
        <v>6.4</v>
      </c>
      <c r="G295" s="146">
        <f>'[2]Ukraine Sun Oil Exports'!CX$290</f>
        <v>15</v>
      </c>
      <c r="H295" s="146">
        <f>'[2]Ukraine Sun Oil Exports'!DJ$290</f>
        <v>52.6</v>
      </c>
      <c r="I295" s="146">
        <f>'[2]Ukraine Sun Oil Exports'!DV$290</f>
        <v>35.299999999999997</v>
      </c>
      <c r="J295" s="146">
        <f>'[2]Ukraine Sun Oil Exports'!EH$290</f>
        <v>36.664000000000001</v>
      </c>
      <c r="K295" s="146">
        <f>'[2]Ukraine Sun Oil Exports'!ET$290</f>
        <v>64.959000000000003</v>
      </c>
      <c r="L295" s="146">
        <f>'[2]Ukraine Sun Oil Exports'!FF$290</f>
        <v>79.394999999999996</v>
      </c>
      <c r="M295" s="146">
        <f>'[2]Ukraine Sun Oil Exports'!FR$290</f>
        <v>44.56</v>
      </c>
      <c r="N295" s="146">
        <f>'[2]Ukraine Sun Oil Exports'!GD$290</f>
        <v>109.245</v>
      </c>
      <c r="O295" s="146">
        <f>'[2]Ukraine Sun Oil Exports'!GP$290</f>
        <v>153.71799999999999</v>
      </c>
      <c r="P295" s="146">
        <f>'[2]Ukraine Sun Oil Exports'!HB$290</f>
        <v>94.212000000000003</v>
      </c>
      <c r="Q295" s="146">
        <f>'[2]Ukraine Sun Oil Exports'!HN$290</f>
        <v>188.488</v>
      </c>
      <c r="R295" s="146">
        <f>'[2]Ukraine Sun Oil Exports'!HZ$290</f>
        <v>262.702</v>
      </c>
      <c r="S295" s="146">
        <f>'[2]Ukraine Sun Oil Exports'!IL$290</f>
        <v>146.33099999999999</v>
      </c>
      <c r="T295" s="146">
        <f>'[2]Ukraine Sun Oil Exports'!IX$290</f>
        <v>238.61</v>
      </c>
      <c r="U295" s="146">
        <f>'[2]Ukraine Sun Oil Exports'!JJ$290</f>
        <v>181.321</v>
      </c>
      <c r="V295" s="146">
        <f>'[2]Ukraine Sun Oil Exports'!JV$290</f>
        <v>333.709</v>
      </c>
      <c r="W295" s="146">
        <f>'[2]Ukraine Sun Oil Exports'!KH$290</f>
        <v>288.08800000000002</v>
      </c>
      <c r="X295" s="146">
        <f>'[2]Ukraine Sun Oil Exports'!KT$290</f>
        <v>366.56099999999998</v>
      </c>
      <c r="Y295" s="146">
        <f>'[2]Ukraine Sun Oil Exports'!LF$290</f>
        <v>509.740838</v>
      </c>
      <c r="Z295" s="146">
        <f>'[2]Ukraine Sun Oil Exports'!LR$290</f>
        <v>401.65140200000002</v>
      </c>
      <c r="AA295" s="146">
        <f>'[2]Ukraine Sun Oil Exports'!MD$290</f>
        <v>554.06293500000004</v>
      </c>
      <c r="AB295" s="146">
        <f>'[2]Ukraine Sun Oil Exports'!MP$290</f>
        <v>592.60404100000005</v>
      </c>
      <c r="AC295" s="146">
        <f>'[2]Ukraine Sun Oil Exports'!NB$290</f>
        <v>328.00400000000002</v>
      </c>
      <c r="AD295" s="146">
        <f>'[2]Ukraine Sun Oil Exports'!NN$290</f>
        <v>277.75200000000001</v>
      </c>
      <c r="AE295" s="146">
        <f>'[2]Ukraine Sun Oil Exports'!NZ$290</f>
        <v>502.65600000000001</v>
      </c>
      <c r="AF295" s="253">
        <f t="shared" si="140"/>
        <v>449.86528005751018</v>
      </c>
      <c r="AG295" s="253">
        <f t="shared" si="140"/>
        <v>455.23699088616473</v>
      </c>
      <c r="AH295" s="146"/>
      <c r="AI295">
        <v>547.14948206948986</v>
      </c>
      <c r="AK295" s="226" t="s">
        <v>239</v>
      </c>
      <c r="AL295" s="226">
        <f t="shared" ref="AL295:AM297" si="144">AD286*1000</f>
        <v>433590</v>
      </c>
      <c r="AM295" s="201">
        <f t="shared" si="144"/>
        <v>450952</v>
      </c>
      <c r="AO295" s="253"/>
      <c r="AP295" s="253"/>
      <c r="AQ295" s="108">
        <f t="shared" si="143"/>
        <v>269.39748206948985</v>
      </c>
    </row>
    <row r="296" spans="1:48">
      <c r="A296" s="240" t="s">
        <v>237</v>
      </c>
      <c r="B296" s="251">
        <f>'[2]Ukraine Sun Oil Exports'!AQ$290</f>
        <v>22.8</v>
      </c>
      <c r="C296" s="251">
        <f>'[2]Ukraine Sun Oil Exports'!BC$290</f>
        <v>23.9</v>
      </c>
      <c r="D296" s="251">
        <f>'[2]Ukraine Sun Oil Exports'!BP$290</f>
        <v>15.7</v>
      </c>
      <c r="E296" s="146">
        <f>'[2]Ukraine Sun Oil Exports'!CA$290</f>
        <v>2.2000000000000002</v>
      </c>
      <c r="F296" s="146">
        <f>'[2]Ukraine Sun Oil Exports'!CM$290</f>
        <v>6.4</v>
      </c>
      <c r="G296" s="146">
        <f>'[2]Ukraine Sun Oil Exports'!CY$290</f>
        <v>15</v>
      </c>
      <c r="H296" s="146">
        <f>'[2]Ukraine Sun Oil Exports'!DK$290</f>
        <v>40.200000000000003</v>
      </c>
      <c r="I296" s="146">
        <f>'[2]Ukraine Sun Oil Exports'!DW$290</f>
        <v>24.1</v>
      </c>
      <c r="J296" s="146">
        <f>'[2]Ukraine Sun Oil Exports'!EI$290</f>
        <v>22.021999999999998</v>
      </c>
      <c r="K296" s="146">
        <f>'[2]Ukraine Sun Oil Exports'!EU$290</f>
        <v>40.981999999999999</v>
      </c>
      <c r="L296" s="146">
        <f>'[2]Ukraine Sun Oil Exports'!FG$290</f>
        <v>77.554000000000002</v>
      </c>
      <c r="M296" s="146">
        <f>'[2]Ukraine Sun Oil Exports'!FS$290</f>
        <v>40.557000000000002</v>
      </c>
      <c r="N296" s="146">
        <f>'[2]Ukraine Sun Oil Exports'!GE$290</f>
        <v>108.705</v>
      </c>
      <c r="O296" s="146">
        <f>'[2]Ukraine Sun Oil Exports'!GQ$290</f>
        <v>98.667000000000002</v>
      </c>
      <c r="P296" s="146">
        <f>'[2]Ukraine Sun Oil Exports'!HC$290</f>
        <v>81.866</v>
      </c>
      <c r="Q296" s="146">
        <f>'[2]Ukraine Sun Oil Exports'!HO$290</f>
        <v>148.876</v>
      </c>
      <c r="R296" s="146">
        <f>'[2]Ukraine Sun Oil Exports'!IA$290</f>
        <v>210.33199999999999</v>
      </c>
      <c r="S296" s="146">
        <f>'[2]Ukraine Sun Oil Exports'!IM$290</f>
        <v>153.001</v>
      </c>
      <c r="T296" s="146">
        <f>'[2]Ukraine Sun Oil Exports'!IY$290</f>
        <v>342.57799999999997</v>
      </c>
      <c r="U296" s="146">
        <f>'[2]Ukraine Sun Oil Exports'!JK$290</f>
        <v>222.24199999999999</v>
      </c>
      <c r="V296" s="146">
        <f>'[2]Ukraine Sun Oil Exports'!JW$290</f>
        <v>308.43099999999998</v>
      </c>
      <c r="W296" s="146">
        <f>'[2]Ukraine Sun Oil Exports'!KI$290</f>
        <v>223.21299999999999</v>
      </c>
      <c r="X296" s="146">
        <f>'[2]Ukraine Sun Oil Exports'!KU$290</f>
        <v>260.89299999999997</v>
      </c>
      <c r="Y296" s="146">
        <f>'[2]Ukraine Sun Oil Exports'!LG$290</f>
        <v>394.31798900000001</v>
      </c>
      <c r="Z296" s="146">
        <f>'[2]Ukraine Sun Oil Exports'!LS$290</f>
        <v>354.58790299999998</v>
      </c>
      <c r="AA296" s="146">
        <f>'[2]Ukraine Sun Oil Exports'!ME$290</f>
        <v>309.31541900000002</v>
      </c>
      <c r="AB296" s="146">
        <f>'[2]Ukraine Sun Oil Exports'!MQ$290</f>
        <v>329.16028599999999</v>
      </c>
      <c r="AC296" s="146">
        <f>'[2]Ukraine Sun Oil Exports'!NC$290</f>
        <v>201.81200000000001</v>
      </c>
      <c r="AD296" s="146">
        <f>'[2]Ukraine Sun Oil Exports'!NO$290</f>
        <v>365.476</v>
      </c>
      <c r="AE296" s="146">
        <f>'[2]Ukraine Sun Oil Exports'!MA$290</f>
        <v>499.44492700000001</v>
      </c>
      <c r="AF296" s="253">
        <f t="shared" si="140"/>
        <v>325.86990509252797</v>
      </c>
      <c r="AG296" s="253">
        <f t="shared" si="140"/>
        <v>344.23364091741399</v>
      </c>
      <c r="AH296" s="146"/>
      <c r="AI296">
        <v>371.95622889949829</v>
      </c>
      <c r="AK296" s="226" t="s">
        <v>240</v>
      </c>
      <c r="AL296" s="226">
        <f t="shared" si="144"/>
        <v>638763</v>
      </c>
      <c r="AM296" s="201">
        <f t="shared" si="144"/>
        <v>482643</v>
      </c>
      <c r="AO296" s="253"/>
      <c r="AP296" s="253"/>
      <c r="AQ296" s="108">
        <f t="shared" si="143"/>
        <v>6.480228899498286</v>
      </c>
    </row>
    <row r="297" spans="1:48">
      <c r="A297" s="240" t="s">
        <v>238</v>
      </c>
      <c r="B297" s="251">
        <f>'[2]Ukraine Sun Oil Exports'!AR$290</f>
        <v>28.1</v>
      </c>
      <c r="C297" s="251">
        <f>'[2]Ukraine Sun Oil Exports'!BD$290</f>
        <v>12.3</v>
      </c>
      <c r="D297" s="251">
        <f>'[2]Ukraine Sun Oil Exports'!BQ$290</f>
        <v>17.600000000000001</v>
      </c>
      <c r="E297" s="146">
        <f>'[2]Ukraine Sun Oil Exports'!CB$290</f>
        <v>1.5</v>
      </c>
      <c r="F297" s="146">
        <f>'[2]Ukraine Sun Oil Exports'!CN$290</f>
        <v>6.4</v>
      </c>
      <c r="G297" s="146">
        <f>'[2]Ukraine Sun Oil Exports'!CZ$290</f>
        <v>21</v>
      </c>
      <c r="H297" s="146">
        <f>'[2]Ukraine Sun Oil Exports'!DL$290</f>
        <v>42.8</v>
      </c>
      <c r="I297" s="146">
        <f>'[2]Ukraine Sun Oil Exports'!DX$290</f>
        <v>16.399999999999999</v>
      </c>
      <c r="J297" s="146">
        <f>'[2]Ukraine Sun Oil Exports'!EJ$290</f>
        <v>37.023000000000003</v>
      </c>
      <c r="K297" s="146">
        <f>'[2]Ukraine Sun Oil Exports'!EV$290</f>
        <v>32.715000000000003</v>
      </c>
      <c r="L297" s="146">
        <f>'[2]Ukraine Sun Oil Exports'!FH$290</f>
        <v>26.024999999999999</v>
      </c>
      <c r="M297" s="146">
        <f>'[2]Ukraine Sun Oil Exports'!FT$290</f>
        <v>40.924999999999997</v>
      </c>
      <c r="N297" s="146">
        <f>'[2]Ukraine Sun Oil Exports'!GF$290</f>
        <v>112.93899999999999</v>
      </c>
      <c r="O297" s="146">
        <f>'[2]Ukraine Sun Oil Exports'!GR$290</f>
        <v>72.317999999999998</v>
      </c>
      <c r="P297" s="146">
        <f>'[2]Ukraine Sun Oil Exports'!HD$290</f>
        <v>83.444000000000003</v>
      </c>
      <c r="Q297" s="146">
        <f>'[2]Ukraine Sun Oil Exports'!HP$290</f>
        <v>180.28200000000001</v>
      </c>
      <c r="R297" s="146">
        <f>'[2]Ukraine Sun Oil Exports'!IB$290</f>
        <v>85.932000000000002</v>
      </c>
      <c r="S297" s="146">
        <f>'[2]Ukraine Sun Oil Exports'!IN$290</f>
        <v>85.07</v>
      </c>
      <c r="T297" s="146">
        <f>'[2]Ukraine Sun Oil Exports'!IZ$290</f>
        <v>282.05</v>
      </c>
      <c r="U297" s="146">
        <f>'[2]Ukraine Sun Oil Exports'!JL$290</f>
        <v>152.94800000000001</v>
      </c>
      <c r="V297" s="146">
        <f>'[2]Ukraine Sun Oil Exports'!JX$290</f>
        <v>294.52699999999999</v>
      </c>
      <c r="W297" s="146">
        <f>'[2]Ukraine Sun Oil Exports'!KJ$290</f>
        <v>163.363</v>
      </c>
      <c r="X297" s="146">
        <f>'[2]Ukraine Sun Oil Exports'!KV$290</f>
        <v>271.71600000000001</v>
      </c>
      <c r="Y297" s="146">
        <f>'[2]Ukraine Sun Oil Exports'!LH$290</f>
        <v>309.86417399999999</v>
      </c>
      <c r="Z297" s="146">
        <f>'[2]Ukraine Sun Oil Exports'!LT$290</f>
        <v>250.357708</v>
      </c>
      <c r="AA297" s="146">
        <f>'[2]Ukraine Sun Oil Exports'!MF$290</f>
        <v>228.07961299999999</v>
      </c>
      <c r="AB297" s="146">
        <f>'[2]Ukraine Sun Oil Exports'!MR$290</f>
        <v>303.88007299999998</v>
      </c>
      <c r="AC297" s="146">
        <f>'[2]Ukraine Sun Oil Exports'!ND$290</f>
        <v>277.05399999999997</v>
      </c>
      <c r="AD297" s="146">
        <f>'[2]Ukraine Sun Oil Exports'!NP$290</f>
        <v>506.24</v>
      </c>
      <c r="AE297" s="146">
        <f>'[2]Ukraine Sun Oil Exports'!MB$290</f>
        <v>585.67283299999997</v>
      </c>
      <c r="AF297" s="253">
        <f>AF298-SUM(AF286:AF296)</f>
        <v>905.15742085708007</v>
      </c>
      <c r="AG297" s="253">
        <f>AG298-SUM(AG286:AG296)</f>
        <v>383.74357510983828</v>
      </c>
      <c r="AH297" s="146"/>
      <c r="AK297" s="226" t="s">
        <v>241</v>
      </c>
      <c r="AL297" s="226">
        <f t="shared" si="144"/>
        <v>689886</v>
      </c>
      <c r="AM297" s="201">
        <f t="shared" si="144"/>
        <v>439569</v>
      </c>
    </row>
    <row r="298" spans="1:48" ht="15.75" thickBot="1">
      <c r="A298" s="240" t="s">
        <v>242</v>
      </c>
      <c r="B298" s="146">
        <f>SUM(B286:B297)</f>
        <v>218.8</v>
      </c>
      <c r="C298" s="146">
        <f>SUM(C286:C297)</f>
        <v>183.20000000000002</v>
      </c>
      <c r="D298" s="146">
        <f>SUM(D286:D297)</f>
        <v>270.2</v>
      </c>
      <c r="E298" s="146">
        <f t="shared" ref="E298:W298" si="145">SUM(E286:E297)</f>
        <v>164.1</v>
      </c>
      <c r="F298" s="146">
        <f t="shared" si="145"/>
        <v>179.20000000000005</v>
      </c>
      <c r="G298" s="146">
        <f t="shared" si="145"/>
        <v>210</v>
      </c>
      <c r="H298" s="146">
        <f t="shared" si="145"/>
        <v>449.70500700999997</v>
      </c>
      <c r="I298" s="146">
        <f t="shared" si="145"/>
        <v>561.30000000000007</v>
      </c>
      <c r="J298" s="146">
        <f t="shared" si="145"/>
        <v>446.00010185000008</v>
      </c>
      <c r="K298" s="146">
        <f t="shared" si="145"/>
        <v>907.17</v>
      </c>
      <c r="L298" s="146">
        <f t="shared" si="145"/>
        <v>971.88999999999987</v>
      </c>
      <c r="M298" s="146">
        <f t="shared" si="145"/>
        <v>656.66099999999983</v>
      </c>
      <c r="N298" s="146">
        <f t="shared" si="145"/>
        <v>1586.2259999999999</v>
      </c>
      <c r="O298" s="146">
        <f t="shared" si="145"/>
        <v>1826.402</v>
      </c>
      <c r="P298" s="146">
        <f t="shared" si="145"/>
        <v>1336.867</v>
      </c>
      <c r="Q298" s="146">
        <f t="shared" si="145"/>
        <v>2195.2200000000003</v>
      </c>
      <c r="R298" s="146">
        <f t="shared" si="145"/>
        <v>2550.4230000000002</v>
      </c>
      <c r="S298" s="146">
        <f t="shared" si="145"/>
        <v>2651.2130000000002</v>
      </c>
      <c r="T298" s="146">
        <f t="shared" si="145"/>
        <v>3459.9820000000004</v>
      </c>
      <c r="U298" s="146">
        <f t="shared" si="145"/>
        <v>3116.2980000000002</v>
      </c>
      <c r="V298" s="146">
        <f t="shared" si="145"/>
        <v>4322.5429999999997</v>
      </c>
      <c r="W298" s="146">
        <f t="shared" si="145"/>
        <v>3740.4730000000004</v>
      </c>
      <c r="X298" s="146">
        <f>SUM(X286:X297)</f>
        <v>4608.2340000000004</v>
      </c>
      <c r="Y298" s="146">
        <f>SUM(Y286:Y297)</f>
        <v>5888.733682</v>
      </c>
      <c r="Z298" s="146">
        <f t="shared" ref="Z298:AE298" si="146">SUM(Z286:Z297)</f>
        <v>5282.2556970000005</v>
      </c>
      <c r="AA298" s="146">
        <f t="shared" si="146"/>
        <v>6041.0950649999995</v>
      </c>
      <c r="AB298" s="146">
        <f t="shared" si="146"/>
        <v>6761.9993790000008</v>
      </c>
      <c r="AC298" s="146">
        <f t="shared" si="146"/>
        <v>5246.582746</v>
      </c>
      <c r="AD298" s="146">
        <f t="shared" si="146"/>
        <v>4679.4199999999992</v>
      </c>
      <c r="AE298" s="146">
        <f t="shared" si="146"/>
        <v>5754.317759999999</v>
      </c>
      <c r="AF298" s="253">
        <f>AF40</f>
        <v>5850</v>
      </c>
      <c r="AG298" s="253">
        <f>AG40</f>
        <v>5750</v>
      </c>
      <c r="AH298" s="146"/>
      <c r="AK298" s="226" t="s">
        <v>50</v>
      </c>
      <c r="AL298" s="226">
        <f>SUM(AL286:AL297)</f>
        <v>5134436</v>
      </c>
      <c r="AM298" s="226">
        <f>SUM(AM286:AM297)</f>
        <v>4290345</v>
      </c>
    </row>
    <row r="299" spans="1:48">
      <c r="A299" s="248"/>
      <c r="B299" s="248"/>
      <c r="C299" s="248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  <c r="AA299" s="248"/>
      <c r="AB299" s="248"/>
      <c r="AC299" s="248"/>
      <c r="AD299" s="248"/>
      <c r="AE299" s="248"/>
      <c r="AF299" s="248"/>
      <c r="AG299" s="248"/>
    </row>
    <row r="300" spans="1:48" ht="15.75" thickBot="1">
      <c r="A300" s="235" t="s">
        <v>268</v>
      </c>
      <c r="D300" s="264">
        <v>99.860000000000014</v>
      </c>
      <c r="E300" s="264">
        <v>118.67699999999999</v>
      </c>
      <c r="F300" s="264">
        <v>160.22399999999999</v>
      </c>
      <c r="G300" s="264">
        <v>62.062999999999995</v>
      </c>
      <c r="H300" s="264">
        <v>94.578000000000003</v>
      </c>
      <c r="I300" s="264">
        <v>142.18700000000001</v>
      </c>
    </row>
    <row r="301" spans="1:48" ht="15.75" thickBot="1">
      <c r="A301" s="236"/>
      <c r="B301" s="237" t="str">
        <f>B$2</f>
        <v xml:space="preserve">93/94 </v>
      </c>
      <c r="C301" s="237" t="str">
        <f t="shared" ref="C301:AG301" si="147">C$2</f>
        <v xml:space="preserve">94/95 </v>
      </c>
      <c r="D301" s="237" t="str">
        <f t="shared" si="147"/>
        <v xml:space="preserve">95/96 </v>
      </c>
      <c r="E301" s="237" t="str">
        <f t="shared" si="147"/>
        <v xml:space="preserve">96/97 </v>
      </c>
      <c r="F301" s="237" t="str">
        <f t="shared" si="147"/>
        <v xml:space="preserve">97/98 </v>
      </c>
      <c r="G301" s="237" t="str">
        <f t="shared" si="147"/>
        <v xml:space="preserve">98/99 </v>
      </c>
      <c r="H301" s="237" t="str">
        <f t="shared" si="147"/>
        <v xml:space="preserve">99/00 </v>
      </c>
      <c r="I301" s="237" t="str">
        <f t="shared" si="147"/>
        <v xml:space="preserve">00/01 </v>
      </c>
      <c r="J301" s="237" t="str">
        <f t="shared" si="147"/>
        <v xml:space="preserve">01/02 </v>
      </c>
      <c r="K301" s="237" t="str">
        <f t="shared" si="147"/>
        <v xml:space="preserve">02/03 </v>
      </c>
      <c r="L301" s="237" t="str">
        <f t="shared" si="147"/>
        <v xml:space="preserve">03/04 </v>
      </c>
      <c r="M301" s="237" t="str">
        <f t="shared" si="147"/>
        <v xml:space="preserve">04/05 </v>
      </c>
      <c r="N301" s="237" t="str">
        <f t="shared" si="147"/>
        <v xml:space="preserve">05/06 </v>
      </c>
      <c r="O301" s="237" t="str">
        <f t="shared" si="147"/>
        <v xml:space="preserve">06/07 </v>
      </c>
      <c r="P301" s="237" t="str">
        <f t="shared" si="147"/>
        <v xml:space="preserve">07/08 </v>
      </c>
      <c r="Q301" s="237" t="str">
        <f t="shared" si="147"/>
        <v xml:space="preserve">08/09 </v>
      </c>
      <c r="R301" s="237" t="str">
        <f t="shared" si="147"/>
        <v xml:space="preserve">09/10 </v>
      </c>
      <c r="S301" s="237" t="str">
        <f t="shared" si="147"/>
        <v xml:space="preserve">10/11 </v>
      </c>
      <c r="T301" s="237" t="str">
        <f t="shared" si="147"/>
        <v xml:space="preserve">11/12 </v>
      </c>
      <c r="U301" s="237" t="str">
        <f t="shared" si="147"/>
        <v xml:space="preserve">12/13 </v>
      </c>
      <c r="V301" s="237" t="str">
        <f t="shared" si="147"/>
        <v xml:space="preserve">13/14 </v>
      </c>
      <c r="W301" s="237" t="str">
        <f t="shared" si="147"/>
        <v xml:space="preserve">14/15 </v>
      </c>
      <c r="X301" s="237" t="str">
        <f t="shared" si="147"/>
        <v xml:space="preserve">15/16 </v>
      </c>
      <c r="Y301" s="237" t="str">
        <f t="shared" si="147"/>
        <v xml:space="preserve">16/17 </v>
      </c>
      <c r="Z301" s="237" t="str">
        <f t="shared" si="147"/>
        <v xml:space="preserve">17/18 </v>
      </c>
      <c r="AA301" s="237" t="str">
        <f t="shared" si="147"/>
        <v xml:space="preserve">18/19 </v>
      </c>
      <c r="AB301" s="237" t="str">
        <f t="shared" si="147"/>
        <v xml:space="preserve">19/20 </v>
      </c>
      <c r="AC301" s="237" t="str">
        <f t="shared" si="147"/>
        <v xml:space="preserve">20/21 </v>
      </c>
      <c r="AD301" s="237" t="str">
        <f t="shared" si="147"/>
        <v>21/22</v>
      </c>
      <c r="AE301" s="237" t="str">
        <f t="shared" si="147"/>
        <v>22/23</v>
      </c>
      <c r="AF301" s="237" t="str">
        <f t="shared" si="147"/>
        <v>23/24</v>
      </c>
      <c r="AG301" s="237" t="str">
        <f t="shared" si="147"/>
        <v>24/25</v>
      </c>
      <c r="AH301" s="269"/>
      <c r="AI301" s="108"/>
      <c r="AJ301" s="108"/>
    </row>
    <row r="302" spans="1:48">
      <c r="A302" s="240" t="s">
        <v>239</v>
      </c>
      <c r="B302" s="290">
        <f t="shared" ref="B302:Q313" si="148">B$314/12</f>
        <v>32</v>
      </c>
      <c r="C302" s="290">
        <f t="shared" si="148"/>
        <v>44.499999999999979</v>
      </c>
      <c r="D302" s="290">
        <f t="shared" si="148"/>
        <v>45</v>
      </c>
      <c r="E302" s="290">
        <f t="shared" si="148"/>
        <v>35.074999999999996</v>
      </c>
      <c r="F302" s="290">
        <f t="shared" si="148"/>
        <v>29.733333333333338</v>
      </c>
      <c r="G302" s="290">
        <f t="shared" si="148"/>
        <v>31.833333333333332</v>
      </c>
      <c r="H302" s="290">
        <f t="shared" si="148"/>
        <v>35.441249415833326</v>
      </c>
      <c r="I302" s="290">
        <f t="shared" si="148"/>
        <v>34.308333333333316</v>
      </c>
      <c r="J302" s="290">
        <f t="shared" si="148"/>
        <v>34.588908179166651</v>
      </c>
      <c r="K302" s="290">
        <f t="shared" si="148"/>
        <v>33.469500000000011</v>
      </c>
      <c r="L302" s="290">
        <f t="shared" si="148"/>
        <v>27.278416666666676</v>
      </c>
      <c r="M302" s="290">
        <f t="shared" si="148"/>
        <v>20.99600000000002</v>
      </c>
      <c r="N302" s="290">
        <f t="shared" si="148"/>
        <v>24.024249999999995</v>
      </c>
      <c r="O302" s="290">
        <f t="shared" si="148"/>
        <v>38.980333333333306</v>
      </c>
      <c r="P302" s="290">
        <f t="shared" si="148"/>
        <v>30.125500000000006</v>
      </c>
      <c r="Q302" s="290">
        <f t="shared" si="148"/>
        <v>18.581249999999955</v>
      </c>
      <c r="R302" s="290">
        <f t="shared" ref="R302:AN313" si="149">R$314/12</f>
        <v>37.58774999999995</v>
      </c>
      <c r="S302" s="290">
        <f t="shared" si="149"/>
        <v>17.819499999999987</v>
      </c>
      <c r="T302" s="290">
        <f t="shared" si="149"/>
        <v>0.14466666666661845</v>
      </c>
      <c r="U302" s="290">
        <f t="shared" si="149"/>
        <v>14.684333333333333</v>
      </c>
      <c r="V302" s="290">
        <f t="shared" si="149"/>
        <v>-9.8314166666665788</v>
      </c>
      <c r="W302" s="290">
        <f t="shared" si="149"/>
        <v>-11.038500000000036</v>
      </c>
      <c r="X302" s="290">
        <f t="shared" si="149"/>
        <v>-58.74683333333337</v>
      </c>
      <c r="Y302" s="290">
        <f t="shared" si="149"/>
        <v>42.713443166666671</v>
      </c>
      <c r="Z302" s="252">
        <f>Z$314/12</f>
        <v>50.618525249999948</v>
      </c>
      <c r="AA302" s="252">
        <f t="shared" ref="AA302:AG313" si="150">AA$314/12</f>
        <v>47.249244583333393</v>
      </c>
      <c r="AB302" s="252">
        <f t="shared" si="150"/>
        <v>39.509635083333251</v>
      </c>
      <c r="AC302" s="252">
        <f>(SUM(X302:AB302)/SUM(X$314:AB$314))*AC$314+100</f>
        <v>148.03993783333334</v>
      </c>
      <c r="AD302" s="252">
        <f t="shared" si="150"/>
        <v>12.552916666666761</v>
      </c>
      <c r="AE302" s="252">
        <f t="shared" si="150"/>
        <v>27.776686666666745</v>
      </c>
      <c r="AF302" s="252">
        <f t="shared" si="150"/>
        <v>30.75</v>
      </c>
      <c r="AG302" s="252">
        <f t="shared" si="150"/>
        <v>33.416666666666664</v>
      </c>
      <c r="AH302" s="146"/>
    </row>
    <row r="303" spans="1:48">
      <c r="A303" s="240" t="s">
        <v>240</v>
      </c>
      <c r="B303" s="290">
        <f t="shared" si="148"/>
        <v>32</v>
      </c>
      <c r="C303" s="290">
        <f t="shared" si="148"/>
        <v>44.499999999999979</v>
      </c>
      <c r="D303" s="290">
        <f t="shared" si="148"/>
        <v>45</v>
      </c>
      <c r="E303" s="290">
        <f t="shared" si="148"/>
        <v>35.074999999999996</v>
      </c>
      <c r="F303" s="290">
        <f t="shared" si="148"/>
        <v>29.733333333333338</v>
      </c>
      <c r="G303" s="290">
        <f t="shared" si="148"/>
        <v>31.833333333333332</v>
      </c>
      <c r="H303" s="290">
        <f t="shared" si="148"/>
        <v>35.441249415833326</v>
      </c>
      <c r="I303" s="290">
        <f t="shared" si="148"/>
        <v>34.308333333333316</v>
      </c>
      <c r="J303" s="290">
        <f t="shared" si="148"/>
        <v>34.588908179166651</v>
      </c>
      <c r="K303" s="290">
        <f t="shared" si="148"/>
        <v>33.469500000000011</v>
      </c>
      <c r="L303" s="290">
        <f t="shared" si="148"/>
        <v>27.278416666666676</v>
      </c>
      <c r="M303" s="290">
        <f t="shared" si="148"/>
        <v>20.99600000000002</v>
      </c>
      <c r="N303" s="290">
        <f t="shared" si="148"/>
        <v>24.024249999999995</v>
      </c>
      <c r="O303" s="290">
        <f t="shared" si="148"/>
        <v>38.980333333333306</v>
      </c>
      <c r="P303" s="290">
        <f t="shared" si="148"/>
        <v>30.125500000000006</v>
      </c>
      <c r="Q303" s="290">
        <f t="shared" si="148"/>
        <v>18.581249999999955</v>
      </c>
      <c r="R303" s="290">
        <f t="shared" si="149"/>
        <v>37.58774999999995</v>
      </c>
      <c r="S303" s="290">
        <f t="shared" si="149"/>
        <v>17.819499999999987</v>
      </c>
      <c r="T303" s="290">
        <f t="shared" si="149"/>
        <v>0.14466666666661845</v>
      </c>
      <c r="U303" s="290">
        <f t="shared" si="149"/>
        <v>14.684333333333333</v>
      </c>
      <c r="V303" s="290">
        <f t="shared" si="149"/>
        <v>-9.8314166666665788</v>
      </c>
      <c r="W303" s="290">
        <f t="shared" si="149"/>
        <v>-11.038500000000036</v>
      </c>
      <c r="X303" s="290">
        <f t="shared" si="149"/>
        <v>-58.74683333333337</v>
      </c>
      <c r="Y303" s="290">
        <f t="shared" si="149"/>
        <v>42.713443166666671</v>
      </c>
      <c r="Z303" s="252">
        <f>Z$314/12</f>
        <v>50.618525249999948</v>
      </c>
      <c r="AA303" s="252">
        <f>AA$314/12</f>
        <v>47.249244583333393</v>
      </c>
      <c r="AB303" s="252">
        <f>AB$314/12</f>
        <v>39.509635083333251</v>
      </c>
      <c r="AC303" s="252">
        <f>(SUM(X303:AB303)/SUM(X$314:AB$314))*AC$314+100</f>
        <v>148.03993783333334</v>
      </c>
      <c r="AD303" s="252">
        <f>AD$314/12</f>
        <v>12.552916666666761</v>
      </c>
      <c r="AE303" s="252">
        <f t="shared" si="150"/>
        <v>27.776686666666745</v>
      </c>
      <c r="AF303" s="252">
        <f t="shared" si="150"/>
        <v>30.75</v>
      </c>
      <c r="AG303" s="252">
        <f t="shared" si="150"/>
        <v>33.416666666666664</v>
      </c>
      <c r="AH303" s="146"/>
    </row>
    <row r="304" spans="1:48">
      <c r="A304" s="240" t="s">
        <v>241</v>
      </c>
      <c r="B304" s="290">
        <f t="shared" si="148"/>
        <v>32</v>
      </c>
      <c r="C304" s="290">
        <f t="shared" si="148"/>
        <v>44.499999999999979</v>
      </c>
      <c r="D304" s="290">
        <f t="shared" si="148"/>
        <v>45</v>
      </c>
      <c r="E304" s="290">
        <f t="shared" si="148"/>
        <v>35.074999999999996</v>
      </c>
      <c r="F304" s="290">
        <f t="shared" si="148"/>
        <v>29.733333333333338</v>
      </c>
      <c r="G304" s="290">
        <f t="shared" si="148"/>
        <v>31.833333333333332</v>
      </c>
      <c r="H304" s="290">
        <f t="shared" si="148"/>
        <v>35.441249415833326</v>
      </c>
      <c r="I304" s="290">
        <f t="shared" si="148"/>
        <v>34.308333333333316</v>
      </c>
      <c r="J304" s="290">
        <f t="shared" si="148"/>
        <v>34.588908179166651</v>
      </c>
      <c r="K304" s="290">
        <f t="shared" si="148"/>
        <v>33.469500000000011</v>
      </c>
      <c r="L304" s="290">
        <f t="shared" si="148"/>
        <v>27.278416666666676</v>
      </c>
      <c r="M304" s="290">
        <f t="shared" si="148"/>
        <v>20.99600000000002</v>
      </c>
      <c r="N304" s="290">
        <f t="shared" si="148"/>
        <v>24.024249999999995</v>
      </c>
      <c r="O304" s="290">
        <f t="shared" si="148"/>
        <v>38.980333333333306</v>
      </c>
      <c r="P304" s="290">
        <f t="shared" si="148"/>
        <v>30.125500000000006</v>
      </c>
      <c r="Q304" s="290">
        <f t="shared" si="148"/>
        <v>18.581249999999955</v>
      </c>
      <c r="R304" s="290">
        <f t="shared" si="149"/>
        <v>37.58774999999995</v>
      </c>
      <c r="S304" s="290">
        <f t="shared" si="149"/>
        <v>17.819499999999987</v>
      </c>
      <c r="T304" s="290">
        <f t="shared" si="149"/>
        <v>0.14466666666661845</v>
      </c>
      <c r="U304" s="290">
        <f t="shared" si="149"/>
        <v>14.684333333333333</v>
      </c>
      <c r="V304" s="290">
        <f t="shared" si="149"/>
        <v>-9.8314166666665788</v>
      </c>
      <c r="W304" s="290">
        <f t="shared" si="149"/>
        <v>-11.038500000000036</v>
      </c>
      <c r="X304" s="290">
        <f t="shared" si="149"/>
        <v>-58.74683333333337</v>
      </c>
      <c r="Y304" s="290">
        <f t="shared" si="149"/>
        <v>42.713443166666671</v>
      </c>
      <c r="Z304" s="252">
        <f>Z$314/12</f>
        <v>50.618525249999948</v>
      </c>
      <c r="AA304" s="252">
        <f t="shared" si="150"/>
        <v>47.249244583333393</v>
      </c>
      <c r="AB304" s="252">
        <f t="shared" si="150"/>
        <v>39.509635083333251</v>
      </c>
      <c r="AC304" s="252">
        <f>(SUM(X304:AB304)/SUM(X$314:AB$314))*AC$314+100</f>
        <v>148.03993783333334</v>
      </c>
      <c r="AD304" s="252">
        <f t="shared" si="150"/>
        <v>12.552916666666761</v>
      </c>
      <c r="AE304" s="252">
        <f t="shared" si="150"/>
        <v>27.776686666666745</v>
      </c>
      <c r="AF304" s="252">
        <f t="shared" si="150"/>
        <v>30.75</v>
      </c>
      <c r="AG304" s="252">
        <f t="shared" si="150"/>
        <v>33.416666666666664</v>
      </c>
      <c r="AH304" s="146"/>
    </row>
    <row r="305" spans="1:34">
      <c r="A305" s="240" t="s">
        <v>231</v>
      </c>
      <c r="B305" s="290">
        <f t="shared" si="148"/>
        <v>32</v>
      </c>
      <c r="C305" s="290">
        <f t="shared" si="148"/>
        <v>44.499999999999979</v>
      </c>
      <c r="D305" s="290">
        <f t="shared" si="148"/>
        <v>45</v>
      </c>
      <c r="E305" s="290">
        <f t="shared" si="148"/>
        <v>35.074999999999996</v>
      </c>
      <c r="F305" s="290">
        <f t="shared" si="148"/>
        <v>29.733333333333338</v>
      </c>
      <c r="G305" s="290">
        <f t="shared" si="148"/>
        <v>31.833333333333332</v>
      </c>
      <c r="H305" s="290">
        <f t="shared" si="148"/>
        <v>35.441249415833326</v>
      </c>
      <c r="I305" s="290">
        <f t="shared" si="148"/>
        <v>34.308333333333316</v>
      </c>
      <c r="J305" s="290">
        <f t="shared" si="148"/>
        <v>34.588908179166651</v>
      </c>
      <c r="K305" s="290">
        <f t="shared" si="148"/>
        <v>33.469500000000011</v>
      </c>
      <c r="L305" s="290">
        <f t="shared" si="148"/>
        <v>27.278416666666676</v>
      </c>
      <c r="M305" s="290">
        <f t="shared" si="148"/>
        <v>20.99600000000002</v>
      </c>
      <c r="N305" s="290">
        <f t="shared" si="148"/>
        <v>24.024249999999995</v>
      </c>
      <c r="O305" s="290">
        <f t="shared" si="148"/>
        <v>38.980333333333306</v>
      </c>
      <c r="P305" s="290">
        <f t="shared" si="148"/>
        <v>30.125500000000006</v>
      </c>
      <c r="Q305" s="290">
        <f t="shared" si="148"/>
        <v>18.581249999999955</v>
      </c>
      <c r="R305" s="290">
        <f t="shared" si="149"/>
        <v>37.58774999999995</v>
      </c>
      <c r="S305" s="290">
        <f t="shared" si="149"/>
        <v>17.819499999999987</v>
      </c>
      <c r="T305" s="290">
        <f t="shared" si="149"/>
        <v>0.14466666666661845</v>
      </c>
      <c r="U305" s="290">
        <f t="shared" si="149"/>
        <v>14.684333333333333</v>
      </c>
      <c r="V305" s="290">
        <f t="shared" si="149"/>
        <v>-9.8314166666665788</v>
      </c>
      <c r="W305" s="290">
        <f t="shared" si="149"/>
        <v>-11.038500000000036</v>
      </c>
      <c r="X305" s="290">
        <f t="shared" si="149"/>
        <v>-58.74683333333337</v>
      </c>
      <c r="Y305" s="290">
        <f t="shared" si="149"/>
        <v>42.713443166666671</v>
      </c>
      <c r="Z305" s="251">
        <f>Z320+Z225+Z273-Z289-Z321</f>
        <v>1.7910639999999916</v>
      </c>
      <c r="AA305" s="252">
        <f t="shared" si="150"/>
        <v>47.249244583333393</v>
      </c>
      <c r="AB305" s="252">
        <f t="shared" si="150"/>
        <v>39.509635083333251</v>
      </c>
      <c r="AC305" s="251">
        <f>AC320+AC225+AC273-AC289-AC321</f>
        <v>91.788053846153915</v>
      </c>
      <c r="AD305" s="252">
        <f t="shared" si="150"/>
        <v>12.552916666666761</v>
      </c>
      <c r="AE305" s="252">
        <f t="shared" si="150"/>
        <v>27.776686666666745</v>
      </c>
      <c r="AF305" s="252">
        <f t="shared" si="150"/>
        <v>30.75</v>
      </c>
      <c r="AG305" s="252">
        <f t="shared" si="150"/>
        <v>33.416666666666664</v>
      </c>
      <c r="AH305" s="146"/>
    </row>
    <row r="306" spans="1:34">
      <c r="A306" s="240" t="s">
        <v>232</v>
      </c>
      <c r="B306" s="290">
        <f t="shared" si="148"/>
        <v>32</v>
      </c>
      <c r="C306" s="290">
        <f t="shared" si="148"/>
        <v>44.499999999999979</v>
      </c>
      <c r="D306" s="290">
        <f t="shared" si="148"/>
        <v>45</v>
      </c>
      <c r="E306" s="290">
        <f t="shared" si="148"/>
        <v>35.074999999999996</v>
      </c>
      <c r="F306" s="290">
        <f t="shared" si="148"/>
        <v>29.733333333333338</v>
      </c>
      <c r="G306" s="290">
        <f t="shared" si="148"/>
        <v>31.833333333333332</v>
      </c>
      <c r="H306" s="290">
        <f t="shared" si="148"/>
        <v>35.441249415833326</v>
      </c>
      <c r="I306" s="290">
        <f t="shared" si="148"/>
        <v>34.308333333333316</v>
      </c>
      <c r="J306" s="290">
        <f t="shared" si="148"/>
        <v>34.588908179166651</v>
      </c>
      <c r="K306" s="290">
        <f t="shared" si="148"/>
        <v>33.469500000000011</v>
      </c>
      <c r="L306" s="290">
        <f t="shared" si="148"/>
        <v>27.278416666666676</v>
      </c>
      <c r="M306" s="290">
        <f t="shared" si="148"/>
        <v>20.99600000000002</v>
      </c>
      <c r="N306" s="290">
        <f t="shared" si="148"/>
        <v>24.024249999999995</v>
      </c>
      <c r="O306" s="290">
        <f t="shared" si="148"/>
        <v>38.980333333333306</v>
      </c>
      <c r="P306" s="290">
        <f t="shared" si="148"/>
        <v>30.125500000000006</v>
      </c>
      <c r="Q306" s="290">
        <f t="shared" si="148"/>
        <v>18.581249999999955</v>
      </c>
      <c r="R306" s="290">
        <f t="shared" si="149"/>
        <v>37.58774999999995</v>
      </c>
      <c r="S306" s="290">
        <f t="shared" si="149"/>
        <v>17.819499999999987</v>
      </c>
      <c r="T306" s="290">
        <f t="shared" si="149"/>
        <v>0.14466666666661845</v>
      </c>
      <c r="U306" s="290">
        <f t="shared" si="149"/>
        <v>14.684333333333333</v>
      </c>
      <c r="V306" s="290">
        <f t="shared" si="149"/>
        <v>-9.8314166666665788</v>
      </c>
      <c r="W306" s="290">
        <f t="shared" si="149"/>
        <v>-11.038500000000036</v>
      </c>
      <c r="X306" s="290">
        <f t="shared" si="149"/>
        <v>-58.74683333333337</v>
      </c>
      <c r="Y306" s="290">
        <f t="shared" si="149"/>
        <v>42.713443166666671</v>
      </c>
      <c r="Z306" s="251">
        <f>Z321+Z226+Z274-Z290-Z322</f>
        <v>-11.089267999999976</v>
      </c>
      <c r="AA306" s="252">
        <f t="shared" si="150"/>
        <v>47.249244583333393</v>
      </c>
      <c r="AB306" s="252">
        <f t="shared" si="150"/>
        <v>39.509635083333251</v>
      </c>
      <c r="AC306" s="251">
        <f t="shared" ref="AC306:AC312" si="151">AC321+AC226+AC274-AC290-AC322</f>
        <v>-29.256400000000028</v>
      </c>
      <c r="AD306" s="252">
        <f t="shared" si="150"/>
        <v>12.552916666666761</v>
      </c>
      <c r="AE306" s="252">
        <f t="shared" si="150"/>
        <v>27.776686666666745</v>
      </c>
      <c r="AF306" s="252">
        <f t="shared" si="150"/>
        <v>30.75</v>
      </c>
      <c r="AG306" s="252">
        <f t="shared" si="150"/>
        <v>33.416666666666664</v>
      </c>
      <c r="AH306" s="146"/>
    </row>
    <row r="307" spans="1:34">
      <c r="A307" s="240" t="s">
        <v>233</v>
      </c>
      <c r="B307" s="290">
        <f t="shared" si="148"/>
        <v>32</v>
      </c>
      <c r="C307" s="290">
        <f t="shared" si="148"/>
        <v>44.499999999999979</v>
      </c>
      <c r="D307" s="290">
        <f t="shared" si="148"/>
        <v>45</v>
      </c>
      <c r="E307" s="290">
        <f t="shared" si="148"/>
        <v>35.074999999999996</v>
      </c>
      <c r="F307" s="290">
        <f t="shared" si="148"/>
        <v>29.733333333333338</v>
      </c>
      <c r="G307" s="290">
        <f t="shared" si="148"/>
        <v>31.833333333333332</v>
      </c>
      <c r="H307" s="290">
        <f t="shared" si="148"/>
        <v>35.441249415833326</v>
      </c>
      <c r="I307" s="290">
        <f t="shared" si="148"/>
        <v>34.308333333333316</v>
      </c>
      <c r="J307" s="290">
        <f t="shared" si="148"/>
        <v>34.588908179166651</v>
      </c>
      <c r="K307" s="290">
        <f t="shared" si="148"/>
        <v>33.469500000000011</v>
      </c>
      <c r="L307" s="290">
        <f t="shared" si="148"/>
        <v>27.278416666666676</v>
      </c>
      <c r="M307" s="290">
        <f t="shared" si="148"/>
        <v>20.99600000000002</v>
      </c>
      <c r="N307" s="290">
        <f t="shared" si="148"/>
        <v>24.024249999999995</v>
      </c>
      <c r="O307" s="290">
        <f t="shared" si="148"/>
        <v>38.980333333333306</v>
      </c>
      <c r="P307" s="290">
        <f t="shared" si="148"/>
        <v>30.125500000000006</v>
      </c>
      <c r="Q307" s="290">
        <f t="shared" si="148"/>
        <v>18.581249999999955</v>
      </c>
      <c r="R307" s="290">
        <f t="shared" si="149"/>
        <v>37.58774999999995</v>
      </c>
      <c r="S307" s="290">
        <f t="shared" si="149"/>
        <v>17.819499999999987</v>
      </c>
      <c r="T307" s="290">
        <f t="shared" si="149"/>
        <v>0.14466666666661845</v>
      </c>
      <c r="U307" s="290">
        <f t="shared" si="149"/>
        <v>14.684333333333333</v>
      </c>
      <c r="V307" s="290">
        <f t="shared" si="149"/>
        <v>-9.8314166666665788</v>
      </c>
      <c r="W307" s="290">
        <f t="shared" si="149"/>
        <v>-11.038500000000036</v>
      </c>
      <c r="X307" s="290">
        <f t="shared" si="149"/>
        <v>-58.74683333333337</v>
      </c>
      <c r="Y307" s="290">
        <f t="shared" si="149"/>
        <v>42.713443166666671</v>
      </c>
      <c r="Z307" s="251">
        <f>Z322+Z227+Z275-Z291-Z323</f>
        <v>-118.27159800000004</v>
      </c>
      <c r="AA307" s="252">
        <f t="shared" si="150"/>
        <v>47.249244583333393</v>
      </c>
      <c r="AB307" s="252">
        <f t="shared" si="150"/>
        <v>39.509635083333251</v>
      </c>
      <c r="AC307" s="251">
        <f t="shared" si="151"/>
        <v>95.746599999999944</v>
      </c>
      <c r="AD307" s="252">
        <f t="shared" si="150"/>
        <v>12.552916666666761</v>
      </c>
      <c r="AE307" s="252">
        <f t="shared" si="150"/>
        <v>27.776686666666745</v>
      </c>
      <c r="AF307" s="252">
        <f t="shared" si="150"/>
        <v>30.75</v>
      </c>
      <c r="AG307" s="252">
        <f t="shared" si="150"/>
        <v>33.416666666666664</v>
      </c>
      <c r="AH307" s="146"/>
    </row>
    <row r="308" spans="1:34">
      <c r="A308" s="240" t="s">
        <v>234</v>
      </c>
      <c r="B308" s="290">
        <f t="shared" si="148"/>
        <v>32</v>
      </c>
      <c r="C308" s="290">
        <f t="shared" si="148"/>
        <v>44.499999999999979</v>
      </c>
      <c r="D308" s="290">
        <f t="shared" si="148"/>
        <v>45</v>
      </c>
      <c r="E308" s="290">
        <f t="shared" si="148"/>
        <v>35.074999999999996</v>
      </c>
      <c r="F308" s="290">
        <f t="shared" si="148"/>
        <v>29.733333333333338</v>
      </c>
      <c r="G308" s="290">
        <f t="shared" si="148"/>
        <v>31.833333333333332</v>
      </c>
      <c r="H308" s="290">
        <f t="shared" si="148"/>
        <v>35.441249415833326</v>
      </c>
      <c r="I308" s="290">
        <f t="shared" si="148"/>
        <v>34.308333333333316</v>
      </c>
      <c r="J308" s="290">
        <f t="shared" si="148"/>
        <v>34.588908179166651</v>
      </c>
      <c r="K308" s="290">
        <f t="shared" si="148"/>
        <v>33.469500000000011</v>
      </c>
      <c r="L308" s="290">
        <f t="shared" si="148"/>
        <v>27.278416666666676</v>
      </c>
      <c r="M308" s="290">
        <f t="shared" si="148"/>
        <v>20.99600000000002</v>
      </c>
      <c r="N308" s="290">
        <f t="shared" si="148"/>
        <v>24.024249999999995</v>
      </c>
      <c r="O308" s="290">
        <f t="shared" si="148"/>
        <v>38.980333333333306</v>
      </c>
      <c r="P308" s="290">
        <f t="shared" si="148"/>
        <v>30.125500000000006</v>
      </c>
      <c r="Q308" s="290">
        <f t="shared" si="148"/>
        <v>18.581249999999955</v>
      </c>
      <c r="R308" s="290">
        <f t="shared" si="149"/>
        <v>37.58774999999995</v>
      </c>
      <c r="S308" s="290">
        <f t="shared" si="149"/>
        <v>17.819499999999987</v>
      </c>
      <c r="T308" s="290">
        <f t="shared" si="149"/>
        <v>0.14466666666661845</v>
      </c>
      <c r="U308" s="290">
        <f t="shared" si="149"/>
        <v>14.684333333333333</v>
      </c>
      <c r="V308" s="290">
        <f t="shared" si="149"/>
        <v>-9.8314166666665788</v>
      </c>
      <c r="W308" s="290">
        <f t="shared" si="149"/>
        <v>-11.038500000000036</v>
      </c>
      <c r="X308" s="290">
        <f t="shared" si="149"/>
        <v>-58.74683333333337</v>
      </c>
      <c r="Y308" s="290">
        <f t="shared" si="149"/>
        <v>42.713443166666671</v>
      </c>
      <c r="Z308" s="252">
        <f t="shared" si="149"/>
        <v>50.618525249999948</v>
      </c>
      <c r="AA308" s="252">
        <f t="shared" si="150"/>
        <v>47.249244583333393</v>
      </c>
      <c r="AB308" s="252">
        <f t="shared" si="150"/>
        <v>39.509635083333251</v>
      </c>
      <c r="AC308" s="251">
        <f t="shared" si="151"/>
        <v>-14.356199999999944</v>
      </c>
      <c r="AD308" s="252">
        <f t="shared" si="150"/>
        <v>12.552916666666761</v>
      </c>
      <c r="AE308" s="252">
        <f t="shared" si="150"/>
        <v>27.776686666666745</v>
      </c>
      <c r="AF308" s="252">
        <f t="shared" si="150"/>
        <v>30.75</v>
      </c>
      <c r="AG308" s="252">
        <f t="shared" si="150"/>
        <v>33.416666666666664</v>
      </c>
      <c r="AH308" s="146"/>
    </row>
    <row r="309" spans="1:34">
      <c r="A309" s="240" t="s">
        <v>46</v>
      </c>
      <c r="B309" s="290">
        <f t="shared" si="148"/>
        <v>32</v>
      </c>
      <c r="C309" s="290">
        <f t="shared" si="148"/>
        <v>44.499999999999979</v>
      </c>
      <c r="D309" s="290">
        <f t="shared" si="148"/>
        <v>45</v>
      </c>
      <c r="E309" s="290">
        <f t="shared" si="148"/>
        <v>35.074999999999996</v>
      </c>
      <c r="F309" s="290">
        <f t="shared" si="148"/>
        <v>29.733333333333338</v>
      </c>
      <c r="G309" s="290">
        <f t="shared" si="148"/>
        <v>31.833333333333332</v>
      </c>
      <c r="H309" s="290">
        <f t="shared" si="148"/>
        <v>35.441249415833326</v>
      </c>
      <c r="I309" s="290">
        <f t="shared" si="148"/>
        <v>34.308333333333316</v>
      </c>
      <c r="J309" s="290">
        <f t="shared" si="148"/>
        <v>34.588908179166651</v>
      </c>
      <c r="K309" s="290">
        <f t="shared" si="148"/>
        <v>33.469500000000011</v>
      </c>
      <c r="L309" s="290">
        <f t="shared" si="148"/>
        <v>27.278416666666676</v>
      </c>
      <c r="M309" s="290">
        <f t="shared" si="148"/>
        <v>20.99600000000002</v>
      </c>
      <c r="N309" s="290">
        <f t="shared" si="148"/>
        <v>24.024249999999995</v>
      </c>
      <c r="O309" s="290">
        <f t="shared" si="148"/>
        <v>38.980333333333306</v>
      </c>
      <c r="P309" s="290">
        <f t="shared" si="148"/>
        <v>30.125500000000006</v>
      </c>
      <c r="Q309" s="290">
        <f t="shared" si="148"/>
        <v>18.581249999999955</v>
      </c>
      <c r="R309" s="290">
        <f t="shared" si="149"/>
        <v>37.58774999999995</v>
      </c>
      <c r="S309" s="290">
        <f t="shared" si="149"/>
        <v>17.819499999999987</v>
      </c>
      <c r="T309" s="290">
        <f t="shared" si="149"/>
        <v>0.14466666666661845</v>
      </c>
      <c r="U309" s="290">
        <f t="shared" si="149"/>
        <v>14.684333333333333</v>
      </c>
      <c r="V309" s="290">
        <f t="shared" si="149"/>
        <v>-9.8314166666665788</v>
      </c>
      <c r="W309" s="290">
        <f t="shared" si="149"/>
        <v>-11.038500000000036</v>
      </c>
      <c r="X309" s="290">
        <f t="shared" si="149"/>
        <v>-58.74683333333337</v>
      </c>
      <c r="Y309" s="290">
        <f t="shared" si="149"/>
        <v>42.713443166666671</v>
      </c>
      <c r="Z309" s="252">
        <f t="shared" si="149"/>
        <v>50.618525249999948</v>
      </c>
      <c r="AA309" s="252">
        <f t="shared" si="150"/>
        <v>47.249244583333393</v>
      </c>
      <c r="AB309" s="252">
        <f t="shared" si="150"/>
        <v>39.509635083333251</v>
      </c>
      <c r="AC309" s="251">
        <f t="shared" si="151"/>
        <v>-203.28209999999999</v>
      </c>
      <c r="AD309" s="252">
        <f t="shared" si="150"/>
        <v>12.552916666666761</v>
      </c>
      <c r="AE309" s="252">
        <f t="shared" si="150"/>
        <v>27.776686666666745</v>
      </c>
      <c r="AF309" s="252">
        <f t="shared" si="150"/>
        <v>30.75</v>
      </c>
      <c r="AG309" s="252">
        <f t="shared" si="150"/>
        <v>33.416666666666664</v>
      </c>
      <c r="AH309" s="146"/>
    </row>
    <row r="310" spans="1:34">
      <c r="A310" s="240" t="s">
        <v>235</v>
      </c>
      <c r="B310" s="290">
        <f t="shared" si="148"/>
        <v>32</v>
      </c>
      <c r="C310" s="290">
        <f t="shared" si="148"/>
        <v>44.499999999999979</v>
      </c>
      <c r="D310" s="290">
        <f t="shared" si="148"/>
        <v>45</v>
      </c>
      <c r="E310" s="290">
        <f t="shared" si="148"/>
        <v>35.074999999999996</v>
      </c>
      <c r="F310" s="290">
        <f t="shared" si="148"/>
        <v>29.733333333333338</v>
      </c>
      <c r="G310" s="290">
        <f t="shared" si="148"/>
        <v>31.833333333333332</v>
      </c>
      <c r="H310" s="290">
        <f t="shared" si="148"/>
        <v>35.441249415833326</v>
      </c>
      <c r="I310" s="290">
        <f t="shared" si="148"/>
        <v>34.308333333333316</v>
      </c>
      <c r="J310" s="290">
        <f t="shared" si="148"/>
        <v>34.588908179166651</v>
      </c>
      <c r="K310" s="290">
        <f t="shared" si="148"/>
        <v>33.469500000000011</v>
      </c>
      <c r="L310" s="290">
        <f t="shared" si="148"/>
        <v>27.278416666666676</v>
      </c>
      <c r="M310" s="290">
        <f t="shared" si="148"/>
        <v>20.99600000000002</v>
      </c>
      <c r="N310" s="290">
        <f t="shared" si="148"/>
        <v>24.024249999999995</v>
      </c>
      <c r="O310" s="290">
        <f t="shared" si="148"/>
        <v>38.980333333333306</v>
      </c>
      <c r="P310" s="290">
        <f t="shared" si="148"/>
        <v>30.125500000000006</v>
      </c>
      <c r="Q310" s="290">
        <f t="shared" si="148"/>
        <v>18.581249999999955</v>
      </c>
      <c r="R310" s="290">
        <f t="shared" si="149"/>
        <v>37.58774999999995</v>
      </c>
      <c r="S310" s="290">
        <f t="shared" si="149"/>
        <v>17.819499999999987</v>
      </c>
      <c r="T310" s="290">
        <f t="shared" si="149"/>
        <v>0.14466666666661845</v>
      </c>
      <c r="U310" s="290">
        <f t="shared" si="149"/>
        <v>14.684333333333333</v>
      </c>
      <c r="V310" s="290">
        <f t="shared" si="149"/>
        <v>-9.8314166666665788</v>
      </c>
      <c r="W310" s="290">
        <f t="shared" si="149"/>
        <v>-11.038500000000036</v>
      </c>
      <c r="X310" s="290">
        <f t="shared" si="149"/>
        <v>-58.74683333333337</v>
      </c>
      <c r="Y310" s="290">
        <f t="shared" si="149"/>
        <v>42.713443166666671</v>
      </c>
      <c r="Z310" s="252">
        <f t="shared" si="149"/>
        <v>50.618525249999948</v>
      </c>
      <c r="AA310" s="252">
        <f t="shared" si="150"/>
        <v>47.249244583333393</v>
      </c>
      <c r="AB310" s="252">
        <f t="shared" si="150"/>
        <v>39.509635083333251</v>
      </c>
      <c r="AC310" s="251">
        <f t="shared" si="151"/>
        <v>-60.811499999999995</v>
      </c>
      <c r="AD310" s="252">
        <f t="shared" si="150"/>
        <v>12.552916666666761</v>
      </c>
      <c r="AE310" s="252">
        <f t="shared" si="150"/>
        <v>27.776686666666745</v>
      </c>
      <c r="AF310" s="252">
        <f t="shared" si="150"/>
        <v>30.75</v>
      </c>
      <c r="AG310" s="252">
        <f t="shared" si="150"/>
        <v>33.416666666666664</v>
      </c>
      <c r="AH310" s="146"/>
    </row>
    <row r="311" spans="1:34">
      <c r="A311" s="240" t="s">
        <v>236</v>
      </c>
      <c r="B311" s="290">
        <f t="shared" si="148"/>
        <v>32</v>
      </c>
      <c r="C311" s="290">
        <f t="shared" si="148"/>
        <v>44.499999999999979</v>
      </c>
      <c r="D311" s="290">
        <f t="shared" si="148"/>
        <v>45</v>
      </c>
      <c r="E311" s="290">
        <f t="shared" si="148"/>
        <v>35.074999999999996</v>
      </c>
      <c r="F311" s="290">
        <f t="shared" si="148"/>
        <v>29.733333333333338</v>
      </c>
      <c r="G311" s="290">
        <f t="shared" si="148"/>
        <v>31.833333333333332</v>
      </c>
      <c r="H311" s="290">
        <f t="shared" si="148"/>
        <v>35.441249415833326</v>
      </c>
      <c r="I311" s="290">
        <f t="shared" si="148"/>
        <v>34.308333333333316</v>
      </c>
      <c r="J311" s="290">
        <f t="shared" si="148"/>
        <v>34.588908179166651</v>
      </c>
      <c r="K311" s="290">
        <f t="shared" si="148"/>
        <v>33.469500000000011</v>
      </c>
      <c r="L311" s="290">
        <f t="shared" si="148"/>
        <v>27.278416666666676</v>
      </c>
      <c r="M311" s="290">
        <f t="shared" si="148"/>
        <v>20.99600000000002</v>
      </c>
      <c r="N311" s="290">
        <f t="shared" si="148"/>
        <v>24.024249999999995</v>
      </c>
      <c r="O311" s="290">
        <f t="shared" si="148"/>
        <v>38.980333333333306</v>
      </c>
      <c r="P311" s="290">
        <f t="shared" si="148"/>
        <v>30.125500000000006</v>
      </c>
      <c r="Q311" s="290">
        <f t="shared" si="148"/>
        <v>18.581249999999955</v>
      </c>
      <c r="R311" s="290">
        <f t="shared" si="149"/>
        <v>37.58774999999995</v>
      </c>
      <c r="S311" s="290">
        <f t="shared" si="149"/>
        <v>17.819499999999987</v>
      </c>
      <c r="T311" s="290">
        <f t="shared" si="149"/>
        <v>0.14466666666661845</v>
      </c>
      <c r="U311" s="290">
        <f t="shared" si="149"/>
        <v>14.684333333333333</v>
      </c>
      <c r="V311" s="290">
        <f t="shared" si="149"/>
        <v>-9.8314166666665788</v>
      </c>
      <c r="W311" s="290">
        <f t="shared" si="149"/>
        <v>-11.038500000000036</v>
      </c>
      <c r="X311" s="290">
        <f t="shared" si="149"/>
        <v>-58.74683333333337</v>
      </c>
      <c r="Y311" s="290">
        <f t="shared" si="149"/>
        <v>42.713443166666671</v>
      </c>
      <c r="Z311" s="252">
        <f t="shared" si="149"/>
        <v>50.618525249999948</v>
      </c>
      <c r="AA311" s="252">
        <f t="shared" si="150"/>
        <v>47.249244583333393</v>
      </c>
      <c r="AB311" s="252">
        <f t="shared" si="150"/>
        <v>39.509635083333251</v>
      </c>
      <c r="AC311" s="251">
        <f t="shared" si="151"/>
        <v>-128.4385</v>
      </c>
      <c r="AD311" s="252">
        <f t="shared" si="150"/>
        <v>12.552916666666761</v>
      </c>
      <c r="AE311" s="252">
        <f t="shared" si="150"/>
        <v>27.776686666666745</v>
      </c>
      <c r="AF311" s="252">
        <f t="shared" si="150"/>
        <v>30.75</v>
      </c>
      <c r="AG311" s="252">
        <f t="shared" si="150"/>
        <v>33.416666666666664</v>
      </c>
      <c r="AH311" s="146"/>
    </row>
    <row r="312" spans="1:34">
      <c r="A312" s="240" t="s">
        <v>237</v>
      </c>
      <c r="B312" s="290">
        <f t="shared" si="148"/>
        <v>32</v>
      </c>
      <c r="C312" s="290">
        <f t="shared" si="148"/>
        <v>44.499999999999979</v>
      </c>
      <c r="D312" s="290">
        <f t="shared" si="148"/>
        <v>45</v>
      </c>
      <c r="E312" s="290">
        <f t="shared" si="148"/>
        <v>35.074999999999996</v>
      </c>
      <c r="F312" s="290">
        <f t="shared" si="148"/>
        <v>29.733333333333338</v>
      </c>
      <c r="G312" s="290">
        <f t="shared" si="148"/>
        <v>31.833333333333332</v>
      </c>
      <c r="H312" s="290">
        <f t="shared" si="148"/>
        <v>35.441249415833326</v>
      </c>
      <c r="I312" s="290">
        <f t="shared" si="148"/>
        <v>34.308333333333316</v>
      </c>
      <c r="J312" s="290">
        <f t="shared" si="148"/>
        <v>34.588908179166651</v>
      </c>
      <c r="K312" s="290">
        <f t="shared" si="148"/>
        <v>33.469500000000011</v>
      </c>
      <c r="L312" s="290">
        <f t="shared" si="148"/>
        <v>27.278416666666676</v>
      </c>
      <c r="M312" s="290">
        <f t="shared" si="148"/>
        <v>20.99600000000002</v>
      </c>
      <c r="N312" s="290">
        <f t="shared" si="148"/>
        <v>24.024249999999995</v>
      </c>
      <c r="O312" s="290">
        <f t="shared" si="148"/>
        <v>38.980333333333306</v>
      </c>
      <c r="P312" s="290">
        <f t="shared" si="148"/>
        <v>30.125500000000006</v>
      </c>
      <c r="Q312" s="290">
        <f t="shared" si="148"/>
        <v>18.581249999999955</v>
      </c>
      <c r="R312" s="290">
        <f t="shared" si="149"/>
        <v>37.58774999999995</v>
      </c>
      <c r="S312" s="290">
        <f t="shared" si="149"/>
        <v>17.819499999999987</v>
      </c>
      <c r="T312" s="290">
        <f t="shared" si="149"/>
        <v>0.14466666666661845</v>
      </c>
      <c r="U312" s="290">
        <f t="shared" si="149"/>
        <v>14.684333333333333</v>
      </c>
      <c r="V312" s="290">
        <f t="shared" si="149"/>
        <v>-9.8314166666665788</v>
      </c>
      <c r="W312" s="290">
        <f t="shared" si="149"/>
        <v>-11.038500000000036</v>
      </c>
      <c r="X312" s="290">
        <f t="shared" si="149"/>
        <v>-58.74683333333337</v>
      </c>
      <c r="Y312" s="290">
        <f t="shared" si="149"/>
        <v>42.713443166666671</v>
      </c>
      <c r="Z312" s="252">
        <f t="shared" si="149"/>
        <v>50.618525249999948</v>
      </c>
      <c r="AA312" s="252">
        <f t="shared" si="150"/>
        <v>47.249244583333393</v>
      </c>
      <c r="AB312" s="252">
        <f t="shared" si="150"/>
        <v>39.509635083333251</v>
      </c>
      <c r="AC312" s="251">
        <f t="shared" si="151"/>
        <v>-90.274600000000021</v>
      </c>
      <c r="AD312" s="252">
        <f t="shared" si="150"/>
        <v>12.552916666666761</v>
      </c>
      <c r="AE312" s="252">
        <f t="shared" si="150"/>
        <v>27.776686666666745</v>
      </c>
      <c r="AF312" s="252">
        <f t="shared" si="150"/>
        <v>30.75</v>
      </c>
      <c r="AG312" s="252">
        <f t="shared" si="150"/>
        <v>33.416666666666664</v>
      </c>
      <c r="AH312" s="146"/>
    </row>
    <row r="313" spans="1:34">
      <c r="A313" s="240" t="s">
        <v>238</v>
      </c>
      <c r="B313" s="290">
        <f t="shared" si="148"/>
        <v>32</v>
      </c>
      <c r="C313" s="290">
        <f t="shared" si="148"/>
        <v>44.499999999999979</v>
      </c>
      <c r="D313" s="290">
        <f t="shared" si="148"/>
        <v>45</v>
      </c>
      <c r="E313" s="290">
        <f t="shared" si="148"/>
        <v>35.074999999999996</v>
      </c>
      <c r="F313" s="290">
        <f t="shared" si="148"/>
        <v>29.733333333333338</v>
      </c>
      <c r="G313" s="290">
        <f t="shared" si="148"/>
        <v>31.833333333333332</v>
      </c>
      <c r="H313" s="290">
        <f t="shared" si="148"/>
        <v>35.441249415833326</v>
      </c>
      <c r="I313" s="290">
        <f t="shared" si="148"/>
        <v>34.308333333333316</v>
      </c>
      <c r="J313" s="290">
        <f t="shared" si="148"/>
        <v>34.588908179166651</v>
      </c>
      <c r="K313" s="290">
        <f t="shared" si="148"/>
        <v>33.469500000000011</v>
      </c>
      <c r="L313" s="290">
        <f t="shared" si="148"/>
        <v>27.278416666666676</v>
      </c>
      <c r="M313" s="290">
        <f t="shared" si="148"/>
        <v>20.99600000000002</v>
      </c>
      <c r="N313" s="290">
        <f t="shared" si="148"/>
        <v>24.024249999999995</v>
      </c>
      <c r="O313" s="290">
        <f t="shared" si="148"/>
        <v>38.980333333333306</v>
      </c>
      <c r="P313" s="290">
        <f t="shared" si="148"/>
        <v>30.125500000000006</v>
      </c>
      <c r="Q313" s="290">
        <f t="shared" si="148"/>
        <v>18.581249999999955</v>
      </c>
      <c r="R313" s="290">
        <f t="shared" si="149"/>
        <v>37.58774999999995</v>
      </c>
      <c r="S313" s="290">
        <f t="shared" si="149"/>
        <v>17.819499999999987</v>
      </c>
      <c r="T313" s="290">
        <f t="shared" si="149"/>
        <v>0.14466666666661845</v>
      </c>
      <c r="U313" s="290">
        <f t="shared" si="149"/>
        <v>14.684333333333333</v>
      </c>
      <c r="V313" s="290">
        <f t="shared" si="149"/>
        <v>-9.8314166666665788</v>
      </c>
      <c r="W313" s="290">
        <f t="shared" si="149"/>
        <v>-11.038500000000036</v>
      </c>
      <c r="X313" s="290">
        <f t="shared" si="149"/>
        <v>-58.74683333333337</v>
      </c>
      <c r="Y313" s="290">
        <f t="shared" si="149"/>
        <v>42.713443166666671</v>
      </c>
      <c r="Z313" s="252">
        <f t="shared" si="149"/>
        <v>50.618525249999948</v>
      </c>
      <c r="AA313" s="252">
        <f t="shared" si="150"/>
        <v>47.249244583333393</v>
      </c>
      <c r="AB313" s="252">
        <f t="shared" si="150"/>
        <v>39.509635083333251</v>
      </c>
      <c r="AC313" s="252">
        <f>AC314-SUM(AC302:AC312)</f>
        <v>471.24408665384613</v>
      </c>
      <c r="AD313" s="252">
        <f t="shared" si="150"/>
        <v>12.552916666666761</v>
      </c>
      <c r="AE313" s="252">
        <f t="shared" si="150"/>
        <v>27.776686666666745</v>
      </c>
      <c r="AF313" s="252">
        <f t="shared" si="150"/>
        <v>30.75</v>
      </c>
      <c r="AG313" s="252">
        <f t="shared" si="150"/>
        <v>33.416666666666664</v>
      </c>
      <c r="AH313" s="146"/>
    </row>
    <row r="314" spans="1:34" ht="15.75" thickBot="1">
      <c r="A314" s="240" t="s">
        <v>242</v>
      </c>
      <c r="B314" s="146">
        <f t="shared" ref="B314:AG314" si="152">B36</f>
        <v>384</v>
      </c>
      <c r="C314" s="146">
        <f t="shared" si="152"/>
        <v>533.99999999999977</v>
      </c>
      <c r="D314" s="146">
        <f t="shared" si="152"/>
        <v>540</v>
      </c>
      <c r="E314" s="146">
        <f t="shared" si="152"/>
        <v>420.9</v>
      </c>
      <c r="F314" s="146">
        <f t="shared" si="152"/>
        <v>356.80000000000007</v>
      </c>
      <c r="G314" s="146">
        <f t="shared" si="152"/>
        <v>382</v>
      </c>
      <c r="H314" s="146">
        <f t="shared" si="152"/>
        <v>425.29499298999991</v>
      </c>
      <c r="I314" s="146">
        <f t="shared" si="152"/>
        <v>411.69999999999982</v>
      </c>
      <c r="J314" s="146">
        <f t="shared" si="152"/>
        <v>415.06689814999982</v>
      </c>
      <c r="K314" s="146">
        <f t="shared" si="152"/>
        <v>401.63400000000013</v>
      </c>
      <c r="L314" s="146">
        <f t="shared" si="152"/>
        <v>327.34100000000012</v>
      </c>
      <c r="M314" s="146">
        <f t="shared" si="152"/>
        <v>251.95200000000023</v>
      </c>
      <c r="N314" s="146">
        <f t="shared" si="152"/>
        <v>288.29099999999994</v>
      </c>
      <c r="O314" s="146">
        <f t="shared" si="152"/>
        <v>467.76399999999967</v>
      </c>
      <c r="P314" s="146">
        <f t="shared" si="152"/>
        <v>361.50600000000009</v>
      </c>
      <c r="Q314" s="146">
        <f t="shared" si="152"/>
        <v>222.97499999999945</v>
      </c>
      <c r="R314" s="146">
        <f t="shared" si="152"/>
        <v>451.05299999999943</v>
      </c>
      <c r="S314" s="146">
        <f t="shared" si="152"/>
        <v>213.83399999999983</v>
      </c>
      <c r="T314" s="146">
        <f t="shared" si="152"/>
        <v>1.7359999999994216</v>
      </c>
      <c r="U314" s="146">
        <f t="shared" si="152"/>
        <v>176.21199999999999</v>
      </c>
      <c r="V314" s="146">
        <f t="shared" si="152"/>
        <v>-117.97699999999895</v>
      </c>
      <c r="W314" s="146">
        <f t="shared" si="152"/>
        <v>-132.46200000000044</v>
      </c>
      <c r="X314" s="146">
        <f t="shared" si="152"/>
        <v>-704.96200000000044</v>
      </c>
      <c r="Y314" s="146">
        <f t="shared" si="152"/>
        <v>512.56131800000003</v>
      </c>
      <c r="Z314" s="253">
        <f t="shared" si="152"/>
        <v>607.42230299999937</v>
      </c>
      <c r="AA314" s="253">
        <f t="shared" si="152"/>
        <v>566.99093500000072</v>
      </c>
      <c r="AB314" s="253">
        <f t="shared" si="152"/>
        <v>474.11562099999901</v>
      </c>
      <c r="AC314" s="253">
        <f t="shared" si="152"/>
        <v>576.47925399999986</v>
      </c>
      <c r="AD314" s="253">
        <f t="shared" si="152"/>
        <v>150.63500000000113</v>
      </c>
      <c r="AE314" s="253">
        <f t="shared" si="152"/>
        <v>333.32024000000092</v>
      </c>
      <c r="AF314" s="253">
        <f t="shared" si="152"/>
        <v>369</v>
      </c>
      <c r="AG314" s="253">
        <f t="shared" si="152"/>
        <v>401</v>
      </c>
      <c r="AH314" s="146"/>
    </row>
    <row r="315" spans="1:34">
      <c r="A315" s="248"/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4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  <c r="X315" s="254"/>
      <c r="Y315" s="254"/>
      <c r="Z315" s="254">
        <f t="shared" ref="Z315:AG315" si="153">Z36</f>
        <v>607.42230299999937</v>
      </c>
      <c r="AA315" s="254">
        <f t="shared" si="153"/>
        <v>566.99093500000072</v>
      </c>
      <c r="AB315" s="254">
        <f t="shared" si="153"/>
        <v>474.11562099999901</v>
      </c>
      <c r="AC315" s="254">
        <f t="shared" si="153"/>
        <v>576.47925399999986</v>
      </c>
      <c r="AD315" s="254">
        <f t="shared" si="153"/>
        <v>150.63500000000113</v>
      </c>
      <c r="AE315" s="254">
        <f t="shared" si="153"/>
        <v>333.32024000000092</v>
      </c>
      <c r="AF315" s="254">
        <f t="shared" si="153"/>
        <v>369</v>
      </c>
      <c r="AG315" s="254">
        <f t="shared" si="153"/>
        <v>401</v>
      </c>
    </row>
    <row r="316" spans="1:34" ht="15.75" thickBot="1">
      <c r="A316" s="235" t="s">
        <v>269</v>
      </c>
    </row>
    <row r="317" spans="1:34" ht="15.75" thickBot="1">
      <c r="A317" s="236"/>
      <c r="B317" s="237" t="str">
        <f>B$2</f>
        <v xml:space="preserve">93/94 </v>
      </c>
      <c r="C317" s="237" t="str">
        <f t="shared" ref="C317:AG317" si="154">C$2</f>
        <v xml:space="preserve">94/95 </v>
      </c>
      <c r="D317" s="237" t="str">
        <f t="shared" si="154"/>
        <v xml:space="preserve">95/96 </v>
      </c>
      <c r="E317" s="237" t="str">
        <f t="shared" si="154"/>
        <v xml:space="preserve">96/97 </v>
      </c>
      <c r="F317" s="237" t="str">
        <f t="shared" si="154"/>
        <v xml:space="preserve">97/98 </v>
      </c>
      <c r="G317" s="237" t="str">
        <f t="shared" si="154"/>
        <v xml:space="preserve">98/99 </v>
      </c>
      <c r="H317" s="237" t="str">
        <f t="shared" si="154"/>
        <v xml:space="preserve">99/00 </v>
      </c>
      <c r="I317" s="237" t="str">
        <f t="shared" si="154"/>
        <v xml:space="preserve">00/01 </v>
      </c>
      <c r="J317" s="237" t="str">
        <f t="shared" si="154"/>
        <v xml:space="preserve">01/02 </v>
      </c>
      <c r="K317" s="237" t="str">
        <f t="shared" si="154"/>
        <v xml:space="preserve">02/03 </v>
      </c>
      <c r="L317" s="237" t="str">
        <f t="shared" si="154"/>
        <v xml:space="preserve">03/04 </v>
      </c>
      <c r="M317" s="237" t="str">
        <f t="shared" si="154"/>
        <v xml:space="preserve">04/05 </v>
      </c>
      <c r="N317" s="237" t="str">
        <f t="shared" si="154"/>
        <v xml:space="preserve">05/06 </v>
      </c>
      <c r="O317" s="237" t="str">
        <f t="shared" si="154"/>
        <v xml:space="preserve">06/07 </v>
      </c>
      <c r="P317" s="237" t="str">
        <f t="shared" si="154"/>
        <v xml:space="preserve">07/08 </v>
      </c>
      <c r="Q317" s="237" t="str">
        <f t="shared" si="154"/>
        <v xml:space="preserve">08/09 </v>
      </c>
      <c r="R317" s="237" t="str">
        <f t="shared" si="154"/>
        <v xml:space="preserve">09/10 </v>
      </c>
      <c r="S317" s="237" t="str">
        <f t="shared" si="154"/>
        <v xml:space="preserve">10/11 </v>
      </c>
      <c r="T317" s="237" t="str">
        <f t="shared" si="154"/>
        <v xml:space="preserve">11/12 </v>
      </c>
      <c r="U317" s="237" t="str">
        <f t="shared" si="154"/>
        <v xml:space="preserve">12/13 </v>
      </c>
      <c r="V317" s="237" t="str">
        <f t="shared" si="154"/>
        <v xml:space="preserve">13/14 </v>
      </c>
      <c r="W317" s="237" t="str">
        <f t="shared" si="154"/>
        <v xml:space="preserve">14/15 </v>
      </c>
      <c r="X317" s="237" t="str">
        <f t="shared" si="154"/>
        <v xml:space="preserve">15/16 </v>
      </c>
      <c r="Y317" s="237" t="str">
        <f t="shared" si="154"/>
        <v xml:space="preserve">16/17 </v>
      </c>
      <c r="Z317" s="237" t="str">
        <f t="shared" si="154"/>
        <v xml:space="preserve">17/18 </v>
      </c>
      <c r="AA317" s="237" t="str">
        <f t="shared" si="154"/>
        <v xml:space="preserve">18/19 </v>
      </c>
      <c r="AB317" s="237" t="str">
        <f t="shared" si="154"/>
        <v xml:space="preserve">19/20 </v>
      </c>
      <c r="AC317" s="237" t="str">
        <f t="shared" si="154"/>
        <v xml:space="preserve">20/21 </v>
      </c>
      <c r="AD317" s="237" t="str">
        <f t="shared" si="154"/>
        <v>21/22</v>
      </c>
      <c r="AE317" s="237" t="str">
        <f t="shared" si="154"/>
        <v>22/23</v>
      </c>
      <c r="AF317" s="237" t="str">
        <f t="shared" si="154"/>
        <v>23/24</v>
      </c>
      <c r="AG317" s="237" t="str">
        <f t="shared" si="154"/>
        <v>24/25</v>
      </c>
      <c r="AH317" s="269"/>
    </row>
    <row r="318" spans="1:34">
      <c r="A318" s="240" t="s">
        <v>239</v>
      </c>
      <c r="B318" s="290">
        <f>(B$329-B$32)/13+B32</f>
        <v>205.23076923076923</v>
      </c>
      <c r="C318" s="290">
        <f>(C$329-B$329)/13+B329</f>
        <v>189.15384615384616</v>
      </c>
      <c r="D318" s="290">
        <f t="shared" ref="D318:Y318" si="155">(D$329-C$329)/13+C329</f>
        <v>110.30769230769231</v>
      </c>
      <c r="E318" s="290">
        <f t="shared" si="155"/>
        <v>140.38461538461539</v>
      </c>
      <c r="F318" s="290">
        <f t="shared" si="155"/>
        <v>23.76923076923077</v>
      </c>
      <c r="G318" s="290">
        <f t="shared" si="155"/>
        <v>8.8461538461538467</v>
      </c>
      <c r="H318" s="290">
        <f t="shared" si="155"/>
        <v>7.384615384615385</v>
      </c>
      <c r="I318" s="290">
        <f t="shared" si="155"/>
        <v>12.23076923076923</v>
      </c>
      <c r="J318" s="290">
        <f t="shared" si="155"/>
        <v>16.53846153846154</v>
      </c>
      <c r="K318" s="290">
        <f t="shared" si="155"/>
        <v>33</v>
      </c>
      <c r="L318" s="290">
        <f t="shared" si="155"/>
        <v>12</v>
      </c>
      <c r="M318" s="290">
        <f t="shared" si="155"/>
        <v>66.84615384615384</v>
      </c>
      <c r="N318" s="290">
        <f t="shared" si="155"/>
        <v>292.53846153846155</v>
      </c>
      <c r="O318" s="290">
        <f t="shared" si="155"/>
        <v>271.84615384615387</v>
      </c>
      <c r="P318" s="290">
        <f t="shared" si="155"/>
        <v>94.461538461538467</v>
      </c>
      <c r="Q318" s="290">
        <f t="shared" si="155"/>
        <v>157.07692307692307</v>
      </c>
      <c r="R318" s="290">
        <f t="shared" si="155"/>
        <v>256.61538461538464</v>
      </c>
      <c r="S318" s="290">
        <f t="shared" si="155"/>
        <v>155.84615384615384</v>
      </c>
      <c r="T318" s="290">
        <f t="shared" si="155"/>
        <v>310.61538461538464</v>
      </c>
      <c r="U318" s="290">
        <f t="shared" si="155"/>
        <v>450</v>
      </c>
      <c r="V318" s="290">
        <f t="shared" si="155"/>
        <v>308.23076923076923</v>
      </c>
      <c r="W318" s="290">
        <f t="shared" si="155"/>
        <v>331.84615384615387</v>
      </c>
      <c r="X318" s="290">
        <f t="shared" si="155"/>
        <v>294.84615384615387</v>
      </c>
      <c r="Y318" s="290">
        <f t="shared" si="155"/>
        <v>301.15384615384613</v>
      </c>
      <c r="Z318" s="252">
        <f t="shared" ref="Z318:AG318" si="156">(Z$329-Z$329)/13+Y329</f>
        <v>255</v>
      </c>
      <c r="AA318" s="252">
        <f t="shared" si="156"/>
        <v>279</v>
      </c>
      <c r="AB318" s="252">
        <f t="shared" si="156"/>
        <v>35</v>
      </c>
      <c r="AC318" s="252">
        <f t="shared" si="156"/>
        <v>189</v>
      </c>
      <c r="AD318" s="252">
        <f t="shared" si="156"/>
        <v>279</v>
      </c>
      <c r="AE318" s="252">
        <f t="shared" si="156"/>
        <v>94</v>
      </c>
      <c r="AF318" s="252">
        <f t="shared" si="156"/>
        <v>27</v>
      </c>
      <c r="AG318" s="252">
        <f t="shared" si="156"/>
        <v>130</v>
      </c>
    </row>
    <row r="319" spans="1:34">
      <c r="A319" s="240" t="s">
        <v>240</v>
      </c>
      <c r="B319" s="290">
        <f t="shared" ref="B319:B328" si="157">(B$329-B$32)/13+B318</f>
        <v>204.46153846153845</v>
      </c>
      <c r="C319" s="290">
        <f>(C$329-B$329)/13+C318</f>
        <v>182.30769230769232</v>
      </c>
      <c r="D319" s="290">
        <f t="shared" ref="D319:Y328" si="158">(D$329-C$329)/13+D318</f>
        <v>113.61538461538461</v>
      </c>
      <c r="E319" s="290">
        <f t="shared" si="158"/>
        <v>130.76923076923077</v>
      </c>
      <c r="F319" s="290">
        <f t="shared" si="158"/>
        <v>22.53846153846154</v>
      </c>
      <c r="G319" s="290">
        <f t="shared" si="158"/>
        <v>8.6923076923076934</v>
      </c>
      <c r="H319" s="290">
        <f t="shared" si="158"/>
        <v>7.7692307692307701</v>
      </c>
      <c r="I319" s="290">
        <f t="shared" si="158"/>
        <v>12.46153846153846</v>
      </c>
      <c r="J319" s="290">
        <f t="shared" si="158"/>
        <v>18.07692307692308</v>
      </c>
      <c r="K319" s="290">
        <f t="shared" si="158"/>
        <v>31</v>
      </c>
      <c r="L319" s="290">
        <f t="shared" si="158"/>
        <v>15</v>
      </c>
      <c r="M319" s="290">
        <f t="shared" si="158"/>
        <v>85.692307692307679</v>
      </c>
      <c r="N319" s="290">
        <f t="shared" si="158"/>
        <v>292.07692307692309</v>
      </c>
      <c r="O319" s="290">
        <f t="shared" si="158"/>
        <v>256.69230769230774</v>
      </c>
      <c r="P319" s="290">
        <f t="shared" si="158"/>
        <v>98.923076923076934</v>
      </c>
      <c r="Q319" s="290">
        <f t="shared" si="158"/>
        <v>166.15384615384613</v>
      </c>
      <c r="R319" s="290">
        <f t="shared" si="158"/>
        <v>247.23076923076925</v>
      </c>
      <c r="S319" s="290">
        <f t="shared" si="158"/>
        <v>167.69230769230768</v>
      </c>
      <c r="T319" s="290">
        <f t="shared" si="158"/>
        <v>323.23076923076928</v>
      </c>
      <c r="U319" s="290">
        <f t="shared" si="158"/>
        <v>438</v>
      </c>
      <c r="V319" s="290">
        <f t="shared" si="158"/>
        <v>310.46153846153845</v>
      </c>
      <c r="W319" s="290">
        <f t="shared" si="158"/>
        <v>328.69230769230774</v>
      </c>
      <c r="X319" s="290">
        <f t="shared" si="158"/>
        <v>295.69230769230774</v>
      </c>
      <c r="Y319" s="290">
        <f t="shared" si="158"/>
        <v>297.30769230769226</v>
      </c>
      <c r="Z319" s="252">
        <f t="shared" ref="Z319:AG328" si="159">(Z$329-Z$32)/13+Z318</f>
        <v>256.84615384615387</v>
      </c>
      <c r="AA319" s="252">
        <f t="shared" si="159"/>
        <v>260.23076923076923</v>
      </c>
      <c r="AB319" s="252">
        <f t="shared" si="159"/>
        <v>46.846153846153847</v>
      </c>
      <c r="AC319" s="252">
        <f t="shared" si="159"/>
        <v>195.92307692307693</v>
      </c>
      <c r="AD319" s="252">
        <f t="shared" si="159"/>
        <v>264.76923076923077</v>
      </c>
      <c r="AE319" s="252">
        <f t="shared" si="159"/>
        <v>88.84615384615384</v>
      </c>
      <c r="AF319" s="252">
        <f t="shared" si="159"/>
        <v>34.92307692307692</v>
      </c>
      <c r="AG319" s="252">
        <f t="shared" si="159"/>
        <v>130</v>
      </c>
    </row>
    <row r="320" spans="1:34">
      <c r="A320" s="240" t="s">
        <v>241</v>
      </c>
      <c r="B320" s="290">
        <f t="shared" si="157"/>
        <v>203.69230769230768</v>
      </c>
      <c r="C320" s="290">
        <f t="shared" ref="C320:C328" si="160">(C$329-B$329)/13+C319</f>
        <v>175.46153846153848</v>
      </c>
      <c r="D320" s="290">
        <f t="shared" si="158"/>
        <v>116.92307692307692</v>
      </c>
      <c r="E320" s="290">
        <f t="shared" si="158"/>
        <v>121.15384615384616</v>
      </c>
      <c r="F320" s="290">
        <f t="shared" si="158"/>
        <v>21.30769230769231</v>
      </c>
      <c r="G320" s="290">
        <f t="shared" si="158"/>
        <v>8.5384615384615401</v>
      </c>
      <c r="H320" s="290">
        <f t="shared" si="158"/>
        <v>8.1538461538461551</v>
      </c>
      <c r="I320" s="290">
        <f t="shared" si="158"/>
        <v>12.69230769230769</v>
      </c>
      <c r="J320" s="290">
        <f t="shared" si="158"/>
        <v>19.61538461538462</v>
      </c>
      <c r="K320" s="290">
        <f t="shared" si="158"/>
        <v>29</v>
      </c>
      <c r="L320" s="290">
        <f t="shared" si="158"/>
        <v>18</v>
      </c>
      <c r="M320" s="290">
        <f t="shared" si="158"/>
        <v>104.53846153846152</v>
      </c>
      <c r="N320" s="290">
        <f t="shared" si="158"/>
        <v>291.61538461538464</v>
      </c>
      <c r="O320" s="290">
        <f t="shared" si="158"/>
        <v>241.53846153846158</v>
      </c>
      <c r="P320" s="290">
        <f t="shared" si="158"/>
        <v>103.3846153846154</v>
      </c>
      <c r="Q320" s="290">
        <f t="shared" si="158"/>
        <v>175.2307692307692</v>
      </c>
      <c r="R320" s="290">
        <f t="shared" si="158"/>
        <v>237.84615384615387</v>
      </c>
      <c r="S320" s="290">
        <f t="shared" si="158"/>
        <v>179.53846153846152</v>
      </c>
      <c r="T320" s="290">
        <f t="shared" si="158"/>
        <v>335.84615384615392</v>
      </c>
      <c r="U320" s="290">
        <f t="shared" si="158"/>
        <v>426</v>
      </c>
      <c r="V320" s="290">
        <f t="shared" si="158"/>
        <v>312.69230769230768</v>
      </c>
      <c r="W320" s="290">
        <f t="shared" si="158"/>
        <v>325.5384615384616</v>
      </c>
      <c r="X320" s="290">
        <f t="shared" si="158"/>
        <v>296.5384615384616</v>
      </c>
      <c r="Y320" s="290">
        <f t="shared" si="158"/>
        <v>293.4615384615384</v>
      </c>
      <c r="Z320" s="251">
        <f>AR249</f>
        <v>111.01</v>
      </c>
      <c r="AA320" s="252">
        <f t="shared" si="159"/>
        <v>241.46153846153845</v>
      </c>
      <c r="AB320" s="252">
        <f t="shared" si="159"/>
        <v>58.692307692307693</v>
      </c>
      <c r="AC320" s="252">
        <f t="shared" si="159"/>
        <v>202.84615384615387</v>
      </c>
      <c r="AD320" s="252">
        <f t="shared" si="159"/>
        <v>250.53846153846155</v>
      </c>
      <c r="AE320" s="252">
        <f t="shared" si="159"/>
        <v>83.692307692307679</v>
      </c>
      <c r="AF320" s="252">
        <f t="shared" si="159"/>
        <v>42.84615384615384</v>
      </c>
      <c r="AG320" s="252">
        <f t="shared" si="159"/>
        <v>130</v>
      </c>
    </row>
    <row r="321" spans="1:39">
      <c r="A321" s="240" t="s">
        <v>231</v>
      </c>
      <c r="B321" s="290">
        <f t="shared" si="157"/>
        <v>202.92307692307691</v>
      </c>
      <c r="C321" s="290">
        <f t="shared" si="160"/>
        <v>168.61538461538464</v>
      </c>
      <c r="D321" s="290">
        <f t="shared" si="158"/>
        <v>120.23076923076923</v>
      </c>
      <c r="E321" s="290">
        <f t="shared" si="158"/>
        <v>111.53846153846155</v>
      </c>
      <c r="F321" s="290">
        <f t="shared" si="158"/>
        <v>20.07692307692308</v>
      </c>
      <c r="G321" s="290">
        <f t="shared" si="158"/>
        <v>8.3846153846153868</v>
      </c>
      <c r="H321" s="290">
        <f t="shared" si="158"/>
        <v>8.5384615384615401</v>
      </c>
      <c r="I321" s="290">
        <f t="shared" si="158"/>
        <v>12.92307692307692</v>
      </c>
      <c r="J321" s="290">
        <f t="shared" si="158"/>
        <v>21.15384615384616</v>
      </c>
      <c r="K321" s="290">
        <f t="shared" si="158"/>
        <v>27</v>
      </c>
      <c r="L321" s="290">
        <f t="shared" si="158"/>
        <v>21</v>
      </c>
      <c r="M321" s="290">
        <f t="shared" si="158"/>
        <v>123.38461538461536</v>
      </c>
      <c r="N321" s="290">
        <f t="shared" si="158"/>
        <v>291.15384615384619</v>
      </c>
      <c r="O321" s="290">
        <f t="shared" si="158"/>
        <v>226.38461538461542</v>
      </c>
      <c r="P321" s="290">
        <f t="shared" si="158"/>
        <v>107.84615384615387</v>
      </c>
      <c r="Q321" s="290">
        <f t="shared" si="158"/>
        <v>184.30769230769226</v>
      </c>
      <c r="R321" s="290">
        <f t="shared" si="158"/>
        <v>228.46153846153848</v>
      </c>
      <c r="S321" s="290">
        <f t="shared" si="158"/>
        <v>191.38461538461536</v>
      </c>
      <c r="T321" s="290">
        <f t="shared" si="158"/>
        <v>348.46153846153857</v>
      </c>
      <c r="U321" s="290">
        <f t="shared" si="158"/>
        <v>414</v>
      </c>
      <c r="V321" s="290">
        <f t="shared" si="158"/>
        <v>314.92307692307691</v>
      </c>
      <c r="W321" s="290">
        <f t="shared" si="158"/>
        <v>322.38461538461547</v>
      </c>
      <c r="X321" s="290">
        <f t="shared" si="158"/>
        <v>297.38461538461547</v>
      </c>
      <c r="Y321" s="290">
        <f t="shared" si="158"/>
        <v>289.61538461538453</v>
      </c>
      <c r="Z321" s="251">
        <f>AS238</f>
        <v>124.23399999999999</v>
      </c>
      <c r="AA321" s="252">
        <f t="shared" si="159"/>
        <v>222.69230769230768</v>
      </c>
      <c r="AB321" s="252">
        <f t="shared" si="159"/>
        <v>70.538461538461547</v>
      </c>
      <c r="AC321" s="251">
        <f>AV238</f>
        <v>117.449</v>
      </c>
      <c r="AD321" s="252">
        <f t="shared" si="159"/>
        <v>236.30769230769232</v>
      </c>
      <c r="AE321" s="252">
        <f t="shared" si="159"/>
        <v>78.538461538461519</v>
      </c>
      <c r="AF321" s="252">
        <f t="shared" si="159"/>
        <v>50.769230769230759</v>
      </c>
      <c r="AG321" s="252">
        <f t="shared" si="159"/>
        <v>130</v>
      </c>
    </row>
    <row r="322" spans="1:39">
      <c r="A322" s="240" t="s">
        <v>232</v>
      </c>
      <c r="B322" s="290">
        <f t="shared" si="157"/>
        <v>202.15384615384613</v>
      </c>
      <c r="C322" s="290">
        <f t="shared" si="160"/>
        <v>161.7692307692308</v>
      </c>
      <c r="D322" s="290">
        <f t="shared" si="158"/>
        <v>123.53846153846153</v>
      </c>
      <c r="E322" s="290">
        <f t="shared" si="158"/>
        <v>101.92307692307693</v>
      </c>
      <c r="F322" s="290">
        <f t="shared" si="158"/>
        <v>18.84615384615385</v>
      </c>
      <c r="G322" s="290">
        <f t="shared" si="158"/>
        <v>8.2307692307692335</v>
      </c>
      <c r="H322" s="290">
        <f t="shared" si="158"/>
        <v>8.9230769230769251</v>
      </c>
      <c r="I322" s="290">
        <f t="shared" si="158"/>
        <v>13.15384615384615</v>
      </c>
      <c r="J322" s="290">
        <f t="shared" si="158"/>
        <v>22.692307692307701</v>
      </c>
      <c r="K322" s="290">
        <f t="shared" si="158"/>
        <v>25</v>
      </c>
      <c r="L322" s="290">
        <f t="shared" si="158"/>
        <v>24</v>
      </c>
      <c r="M322" s="290">
        <f t="shared" si="158"/>
        <v>142.2307692307692</v>
      </c>
      <c r="N322" s="290">
        <f t="shared" si="158"/>
        <v>290.69230769230774</v>
      </c>
      <c r="O322" s="290">
        <f t="shared" si="158"/>
        <v>211.23076923076925</v>
      </c>
      <c r="P322" s="290">
        <f t="shared" si="158"/>
        <v>112.30769230769234</v>
      </c>
      <c r="Q322" s="290">
        <f t="shared" si="158"/>
        <v>193.38461538461533</v>
      </c>
      <c r="R322" s="290">
        <f t="shared" si="158"/>
        <v>219.07692307692309</v>
      </c>
      <c r="S322" s="290">
        <f t="shared" si="158"/>
        <v>203.2307692307692</v>
      </c>
      <c r="T322" s="290">
        <f t="shared" si="158"/>
        <v>361.07692307692321</v>
      </c>
      <c r="U322" s="290">
        <f t="shared" si="158"/>
        <v>402</v>
      </c>
      <c r="V322" s="290">
        <f t="shared" si="158"/>
        <v>317.15384615384613</v>
      </c>
      <c r="W322" s="290">
        <f t="shared" si="158"/>
        <v>319.23076923076934</v>
      </c>
      <c r="X322" s="290">
        <f t="shared" si="158"/>
        <v>298.23076923076934</v>
      </c>
      <c r="Y322" s="290">
        <f t="shared" si="158"/>
        <v>285.76923076923066</v>
      </c>
      <c r="Z322" s="251">
        <f>AS239</f>
        <v>130.94300000000001</v>
      </c>
      <c r="AA322" s="252">
        <f t="shared" si="159"/>
        <v>203.92307692307691</v>
      </c>
      <c r="AB322" s="252">
        <f t="shared" si="159"/>
        <v>82.384615384615387</v>
      </c>
      <c r="AC322" s="251">
        <f t="shared" ref="AC322:AC328" si="161">AV239</f>
        <v>101.2017</v>
      </c>
      <c r="AD322" s="252">
        <f t="shared" si="159"/>
        <v>222.07692307692309</v>
      </c>
      <c r="AE322" s="252">
        <f t="shared" si="159"/>
        <v>73.384615384615358</v>
      </c>
      <c r="AF322" s="252">
        <f t="shared" si="159"/>
        <v>58.692307692307679</v>
      </c>
      <c r="AG322" s="252">
        <f t="shared" si="159"/>
        <v>130</v>
      </c>
    </row>
    <row r="323" spans="1:39">
      <c r="A323" s="240" t="s">
        <v>233</v>
      </c>
      <c r="B323" s="290">
        <f t="shared" si="157"/>
        <v>201.38461538461536</v>
      </c>
      <c r="C323" s="290">
        <f t="shared" si="160"/>
        <v>154.92307692307696</v>
      </c>
      <c r="D323" s="290">
        <f t="shared" si="158"/>
        <v>126.84615384615384</v>
      </c>
      <c r="E323" s="290">
        <f t="shared" si="158"/>
        <v>92.307692307692321</v>
      </c>
      <c r="F323" s="290">
        <f t="shared" si="158"/>
        <v>17.61538461538462</v>
      </c>
      <c r="G323" s="290">
        <f t="shared" si="158"/>
        <v>8.0769230769230802</v>
      </c>
      <c r="H323" s="290">
        <f t="shared" si="158"/>
        <v>9.3076923076923102</v>
      </c>
      <c r="I323" s="290">
        <f t="shared" si="158"/>
        <v>13.38461538461538</v>
      </c>
      <c r="J323" s="290">
        <f t="shared" si="158"/>
        <v>24.230769230769241</v>
      </c>
      <c r="K323" s="290">
        <f t="shared" si="158"/>
        <v>23</v>
      </c>
      <c r="L323" s="290">
        <f t="shared" si="158"/>
        <v>27</v>
      </c>
      <c r="M323" s="290">
        <f t="shared" si="158"/>
        <v>161.07692307692304</v>
      </c>
      <c r="N323" s="290">
        <f t="shared" si="158"/>
        <v>290.23076923076928</v>
      </c>
      <c r="O323" s="290">
        <f t="shared" si="158"/>
        <v>196.07692307692309</v>
      </c>
      <c r="P323" s="290">
        <f t="shared" si="158"/>
        <v>116.7692307692308</v>
      </c>
      <c r="Q323" s="290">
        <f t="shared" si="158"/>
        <v>202.4615384615384</v>
      </c>
      <c r="R323" s="290">
        <f t="shared" si="158"/>
        <v>209.69230769230771</v>
      </c>
      <c r="S323" s="290">
        <f t="shared" si="158"/>
        <v>215.07692307692304</v>
      </c>
      <c r="T323" s="290">
        <f t="shared" si="158"/>
        <v>373.69230769230785</v>
      </c>
      <c r="U323" s="290">
        <f t="shared" si="158"/>
        <v>390</v>
      </c>
      <c r="V323" s="290">
        <f t="shared" si="158"/>
        <v>319.38461538461536</v>
      </c>
      <c r="W323" s="290">
        <f t="shared" si="158"/>
        <v>316.07692307692321</v>
      </c>
      <c r="X323" s="290">
        <f t="shared" si="158"/>
        <v>299.07692307692321</v>
      </c>
      <c r="Y323" s="290">
        <f t="shared" si="158"/>
        <v>281.92307692307679</v>
      </c>
      <c r="Z323" s="251">
        <f>AS240</f>
        <v>104.399</v>
      </c>
      <c r="AA323" s="252">
        <f t="shared" si="159"/>
        <v>185.15384615384613</v>
      </c>
      <c r="AB323" s="252">
        <f t="shared" si="159"/>
        <v>94.230769230769226</v>
      </c>
      <c r="AC323" s="251">
        <f t="shared" si="161"/>
        <v>111.2183</v>
      </c>
      <c r="AD323" s="252">
        <f t="shared" si="159"/>
        <v>207.84615384615387</v>
      </c>
      <c r="AE323" s="252">
        <f t="shared" si="159"/>
        <v>68.230769230769198</v>
      </c>
      <c r="AF323" s="252">
        <f t="shared" si="159"/>
        <v>66.615384615384599</v>
      </c>
      <c r="AG323" s="252">
        <f t="shared" si="159"/>
        <v>130</v>
      </c>
    </row>
    <row r="324" spans="1:39">
      <c r="A324" s="240" t="s">
        <v>234</v>
      </c>
      <c r="B324" s="290">
        <f t="shared" si="157"/>
        <v>200.61538461538458</v>
      </c>
      <c r="C324" s="290">
        <f t="shared" si="160"/>
        <v>148.07692307692312</v>
      </c>
      <c r="D324" s="290">
        <f t="shared" si="158"/>
        <v>130.15384615384616</v>
      </c>
      <c r="E324" s="290">
        <f t="shared" si="158"/>
        <v>82.692307692307708</v>
      </c>
      <c r="F324" s="290">
        <f t="shared" si="158"/>
        <v>16.38461538461539</v>
      </c>
      <c r="G324" s="290">
        <f t="shared" si="158"/>
        <v>7.923076923076926</v>
      </c>
      <c r="H324" s="290">
        <f t="shared" si="158"/>
        <v>9.6923076923076952</v>
      </c>
      <c r="I324" s="290">
        <f t="shared" si="158"/>
        <v>13.61538461538461</v>
      </c>
      <c r="J324" s="290">
        <f t="shared" si="158"/>
        <v>25.769230769230781</v>
      </c>
      <c r="K324" s="290">
        <f t="shared" si="158"/>
        <v>21</v>
      </c>
      <c r="L324" s="290">
        <f t="shared" si="158"/>
        <v>30</v>
      </c>
      <c r="M324" s="290">
        <f t="shared" si="158"/>
        <v>179.92307692307688</v>
      </c>
      <c r="N324" s="290">
        <f t="shared" si="158"/>
        <v>289.76923076923083</v>
      </c>
      <c r="O324" s="290">
        <f t="shared" si="158"/>
        <v>180.92307692307693</v>
      </c>
      <c r="P324" s="290">
        <f t="shared" si="158"/>
        <v>121.23076923076927</v>
      </c>
      <c r="Q324" s="290">
        <f t="shared" si="158"/>
        <v>211.53846153846146</v>
      </c>
      <c r="R324" s="290">
        <f t="shared" si="158"/>
        <v>200.30769230769232</v>
      </c>
      <c r="S324" s="290">
        <f t="shared" si="158"/>
        <v>226.92307692307688</v>
      </c>
      <c r="T324" s="290">
        <f t="shared" si="158"/>
        <v>386.30769230769249</v>
      </c>
      <c r="U324" s="290">
        <f t="shared" si="158"/>
        <v>378</v>
      </c>
      <c r="V324" s="290">
        <f t="shared" si="158"/>
        <v>321.61538461538458</v>
      </c>
      <c r="W324" s="290">
        <f t="shared" si="158"/>
        <v>312.92307692307708</v>
      </c>
      <c r="X324" s="290">
        <f t="shared" si="158"/>
        <v>299.92307692307708</v>
      </c>
      <c r="Y324" s="290">
        <f t="shared" si="158"/>
        <v>278.07692307692292</v>
      </c>
      <c r="Z324" s="252">
        <f>(Z$329-Z$32)/13+Z323</f>
        <v>106.24515384615384</v>
      </c>
      <c r="AA324" s="252">
        <f t="shared" si="159"/>
        <v>166.38461538461536</v>
      </c>
      <c r="AB324" s="252">
        <f t="shared" si="159"/>
        <v>106.07692307692307</v>
      </c>
      <c r="AC324" s="251">
        <f t="shared" si="161"/>
        <v>131.1925</v>
      </c>
      <c r="AD324" s="252">
        <f t="shared" si="159"/>
        <v>193.61538461538464</v>
      </c>
      <c r="AE324" s="252">
        <f t="shared" si="159"/>
        <v>63.076923076923045</v>
      </c>
      <c r="AF324" s="252">
        <f t="shared" si="159"/>
        <v>74.538461538461519</v>
      </c>
      <c r="AG324" s="252">
        <f t="shared" si="159"/>
        <v>130</v>
      </c>
    </row>
    <row r="325" spans="1:39">
      <c r="A325" s="240" t="s">
        <v>46</v>
      </c>
      <c r="B325" s="290">
        <f t="shared" si="157"/>
        <v>199.84615384615381</v>
      </c>
      <c r="C325" s="290">
        <f t="shared" si="160"/>
        <v>141.23076923076928</v>
      </c>
      <c r="D325" s="290">
        <f t="shared" si="158"/>
        <v>133.46153846153848</v>
      </c>
      <c r="E325" s="290">
        <f t="shared" si="158"/>
        <v>73.076923076923094</v>
      </c>
      <c r="F325" s="290">
        <f t="shared" si="158"/>
        <v>15.15384615384616</v>
      </c>
      <c r="G325" s="290">
        <f t="shared" si="158"/>
        <v>7.7692307692307718</v>
      </c>
      <c r="H325" s="290">
        <f t="shared" si="158"/>
        <v>10.07692307692308</v>
      </c>
      <c r="I325" s="290">
        <f t="shared" si="158"/>
        <v>13.84615384615384</v>
      </c>
      <c r="J325" s="290">
        <f t="shared" si="158"/>
        <v>27.307692307692321</v>
      </c>
      <c r="K325" s="290">
        <f t="shared" si="158"/>
        <v>19</v>
      </c>
      <c r="L325" s="290">
        <f t="shared" si="158"/>
        <v>33</v>
      </c>
      <c r="M325" s="290">
        <f t="shared" si="158"/>
        <v>198.76923076923072</v>
      </c>
      <c r="N325" s="290">
        <f t="shared" si="158"/>
        <v>289.30769230769238</v>
      </c>
      <c r="O325" s="290">
        <f t="shared" si="158"/>
        <v>165.76923076923077</v>
      </c>
      <c r="P325" s="290">
        <f t="shared" si="158"/>
        <v>125.69230769230774</v>
      </c>
      <c r="Q325" s="290">
        <f t="shared" si="158"/>
        <v>220.61538461538453</v>
      </c>
      <c r="R325" s="290">
        <f t="shared" si="158"/>
        <v>190.92307692307693</v>
      </c>
      <c r="S325" s="290">
        <f t="shared" si="158"/>
        <v>238.76923076923072</v>
      </c>
      <c r="T325" s="290">
        <f t="shared" si="158"/>
        <v>398.92307692307713</v>
      </c>
      <c r="U325" s="290">
        <f t="shared" si="158"/>
        <v>366</v>
      </c>
      <c r="V325" s="290">
        <f t="shared" si="158"/>
        <v>323.84615384615381</v>
      </c>
      <c r="W325" s="290">
        <f t="shared" si="158"/>
        <v>309.76923076923094</v>
      </c>
      <c r="X325" s="290">
        <f t="shared" si="158"/>
        <v>300.76923076923094</v>
      </c>
      <c r="Y325" s="290">
        <f t="shared" si="158"/>
        <v>274.23076923076906</v>
      </c>
      <c r="Z325" s="252">
        <f>(Z$329-Z$32)/13+Z324</f>
        <v>108.09130769230768</v>
      </c>
      <c r="AA325" s="252">
        <f t="shared" si="159"/>
        <v>147.61538461538458</v>
      </c>
      <c r="AB325" s="252">
        <f t="shared" si="159"/>
        <v>117.92307692307691</v>
      </c>
      <c r="AC325" s="251">
        <f t="shared" si="161"/>
        <v>136.96430000000001</v>
      </c>
      <c r="AD325" s="252">
        <f t="shared" si="159"/>
        <v>179.38461538461542</v>
      </c>
      <c r="AE325" s="252">
        <f t="shared" si="159"/>
        <v>57.923076923076891</v>
      </c>
      <c r="AF325" s="252">
        <f t="shared" si="159"/>
        <v>82.461538461538439</v>
      </c>
      <c r="AG325" s="252">
        <f t="shared" si="159"/>
        <v>130</v>
      </c>
    </row>
    <row r="326" spans="1:39">
      <c r="A326" s="240" t="s">
        <v>235</v>
      </c>
      <c r="B326" s="290">
        <f t="shared" si="157"/>
        <v>199.07692307692304</v>
      </c>
      <c r="C326" s="290">
        <f t="shared" si="160"/>
        <v>134.38461538461544</v>
      </c>
      <c r="D326" s="290">
        <f t="shared" si="158"/>
        <v>136.7692307692308</v>
      </c>
      <c r="E326" s="290">
        <f t="shared" si="158"/>
        <v>63.461538461538481</v>
      </c>
      <c r="F326" s="290">
        <f t="shared" si="158"/>
        <v>13.92307692307693</v>
      </c>
      <c r="G326" s="290">
        <f t="shared" si="158"/>
        <v>7.6153846153846176</v>
      </c>
      <c r="H326" s="290">
        <f t="shared" si="158"/>
        <v>10.461538461538465</v>
      </c>
      <c r="I326" s="290">
        <f t="shared" si="158"/>
        <v>14.07692307692307</v>
      </c>
      <c r="J326" s="290">
        <f t="shared" si="158"/>
        <v>28.846153846153861</v>
      </c>
      <c r="K326" s="290">
        <f t="shared" si="158"/>
        <v>17</v>
      </c>
      <c r="L326" s="290">
        <f t="shared" si="158"/>
        <v>36</v>
      </c>
      <c r="M326" s="290">
        <f t="shared" si="158"/>
        <v>217.61538461538456</v>
      </c>
      <c r="N326" s="290">
        <f t="shared" si="158"/>
        <v>288.84615384615392</v>
      </c>
      <c r="O326" s="290">
        <f t="shared" si="158"/>
        <v>150.61538461538461</v>
      </c>
      <c r="P326" s="290">
        <f t="shared" si="158"/>
        <v>130.15384615384619</v>
      </c>
      <c r="Q326" s="290">
        <f t="shared" si="158"/>
        <v>229.69230769230759</v>
      </c>
      <c r="R326" s="290">
        <f t="shared" si="158"/>
        <v>181.53846153846155</v>
      </c>
      <c r="S326" s="290">
        <f t="shared" si="158"/>
        <v>250.61538461538456</v>
      </c>
      <c r="T326" s="290">
        <f t="shared" si="158"/>
        <v>411.53846153846177</v>
      </c>
      <c r="U326" s="290">
        <f t="shared" si="158"/>
        <v>354</v>
      </c>
      <c r="V326" s="290">
        <f t="shared" si="158"/>
        <v>326.07692307692304</v>
      </c>
      <c r="W326" s="290">
        <f t="shared" si="158"/>
        <v>306.61538461538481</v>
      </c>
      <c r="X326" s="290">
        <f t="shared" si="158"/>
        <v>301.61538461538481</v>
      </c>
      <c r="Y326" s="290">
        <f t="shared" si="158"/>
        <v>270.38461538461519</v>
      </c>
      <c r="Z326" s="252">
        <f>(Z$329-Z$32)/13+Z325</f>
        <v>109.93746153846152</v>
      </c>
      <c r="AA326" s="252">
        <f t="shared" si="159"/>
        <v>128.84615384615381</v>
      </c>
      <c r="AB326" s="252">
        <f t="shared" si="159"/>
        <v>129.76923076923075</v>
      </c>
      <c r="AC326" s="251">
        <f t="shared" si="161"/>
        <v>126.3253</v>
      </c>
      <c r="AD326" s="252">
        <f t="shared" si="159"/>
        <v>165.15384615384619</v>
      </c>
      <c r="AE326" s="252">
        <f t="shared" si="159"/>
        <v>52.769230769230738</v>
      </c>
      <c r="AF326" s="252">
        <f t="shared" si="159"/>
        <v>90.384615384615358</v>
      </c>
      <c r="AG326" s="252">
        <f t="shared" si="159"/>
        <v>130</v>
      </c>
    </row>
    <row r="327" spans="1:39">
      <c r="A327" s="240" t="s">
        <v>236</v>
      </c>
      <c r="B327" s="290">
        <f t="shared" si="157"/>
        <v>198.30769230769226</v>
      </c>
      <c r="C327" s="290">
        <f t="shared" si="160"/>
        <v>127.5384615384616</v>
      </c>
      <c r="D327" s="290">
        <f t="shared" si="158"/>
        <v>140.07692307692312</v>
      </c>
      <c r="E327" s="290">
        <f t="shared" si="158"/>
        <v>53.846153846153868</v>
      </c>
      <c r="F327" s="290">
        <f t="shared" si="158"/>
        <v>12.692307692307701</v>
      </c>
      <c r="G327" s="290">
        <f t="shared" si="158"/>
        <v>7.4615384615384635</v>
      </c>
      <c r="H327" s="290">
        <f t="shared" si="158"/>
        <v>10.84615384615385</v>
      </c>
      <c r="I327" s="290">
        <f t="shared" si="158"/>
        <v>14.307692307692299</v>
      </c>
      <c r="J327" s="290">
        <f t="shared" si="158"/>
        <v>30.384615384615401</v>
      </c>
      <c r="K327" s="290">
        <f t="shared" si="158"/>
        <v>15</v>
      </c>
      <c r="L327" s="290">
        <f t="shared" si="158"/>
        <v>39</v>
      </c>
      <c r="M327" s="290">
        <f t="shared" si="158"/>
        <v>236.4615384615384</v>
      </c>
      <c r="N327" s="290">
        <f t="shared" si="158"/>
        <v>288.38461538461547</v>
      </c>
      <c r="O327" s="290">
        <f t="shared" si="158"/>
        <v>135.46153846153845</v>
      </c>
      <c r="P327" s="290">
        <f t="shared" si="158"/>
        <v>134.61538461538464</v>
      </c>
      <c r="Q327" s="290">
        <f t="shared" si="158"/>
        <v>238.76923076923066</v>
      </c>
      <c r="R327" s="290">
        <f t="shared" si="158"/>
        <v>172.15384615384616</v>
      </c>
      <c r="S327" s="290">
        <f t="shared" si="158"/>
        <v>262.4615384615384</v>
      </c>
      <c r="T327" s="290">
        <f t="shared" si="158"/>
        <v>424.15384615384642</v>
      </c>
      <c r="U327" s="290">
        <f t="shared" si="158"/>
        <v>342</v>
      </c>
      <c r="V327" s="290">
        <f t="shared" si="158"/>
        <v>328.30769230769226</v>
      </c>
      <c r="W327" s="290">
        <f t="shared" si="158"/>
        <v>303.46153846153868</v>
      </c>
      <c r="X327" s="290">
        <f t="shared" si="158"/>
        <v>302.46153846153868</v>
      </c>
      <c r="Y327" s="290">
        <f t="shared" si="158"/>
        <v>266.53846153846132</v>
      </c>
      <c r="Z327" s="252">
        <f>(Z$329-Z$32)/13+Z326</f>
        <v>111.78361538461536</v>
      </c>
      <c r="AA327" s="252">
        <f t="shared" si="159"/>
        <v>110.07692307692304</v>
      </c>
      <c r="AB327" s="252">
        <f t="shared" si="159"/>
        <v>141.61538461538458</v>
      </c>
      <c r="AC327" s="251">
        <f t="shared" si="161"/>
        <v>78.718400000000003</v>
      </c>
      <c r="AD327" s="252">
        <f t="shared" si="159"/>
        <v>150.92307692307696</v>
      </c>
      <c r="AE327" s="252">
        <f t="shared" si="159"/>
        <v>47.615384615384585</v>
      </c>
      <c r="AF327" s="252">
        <f t="shared" si="159"/>
        <v>98.307692307692278</v>
      </c>
      <c r="AG327" s="252">
        <f t="shared" si="159"/>
        <v>130</v>
      </c>
    </row>
    <row r="328" spans="1:39">
      <c r="A328" s="240" t="s">
        <v>237</v>
      </c>
      <c r="B328" s="290">
        <f t="shared" si="157"/>
        <v>197.53846153846149</v>
      </c>
      <c r="C328" s="290">
        <f t="shared" si="160"/>
        <v>120.69230769230776</v>
      </c>
      <c r="D328" s="290">
        <f t="shared" si="158"/>
        <v>143.38461538461544</v>
      </c>
      <c r="E328" s="290">
        <f t="shared" si="158"/>
        <v>44.230769230769255</v>
      </c>
      <c r="F328" s="290">
        <f t="shared" si="158"/>
        <v>11.461538461538471</v>
      </c>
      <c r="G328" s="290">
        <f t="shared" si="158"/>
        <v>7.3076923076923093</v>
      </c>
      <c r="H328" s="290">
        <f t="shared" si="158"/>
        <v>11.230769230769235</v>
      </c>
      <c r="I328" s="290">
        <f t="shared" si="158"/>
        <v>14.538461538461529</v>
      </c>
      <c r="J328" s="290">
        <f t="shared" si="158"/>
        <v>31.923076923076941</v>
      </c>
      <c r="K328" s="290">
        <f t="shared" si="158"/>
        <v>13</v>
      </c>
      <c r="L328" s="290">
        <f t="shared" si="158"/>
        <v>42</v>
      </c>
      <c r="M328" s="290">
        <f t="shared" si="158"/>
        <v>255.30769230769224</v>
      </c>
      <c r="N328" s="290">
        <f t="shared" si="158"/>
        <v>287.92307692307702</v>
      </c>
      <c r="O328" s="290">
        <f t="shared" si="158"/>
        <v>120.30769230769229</v>
      </c>
      <c r="P328" s="290">
        <f t="shared" si="158"/>
        <v>139.07692307692309</v>
      </c>
      <c r="Q328" s="290">
        <f t="shared" si="158"/>
        <v>247.84615384615373</v>
      </c>
      <c r="R328" s="290">
        <f t="shared" si="158"/>
        <v>162.76923076923077</v>
      </c>
      <c r="S328" s="290">
        <f t="shared" si="158"/>
        <v>274.30769230769226</v>
      </c>
      <c r="T328" s="290">
        <f t="shared" si="158"/>
        <v>436.76923076923106</v>
      </c>
      <c r="U328" s="290">
        <f t="shared" si="158"/>
        <v>330</v>
      </c>
      <c r="V328" s="290">
        <f t="shared" si="158"/>
        <v>330.53846153846149</v>
      </c>
      <c r="W328" s="290">
        <f t="shared" si="158"/>
        <v>300.30769230769255</v>
      </c>
      <c r="X328" s="290">
        <f t="shared" si="158"/>
        <v>303.30769230769255</v>
      </c>
      <c r="Y328" s="290">
        <f t="shared" si="158"/>
        <v>262.69230769230745</v>
      </c>
      <c r="Z328" s="252">
        <f>(Z$329-Z$32)/13+Z327</f>
        <v>113.6297692307692</v>
      </c>
      <c r="AA328" s="252">
        <f t="shared" si="159"/>
        <v>91.307692307692264</v>
      </c>
      <c r="AB328" s="252">
        <f t="shared" si="159"/>
        <v>153.46153846153842</v>
      </c>
      <c r="AC328" s="251">
        <f t="shared" si="161"/>
        <v>41.548999999999999</v>
      </c>
      <c r="AD328" s="252">
        <f t="shared" si="159"/>
        <v>136.69230769230774</v>
      </c>
      <c r="AE328" s="252">
        <f t="shared" si="159"/>
        <v>42.461538461538431</v>
      </c>
      <c r="AF328" s="252">
        <f t="shared" si="159"/>
        <v>106.2307692307692</v>
      </c>
      <c r="AG328" s="252">
        <f t="shared" si="159"/>
        <v>130</v>
      </c>
    </row>
    <row r="329" spans="1:39" ht="15.75" thickBot="1">
      <c r="A329" s="240" t="s">
        <v>238</v>
      </c>
      <c r="B329" s="146">
        <f>B42</f>
        <v>196</v>
      </c>
      <c r="C329" s="146">
        <f t="shared" ref="C329:AG329" si="162">C42</f>
        <v>107</v>
      </c>
      <c r="D329" s="146">
        <f t="shared" si="162"/>
        <v>150</v>
      </c>
      <c r="E329" s="146">
        <f t="shared" si="162"/>
        <v>25</v>
      </c>
      <c r="F329" s="146">
        <f t="shared" si="162"/>
        <v>9</v>
      </c>
      <c r="G329" s="146">
        <f t="shared" si="162"/>
        <v>7</v>
      </c>
      <c r="H329" s="146">
        <f t="shared" si="162"/>
        <v>12</v>
      </c>
      <c r="I329" s="146">
        <f t="shared" si="162"/>
        <v>15</v>
      </c>
      <c r="J329" s="146">
        <f t="shared" si="162"/>
        <v>35</v>
      </c>
      <c r="K329" s="146">
        <f t="shared" si="162"/>
        <v>9</v>
      </c>
      <c r="L329" s="146">
        <f t="shared" si="162"/>
        <v>48</v>
      </c>
      <c r="M329" s="146">
        <f t="shared" si="162"/>
        <v>293</v>
      </c>
      <c r="N329" s="146">
        <f t="shared" si="162"/>
        <v>287</v>
      </c>
      <c r="O329" s="146">
        <f t="shared" si="162"/>
        <v>90</v>
      </c>
      <c r="P329" s="146">
        <f t="shared" si="162"/>
        <v>148</v>
      </c>
      <c r="Q329" s="146">
        <f t="shared" si="162"/>
        <v>266</v>
      </c>
      <c r="R329" s="146">
        <f t="shared" si="162"/>
        <v>144</v>
      </c>
      <c r="S329" s="146">
        <f t="shared" si="162"/>
        <v>298</v>
      </c>
      <c r="T329" s="146">
        <f t="shared" si="162"/>
        <v>462</v>
      </c>
      <c r="U329" s="146">
        <f t="shared" si="162"/>
        <v>306</v>
      </c>
      <c r="V329" s="146">
        <f t="shared" si="162"/>
        <v>335</v>
      </c>
      <c r="W329" s="146">
        <f t="shared" si="162"/>
        <v>294</v>
      </c>
      <c r="X329" s="146">
        <f t="shared" si="162"/>
        <v>305</v>
      </c>
      <c r="Y329" s="146">
        <f t="shared" si="162"/>
        <v>255</v>
      </c>
      <c r="Z329" s="253">
        <f t="shared" si="162"/>
        <v>279</v>
      </c>
      <c r="AA329" s="253">
        <f t="shared" si="162"/>
        <v>35</v>
      </c>
      <c r="AB329" s="253">
        <f t="shared" si="162"/>
        <v>189</v>
      </c>
      <c r="AC329" s="253">
        <f t="shared" si="162"/>
        <v>279</v>
      </c>
      <c r="AD329" s="253">
        <f t="shared" si="162"/>
        <v>94</v>
      </c>
      <c r="AE329" s="253">
        <f t="shared" si="162"/>
        <v>27</v>
      </c>
      <c r="AF329" s="253">
        <f t="shared" si="162"/>
        <v>130</v>
      </c>
      <c r="AG329" s="253">
        <f t="shared" si="162"/>
        <v>130</v>
      </c>
    </row>
    <row r="330" spans="1:39">
      <c r="A330" s="248"/>
      <c r="B330" s="248"/>
      <c r="C330" s="248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  <c r="AB330" s="248"/>
      <c r="AC330" s="248"/>
      <c r="AD330" s="248"/>
      <c r="AE330" s="248"/>
      <c r="AF330" s="248"/>
      <c r="AG330" s="248"/>
      <c r="AI330" s="370" t="s">
        <v>364</v>
      </c>
      <c r="AJ330" s="370"/>
      <c r="AK330" s="370"/>
      <c r="AL330" s="370"/>
      <c r="AM330" s="370"/>
    </row>
    <row r="331" spans="1:39" ht="15.75" thickBot="1">
      <c r="A331" s="235" t="s">
        <v>270</v>
      </c>
      <c r="AI331" s="370"/>
      <c r="AJ331" s="370"/>
      <c r="AK331" s="370"/>
      <c r="AL331" s="370"/>
      <c r="AM331" s="370"/>
    </row>
    <row r="332" spans="1:39" ht="15.75" thickBot="1">
      <c r="A332" s="236"/>
      <c r="B332" s="237" t="str">
        <f>B$2</f>
        <v xml:space="preserve">93/94 </v>
      </c>
      <c r="C332" s="237" t="str">
        <f t="shared" ref="C332:AG332" si="163">C$2</f>
        <v xml:space="preserve">94/95 </v>
      </c>
      <c r="D332" s="237" t="str">
        <f t="shared" si="163"/>
        <v xml:space="preserve">95/96 </v>
      </c>
      <c r="E332" s="237" t="str">
        <f t="shared" si="163"/>
        <v xml:space="preserve">96/97 </v>
      </c>
      <c r="F332" s="237" t="str">
        <f t="shared" si="163"/>
        <v xml:space="preserve">97/98 </v>
      </c>
      <c r="G332" s="237" t="str">
        <f t="shared" si="163"/>
        <v xml:space="preserve">98/99 </v>
      </c>
      <c r="H332" s="237" t="str">
        <f t="shared" si="163"/>
        <v xml:space="preserve">99/00 </v>
      </c>
      <c r="I332" s="237" t="str">
        <f t="shared" si="163"/>
        <v xml:space="preserve">00/01 </v>
      </c>
      <c r="J332" s="237" t="str">
        <f t="shared" si="163"/>
        <v xml:space="preserve">01/02 </v>
      </c>
      <c r="K332" s="237" t="str">
        <f t="shared" si="163"/>
        <v xml:space="preserve">02/03 </v>
      </c>
      <c r="L332" s="237" t="str">
        <f t="shared" si="163"/>
        <v xml:space="preserve">03/04 </v>
      </c>
      <c r="M332" s="237" t="str">
        <f t="shared" si="163"/>
        <v xml:space="preserve">04/05 </v>
      </c>
      <c r="N332" s="237" t="str">
        <f t="shared" si="163"/>
        <v xml:space="preserve">05/06 </v>
      </c>
      <c r="O332" s="237" t="str">
        <f t="shared" si="163"/>
        <v xml:space="preserve">06/07 </v>
      </c>
      <c r="P332" s="237" t="str">
        <f t="shared" si="163"/>
        <v xml:space="preserve">07/08 </v>
      </c>
      <c r="Q332" s="237" t="str">
        <f t="shared" si="163"/>
        <v xml:space="preserve">08/09 </v>
      </c>
      <c r="R332" s="237" t="str">
        <f t="shared" si="163"/>
        <v xml:space="preserve">09/10 </v>
      </c>
      <c r="S332" s="237" t="str">
        <f t="shared" si="163"/>
        <v xml:space="preserve">10/11 </v>
      </c>
      <c r="T332" s="237" t="str">
        <f t="shared" si="163"/>
        <v xml:space="preserve">11/12 </v>
      </c>
      <c r="U332" s="237" t="str">
        <f t="shared" si="163"/>
        <v xml:space="preserve">12/13 </v>
      </c>
      <c r="V332" s="237" t="str">
        <f t="shared" si="163"/>
        <v xml:space="preserve">13/14 </v>
      </c>
      <c r="W332" s="237" t="str">
        <f t="shared" si="163"/>
        <v xml:space="preserve">14/15 </v>
      </c>
      <c r="X332" s="237" t="str">
        <f t="shared" si="163"/>
        <v xml:space="preserve">15/16 </v>
      </c>
      <c r="Y332" s="237" t="str">
        <f t="shared" si="163"/>
        <v xml:space="preserve">16/17 </v>
      </c>
      <c r="Z332" s="237" t="str">
        <f t="shared" si="163"/>
        <v xml:space="preserve">17/18 </v>
      </c>
      <c r="AA332" s="237" t="str">
        <f t="shared" si="163"/>
        <v xml:space="preserve">18/19 </v>
      </c>
      <c r="AB332" s="237" t="str">
        <f t="shared" si="163"/>
        <v xml:space="preserve">19/20 </v>
      </c>
      <c r="AC332" s="237" t="str">
        <f t="shared" si="163"/>
        <v xml:space="preserve">20/21 </v>
      </c>
      <c r="AD332" s="237" t="str">
        <f t="shared" si="163"/>
        <v>21/22</v>
      </c>
      <c r="AE332" s="237" t="str">
        <f t="shared" si="163"/>
        <v>22/23</v>
      </c>
      <c r="AF332" s="237" t="str">
        <f t="shared" si="163"/>
        <v>23/24</v>
      </c>
      <c r="AG332" s="237" t="str">
        <f t="shared" si="163"/>
        <v>24/25</v>
      </c>
      <c r="AH332" s="269"/>
      <c r="AI332" s="237" t="s">
        <v>365</v>
      </c>
      <c r="AJ332" s="371"/>
      <c r="AK332" s="372" t="s">
        <v>366</v>
      </c>
      <c r="AL332" s="237" t="s">
        <v>300</v>
      </c>
      <c r="AM332" s="372" t="s">
        <v>366</v>
      </c>
    </row>
    <row r="333" spans="1:39">
      <c r="A333" s="240" t="s">
        <v>239</v>
      </c>
      <c r="Z333" s="251"/>
      <c r="AA333" s="251">
        <v>667.26086956521738</v>
      </c>
      <c r="AB333" s="251">
        <v>682.08695652173913</v>
      </c>
      <c r="AC333" s="251">
        <v>964.36363636363637</v>
      </c>
      <c r="AD333" s="251">
        <v>1378.3421052631579</v>
      </c>
      <c r="AE333" s="252" t="e">
        <f>MROUND(('[4]Soy Complex-old'!BL482+AE349)*2204.622/100,10)</f>
        <v>#NUM!</v>
      </c>
      <c r="AF333" s="252" t="e">
        <f>MROUND(('[4]Soy Complex-old'!BM482+AF349)*2204.622/100,10)</f>
        <v>#NUM!</v>
      </c>
      <c r="AG333" s="252" t="e">
        <f>MROUND(('[4]Soy Complex-old'!BN482+AG349)*2204.622/100,10)</f>
        <v>#NUM!</v>
      </c>
      <c r="AL333" s="226">
        <v>1270.2068965517242</v>
      </c>
      <c r="AM333" s="291">
        <f>AD333-AL333</f>
        <v>108.13520871143373</v>
      </c>
    </row>
    <row r="334" spans="1:39">
      <c r="A334" s="240" t="s">
        <v>240</v>
      </c>
      <c r="Z334" s="251"/>
      <c r="AA334" s="251">
        <v>637.22727272727275</v>
      </c>
      <c r="AB334" s="251">
        <v>712.09523809523807</v>
      </c>
      <c r="AC334" s="251">
        <v>1082.6428571428571</v>
      </c>
      <c r="AD334" s="251">
        <v>1390.159090909091</v>
      </c>
      <c r="AE334" s="252" t="e">
        <f>MROUND(('[4]Soy Complex-old'!BL483+AE350)*2204.622/100,10)</f>
        <v>#VALUE!</v>
      </c>
      <c r="AF334" s="252" t="e">
        <f>MROUND(('[4]Soy Complex-old'!BM483+AF350)*2204.622/100,10)</f>
        <v>#VALUE!</v>
      </c>
      <c r="AG334" s="252" t="e">
        <f>MROUND(('[4]Soy Complex-old'!BN483+AG350)*2204.622/100,10)</f>
        <v>#VALUE!</v>
      </c>
      <c r="AL334" s="226">
        <v>1366.2307692307693</v>
      </c>
      <c r="AM334" s="291">
        <f t="shared" ref="AM334:AM344" si="164">AD334-AL334</f>
        <v>23.928321678321709</v>
      </c>
    </row>
    <row r="335" spans="1:39">
      <c r="A335" s="240" t="s">
        <v>241</v>
      </c>
      <c r="Z335" s="251"/>
      <c r="AA335" s="251">
        <v>639.05882352941171</v>
      </c>
      <c r="AB335" s="251">
        <v>762.4</v>
      </c>
      <c r="AC335" s="251">
        <v>1147.8571428571429</v>
      </c>
      <c r="AD335" s="251">
        <v>1339.6388888888889</v>
      </c>
      <c r="AE335" s="252">
        <f>MROUND(('[4]Soy Complex-old'!BL484+AE351)*2204.622/100,10)</f>
        <v>46000</v>
      </c>
      <c r="AF335" s="252">
        <f>MROUND(('[4]Soy Complex-old'!BM484+AF351)*2204.622/100,10)</f>
        <v>33060</v>
      </c>
      <c r="AG335" s="252">
        <f>MROUND(('[4]Soy Complex-old'!BN484+AG351)*2204.622/100,10)</f>
        <v>38450</v>
      </c>
      <c r="AL335" s="226">
        <v>1391.3333333333333</v>
      </c>
      <c r="AM335" s="291">
        <f t="shared" si="164"/>
        <v>-51.694444444444343</v>
      </c>
    </row>
    <row r="336" spans="1:39">
      <c r="A336" s="240" t="s">
        <v>231</v>
      </c>
      <c r="Z336" s="251"/>
      <c r="AA336" s="251">
        <v>651.77272727272725</v>
      </c>
      <c r="AB336" s="251">
        <v>781.18181818181813</v>
      </c>
      <c r="AC336" s="251">
        <v>1270.95</v>
      </c>
      <c r="AD336" s="251">
        <v>1358.0263157894738</v>
      </c>
      <c r="AE336" s="252">
        <f>MROUND(('[4]Soy Complex-old'!BL485+AE352)*2204.622/100,10)</f>
        <v>46370</v>
      </c>
      <c r="AF336" s="252">
        <f>MROUND(('[4]Soy Complex-old'!BM485+AF352)*2204.622/100,10)</f>
        <v>34900</v>
      </c>
      <c r="AG336" s="252">
        <f>MROUND(('[4]Soy Complex-old'!BN485+AG352)*2204.622/100,10)</f>
        <v>38250</v>
      </c>
      <c r="AL336" s="226">
        <v>1499.2592592592594</v>
      </c>
      <c r="AM336" s="291">
        <f t="shared" si="164"/>
        <v>-141.2329434697856</v>
      </c>
    </row>
    <row r="337" spans="1:43">
      <c r="A337" s="240" t="s">
        <v>232</v>
      </c>
      <c r="Z337" s="251"/>
      <c r="AA337" s="251">
        <v>671.35</v>
      </c>
      <c r="AB337" s="251">
        <v>712.75</v>
      </c>
      <c r="AC337" s="251">
        <v>1350.25</v>
      </c>
      <c r="AD337" s="251">
        <v>1540</v>
      </c>
      <c r="AE337" s="252">
        <f>MROUND(('[4]Soy Complex-old'!BL486+AE353)*2204.622/100,10)</f>
        <v>50800</v>
      </c>
      <c r="AF337" s="252">
        <f>MROUND(('[4]Soy Complex-old'!BM486+AF353)*2204.622/100,10)</f>
        <v>40160</v>
      </c>
      <c r="AG337" s="252">
        <f>MROUND(('[4]Soy Complex-old'!BN486+AG353)*2204.622/100,10)</f>
        <v>36910</v>
      </c>
      <c r="AL337" s="226">
        <v>1523.1666666666667</v>
      </c>
      <c r="AM337" s="291">
        <f t="shared" si="164"/>
        <v>16.833333333333258</v>
      </c>
    </row>
    <row r="338" spans="1:43">
      <c r="A338" s="240" t="s">
        <v>233</v>
      </c>
      <c r="Z338" s="251"/>
      <c r="AA338" s="251">
        <v>661.26190476190482</v>
      </c>
      <c r="AB338" s="251">
        <v>659.81818181818187</v>
      </c>
      <c r="AC338" s="251">
        <v>1581.8695652173913</v>
      </c>
      <c r="AD338" s="356">
        <f>AL338-10</f>
        <v>1564</v>
      </c>
      <c r="AE338" s="252">
        <f>MROUND(('[4]Soy Complex-old'!BL487+AE354)*2204.622/100,10)</f>
        <v>51660</v>
      </c>
      <c r="AF338" s="252">
        <f>MROUND(('[4]Soy Complex-old'!BM487+AF354)*2204.622/100,10)</f>
        <v>44440</v>
      </c>
      <c r="AG338" s="252">
        <f>MROUND(('[4]Soy Complex-old'!BN487+AG354)*2204.622/100,10)</f>
        <v>43980</v>
      </c>
      <c r="AL338" s="226">
        <v>1574</v>
      </c>
      <c r="AM338" s="291">
        <f t="shared" si="164"/>
        <v>-10</v>
      </c>
    </row>
    <row r="339" spans="1:43">
      <c r="A339" s="240" t="s">
        <v>234</v>
      </c>
      <c r="Z339" s="251">
        <v>769.83333333333337</v>
      </c>
      <c r="AA339" s="251">
        <v>662.35</v>
      </c>
      <c r="AB339" s="251">
        <v>692.4</v>
      </c>
      <c r="AC339" s="251">
        <v>1545.85</v>
      </c>
      <c r="AD339" s="356">
        <f t="shared" ref="AD339:AD344" si="165">AL339-10</f>
        <v>1465.9375</v>
      </c>
      <c r="AE339" s="252">
        <f>MROUND(('[4]Soy Complex-old'!BL488+AE355)*2204.622/100,10)</f>
        <v>51780</v>
      </c>
      <c r="AF339" s="252">
        <f>MROUND(('[4]Soy Complex-old'!BM488+AF355)*2204.622/100,10)</f>
        <v>47030</v>
      </c>
      <c r="AG339" s="252">
        <f>MROUND(('[4]Soy Complex-old'!BN488+AG355)*2204.622/100,10)</f>
        <v>53220</v>
      </c>
      <c r="AL339" s="226">
        <v>1475.9375</v>
      </c>
      <c r="AM339" s="291">
        <f t="shared" si="164"/>
        <v>-10</v>
      </c>
    </row>
    <row r="340" spans="1:43">
      <c r="A340" s="240" t="s">
        <v>46</v>
      </c>
      <c r="Z340" s="251">
        <v>756.89473684210532</v>
      </c>
      <c r="AA340" s="251">
        <v>684.28571428571433</v>
      </c>
      <c r="AB340" s="251">
        <v>719.63157894736844</v>
      </c>
      <c r="AC340" s="251">
        <v>1536.3684210526317</v>
      </c>
      <c r="AD340" s="356">
        <f t="shared" si="165"/>
        <v>1572.6428571428571</v>
      </c>
      <c r="AE340" s="252">
        <f>MROUND(('[4]Soy Complex-old'!BL489+AE356)*2204.622/100,10)</f>
        <v>52300</v>
      </c>
      <c r="AF340" s="252">
        <f>MROUND(('[4]Soy Complex-old'!BM489+AF356)*2204.622/100,10)</f>
        <v>51900</v>
      </c>
      <c r="AG340" s="252">
        <f>MROUND(('[4]Soy Complex-old'!BN489+AG356)*2204.622/100,10)</f>
        <v>62440</v>
      </c>
      <c r="AL340" s="226">
        <v>1582.6428571428571</v>
      </c>
      <c r="AM340" s="291">
        <f t="shared" si="164"/>
        <v>-10</v>
      </c>
    </row>
    <row r="341" spans="1:43">
      <c r="A341" s="240" t="s">
        <v>235</v>
      </c>
      <c r="Z341" s="251">
        <v>732.61904761904759</v>
      </c>
      <c r="AA341" s="251">
        <v>703.10526315789468</v>
      </c>
      <c r="AB341" s="251">
        <v>772.52380952380952</v>
      </c>
      <c r="AC341" s="251">
        <v>1217.5</v>
      </c>
      <c r="AD341" s="356">
        <f t="shared" si="165"/>
        <v>1632</v>
      </c>
      <c r="AE341" s="252">
        <f>MROUND(('[4]Soy Complex-old'!BL490+AE357)*2204.622/100,10)</f>
        <v>55680</v>
      </c>
      <c r="AF341" s="252">
        <f>MROUND(('[4]Soy Complex-old'!BM490+AF357)*2204.622/100,10)</f>
        <v>50650</v>
      </c>
      <c r="AG341" s="252">
        <f>MROUND(('[4]Soy Complex-old'!BN490+AG357)*2204.622/100,10)</f>
        <v>70330</v>
      </c>
      <c r="AL341" s="226">
        <v>1642</v>
      </c>
      <c r="AM341" s="291">
        <f t="shared" si="164"/>
        <v>-10</v>
      </c>
    </row>
    <row r="342" spans="1:43">
      <c r="A342" s="240" t="s">
        <v>236</v>
      </c>
      <c r="Z342" s="251">
        <v>742.27272727272725</v>
      </c>
      <c r="AA342" s="251">
        <v>734.47826086956525</v>
      </c>
      <c r="AB342" s="251">
        <v>772.91304347826087</v>
      </c>
      <c r="AC342" s="251">
        <v>1195.1363636363637</v>
      </c>
      <c r="AD342" s="356">
        <f t="shared" si="165"/>
        <v>1521.5254237288136</v>
      </c>
      <c r="AE342" s="252">
        <f>MROUND(('[4]Soy Complex-old'!BL491+AE358)*2204.622/100,10)</f>
        <v>52540</v>
      </c>
      <c r="AF342" s="252">
        <f>MROUND(('[4]Soy Complex-old'!BM491+AF358)*2204.622/100,10)</f>
        <v>48390</v>
      </c>
      <c r="AG342" s="252">
        <f>MROUND(('[4]Soy Complex-old'!BN491+AG358)*2204.622/100,10)</f>
        <v>69740</v>
      </c>
      <c r="AL342" s="226">
        <v>1531.5254237288136</v>
      </c>
      <c r="AM342" s="291">
        <f t="shared" si="164"/>
        <v>-10</v>
      </c>
    </row>
    <row r="343" spans="1:43">
      <c r="A343" s="240" t="s">
        <v>237</v>
      </c>
      <c r="Z343" s="251">
        <v>714.09090909090912</v>
      </c>
      <c r="AA343" s="251">
        <v>732.80952380952385</v>
      </c>
      <c r="AB343" s="251">
        <v>820.19047619047615</v>
      </c>
      <c r="AC343" s="251">
        <v>1263.6190476190477</v>
      </c>
      <c r="AD343" s="356">
        <f t="shared" si="165"/>
        <v>1522.3333333333333</v>
      </c>
      <c r="AE343" s="252">
        <f>MROUND(('[4]Soy Complex-old'!BL492+AE359)*2204.622/100,10)</f>
        <v>48390</v>
      </c>
      <c r="AF343" s="252">
        <f>MROUND(('[4]Soy Complex-old'!BM492+AF359)*2204.622/100,10)</f>
        <v>40770</v>
      </c>
      <c r="AG343" s="252">
        <f>MROUND(('[4]Soy Complex-old'!BN492+AG359)*2204.622/100,10)</f>
        <v>72370</v>
      </c>
      <c r="AL343" s="226">
        <v>1532.3333333333333</v>
      </c>
      <c r="AM343" s="291">
        <f t="shared" si="164"/>
        <v>-10</v>
      </c>
    </row>
    <row r="344" spans="1:43">
      <c r="A344" s="240" t="s">
        <v>238</v>
      </c>
      <c r="Z344" s="251">
        <v>693.9</v>
      </c>
      <c r="AA344" s="251">
        <v>702.80952380952385</v>
      </c>
      <c r="AB344" s="251">
        <v>927.81818181818187</v>
      </c>
      <c r="AC344" s="251">
        <v>1267.6818181818182</v>
      </c>
      <c r="AD344" s="356">
        <f t="shared" si="165"/>
        <v>1369.6829268292684</v>
      </c>
      <c r="AE344" s="252">
        <f>MROUND(('[4]Soy Complex-old'!BL493+AE360)*2204.622/100,10)</f>
        <v>46830</v>
      </c>
      <c r="AF344" s="252">
        <f>MROUND(('[4]Soy Complex-old'!BM493+AF360)*2204.622/100,10)</f>
        <v>45680</v>
      </c>
      <c r="AG344" s="252">
        <f>MROUND(('[4]Soy Complex-old'!BN493+AG360)*2204.622/100,10)</f>
        <v>76860</v>
      </c>
      <c r="AI344">
        <v>1297.6666666666667</v>
      </c>
      <c r="AK344" s="291">
        <f>AC344-AI344</f>
        <v>-29.984848484848499</v>
      </c>
      <c r="AL344" s="226">
        <v>1379.6829268292684</v>
      </c>
      <c r="AM344" s="291">
        <f t="shared" si="164"/>
        <v>-10</v>
      </c>
    </row>
    <row r="345" spans="1:43" ht="15.75" thickBot="1">
      <c r="A345" s="240" t="s">
        <v>255</v>
      </c>
      <c r="Z345" s="108"/>
      <c r="AA345" s="251">
        <f t="shared" ref="AA345:AG345" si="166">AVERAGE(AA333:AA344)</f>
        <v>678.98082364906304</v>
      </c>
      <c r="AB345" s="251">
        <f t="shared" si="166"/>
        <v>751.31744038125601</v>
      </c>
      <c r="AC345" s="251">
        <f t="shared" si="166"/>
        <v>1285.3407376725741</v>
      </c>
      <c r="AD345" s="356">
        <f t="shared" si="166"/>
        <v>1471.190703490407</v>
      </c>
      <c r="AE345" s="252" t="e">
        <f t="shared" si="166"/>
        <v>#NUM!</v>
      </c>
      <c r="AF345" s="252" t="e">
        <f t="shared" si="166"/>
        <v>#NUM!</v>
      </c>
      <c r="AG345" s="252" t="e">
        <f t="shared" si="166"/>
        <v>#NUM!</v>
      </c>
      <c r="AL345" s="226">
        <f>AVERAGE(AL333:AL344)</f>
        <v>1480.6932471730022</v>
      </c>
    </row>
    <row r="346" spans="1:43">
      <c r="A346" s="248"/>
      <c r="B346" s="248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8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  <c r="AA346" s="248"/>
      <c r="AB346" s="248"/>
      <c r="AC346" s="248"/>
      <c r="AD346" s="248"/>
      <c r="AE346" s="248"/>
      <c r="AF346" s="248"/>
      <c r="AG346" s="248"/>
    </row>
    <row r="347" spans="1:43" ht="15.75" thickBot="1">
      <c r="A347" s="235" t="s">
        <v>367</v>
      </c>
    </row>
    <row r="348" spans="1:43" ht="15.75" thickBot="1">
      <c r="A348" s="236"/>
      <c r="B348" s="237" t="str">
        <f t="shared" ref="B348:AD348" si="167">B2</f>
        <v xml:space="preserve">93/94 </v>
      </c>
      <c r="C348" s="237" t="str">
        <f t="shared" si="167"/>
        <v xml:space="preserve">94/95 </v>
      </c>
      <c r="D348" s="237" t="str">
        <f t="shared" si="167"/>
        <v xml:space="preserve">95/96 </v>
      </c>
      <c r="E348" s="237" t="str">
        <f t="shared" si="167"/>
        <v xml:space="preserve">96/97 </v>
      </c>
      <c r="F348" s="237" t="str">
        <f t="shared" si="167"/>
        <v xml:space="preserve">97/98 </v>
      </c>
      <c r="G348" s="237" t="str">
        <f t="shared" si="167"/>
        <v xml:space="preserve">98/99 </v>
      </c>
      <c r="H348" s="237" t="str">
        <f t="shared" si="167"/>
        <v xml:space="preserve">99/00 </v>
      </c>
      <c r="I348" s="237" t="str">
        <f t="shared" si="167"/>
        <v xml:space="preserve">00/01 </v>
      </c>
      <c r="J348" s="237" t="str">
        <f t="shared" si="167"/>
        <v xml:space="preserve">01/02 </v>
      </c>
      <c r="K348" s="237" t="str">
        <f t="shared" si="167"/>
        <v xml:space="preserve">02/03 </v>
      </c>
      <c r="L348" s="237" t="str">
        <f t="shared" si="167"/>
        <v xml:space="preserve">03/04 </v>
      </c>
      <c r="M348" s="237" t="str">
        <f t="shared" si="167"/>
        <v xml:space="preserve">04/05 </v>
      </c>
      <c r="N348" s="237" t="str">
        <f t="shared" si="167"/>
        <v xml:space="preserve">05/06 </v>
      </c>
      <c r="O348" s="237" t="str">
        <f t="shared" si="167"/>
        <v xml:space="preserve">06/07 </v>
      </c>
      <c r="P348" s="237" t="str">
        <f t="shared" si="167"/>
        <v xml:space="preserve">07/08 </v>
      </c>
      <c r="Q348" s="237" t="str">
        <f t="shared" si="167"/>
        <v xml:space="preserve">08/09 </v>
      </c>
      <c r="R348" s="237" t="str">
        <f t="shared" si="167"/>
        <v xml:space="preserve">09/10 </v>
      </c>
      <c r="S348" s="237" t="str">
        <f t="shared" si="167"/>
        <v xml:space="preserve">10/11 </v>
      </c>
      <c r="T348" s="237" t="str">
        <f t="shared" si="167"/>
        <v xml:space="preserve">11/12 </v>
      </c>
      <c r="U348" s="237" t="str">
        <f t="shared" si="167"/>
        <v xml:space="preserve">12/13 </v>
      </c>
      <c r="V348" s="237" t="str">
        <f t="shared" si="167"/>
        <v xml:space="preserve">13/14 </v>
      </c>
      <c r="W348" s="237" t="str">
        <f t="shared" si="167"/>
        <v xml:space="preserve">14/15 </v>
      </c>
      <c r="X348" s="237" t="str">
        <f t="shared" si="167"/>
        <v xml:space="preserve">15/16 </v>
      </c>
      <c r="Y348" s="237" t="str">
        <f t="shared" si="167"/>
        <v xml:space="preserve">16/17 </v>
      </c>
      <c r="Z348" s="237" t="str">
        <f t="shared" si="167"/>
        <v xml:space="preserve">17/18 </v>
      </c>
      <c r="AA348" s="237" t="str">
        <f t="shared" si="167"/>
        <v xml:space="preserve">18/19 </v>
      </c>
      <c r="AB348" s="237" t="str">
        <f t="shared" si="167"/>
        <v xml:space="preserve">19/20 </v>
      </c>
      <c r="AC348" s="237" t="str">
        <f t="shared" si="167"/>
        <v xml:space="preserve">20/21 </v>
      </c>
      <c r="AD348" s="237" t="str">
        <f t="shared" si="167"/>
        <v>21/22</v>
      </c>
      <c r="AE348" s="237" t="str">
        <f>AE2</f>
        <v>22/23</v>
      </c>
      <c r="AF348" s="237" t="str">
        <f>AF2</f>
        <v>23/24</v>
      </c>
      <c r="AG348" s="237" t="str">
        <f>AG2</f>
        <v>24/25</v>
      </c>
    </row>
    <row r="349" spans="1:43">
      <c r="A349" s="240" t="s">
        <v>239</v>
      </c>
      <c r="AA349" s="366">
        <f>(AA333/2204.622*100)-'[4]Soy Complex-old'!BH482</f>
        <v>30.266452460567727</v>
      </c>
      <c r="AB349" s="366">
        <f>(AB333/2204.622*100)-'[4]Soy Complex-old'!BI482</f>
        <v>30.938952642300549</v>
      </c>
      <c r="AC349" s="366">
        <f>(AC333/2204.622*100)-'[4]Soy Complex-old'!BJ482</f>
        <v>43.742811074353625</v>
      </c>
      <c r="AD349" s="366">
        <f>(AD333/2204.622*100)-'[4]Soy Complex-old'!BK482</f>
        <v>62.520563854627142</v>
      </c>
      <c r="AE349" s="366">
        <v>-18</v>
      </c>
      <c r="AF349" s="366">
        <v>-18</v>
      </c>
      <c r="AG349" s="366">
        <v>-18</v>
      </c>
      <c r="AI349" s="366">
        <f>AVERAGE(AA349:AC349)</f>
        <v>34.982738725740631</v>
      </c>
      <c r="AJ349" s="366"/>
      <c r="AK349" s="226" t="e">
        <f>AI349/AI$361</f>
        <v>#VALUE!</v>
      </c>
      <c r="AL349" s="226" t="e">
        <f>15*AK349*-1</f>
        <v>#VALUE!</v>
      </c>
      <c r="AM349" s="226" t="e">
        <f>ABS(AA349)/ABS(AA$361)</f>
        <v>#VALUE!</v>
      </c>
      <c r="AN349" s="226" t="e">
        <f>ABS(AB349)/ABS(AB$361)</f>
        <v>#VALUE!</v>
      </c>
      <c r="AO349" s="226" t="e">
        <f>ABS(AC349)/ABS(AC$361)</f>
        <v>#VALUE!</v>
      </c>
      <c r="AP349" s="226" t="e">
        <f>ABS(AD349)/ABS(AD$361)</f>
        <v>#VALUE!</v>
      </c>
      <c r="AQ349" s="226" t="e">
        <f>MROUND(15*AP349,1)*-1</f>
        <v>#VALUE!</v>
      </c>
    </row>
    <row r="350" spans="1:43">
      <c r="A350" s="240" t="s">
        <v>240</v>
      </c>
      <c r="AA350" s="366" t="e">
        <f>(AA334/2204.622*100)-'[4]Soy Complex-old'!BH483</f>
        <v>#VALUE!</v>
      </c>
      <c r="AB350" s="366" t="e">
        <f>(AB334/2204.622*100)-'[4]Soy Complex-old'!BI483</f>
        <v>#VALUE!</v>
      </c>
      <c r="AC350" s="366" t="e">
        <f>(AC334/2204.622*100)-'[4]Soy Complex-old'!BJ483</f>
        <v>#VALUE!</v>
      </c>
      <c r="AD350" s="366" t="e">
        <f>(AD334/2204.622*100)-'[4]Soy Complex-old'!BK483</f>
        <v>#VALUE!</v>
      </c>
      <c r="AE350" s="366">
        <v>-8</v>
      </c>
      <c r="AF350" s="366">
        <v>-8</v>
      </c>
      <c r="AG350" s="366">
        <v>-8</v>
      </c>
      <c r="AI350" s="366" t="e">
        <f t="shared" ref="AI350:AI361" si="168">AVERAGE(AA350:AC350)</f>
        <v>#VALUE!</v>
      </c>
      <c r="AJ350" s="366"/>
      <c r="AK350" s="226" t="e">
        <f t="shared" ref="AK350:AK359" si="169">AI350/AI$361</f>
        <v>#VALUE!</v>
      </c>
      <c r="AL350" s="226" t="e">
        <f t="shared" ref="AL350:AL360" si="170">15*AK350*-1</f>
        <v>#VALUE!</v>
      </c>
      <c r="AM350" s="226" t="e">
        <f t="shared" ref="AM350:AP360" si="171">ABS(AA350)/ABS(AA$361)</f>
        <v>#VALUE!</v>
      </c>
      <c r="AN350" s="226" t="e">
        <f t="shared" si="171"/>
        <v>#VALUE!</v>
      </c>
      <c r="AO350" s="226" t="e">
        <f t="shared" si="171"/>
        <v>#VALUE!</v>
      </c>
      <c r="AP350" s="226" t="e">
        <f t="shared" si="171"/>
        <v>#VALUE!</v>
      </c>
      <c r="AQ350" s="226" t="e">
        <f t="shared" ref="AQ350:AQ360" si="172">MROUND(15*AP350,1)*-1</f>
        <v>#VALUE!</v>
      </c>
    </row>
    <row r="351" spans="1:43">
      <c r="A351" s="240" t="s">
        <v>241</v>
      </c>
      <c r="AA351" s="366">
        <f>(AA335/2204.622*100)-'[4]Soy Complex-old'!BH484</f>
        <v>-2018.5637711902805</v>
      </c>
      <c r="AB351" s="366">
        <f>(AB335/2204.622*100)-'[4]Soy Complex-old'!BI484</f>
        <v>-1786.3761079568289</v>
      </c>
      <c r="AC351" s="366">
        <f>(AC335/2204.622*100)-'[4]Soy Complex-old'!BJ484</f>
        <v>-1819.4100611289764</v>
      </c>
      <c r="AD351" s="366">
        <f>(AD335/2204.622*100)-'[4]Soy Complex-old'!BK484</f>
        <v>-2325.5719850047358</v>
      </c>
      <c r="AE351" s="366">
        <v>-7</v>
      </c>
      <c r="AF351" s="366">
        <v>-7</v>
      </c>
      <c r="AG351" s="366">
        <v>-7</v>
      </c>
      <c r="AI351" s="366">
        <f t="shared" si="168"/>
        <v>-1874.7833134253622</v>
      </c>
      <c r="AJ351" s="366"/>
      <c r="AK351" s="226" t="e">
        <f t="shared" si="169"/>
        <v>#VALUE!</v>
      </c>
      <c r="AL351" s="226" t="e">
        <f t="shared" si="170"/>
        <v>#VALUE!</v>
      </c>
      <c r="AM351" s="226" t="e">
        <f t="shared" si="171"/>
        <v>#VALUE!</v>
      </c>
      <c r="AN351" s="226" t="e">
        <f t="shared" si="171"/>
        <v>#VALUE!</v>
      </c>
      <c r="AO351" s="226" t="e">
        <f t="shared" si="171"/>
        <v>#VALUE!</v>
      </c>
      <c r="AP351" s="226" t="e">
        <f t="shared" si="171"/>
        <v>#VALUE!</v>
      </c>
      <c r="AQ351" s="226" t="e">
        <f t="shared" si="172"/>
        <v>#VALUE!</v>
      </c>
    </row>
    <row r="352" spans="1:43">
      <c r="A352" s="240" t="s">
        <v>231</v>
      </c>
      <c r="AA352" s="366">
        <f>(AA336/2204.622*100)-'[4]Soy Complex-old'!BH485</f>
        <v>-1870.709078054527</v>
      </c>
      <c r="AB352" s="366">
        <f>(AB336/2204.622*100)-'[4]Soy Complex-old'!BI485</f>
        <v>-1844.9241787743288</v>
      </c>
      <c r="AC352" s="366">
        <f>(AC336/2204.622*100)-'[4]Soy Complex-old'!BJ485</f>
        <v>-1897.8356614739398</v>
      </c>
      <c r="AD352" s="366">
        <f>(AD336/2204.622*100)-'[4]Soy Complex-old'!BK485</f>
        <v>-2344.3639451148779</v>
      </c>
      <c r="AE352" s="366">
        <v>-9</v>
      </c>
      <c r="AF352" s="366">
        <v>-9</v>
      </c>
      <c r="AG352" s="366">
        <v>-9</v>
      </c>
      <c r="AI352" s="366">
        <f t="shared" si="168"/>
        <v>-1871.1563061009319</v>
      </c>
      <c r="AJ352" s="366"/>
      <c r="AK352" s="226" t="e">
        <f t="shared" si="169"/>
        <v>#VALUE!</v>
      </c>
      <c r="AL352" s="226" t="e">
        <f t="shared" si="170"/>
        <v>#VALUE!</v>
      </c>
      <c r="AM352" s="226" t="e">
        <f t="shared" si="171"/>
        <v>#VALUE!</v>
      </c>
      <c r="AN352" s="226" t="e">
        <f t="shared" si="171"/>
        <v>#VALUE!</v>
      </c>
      <c r="AO352" s="226" t="e">
        <f t="shared" si="171"/>
        <v>#VALUE!</v>
      </c>
      <c r="AP352" s="226" t="e">
        <f t="shared" si="171"/>
        <v>#VALUE!</v>
      </c>
      <c r="AQ352" s="226" t="e">
        <f t="shared" si="172"/>
        <v>#VALUE!</v>
      </c>
    </row>
    <row r="353" spans="1:43">
      <c r="A353" s="240" t="s">
        <v>232</v>
      </c>
      <c r="AA353" s="366">
        <f>(AA337/2204.622*100)-'[4]Soy Complex-old'!BH486</f>
        <v>-1915.3960676505994</v>
      </c>
      <c r="AB353" s="366">
        <f>(AB337/2204.622*100)-'[4]Soy Complex-old'!BI486</f>
        <v>-2101.7341947091154</v>
      </c>
      <c r="AC353" s="366">
        <f>(AC337/2204.622*100)-'[4]Soy Complex-old'!BJ486</f>
        <v>-2081.657672965252</v>
      </c>
      <c r="AD353" s="366">
        <f>(AD337/2204.622*100)-'[4]Soy Complex-old'!BK486</f>
        <v>-2396.0377553167846</v>
      </c>
      <c r="AE353" s="366">
        <v>-2</v>
      </c>
      <c r="AF353" s="366">
        <v>-2</v>
      </c>
      <c r="AG353" s="366">
        <v>-2</v>
      </c>
      <c r="AI353" s="366">
        <f t="shared" si="168"/>
        <v>-2032.9293117749887</v>
      </c>
      <c r="AJ353" s="366"/>
      <c r="AK353" s="226" t="e">
        <f t="shared" si="169"/>
        <v>#VALUE!</v>
      </c>
      <c r="AL353" s="226" t="e">
        <f t="shared" si="170"/>
        <v>#VALUE!</v>
      </c>
      <c r="AM353" s="226" t="e">
        <f t="shared" si="171"/>
        <v>#VALUE!</v>
      </c>
      <c r="AN353" s="226" t="e">
        <f t="shared" si="171"/>
        <v>#VALUE!</v>
      </c>
      <c r="AO353" s="226" t="e">
        <f t="shared" si="171"/>
        <v>#VALUE!</v>
      </c>
      <c r="AP353" s="226" t="e">
        <f t="shared" si="171"/>
        <v>#VALUE!</v>
      </c>
      <c r="AQ353" s="226" t="e">
        <f t="shared" si="172"/>
        <v>#VALUE!</v>
      </c>
    </row>
    <row r="354" spans="1:43">
      <c r="A354" s="240" t="s">
        <v>233</v>
      </c>
      <c r="AA354" s="366">
        <f>(AA338/2204.622*100)-'[4]Soy Complex-old'!BH487</f>
        <v>-1974.7336560824531</v>
      </c>
      <c r="AB354" s="366">
        <f>(AB338/2204.622*100)-'[4]Soy Complex-old'!BI487</f>
        <v>-2325.968142272091</v>
      </c>
      <c r="AC354" s="366">
        <f>(AC338/2204.622*100)-'[4]Soy Complex-old'!BJ487</f>
        <v>-2341.3335832493103</v>
      </c>
      <c r="AD354" s="366">
        <f>(AD338/2204.622*100)-'[4]Soy Complex-old'!BK487</f>
        <v>-2428.9821333217214</v>
      </c>
      <c r="AE354" s="366">
        <v>-13</v>
      </c>
      <c r="AF354" s="366">
        <v>-13</v>
      </c>
      <c r="AG354" s="366">
        <v>-13</v>
      </c>
      <c r="AI354" s="366">
        <f t="shared" si="168"/>
        <v>-2214.0117938679514</v>
      </c>
      <c r="AJ354" s="366"/>
      <c r="AK354" s="226" t="e">
        <f t="shared" si="169"/>
        <v>#VALUE!</v>
      </c>
      <c r="AL354" s="226" t="e">
        <f t="shared" si="170"/>
        <v>#VALUE!</v>
      </c>
      <c r="AM354" s="226" t="e">
        <f t="shared" si="171"/>
        <v>#VALUE!</v>
      </c>
      <c r="AN354" s="226" t="e">
        <f t="shared" si="171"/>
        <v>#VALUE!</v>
      </c>
      <c r="AO354" s="226" t="e">
        <f t="shared" si="171"/>
        <v>#VALUE!</v>
      </c>
      <c r="AP354" s="226" t="e">
        <f t="shared" si="171"/>
        <v>#VALUE!</v>
      </c>
      <c r="AQ354" s="226" t="e">
        <f t="shared" si="172"/>
        <v>#VALUE!</v>
      </c>
    </row>
    <row r="355" spans="1:43">
      <c r="A355" s="240" t="s">
        <v>234</v>
      </c>
      <c r="Z355" s="366">
        <f>(Z339/2204.622*100)-'[4]Soy Complex-old'!BG488</f>
        <v>-2390.4629375333575</v>
      </c>
      <c r="AA355" s="366">
        <f>(AA339/2204.622*100)-'[4]Soy Complex-old'!BH488</f>
        <v>-2119.0863008987485</v>
      </c>
      <c r="AB355" s="366">
        <f>(AB339/2204.622*100)-'[4]Soy Complex-old'!BI488</f>
        <v>-2345.3912554424296</v>
      </c>
      <c r="AC355" s="366">
        <f>(AC339/2204.622*100)-'[4]Soy Complex-old'!BJ488</f>
        <v>-2361.7914037054875</v>
      </c>
      <c r="AD355" s="366">
        <f>(AD339/2204.622*100)-'[4]Soy Complex-old'!BK488</f>
        <v>-2499.6131747546747</v>
      </c>
      <c r="AE355" s="366">
        <v>-15</v>
      </c>
      <c r="AF355" s="366">
        <v>-15</v>
      </c>
      <c r="AG355" s="366">
        <v>-15</v>
      </c>
      <c r="AI355" s="366">
        <f t="shared" si="168"/>
        <v>-2275.422986682222</v>
      </c>
      <c r="AJ355" s="366"/>
      <c r="AK355" s="226" t="e">
        <f t="shared" si="169"/>
        <v>#VALUE!</v>
      </c>
      <c r="AL355" s="226" t="e">
        <f t="shared" si="170"/>
        <v>#VALUE!</v>
      </c>
      <c r="AM355" s="226" t="e">
        <f t="shared" si="171"/>
        <v>#VALUE!</v>
      </c>
      <c r="AN355" s="226" t="e">
        <f t="shared" si="171"/>
        <v>#VALUE!</v>
      </c>
      <c r="AO355" s="226" t="e">
        <f t="shared" si="171"/>
        <v>#VALUE!</v>
      </c>
      <c r="AP355" s="226" t="e">
        <f t="shared" si="171"/>
        <v>#VALUE!</v>
      </c>
      <c r="AQ355" s="226" t="e">
        <f t="shared" si="172"/>
        <v>#VALUE!</v>
      </c>
    </row>
    <row r="356" spans="1:43">
      <c r="A356" s="240" t="s">
        <v>46</v>
      </c>
      <c r="Z356" s="366">
        <f>(Z340/2204.622*100)-'[4]Soy Complex-old'!BG489</f>
        <v>-2410.149822563591</v>
      </c>
      <c r="AA356" s="366">
        <f>(AA340/2204.622*100)-'[4]Soy Complex-old'!BH489</f>
        <v>-2201.8903133550461</v>
      </c>
      <c r="AB356" s="366">
        <f>(AB340/2204.622*100)-'[4]Soy Complex-old'!BI489</f>
        <v>-2293.952051450663</v>
      </c>
      <c r="AC356" s="366">
        <f>(AC340/2204.622*100)-'[4]Soy Complex-old'!BJ489</f>
        <v>-2245.1374810134057</v>
      </c>
      <c r="AD356" s="366">
        <f>(AD340/2204.622*100)-'[4]Soy Complex-old'!BK489</f>
        <v>-2362.3840998056426</v>
      </c>
      <c r="AE356" s="366">
        <v>-15</v>
      </c>
      <c r="AF356" s="366">
        <v>-15</v>
      </c>
      <c r="AG356" s="366">
        <v>-15</v>
      </c>
      <c r="AI356" s="366">
        <f t="shared" si="168"/>
        <v>-2246.993281939705</v>
      </c>
      <c r="AJ356" s="366"/>
      <c r="AK356" s="226" t="e">
        <f t="shared" si="169"/>
        <v>#VALUE!</v>
      </c>
      <c r="AL356" s="226" t="e">
        <f t="shared" si="170"/>
        <v>#VALUE!</v>
      </c>
      <c r="AM356" s="226" t="e">
        <f t="shared" si="171"/>
        <v>#VALUE!</v>
      </c>
      <c r="AN356" s="226" t="e">
        <f t="shared" si="171"/>
        <v>#VALUE!</v>
      </c>
      <c r="AO356" s="226" t="e">
        <f t="shared" si="171"/>
        <v>#VALUE!</v>
      </c>
      <c r="AP356" s="226" t="e">
        <f t="shared" si="171"/>
        <v>#VALUE!</v>
      </c>
      <c r="AQ356" s="226" t="e">
        <f t="shared" si="172"/>
        <v>#VALUE!</v>
      </c>
    </row>
    <row r="357" spans="1:43">
      <c r="A357" s="240" t="s">
        <v>235</v>
      </c>
      <c r="Z357" s="366">
        <f>(Z341/2204.622*100)-'[4]Soy Complex-old'!BG490</f>
        <v>-2655.5449496149886</v>
      </c>
      <c r="AA357" s="366">
        <f>(AA341/2204.622*100)-'[4]Soy Complex-old'!BH490</f>
        <v>-2225.7136727367374</v>
      </c>
      <c r="AB357" s="366">
        <f>(AB341/2204.622*100)-'[4]Soy Complex-old'!BI490</f>
        <v>-2565.5598995517685</v>
      </c>
      <c r="AC357" s="366">
        <f>(AC341/2204.622*100)-'[4]Soy Complex-old'!BJ490</f>
        <v>-2531.0131133754448</v>
      </c>
      <c r="AD357" s="366">
        <f>(AD341/2204.622*100)-'[4]Soy Complex-old'!BK490</f>
        <v>-2350.1657043357091</v>
      </c>
      <c r="AE357" s="366">
        <v>-14</v>
      </c>
      <c r="AF357" s="366">
        <v>-14</v>
      </c>
      <c r="AG357" s="366">
        <v>-14</v>
      </c>
      <c r="AI357" s="366">
        <f t="shared" si="168"/>
        <v>-2440.7622285546504</v>
      </c>
      <c r="AJ357" s="366"/>
      <c r="AK357" s="226" t="e">
        <f t="shared" si="169"/>
        <v>#VALUE!</v>
      </c>
      <c r="AL357" s="226" t="e">
        <f>15*AK357</f>
        <v>#VALUE!</v>
      </c>
      <c r="AM357" s="226" t="e">
        <f t="shared" si="171"/>
        <v>#VALUE!</v>
      </c>
      <c r="AN357" s="226" t="e">
        <f t="shared" si="171"/>
        <v>#VALUE!</v>
      </c>
      <c r="AO357" s="226" t="e">
        <f t="shared" si="171"/>
        <v>#VALUE!</v>
      </c>
      <c r="AP357" s="226" t="e">
        <f t="shared" si="171"/>
        <v>#VALUE!</v>
      </c>
      <c r="AQ357" s="226" t="e">
        <f t="shared" si="172"/>
        <v>#VALUE!</v>
      </c>
    </row>
    <row r="358" spans="1:43">
      <c r="A358" s="240" t="s">
        <v>236</v>
      </c>
      <c r="Z358" s="366">
        <f>(Z342/2204.622*100)-'[4]Soy Complex-old'!BG491</f>
        <v>-2340.3920659481432</v>
      </c>
      <c r="AA358" s="366">
        <f>(AA342/2204.622*100)-'[4]Soy Complex-old'!BH491</f>
        <v>-1985.5516170967373</v>
      </c>
      <c r="AB358" s="366">
        <f>(AB342/2204.622*100)-'[4]Soy Complex-old'!BI491</f>
        <v>-2410.3562441916001</v>
      </c>
      <c r="AC358" s="366">
        <f>(AC342/2204.622*100)-'[4]Soy Complex-old'!BJ491</f>
        <v>-2420.4925111435718</v>
      </c>
      <c r="AD358" s="366">
        <f>(AD342/2204.622*100)-'[4]Soy Complex-old'!BK491</f>
        <v>-2315.3577482367132</v>
      </c>
      <c r="AE358" s="366">
        <v>-3</v>
      </c>
      <c r="AF358" s="366">
        <v>-3</v>
      </c>
      <c r="AG358" s="366">
        <v>-3</v>
      </c>
      <c r="AI358" s="366">
        <f t="shared" si="168"/>
        <v>-2272.1334574773032</v>
      </c>
      <c r="AJ358" s="366"/>
      <c r="AK358" s="226" t="e">
        <f t="shared" si="169"/>
        <v>#VALUE!</v>
      </c>
      <c r="AL358" s="226" t="e">
        <f t="shared" ref="AL358:AL359" si="173">15*AK358</f>
        <v>#VALUE!</v>
      </c>
      <c r="AM358" s="226" t="e">
        <f t="shared" si="171"/>
        <v>#VALUE!</v>
      </c>
      <c r="AN358" s="226" t="e">
        <f t="shared" si="171"/>
        <v>#VALUE!</v>
      </c>
      <c r="AO358" s="226" t="e">
        <f t="shared" si="171"/>
        <v>#VALUE!</v>
      </c>
      <c r="AP358" s="226" t="e">
        <f t="shared" si="171"/>
        <v>#VALUE!</v>
      </c>
      <c r="AQ358" s="226" t="e">
        <f t="shared" si="172"/>
        <v>#VALUE!</v>
      </c>
    </row>
    <row r="359" spans="1:43">
      <c r="A359" s="240" t="s">
        <v>237</v>
      </c>
      <c r="Z359" s="366">
        <f>(Z343/2204.622*100)-'[4]Soy Complex-old'!BG492</f>
        <v>-2272.4173720787098</v>
      </c>
      <c r="AA359" s="366">
        <f>(AA343/2204.622*100)-'[4]Soy Complex-old'!BH492</f>
        <v>-1981.1803097578847</v>
      </c>
      <c r="AB359" s="366">
        <f>(AB343/2204.622*100)-'[4]Soy Complex-old'!BI492</f>
        <v>-2233.6077753115737</v>
      </c>
      <c r="AC359" s="366">
        <f>(AC343/2204.622*100)-'[4]Soy Complex-old'!BJ492</f>
        <v>-2286.5441879742175</v>
      </c>
      <c r="AD359" s="366">
        <f>(AD343/2204.622*100)-'[4]Soy Complex-old'!BK492</f>
        <v>-2246.4521020631501</v>
      </c>
      <c r="AE359" s="366">
        <v>-8</v>
      </c>
      <c r="AF359" s="366">
        <v>-8</v>
      </c>
      <c r="AG359" s="366">
        <v>-8</v>
      </c>
      <c r="AI359" s="366">
        <f t="shared" si="168"/>
        <v>-2167.1107576812251</v>
      </c>
      <c r="AJ359" s="366"/>
      <c r="AK359" s="226" t="e">
        <f t="shared" si="169"/>
        <v>#VALUE!</v>
      </c>
      <c r="AL359" s="226" t="e">
        <f t="shared" si="173"/>
        <v>#VALUE!</v>
      </c>
      <c r="AM359" s="226" t="e">
        <f t="shared" si="171"/>
        <v>#VALUE!</v>
      </c>
      <c r="AN359" s="226" t="e">
        <f t="shared" si="171"/>
        <v>#VALUE!</v>
      </c>
      <c r="AO359" s="226" t="e">
        <f t="shared" si="171"/>
        <v>#VALUE!</v>
      </c>
      <c r="AP359" s="226" t="e">
        <f t="shared" si="171"/>
        <v>#VALUE!</v>
      </c>
      <c r="AQ359" s="226" t="e">
        <f t="shared" si="172"/>
        <v>#VALUE!</v>
      </c>
    </row>
    <row r="360" spans="1:43">
      <c r="A360" s="240" t="s">
        <v>238</v>
      </c>
      <c r="Z360" s="366">
        <f>(Z344/2204.622*100)-'[4]Soy Complex-old'!BG493</f>
        <v>-2352.1712165677377</v>
      </c>
      <c r="AA360" s="366">
        <f>(AA344/2204.622*100)-'[4]Soy Complex-old'!BH493</f>
        <v>-2007.6220872517138</v>
      </c>
      <c r="AB360" s="366">
        <f>(AB344/2204.622*100)-'[4]Soy Complex-old'!BI493</f>
        <v>-2081.13886332722</v>
      </c>
      <c r="AC360" s="366">
        <f>(AC344/2204.622*100)-'[4]Soy Complex-old'!BJ493</f>
        <v>-2117.711903749404</v>
      </c>
      <c r="AD360" s="366">
        <f>(AD344/2204.622*100)-'[4]Soy Complex-old'!BK493</f>
        <v>-2204.6662099829691</v>
      </c>
      <c r="AE360" s="366">
        <v>-12</v>
      </c>
      <c r="AF360" s="366">
        <v>-12</v>
      </c>
      <c r="AG360" s="366">
        <v>-12</v>
      </c>
      <c r="AI360" s="366">
        <f t="shared" si="168"/>
        <v>-2068.8242847761126</v>
      </c>
      <c r="AJ360" s="366"/>
      <c r="AK360" s="226" t="e">
        <f>AI360/AI$361</f>
        <v>#VALUE!</v>
      </c>
      <c r="AL360" s="226" t="e">
        <f t="shared" si="170"/>
        <v>#VALUE!</v>
      </c>
      <c r="AM360" s="226" t="e">
        <f t="shared" si="171"/>
        <v>#VALUE!</v>
      </c>
      <c r="AN360" s="226" t="e">
        <f t="shared" si="171"/>
        <v>#VALUE!</v>
      </c>
      <c r="AO360" s="226" t="e">
        <f t="shared" si="171"/>
        <v>#VALUE!</v>
      </c>
      <c r="AP360" s="226" t="e">
        <f t="shared" si="171"/>
        <v>#VALUE!</v>
      </c>
      <c r="AQ360" s="226" t="e">
        <f t="shared" si="172"/>
        <v>#VALUE!</v>
      </c>
    </row>
    <row r="361" spans="1:43" ht="15.75" thickBot="1">
      <c r="A361" s="240" t="s">
        <v>255</v>
      </c>
      <c r="AA361" s="366" t="e">
        <f t="shared" ref="AA361:AG361" si="174">AVERAGE(AA349:AA360)</f>
        <v>#VALUE!</v>
      </c>
      <c r="AB361" s="366" t="e">
        <f t="shared" si="174"/>
        <v>#VALUE!</v>
      </c>
      <c r="AC361" s="366" t="e">
        <f t="shared" si="174"/>
        <v>#VALUE!</v>
      </c>
      <c r="AD361" s="373" t="e">
        <f t="shared" si="174"/>
        <v>#VALUE!</v>
      </c>
      <c r="AE361" s="373">
        <f t="shared" si="174"/>
        <v>-10.333333333333334</v>
      </c>
      <c r="AF361" s="373">
        <f t="shared" si="174"/>
        <v>-10.333333333333334</v>
      </c>
      <c r="AG361" s="373">
        <f t="shared" si="174"/>
        <v>-10.333333333333334</v>
      </c>
      <c r="AI361" s="366" t="e">
        <f t="shared" si="168"/>
        <v>#VALUE!</v>
      </c>
      <c r="AJ361" s="366"/>
    </row>
    <row r="362" spans="1:43">
      <c r="A362" s="248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  <c r="AA362" s="248"/>
      <c r="AB362" s="248"/>
      <c r="AC362" s="248"/>
      <c r="AD362" s="248"/>
      <c r="AE362" s="248"/>
      <c r="AF362" s="248"/>
      <c r="AG362" s="248"/>
    </row>
  </sheetData>
  <mergeCells count="6">
    <mergeCell ref="AK141:AR141"/>
    <mergeCell ref="AK142:AO142"/>
    <mergeCell ref="AQ142:AR142"/>
    <mergeCell ref="AK284:AM284"/>
    <mergeCell ref="AS284:AV284"/>
    <mergeCell ref="AI330:AM331"/>
  </mergeCells>
  <hyperlinks>
    <hyperlink ref="AR1" r:id="rId1" xr:uid="{0C105A5A-C2B8-4413-ADAD-A3B2A587C023}"/>
    <hyperlink ref="AR198" r:id="rId2" xr:uid="{865E3280-40AC-42F5-9B8E-F28AF449F840}"/>
  </hyperlinks>
  <pageMargins left="0.25" right="0.25" top="0.75" bottom="0.75" header="0.3" footer="0.3"/>
  <pageSetup scale="98" orientation="portrait" r:id="rId3"/>
  <headerFooter>
    <oddHeader>&amp;L&amp;G</oddHeader>
    <oddFooter>&amp;L&amp;D&amp;C&amp;P</oddFooter>
  </headerFooter>
  <drawing r:id="rId4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EFA8-1FBA-48BF-8263-3375E716391F}">
  <dimension ref="A1:BT331"/>
  <sheetViews>
    <sheetView zoomScaleNormal="100" workbookViewId="0">
      <pane xSplit="1" ySplit="2" topLeftCell="P3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2" customWidth="1"/>
    <col min="2" max="4" width="8.85546875" customWidth="1"/>
    <col min="5" max="5" width="9.140625" customWidth="1"/>
    <col min="6" max="25" width="8.85546875" customWidth="1"/>
    <col min="30" max="30" width="8" bestFit="1" customWidth="1"/>
    <col min="31" max="31" width="8.7109375" bestFit="1" customWidth="1"/>
    <col min="32" max="34" width="8.85546875" customWidth="1"/>
    <col min="35" max="35" width="11.28515625" style="201" bestFit="1" customWidth="1"/>
    <col min="36" max="37" width="9.28515625" style="201" bestFit="1" customWidth="1"/>
    <col min="38" max="38" width="8.85546875" style="201"/>
    <col min="39" max="39" width="8.85546875" customWidth="1"/>
    <col min="40" max="40" width="11" customWidth="1"/>
    <col min="41" max="58" width="8.85546875" customWidth="1"/>
    <col min="63" max="86" width="0" hidden="1" customWidth="1"/>
    <col min="91" max="114" width="0" hidden="1" customWidth="1"/>
    <col min="119" max="142" width="0" hidden="1" customWidth="1"/>
  </cols>
  <sheetData>
    <row r="1" spans="1:72" ht="19.5" thickBot="1">
      <c r="A1" s="199" t="s">
        <v>368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N1" s="300"/>
      <c r="AO1" s="301" t="s">
        <v>369</v>
      </c>
      <c r="AP1" s="300"/>
      <c r="AQ1" s="300"/>
      <c r="AR1" s="300"/>
      <c r="AT1" t="s">
        <v>370</v>
      </c>
      <c r="AW1" s="337" t="s">
        <v>371</v>
      </c>
      <c r="AY1" s="374" t="s">
        <v>372</v>
      </c>
    </row>
    <row r="2" spans="1:72" ht="17.25" thickBot="1">
      <c r="A2" s="202"/>
      <c r="B2" s="203" t="s">
        <v>272</v>
      </c>
      <c r="C2" s="204" t="s">
        <v>273</v>
      </c>
      <c r="D2" s="203" t="s">
        <v>274</v>
      </c>
      <c r="E2" s="204" t="s">
        <v>275</v>
      </c>
      <c r="F2" s="203" t="s">
        <v>276</v>
      </c>
      <c r="G2" s="204" t="s">
        <v>277</v>
      </c>
      <c r="H2" s="203" t="s">
        <v>278</v>
      </c>
      <c r="I2" s="204" t="s">
        <v>279</v>
      </c>
      <c r="J2" s="203" t="s">
        <v>280</v>
      </c>
      <c r="K2" s="204" t="s">
        <v>281</v>
      </c>
      <c r="L2" s="203" t="s">
        <v>282</v>
      </c>
      <c r="M2" s="204" t="s">
        <v>283</v>
      </c>
      <c r="N2" s="203" t="s">
        <v>284</v>
      </c>
      <c r="O2" s="204" t="s">
        <v>285</v>
      </c>
      <c r="P2" s="203" t="s">
        <v>286</v>
      </c>
      <c r="Q2" s="204" t="s">
        <v>287</v>
      </c>
      <c r="R2" s="203" t="s">
        <v>288</v>
      </c>
      <c r="S2" s="204" t="s">
        <v>289</v>
      </c>
      <c r="T2" s="203" t="s">
        <v>290</v>
      </c>
      <c r="U2" s="204" t="s">
        <v>291</v>
      </c>
      <c r="V2" s="203" t="s">
        <v>292</v>
      </c>
      <c r="W2" s="204" t="s">
        <v>293</v>
      </c>
      <c r="X2" s="203" t="s">
        <v>294</v>
      </c>
      <c r="Y2" s="204" t="s">
        <v>295</v>
      </c>
      <c r="Z2" s="203" t="s">
        <v>296</v>
      </c>
      <c r="AA2" s="204" t="s">
        <v>297</v>
      </c>
      <c r="AB2" s="204" t="s">
        <v>298</v>
      </c>
      <c r="AC2" s="204" t="s">
        <v>299</v>
      </c>
      <c r="AD2" s="204" t="s">
        <v>373</v>
      </c>
      <c r="AE2" s="204" t="s">
        <v>374</v>
      </c>
      <c r="AF2" s="375"/>
      <c r="AG2" s="375"/>
      <c r="AI2" s="201" t="s">
        <v>327</v>
      </c>
      <c r="AJ2" s="201" t="s">
        <v>328</v>
      </c>
      <c r="AK2" s="201" t="s">
        <v>329</v>
      </c>
      <c r="AN2" s="307">
        <v>44543</v>
      </c>
      <c r="AO2" s="308" t="s">
        <v>330</v>
      </c>
      <c r="AP2" s="302"/>
      <c r="AQ2" s="302" t="s">
        <v>375</v>
      </c>
      <c r="AS2" s="302" t="s">
        <v>376</v>
      </c>
      <c r="AT2" s="303"/>
      <c r="AV2" s="303"/>
      <c r="AW2" s="300"/>
      <c r="AX2" s="300"/>
      <c r="AY2" s="376" t="s">
        <v>377</v>
      </c>
      <c r="AZ2" s="302"/>
      <c r="BA2" s="302"/>
    </row>
    <row r="3" spans="1:72" ht="16.5">
      <c r="A3" s="3" t="s">
        <v>378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N3" s="377"/>
      <c r="AO3" s="378" t="s">
        <v>379</v>
      </c>
      <c r="AP3" s="378" t="s">
        <v>380</v>
      </c>
      <c r="AQ3" s="378" t="s">
        <v>381</v>
      </c>
      <c r="AR3" s="378" t="s">
        <v>382</v>
      </c>
      <c r="AS3" s="378" t="s">
        <v>383</v>
      </c>
      <c r="AT3" s="378" t="s">
        <v>384</v>
      </c>
      <c r="AU3" s="378" t="s">
        <v>385</v>
      </c>
      <c r="AV3" s="378" t="s">
        <v>386</v>
      </c>
      <c r="AW3" s="378" t="s">
        <v>387</v>
      </c>
      <c r="AX3" s="378" t="s">
        <v>388</v>
      </c>
      <c r="AY3" s="378" t="s">
        <v>389</v>
      </c>
      <c r="AZ3" s="378" t="s">
        <v>390</v>
      </c>
      <c r="BA3" s="378" t="s">
        <v>391</v>
      </c>
      <c r="BB3" s="378" t="s">
        <v>392</v>
      </c>
      <c r="BC3" s="378" t="s">
        <v>393</v>
      </c>
      <c r="BD3" s="378" t="s">
        <v>394</v>
      </c>
      <c r="BG3" s="379"/>
      <c r="BH3" s="379"/>
      <c r="BI3" s="379"/>
      <c r="BJ3" s="379"/>
      <c r="BK3" s="379"/>
      <c r="BL3" s="379"/>
      <c r="BM3" s="379"/>
      <c r="BN3" s="379"/>
      <c r="BO3" s="379"/>
      <c r="BP3" s="379"/>
      <c r="BQ3" s="379"/>
      <c r="BR3" s="379"/>
      <c r="BS3" s="379"/>
      <c r="BT3" s="379"/>
    </row>
    <row r="4" spans="1:72">
      <c r="A4" s="3" t="s">
        <v>213</v>
      </c>
      <c r="B4" s="207">
        <f>B5/0.97</f>
        <v>3118.5567010309278</v>
      </c>
      <c r="C4" s="207">
        <f t="shared" ref="C4:Z4" si="0">C5/0.97</f>
        <v>3501.0309278350514</v>
      </c>
      <c r="D4" s="207">
        <f t="shared" si="0"/>
        <v>4254.6391752577319</v>
      </c>
      <c r="E4" s="207">
        <f t="shared" si="0"/>
        <v>3788.6597938144332</v>
      </c>
      <c r="F4" s="207">
        <f t="shared" si="0"/>
        <v>3664.9484536082477</v>
      </c>
      <c r="G4" s="207">
        <f t="shared" si="0"/>
        <v>3953.6082474226805</v>
      </c>
      <c r="H4" s="207">
        <f t="shared" si="0"/>
        <v>5427.8350515463917</v>
      </c>
      <c r="I4" s="207">
        <f t="shared" si="0"/>
        <v>4772.1649484536083</v>
      </c>
      <c r="J4" s="207">
        <f t="shared" si="0"/>
        <v>3800.5551149881053</v>
      </c>
      <c r="K4" s="207">
        <f t="shared" si="0"/>
        <v>4164.3639068976518</v>
      </c>
      <c r="L4" s="207">
        <f t="shared" si="0"/>
        <v>5502.0618556701029</v>
      </c>
      <c r="M4" s="207">
        <f t="shared" si="0"/>
        <v>4997.9381443298971</v>
      </c>
      <c r="N4" s="207">
        <f t="shared" si="0"/>
        <v>5717.5257731958764</v>
      </c>
      <c r="O4" s="207">
        <f t="shared" si="0"/>
        <v>6359.7938144329901</v>
      </c>
      <c r="P4" s="207">
        <f t="shared" si="0"/>
        <v>5463.9175257731958</v>
      </c>
      <c r="Q4" s="207">
        <f t="shared" si="0"/>
        <v>6458.7628865979386</v>
      </c>
      <c r="R4" s="207">
        <f t="shared" si="0"/>
        <v>6046.3917525773195</v>
      </c>
      <c r="S4" s="207">
        <f t="shared" si="0"/>
        <v>5923.5395189003439</v>
      </c>
      <c r="T4" s="207">
        <f t="shared" si="0"/>
        <v>7695.8762886597942</v>
      </c>
      <c r="U4" s="207">
        <f t="shared" si="0"/>
        <v>6569.6298800067607</v>
      </c>
      <c r="V4" s="207">
        <f t="shared" si="0"/>
        <v>7199.6089584073961</v>
      </c>
      <c r="W4" s="207">
        <f t="shared" si="0"/>
        <v>6921.1851735264027</v>
      </c>
      <c r="X4" s="207">
        <f t="shared" si="0"/>
        <v>6983.8100769565854</v>
      </c>
      <c r="Y4" s="207">
        <f t="shared" si="0"/>
        <v>7742.0290844541551</v>
      </c>
      <c r="Z4" s="207">
        <f t="shared" si="0"/>
        <v>7367.0103092783511</v>
      </c>
      <c r="AA4" s="207">
        <f t="shared" ref="AA4:AF4" si="1">MROUND(AA5/(SUM(C5:Z5)/SUM(C4:Z4)),25)</f>
        <v>8200</v>
      </c>
      <c r="AB4" s="207">
        <f t="shared" si="1"/>
        <v>8625</v>
      </c>
      <c r="AC4" s="207">
        <f t="shared" si="1"/>
        <v>8600</v>
      </c>
      <c r="AD4" s="207">
        <v>8500</v>
      </c>
      <c r="AE4" s="208">
        <v>9200</v>
      </c>
      <c r="AF4" s="208">
        <f t="shared" si="1"/>
        <v>9050</v>
      </c>
      <c r="AG4" s="208"/>
      <c r="AN4" s="315" t="s">
        <v>2</v>
      </c>
      <c r="AO4" s="146">
        <v>2889</v>
      </c>
      <c r="AP4" s="146">
        <v>4127</v>
      </c>
      <c r="AQ4" s="146">
        <v>4629</v>
      </c>
      <c r="AR4" s="253">
        <f>AR7+225</f>
        <v>3686.5384615384619</v>
      </c>
      <c r="AS4" s="253">
        <f>AS7+225</f>
        <v>4039.432989690722</v>
      </c>
      <c r="AT4" s="146">
        <v>5337</v>
      </c>
      <c r="AU4" s="146">
        <v>4848</v>
      </c>
      <c r="AV4" s="146">
        <v>5546</v>
      </c>
      <c r="AW4" s="146">
        <v>6169</v>
      </c>
      <c r="AX4" s="146">
        <v>5300</v>
      </c>
      <c r="AY4" s="253">
        <f t="shared" ref="AY4:BC4" si="2">AY7+225</f>
        <v>5745.833333333333</v>
      </c>
      <c r="AZ4" s="253">
        <f t="shared" si="2"/>
        <v>6372.5409836065573</v>
      </c>
      <c r="BA4" s="253">
        <f t="shared" si="2"/>
        <v>6983.6206896551739</v>
      </c>
      <c r="BB4" s="253">
        <f t="shared" si="2"/>
        <v>6713.5496183206105</v>
      </c>
      <c r="BC4" s="253">
        <f t="shared" si="2"/>
        <v>6774.2957746478878</v>
      </c>
      <c r="BD4" s="253">
        <f>BD7+225</f>
        <v>7509.7682119205301</v>
      </c>
      <c r="BG4" s="146"/>
      <c r="BH4" s="146"/>
      <c r="BI4" s="146"/>
      <c r="BJ4" s="146"/>
      <c r="BK4" s="146"/>
      <c r="BL4" s="146"/>
      <c r="BM4" s="146"/>
      <c r="BN4" s="146"/>
      <c r="BO4" s="146"/>
      <c r="BP4" s="146"/>
      <c r="BQ4" s="146"/>
      <c r="BR4" s="146"/>
      <c r="BS4" s="146"/>
      <c r="BT4" s="146"/>
    </row>
    <row r="5" spans="1:72">
      <c r="A5" s="3" t="s">
        <v>2</v>
      </c>
      <c r="B5" s="207">
        <f>2760+265</f>
        <v>3025</v>
      </c>
      <c r="C5" s="207">
        <f>3040+356</f>
        <v>3396</v>
      </c>
      <c r="D5" s="207">
        <f>AP4</f>
        <v>4127</v>
      </c>
      <c r="E5" s="207">
        <f>3410+265</f>
        <v>3675</v>
      </c>
      <c r="F5" s="207">
        <f>3290+265</f>
        <v>3555</v>
      </c>
      <c r="G5" s="207">
        <f>3570+265</f>
        <v>3835</v>
      </c>
      <c r="H5" s="207">
        <f>5000+265</f>
        <v>5265</v>
      </c>
      <c r="I5" s="207">
        <f t="shared" ref="I5:P5" si="3">AQ4</f>
        <v>4629</v>
      </c>
      <c r="J5" s="207">
        <f t="shared" si="3"/>
        <v>3686.5384615384619</v>
      </c>
      <c r="K5" s="207">
        <f t="shared" si="3"/>
        <v>4039.432989690722</v>
      </c>
      <c r="L5" s="207">
        <f t="shared" si="3"/>
        <v>5337</v>
      </c>
      <c r="M5" s="207">
        <f t="shared" si="3"/>
        <v>4848</v>
      </c>
      <c r="N5" s="207">
        <f t="shared" si="3"/>
        <v>5546</v>
      </c>
      <c r="O5" s="207">
        <f t="shared" si="3"/>
        <v>6169</v>
      </c>
      <c r="P5" s="207">
        <f t="shared" si="3"/>
        <v>5300</v>
      </c>
      <c r="Q5" s="207">
        <f>6000+265</f>
        <v>6265</v>
      </c>
      <c r="R5" s="207">
        <f>5600+265</f>
        <v>5865</v>
      </c>
      <c r="S5" s="207">
        <f>AY4</f>
        <v>5745.833333333333</v>
      </c>
      <c r="T5" s="207">
        <f>7200+265</f>
        <v>7465</v>
      </c>
      <c r="U5" s="207">
        <f>AZ4</f>
        <v>6372.5409836065573</v>
      </c>
      <c r="V5" s="207">
        <f>BA4</f>
        <v>6983.6206896551739</v>
      </c>
      <c r="W5" s="207">
        <f>BB4</f>
        <v>6713.5496183206105</v>
      </c>
      <c r="X5" s="207">
        <f>BC4</f>
        <v>6774.2957746478878</v>
      </c>
      <c r="Y5" s="207">
        <f>BD4</f>
        <v>7509.7682119205301</v>
      </c>
      <c r="Z5" s="207">
        <v>7146</v>
      </c>
      <c r="AA5" s="210">
        <v>7944</v>
      </c>
      <c r="AB5" s="210">
        <v>8363</v>
      </c>
      <c r="AC5" s="210">
        <v>8345</v>
      </c>
      <c r="AD5" s="210">
        <v>8290</v>
      </c>
      <c r="AE5" s="211">
        <f>MROUND(FORECAST(AE45,F5:AD5,F45:AD45),5)+400</f>
        <v>8955</v>
      </c>
      <c r="AF5" s="211">
        <f>MROUND(FORECAST(AF45,G5:AE5,G45:AE45),5)</f>
        <v>8785</v>
      </c>
      <c r="AG5" s="211"/>
      <c r="AI5" s="212">
        <v>8363</v>
      </c>
      <c r="AJ5" s="212">
        <v>8345</v>
      </c>
      <c r="AK5" s="212">
        <v>9612</v>
      </c>
      <c r="AL5" s="225"/>
      <c r="AN5" s="315" t="s">
        <v>3</v>
      </c>
      <c r="AO5" s="325">
        <v>1.1599999999999999</v>
      </c>
      <c r="AP5" s="325">
        <v>1.06</v>
      </c>
      <c r="AQ5" s="325">
        <v>0.9</v>
      </c>
      <c r="AR5" s="325">
        <v>0.78</v>
      </c>
      <c r="AS5" s="325">
        <v>0.97</v>
      </c>
      <c r="AT5" s="325">
        <v>1</v>
      </c>
      <c r="AU5" s="325">
        <v>1.02</v>
      </c>
      <c r="AV5" s="325">
        <v>1.19</v>
      </c>
      <c r="AW5" s="325">
        <v>1.1399999999999999</v>
      </c>
      <c r="AX5" s="325">
        <v>1.1299999999999999</v>
      </c>
      <c r="AY5" s="325">
        <v>0.96</v>
      </c>
      <c r="AZ5" s="325">
        <v>1.22</v>
      </c>
      <c r="BA5" s="325">
        <v>1.45</v>
      </c>
      <c r="BB5" s="325">
        <v>1.31</v>
      </c>
      <c r="BC5" s="325">
        <v>1.42</v>
      </c>
      <c r="BD5" s="325">
        <v>1.51</v>
      </c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</row>
    <row r="6" spans="1:72" s="219" customFormat="1" ht="13.5">
      <c r="A6" s="214" t="s">
        <v>214</v>
      </c>
      <c r="B6" s="215">
        <f>B5/B4</f>
        <v>0.97</v>
      </c>
      <c r="C6" s="215">
        <f t="shared" ref="C6:AE6" si="4">C5/C4</f>
        <v>0.97</v>
      </c>
      <c r="D6" s="215">
        <f t="shared" si="4"/>
        <v>0.97</v>
      </c>
      <c r="E6" s="215">
        <f t="shared" si="4"/>
        <v>0.97</v>
      </c>
      <c r="F6" s="215">
        <f t="shared" si="4"/>
        <v>0.96999999999999986</v>
      </c>
      <c r="G6" s="215">
        <f t="shared" si="4"/>
        <v>0.97</v>
      </c>
      <c r="H6" s="215">
        <f t="shared" si="4"/>
        <v>0.97</v>
      </c>
      <c r="I6" s="215">
        <f t="shared" si="4"/>
        <v>0.97</v>
      </c>
      <c r="J6" s="215">
        <f t="shared" si="4"/>
        <v>0.97</v>
      </c>
      <c r="K6" s="215">
        <f t="shared" si="4"/>
        <v>0.97</v>
      </c>
      <c r="L6" s="215">
        <f t="shared" si="4"/>
        <v>0.97000000000000008</v>
      </c>
      <c r="M6" s="215">
        <f t="shared" si="4"/>
        <v>0.97</v>
      </c>
      <c r="N6" s="215">
        <f t="shared" si="4"/>
        <v>0.97</v>
      </c>
      <c r="O6" s="215">
        <f t="shared" si="4"/>
        <v>0.97</v>
      </c>
      <c r="P6" s="215">
        <f t="shared" si="4"/>
        <v>0.97</v>
      </c>
      <c r="Q6" s="215">
        <f t="shared" si="4"/>
        <v>0.97</v>
      </c>
      <c r="R6" s="215">
        <f t="shared" si="4"/>
        <v>0.97</v>
      </c>
      <c r="S6" s="215">
        <f t="shared" si="4"/>
        <v>0.96999999999999986</v>
      </c>
      <c r="T6" s="215">
        <f t="shared" si="4"/>
        <v>0.97</v>
      </c>
      <c r="U6" s="215">
        <f t="shared" si="4"/>
        <v>0.97</v>
      </c>
      <c r="V6" s="215">
        <f t="shared" si="4"/>
        <v>0.97</v>
      </c>
      <c r="W6" s="215">
        <f t="shared" si="4"/>
        <v>0.97</v>
      </c>
      <c r="X6" s="215">
        <f t="shared" si="4"/>
        <v>0.97</v>
      </c>
      <c r="Y6" s="215">
        <f t="shared" si="4"/>
        <v>0.97</v>
      </c>
      <c r="Z6" s="215">
        <f t="shared" si="4"/>
        <v>0.97</v>
      </c>
      <c r="AA6" s="215">
        <f t="shared" si="4"/>
        <v>0.96878048780487802</v>
      </c>
      <c r="AB6" s="215">
        <f t="shared" si="4"/>
        <v>0.96962318840579709</v>
      </c>
      <c r="AC6" s="215">
        <f t="shared" si="4"/>
        <v>0.97034883720930232</v>
      </c>
      <c r="AD6" s="215">
        <f t="shared" si="4"/>
        <v>0.97529411764705887</v>
      </c>
      <c r="AE6" s="216">
        <f t="shared" si="4"/>
        <v>0.97336956521739126</v>
      </c>
      <c r="AF6" s="216"/>
      <c r="AG6" s="216"/>
      <c r="AI6" s="218"/>
      <c r="AJ6" s="218"/>
      <c r="AK6" s="380"/>
      <c r="AL6" s="380"/>
      <c r="AN6" s="324" t="s">
        <v>5</v>
      </c>
      <c r="AO6" s="325">
        <v>3.1</v>
      </c>
      <c r="AP6" s="325">
        <v>4.2</v>
      </c>
      <c r="AQ6" s="325">
        <v>3.9</v>
      </c>
      <c r="AR6" s="325">
        <v>2.7</v>
      </c>
      <c r="AS6" s="325">
        <v>3.7</v>
      </c>
      <c r="AT6" s="325">
        <v>4.9000000000000004</v>
      </c>
      <c r="AU6" s="325">
        <v>4.8</v>
      </c>
      <c r="AV6" s="325">
        <v>6.5</v>
      </c>
      <c r="AW6" s="325">
        <v>6.8</v>
      </c>
      <c r="AX6" s="325">
        <v>5.7</v>
      </c>
      <c r="AY6" s="325">
        <v>5.3</v>
      </c>
      <c r="AZ6" s="325">
        <v>7.5</v>
      </c>
      <c r="BA6" s="325">
        <v>9.8000000000000007</v>
      </c>
      <c r="BB6" s="325">
        <v>8.5</v>
      </c>
      <c r="BC6" s="325">
        <v>9.3000000000000007</v>
      </c>
      <c r="BD6" s="325">
        <v>11</v>
      </c>
      <c r="BG6" s="325"/>
      <c r="BH6" s="325"/>
      <c r="BI6" s="325"/>
      <c r="BJ6" s="325"/>
      <c r="BK6" s="325"/>
      <c r="BL6" s="325"/>
      <c r="BM6" s="325"/>
      <c r="BN6" s="325"/>
      <c r="BO6" s="325"/>
      <c r="BP6" s="325"/>
      <c r="BQ6" s="325"/>
      <c r="BR6" s="325"/>
      <c r="BS6" s="325"/>
      <c r="BT6" s="325"/>
    </row>
    <row r="7" spans="1:72">
      <c r="A7" s="3" t="s">
        <v>215</v>
      </c>
      <c r="B7" s="23">
        <v>1</v>
      </c>
      <c r="C7" s="23">
        <v>0.84</v>
      </c>
      <c r="D7" s="23">
        <f t="shared" ref="D7:AD7" si="5">D9/D5</f>
        <v>0.75115095711170343</v>
      </c>
      <c r="E7" s="23">
        <v>0.81</v>
      </c>
      <c r="F7" s="23">
        <v>0.86</v>
      </c>
      <c r="G7" s="23">
        <v>0.84</v>
      </c>
      <c r="H7" s="23">
        <v>0.83</v>
      </c>
      <c r="I7" s="23">
        <f t="shared" si="5"/>
        <v>0.84251458198314966</v>
      </c>
      <c r="J7" s="23">
        <f t="shared" si="5"/>
        <v>0.73239436619718301</v>
      </c>
      <c r="K7" s="23">
        <f t="shared" si="5"/>
        <v>0.91597013973074703</v>
      </c>
      <c r="L7" s="23">
        <f t="shared" si="5"/>
        <v>0.9181187933295859</v>
      </c>
      <c r="M7" s="23">
        <f t="shared" si="5"/>
        <v>0.99009900990099009</v>
      </c>
      <c r="N7" s="23">
        <f t="shared" si="5"/>
        <v>1.1720158672917418</v>
      </c>
      <c r="O7" s="23">
        <f t="shared" si="5"/>
        <v>1.1022856216566705</v>
      </c>
      <c r="P7" s="23">
        <f t="shared" si="5"/>
        <v>1.0754716981132075</v>
      </c>
      <c r="Q7" s="23">
        <v>1.1499999999999999</v>
      </c>
      <c r="R7" s="23">
        <v>1.07</v>
      </c>
      <c r="S7" s="23">
        <f t="shared" si="5"/>
        <v>0.92240754169688188</v>
      </c>
      <c r="T7" s="23">
        <v>1.26</v>
      </c>
      <c r="U7" s="23">
        <f t="shared" si="5"/>
        <v>1.1769245610650203</v>
      </c>
      <c r="V7" s="23">
        <f t="shared" si="5"/>
        <v>1.4032835452413279</v>
      </c>
      <c r="W7" s="23">
        <f t="shared" si="5"/>
        <v>1.2660962506040536</v>
      </c>
      <c r="X7" s="23">
        <f t="shared" si="5"/>
        <v>1.3728364260096677</v>
      </c>
      <c r="Y7" s="23">
        <f t="shared" si="5"/>
        <v>1.4647589232566856</v>
      </c>
      <c r="Z7" s="23">
        <f t="shared" si="5"/>
        <v>1.4500419815281276</v>
      </c>
      <c r="AA7" s="23">
        <f t="shared" si="5"/>
        <v>1.5999496475327291</v>
      </c>
      <c r="AB7" s="23">
        <f t="shared" si="5"/>
        <v>1.8300848977639603</v>
      </c>
      <c r="AC7" s="23">
        <f t="shared" si="5"/>
        <v>1.5900539245056919</v>
      </c>
      <c r="AD7" s="23">
        <f t="shared" si="5"/>
        <v>1.5983112183353438</v>
      </c>
      <c r="AE7" s="220">
        <f>FORECAST(AE45,F7:AD7,F45:AD45)</f>
        <v>1.6664401442256178</v>
      </c>
      <c r="AF7" s="220"/>
      <c r="AG7" s="220"/>
      <c r="AN7" s="315" t="s">
        <v>395</v>
      </c>
      <c r="AO7" s="253">
        <f t="shared" ref="AO7:BD7" si="6">AO6/AO5*1000</f>
        <v>2672.4137931034484</v>
      </c>
      <c r="AP7" s="253">
        <f t="shared" si="6"/>
        <v>3962.2641509433961</v>
      </c>
      <c r="AQ7" s="253">
        <f t="shared" si="6"/>
        <v>4333.333333333333</v>
      </c>
      <c r="AR7" s="253">
        <f t="shared" si="6"/>
        <v>3461.5384615384619</v>
      </c>
      <c r="AS7" s="253">
        <f t="shared" si="6"/>
        <v>3814.432989690722</v>
      </c>
      <c r="AT7" s="253">
        <f t="shared" si="6"/>
        <v>4900</v>
      </c>
      <c r="AU7" s="253">
        <f t="shared" si="6"/>
        <v>4705.8823529411766</v>
      </c>
      <c r="AV7" s="253">
        <f t="shared" si="6"/>
        <v>5462.1848739495799</v>
      </c>
      <c r="AW7" s="253">
        <f t="shared" si="6"/>
        <v>5964.9122807017548</v>
      </c>
      <c r="AX7" s="253">
        <f t="shared" si="6"/>
        <v>5044.2477876106195</v>
      </c>
      <c r="AY7" s="253">
        <f t="shared" si="6"/>
        <v>5520.833333333333</v>
      </c>
      <c r="AZ7" s="253">
        <f t="shared" si="6"/>
        <v>6147.5409836065573</v>
      </c>
      <c r="BA7" s="253">
        <f t="shared" si="6"/>
        <v>6758.6206896551739</v>
      </c>
      <c r="BB7" s="253">
        <f t="shared" si="6"/>
        <v>6488.5496183206105</v>
      </c>
      <c r="BC7" s="253">
        <f t="shared" si="6"/>
        <v>6549.2957746478878</v>
      </c>
      <c r="BD7" s="253">
        <f t="shared" si="6"/>
        <v>7284.7682119205301</v>
      </c>
    </row>
    <row r="8" spans="1:72">
      <c r="A8" s="221" t="s">
        <v>333</v>
      </c>
      <c r="B8" s="13">
        <v>35</v>
      </c>
      <c r="C8" s="13">
        <f>B17</f>
        <v>95</v>
      </c>
      <c r="D8" s="13">
        <f t="shared" ref="D8:AE8" si="7">C17</f>
        <v>50</v>
      </c>
      <c r="E8" s="13">
        <f t="shared" si="7"/>
        <v>357</v>
      </c>
      <c r="F8" s="13">
        <f t="shared" si="7"/>
        <v>14</v>
      </c>
      <c r="G8" s="13">
        <f t="shared" si="7"/>
        <v>23</v>
      </c>
      <c r="H8" s="13">
        <f t="shared" si="7"/>
        <v>23</v>
      </c>
      <c r="I8" s="13">
        <f t="shared" si="7"/>
        <v>44</v>
      </c>
      <c r="J8" s="13">
        <f t="shared" si="7"/>
        <v>86</v>
      </c>
      <c r="K8" s="13">
        <f t="shared" si="7"/>
        <v>44</v>
      </c>
      <c r="L8" s="13">
        <f t="shared" si="7"/>
        <v>84</v>
      </c>
      <c r="M8" s="13">
        <f t="shared" si="7"/>
        <v>322</v>
      </c>
      <c r="N8" s="13">
        <f t="shared" si="7"/>
        <v>261</v>
      </c>
      <c r="O8" s="13">
        <f t="shared" si="7"/>
        <v>284</v>
      </c>
      <c r="P8" s="13">
        <f t="shared" si="7"/>
        <v>301</v>
      </c>
      <c r="Q8" s="13">
        <f t="shared" si="7"/>
        <v>274</v>
      </c>
      <c r="R8" s="13">
        <f t="shared" si="7"/>
        <v>500</v>
      </c>
      <c r="S8" s="13">
        <f t="shared" si="7"/>
        <v>248</v>
      </c>
      <c r="T8" s="13">
        <f t="shared" si="7"/>
        <v>149</v>
      </c>
      <c r="U8" s="13">
        <f t="shared" si="7"/>
        <v>187</v>
      </c>
      <c r="V8" s="13">
        <f t="shared" si="7"/>
        <v>82</v>
      </c>
      <c r="W8" s="13">
        <f t="shared" si="7"/>
        <v>404</v>
      </c>
      <c r="X8" s="13">
        <f t="shared" si="7"/>
        <v>135</v>
      </c>
      <c r="Y8" s="13">
        <f t="shared" si="7"/>
        <v>252</v>
      </c>
      <c r="Z8" s="13">
        <f t="shared" si="7"/>
        <v>324</v>
      </c>
      <c r="AA8" s="13">
        <f t="shared" si="7"/>
        <v>179</v>
      </c>
      <c r="AB8" s="13">
        <f t="shared" si="7"/>
        <v>233</v>
      </c>
      <c r="AC8" s="13">
        <f t="shared" si="7"/>
        <v>160</v>
      </c>
      <c r="AD8" s="13">
        <f t="shared" si="7"/>
        <v>100</v>
      </c>
      <c r="AE8" s="222">
        <f t="shared" si="7"/>
        <v>750</v>
      </c>
      <c r="AF8" s="224"/>
      <c r="AG8" s="224"/>
      <c r="AI8" s="223">
        <v>228</v>
      </c>
      <c r="AJ8" s="223">
        <v>136</v>
      </c>
      <c r="AK8" s="223">
        <v>171</v>
      </c>
      <c r="AN8" s="315" t="s">
        <v>396</v>
      </c>
      <c r="AO8" s="146">
        <f>AO4-AO7</f>
        <v>216.58620689655163</v>
      </c>
      <c r="AP8" s="146">
        <f>AP4-AP7</f>
        <v>164.73584905660391</v>
      </c>
      <c r="AQ8" s="146">
        <f>AQ4-AQ7</f>
        <v>295.66666666666697</v>
      </c>
      <c r="AR8" s="146"/>
      <c r="AS8" s="146"/>
      <c r="AT8" s="146">
        <f>AT4-AT7</f>
        <v>437</v>
      </c>
      <c r="AU8" s="146">
        <f>AU4-AU7</f>
        <v>142.11764705882342</v>
      </c>
      <c r="AV8" s="146">
        <f>AV4-AV7</f>
        <v>83.815126050420076</v>
      </c>
      <c r="AW8" s="146">
        <f>AW4-AW7</f>
        <v>204.08771929824525</v>
      </c>
      <c r="AX8" s="146">
        <f>AX4-AX7</f>
        <v>255.75221238938047</v>
      </c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6"/>
      <c r="BN8" s="146"/>
      <c r="BO8" s="146"/>
      <c r="BP8" s="146"/>
      <c r="BQ8" s="146"/>
      <c r="BR8" s="146"/>
      <c r="BS8" s="146"/>
      <c r="BT8" s="146"/>
    </row>
    <row r="9" spans="1:72">
      <c r="A9" s="3" t="s">
        <v>5</v>
      </c>
      <c r="B9" s="6">
        <f>B7*B5</f>
        <v>3025</v>
      </c>
      <c r="C9" s="6">
        <f>C7*C5</f>
        <v>2852.64</v>
      </c>
      <c r="D9" s="6">
        <f>AO6*1000</f>
        <v>3100</v>
      </c>
      <c r="E9" s="6">
        <f>E7*E5</f>
        <v>2976.75</v>
      </c>
      <c r="F9" s="6">
        <f>F7*F5</f>
        <v>3057.2999999999997</v>
      </c>
      <c r="G9" s="6">
        <f>G7*G5</f>
        <v>3221.4</v>
      </c>
      <c r="H9" s="6">
        <f>H7*H5</f>
        <v>4369.95</v>
      </c>
      <c r="I9" s="6">
        <f>AQ6*1000</f>
        <v>3900</v>
      </c>
      <c r="J9" s="6">
        <f t="shared" ref="J9:P9" si="8">AR6*1000</f>
        <v>2700</v>
      </c>
      <c r="K9" s="6">
        <f t="shared" si="8"/>
        <v>3700</v>
      </c>
      <c r="L9" s="6">
        <f t="shared" si="8"/>
        <v>4900</v>
      </c>
      <c r="M9" s="6">
        <f t="shared" si="8"/>
        <v>4800</v>
      </c>
      <c r="N9" s="6">
        <f t="shared" si="8"/>
        <v>6500</v>
      </c>
      <c r="O9" s="6">
        <f t="shared" si="8"/>
        <v>6800</v>
      </c>
      <c r="P9" s="6">
        <f t="shared" si="8"/>
        <v>5700</v>
      </c>
      <c r="Q9" s="6">
        <f>Q7*Q5</f>
        <v>7204.7499999999991</v>
      </c>
      <c r="R9" s="6">
        <f>R7*R5</f>
        <v>6275.55</v>
      </c>
      <c r="S9" s="6">
        <f>AY6*1000</f>
        <v>5300</v>
      </c>
      <c r="T9" s="6">
        <f>T7*T5</f>
        <v>9405.9</v>
      </c>
      <c r="U9" s="6">
        <f>AZ6*1000</f>
        <v>7500</v>
      </c>
      <c r="V9" s="6">
        <f>BA6*1000</f>
        <v>9800</v>
      </c>
      <c r="W9" s="6">
        <f>BB6*1000</f>
        <v>8500</v>
      </c>
      <c r="X9" s="6">
        <f>BC6*1000</f>
        <v>9300</v>
      </c>
      <c r="Y9" s="6">
        <f>BD6*1000</f>
        <v>11000</v>
      </c>
      <c r="Z9" s="6">
        <v>10362</v>
      </c>
      <c r="AA9" s="6">
        <v>12710</v>
      </c>
      <c r="AB9" s="6">
        <v>15305</v>
      </c>
      <c r="AC9" s="6">
        <v>13269</v>
      </c>
      <c r="AD9" s="6">
        <v>13250</v>
      </c>
      <c r="AE9" s="224">
        <f>MROUND(AE5*AE7,50)</f>
        <v>14900</v>
      </c>
      <c r="AF9" s="224"/>
      <c r="AG9" s="224"/>
      <c r="AI9" s="212">
        <v>15305</v>
      </c>
      <c r="AJ9" s="212">
        <v>13269</v>
      </c>
      <c r="AK9" s="212">
        <v>15572</v>
      </c>
      <c r="AL9" s="225"/>
      <c r="AN9" s="315" t="s">
        <v>397</v>
      </c>
      <c r="AP9" s="381">
        <v>3960</v>
      </c>
      <c r="AQ9" s="381">
        <v>4350</v>
      </c>
      <c r="AR9" s="381">
        <v>3420</v>
      </c>
      <c r="AS9" s="381">
        <v>3798</v>
      </c>
      <c r="AT9" s="381">
        <v>4850</v>
      </c>
      <c r="AU9" s="381">
        <v>4650</v>
      </c>
      <c r="AV9" s="381">
        <v>5400</v>
      </c>
      <c r="AW9" s="381">
        <v>5900</v>
      </c>
      <c r="AX9" s="381">
        <v>5000</v>
      </c>
      <c r="AY9" s="381">
        <v>5550</v>
      </c>
      <c r="AZ9" s="381">
        <v>6125</v>
      </c>
      <c r="BA9" s="381">
        <v>6795</v>
      </c>
      <c r="BB9" s="381">
        <v>6371</v>
      </c>
      <c r="BC9" s="381">
        <v>6454</v>
      </c>
      <c r="BD9" s="381">
        <v>7175</v>
      </c>
      <c r="BE9" s="381"/>
    </row>
    <row r="10" spans="1:72">
      <c r="A10" s="3" t="s">
        <v>6</v>
      </c>
      <c r="B10" s="6">
        <v>30</v>
      </c>
      <c r="C10" s="6">
        <v>10</v>
      </c>
      <c r="D10" s="6">
        <v>5</v>
      </c>
      <c r="E10" s="6">
        <v>10</v>
      </c>
      <c r="F10" s="6">
        <v>15</v>
      </c>
      <c r="G10" s="6">
        <v>2</v>
      </c>
      <c r="H10" s="6">
        <v>2</v>
      </c>
      <c r="I10" s="6">
        <v>1</v>
      </c>
      <c r="J10" s="6">
        <v>1</v>
      </c>
      <c r="K10" s="6">
        <f t="shared" ref="K10:AC10" si="9">K60</f>
        <v>6.4492300000000009</v>
      </c>
      <c r="L10" s="6">
        <f t="shared" si="9"/>
        <v>8.8010149999999996</v>
      </c>
      <c r="M10" s="6">
        <f t="shared" si="9"/>
        <v>10.234905000000001</v>
      </c>
      <c r="N10" s="6">
        <f t="shared" si="9"/>
        <v>13.566083000000001</v>
      </c>
      <c r="O10" s="6">
        <f t="shared" si="9"/>
        <v>10.306746999999998</v>
      </c>
      <c r="P10" s="6">
        <f t="shared" si="9"/>
        <v>12.495236999999999</v>
      </c>
      <c r="Q10" s="6">
        <f t="shared" si="9"/>
        <v>11.550993999999998</v>
      </c>
      <c r="R10" s="6">
        <f t="shared" si="9"/>
        <v>21.603283999999999</v>
      </c>
      <c r="S10" s="6">
        <f t="shared" si="9"/>
        <v>42.578448000000009</v>
      </c>
      <c r="T10" s="6">
        <f t="shared" si="9"/>
        <v>28.857343</v>
      </c>
      <c r="U10" s="6">
        <f t="shared" si="9"/>
        <v>29.052242999999997</v>
      </c>
      <c r="V10" s="6">
        <f t="shared" si="9"/>
        <v>35.104442000000006</v>
      </c>
      <c r="W10" s="6">
        <f t="shared" si="9"/>
        <v>88.287454999999994</v>
      </c>
      <c r="X10" s="6">
        <f t="shared" si="9"/>
        <v>120.99681899999999</v>
      </c>
      <c r="Y10" s="6">
        <f t="shared" si="9"/>
        <v>107.330568</v>
      </c>
      <c r="Z10" s="6">
        <f t="shared" si="9"/>
        <v>46.554169999999999</v>
      </c>
      <c r="AA10" s="6">
        <f t="shared" si="9"/>
        <v>52.012317000000003</v>
      </c>
      <c r="AB10" s="6">
        <f t="shared" si="9"/>
        <v>56.491343999999998</v>
      </c>
      <c r="AC10" s="6">
        <f t="shared" si="9"/>
        <v>104.65681499999999</v>
      </c>
      <c r="AD10" s="224">
        <v>35</v>
      </c>
      <c r="AE10" s="224">
        <v>0</v>
      </c>
      <c r="AF10" s="224"/>
      <c r="AG10" s="224"/>
      <c r="AI10" s="223">
        <v>56</v>
      </c>
      <c r="AJ10" s="223">
        <v>70</v>
      </c>
      <c r="AK10" s="223">
        <v>50</v>
      </c>
      <c r="AN10" s="315" t="s">
        <v>396</v>
      </c>
      <c r="AP10" s="146">
        <f>AP4-AP9</f>
        <v>167</v>
      </c>
      <c r="AQ10" s="146">
        <f t="shared" ref="AQ10:BD10" si="10">AQ4-AQ9</f>
        <v>279</v>
      </c>
      <c r="AR10" s="146">
        <f t="shared" si="10"/>
        <v>266.53846153846189</v>
      </c>
      <c r="AS10" s="146">
        <f t="shared" si="10"/>
        <v>241.43298969072202</v>
      </c>
      <c r="AT10" s="146">
        <f t="shared" si="10"/>
        <v>487</v>
      </c>
      <c r="AU10" s="146">
        <f t="shared" si="10"/>
        <v>198</v>
      </c>
      <c r="AV10" s="146">
        <f t="shared" si="10"/>
        <v>146</v>
      </c>
      <c r="AW10" s="146">
        <f t="shared" si="10"/>
        <v>269</v>
      </c>
      <c r="AX10" s="146">
        <f t="shared" si="10"/>
        <v>300</v>
      </c>
      <c r="AY10" s="146">
        <f t="shared" si="10"/>
        <v>195.83333333333303</v>
      </c>
      <c r="AZ10" s="146">
        <f t="shared" si="10"/>
        <v>247.54098360655735</v>
      </c>
      <c r="BA10" s="146">
        <f t="shared" si="10"/>
        <v>188.62068965517392</v>
      </c>
      <c r="BB10" s="146">
        <f t="shared" si="10"/>
        <v>342.54961832061053</v>
      </c>
      <c r="BC10" s="146">
        <f t="shared" si="10"/>
        <v>320.29577464788781</v>
      </c>
      <c r="BD10" s="146">
        <f t="shared" si="10"/>
        <v>334.76821192053012</v>
      </c>
    </row>
    <row r="11" spans="1:72">
      <c r="A11" s="221" t="s">
        <v>7</v>
      </c>
      <c r="B11" s="13">
        <f>SUM(B8:B10)</f>
        <v>3090</v>
      </c>
      <c r="C11" s="13">
        <f t="shared" ref="C11:Z11" si="11">SUM(C8:C10)</f>
        <v>2957.64</v>
      </c>
      <c r="D11" s="13">
        <f t="shared" si="11"/>
        <v>3155</v>
      </c>
      <c r="E11" s="13">
        <f t="shared" si="11"/>
        <v>3343.75</v>
      </c>
      <c r="F11" s="13">
        <f t="shared" si="11"/>
        <v>3086.2999999999997</v>
      </c>
      <c r="G11" s="13">
        <f t="shared" si="11"/>
        <v>3246.4</v>
      </c>
      <c r="H11" s="13">
        <f t="shared" si="11"/>
        <v>4394.95</v>
      </c>
      <c r="I11" s="13">
        <f t="shared" si="11"/>
        <v>3945</v>
      </c>
      <c r="J11" s="13">
        <f t="shared" si="11"/>
        <v>2787</v>
      </c>
      <c r="K11" s="13">
        <f t="shared" si="11"/>
        <v>3750.4492300000002</v>
      </c>
      <c r="L11" s="13">
        <f t="shared" si="11"/>
        <v>4992.801015</v>
      </c>
      <c r="M11" s="13">
        <f t="shared" si="11"/>
        <v>5132.2349050000003</v>
      </c>
      <c r="N11" s="13">
        <f t="shared" si="11"/>
        <v>6774.5660829999997</v>
      </c>
      <c r="O11" s="13">
        <f t="shared" si="11"/>
        <v>7094.3067469999996</v>
      </c>
      <c r="P11" s="13">
        <f t="shared" si="11"/>
        <v>6013.4952370000001</v>
      </c>
      <c r="Q11" s="13">
        <f t="shared" si="11"/>
        <v>7490.3009939999993</v>
      </c>
      <c r="R11" s="13">
        <f t="shared" si="11"/>
        <v>6797.153284</v>
      </c>
      <c r="S11" s="13">
        <f t="shared" si="11"/>
        <v>5590.5784480000002</v>
      </c>
      <c r="T11" s="13">
        <f t="shared" si="11"/>
        <v>9583.7573429999993</v>
      </c>
      <c r="U11" s="13">
        <f t="shared" si="11"/>
        <v>7716.0522430000001</v>
      </c>
      <c r="V11" s="13">
        <f t="shared" si="11"/>
        <v>9917.1044419999998</v>
      </c>
      <c r="W11" s="13">
        <f t="shared" si="11"/>
        <v>8992.2874549999997</v>
      </c>
      <c r="X11" s="13">
        <f t="shared" si="11"/>
        <v>9555.996819</v>
      </c>
      <c r="Y11" s="13">
        <f t="shared" si="11"/>
        <v>11359.330567999999</v>
      </c>
      <c r="Z11" s="13">
        <f t="shared" si="11"/>
        <v>10732.554169999999</v>
      </c>
      <c r="AA11" s="13">
        <f>SUM(AA8:AA10)</f>
        <v>12941.012317000001</v>
      </c>
      <c r="AB11" s="13">
        <f>SUM(AB8:AB10)</f>
        <v>15594.491344</v>
      </c>
      <c r="AC11" s="13">
        <f>SUM(AC8:AC10)</f>
        <v>13533.656815</v>
      </c>
      <c r="AD11" s="222">
        <f>SUM(AD8:AD10)</f>
        <v>13385</v>
      </c>
      <c r="AE11" s="222">
        <f>SUM(AE8:AE10)</f>
        <v>15650</v>
      </c>
      <c r="AF11" s="224"/>
      <c r="AG11" s="224"/>
      <c r="AI11" s="212">
        <v>15589</v>
      </c>
      <c r="AJ11" s="212">
        <v>13475</v>
      </c>
      <c r="AK11" s="212">
        <v>15793</v>
      </c>
      <c r="AL11" s="225"/>
    </row>
    <row r="12" spans="1:72">
      <c r="A12" s="3" t="s">
        <v>8</v>
      </c>
      <c r="B12" s="6">
        <f>B92</f>
        <v>1805.9407398384255</v>
      </c>
      <c r="C12" s="6">
        <f t="shared" ref="C12:Y12" si="12">C92</f>
        <v>1628.4376592943297</v>
      </c>
      <c r="D12" s="6">
        <f t="shared" si="12"/>
        <v>2212.8263465864993</v>
      </c>
      <c r="E12" s="6">
        <f t="shared" si="12"/>
        <v>1790.9062456125041</v>
      </c>
      <c r="F12" s="6">
        <f t="shared" si="12"/>
        <v>1440.3870942961553</v>
      </c>
      <c r="G12" s="6">
        <f t="shared" si="12"/>
        <v>1767.1415709907694</v>
      </c>
      <c r="H12" s="6">
        <f t="shared" si="12"/>
        <v>2968.8300692307685</v>
      </c>
      <c r="I12" s="6">
        <f t="shared" si="12"/>
        <v>3106.6091250181485</v>
      </c>
      <c r="J12" s="6">
        <f t="shared" si="12"/>
        <v>2443.404652237517</v>
      </c>
      <c r="K12" s="6">
        <f t="shared" si="12"/>
        <v>2958.4052579623767</v>
      </c>
      <c r="L12" s="6">
        <f t="shared" si="12"/>
        <v>3579.5781543634575</v>
      </c>
      <c r="M12" s="6">
        <f t="shared" si="12"/>
        <v>4078.9289674345346</v>
      </c>
      <c r="N12" s="6">
        <f t="shared" si="12"/>
        <v>5175.4095651148364</v>
      </c>
      <c r="O12" s="6">
        <f t="shared" si="12"/>
        <v>5584.8655830434436</v>
      </c>
      <c r="P12" s="6">
        <f t="shared" si="12"/>
        <v>4761.5305589070867</v>
      </c>
      <c r="Q12" s="6">
        <f t="shared" si="12"/>
        <v>5881.7459492404032</v>
      </c>
      <c r="R12" s="6">
        <f t="shared" si="12"/>
        <v>5596.8356430037247</v>
      </c>
      <c r="S12" s="6">
        <f t="shared" si="12"/>
        <v>4595.2327845991904</v>
      </c>
      <c r="T12" s="6">
        <f t="shared" si="12"/>
        <v>7990.8970184391874</v>
      </c>
      <c r="U12" s="6">
        <f t="shared" si="12"/>
        <v>6989.1998567703477</v>
      </c>
      <c r="V12" s="6">
        <f t="shared" si="12"/>
        <v>8735.344211209831</v>
      </c>
      <c r="W12" s="6">
        <f t="shared" si="12"/>
        <v>8118.611646929704</v>
      </c>
      <c r="X12" s="6">
        <f t="shared" si="12"/>
        <v>8517.2938043658742</v>
      </c>
      <c r="Y12" s="6">
        <f t="shared" si="12"/>
        <v>10444.243835996529</v>
      </c>
      <c r="Z12" s="6">
        <v>10150</v>
      </c>
      <c r="AA12" s="6">
        <v>11950</v>
      </c>
      <c r="AB12" s="6">
        <v>13800</v>
      </c>
      <c r="AC12" s="6">
        <v>13801</v>
      </c>
      <c r="AD12" s="224">
        <f>13300-1000</f>
        <v>12300</v>
      </c>
      <c r="AE12" s="224">
        <v>11500</v>
      </c>
      <c r="AF12" s="224"/>
      <c r="AG12" s="224"/>
      <c r="AI12" s="212">
        <v>13800</v>
      </c>
      <c r="AJ12" s="212">
        <v>12400</v>
      </c>
      <c r="AK12" s="212">
        <v>14100</v>
      </c>
      <c r="AL12" s="225"/>
      <c r="AN12" s="377"/>
    </row>
    <row r="13" spans="1:72">
      <c r="A13" s="3" t="s">
        <v>9</v>
      </c>
      <c r="B13" s="6">
        <v>450</v>
      </c>
      <c r="C13" s="6">
        <v>533</v>
      </c>
      <c r="D13" s="6">
        <f t="shared" ref="D13:AB13" si="13">D76</f>
        <v>1210</v>
      </c>
      <c r="E13" s="6">
        <f t="shared" si="13"/>
        <v>1252.0695310000003</v>
      </c>
      <c r="F13" s="6">
        <f t="shared" si="13"/>
        <v>939.63855700000011</v>
      </c>
      <c r="G13" s="6">
        <f t="shared" si="13"/>
        <v>898.01875799999982</v>
      </c>
      <c r="H13" s="6">
        <f t="shared" si="13"/>
        <v>833.1784899999999</v>
      </c>
      <c r="I13" s="6">
        <f t="shared" si="13"/>
        <v>729.3457420000002</v>
      </c>
      <c r="J13" s="6">
        <f t="shared" si="13"/>
        <v>17.930572999999999</v>
      </c>
      <c r="K13" s="6">
        <f t="shared" si="13"/>
        <v>185.55500000000001</v>
      </c>
      <c r="L13" s="6">
        <f t="shared" si="13"/>
        <v>310.63400000000001</v>
      </c>
      <c r="M13" s="6">
        <f t="shared" si="13"/>
        <v>41.771999999999998</v>
      </c>
      <c r="N13" s="6">
        <f t="shared" si="13"/>
        <v>389.46100000000001</v>
      </c>
      <c r="O13" s="6">
        <f t="shared" si="13"/>
        <v>158.63400000000001</v>
      </c>
      <c r="P13" s="6">
        <f t="shared" si="13"/>
        <v>36.422999999999995</v>
      </c>
      <c r="Q13" s="6">
        <f t="shared" si="13"/>
        <v>156.238</v>
      </c>
      <c r="R13" s="6">
        <f t="shared" si="13"/>
        <v>18.177999999999997</v>
      </c>
      <c r="S13" s="6">
        <f t="shared" si="13"/>
        <v>9.5660000000000007</v>
      </c>
      <c r="T13" s="6">
        <f t="shared" si="13"/>
        <v>331.16499999999996</v>
      </c>
      <c r="U13" s="6">
        <f t="shared" si="13"/>
        <v>38.927999999999997</v>
      </c>
      <c r="V13" s="6">
        <f t="shared" si="13"/>
        <v>133.845</v>
      </c>
      <c r="W13" s="6">
        <f t="shared" si="13"/>
        <v>59.745999999999995</v>
      </c>
      <c r="X13" s="6">
        <f t="shared" si="13"/>
        <v>102.11699999999999</v>
      </c>
      <c r="Y13" s="6">
        <f t="shared" si="13"/>
        <v>362.58714700000002</v>
      </c>
      <c r="Z13" s="6">
        <f t="shared" si="13"/>
        <v>91.707181999999989</v>
      </c>
      <c r="AA13" s="6">
        <f t="shared" si="13"/>
        <v>347.25731399999995</v>
      </c>
      <c r="AB13" s="6">
        <f t="shared" si="13"/>
        <v>1232.3505859999998</v>
      </c>
      <c r="AC13" s="6">
        <f>AC76</f>
        <v>581.37940800000013</v>
      </c>
      <c r="AD13" s="224">
        <f>150+100</f>
        <v>250</v>
      </c>
      <c r="AE13" s="224">
        <v>225</v>
      </c>
      <c r="AF13" s="224"/>
      <c r="AG13" s="224"/>
      <c r="AI13" s="212">
        <v>1253</v>
      </c>
      <c r="AJ13" s="223">
        <v>554</v>
      </c>
      <c r="AK13" s="223">
        <v>250</v>
      </c>
      <c r="AL13" s="225"/>
    </row>
    <row r="14" spans="1:72">
      <c r="A14" s="3" t="s">
        <v>10</v>
      </c>
      <c r="B14" s="6">
        <f>ROUND(C4*0.007,0)</f>
        <v>25</v>
      </c>
      <c r="C14" s="6">
        <f t="shared" ref="C14:AE14" si="14">ROUND(D4*0.007,0)</f>
        <v>30</v>
      </c>
      <c r="D14" s="6">
        <f t="shared" si="14"/>
        <v>27</v>
      </c>
      <c r="E14" s="6">
        <f t="shared" si="14"/>
        <v>26</v>
      </c>
      <c r="F14" s="6">
        <f t="shared" si="14"/>
        <v>28</v>
      </c>
      <c r="G14" s="6">
        <f t="shared" si="14"/>
        <v>38</v>
      </c>
      <c r="H14" s="6">
        <f t="shared" si="14"/>
        <v>33</v>
      </c>
      <c r="I14" s="6">
        <f t="shared" si="14"/>
        <v>27</v>
      </c>
      <c r="J14" s="6">
        <f t="shared" si="14"/>
        <v>29</v>
      </c>
      <c r="K14" s="6">
        <f t="shared" si="14"/>
        <v>39</v>
      </c>
      <c r="L14" s="6">
        <f t="shared" si="14"/>
        <v>35</v>
      </c>
      <c r="M14" s="6">
        <f t="shared" si="14"/>
        <v>40</v>
      </c>
      <c r="N14" s="6">
        <f t="shared" si="14"/>
        <v>45</v>
      </c>
      <c r="O14" s="6">
        <f t="shared" si="14"/>
        <v>38</v>
      </c>
      <c r="P14" s="6">
        <f t="shared" si="14"/>
        <v>45</v>
      </c>
      <c r="Q14" s="6">
        <f t="shared" si="14"/>
        <v>42</v>
      </c>
      <c r="R14" s="6">
        <f t="shared" si="14"/>
        <v>41</v>
      </c>
      <c r="S14" s="6">
        <f t="shared" si="14"/>
        <v>54</v>
      </c>
      <c r="T14" s="6">
        <f t="shared" si="14"/>
        <v>46</v>
      </c>
      <c r="U14" s="6">
        <f t="shared" si="14"/>
        <v>50</v>
      </c>
      <c r="V14" s="6">
        <f t="shared" si="14"/>
        <v>48</v>
      </c>
      <c r="W14" s="6">
        <f t="shared" si="14"/>
        <v>49</v>
      </c>
      <c r="X14" s="6">
        <f t="shared" si="14"/>
        <v>54</v>
      </c>
      <c r="Y14" s="6">
        <f t="shared" si="14"/>
        <v>52</v>
      </c>
      <c r="Z14" s="6">
        <f t="shared" si="14"/>
        <v>57</v>
      </c>
      <c r="AA14" s="6">
        <f t="shared" si="14"/>
        <v>60</v>
      </c>
      <c r="AB14" s="6">
        <f t="shared" si="14"/>
        <v>60</v>
      </c>
      <c r="AC14" s="6">
        <f t="shared" si="14"/>
        <v>60</v>
      </c>
      <c r="AD14" s="224">
        <f t="shared" si="14"/>
        <v>64</v>
      </c>
      <c r="AE14" s="224">
        <f t="shared" si="14"/>
        <v>63</v>
      </c>
      <c r="AF14" s="224"/>
      <c r="AG14" s="224"/>
      <c r="AK14" s="201" t="s">
        <v>218</v>
      </c>
    </row>
    <row r="15" spans="1:72">
      <c r="A15" s="3" t="s">
        <v>11</v>
      </c>
      <c r="B15" s="6">
        <f>B16-SUM(B12:B14)</f>
        <v>714.05926016157446</v>
      </c>
      <c r="C15" s="6">
        <f t="shared" ref="C15:AB15" si="15">C16-SUM(C12:C14)</f>
        <v>716.20234070566994</v>
      </c>
      <c r="D15" s="6">
        <f t="shared" si="15"/>
        <v>-651.82634658649931</v>
      </c>
      <c r="E15" s="6">
        <f t="shared" si="15"/>
        <v>260.77422338749557</v>
      </c>
      <c r="F15" s="6">
        <f t="shared" si="15"/>
        <v>655.27434870384423</v>
      </c>
      <c r="G15" s="6">
        <f t="shared" si="15"/>
        <v>520.23967100923073</v>
      </c>
      <c r="H15" s="6">
        <f t="shared" si="15"/>
        <v>515.94144076923158</v>
      </c>
      <c r="I15" s="6">
        <f t="shared" si="15"/>
        <v>-3.954867018148434</v>
      </c>
      <c r="J15" s="6">
        <f t="shared" si="15"/>
        <v>252.66477476248292</v>
      </c>
      <c r="K15" s="6">
        <f t="shared" si="15"/>
        <v>483.48897203762363</v>
      </c>
      <c r="L15" s="6">
        <f t="shared" si="15"/>
        <v>745.58886063654245</v>
      </c>
      <c r="M15" s="6">
        <f t="shared" si="15"/>
        <v>710.53393756546575</v>
      </c>
      <c r="N15" s="6">
        <f t="shared" si="15"/>
        <v>880.6955178851631</v>
      </c>
      <c r="O15" s="6">
        <f t="shared" si="15"/>
        <v>1011.807163956556</v>
      </c>
      <c r="P15" s="6">
        <f t="shared" si="15"/>
        <v>896.54167809291357</v>
      </c>
      <c r="Q15" s="6">
        <f t="shared" si="15"/>
        <v>910.31704475959577</v>
      </c>
      <c r="R15" s="6">
        <f t="shared" si="15"/>
        <v>893.13964099627538</v>
      </c>
      <c r="S15" s="6">
        <f t="shared" si="15"/>
        <v>782.77966340081002</v>
      </c>
      <c r="T15" s="6">
        <f t="shared" si="15"/>
        <v>1028.6953245608111</v>
      </c>
      <c r="U15" s="6">
        <f t="shared" si="15"/>
        <v>555.92438622965255</v>
      </c>
      <c r="V15" s="6">
        <f t="shared" si="15"/>
        <v>595.91523079016952</v>
      </c>
      <c r="W15" s="6">
        <f t="shared" si="15"/>
        <v>629.92980807029562</v>
      </c>
      <c r="X15" s="6">
        <f t="shared" si="15"/>
        <v>630.5860146341256</v>
      </c>
      <c r="Y15" s="6">
        <f t="shared" si="15"/>
        <v>176.4995850034702</v>
      </c>
      <c r="Z15" s="6">
        <f t="shared" si="15"/>
        <v>254.84698799999933</v>
      </c>
      <c r="AA15" s="6">
        <f t="shared" si="15"/>
        <v>350.75500300000022</v>
      </c>
      <c r="AB15" s="6">
        <f t="shared" si="15"/>
        <v>342.14075799999955</v>
      </c>
      <c r="AC15" s="6">
        <f t="shared" ref="AC15:AE15" si="16">AC16-SUM(AC12:AC14)</f>
        <v>-1008.7225930000004</v>
      </c>
      <c r="AD15" s="224">
        <f t="shared" si="16"/>
        <v>21</v>
      </c>
      <c r="AE15" s="224">
        <f t="shared" si="16"/>
        <v>2862</v>
      </c>
      <c r="AF15" s="224"/>
      <c r="AG15" s="224"/>
      <c r="AK15" s="201" t="s">
        <v>218</v>
      </c>
    </row>
    <row r="16" spans="1:72">
      <c r="A16" s="221" t="s">
        <v>12</v>
      </c>
      <c r="B16" s="13">
        <f t="shared" ref="B16:AE16" si="17">B11-B17</f>
        <v>2995</v>
      </c>
      <c r="C16" s="13">
        <f t="shared" si="17"/>
        <v>2907.64</v>
      </c>
      <c r="D16" s="13">
        <f t="shared" si="17"/>
        <v>2798</v>
      </c>
      <c r="E16" s="13">
        <f t="shared" si="17"/>
        <v>3329.75</v>
      </c>
      <c r="F16" s="13">
        <f t="shared" si="17"/>
        <v>3063.2999999999997</v>
      </c>
      <c r="G16" s="13">
        <f t="shared" si="17"/>
        <v>3223.4</v>
      </c>
      <c r="H16" s="13">
        <f t="shared" si="17"/>
        <v>4350.95</v>
      </c>
      <c r="I16" s="13">
        <f t="shared" si="17"/>
        <v>3859</v>
      </c>
      <c r="J16" s="13">
        <f t="shared" si="17"/>
        <v>2743</v>
      </c>
      <c r="K16" s="13">
        <f t="shared" si="17"/>
        <v>3666.4492300000002</v>
      </c>
      <c r="L16" s="13">
        <f t="shared" si="17"/>
        <v>4670.801015</v>
      </c>
      <c r="M16" s="13">
        <f t="shared" si="17"/>
        <v>4871.2349050000003</v>
      </c>
      <c r="N16" s="13">
        <f t="shared" si="17"/>
        <v>6490.5660829999997</v>
      </c>
      <c r="O16" s="13">
        <f t="shared" si="17"/>
        <v>6793.3067469999996</v>
      </c>
      <c r="P16" s="13">
        <f t="shared" si="17"/>
        <v>5739.4952370000001</v>
      </c>
      <c r="Q16" s="13">
        <f t="shared" si="17"/>
        <v>6990.3009939999993</v>
      </c>
      <c r="R16" s="13">
        <f t="shared" si="17"/>
        <v>6549.153284</v>
      </c>
      <c r="S16" s="13">
        <f t="shared" si="17"/>
        <v>5441.5784480000002</v>
      </c>
      <c r="T16" s="13">
        <f t="shared" si="17"/>
        <v>9396.7573429999993</v>
      </c>
      <c r="U16" s="13">
        <f t="shared" si="17"/>
        <v>7634.0522430000001</v>
      </c>
      <c r="V16" s="13">
        <f t="shared" si="17"/>
        <v>9513.1044419999998</v>
      </c>
      <c r="W16" s="13">
        <f t="shared" si="17"/>
        <v>8857.2874549999997</v>
      </c>
      <c r="X16" s="13">
        <f t="shared" si="17"/>
        <v>9303.996819</v>
      </c>
      <c r="Y16" s="13">
        <f t="shared" si="17"/>
        <v>11035.330567999999</v>
      </c>
      <c r="Z16" s="13">
        <f t="shared" si="17"/>
        <v>10553.554169999999</v>
      </c>
      <c r="AA16" s="13">
        <f t="shared" si="17"/>
        <v>12708.012317000001</v>
      </c>
      <c r="AB16" s="13">
        <f t="shared" si="17"/>
        <v>15434.491344</v>
      </c>
      <c r="AC16" s="13">
        <f t="shared" si="17"/>
        <v>13433.656815</v>
      </c>
      <c r="AD16" s="222">
        <f t="shared" si="17"/>
        <v>12635</v>
      </c>
      <c r="AE16" s="222">
        <f t="shared" si="17"/>
        <v>14650</v>
      </c>
      <c r="AF16" s="224"/>
      <c r="AG16" s="224"/>
    </row>
    <row r="17" spans="1:38">
      <c r="A17" s="3" t="s">
        <v>338</v>
      </c>
      <c r="B17" s="6">
        <v>95</v>
      </c>
      <c r="C17" s="6">
        <v>50</v>
      </c>
      <c r="D17" s="6">
        <v>357</v>
      </c>
      <c r="E17" s="6">
        <v>14</v>
      </c>
      <c r="F17" s="6">
        <v>23</v>
      </c>
      <c r="G17" s="6">
        <v>23</v>
      </c>
      <c r="H17" s="6">
        <v>44</v>
      </c>
      <c r="I17" s="6">
        <v>86</v>
      </c>
      <c r="J17" s="6">
        <v>44</v>
      </c>
      <c r="K17" s="6">
        <v>84</v>
      </c>
      <c r="L17" s="6">
        <v>322</v>
      </c>
      <c r="M17" s="6">
        <v>261</v>
      </c>
      <c r="N17" s="6">
        <v>284</v>
      </c>
      <c r="O17" s="6">
        <v>301</v>
      </c>
      <c r="P17" s="6">
        <v>274</v>
      </c>
      <c r="Q17" s="6">
        <v>500</v>
      </c>
      <c r="R17" s="6">
        <v>248</v>
      </c>
      <c r="S17" s="6">
        <v>149</v>
      </c>
      <c r="T17" s="6">
        <v>187</v>
      </c>
      <c r="U17" s="6">
        <v>82</v>
      </c>
      <c r="V17" s="6">
        <v>404</v>
      </c>
      <c r="W17" s="6">
        <v>135</v>
      </c>
      <c r="X17" s="6">
        <v>252</v>
      </c>
      <c r="Y17" s="6">
        <v>324</v>
      </c>
      <c r="Z17" s="6">
        <v>179</v>
      </c>
      <c r="AA17" s="6">
        <v>233</v>
      </c>
      <c r="AB17" s="6">
        <v>160</v>
      </c>
      <c r="AC17" s="6">
        <v>100</v>
      </c>
      <c r="AD17" s="224">
        <f>250+500</f>
        <v>750</v>
      </c>
      <c r="AE17" s="224">
        <v>1000</v>
      </c>
      <c r="AF17" s="224"/>
      <c r="AG17" s="224"/>
      <c r="AI17" s="223">
        <v>136</v>
      </c>
      <c r="AJ17" s="223">
        <v>171</v>
      </c>
      <c r="AK17" s="212">
        <v>1018</v>
      </c>
      <c r="AL17" s="225"/>
    </row>
    <row r="18" spans="1:38">
      <c r="A18" s="221" t="s">
        <v>221</v>
      </c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8"/>
      <c r="AD18" s="228"/>
      <c r="AE18" s="228"/>
      <c r="AF18" s="382"/>
      <c r="AG18" s="382"/>
    </row>
    <row r="19" spans="1:38" ht="15.75" thickBot="1">
      <c r="A19" s="3" t="s">
        <v>222</v>
      </c>
    </row>
    <row r="20" spans="1:38" ht="16.5">
      <c r="A20" s="229" t="s">
        <v>398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87"/>
      <c r="AG20" s="87"/>
    </row>
    <row r="21" spans="1:38">
      <c r="A21" s="3" t="s">
        <v>224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224"/>
      <c r="AD21" s="224"/>
      <c r="AE21" s="224"/>
      <c r="AF21" s="224"/>
      <c r="AG21" s="224"/>
    </row>
    <row r="22" spans="1:38">
      <c r="A22" s="221" t="s">
        <v>333</v>
      </c>
      <c r="B22" s="13">
        <v>0</v>
      </c>
      <c r="C22" s="13">
        <f>B29</f>
        <v>0</v>
      </c>
      <c r="D22" s="13">
        <f t="shared" ref="D22:AE22" si="18">C29</f>
        <v>50</v>
      </c>
      <c r="E22" s="13">
        <f t="shared" si="18"/>
        <v>140</v>
      </c>
      <c r="F22" s="13">
        <f t="shared" si="18"/>
        <v>0</v>
      </c>
      <c r="G22" s="13">
        <f t="shared" si="18"/>
        <v>0</v>
      </c>
      <c r="H22" s="13">
        <f t="shared" si="18"/>
        <v>0</v>
      </c>
      <c r="I22" s="13">
        <f t="shared" si="18"/>
        <v>0</v>
      </c>
      <c r="J22" s="13">
        <f t="shared" si="18"/>
        <v>0</v>
      </c>
      <c r="K22" s="13">
        <f t="shared" si="18"/>
        <v>0</v>
      </c>
      <c r="L22" s="13">
        <f t="shared" si="18"/>
        <v>0</v>
      </c>
      <c r="M22" s="13">
        <f t="shared" si="18"/>
        <v>0</v>
      </c>
      <c r="N22" s="13">
        <f t="shared" si="18"/>
        <v>0</v>
      </c>
      <c r="O22" s="13">
        <f t="shared" si="18"/>
        <v>0</v>
      </c>
      <c r="P22" s="13">
        <f t="shared" si="18"/>
        <v>14</v>
      </c>
      <c r="Q22" s="13">
        <f t="shared" si="18"/>
        <v>18</v>
      </c>
      <c r="R22" s="13">
        <f t="shared" si="18"/>
        <v>23</v>
      </c>
      <c r="S22" s="13">
        <f t="shared" si="18"/>
        <v>252</v>
      </c>
      <c r="T22" s="13">
        <f t="shared" si="18"/>
        <v>72</v>
      </c>
      <c r="U22" s="13">
        <f t="shared" si="18"/>
        <v>171</v>
      </c>
      <c r="V22" s="13">
        <f t="shared" si="18"/>
        <v>130</v>
      </c>
      <c r="W22" s="13">
        <f t="shared" si="18"/>
        <v>228</v>
      </c>
      <c r="X22" s="13">
        <f t="shared" si="18"/>
        <v>193</v>
      </c>
      <c r="Y22" s="13">
        <f t="shared" si="18"/>
        <v>249</v>
      </c>
      <c r="Z22" s="13">
        <f t="shared" si="18"/>
        <v>350</v>
      </c>
      <c r="AA22" s="13">
        <f t="shared" si="18"/>
        <v>303</v>
      </c>
      <c r="AB22" s="13">
        <f t="shared" si="18"/>
        <v>251</v>
      </c>
      <c r="AC22" s="13">
        <f t="shared" si="18"/>
        <v>215</v>
      </c>
      <c r="AD22" s="222">
        <f t="shared" si="18"/>
        <v>350</v>
      </c>
      <c r="AE22" s="222">
        <f t="shared" si="18"/>
        <v>350</v>
      </c>
      <c r="AF22" s="224"/>
      <c r="AG22" s="224"/>
      <c r="AI22" s="223">
        <v>399</v>
      </c>
      <c r="AJ22" s="223">
        <v>408</v>
      </c>
      <c r="AK22" s="223">
        <v>132</v>
      </c>
    </row>
    <row r="23" spans="1:38">
      <c r="A23" s="3" t="s">
        <v>5</v>
      </c>
      <c r="B23" s="6">
        <f>B108</f>
        <v>687.26078154962318</v>
      </c>
      <c r="C23" s="6">
        <f t="shared" ref="C23:Z23" si="19">C108</f>
        <v>619.30736827316662</v>
      </c>
      <c r="D23" s="6">
        <f t="shared" si="19"/>
        <v>846.64660217222593</v>
      </c>
      <c r="E23" s="6">
        <f t="shared" si="19"/>
        <v>664.11850887979142</v>
      </c>
      <c r="F23" s="6">
        <f t="shared" si="19"/>
        <v>545.73672516810871</v>
      </c>
      <c r="G23" s="6">
        <f t="shared" si="19"/>
        <v>665.05327940512825</v>
      </c>
      <c r="H23" s="6">
        <f t="shared" si="19"/>
        <v>1098.4671256153847</v>
      </c>
      <c r="I23" s="6">
        <f t="shared" si="19"/>
        <v>1172.3053301955276</v>
      </c>
      <c r="J23" s="6">
        <f t="shared" si="19"/>
        <v>934.86786694304999</v>
      </c>
      <c r="K23" s="6">
        <f t="shared" si="19"/>
        <v>1134.0553488855778</v>
      </c>
      <c r="L23" s="6">
        <f t="shared" si="19"/>
        <v>1392.0581711413445</v>
      </c>
      <c r="M23" s="6">
        <f t="shared" si="19"/>
        <v>1581.8285507855878</v>
      </c>
      <c r="N23" s="6">
        <f t="shared" si="19"/>
        <v>2040.3056939395028</v>
      </c>
      <c r="O23" s="6">
        <f t="shared" si="19"/>
        <v>2194.0543361956393</v>
      </c>
      <c r="P23" s="6">
        <f t="shared" si="19"/>
        <v>1904.6122235628347</v>
      </c>
      <c r="Q23" s="6">
        <f t="shared" si="19"/>
        <v>2352.6983796961613</v>
      </c>
      <c r="R23" s="6">
        <f t="shared" si="19"/>
        <v>2294.7026136315267</v>
      </c>
      <c r="S23" s="6">
        <f t="shared" si="19"/>
        <v>1884.0454416856678</v>
      </c>
      <c r="T23" s="6">
        <f t="shared" si="19"/>
        <v>3276.2677775600664</v>
      </c>
      <c r="U23" s="6">
        <f t="shared" si="19"/>
        <v>2865.5719412758422</v>
      </c>
      <c r="V23" s="6">
        <f t="shared" si="19"/>
        <v>3584.5033142550687</v>
      </c>
      <c r="W23" s="6">
        <f t="shared" si="19"/>
        <v>3332.1172955803518</v>
      </c>
      <c r="X23" s="6">
        <f t="shared" si="19"/>
        <v>3496.5732460028325</v>
      </c>
      <c r="Y23" s="6">
        <f t="shared" si="19"/>
        <v>4287.7994152312831</v>
      </c>
      <c r="Z23" s="6">
        <f t="shared" si="19"/>
        <v>4166.6262626262624</v>
      </c>
      <c r="AA23" s="6">
        <f>AA124*AA92</f>
        <v>5028.2151812917982</v>
      </c>
      <c r="AB23" s="6">
        <f>AB124*AB92</f>
        <v>5823.5465635791015</v>
      </c>
      <c r="AC23" s="6">
        <f>AC124*AC92</f>
        <v>5844.6124612090625</v>
      </c>
      <c r="AD23" s="224">
        <f>AD124*AD92</f>
        <v>5229.5213477973202</v>
      </c>
      <c r="AE23" s="224">
        <f>AE124*AE92</f>
        <v>4905.4462238168708</v>
      </c>
      <c r="AF23" s="224"/>
      <c r="AG23" s="224"/>
      <c r="AI23" s="212">
        <v>5672</v>
      </c>
      <c r="AJ23" s="212">
        <v>5096</v>
      </c>
      <c r="AK23" s="212">
        <v>5798</v>
      </c>
      <c r="AL23" s="225"/>
    </row>
    <row r="24" spans="1:38">
      <c r="A24" s="3" t="s">
        <v>6</v>
      </c>
      <c r="B24" s="6">
        <v>80</v>
      </c>
      <c r="C24" s="6">
        <v>40</v>
      </c>
      <c r="D24" s="6">
        <v>15</v>
      </c>
      <c r="E24" s="6">
        <v>32</v>
      </c>
      <c r="F24" s="6">
        <f t="shared" ref="F24:AC24" si="20">F140</f>
        <v>19.333000000000002</v>
      </c>
      <c r="G24" s="6">
        <f t="shared" si="20"/>
        <v>7.6269999999999998</v>
      </c>
      <c r="H24" s="6">
        <f t="shared" si="20"/>
        <v>6.383</v>
      </c>
      <c r="I24" s="6">
        <f t="shared" si="20"/>
        <v>18.294999999999998</v>
      </c>
      <c r="J24" s="6">
        <f t="shared" si="20"/>
        <v>64.587000000000003</v>
      </c>
      <c r="K24" s="6">
        <f t="shared" si="20"/>
        <v>17.657999999999998</v>
      </c>
      <c r="L24" s="6">
        <f t="shared" si="20"/>
        <v>48.436</v>
      </c>
      <c r="M24" s="6">
        <f t="shared" si="20"/>
        <v>37.423000000000002</v>
      </c>
      <c r="N24" s="6">
        <f t="shared" si="20"/>
        <v>36.377000000000002</v>
      </c>
      <c r="O24" s="6">
        <f t="shared" si="20"/>
        <v>27.184999999999995</v>
      </c>
      <c r="P24" s="6">
        <f t="shared" si="20"/>
        <v>14.760000000000002</v>
      </c>
      <c r="Q24" s="6">
        <f t="shared" si="20"/>
        <v>0.16400000000000001</v>
      </c>
      <c r="R24" s="6">
        <f t="shared" si="20"/>
        <v>2.1959999999999997</v>
      </c>
      <c r="S24" s="6">
        <f t="shared" si="20"/>
        <v>16.940999999999999</v>
      </c>
      <c r="T24" s="6">
        <f t="shared" si="20"/>
        <v>0</v>
      </c>
      <c r="U24" s="6">
        <f t="shared" si="20"/>
        <v>0.04</v>
      </c>
      <c r="V24" s="6">
        <f t="shared" si="20"/>
        <v>5.7289999999999992</v>
      </c>
      <c r="W24" s="6">
        <f t="shared" si="20"/>
        <v>3.742</v>
      </c>
      <c r="X24" s="6">
        <f t="shared" si="20"/>
        <v>6.5679999999999996</v>
      </c>
      <c r="Y24" s="6">
        <f t="shared" si="20"/>
        <v>11.41</v>
      </c>
      <c r="Z24" s="6">
        <f t="shared" si="20"/>
        <v>39.720999999999997</v>
      </c>
      <c r="AA24" s="6">
        <f t="shared" si="20"/>
        <v>10.673999999999999</v>
      </c>
      <c r="AB24" s="6">
        <f t="shared" si="20"/>
        <v>19.275000000000002</v>
      </c>
      <c r="AC24" s="6">
        <f t="shared" si="20"/>
        <v>21.319999999999997</v>
      </c>
      <c r="AD24" s="224">
        <v>5.4</v>
      </c>
      <c r="AE24" s="224">
        <v>26</v>
      </c>
      <c r="AF24" s="224"/>
      <c r="AG24" s="224"/>
      <c r="AI24" s="223">
        <v>20</v>
      </c>
      <c r="AJ24" s="223">
        <v>22</v>
      </c>
      <c r="AK24" s="223">
        <v>20</v>
      </c>
    </row>
    <row r="25" spans="1:38">
      <c r="A25" s="221" t="s">
        <v>7</v>
      </c>
      <c r="B25" s="13">
        <f>SUM(B22:B24)</f>
        <v>767.26078154962318</v>
      </c>
      <c r="C25" s="13">
        <f t="shared" ref="C25:AE25" si="21">SUM(C22:C24)</f>
        <v>659.30736827316662</v>
      </c>
      <c r="D25" s="13">
        <f t="shared" si="21"/>
        <v>911.64660217222593</v>
      </c>
      <c r="E25" s="13">
        <f t="shared" si="21"/>
        <v>836.11850887979142</v>
      </c>
      <c r="F25" s="13">
        <f t="shared" si="21"/>
        <v>565.06972516810868</v>
      </c>
      <c r="G25" s="13">
        <f t="shared" si="21"/>
        <v>672.6802794051282</v>
      </c>
      <c r="H25" s="13">
        <f t="shared" si="21"/>
        <v>1104.8501256153847</v>
      </c>
      <c r="I25" s="13">
        <f t="shared" si="21"/>
        <v>1190.6003301955277</v>
      </c>
      <c r="J25" s="13">
        <f t="shared" si="21"/>
        <v>999.45486694304998</v>
      </c>
      <c r="K25" s="13">
        <f t="shared" si="21"/>
        <v>1151.7133488855777</v>
      </c>
      <c r="L25" s="13">
        <f t="shared" si="21"/>
        <v>1440.4941711413444</v>
      </c>
      <c r="M25" s="13">
        <f t="shared" si="21"/>
        <v>1619.2515507855878</v>
      </c>
      <c r="N25" s="13">
        <f t="shared" si="21"/>
        <v>2076.6826939395028</v>
      </c>
      <c r="O25" s="13">
        <f t="shared" si="21"/>
        <v>2221.2393361956392</v>
      </c>
      <c r="P25" s="13">
        <f t="shared" si="21"/>
        <v>1933.3722235628347</v>
      </c>
      <c r="Q25" s="13">
        <f t="shared" si="21"/>
        <v>2370.8623796961615</v>
      </c>
      <c r="R25" s="13">
        <f t="shared" si="21"/>
        <v>2319.8986136315266</v>
      </c>
      <c r="S25" s="13">
        <f t="shared" si="21"/>
        <v>2152.9864416856676</v>
      </c>
      <c r="T25" s="13">
        <f t="shared" si="21"/>
        <v>3348.2677775600664</v>
      </c>
      <c r="U25" s="13">
        <f t="shared" si="21"/>
        <v>3036.6119412758421</v>
      </c>
      <c r="V25" s="13">
        <f t="shared" si="21"/>
        <v>3720.2323142550686</v>
      </c>
      <c r="W25" s="13">
        <f t="shared" si="21"/>
        <v>3563.859295580352</v>
      </c>
      <c r="X25" s="13">
        <f t="shared" si="21"/>
        <v>3696.1412460028328</v>
      </c>
      <c r="Y25" s="13">
        <f t="shared" si="21"/>
        <v>4548.2094152312829</v>
      </c>
      <c r="Z25" s="13">
        <f t="shared" si="21"/>
        <v>4556.3472626262619</v>
      </c>
      <c r="AA25" s="13">
        <f t="shared" si="21"/>
        <v>5341.8891812917982</v>
      </c>
      <c r="AB25" s="13">
        <f t="shared" si="21"/>
        <v>6093.8215635791012</v>
      </c>
      <c r="AC25" s="13">
        <f t="shared" si="21"/>
        <v>6080.9324612090622</v>
      </c>
      <c r="AD25" s="222">
        <f t="shared" si="21"/>
        <v>5584.9213477973199</v>
      </c>
      <c r="AE25" s="222">
        <f t="shared" si="21"/>
        <v>5281.4462238168708</v>
      </c>
      <c r="AF25" s="224"/>
      <c r="AG25" s="224"/>
      <c r="AI25" s="212">
        <v>6091</v>
      </c>
      <c r="AJ25" s="212">
        <v>5526</v>
      </c>
      <c r="AK25" s="212">
        <v>5950</v>
      </c>
      <c r="AL25" s="225"/>
    </row>
    <row r="26" spans="1:38">
      <c r="A26" s="3" t="s">
        <v>24</v>
      </c>
      <c r="B26" s="6">
        <f>B28-B27</f>
        <v>767.26078154962318</v>
      </c>
      <c r="C26" s="6">
        <f t="shared" ref="C26:AD26" si="22">C28-C27</f>
        <v>596.30736827316662</v>
      </c>
      <c r="D26" s="6">
        <f t="shared" si="22"/>
        <v>766.64660217222593</v>
      </c>
      <c r="E26" s="6">
        <f t="shared" si="22"/>
        <v>815.11850887979142</v>
      </c>
      <c r="F26" s="6">
        <f t="shared" si="22"/>
        <v>550.45966116810871</v>
      </c>
      <c r="G26" s="6">
        <f t="shared" si="22"/>
        <v>663.1351154051282</v>
      </c>
      <c r="H26" s="6">
        <f t="shared" si="22"/>
        <v>967.9890096153847</v>
      </c>
      <c r="I26" s="6">
        <f t="shared" si="22"/>
        <v>987.45936519552765</v>
      </c>
      <c r="J26" s="6">
        <f t="shared" si="22"/>
        <v>902.71354694305001</v>
      </c>
      <c r="K26" s="6">
        <f t="shared" si="22"/>
        <v>982.81365388557765</v>
      </c>
      <c r="L26" s="6">
        <f t="shared" si="22"/>
        <v>903.18033914134435</v>
      </c>
      <c r="M26" s="6">
        <f t="shared" si="22"/>
        <v>1124.9725327855879</v>
      </c>
      <c r="N26" s="6">
        <f t="shared" si="22"/>
        <v>1267.3396939395029</v>
      </c>
      <c r="O26" s="6">
        <f t="shared" si="22"/>
        <v>1320.700336195639</v>
      </c>
      <c r="P26" s="6">
        <f t="shared" si="22"/>
        <v>1270.2202235628347</v>
      </c>
      <c r="Q26" s="6">
        <f t="shared" si="22"/>
        <v>1376.1533796961612</v>
      </c>
      <c r="R26" s="6">
        <f t="shared" si="22"/>
        <v>1393.3956136315264</v>
      </c>
      <c r="S26" s="6">
        <f t="shared" si="22"/>
        <v>1508.4254416856675</v>
      </c>
      <c r="T26" s="6">
        <f t="shared" si="22"/>
        <v>1458.1557775600663</v>
      </c>
      <c r="U26" s="6">
        <f t="shared" si="22"/>
        <v>1526.6139412758419</v>
      </c>
      <c r="V26" s="6">
        <f t="shared" si="22"/>
        <v>1779.7893142550683</v>
      </c>
      <c r="W26" s="6">
        <f t="shared" si="22"/>
        <v>2073.2772955803521</v>
      </c>
      <c r="X26" s="6">
        <f t="shared" si="22"/>
        <v>2189.7312460028324</v>
      </c>
      <c r="Y26" s="6">
        <f t="shared" si="22"/>
        <v>2937.513415231283</v>
      </c>
      <c r="Z26" s="6">
        <f t="shared" si="22"/>
        <v>3066.2732626262623</v>
      </c>
      <c r="AA26" s="6">
        <f t="shared" si="22"/>
        <v>3495.4231812917983</v>
      </c>
      <c r="AB26" s="6">
        <f t="shared" si="22"/>
        <v>3885.1175635791014</v>
      </c>
      <c r="AC26" s="6">
        <f t="shared" si="22"/>
        <v>3986.6734612090622</v>
      </c>
      <c r="AD26" s="224">
        <f t="shared" si="22"/>
        <v>3734.9213477973199</v>
      </c>
      <c r="AE26" s="224">
        <f>AE28-AE27</f>
        <v>4756.4462238168708</v>
      </c>
      <c r="AF26" s="224"/>
      <c r="AG26" s="224"/>
      <c r="AI26" s="212">
        <v>3650</v>
      </c>
      <c r="AJ26" s="212">
        <v>3650</v>
      </c>
      <c r="AK26" s="212">
        <v>3850</v>
      </c>
      <c r="AL26" s="225"/>
    </row>
    <row r="27" spans="1:38">
      <c r="A27" s="3" t="s">
        <v>9</v>
      </c>
      <c r="B27" s="6">
        <v>0</v>
      </c>
      <c r="C27" s="6">
        <v>13</v>
      </c>
      <c r="D27" s="6">
        <v>5</v>
      </c>
      <c r="E27" s="6">
        <v>21</v>
      </c>
      <c r="F27" s="6">
        <f t="shared" ref="F27:AC27" si="23">F156</f>
        <v>14.610064000000001</v>
      </c>
      <c r="G27" s="6">
        <f t="shared" si="23"/>
        <v>9.5451639999999998</v>
      </c>
      <c r="H27" s="6">
        <f t="shared" si="23"/>
        <v>136.86111600000001</v>
      </c>
      <c r="I27" s="6">
        <f t="shared" si="23"/>
        <v>203.14096500000002</v>
      </c>
      <c r="J27" s="6">
        <f t="shared" si="23"/>
        <v>96.741320000000016</v>
      </c>
      <c r="K27" s="6">
        <f t="shared" si="23"/>
        <v>168.89969500000001</v>
      </c>
      <c r="L27" s="6">
        <f t="shared" si="23"/>
        <v>537.31383200000005</v>
      </c>
      <c r="M27" s="6">
        <f t="shared" si="23"/>
        <v>494.27901800000001</v>
      </c>
      <c r="N27" s="6">
        <f t="shared" si="23"/>
        <v>809.34299999999996</v>
      </c>
      <c r="O27" s="6">
        <f t="shared" si="23"/>
        <v>886.5390000000001</v>
      </c>
      <c r="P27" s="6">
        <f t="shared" si="23"/>
        <v>645.15199999999993</v>
      </c>
      <c r="Q27" s="6">
        <f t="shared" si="23"/>
        <v>971.70900000000017</v>
      </c>
      <c r="R27" s="6">
        <f t="shared" si="23"/>
        <v>674.50300000000004</v>
      </c>
      <c r="S27" s="6">
        <f t="shared" si="23"/>
        <v>572.56100000000004</v>
      </c>
      <c r="T27" s="6">
        <f t="shared" si="23"/>
        <v>1719.1120000000001</v>
      </c>
      <c r="U27" s="6">
        <f t="shared" si="23"/>
        <v>1379.9980000000003</v>
      </c>
      <c r="V27" s="6">
        <f t="shared" si="23"/>
        <v>1712.4430000000002</v>
      </c>
      <c r="W27" s="6">
        <f t="shared" si="23"/>
        <v>1297.5819999999999</v>
      </c>
      <c r="X27" s="6">
        <f t="shared" si="23"/>
        <v>1257.4100000000001</v>
      </c>
      <c r="Y27" s="6">
        <f t="shared" si="23"/>
        <v>1260.6959999999997</v>
      </c>
      <c r="Z27" s="6">
        <f t="shared" si="23"/>
        <v>1187.0739999999996</v>
      </c>
      <c r="AA27" s="6">
        <f t="shared" si="23"/>
        <v>1595.4659999999999</v>
      </c>
      <c r="AB27" s="6">
        <f t="shared" si="23"/>
        <v>1993.704</v>
      </c>
      <c r="AC27" s="6">
        <f t="shared" si="23"/>
        <v>1744.2589999999998</v>
      </c>
      <c r="AD27" s="224">
        <v>1500</v>
      </c>
      <c r="AE27" s="224">
        <v>400</v>
      </c>
      <c r="AF27" s="224"/>
      <c r="AG27" s="224"/>
      <c r="AI27" s="212">
        <v>2033</v>
      </c>
      <c r="AJ27" s="212">
        <v>1744</v>
      </c>
      <c r="AK27" s="212">
        <v>1750</v>
      </c>
      <c r="AL27" s="225"/>
    </row>
    <row r="28" spans="1:38">
      <c r="A28" s="221" t="s">
        <v>12</v>
      </c>
      <c r="B28" s="13">
        <f>B25-B29</f>
        <v>767.26078154962318</v>
      </c>
      <c r="C28" s="13">
        <f t="shared" ref="C28:AE28" si="24">C25-C29</f>
        <v>609.30736827316662</v>
      </c>
      <c r="D28" s="13">
        <f t="shared" si="24"/>
        <v>771.64660217222593</v>
      </c>
      <c r="E28" s="13">
        <f t="shared" si="24"/>
        <v>836.11850887979142</v>
      </c>
      <c r="F28" s="13">
        <f t="shared" si="24"/>
        <v>565.06972516810868</v>
      </c>
      <c r="G28" s="13">
        <f t="shared" si="24"/>
        <v>672.6802794051282</v>
      </c>
      <c r="H28" s="13">
        <f t="shared" si="24"/>
        <v>1104.8501256153847</v>
      </c>
      <c r="I28" s="13">
        <f t="shared" si="24"/>
        <v>1190.6003301955277</v>
      </c>
      <c r="J28" s="13">
        <f t="shared" si="24"/>
        <v>999.45486694304998</v>
      </c>
      <c r="K28" s="13">
        <f t="shared" si="24"/>
        <v>1151.7133488855777</v>
      </c>
      <c r="L28" s="13">
        <f t="shared" si="24"/>
        <v>1440.4941711413444</v>
      </c>
      <c r="M28" s="13">
        <f t="shared" si="24"/>
        <v>1619.2515507855878</v>
      </c>
      <c r="N28" s="13">
        <f t="shared" si="24"/>
        <v>2076.6826939395028</v>
      </c>
      <c r="O28" s="13">
        <f t="shared" si="24"/>
        <v>2207.2393361956392</v>
      </c>
      <c r="P28" s="13">
        <f t="shared" si="24"/>
        <v>1915.3722235628347</v>
      </c>
      <c r="Q28" s="13">
        <f t="shared" si="24"/>
        <v>2347.8623796961615</v>
      </c>
      <c r="R28" s="13">
        <f t="shared" si="24"/>
        <v>2067.8986136315266</v>
      </c>
      <c r="S28" s="13">
        <f t="shared" si="24"/>
        <v>2080.9864416856676</v>
      </c>
      <c r="T28" s="13">
        <f t="shared" si="24"/>
        <v>3177.2677775600664</v>
      </c>
      <c r="U28" s="13">
        <f t="shared" si="24"/>
        <v>2906.6119412758421</v>
      </c>
      <c r="V28" s="13">
        <f t="shared" si="24"/>
        <v>3492.2323142550686</v>
      </c>
      <c r="W28" s="13">
        <f t="shared" si="24"/>
        <v>3370.859295580352</v>
      </c>
      <c r="X28" s="13">
        <f t="shared" si="24"/>
        <v>3447.1412460028328</v>
      </c>
      <c r="Y28" s="13">
        <f t="shared" si="24"/>
        <v>4198.2094152312829</v>
      </c>
      <c r="Z28" s="13">
        <f t="shared" si="24"/>
        <v>4253.3472626262619</v>
      </c>
      <c r="AA28" s="13">
        <f t="shared" si="24"/>
        <v>5090.8891812917982</v>
      </c>
      <c r="AB28" s="13">
        <f t="shared" si="24"/>
        <v>5878.8215635791012</v>
      </c>
      <c r="AC28" s="13">
        <f t="shared" si="24"/>
        <v>5730.9324612090622</v>
      </c>
      <c r="AD28" s="222">
        <f t="shared" si="24"/>
        <v>5234.9213477973199</v>
      </c>
      <c r="AE28" s="222">
        <f t="shared" si="24"/>
        <v>5156.4462238168708</v>
      </c>
      <c r="AF28" s="224"/>
      <c r="AG28" s="224"/>
    </row>
    <row r="29" spans="1:38">
      <c r="A29" s="3" t="s">
        <v>338</v>
      </c>
      <c r="B29" s="6">
        <v>0</v>
      </c>
      <c r="C29" s="6">
        <v>50</v>
      </c>
      <c r="D29" s="6">
        <v>140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14</v>
      </c>
      <c r="P29" s="6">
        <v>18</v>
      </c>
      <c r="Q29" s="6">
        <v>23</v>
      </c>
      <c r="R29" s="6">
        <v>252</v>
      </c>
      <c r="S29" s="6">
        <v>72</v>
      </c>
      <c r="T29" s="6">
        <v>171</v>
      </c>
      <c r="U29" s="6">
        <v>130</v>
      </c>
      <c r="V29" s="6">
        <v>228</v>
      </c>
      <c r="W29" s="6">
        <v>193</v>
      </c>
      <c r="X29" s="6">
        <v>249</v>
      </c>
      <c r="Y29" s="6">
        <v>350</v>
      </c>
      <c r="Z29" s="6">
        <v>303</v>
      </c>
      <c r="AA29" s="6">
        <v>251</v>
      </c>
      <c r="AB29" s="6">
        <v>215</v>
      </c>
      <c r="AC29" s="224">
        <v>350</v>
      </c>
      <c r="AD29" s="224">
        <v>350</v>
      </c>
      <c r="AE29" s="224">
        <v>125</v>
      </c>
      <c r="AF29" s="224"/>
      <c r="AG29" s="224"/>
      <c r="AI29" s="223">
        <v>408</v>
      </c>
      <c r="AJ29" s="223">
        <v>132</v>
      </c>
      <c r="AK29" s="223">
        <v>350</v>
      </c>
    </row>
    <row r="30" spans="1:38" ht="15.75" thickBot="1">
      <c r="A30" s="3" t="s">
        <v>225</v>
      </c>
    </row>
    <row r="31" spans="1:38">
      <c r="A31" s="229" t="s">
        <v>399</v>
      </c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383"/>
      <c r="AG31" s="383"/>
    </row>
    <row r="32" spans="1:38">
      <c r="A32" s="221" t="s">
        <v>316</v>
      </c>
      <c r="B32" s="13">
        <v>30</v>
      </c>
      <c r="C32" s="13">
        <f>B42</f>
        <v>26</v>
      </c>
      <c r="D32" s="13">
        <f t="shared" ref="D32:AE32" si="25">C42</f>
        <v>30</v>
      </c>
      <c r="E32" s="13">
        <f t="shared" si="25"/>
        <v>236</v>
      </c>
      <c r="F32" s="13">
        <f t="shared" si="25"/>
        <v>136</v>
      </c>
      <c r="G32" s="13">
        <f t="shared" si="25"/>
        <v>80</v>
      </c>
      <c r="H32" s="13">
        <f t="shared" si="25"/>
        <v>30</v>
      </c>
      <c r="I32" s="13">
        <f t="shared" si="25"/>
        <v>80</v>
      </c>
      <c r="J32" s="13">
        <f t="shared" si="25"/>
        <v>31</v>
      </c>
      <c r="K32" s="13">
        <f t="shared" si="25"/>
        <v>23</v>
      </c>
      <c r="L32" s="13">
        <f t="shared" si="25"/>
        <v>31</v>
      </c>
      <c r="M32" s="13">
        <f t="shared" si="25"/>
        <v>42</v>
      </c>
      <c r="N32" s="13">
        <f t="shared" si="25"/>
        <v>53</v>
      </c>
      <c r="O32" s="13">
        <f t="shared" si="25"/>
        <v>89</v>
      </c>
      <c r="P32" s="13">
        <f t="shared" si="25"/>
        <v>121</v>
      </c>
      <c r="Q32" s="13">
        <f t="shared" si="25"/>
        <v>240</v>
      </c>
      <c r="R32" s="13">
        <f t="shared" si="25"/>
        <v>155</v>
      </c>
      <c r="S32" s="13">
        <f t="shared" si="25"/>
        <v>210</v>
      </c>
      <c r="T32" s="13">
        <f t="shared" si="25"/>
        <v>169</v>
      </c>
      <c r="U32" s="13">
        <f t="shared" si="25"/>
        <v>150</v>
      </c>
      <c r="V32" s="13">
        <f t="shared" si="25"/>
        <v>171</v>
      </c>
      <c r="W32" s="13">
        <f t="shared" si="25"/>
        <v>86</v>
      </c>
      <c r="X32" s="13">
        <f t="shared" si="25"/>
        <v>49</v>
      </c>
      <c r="Y32" s="13">
        <f t="shared" si="25"/>
        <v>112</v>
      </c>
      <c r="Z32" s="13">
        <f t="shared" si="25"/>
        <v>220</v>
      </c>
      <c r="AA32" s="13">
        <f t="shared" si="25"/>
        <v>109</v>
      </c>
      <c r="AB32" s="13">
        <f t="shared" si="25"/>
        <v>253</v>
      </c>
      <c r="AC32" s="13">
        <f t="shared" si="25"/>
        <v>382</v>
      </c>
      <c r="AD32" s="222">
        <f t="shared" si="25"/>
        <v>550</v>
      </c>
      <c r="AE32" s="222">
        <f t="shared" si="25"/>
        <v>793.30000000000018</v>
      </c>
      <c r="AF32" s="224"/>
      <c r="AG32" s="224"/>
      <c r="AI32" s="223">
        <v>327</v>
      </c>
      <c r="AJ32" s="223">
        <v>223</v>
      </c>
      <c r="AK32" s="223">
        <v>154</v>
      </c>
    </row>
    <row r="33" spans="1:39">
      <c r="A33" s="3" t="s">
        <v>5</v>
      </c>
      <c r="B33" s="6">
        <f>B219</f>
        <v>720.00000000000011</v>
      </c>
      <c r="C33" s="6">
        <f>C219</f>
        <v>649.99999999999989</v>
      </c>
      <c r="D33" s="6">
        <f t="shared" ref="D33:AB33" si="26">D219</f>
        <v>920</v>
      </c>
      <c r="E33" s="6">
        <f t="shared" si="26"/>
        <v>649.99999999999966</v>
      </c>
      <c r="F33" s="6">
        <f t="shared" si="26"/>
        <v>623.89013199999999</v>
      </c>
      <c r="G33" s="6">
        <f t="shared" si="26"/>
        <v>705.51401500000009</v>
      </c>
      <c r="H33" s="6">
        <f t="shared" si="26"/>
        <v>1265.8276019999998</v>
      </c>
      <c r="I33" s="6">
        <f t="shared" si="26"/>
        <v>1286.897858</v>
      </c>
      <c r="J33" s="6">
        <f t="shared" si="26"/>
        <v>993.96987900000011</v>
      </c>
      <c r="K33" s="6">
        <f t="shared" si="26"/>
        <v>1230.5043039999998</v>
      </c>
      <c r="L33" s="6">
        <f t="shared" si="26"/>
        <v>1501.5796729999997</v>
      </c>
      <c r="M33" s="6">
        <f t="shared" si="26"/>
        <v>1692.3516309999998</v>
      </c>
      <c r="N33" s="6">
        <f t="shared" si="26"/>
        <v>2164.9163899999999</v>
      </c>
      <c r="O33" s="6">
        <f t="shared" si="26"/>
        <v>2294.943581</v>
      </c>
      <c r="P33" s="6">
        <f t="shared" si="26"/>
        <v>1997.4067910000001</v>
      </c>
      <c r="Q33" s="6">
        <f t="shared" si="26"/>
        <v>2390.3601959999996</v>
      </c>
      <c r="R33" s="6">
        <f t="shared" si="26"/>
        <v>2341.023373</v>
      </c>
      <c r="S33" s="6">
        <f t="shared" si="26"/>
        <v>1912.5008330000001</v>
      </c>
      <c r="T33" s="6">
        <f t="shared" si="26"/>
        <v>3300.4241869999992</v>
      </c>
      <c r="U33" s="6">
        <f t="shared" si="26"/>
        <v>2937.358894</v>
      </c>
      <c r="V33" s="6">
        <f t="shared" si="26"/>
        <v>3605.5442330000001</v>
      </c>
      <c r="W33" s="6">
        <f t="shared" si="26"/>
        <v>3325.7743730000002</v>
      </c>
      <c r="X33" s="6">
        <f t="shared" si="26"/>
        <v>3601.2294830000001</v>
      </c>
      <c r="Y33" s="6">
        <f t="shared" si="26"/>
        <v>4375.4427390000001</v>
      </c>
      <c r="Z33" s="6">
        <f t="shared" si="26"/>
        <v>4157.1361720697496</v>
      </c>
      <c r="AA33" s="6">
        <f t="shared" si="26"/>
        <v>5008.1625216555103</v>
      </c>
      <c r="AB33" s="6">
        <f t="shared" si="26"/>
        <v>5696.6596688489244</v>
      </c>
      <c r="AC33" s="6">
        <v>5141</v>
      </c>
      <c r="AD33" s="224">
        <v>5493</v>
      </c>
      <c r="AE33" s="224">
        <v>5493</v>
      </c>
      <c r="AF33" s="224"/>
      <c r="AG33" s="224"/>
      <c r="AI33" s="212">
        <v>5700</v>
      </c>
      <c r="AJ33" s="212">
        <v>5121</v>
      </c>
      <c r="AK33" s="212">
        <v>5823</v>
      </c>
      <c r="AL33" s="225"/>
    </row>
    <row r="34" spans="1:39">
      <c r="A34" s="3" t="s">
        <v>6</v>
      </c>
      <c r="B34" s="6">
        <v>146</v>
      </c>
      <c r="C34" s="6">
        <v>206</v>
      </c>
      <c r="D34" s="6">
        <v>220</v>
      </c>
      <c r="E34" s="6">
        <v>240</v>
      </c>
      <c r="F34" s="6">
        <f>F267</f>
        <v>303.274</v>
      </c>
      <c r="G34" s="6">
        <f>G267</f>
        <v>276.03499999999997</v>
      </c>
      <c r="H34" s="6">
        <f>H267</f>
        <v>167.679</v>
      </c>
      <c r="I34" s="6">
        <f>I267</f>
        <v>40.008000000000003</v>
      </c>
      <c r="J34" s="6">
        <f t="shared" ref="J34:AC34" si="27">J267</f>
        <v>134.02267000000001</v>
      </c>
      <c r="K34" s="6">
        <f t="shared" si="27"/>
        <v>193.37106600000001</v>
      </c>
      <c r="L34" s="6">
        <f t="shared" si="27"/>
        <v>165.06340799999998</v>
      </c>
      <c r="M34" s="6">
        <f t="shared" si="27"/>
        <v>136.764884</v>
      </c>
      <c r="N34" s="6">
        <f t="shared" si="27"/>
        <v>105.09961</v>
      </c>
      <c r="O34" s="6">
        <f t="shared" si="27"/>
        <v>123.535419</v>
      </c>
      <c r="P34" s="6">
        <f t="shared" si="27"/>
        <v>134.14420899999999</v>
      </c>
      <c r="Q34" s="6">
        <f t="shared" si="27"/>
        <v>40.396804000000003</v>
      </c>
      <c r="R34" s="6">
        <f t="shared" si="27"/>
        <v>66.870626999999999</v>
      </c>
      <c r="S34" s="6">
        <f t="shared" si="27"/>
        <v>151.369167</v>
      </c>
      <c r="T34" s="6">
        <f t="shared" si="27"/>
        <v>18.604813</v>
      </c>
      <c r="U34" s="6">
        <f t="shared" si="27"/>
        <v>17.553106</v>
      </c>
      <c r="V34" s="6">
        <f t="shared" si="27"/>
        <v>12.410766999999998</v>
      </c>
      <c r="W34" s="6">
        <f t="shared" si="27"/>
        <v>3.1076269999999999</v>
      </c>
      <c r="X34" s="6">
        <f t="shared" si="27"/>
        <v>3.6935169999999999</v>
      </c>
      <c r="Y34" s="6">
        <f t="shared" si="27"/>
        <v>19.028290000000002</v>
      </c>
      <c r="Z34" s="6">
        <f t="shared" si="27"/>
        <v>28.935632999999999</v>
      </c>
      <c r="AA34" s="6">
        <f t="shared" si="27"/>
        <v>8.2992650000000001</v>
      </c>
      <c r="AB34" s="6">
        <f t="shared" si="27"/>
        <v>1.0423849999999999</v>
      </c>
      <c r="AC34" s="6">
        <f t="shared" si="27"/>
        <v>1.316589</v>
      </c>
      <c r="AD34" s="224">
        <v>0.3</v>
      </c>
      <c r="AE34" s="224">
        <v>0</v>
      </c>
      <c r="AF34" s="224"/>
      <c r="AG34" s="224"/>
      <c r="AH34" s="108"/>
      <c r="AI34" s="223">
        <v>1</v>
      </c>
      <c r="AJ34" s="223">
        <v>1</v>
      </c>
      <c r="AK34" s="223">
        <v>1</v>
      </c>
      <c r="AL34" s="209"/>
      <c r="AM34" s="108"/>
    </row>
    <row r="35" spans="1:39">
      <c r="A35" s="221" t="s">
        <v>7</v>
      </c>
      <c r="B35" s="13">
        <f>SUM(B32:B34)</f>
        <v>896.00000000000011</v>
      </c>
      <c r="C35" s="13">
        <f t="shared" ref="C35:AE35" si="28">SUM(C32:C34)</f>
        <v>881.99999999999989</v>
      </c>
      <c r="D35" s="13">
        <f t="shared" si="28"/>
        <v>1170</v>
      </c>
      <c r="E35" s="13">
        <f t="shared" si="28"/>
        <v>1125.9999999999995</v>
      </c>
      <c r="F35" s="13">
        <f t="shared" si="28"/>
        <v>1063.1641319999999</v>
      </c>
      <c r="G35" s="13">
        <f t="shared" si="28"/>
        <v>1061.5490150000001</v>
      </c>
      <c r="H35" s="13">
        <f t="shared" si="28"/>
        <v>1463.5066019999999</v>
      </c>
      <c r="I35" s="13">
        <f t="shared" si="28"/>
        <v>1406.9058580000001</v>
      </c>
      <c r="J35" s="13">
        <f t="shared" si="28"/>
        <v>1158.9925490000003</v>
      </c>
      <c r="K35" s="13">
        <f t="shared" si="28"/>
        <v>1446.8753699999997</v>
      </c>
      <c r="L35" s="13">
        <f t="shared" si="28"/>
        <v>1697.6430809999997</v>
      </c>
      <c r="M35" s="13">
        <f t="shared" si="28"/>
        <v>1871.1165149999997</v>
      </c>
      <c r="N35" s="13">
        <f t="shared" si="28"/>
        <v>2323.0160000000001</v>
      </c>
      <c r="O35" s="13">
        <f t="shared" si="28"/>
        <v>2507.4789999999998</v>
      </c>
      <c r="P35" s="13">
        <f t="shared" si="28"/>
        <v>2252.5510000000004</v>
      </c>
      <c r="Q35" s="13">
        <f t="shared" si="28"/>
        <v>2670.7569999999996</v>
      </c>
      <c r="R35" s="13">
        <f t="shared" si="28"/>
        <v>2562.8939999999998</v>
      </c>
      <c r="S35" s="13">
        <f t="shared" si="28"/>
        <v>2273.87</v>
      </c>
      <c r="T35" s="13">
        <f t="shared" si="28"/>
        <v>3488.0289999999991</v>
      </c>
      <c r="U35" s="13">
        <f t="shared" si="28"/>
        <v>3104.9119999999998</v>
      </c>
      <c r="V35" s="13">
        <f t="shared" si="28"/>
        <v>3788.9549999999999</v>
      </c>
      <c r="W35" s="13">
        <f t="shared" si="28"/>
        <v>3414.8820000000001</v>
      </c>
      <c r="X35" s="13">
        <f t="shared" si="28"/>
        <v>3653.9230000000002</v>
      </c>
      <c r="Y35" s="13">
        <f t="shared" si="28"/>
        <v>4506.4710290000003</v>
      </c>
      <c r="Z35" s="13">
        <f t="shared" si="28"/>
        <v>4406.0718050697496</v>
      </c>
      <c r="AA35" s="13">
        <f t="shared" si="28"/>
        <v>5125.46178665551</v>
      </c>
      <c r="AB35" s="13">
        <f t="shared" si="28"/>
        <v>5950.7020538489242</v>
      </c>
      <c r="AC35" s="13">
        <f t="shared" si="28"/>
        <v>5524.316589</v>
      </c>
      <c r="AD35" s="222">
        <f t="shared" si="28"/>
        <v>6043.3</v>
      </c>
      <c r="AE35" s="222">
        <f t="shared" si="28"/>
        <v>6286.3</v>
      </c>
      <c r="AF35" s="224"/>
      <c r="AG35" s="224"/>
      <c r="AI35" s="212">
        <v>6028</v>
      </c>
      <c r="AJ35" s="212">
        <v>5345</v>
      </c>
      <c r="AK35" s="212">
        <v>5978</v>
      </c>
      <c r="AL35" s="225"/>
    </row>
    <row r="36" spans="1:39">
      <c r="A36" s="3" t="s">
        <v>24</v>
      </c>
      <c r="B36" s="6">
        <f>B39+B37+B38</f>
        <v>830</v>
      </c>
      <c r="C36" s="6">
        <f t="shared" ref="C36:AB36" si="29">C39+C37+C38</f>
        <v>831</v>
      </c>
      <c r="D36" s="6">
        <f t="shared" si="29"/>
        <v>909</v>
      </c>
      <c r="E36" s="6">
        <f t="shared" si="29"/>
        <v>955</v>
      </c>
      <c r="F36" s="6">
        <f t="shared" si="29"/>
        <v>960</v>
      </c>
      <c r="G36" s="6">
        <f t="shared" si="29"/>
        <v>1005</v>
      </c>
      <c r="H36" s="6">
        <f t="shared" si="29"/>
        <v>1185</v>
      </c>
      <c r="I36" s="6">
        <f t="shared" si="29"/>
        <v>1250</v>
      </c>
      <c r="J36" s="6">
        <f t="shared" si="29"/>
        <v>1095</v>
      </c>
      <c r="K36" s="6">
        <f t="shared" si="29"/>
        <v>1320</v>
      </c>
      <c r="L36" s="6">
        <f t="shared" si="29"/>
        <v>1519</v>
      </c>
      <c r="M36" s="6">
        <f t="shared" si="29"/>
        <v>1590</v>
      </c>
      <c r="N36" s="6">
        <f t="shared" si="29"/>
        <v>1606</v>
      </c>
      <c r="O36" s="6">
        <f t="shared" si="29"/>
        <v>1685</v>
      </c>
      <c r="P36" s="6">
        <f t="shared" si="29"/>
        <v>1685</v>
      </c>
      <c r="Q36" s="6">
        <f t="shared" si="29"/>
        <v>1715</v>
      </c>
      <c r="R36" s="6">
        <f t="shared" si="29"/>
        <v>1850</v>
      </c>
      <c r="S36" s="6">
        <f t="shared" si="29"/>
        <v>1910</v>
      </c>
      <c r="T36" s="6">
        <f t="shared" si="29"/>
        <v>1910</v>
      </c>
      <c r="U36" s="6">
        <f t="shared" si="29"/>
        <v>1880</v>
      </c>
      <c r="V36" s="6">
        <f t="shared" si="29"/>
        <v>1890</v>
      </c>
      <c r="W36" s="6">
        <f t="shared" si="29"/>
        <v>1950</v>
      </c>
      <c r="X36" s="6">
        <f t="shared" si="29"/>
        <v>1930</v>
      </c>
      <c r="Y36" s="6">
        <f t="shared" si="29"/>
        <v>2063</v>
      </c>
      <c r="Z36" s="6">
        <f t="shared" si="29"/>
        <v>2023</v>
      </c>
      <c r="AA36" s="6">
        <f t="shared" si="29"/>
        <v>2150</v>
      </c>
      <c r="AB36" s="6">
        <f t="shared" si="29"/>
        <v>2085</v>
      </c>
      <c r="AC36" s="6">
        <f>AC39+AC37+AC38</f>
        <v>2180</v>
      </c>
      <c r="AD36" s="224">
        <f t="shared" ref="AD36:AE36" si="30">AD39+AD37+AD38</f>
        <v>2000</v>
      </c>
      <c r="AE36" s="224">
        <f t="shared" si="30"/>
        <v>2625</v>
      </c>
      <c r="AF36" s="224"/>
      <c r="AG36" s="224"/>
      <c r="AI36" s="212">
        <v>1975</v>
      </c>
      <c r="AJ36" s="212">
        <v>1945</v>
      </c>
      <c r="AK36" s="212">
        <v>2060</v>
      </c>
      <c r="AL36" s="225"/>
    </row>
    <row r="37" spans="1:39">
      <c r="A37" s="3" t="s">
        <v>30</v>
      </c>
      <c r="B37" s="6">
        <v>60</v>
      </c>
      <c r="C37" s="6">
        <v>60</v>
      </c>
      <c r="D37" s="6">
        <v>50</v>
      </c>
      <c r="E37" s="6">
        <v>50</v>
      </c>
      <c r="F37" s="6">
        <v>50</v>
      </c>
      <c r="G37" s="6">
        <v>65</v>
      </c>
      <c r="H37" s="6">
        <v>195</v>
      </c>
      <c r="I37" s="6">
        <v>270</v>
      </c>
      <c r="J37" s="6">
        <v>215</v>
      </c>
      <c r="K37" s="6">
        <v>250</v>
      </c>
      <c r="L37" s="6">
        <v>315</v>
      </c>
      <c r="M37" s="6">
        <v>315</v>
      </c>
      <c r="N37" s="6">
        <v>316</v>
      </c>
      <c r="O37" s="6">
        <v>350</v>
      </c>
      <c r="P37" s="6">
        <v>350</v>
      </c>
      <c r="Q37" s="6">
        <v>330</v>
      </c>
      <c r="R37" s="6">
        <v>320</v>
      </c>
      <c r="S37" s="6">
        <v>330</v>
      </c>
      <c r="T37" s="6">
        <v>330</v>
      </c>
      <c r="U37" s="6">
        <v>350</v>
      </c>
      <c r="V37" s="6">
        <v>360</v>
      </c>
      <c r="W37" s="6">
        <v>370</v>
      </c>
      <c r="X37" s="6">
        <v>370</v>
      </c>
      <c r="Y37" s="6">
        <v>378</v>
      </c>
      <c r="Z37" s="6">
        <v>383</v>
      </c>
      <c r="AA37" s="6">
        <v>385</v>
      </c>
      <c r="AB37" s="6">
        <v>385</v>
      </c>
      <c r="AC37" s="6">
        <v>385</v>
      </c>
      <c r="AD37" s="224">
        <v>450</v>
      </c>
      <c r="AE37" s="224">
        <v>550</v>
      </c>
      <c r="AF37" s="224"/>
      <c r="AG37" s="224"/>
      <c r="AI37" s="223">
        <v>375</v>
      </c>
      <c r="AJ37" s="223">
        <v>400</v>
      </c>
      <c r="AK37" s="223">
        <v>450</v>
      </c>
    </row>
    <row r="38" spans="1:39">
      <c r="A38" s="3" t="s">
        <v>31</v>
      </c>
      <c r="B38" s="6">
        <v>0</v>
      </c>
      <c r="C38" s="6">
        <v>0</v>
      </c>
      <c r="D38" s="6">
        <v>9</v>
      </c>
      <c r="E38" s="6">
        <v>10</v>
      </c>
      <c r="F38" s="6">
        <v>10</v>
      </c>
      <c r="G38" s="6">
        <v>10</v>
      </c>
      <c r="H38" s="6">
        <v>10</v>
      </c>
      <c r="I38" s="6">
        <v>30</v>
      </c>
      <c r="J38" s="6">
        <v>10</v>
      </c>
      <c r="K38" s="6">
        <v>20</v>
      </c>
      <c r="L38" s="6">
        <v>24</v>
      </c>
      <c r="M38" s="6">
        <v>35</v>
      </c>
      <c r="N38" s="6">
        <v>20</v>
      </c>
      <c r="O38" s="6">
        <v>35</v>
      </c>
      <c r="P38" s="6">
        <v>35</v>
      </c>
      <c r="Q38" s="6">
        <v>35</v>
      </c>
      <c r="R38" s="6">
        <v>30</v>
      </c>
      <c r="S38" s="6">
        <v>30</v>
      </c>
      <c r="T38" s="6">
        <v>30</v>
      </c>
      <c r="U38" s="6">
        <v>30</v>
      </c>
      <c r="V38" s="6">
        <v>30</v>
      </c>
      <c r="W38" s="6">
        <v>30</v>
      </c>
      <c r="X38" s="6">
        <v>30</v>
      </c>
      <c r="Y38" s="6">
        <v>35</v>
      </c>
      <c r="Z38" s="6">
        <v>40</v>
      </c>
      <c r="AA38" s="6">
        <v>40</v>
      </c>
      <c r="AB38" s="6">
        <v>50</v>
      </c>
      <c r="AC38" s="6">
        <v>45</v>
      </c>
      <c r="AD38" s="224">
        <v>50</v>
      </c>
      <c r="AE38" s="224">
        <v>75</v>
      </c>
      <c r="AF38" s="224"/>
      <c r="AG38" s="224"/>
      <c r="AI38" s="223">
        <v>50</v>
      </c>
      <c r="AJ38" s="223">
        <v>45</v>
      </c>
      <c r="AK38" s="223">
        <v>50</v>
      </c>
    </row>
    <row r="39" spans="1:39">
      <c r="A39" s="3" t="s">
        <v>32</v>
      </c>
      <c r="B39" s="6">
        <v>770</v>
      </c>
      <c r="C39" s="6">
        <v>771</v>
      </c>
      <c r="D39" s="6">
        <v>850</v>
      </c>
      <c r="E39" s="6">
        <v>895</v>
      </c>
      <c r="F39" s="6">
        <v>900</v>
      </c>
      <c r="G39" s="6">
        <v>930</v>
      </c>
      <c r="H39" s="6">
        <v>980</v>
      </c>
      <c r="I39" s="6">
        <v>950</v>
      </c>
      <c r="J39" s="6">
        <v>870</v>
      </c>
      <c r="K39" s="6">
        <v>1050</v>
      </c>
      <c r="L39" s="6">
        <v>1180</v>
      </c>
      <c r="M39" s="6">
        <v>1240</v>
      </c>
      <c r="N39" s="6">
        <v>1270</v>
      </c>
      <c r="O39" s="6">
        <v>1300</v>
      </c>
      <c r="P39" s="6">
        <v>1300</v>
      </c>
      <c r="Q39" s="6">
        <v>1350</v>
      </c>
      <c r="R39" s="6">
        <v>1500</v>
      </c>
      <c r="S39" s="6">
        <v>1550</v>
      </c>
      <c r="T39" s="6">
        <v>1550</v>
      </c>
      <c r="U39" s="6">
        <v>1500</v>
      </c>
      <c r="V39" s="6">
        <v>1500</v>
      </c>
      <c r="W39" s="6">
        <v>1550</v>
      </c>
      <c r="X39" s="6">
        <v>1530</v>
      </c>
      <c r="Y39" s="6">
        <v>1650</v>
      </c>
      <c r="Z39" s="6">
        <v>1600</v>
      </c>
      <c r="AA39" s="6">
        <v>1725</v>
      </c>
      <c r="AB39" s="6">
        <v>1650</v>
      </c>
      <c r="AC39" s="6">
        <v>1750</v>
      </c>
      <c r="AD39" s="224">
        <v>1500</v>
      </c>
      <c r="AE39" s="224">
        <v>2000</v>
      </c>
      <c r="AF39" s="224"/>
      <c r="AG39" s="224"/>
      <c r="AI39" s="212">
        <v>1550</v>
      </c>
      <c r="AJ39" s="212">
        <v>1500</v>
      </c>
      <c r="AK39" s="212">
        <v>1560</v>
      </c>
      <c r="AL39" s="225"/>
    </row>
    <row r="40" spans="1:39">
      <c r="A40" s="3" t="s">
        <v>9</v>
      </c>
      <c r="B40" s="6">
        <v>40</v>
      </c>
      <c r="C40" s="6">
        <v>21</v>
      </c>
      <c r="D40" s="6">
        <v>25</v>
      </c>
      <c r="E40" s="6">
        <v>35</v>
      </c>
      <c r="F40" s="6">
        <f t="shared" ref="F40:AC40" si="31">F283</f>
        <v>23.164131999999999</v>
      </c>
      <c r="G40" s="6">
        <f t="shared" si="31"/>
        <v>26.549014999999997</v>
      </c>
      <c r="H40" s="6">
        <f t="shared" si="31"/>
        <v>198.50660199999999</v>
      </c>
      <c r="I40" s="6">
        <f t="shared" si="31"/>
        <v>125.90585799999999</v>
      </c>
      <c r="J40" s="6">
        <f t="shared" si="31"/>
        <v>40.992549000000004</v>
      </c>
      <c r="K40" s="6">
        <f t="shared" si="31"/>
        <v>95.875370000000032</v>
      </c>
      <c r="L40" s="6">
        <f t="shared" si="31"/>
        <v>136.64308099999997</v>
      </c>
      <c r="M40" s="6">
        <f t="shared" si="31"/>
        <v>228.11651499999994</v>
      </c>
      <c r="N40" s="6">
        <f t="shared" si="31"/>
        <v>628.01599999999996</v>
      </c>
      <c r="O40" s="6">
        <f t="shared" si="31"/>
        <v>701.47900000000004</v>
      </c>
      <c r="P40" s="6">
        <f t="shared" si="31"/>
        <v>327.55100000000004</v>
      </c>
      <c r="Q40" s="6">
        <f t="shared" si="31"/>
        <v>800.75700000000006</v>
      </c>
      <c r="R40" s="6">
        <f t="shared" si="31"/>
        <v>502.89400000000001</v>
      </c>
      <c r="S40" s="6">
        <f t="shared" si="31"/>
        <v>194.87</v>
      </c>
      <c r="T40" s="6">
        <f t="shared" si="31"/>
        <v>1428.029</v>
      </c>
      <c r="U40" s="6">
        <f t="shared" si="31"/>
        <v>1053.912</v>
      </c>
      <c r="V40" s="6">
        <f t="shared" si="31"/>
        <v>1812.9549999999999</v>
      </c>
      <c r="W40" s="6">
        <f t="shared" si="31"/>
        <v>1415.8820000000001</v>
      </c>
      <c r="X40" s="6">
        <f t="shared" si="31"/>
        <v>1611.9230000000002</v>
      </c>
      <c r="Y40" s="6">
        <f t="shared" si="31"/>
        <v>2223.4710290000003</v>
      </c>
      <c r="Z40" s="6">
        <f t="shared" si="31"/>
        <v>2257.504508</v>
      </c>
      <c r="AA40" s="6">
        <f t="shared" si="31"/>
        <v>2769.9686479999996</v>
      </c>
      <c r="AB40" s="6">
        <f t="shared" si="31"/>
        <v>3347.9009639999999</v>
      </c>
      <c r="AC40" s="6">
        <f t="shared" si="31"/>
        <v>3124.5777589999993</v>
      </c>
      <c r="AD40" s="224">
        <v>3250</v>
      </c>
      <c r="AE40" s="224">
        <v>3250</v>
      </c>
      <c r="AF40" s="224"/>
      <c r="AG40" s="224"/>
      <c r="AI40" s="212">
        <v>3830</v>
      </c>
      <c r="AJ40" s="212">
        <v>3246</v>
      </c>
      <c r="AK40" s="212">
        <v>3200</v>
      </c>
      <c r="AL40" s="225"/>
    </row>
    <row r="41" spans="1:39">
      <c r="A41" s="221" t="s">
        <v>12</v>
      </c>
      <c r="B41" s="13">
        <f>B35-B42</f>
        <v>870.00000000000011</v>
      </c>
      <c r="C41" s="13">
        <f t="shared" ref="C41:AB41" si="32">C35-C42</f>
        <v>851.99999999999989</v>
      </c>
      <c r="D41" s="13">
        <f t="shared" si="32"/>
        <v>934</v>
      </c>
      <c r="E41" s="13">
        <f t="shared" si="32"/>
        <v>989.99999999999955</v>
      </c>
      <c r="F41" s="13">
        <f t="shared" si="32"/>
        <v>983.16413199999988</v>
      </c>
      <c r="G41" s="13">
        <f t="shared" si="32"/>
        <v>1031.5490150000001</v>
      </c>
      <c r="H41" s="13">
        <f t="shared" si="32"/>
        <v>1383.5066019999999</v>
      </c>
      <c r="I41" s="13">
        <f t="shared" si="32"/>
        <v>1375.9058580000001</v>
      </c>
      <c r="J41" s="13">
        <f t="shared" si="32"/>
        <v>1135.9925490000003</v>
      </c>
      <c r="K41" s="13">
        <f t="shared" si="32"/>
        <v>1415.8753699999997</v>
      </c>
      <c r="L41" s="13">
        <f t="shared" si="32"/>
        <v>1655.6430809999997</v>
      </c>
      <c r="M41" s="13">
        <f t="shared" si="32"/>
        <v>1818.1165149999997</v>
      </c>
      <c r="N41" s="13">
        <f t="shared" si="32"/>
        <v>2234.0160000000001</v>
      </c>
      <c r="O41" s="13">
        <f t="shared" si="32"/>
        <v>2386.4789999999998</v>
      </c>
      <c r="P41" s="13">
        <f t="shared" si="32"/>
        <v>2012.5510000000004</v>
      </c>
      <c r="Q41" s="13">
        <f t="shared" si="32"/>
        <v>2515.7569999999996</v>
      </c>
      <c r="R41" s="13">
        <f t="shared" si="32"/>
        <v>2352.8939999999998</v>
      </c>
      <c r="S41" s="13">
        <f t="shared" si="32"/>
        <v>2104.87</v>
      </c>
      <c r="T41" s="13">
        <f t="shared" si="32"/>
        <v>3338.0289999999991</v>
      </c>
      <c r="U41" s="13">
        <f t="shared" si="32"/>
        <v>2933.9119999999998</v>
      </c>
      <c r="V41" s="13">
        <f t="shared" si="32"/>
        <v>3702.9549999999999</v>
      </c>
      <c r="W41" s="13">
        <f t="shared" si="32"/>
        <v>3365.8820000000001</v>
      </c>
      <c r="X41" s="13">
        <f t="shared" si="32"/>
        <v>3541.9230000000002</v>
      </c>
      <c r="Y41" s="13">
        <f>Y35-Y42</f>
        <v>4286.4710290000003</v>
      </c>
      <c r="Z41" s="13">
        <f t="shared" si="32"/>
        <v>4297.0718050697496</v>
      </c>
      <c r="AA41" s="13">
        <f t="shared" si="32"/>
        <v>4872.46178665551</v>
      </c>
      <c r="AB41" s="13">
        <f t="shared" si="32"/>
        <v>5568.7020538489242</v>
      </c>
      <c r="AC41" s="13">
        <f>AC35-AC42</f>
        <v>4974.316589</v>
      </c>
      <c r="AD41" s="222">
        <f>AD40+AD36</f>
        <v>5250</v>
      </c>
      <c r="AE41" s="222">
        <f>AE40+AE36</f>
        <v>5875</v>
      </c>
      <c r="AF41" s="224"/>
      <c r="AG41" s="224"/>
    </row>
    <row r="42" spans="1:39">
      <c r="A42" s="3" t="s">
        <v>317</v>
      </c>
      <c r="B42" s="6">
        <v>26</v>
      </c>
      <c r="C42" s="6">
        <v>30</v>
      </c>
      <c r="D42" s="6">
        <v>236</v>
      </c>
      <c r="E42" s="6">
        <v>136</v>
      </c>
      <c r="F42" s="6">
        <v>80</v>
      </c>
      <c r="G42" s="6">
        <v>30</v>
      </c>
      <c r="H42" s="6">
        <v>80</v>
      </c>
      <c r="I42" s="6">
        <v>31</v>
      </c>
      <c r="J42" s="6">
        <v>23</v>
      </c>
      <c r="K42" s="6">
        <v>31</v>
      </c>
      <c r="L42" s="6">
        <v>42</v>
      </c>
      <c r="M42" s="6">
        <v>53</v>
      </c>
      <c r="N42" s="6">
        <v>89</v>
      </c>
      <c r="O42" s="6">
        <v>121</v>
      </c>
      <c r="P42" s="6">
        <v>240</v>
      </c>
      <c r="Q42" s="6">
        <v>155</v>
      </c>
      <c r="R42" s="6">
        <v>210</v>
      </c>
      <c r="S42" s="6">
        <v>169</v>
      </c>
      <c r="T42" s="6">
        <v>150</v>
      </c>
      <c r="U42" s="6">
        <v>171</v>
      </c>
      <c r="V42" s="6">
        <v>86</v>
      </c>
      <c r="W42" s="6">
        <v>49</v>
      </c>
      <c r="X42" s="6">
        <v>112</v>
      </c>
      <c r="Y42" s="6">
        <v>220</v>
      </c>
      <c r="Z42" s="6">
        <v>109</v>
      </c>
      <c r="AA42" s="6">
        <v>253</v>
      </c>
      <c r="AB42" s="6">
        <v>382</v>
      </c>
      <c r="AC42" s="6">
        <v>550</v>
      </c>
      <c r="AD42" s="224">
        <f>AD35-AD41</f>
        <v>793.30000000000018</v>
      </c>
      <c r="AE42" s="224">
        <f>AE35-AE41</f>
        <v>411.30000000000018</v>
      </c>
      <c r="AF42" s="224"/>
      <c r="AG42" s="224"/>
      <c r="AI42" s="223">
        <v>223</v>
      </c>
      <c r="AJ42" s="223">
        <v>154</v>
      </c>
      <c r="AK42" s="223">
        <v>718</v>
      </c>
    </row>
    <row r="43" spans="1:39" ht="15.75" thickBot="1">
      <c r="A43" s="3" t="s">
        <v>225</v>
      </c>
      <c r="Y43" s="108"/>
      <c r="Z43" s="108"/>
      <c r="AC43" s="108"/>
    </row>
    <row r="44" spans="1:39">
      <c r="A44" s="25" t="s">
        <v>319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4"/>
      <c r="AG44" s="234"/>
    </row>
    <row r="45" spans="1:39">
      <c r="A45" s="234"/>
      <c r="B45" s="234">
        <v>1993</v>
      </c>
      <c r="C45" s="234">
        <v>1994</v>
      </c>
      <c r="D45" s="234">
        <v>1995</v>
      </c>
      <c r="E45" s="234">
        <v>1996</v>
      </c>
      <c r="F45" s="234">
        <v>1997</v>
      </c>
      <c r="G45" s="234">
        <v>1998</v>
      </c>
      <c r="H45" s="234">
        <v>1999</v>
      </c>
      <c r="I45" s="234">
        <v>2000</v>
      </c>
      <c r="J45" s="234">
        <v>2001</v>
      </c>
      <c r="K45" s="234">
        <v>2002</v>
      </c>
      <c r="L45" s="234">
        <v>2003</v>
      </c>
      <c r="M45" s="234">
        <v>2004</v>
      </c>
      <c r="N45" s="234">
        <v>2005</v>
      </c>
      <c r="O45" s="234">
        <v>2006</v>
      </c>
      <c r="P45" s="234">
        <v>2007</v>
      </c>
      <c r="Q45" s="234">
        <v>2008</v>
      </c>
      <c r="R45" s="234">
        <v>2009</v>
      </c>
      <c r="S45" s="234">
        <v>2010</v>
      </c>
      <c r="T45" s="234">
        <v>2011</v>
      </c>
      <c r="U45" s="234">
        <v>2012</v>
      </c>
      <c r="V45" s="234">
        <v>2013</v>
      </c>
      <c r="W45" s="234">
        <v>2014</v>
      </c>
      <c r="X45" s="234">
        <v>2015</v>
      </c>
      <c r="Y45" s="234">
        <v>2016</v>
      </c>
      <c r="Z45" s="234">
        <v>2017</v>
      </c>
      <c r="AA45" s="234">
        <v>2018</v>
      </c>
      <c r="AB45" s="234">
        <v>2019</v>
      </c>
      <c r="AC45" s="234">
        <v>2020</v>
      </c>
      <c r="AD45" s="234">
        <v>2021</v>
      </c>
      <c r="AE45" s="234">
        <v>2022</v>
      </c>
      <c r="AF45" s="234">
        <v>2023</v>
      </c>
      <c r="AG45" s="234"/>
    </row>
    <row r="46" spans="1:39" ht="15.75" thickBot="1">
      <c r="A46" s="235" t="s">
        <v>228</v>
      </c>
      <c r="B46" s="353"/>
      <c r="C46" s="353"/>
      <c r="D46" s="353"/>
      <c r="E46" s="353"/>
      <c r="F46" s="353"/>
      <c r="G46" s="353"/>
      <c r="H46" s="353">
        <f>H15/H11</f>
        <v>0.11739415482980048</v>
      </c>
      <c r="I46" s="353">
        <f>I15/I11</f>
        <v>-1.0025011452847741E-3</v>
      </c>
      <c r="J46" s="353">
        <f>J15/J11</f>
        <v>9.0658333248110123E-2</v>
      </c>
      <c r="K46" s="353">
        <f t="shared" ref="K46:AB46" si="33">K15/K11</f>
        <v>0.12891494921999613</v>
      </c>
      <c r="L46" s="353">
        <f t="shared" si="33"/>
        <v>0.14933278101741904</v>
      </c>
      <c r="M46" s="353">
        <f t="shared" si="33"/>
        <v>0.13844532659119696</v>
      </c>
      <c r="N46" s="353">
        <f t="shared" si="33"/>
        <v>0.13000028446030926</v>
      </c>
      <c r="O46" s="353">
        <f t="shared" si="33"/>
        <v>0.14262241541563217</v>
      </c>
      <c r="P46" s="353">
        <f t="shared" si="33"/>
        <v>0.14908828273059022</v>
      </c>
      <c r="Q46" s="353">
        <f t="shared" si="33"/>
        <v>0.12153277224624118</v>
      </c>
      <c r="R46" s="353">
        <f t="shared" si="33"/>
        <v>0.13139907306469908</v>
      </c>
      <c r="S46" s="353">
        <f t="shared" si="33"/>
        <v>0.14001765124695553</v>
      </c>
      <c r="T46" s="353">
        <f t="shared" si="33"/>
        <v>0.10733737173679306</v>
      </c>
      <c r="U46" s="353">
        <f t="shared" si="33"/>
        <v>7.2047773747771993E-2</v>
      </c>
      <c r="V46" s="353">
        <f t="shared" si="33"/>
        <v>6.0089639498642836E-2</v>
      </c>
      <c r="W46" s="353">
        <f t="shared" si="33"/>
        <v>7.0052232118095206E-2</v>
      </c>
      <c r="X46" s="353">
        <f t="shared" si="33"/>
        <v>6.5988512405146874E-2</v>
      </c>
      <c r="Y46" s="353">
        <f t="shared" si="33"/>
        <v>1.5537850927648979E-2</v>
      </c>
      <c r="Z46" s="353">
        <f t="shared" si="33"/>
        <v>2.3745231932987238E-2</v>
      </c>
      <c r="AA46" s="353">
        <f t="shared" si="33"/>
        <v>2.7104139491408243E-2</v>
      </c>
      <c r="AB46" s="353">
        <f t="shared" si="33"/>
        <v>2.1939847248152702E-2</v>
      </c>
      <c r="AC46" s="353">
        <f>AC15/AC11</f>
        <v>-7.4534370627898944E-2</v>
      </c>
      <c r="AD46" s="353">
        <f>AD15/AD11</f>
        <v>1.5689204333208817E-3</v>
      </c>
      <c r="AE46" s="353">
        <f>AE15/AE11</f>
        <v>0.18287539936102237</v>
      </c>
    </row>
    <row r="47" spans="1:39" ht="15.75" thickBot="1">
      <c r="A47" s="236"/>
      <c r="B47" s="237" t="str">
        <f>B$2</f>
        <v xml:space="preserve">93/94 </v>
      </c>
      <c r="C47" s="237" t="str">
        <f t="shared" ref="C47:AE47" si="34">C$2</f>
        <v xml:space="preserve">94/95 </v>
      </c>
      <c r="D47" s="237" t="str">
        <f t="shared" si="34"/>
        <v xml:space="preserve">95/96 </v>
      </c>
      <c r="E47" s="237" t="str">
        <f t="shared" si="34"/>
        <v xml:space="preserve">96/97 </v>
      </c>
      <c r="F47" s="237" t="str">
        <f t="shared" si="34"/>
        <v xml:space="preserve">97/98 </v>
      </c>
      <c r="G47" s="237" t="str">
        <f t="shared" si="34"/>
        <v xml:space="preserve">98/99 </v>
      </c>
      <c r="H47" s="237" t="str">
        <f t="shared" si="34"/>
        <v xml:space="preserve">99/00 </v>
      </c>
      <c r="I47" s="237" t="str">
        <f t="shared" si="34"/>
        <v xml:space="preserve">00/01 </v>
      </c>
      <c r="J47" s="237" t="str">
        <f t="shared" si="34"/>
        <v xml:space="preserve">01/02 </v>
      </c>
      <c r="K47" s="237" t="str">
        <f t="shared" si="34"/>
        <v xml:space="preserve">02/03 </v>
      </c>
      <c r="L47" s="237" t="str">
        <f t="shared" si="34"/>
        <v xml:space="preserve">03/04 </v>
      </c>
      <c r="M47" s="237" t="str">
        <f t="shared" si="34"/>
        <v xml:space="preserve">04/05 </v>
      </c>
      <c r="N47" s="237" t="str">
        <f t="shared" si="34"/>
        <v xml:space="preserve">05/06 </v>
      </c>
      <c r="O47" s="237" t="str">
        <f t="shared" si="34"/>
        <v xml:space="preserve">06/07 </v>
      </c>
      <c r="P47" s="237" t="str">
        <f t="shared" si="34"/>
        <v xml:space="preserve">07/08 </v>
      </c>
      <c r="Q47" s="237" t="str">
        <f t="shared" si="34"/>
        <v xml:space="preserve">08/09 </v>
      </c>
      <c r="R47" s="237" t="str">
        <f t="shared" si="34"/>
        <v xml:space="preserve">09/10 </v>
      </c>
      <c r="S47" s="237" t="str">
        <f t="shared" si="34"/>
        <v xml:space="preserve">10/11 </v>
      </c>
      <c r="T47" s="237" t="str">
        <f t="shared" si="34"/>
        <v xml:space="preserve">11/12 </v>
      </c>
      <c r="U47" s="237" t="str">
        <f t="shared" si="34"/>
        <v xml:space="preserve">12/13 </v>
      </c>
      <c r="V47" s="237" t="str">
        <f t="shared" si="34"/>
        <v xml:space="preserve">13/14 </v>
      </c>
      <c r="W47" s="237" t="str">
        <f t="shared" si="34"/>
        <v xml:space="preserve">14/15 </v>
      </c>
      <c r="X47" s="237" t="str">
        <f t="shared" si="34"/>
        <v xml:space="preserve">15/16 </v>
      </c>
      <c r="Y47" s="237" t="str">
        <f t="shared" si="34"/>
        <v xml:space="preserve">16/17 </v>
      </c>
      <c r="Z47" s="237" t="str">
        <f t="shared" si="34"/>
        <v xml:space="preserve">17/18 </v>
      </c>
      <c r="AA47" s="237" t="str">
        <f t="shared" si="34"/>
        <v xml:space="preserve">18/19 </v>
      </c>
      <c r="AB47" s="237" t="str">
        <f t="shared" si="34"/>
        <v xml:space="preserve">19/20 </v>
      </c>
      <c r="AC47" s="237" t="str">
        <f t="shared" si="34"/>
        <v xml:space="preserve">20/21 </v>
      </c>
      <c r="AD47" s="237" t="str">
        <f t="shared" si="34"/>
        <v xml:space="preserve">21/22 </v>
      </c>
      <c r="AE47" s="237" t="str">
        <f t="shared" si="34"/>
        <v xml:space="preserve">22/23 </v>
      </c>
    </row>
    <row r="48" spans="1:39">
      <c r="A48" s="240" t="s">
        <v>238</v>
      </c>
      <c r="B48" s="241">
        <f t="shared" ref="B48:B59" si="35">(SUM(K48:O48)/SUM(K$60:O$60))*B$60</f>
        <v>0.96653793368367191</v>
      </c>
      <c r="C48" s="241">
        <f t="shared" ref="C48:C59" si="36">(SUM(L48:P48)/SUM(L$60:P$60))*C$60</f>
        <v>0.22652792117650306</v>
      </c>
      <c r="D48" s="241">
        <f t="shared" ref="D48:D59" si="37">(SUM(M48:Q48)/SUM(M$60:Q$60))*D$60</f>
        <v>9.6484219150246769E-2</v>
      </c>
      <c r="E48" s="241">
        <v>0.90157627118644079</v>
      </c>
      <c r="F48" s="242">
        <f>'[2]Russia Sunflower Imports'!CA$290</f>
        <v>0.56599999999999995</v>
      </c>
      <c r="G48" s="242">
        <f>'[2]Russia Sunflower Imports'!CM$290</f>
        <v>9.2999999999999999E-2</v>
      </c>
      <c r="H48" s="242">
        <f>'[2]Russia Sunflower Imports'!CY$290</f>
        <v>0.29399999999999998</v>
      </c>
      <c r="I48" s="242">
        <f>'[2]Russia Sunflower Imports'!DK$290</f>
        <v>0.54900000000000004</v>
      </c>
      <c r="J48" s="242">
        <f>'[2]Russia Sunflower Imports'!DW$290</f>
        <v>0</v>
      </c>
      <c r="K48" s="242">
        <f>'[2]Russia Sunflower Imports'!EI$290</f>
        <v>0.35505500000000001</v>
      </c>
      <c r="L48" s="242">
        <f>'[2]Russia Sunflower Imports'!EU$290</f>
        <v>0.27768700000000002</v>
      </c>
      <c r="M48" s="242">
        <f>'[2]Russia Sunflower Imports'!FG$290</f>
        <v>0.40237299999999998</v>
      </c>
      <c r="N48" s="242">
        <f>'[2]Russia Sunflower Imports'!FS$290</f>
        <v>0.38399499999999998</v>
      </c>
      <c r="O48" s="242">
        <f>'[2]Russia Sunflower Imports'!GE$290</f>
        <v>0.171102</v>
      </c>
      <c r="P48" s="242">
        <f>'[2]Russia Sunflower Imports'!GQ$290</f>
        <v>1.9897999999999999E-2</v>
      </c>
      <c r="Q48" s="242">
        <f>'[2]Russia Sunflower Imports'!HC$290</f>
        <v>0.14482</v>
      </c>
      <c r="R48" s="242">
        <f>'[2]Russia Sunflower Imports'!HO$290</f>
        <v>0.281134</v>
      </c>
      <c r="S48" s="242">
        <f>'[2]Russia Sunflower Imports'!IA$290</f>
        <v>0.74098399999999998</v>
      </c>
      <c r="T48" s="242">
        <f>'[2]Russia Sunflower Imports'!IM$290</f>
        <v>0.47430600000000001</v>
      </c>
      <c r="U48" s="242">
        <f>'[2]Russia Sunflower Imports'!IY$290</f>
        <v>0.50981100000000001</v>
      </c>
      <c r="V48" s="242">
        <f>'[2]Russia Sunflower Imports'!JK$290</f>
        <v>0.77020200000000005</v>
      </c>
      <c r="W48" s="242">
        <f>'[2]Russia Sunflower Imports'!JW$290</f>
        <v>0.55018500000000004</v>
      </c>
      <c r="X48" s="242">
        <f>'[2]Russia Sunflower Imports'!KI$290</f>
        <v>13.235067000000001</v>
      </c>
      <c r="Y48" s="242">
        <f>'[2]Russia Sunflower Imports'!KU$290</f>
        <v>3.2671770000000002</v>
      </c>
      <c r="Z48" s="242">
        <f>'[2]Russia Sunflower Imports'!LG$290</f>
        <v>2.2263250000000001</v>
      </c>
      <c r="AA48" s="242">
        <f>'[2]Russia Sunflower Imports'!LS$290</f>
        <v>0.31849300000000003</v>
      </c>
      <c r="AB48" s="242">
        <f>'[2]Russia Sunflower Imports'!ME$290</f>
        <v>0.41223900000000002</v>
      </c>
      <c r="AC48" s="242">
        <f>'[2]Russia Sunflower Imports'!MQ$290</f>
        <v>1.7367250000000001</v>
      </c>
      <c r="AD48" s="242">
        <f>'[2]Russia Sunflower Imports'!NC$290</f>
        <v>5.7469999999999999</v>
      </c>
      <c r="AE48" s="243">
        <f t="shared" ref="AE48:AE58" si="38">(SUM(Y48:AC48)/SUM(Y$60:AC$60))*AE$60</f>
        <v>0</v>
      </c>
      <c r="AH48" s="244"/>
      <c r="AI48" s="384"/>
      <c r="AJ48" s="384"/>
      <c r="AK48" s="384"/>
      <c r="AL48" s="384"/>
      <c r="AM48" s="244"/>
    </row>
    <row r="49" spans="1:39">
      <c r="A49" s="240" t="s">
        <v>239</v>
      </c>
      <c r="B49" s="241">
        <f t="shared" si="35"/>
        <v>1.4812571341047589</v>
      </c>
      <c r="C49" s="241">
        <f t="shared" si="36"/>
        <v>0.36803885612058929</v>
      </c>
      <c r="D49" s="241">
        <f t="shared" si="37"/>
        <v>0.15380386954176092</v>
      </c>
      <c r="E49" s="241">
        <v>1.1347144389615966</v>
      </c>
      <c r="F49" s="242">
        <f>'[2]Russia Sunflower Imports'!CB$290</f>
        <v>0.88500000000000001</v>
      </c>
      <c r="G49" s="242">
        <f>'[2]Russia Sunflower Imports'!CN$290</f>
        <v>0.17599999999999999</v>
      </c>
      <c r="H49" s="242">
        <f>'[2]Russia Sunflower Imports'!CZ$290</f>
        <v>0.47199999999999998</v>
      </c>
      <c r="I49" s="242">
        <f>'[2]Russia Sunflower Imports'!DL$290</f>
        <v>0.34300000000000003</v>
      </c>
      <c r="J49" s="242">
        <f>'[2]Russia Sunflower Imports'!DX$290</f>
        <v>0</v>
      </c>
      <c r="K49" s="242">
        <f>'[2]Russia Sunflower Imports'!EJ$290</f>
        <v>0.50495800000000002</v>
      </c>
      <c r="L49" s="242">
        <f>'[2]Russia Sunflower Imports'!EV$290</f>
        <v>0.496863</v>
      </c>
      <c r="M49" s="242">
        <f>'[2]Russia Sunflower Imports'!FH$290</f>
        <v>0.38823200000000002</v>
      </c>
      <c r="N49" s="242">
        <f>'[2]Russia Sunflower Imports'!FT$290</f>
        <v>0.59249499999999999</v>
      </c>
      <c r="O49" s="242">
        <f>'[2]Russia Sunflower Imports'!GF$290</f>
        <v>0.45451399999999997</v>
      </c>
      <c r="P49" s="242">
        <f>'[2]Russia Sunflower Imports'!GR$290</f>
        <v>0.106978</v>
      </c>
      <c r="Q49" s="242">
        <f>'[2]Russia Sunflower Imports'!HD$290</f>
        <v>0.246642</v>
      </c>
      <c r="R49" s="242">
        <f>'[2]Russia Sunflower Imports'!HP$290</f>
        <v>0.71696599999999999</v>
      </c>
      <c r="S49" s="242">
        <f>'[2]Russia Sunflower Imports'!IB$290</f>
        <v>1.3048580000000001</v>
      </c>
      <c r="T49" s="242">
        <f>'[2]Russia Sunflower Imports'!IN$290</f>
        <v>1.252867</v>
      </c>
      <c r="U49" s="242">
        <f>'[2]Russia Sunflower Imports'!IZ$290</f>
        <v>1.189894</v>
      </c>
      <c r="V49" s="242">
        <f>'[2]Russia Sunflower Imports'!JL$290</f>
        <v>1.5534520000000001</v>
      </c>
      <c r="W49" s="242">
        <f>'[2]Russia Sunflower Imports'!JX$290</f>
        <v>0.86005900000000002</v>
      </c>
      <c r="X49" s="242">
        <f>'[2]Russia Sunflower Imports'!KJ$290</f>
        <v>9.3242119999999993</v>
      </c>
      <c r="Y49" s="242">
        <f>'[2]Russia Sunflower Imports'!KV$290</f>
        <v>1.6119209999999999</v>
      </c>
      <c r="Z49" s="242">
        <f>'[2]Russia Sunflower Imports'!LH$290</f>
        <v>1.3682939999999999</v>
      </c>
      <c r="AA49" s="242">
        <f>'[2]Russia Sunflower Imports'!LT$290</f>
        <v>1.495179</v>
      </c>
      <c r="AB49" s="242">
        <f>'[2]Russia Sunflower Imports'!MF$290</f>
        <v>0.54757999999999996</v>
      </c>
      <c r="AC49" s="242">
        <f>'[2]Russia Sunflower Imports'!MR$290</f>
        <v>1.634307</v>
      </c>
      <c r="AD49" s="242">
        <f>'[2]Russia Sunflower Imports'!ND$290</f>
        <v>7.0789999999999997</v>
      </c>
      <c r="AE49" s="243">
        <f t="shared" si="38"/>
        <v>0</v>
      </c>
      <c r="AH49" s="244"/>
      <c r="AI49" s="384"/>
      <c r="AJ49" s="384"/>
      <c r="AK49" s="384"/>
      <c r="AL49" s="384"/>
      <c r="AM49" s="244"/>
    </row>
    <row r="50" spans="1:39">
      <c r="A50" s="240" t="s">
        <v>240</v>
      </c>
      <c r="B50" s="241">
        <f t="shared" si="35"/>
        <v>1.7289781713109005</v>
      </c>
      <c r="C50" s="241">
        <f t="shared" si="36"/>
        <v>0.5088879253401023</v>
      </c>
      <c r="D50" s="241">
        <f t="shared" si="37"/>
        <v>0.19500355315405313</v>
      </c>
      <c r="E50" s="241">
        <v>1.371113280411929</v>
      </c>
      <c r="F50" s="242">
        <f>'[2]Russia Sunflower Imports'!CC$290</f>
        <v>1.0089999999999999</v>
      </c>
      <c r="G50" s="242">
        <f>'[2]Russia Sunflower Imports'!CO$290</f>
        <v>0.30599999999999999</v>
      </c>
      <c r="H50" s="242">
        <f>'[2]Russia Sunflower Imports'!DA$290</f>
        <v>0.45400000000000001</v>
      </c>
      <c r="I50" s="242">
        <f>'[2]Russia Sunflower Imports'!DM$290</f>
        <v>0.40699999999999997</v>
      </c>
      <c r="J50" s="242">
        <f>'[2]Russia Sunflower Imports'!DY$290</f>
        <v>0</v>
      </c>
      <c r="K50" s="242">
        <f>'[2]Russia Sunflower Imports'!EK$290</f>
        <v>0.36221199999999998</v>
      </c>
      <c r="L50" s="242">
        <f>'[2]Russia Sunflower Imports'!EW$290</f>
        <v>0.80880799999999997</v>
      </c>
      <c r="M50" s="242">
        <f>'[2]Russia Sunflower Imports'!FI$290</f>
        <v>0.54800499999999996</v>
      </c>
      <c r="N50" s="242">
        <f>'[2]Russia Sunflower Imports'!FU$290</f>
        <v>0.52176999999999996</v>
      </c>
      <c r="O50" s="242">
        <f>'[2]Russia Sunflower Imports'!GG$290</f>
        <v>0.60383399999999998</v>
      </c>
      <c r="P50" s="242">
        <f>'[2]Russia Sunflower Imports'!GS$290</f>
        <v>0.33702500000000002</v>
      </c>
      <c r="Q50" s="242">
        <f>'[2]Russia Sunflower Imports'!HE$290</f>
        <v>0.25741199999999997</v>
      </c>
      <c r="R50" s="242">
        <f>'[2]Russia Sunflower Imports'!HQ$290</f>
        <v>0.81551899999999999</v>
      </c>
      <c r="S50" s="242">
        <f>'[2]Russia Sunflower Imports'!IC$290</f>
        <v>2.9460600000000001</v>
      </c>
      <c r="T50" s="242">
        <f>'[2]Russia Sunflower Imports'!IO$290</f>
        <v>1.6802189999999999</v>
      </c>
      <c r="U50" s="242">
        <f>'[2]Russia Sunflower Imports'!JA$290</f>
        <v>1.7144980000000001</v>
      </c>
      <c r="V50" s="242">
        <f>'[2]Russia Sunflower Imports'!JM$290</f>
        <v>1.861504</v>
      </c>
      <c r="W50" s="242">
        <f>'[2]Russia Sunflower Imports'!JY$290</f>
        <v>0.96043199999999995</v>
      </c>
      <c r="X50" s="242">
        <f>'[2]Russia Sunflower Imports'!KK$290</f>
        <v>7.197025</v>
      </c>
      <c r="Y50" s="242">
        <f>'[2]Russia Sunflower Imports'!KW$290</f>
        <v>5.303223</v>
      </c>
      <c r="Z50" s="242">
        <f>'[2]Russia Sunflower Imports'!LI$290</f>
        <v>2.8794749999999998</v>
      </c>
      <c r="AA50" s="242">
        <f>'[2]Russia Sunflower Imports'!LU$290</f>
        <v>2.5721590000000001</v>
      </c>
      <c r="AB50" s="242">
        <f>'[2]Russia Sunflower Imports'!MG$290</f>
        <v>2.4459379999999999</v>
      </c>
      <c r="AC50" s="242">
        <f>'[2]Russia Sunflower Imports'!MS$290</f>
        <v>4.9303030000000003</v>
      </c>
      <c r="AD50" s="242">
        <f>'[2]Russia Sunflower Imports'!NE$290</f>
        <v>3.8090000000000002</v>
      </c>
      <c r="AE50" s="243">
        <f t="shared" si="38"/>
        <v>0</v>
      </c>
      <c r="AH50" s="244"/>
      <c r="AI50" s="384"/>
      <c r="AJ50" s="384"/>
      <c r="AK50" s="384"/>
      <c r="AL50" s="384"/>
      <c r="AM50" s="244"/>
    </row>
    <row r="51" spans="1:39">
      <c r="A51" s="240" t="s">
        <v>241</v>
      </c>
      <c r="B51" s="241">
        <f t="shared" si="35"/>
        <v>2.1255067569620958</v>
      </c>
      <c r="C51" s="241">
        <f t="shared" si="36"/>
        <v>0.68343348647453839</v>
      </c>
      <c r="D51" s="241">
        <f t="shared" si="37"/>
        <v>0.35578957761883345</v>
      </c>
      <c r="E51" s="241">
        <v>1.6585960094400345</v>
      </c>
      <c r="F51" s="242">
        <f>'[2]Russia Sunflower Imports'!CD$290</f>
        <v>0.63200000000000001</v>
      </c>
      <c r="G51" s="242">
        <f>'[2]Russia Sunflower Imports'!CP$290</f>
        <v>0.254</v>
      </c>
      <c r="H51" s="242">
        <f>'[2]Russia Sunflower Imports'!DB$290</f>
        <v>0.96</v>
      </c>
      <c r="I51" s="242">
        <f>'[2]Russia Sunflower Imports'!DN$290</f>
        <v>0.65700000000000003</v>
      </c>
      <c r="J51" s="242">
        <f>'[2]Russia Sunflower Imports'!DZ$290</f>
        <v>0</v>
      </c>
      <c r="K51" s="242">
        <f>'[2]Russia Sunflower Imports'!EL$290</f>
        <v>0.47548499999999999</v>
      </c>
      <c r="L51" s="242">
        <f>'[2]Russia Sunflower Imports'!EX$290</f>
        <v>0.45133299999999998</v>
      </c>
      <c r="M51" s="242">
        <f>'[2]Russia Sunflower Imports'!FJ$290</f>
        <v>0.66094299999999995</v>
      </c>
      <c r="N51" s="242">
        <f>'[2]Russia Sunflower Imports'!FV$290</f>
        <v>0.66265200000000002</v>
      </c>
      <c r="O51" s="242">
        <f>'[2]Russia Sunflower Imports'!GH$290</f>
        <v>1.2466109999999999</v>
      </c>
      <c r="P51" s="242">
        <f>'[2]Russia Sunflower Imports'!GT$290</f>
        <v>0.76495500000000005</v>
      </c>
      <c r="Q51" s="242">
        <f>'[2]Russia Sunflower Imports'!HF$290</f>
        <v>0.80295399999999995</v>
      </c>
      <c r="R51" s="242">
        <f>'[2]Russia Sunflower Imports'!HR$290</f>
        <v>0.79208000000000001</v>
      </c>
      <c r="S51" s="242">
        <f>'[2]Russia Sunflower Imports'!ID$290</f>
        <v>8.8279949999999996</v>
      </c>
      <c r="T51" s="242">
        <f>'[2]Russia Sunflower Imports'!IP$290</f>
        <v>3.3921739999999998</v>
      </c>
      <c r="U51" s="242">
        <f>'[2]Russia Sunflower Imports'!JB$290</f>
        <v>3.1288</v>
      </c>
      <c r="V51" s="242">
        <f>'[2]Russia Sunflower Imports'!JN$290</f>
        <v>3.7806250000000001</v>
      </c>
      <c r="W51" s="242">
        <f>'[2]Russia Sunflower Imports'!JZ$290</f>
        <v>3.7995990000000002</v>
      </c>
      <c r="X51" s="242">
        <f>'[2]Russia Sunflower Imports'!KL$290</f>
        <v>13.596793</v>
      </c>
      <c r="Y51" s="242">
        <f>'[2]Russia Sunflower Imports'!KX$290</f>
        <v>6.2451369999999997</v>
      </c>
      <c r="Z51" s="242">
        <f>'[2]Russia Sunflower Imports'!LJ$290</f>
        <v>8.312678</v>
      </c>
      <c r="AA51" s="242">
        <f>'[2]Russia Sunflower Imports'!LV$290</f>
        <v>4.8449980000000004</v>
      </c>
      <c r="AB51" s="242">
        <f>'[2]Russia Sunflower Imports'!MH$290</f>
        <v>5.83955</v>
      </c>
      <c r="AC51" s="242">
        <f>'[2]Russia Sunflower Imports'!MT$290</f>
        <v>7.3754799999999996</v>
      </c>
      <c r="AD51" s="242">
        <f>'[2]Russia Sunflower Imports'!NF$290</f>
        <v>8.0679999999999996</v>
      </c>
      <c r="AE51" s="243">
        <f t="shared" si="38"/>
        <v>0</v>
      </c>
      <c r="AH51" s="244"/>
      <c r="AI51" s="384"/>
      <c r="AJ51" s="384"/>
      <c r="AK51" s="384"/>
      <c r="AL51" s="384"/>
      <c r="AM51" s="244"/>
    </row>
    <row r="52" spans="1:39">
      <c r="A52" s="240" t="s">
        <v>231</v>
      </c>
      <c r="B52" s="241">
        <f t="shared" si="35"/>
        <v>1.9546322600722317</v>
      </c>
      <c r="C52" s="241">
        <f t="shared" si="36"/>
        <v>0.64903866936507648</v>
      </c>
      <c r="D52" s="241">
        <f t="shared" si="37"/>
        <v>0.33128789530880831</v>
      </c>
      <c r="E52" s="242">
        <f>'[2]Russia Sunflower Imports'!BS$290</f>
        <v>0.16500000000000001</v>
      </c>
      <c r="F52" s="242">
        <f>'[2]Russia Sunflower Imports'!CE$290</f>
        <v>0.46899999999999997</v>
      </c>
      <c r="G52" s="242">
        <f>'[2]Russia Sunflower Imports'!CQ$290</f>
        <v>0.11600000000000001</v>
      </c>
      <c r="H52" s="242">
        <f>'[2]Russia Sunflower Imports'!DC$290</f>
        <v>0.379</v>
      </c>
      <c r="I52" s="242">
        <f>'[2]Russia Sunflower Imports'!DO$290</f>
        <v>0</v>
      </c>
      <c r="J52" s="242">
        <f>'[2]Russia Sunflower Imports'!EA$290</f>
        <v>0.49270599999999998</v>
      </c>
      <c r="K52" s="242">
        <f>'[2]Russia Sunflower Imports'!EM$290</f>
        <v>0.41917599999999999</v>
      </c>
      <c r="L52" s="242">
        <f>'[2]Russia Sunflower Imports'!EY$290</f>
        <v>0.40349299999999999</v>
      </c>
      <c r="M52" s="242">
        <f>'[2]Russia Sunflower Imports'!FK$290</f>
        <v>0.57797100000000001</v>
      </c>
      <c r="N52" s="242">
        <f>'[2]Russia Sunflower Imports'!FW$290</f>
        <v>0.89561299999999999</v>
      </c>
      <c r="O52" s="242">
        <f>'[2]Russia Sunflower Imports'!GI$290</f>
        <v>0.91963700000000004</v>
      </c>
      <c r="P52" s="242">
        <f>'[2]Russia Sunflower Imports'!GU$290</f>
        <v>0.79921900000000001</v>
      </c>
      <c r="Q52" s="242">
        <f>'[2]Russia Sunflower Imports'!HG$290</f>
        <v>0.66070099999999998</v>
      </c>
      <c r="R52" s="242">
        <f>'[2]Russia Sunflower Imports'!HS$290</f>
        <v>0.83515200000000001</v>
      </c>
      <c r="S52" s="242">
        <f>'[2]Russia Sunflower Imports'!IE$290</f>
        <v>3.5624989999999999</v>
      </c>
      <c r="T52" s="242">
        <f>'[2]Russia Sunflower Imports'!IQ$290</f>
        <v>2.7574380000000001</v>
      </c>
      <c r="U52" s="242">
        <f>'[2]Russia Sunflower Imports'!JC$290</f>
        <v>3.3339780000000001</v>
      </c>
      <c r="V52" s="242">
        <f>'[2]Russia Sunflower Imports'!JO$290</f>
        <v>3.7060870000000001</v>
      </c>
      <c r="W52" s="242">
        <f>'[2]Russia Sunflower Imports'!KA$290</f>
        <v>1.565958</v>
      </c>
      <c r="X52" s="242">
        <f>'[2]Russia Sunflower Imports'!KM$290</f>
        <v>5.1649159999999998</v>
      </c>
      <c r="Y52" s="242">
        <f>'[2]Russia Sunflower Imports'!KY$290</f>
        <v>5.3660459999999999</v>
      </c>
      <c r="Z52" s="242">
        <f>'[2]Russia Sunflower Imports'!LK$290</f>
        <v>6.7687939999999998</v>
      </c>
      <c r="AA52" s="242">
        <f>'[2]Russia Sunflower Imports'!LW$290</f>
        <v>8.7454909999999995</v>
      </c>
      <c r="AB52" s="242">
        <f>'[2]Russia Sunflower Imports'!MI$290</f>
        <v>8.3033140000000003</v>
      </c>
      <c r="AC52" s="242">
        <f>'[2]Russia Sunflower Imports'!MU$290</f>
        <v>26.233000000000001</v>
      </c>
      <c r="AD52" s="242">
        <f>'[2]Russia Sunflower Imports'!NG$290</f>
        <v>5.5307170000000001</v>
      </c>
      <c r="AE52" s="243">
        <f t="shared" si="38"/>
        <v>0</v>
      </c>
      <c r="AH52" s="244"/>
      <c r="AI52" s="384"/>
      <c r="AJ52" s="384"/>
      <c r="AK52" s="384"/>
      <c r="AL52" s="384"/>
      <c r="AM52" s="244"/>
    </row>
    <row r="53" spans="1:39">
      <c r="A53" s="240" t="s">
        <v>232</v>
      </c>
      <c r="B53" s="241">
        <f t="shared" si="35"/>
        <v>2.5089535673866719</v>
      </c>
      <c r="C53" s="241">
        <f t="shared" si="36"/>
        <v>1.2681432114262823</v>
      </c>
      <c r="D53" s="241">
        <f t="shared" si="37"/>
        <v>0.7787798170119643</v>
      </c>
      <c r="E53" s="242">
        <f>'[2]Russia Sunflower Imports'!BT$290</f>
        <v>0.746</v>
      </c>
      <c r="F53" s="242">
        <f>'[2]Russia Sunflower Imports'!CF$290</f>
        <v>0.67300000000000004</v>
      </c>
      <c r="G53" s="242">
        <f>'[2]Russia Sunflower Imports'!CR$290</f>
        <v>0.48299999999999998</v>
      </c>
      <c r="H53" s="242">
        <f>'[2]Russia Sunflower Imports'!DD$290</f>
        <v>1.0249999999999999</v>
      </c>
      <c r="I53" s="242">
        <f>'[2]Russia Sunflower Imports'!DP$290</f>
        <v>0</v>
      </c>
      <c r="J53" s="242">
        <f>'[2]Russia Sunflower Imports'!EB$290</f>
        <v>0.72142799999999996</v>
      </c>
      <c r="K53" s="242">
        <f>'[2]Russia Sunflower Imports'!EN$290</f>
        <v>0.48761700000000002</v>
      </c>
      <c r="L53" s="242">
        <f>'[2]Russia Sunflower Imports'!EZ$290</f>
        <v>0.68985300000000005</v>
      </c>
      <c r="M53" s="242">
        <f>'[2]Russia Sunflower Imports'!FL$290</f>
        <v>0.90272200000000002</v>
      </c>
      <c r="N53" s="242">
        <f>'[2]Russia Sunflower Imports'!FX$290</f>
        <v>0.79493499999999995</v>
      </c>
      <c r="O53" s="242">
        <f>'[2]Russia Sunflower Imports'!GJ$290</f>
        <v>1.252769</v>
      </c>
      <c r="P53" s="242">
        <f>'[2]Russia Sunflower Imports'!GV$290</f>
        <v>3.3857400000000002</v>
      </c>
      <c r="Q53" s="242">
        <f>'[2]Russia Sunflower Imports'!HH$290</f>
        <v>2.7216610000000001</v>
      </c>
      <c r="R53" s="242">
        <f>'[2]Russia Sunflower Imports'!HT$290</f>
        <v>1.6067419999999999</v>
      </c>
      <c r="S53" s="242">
        <f>'[2]Russia Sunflower Imports'!IF$290</f>
        <v>4.9433509999999998</v>
      </c>
      <c r="T53" s="242">
        <f>'[2]Russia Sunflower Imports'!IR$290</f>
        <v>3.8820420000000002</v>
      </c>
      <c r="U53" s="242">
        <f>'[2]Russia Sunflower Imports'!JD$290</f>
        <v>6.2379860000000003</v>
      </c>
      <c r="V53" s="242">
        <f>'[2]Russia Sunflower Imports'!JP$290</f>
        <v>7.5361099999999999</v>
      </c>
      <c r="W53" s="242">
        <f>'[2]Russia Sunflower Imports'!KB$290</f>
        <v>3.6811980000000002</v>
      </c>
      <c r="X53" s="242">
        <f>'[2]Russia Sunflower Imports'!KN$290</f>
        <v>17.473966000000001</v>
      </c>
      <c r="Y53" s="242">
        <f>'[2]Russia Sunflower Imports'!KZ$290</f>
        <v>11.27894</v>
      </c>
      <c r="Z53" s="242">
        <f>'[2]Russia Sunflower Imports'!LL$290</f>
        <v>8.3597660000000005</v>
      </c>
      <c r="AA53" s="242">
        <f>'[2]Russia Sunflower Imports'!LX$290</f>
        <v>8.0435999999999996</v>
      </c>
      <c r="AB53" s="242">
        <f>'[2]Russia Sunflower Imports'!MJ$290</f>
        <v>8.9640419999999992</v>
      </c>
      <c r="AC53" s="242">
        <f>'[2]Russia Sunflower Imports'!MV$290</f>
        <v>8.1509999999999998</v>
      </c>
      <c r="AD53" s="243">
        <f>(SUM(X53:AB53)/SUM(X$60:AB$60))*AD$60*0+1</f>
        <v>1</v>
      </c>
      <c r="AE53" s="243">
        <f t="shared" si="38"/>
        <v>0</v>
      </c>
      <c r="AH53" s="244"/>
      <c r="AI53" s="384"/>
      <c r="AJ53" s="384"/>
      <c r="AK53" s="384"/>
      <c r="AL53" s="384"/>
      <c r="AM53" s="244"/>
    </row>
    <row r="54" spans="1:39">
      <c r="A54" s="240" t="s">
        <v>233</v>
      </c>
      <c r="B54" s="241">
        <f t="shared" si="35"/>
        <v>6.4824314123065836</v>
      </c>
      <c r="C54" s="241">
        <f t="shared" si="36"/>
        <v>2.3865912393633333</v>
      </c>
      <c r="D54" s="241">
        <f t="shared" si="37"/>
        <v>1.3339804717704031</v>
      </c>
      <c r="E54" s="242">
        <f>'[2]Russia Sunflower Imports'!BU$290</f>
        <v>0.997</v>
      </c>
      <c r="F54" s="242">
        <f>'[2]Russia Sunflower Imports'!CG$290</f>
        <v>0.97399999999999998</v>
      </c>
      <c r="G54" s="242">
        <f>'[2]Russia Sunflower Imports'!CS$290</f>
        <v>1.879</v>
      </c>
      <c r="H54" s="242">
        <f>'[2]Russia Sunflower Imports'!DE$290</f>
        <v>1.3109999999999999</v>
      </c>
      <c r="I54" s="242">
        <f>'[2]Russia Sunflower Imports'!DQ$290</f>
        <v>0</v>
      </c>
      <c r="J54" s="242">
        <f>'[2]Russia Sunflower Imports'!EC$290</f>
        <v>0.76026700000000003</v>
      </c>
      <c r="K54" s="242">
        <f>'[2]Russia Sunflower Imports'!EO$290</f>
        <v>1.2437279999999999</v>
      </c>
      <c r="L54" s="242">
        <f>'[2]Russia Sunflower Imports'!FA$290</f>
        <v>1.6211530000000001</v>
      </c>
      <c r="M54" s="242">
        <f>'[2]Russia Sunflower Imports'!FM$290</f>
        <v>2.195195</v>
      </c>
      <c r="N54" s="242">
        <f>'[2]Russia Sunflower Imports'!FY$290</f>
        <v>3.2348509999999999</v>
      </c>
      <c r="O54" s="242">
        <f>'[2]Russia Sunflower Imports'!GK$290</f>
        <v>2.3703970000000001</v>
      </c>
      <c r="P54" s="242">
        <f>'[2]Russia Sunflower Imports'!GW$290</f>
        <v>3.8010709999999999</v>
      </c>
      <c r="Q54" s="242">
        <f>'[2]Russia Sunflower Imports'!HI$290</f>
        <v>3.9137369999999998</v>
      </c>
      <c r="R54" s="242">
        <f>'[2]Russia Sunflower Imports'!HU$290</f>
        <v>5.5486139999999997</v>
      </c>
      <c r="S54" s="242">
        <f>'[2]Russia Sunflower Imports'!IG$290</f>
        <v>7.6857309999999996</v>
      </c>
      <c r="T54" s="242">
        <f>'[2]Russia Sunflower Imports'!IS$290</f>
        <v>7.2506899999999996</v>
      </c>
      <c r="U54" s="242">
        <f>'[2]Russia Sunflower Imports'!JE$290</f>
        <v>6.0527990000000003</v>
      </c>
      <c r="V54" s="242">
        <f>'[2]Russia Sunflower Imports'!JQ$290</f>
        <v>8.6563199999999991</v>
      </c>
      <c r="W54" s="242">
        <f>'[2]Russia Sunflower Imports'!KC$290</f>
        <v>6.433586</v>
      </c>
      <c r="X54" s="242">
        <f>'[2]Russia Sunflower Imports'!KO$290</f>
        <v>19.068028000000002</v>
      </c>
      <c r="Y54" s="242">
        <f>'[2]Russia Sunflower Imports'!LA$290</f>
        <v>14.803259000000001</v>
      </c>
      <c r="Z54" s="242">
        <f>'[2]Russia Sunflower Imports'!LM$290</f>
        <v>7.3814840000000004</v>
      </c>
      <c r="AA54" s="242">
        <f>'[2]Russia Sunflower Imports'!LY$290</f>
        <v>6.0210330000000001</v>
      </c>
      <c r="AB54" s="242">
        <f>'[2]Russia Sunflower Imports'!MK$290</f>
        <v>10.113187</v>
      </c>
      <c r="AC54" s="242">
        <f>'[2]Russia Sunflower Imports'!MW$290</f>
        <v>11.67</v>
      </c>
      <c r="AD54" s="243">
        <f t="shared" ref="AD54:AD58" si="39">(SUM(X54:AB54)/SUM(X$60:AB$60))*AD$60*0</f>
        <v>0</v>
      </c>
      <c r="AE54" s="243">
        <f t="shared" si="38"/>
        <v>0</v>
      </c>
      <c r="AH54" s="244"/>
      <c r="AI54" s="384"/>
      <c r="AJ54" s="384"/>
      <c r="AK54" s="384"/>
      <c r="AL54" s="384"/>
      <c r="AM54" s="244"/>
    </row>
    <row r="55" spans="1:39">
      <c r="A55" s="240" t="s">
        <v>234</v>
      </c>
      <c r="B55" s="241">
        <f t="shared" si="35"/>
        <v>7.3398854653290106</v>
      </c>
      <c r="C55" s="241">
        <f t="shared" si="36"/>
        <v>2.3681398596819396</v>
      </c>
      <c r="D55" s="241">
        <f t="shared" si="37"/>
        <v>1.060864361340377</v>
      </c>
      <c r="E55" s="242">
        <f>'[2]Russia Sunflower Imports'!BV$290</f>
        <v>0.99</v>
      </c>
      <c r="F55" s="242">
        <f>'[2]Russia Sunflower Imports'!CH$290</f>
        <v>1.181</v>
      </c>
      <c r="G55" s="242">
        <f>'[2]Russia Sunflower Imports'!CT$290</f>
        <v>4.8959999999999999</v>
      </c>
      <c r="H55" s="242">
        <f>'[2]Russia Sunflower Imports'!DF$290</f>
        <v>1.29</v>
      </c>
      <c r="I55" s="242">
        <f>'[2]Russia Sunflower Imports'!DR$290</f>
        <v>0</v>
      </c>
      <c r="J55" s="242">
        <f>'[2]Russia Sunflower Imports'!ED$290</f>
        <v>1.491128</v>
      </c>
      <c r="K55" s="242">
        <f>'[2]Russia Sunflower Imports'!EP$290</f>
        <v>1.416472</v>
      </c>
      <c r="L55" s="242">
        <f>'[2]Russia Sunflower Imports'!FB$290</f>
        <v>2.2613910000000002</v>
      </c>
      <c r="M55" s="242">
        <f>'[2]Russia Sunflower Imports'!FN$290</f>
        <v>3.4490530000000001</v>
      </c>
      <c r="N55" s="242">
        <f>'[2]Russia Sunflower Imports'!FZ$290</f>
        <v>2.4212989999999999</v>
      </c>
      <c r="O55" s="242">
        <f>'[2]Russia Sunflower Imports'!GL$290</f>
        <v>2.5278489999999998</v>
      </c>
      <c r="P55" s="242">
        <f>'[2]Russia Sunflower Imports'!GX$290</f>
        <v>2.4608469999999998</v>
      </c>
      <c r="Q55" s="242">
        <f>'[2]Russia Sunflower Imports'!HJ$290</f>
        <v>1.479646</v>
      </c>
      <c r="R55" s="242">
        <f>'[2]Russia Sunflower Imports'!HV$290</f>
        <v>4.6896899999999997</v>
      </c>
      <c r="S55" s="242">
        <f>'[2]Russia Sunflower Imports'!IH$290</f>
        <v>4.5016129999999999</v>
      </c>
      <c r="T55" s="242">
        <f>'[2]Russia Sunflower Imports'!IT$290</f>
        <v>3.896649</v>
      </c>
      <c r="U55" s="242">
        <f>'[2]Russia Sunflower Imports'!JF$290</f>
        <v>4.4752939999999999</v>
      </c>
      <c r="V55" s="242">
        <f>'[2]Russia Sunflower Imports'!JR$290</f>
        <v>3.8834620000000002</v>
      </c>
      <c r="W55" s="242">
        <f>'[2]Russia Sunflower Imports'!KD$290</f>
        <v>3.542173</v>
      </c>
      <c r="X55" s="242">
        <f>'[2]Russia Sunflower Imports'!KP$290</f>
        <v>12.127668999999999</v>
      </c>
      <c r="Y55" s="242">
        <f>'[2]Russia Sunflower Imports'!LB$290</f>
        <v>15.736164</v>
      </c>
      <c r="Z55" s="242">
        <f>'[2]Russia Sunflower Imports'!LN$290</f>
        <v>2.613442</v>
      </c>
      <c r="AA55" s="242">
        <f>'[2]Russia Sunflower Imports'!LZ$290</f>
        <v>3.4977149999999999</v>
      </c>
      <c r="AB55" s="242">
        <f>'[2]Russia Sunflower Imports'!ML$290</f>
        <v>7.467009</v>
      </c>
      <c r="AC55" s="242">
        <f>'[2]Russia Sunflower Imports'!MX$290</f>
        <v>13.586</v>
      </c>
      <c r="AD55" s="243">
        <f t="shared" si="39"/>
        <v>0</v>
      </c>
      <c r="AE55" s="243">
        <f t="shared" si="38"/>
        <v>0</v>
      </c>
      <c r="AH55" s="244"/>
      <c r="AI55" s="384"/>
      <c r="AJ55" s="384"/>
      <c r="AK55" s="384"/>
      <c r="AL55" s="384"/>
      <c r="AM55" s="244"/>
    </row>
    <row r="56" spans="1:39">
      <c r="A56" s="240" t="s">
        <v>46</v>
      </c>
      <c r="B56" s="241">
        <f t="shared" si="35"/>
        <v>1.294208352935027</v>
      </c>
      <c r="C56" s="241">
        <f t="shared" si="36"/>
        <v>0.38120505659637816</v>
      </c>
      <c r="D56" s="241">
        <f t="shared" si="37"/>
        <v>0.14524366231530966</v>
      </c>
      <c r="E56" s="242">
        <f>'[2]Russia Sunflower Imports'!BW$290</f>
        <v>0.71499999999999997</v>
      </c>
      <c r="F56" s="242">
        <f>'[2]Russia Sunflower Imports'!CI$290</f>
        <v>0.79700000000000004</v>
      </c>
      <c r="G56" s="242">
        <f>'[2]Russia Sunflower Imports'!CU$290</f>
        <v>3.5259999999999998</v>
      </c>
      <c r="H56" s="242">
        <f>'[2]Russia Sunflower Imports'!DG$290</f>
        <v>0.81599999999999995</v>
      </c>
      <c r="I56" s="242">
        <f>'[2]Russia Sunflower Imports'!DS$290</f>
        <v>0</v>
      </c>
      <c r="J56" s="242">
        <f>'[2]Russia Sunflower Imports'!EE$290</f>
        <v>0.34402300000000002</v>
      </c>
      <c r="K56" s="242">
        <f>'[2]Russia Sunflower Imports'!EQ$290</f>
        <v>0.34558899999999998</v>
      </c>
      <c r="L56" s="242">
        <f>'[2]Russia Sunflower Imports'!FC$290</f>
        <v>0.77364299999999997</v>
      </c>
      <c r="M56" s="242">
        <f>'[2]Russia Sunflower Imports'!FO$290</f>
        <v>0.23541899999999999</v>
      </c>
      <c r="N56" s="242">
        <f>'[2]Russia Sunflower Imports'!GA$290</f>
        <v>0.44523000000000001</v>
      </c>
      <c r="O56" s="242">
        <f>'[2]Russia Sunflower Imports'!GM$290</f>
        <v>0.32943600000000001</v>
      </c>
      <c r="P56" s="242">
        <f>'[2]Russia Sunflower Imports'!GY$290</f>
        <v>0.32829999999999998</v>
      </c>
      <c r="Q56" s="242">
        <f>'[2]Russia Sunflower Imports'!HK$290</f>
        <v>0.350914</v>
      </c>
      <c r="R56" s="242">
        <f>'[2]Russia Sunflower Imports'!HW$290</f>
        <v>2.1108509999999998</v>
      </c>
      <c r="S56" s="242">
        <f>'[2]Russia Sunflower Imports'!II$290</f>
        <v>2.379861</v>
      </c>
      <c r="T56" s="242">
        <f>'[2]Russia Sunflower Imports'!IU$290</f>
        <v>1.642334</v>
      </c>
      <c r="U56" s="242">
        <f>'[2]Russia Sunflower Imports'!JG$290</f>
        <v>0.37087100000000001</v>
      </c>
      <c r="V56" s="242">
        <f>'[2]Russia Sunflower Imports'!JS$290</f>
        <v>1.4748699999999999</v>
      </c>
      <c r="W56" s="242">
        <f>'[2]Russia Sunflower Imports'!KE$290</f>
        <v>13.097599000000001</v>
      </c>
      <c r="X56" s="242">
        <f>'[2]Russia Sunflower Imports'!KQ$290</f>
        <v>6.6891540000000003</v>
      </c>
      <c r="Y56" s="242">
        <f>'[2]Russia Sunflower Imports'!LC$290</f>
        <v>25.080290000000002</v>
      </c>
      <c r="Z56" s="242">
        <f>'[2]Russia Sunflower Imports'!LO$290</f>
        <v>3.4313319999999998</v>
      </c>
      <c r="AA56" s="242">
        <f>'[2]Russia Sunflower Imports'!MA$290</f>
        <v>4.0026089999999996</v>
      </c>
      <c r="AB56" s="242">
        <f>'[2]Russia Sunflower Imports'!MM$290</f>
        <v>2.602903</v>
      </c>
      <c r="AC56" s="242">
        <f>'[2]Russia Sunflower Imports'!MY$290</f>
        <v>7.2590000000000003</v>
      </c>
      <c r="AD56" s="243">
        <f t="shared" si="39"/>
        <v>0</v>
      </c>
      <c r="AE56" s="243">
        <f t="shared" si="38"/>
        <v>0</v>
      </c>
      <c r="AH56" s="244"/>
      <c r="AI56" s="384"/>
      <c r="AJ56" s="384"/>
      <c r="AK56" s="384"/>
      <c r="AL56" s="384"/>
      <c r="AM56" s="244"/>
    </row>
    <row r="57" spans="1:39">
      <c r="A57" s="240" t="s">
        <v>235</v>
      </c>
      <c r="B57" s="241">
        <f t="shared" si="35"/>
        <v>0.84370369289829128</v>
      </c>
      <c r="C57" s="241">
        <f t="shared" si="36"/>
        <v>0.23803593773856022</v>
      </c>
      <c r="D57" s="241">
        <f t="shared" si="37"/>
        <v>8.8325704217662462E-2</v>
      </c>
      <c r="E57" s="242">
        <f>'[2]Russia Sunflower Imports'!BX$290</f>
        <v>0.53100000000000003</v>
      </c>
      <c r="F57" s="242">
        <f>'[2]Russia Sunflower Imports'!CJ$290</f>
        <v>0.59399999999999997</v>
      </c>
      <c r="G57" s="242">
        <f>'[2]Russia Sunflower Imports'!CV$290</f>
        <v>4.0170000000000003</v>
      </c>
      <c r="H57" s="242">
        <f>'[2]Russia Sunflower Imports'!DH$290</f>
        <v>0.57499999999999996</v>
      </c>
      <c r="I57" s="242">
        <f>'[2]Russia Sunflower Imports'!DT$290</f>
        <v>0</v>
      </c>
      <c r="J57" s="242">
        <f>'[2]Russia Sunflower Imports'!EF$290</f>
        <v>0.22422700000000001</v>
      </c>
      <c r="K57" s="242">
        <f>'[2]Russia Sunflower Imports'!ER$290</f>
        <v>0.30279899999999998</v>
      </c>
      <c r="L57" s="242">
        <f>'[2]Russia Sunflower Imports'!FD$290</f>
        <v>0.479296</v>
      </c>
      <c r="M57" s="242">
        <f>'[2]Russia Sunflower Imports'!FP$290</f>
        <v>0.237487</v>
      </c>
      <c r="N57" s="242">
        <f>'[2]Russia Sunflower Imports'!GB$290</f>
        <v>0.18782299999999999</v>
      </c>
      <c r="O57" s="242">
        <f>'[2]Russia Sunflower Imports'!GN$290</f>
        <v>0.18071200000000001</v>
      </c>
      <c r="P57" s="242">
        <f>'[2]Russia Sunflower Imports'!GZ$290</f>
        <v>0.23349600000000001</v>
      </c>
      <c r="Q57" s="242">
        <f>'[2]Russia Sunflower Imports'!HL$290</f>
        <v>0.18778</v>
      </c>
      <c r="R57" s="242">
        <f>'[2]Russia Sunflower Imports'!HX$290</f>
        <v>1.6456980000000001</v>
      </c>
      <c r="S57" s="242">
        <f>'[2]Russia Sunflower Imports'!IJ$290</f>
        <v>3.1029939999999998</v>
      </c>
      <c r="T57" s="242">
        <f>'[2]Russia Sunflower Imports'!IV$290</f>
        <v>0.69200499999999998</v>
      </c>
      <c r="U57" s="242">
        <f>'[2]Russia Sunflower Imports'!JH$290</f>
        <v>0.97408300000000003</v>
      </c>
      <c r="V57" s="242">
        <f>'[2]Russia Sunflower Imports'!JT$290</f>
        <v>0.75061199999999995</v>
      </c>
      <c r="W57" s="242">
        <f>'[2]Russia Sunflower Imports'!KF$290</f>
        <v>13.222970999999999</v>
      </c>
      <c r="X57" s="242">
        <f>'[2]Russia Sunflower Imports'!KR$290</f>
        <v>6.4314179999999999</v>
      </c>
      <c r="Y57" s="242">
        <f>'[2]Russia Sunflower Imports'!LD$290</f>
        <v>6.7650230000000002</v>
      </c>
      <c r="Z57" s="242">
        <f>'[2]Russia Sunflower Imports'!LP$290</f>
        <v>2.5285980000000001</v>
      </c>
      <c r="AA57" s="242">
        <f>'[2]Russia Sunflower Imports'!MB$290</f>
        <v>5.6208340000000003</v>
      </c>
      <c r="AB57" s="242">
        <f>'[2]Russia Sunflower Imports'!MN$290</f>
        <v>2.4975900000000002</v>
      </c>
      <c r="AC57" s="242">
        <f>'[2]Russia Sunflower Imports'!MZ$290</f>
        <v>8.9719999999999995</v>
      </c>
      <c r="AD57" s="243">
        <f t="shared" si="39"/>
        <v>0</v>
      </c>
      <c r="AE57" s="243">
        <f t="shared" si="38"/>
        <v>0</v>
      </c>
      <c r="AH57" s="244"/>
      <c r="AI57" s="384"/>
      <c r="AJ57" s="384"/>
      <c r="AK57" s="384"/>
      <c r="AL57" s="384"/>
      <c r="AM57" s="244"/>
    </row>
    <row r="58" spans="1:39">
      <c r="A58" s="240" t="s">
        <v>236</v>
      </c>
      <c r="B58" s="241">
        <f t="shared" si="35"/>
        <v>2.3968027054591783</v>
      </c>
      <c r="C58" s="241">
        <f t="shared" si="36"/>
        <v>0.70477491087419397</v>
      </c>
      <c r="D58" s="241">
        <f t="shared" si="37"/>
        <v>0.34852876586267562</v>
      </c>
      <c r="E58" s="242">
        <f>'[2]Russia Sunflower Imports'!BY$290</f>
        <v>0.371</v>
      </c>
      <c r="F58" s="242">
        <f>'[2]Russia Sunflower Imports'!CK$290</f>
        <v>0.377</v>
      </c>
      <c r="G58" s="242">
        <f>'[2]Russia Sunflower Imports'!CW$290</f>
        <v>1.712</v>
      </c>
      <c r="H58" s="242">
        <f>'[2]Russia Sunflower Imports'!DI$290</f>
        <v>0.39800000000000002</v>
      </c>
      <c r="I58" s="242">
        <f>'[2]Russia Sunflower Imports'!DU$290</f>
        <v>0</v>
      </c>
      <c r="J58" s="242">
        <f>'[2]Russia Sunflower Imports'!EG$290</f>
        <v>0.21384</v>
      </c>
      <c r="K58" s="242">
        <f>'[2]Russia Sunflower Imports'!ES$290</f>
        <v>0.21155199999999999</v>
      </c>
      <c r="L58" s="242">
        <f>'[2]Russia Sunflower Imports'!FE$290</f>
        <v>0.24940100000000001</v>
      </c>
      <c r="M58" s="242">
        <f>'[2]Russia Sunflower Imports'!FQ$290</f>
        <v>0.13276099999999999</v>
      </c>
      <c r="N58" s="242">
        <f>'[2]Russia Sunflower Imports'!GC$290</f>
        <v>3.202804</v>
      </c>
      <c r="O58" s="242">
        <f>'[2]Russia Sunflower Imports'!GO$290</f>
        <v>0.14685999999999999</v>
      </c>
      <c r="P58" s="242">
        <f>'[2]Russia Sunflower Imports'!HA$290</f>
        <v>0.17290800000000001</v>
      </c>
      <c r="Q58" s="242">
        <f>'[2]Russia Sunflower Imports'!HM$290</f>
        <v>0.39833299999999999</v>
      </c>
      <c r="R58" s="242">
        <f>'[2]Russia Sunflower Imports'!HY$290</f>
        <v>1.5727359999999999</v>
      </c>
      <c r="S58" s="242">
        <f>'[2]Russia Sunflower Imports'!IK$290</f>
        <v>1.449392</v>
      </c>
      <c r="T58" s="242">
        <f>'[2]Russia Sunflower Imports'!IW$290</f>
        <v>0.60377999999999998</v>
      </c>
      <c r="U58" s="242">
        <f>'[2]Russia Sunflower Imports'!JI$290</f>
        <v>0.44016300000000003</v>
      </c>
      <c r="V58" s="242">
        <f>'[2]Russia Sunflower Imports'!JU$290</f>
        <v>0.56188800000000005</v>
      </c>
      <c r="W58" s="242">
        <f>'[2]Russia Sunflower Imports'!KG$290</f>
        <v>23.459444000000001</v>
      </c>
      <c r="X58" s="242">
        <f>'[2]Russia Sunflower Imports'!KS$290</f>
        <v>6.440849</v>
      </c>
      <c r="Y58" s="242">
        <f>'[2]Russia Sunflower Imports'!LE$290</f>
        <v>8.2453140000000005</v>
      </c>
      <c r="Z58" s="242">
        <f>'[2]Russia Sunflower Imports'!LQ$290</f>
        <v>3.9923E-2</v>
      </c>
      <c r="AA58" s="242">
        <f>'[2]Russia Sunflower Imports'!MC$290</f>
        <v>3.9331269999999998</v>
      </c>
      <c r="AB58" s="242">
        <f>'[2]Russia Sunflower Imports'!MO$290</f>
        <v>5.7248520000000003</v>
      </c>
      <c r="AC58" s="242">
        <f>'[2]Russia Sunflower Imports'!NA$290</f>
        <v>4.4850000000000003</v>
      </c>
      <c r="AD58" s="243">
        <f t="shared" si="39"/>
        <v>0</v>
      </c>
      <c r="AE58" s="243">
        <f t="shared" si="38"/>
        <v>0</v>
      </c>
      <c r="AH58" s="244"/>
      <c r="AI58" s="384"/>
      <c r="AJ58" s="384"/>
      <c r="AK58" s="384"/>
      <c r="AL58" s="384"/>
      <c r="AM58" s="244"/>
    </row>
    <row r="59" spans="1:39">
      <c r="A59" s="240" t="s">
        <v>237</v>
      </c>
      <c r="B59" s="241">
        <f t="shared" si="35"/>
        <v>0.87710254755158124</v>
      </c>
      <c r="C59" s="241">
        <f t="shared" si="36"/>
        <v>0.21718292584250298</v>
      </c>
      <c r="D59" s="241">
        <f t="shared" si="37"/>
        <v>0.11190810270790472</v>
      </c>
      <c r="E59" s="242">
        <f>'[2]Russia Sunflower Imports'!BZ$290</f>
        <v>0.41899999999999998</v>
      </c>
      <c r="F59" s="242">
        <f>'[2]Russia Sunflower Imports'!CL$290</f>
        <v>0.32500000000000001</v>
      </c>
      <c r="G59" s="242">
        <f>'[2]Russia Sunflower Imports'!CX$290</f>
        <v>0.58799999999999997</v>
      </c>
      <c r="H59" s="242">
        <f>'[2]Russia Sunflower Imports'!DJ$290</f>
        <v>0.39700000000000002</v>
      </c>
      <c r="I59" s="242">
        <f>'[2]Russia Sunflower Imports'!DV$290</f>
        <v>0</v>
      </c>
      <c r="J59" s="242">
        <f>'[2]Russia Sunflower Imports'!EH$290</f>
        <v>0.26139800000000002</v>
      </c>
      <c r="K59" s="242">
        <f>'[2]Russia Sunflower Imports'!ET$290</f>
        <v>0.32458700000000001</v>
      </c>
      <c r="L59" s="242">
        <f>'[2]Russia Sunflower Imports'!FF$290</f>
        <v>0.28809400000000002</v>
      </c>
      <c r="M59" s="242">
        <f>'[2]Russia Sunflower Imports'!FR$290</f>
        <v>0.50474399999999997</v>
      </c>
      <c r="N59" s="242">
        <f>'[2]Russia Sunflower Imports'!GD$290</f>
        <v>0.22261600000000001</v>
      </c>
      <c r="O59" s="242">
        <f>'[2]Russia Sunflower Imports'!GP$290</f>
        <v>0.10302600000000001</v>
      </c>
      <c r="P59" s="242">
        <f>'[2]Russia Sunflower Imports'!HB$290</f>
        <v>8.48E-2</v>
      </c>
      <c r="Q59" s="242">
        <f>'[2]Russia Sunflower Imports'!HN$290</f>
        <v>0.38639400000000002</v>
      </c>
      <c r="R59" s="242">
        <f>'[2]Russia Sunflower Imports'!HZ$290</f>
        <v>0.98810200000000004</v>
      </c>
      <c r="S59" s="242">
        <f>'[2]Russia Sunflower Imports'!IL$290</f>
        <v>1.1331100000000001</v>
      </c>
      <c r="T59" s="242">
        <f>'[2]Russia Sunflower Imports'!IX$290</f>
        <v>1.3328390000000001</v>
      </c>
      <c r="U59" s="242">
        <f>'[2]Russia Sunflower Imports'!JJ$290</f>
        <v>0.62406600000000001</v>
      </c>
      <c r="V59" s="242">
        <f>'[2]Russia Sunflower Imports'!JV$290</f>
        <v>0.56930999999999998</v>
      </c>
      <c r="W59" s="242">
        <f>'[2]Russia Sunflower Imports'!KH$290</f>
        <v>17.114250999999999</v>
      </c>
      <c r="X59" s="242">
        <f>'[2]Russia Sunflower Imports'!KT$290</f>
        <v>4.2477220000000004</v>
      </c>
      <c r="Y59" s="242">
        <f>'[2]Russia Sunflower Imports'!LF$290</f>
        <v>3.6280739999999998</v>
      </c>
      <c r="Z59" s="242">
        <f>'[2]Russia Sunflower Imports'!LR$290</f>
        <v>0.64405900000000005</v>
      </c>
      <c r="AA59" s="242">
        <f>'[2]Russia Sunflower Imports'!MD$290</f>
        <v>2.9170790000000002</v>
      </c>
      <c r="AB59" s="242">
        <f>'[2]Russia Sunflower Imports'!MP$290</f>
        <v>1.57314</v>
      </c>
      <c r="AC59" s="242">
        <f>'[2]Russia Sunflower Imports'!NB$290</f>
        <v>8.6240000000000006</v>
      </c>
      <c r="AD59" s="243">
        <f>AD60-SUM(AD48:AD58)</f>
        <v>3.7662829999999978</v>
      </c>
      <c r="AE59" s="243">
        <f>AE60-SUM(AE48:AE58)</f>
        <v>0</v>
      </c>
      <c r="AH59" s="244"/>
      <c r="AI59" s="384"/>
      <c r="AJ59" s="384"/>
      <c r="AK59" s="384"/>
      <c r="AL59" s="384"/>
      <c r="AM59" s="244"/>
    </row>
    <row r="60" spans="1:39" ht="15.75" thickBot="1">
      <c r="A60" s="240" t="s">
        <v>242</v>
      </c>
      <c r="B60" s="245">
        <f>B10</f>
        <v>30</v>
      </c>
      <c r="C60" s="245">
        <f>C10</f>
        <v>10</v>
      </c>
      <c r="D60" s="245">
        <f>D10</f>
        <v>5</v>
      </c>
      <c r="E60" s="245">
        <f>E10</f>
        <v>10</v>
      </c>
      <c r="F60" s="245">
        <f t="shared" ref="F60:K60" si="40">SUM(F48:F59)</f>
        <v>8.4819999999999993</v>
      </c>
      <c r="G60" s="245">
        <f t="shared" si="40"/>
        <v>18.045999999999999</v>
      </c>
      <c r="H60" s="245">
        <f t="shared" si="40"/>
        <v>8.3709999999999987</v>
      </c>
      <c r="I60" s="245">
        <f t="shared" si="40"/>
        <v>1.9560000000000002</v>
      </c>
      <c r="J60" s="245">
        <f t="shared" si="40"/>
        <v>4.5090170000000001</v>
      </c>
      <c r="K60" s="245">
        <f t="shared" si="40"/>
        <v>6.4492300000000009</v>
      </c>
      <c r="L60" s="245">
        <f t="shared" ref="L60:AB60" si="41">SUM(L48:L59)</f>
        <v>8.8010149999999996</v>
      </c>
      <c r="M60" s="245">
        <f t="shared" si="41"/>
        <v>10.234905000000001</v>
      </c>
      <c r="N60" s="245">
        <f t="shared" si="41"/>
        <v>13.566083000000001</v>
      </c>
      <c r="O60" s="245">
        <f t="shared" si="41"/>
        <v>10.306746999999998</v>
      </c>
      <c r="P60" s="245">
        <f t="shared" si="41"/>
        <v>12.495236999999999</v>
      </c>
      <c r="Q60" s="245">
        <f t="shared" si="41"/>
        <v>11.550993999999998</v>
      </c>
      <c r="R60" s="245">
        <f t="shared" si="41"/>
        <v>21.603283999999999</v>
      </c>
      <c r="S60" s="245">
        <f t="shared" si="41"/>
        <v>42.578448000000009</v>
      </c>
      <c r="T60" s="245">
        <f t="shared" si="41"/>
        <v>28.857343</v>
      </c>
      <c r="U60" s="245">
        <f t="shared" si="41"/>
        <v>29.052242999999997</v>
      </c>
      <c r="V60" s="245">
        <f t="shared" si="41"/>
        <v>35.104442000000006</v>
      </c>
      <c r="W60" s="245">
        <f t="shared" si="41"/>
        <v>88.287454999999994</v>
      </c>
      <c r="X60" s="245">
        <f t="shared" si="41"/>
        <v>120.99681899999999</v>
      </c>
      <c r="Y60" s="245">
        <f t="shared" si="41"/>
        <v>107.330568</v>
      </c>
      <c r="Z60" s="245">
        <f t="shared" si="41"/>
        <v>46.554169999999999</v>
      </c>
      <c r="AA60" s="245">
        <f t="shared" si="41"/>
        <v>52.012317000000003</v>
      </c>
      <c r="AB60" s="245">
        <f t="shared" si="41"/>
        <v>56.491343999999998</v>
      </c>
      <c r="AC60" s="245">
        <f>SUM(AC48:AC59)</f>
        <v>104.65681499999999</v>
      </c>
      <c r="AD60" s="247">
        <f>AD10</f>
        <v>35</v>
      </c>
      <c r="AE60" s="247">
        <f>AE10</f>
        <v>0</v>
      </c>
    </row>
    <row r="61" spans="1:39">
      <c r="A61" s="248"/>
      <c r="B61" s="248"/>
      <c r="C61" s="248"/>
      <c r="D61" s="248"/>
      <c r="E61" s="385"/>
      <c r="F61" s="263"/>
      <c r="G61" s="263"/>
      <c r="H61" s="263"/>
      <c r="I61" s="263"/>
      <c r="J61" s="263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</row>
    <row r="62" spans="1:39" ht="15.75" thickBot="1">
      <c r="A62" s="235" t="s">
        <v>243</v>
      </c>
      <c r="J62" s="355"/>
    </row>
    <row r="63" spans="1:39" ht="15.75" thickBot="1">
      <c r="A63" s="236"/>
      <c r="B63" s="237" t="str">
        <f>B$2</f>
        <v xml:space="preserve">93/94 </v>
      </c>
      <c r="C63" s="237" t="str">
        <f t="shared" ref="C63:AE63" si="42">C$2</f>
        <v xml:space="preserve">94/95 </v>
      </c>
      <c r="D63" s="237" t="str">
        <f t="shared" si="42"/>
        <v xml:space="preserve">95/96 </v>
      </c>
      <c r="E63" s="237" t="str">
        <f t="shared" si="42"/>
        <v xml:space="preserve">96/97 </v>
      </c>
      <c r="F63" s="237" t="str">
        <f t="shared" si="42"/>
        <v xml:space="preserve">97/98 </v>
      </c>
      <c r="G63" s="237" t="str">
        <f t="shared" si="42"/>
        <v xml:space="preserve">98/99 </v>
      </c>
      <c r="H63" s="237" t="str">
        <f t="shared" si="42"/>
        <v xml:space="preserve">99/00 </v>
      </c>
      <c r="I63" s="237" t="str">
        <f t="shared" si="42"/>
        <v xml:space="preserve">00/01 </v>
      </c>
      <c r="J63" s="237" t="str">
        <f t="shared" si="42"/>
        <v xml:space="preserve">01/02 </v>
      </c>
      <c r="K63" s="237" t="str">
        <f t="shared" si="42"/>
        <v xml:space="preserve">02/03 </v>
      </c>
      <c r="L63" s="237" t="str">
        <f t="shared" si="42"/>
        <v xml:space="preserve">03/04 </v>
      </c>
      <c r="M63" s="237" t="str">
        <f t="shared" si="42"/>
        <v xml:space="preserve">04/05 </v>
      </c>
      <c r="N63" s="237" t="str">
        <f t="shared" si="42"/>
        <v xml:space="preserve">05/06 </v>
      </c>
      <c r="O63" s="237" t="str">
        <f t="shared" si="42"/>
        <v xml:space="preserve">06/07 </v>
      </c>
      <c r="P63" s="237" t="str">
        <f t="shared" si="42"/>
        <v xml:space="preserve">07/08 </v>
      </c>
      <c r="Q63" s="237" t="str">
        <f t="shared" si="42"/>
        <v xml:space="preserve">08/09 </v>
      </c>
      <c r="R63" s="237" t="str">
        <f t="shared" si="42"/>
        <v xml:space="preserve">09/10 </v>
      </c>
      <c r="S63" s="237" t="str">
        <f t="shared" si="42"/>
        <v xml:space="preserve">10/11 </v>
      </c>
      <c r="T63" s="237" t="str">
        <f t="shared" si="42"/>
        <v xml:space="preserve">11/12 </v>
      </c>
      <c r="U63" s="237" t="str">
        <f t="shared" si="42"/>
        <v xml:space="preserve">12/13 </v>
      </c>
      <c r="V63" s="237" t="str">
        <f t="shared" si="42"/>
        <v xml:space="preserve">13/14 </v>
      </c>
      <c r="W63" s="237" t="str">
        <f t="shared" si="42"/>
        <v xml:space="preserve">14/15 </v>
      </c>
      <c r="X63" s="237" t="str">
        <f t="shared" si="42"/>
        <v xml:space="preserve">15/16 </v>
      </c>
      <c r="Y63" s="237" t="str">
        <f t="shared" si="42"/>
        <v xml:space="preserve">16/17 </v>
      </c>
      <c r="Z63" s="237" t="str">
        <f t="shared" si="42"/>
        <v xml:space="preserve">17/18 </v>
      </c>
      <c r="AA63" s="237" t="str">
        <f t="shared" si="42"/>
        <v xml:space="preserve">18/19 </v>
      </c>
      <c r="AB63" s="237" t="str">
        <f t="shared" si="42"/>
        <v xml:space="preserve">19/20 </v>
      </c>
      <c r="AC63" s="237" t="str">
        <f t="shared" si="42"/>
        <v xml:space="preserve">20/21 </v>
      </c>
      <c r="AD63" s="237" t="str">
        <f t="shared" si="42"/>
        <v xml:space="preserve">21/22 </v>
      </c>
      <c r="AE63" s="237" t="str">
        <f t="shared" si="42"/>
        <v xml:space="preserve">22/23 </v>
      </c>
    </row>
    <row r="64" spans="1:39">
      <c r="A64" s="240" t="s">
        <v>238</v>
      </c>
      <c r="B64" s="241">
        <f>(SUM(K64:O64)/SUM(K$76:O$76))*B$76</f>
        <v>8.1662916092724487</v>
      </c>
      <c r="C64" s="241">
        <f>(SUM(L64:P64)/SUM(L$76:P$76))*C$76</f>
        <v>13.265210411943762</v>
      </c>
      <c r="D64" s="146">
        <f>'[2]Russia Sunflower Exports'!BC$290</f>
        <v>2</v>
      </c>
      <c r="E64" s="146">
        <f>'[2]Russia Sunflower Exports'!BO$290</f>
        <v>60</v>
      </c>
      <c r="F64" s="146">
        <f>'[2]Russia Sunflower Exports'!CA$290</f>
        <v>31.861922</v>
      </c>
      <c r="G64" s="146">
        <f>'[2]Russia Sunflower Exports'!CM$290</f>
        <v>27.668130000000001</v>
      </c>
      <c r="H64" s="146">
        <f>'[2]Russia Sunflower Exports'!CY$290</f>
        <v>0</v>
      </c>
      <c r="I64" s="146">
        <f>'[2]Russia Sunflower Exports'!DK$290</f>
        <v>11.143368000000001</v>
      </c>
      <c r="J64" s="146">
        <f>'[2]Russia Sunflower Exports'!DW$290</f>
        <v>1.6603E-2</v>
      </c>
      <c r="K64" s="146">
        <f>'[2]Russia Sunflower Exports'!EI$290</f>
        <v>0</v>
      </c>
      <c r="L64" s="146">
        <f>'[2]Russia Sunflower Exports'!EU$290</f>
        <v>0</v>
      </c>
      <c r="M64" s="146">
        <f>'[2]Russia Sunflower Exports'!FG$290</f>
        <v>0.02</v>
      </c>
      <c r="N64" s="146">
        <f>'[2]Russia Sunflower Exports'!FS$290</f>
        <v>15.586</v>
      </c>
      <c r="O64" s="146">
        <f>'[2]Russia Sunflower Exports'!GE$290</f>
        <v>4.1029999999999998</v>
      </c>
      <c r="P64" s="146">
        <f>'[2]Russia Sunflower Exports'!GQ$290</f>
        <v>3.609</v>
      </c>
      <c r="Q64" s="146">
        <f>'[2]Russia Sunflower Exports'!HC$290</f>
        <v>0.38</v>
      </c>
      <c r="R64" s="146">
        <f>'[2]Russia Sunflower Exports'!HO$290</f>
        <v>2.109</v>
      </c>
      <c r="S64" s="146">
        <f>'[2]Russia Sunflower Exports'!IA$290</f>
        <v>0.24</v>
      </c>
      <c r="T64" s="146">
        <f>'[2]Russia Sunflower Exports'!IM$290</f>
        <v>3.3809999999999998</v>
      </c>
      <c r="U64" s="146">
        <f>'[2]Russia Sunflower Exports'!IY$290</f>
        <v>8.69</v>
      </c>
      <c r="V64" s="146">
        <f>'[2]Russia Sunflower Exports'!JK$290</f>
        <v>5.8689999999999998</v>
      </c>
      <c r="W64" s="146">
        <f>'[2]Russia Sunflower Exports'!JW$290</f>
        <v>1.671</v>
      </c>
      <c r="X64" s="146">
        <f>'[2]Russia Sunflower Exports'!KI$290</f>
        <v>1.8480000000000001</v>
      </c>
      <c r="Y64" s="146">
        <f>'[2]Russia Sunflower Exports'!KU$290</f>
        <v>4.2910000000000004</v>
      </c>
      <c r="Z64" s="146">
        <f>'[2]Russia Sunflower Exports'!LG$290</f>
        <v>2.893313</v>
      </c>
      <c r="AA64" s="146">
        <f>'[2]Russia Sunflower Exports'!LS$290</f>
        <v>5.2542450000000001</v>
      </c>
      <c r="AB64" s="146">
        <f>'[2]Russia Sunflower Exports'!ME$290</f>
        <v>6.920782</v>
      </c>
      <c r="AC64" s="146">
        <f>'[2]Russia Sunflower Exports'!MQ$290</f>
        <v>32.678086</v>
      </c>
      <c r="AD64" s="146">
        <f>'[2]Russia Sunflower Exports'!NC$290</f>
        <v>8.8849999999999998</v>
      </c>
      <c r="AE64" s="253">
        <f t="shared" ref="AE64:AE74" si="43">(SUM(Y64:AC64)/SUM(Y$76:AC$76))*AE$76</f>
        <v>4.4769254233860547</v>
      </c>
    </row>
    <row r="65" spans="1:39">
      <c r="A65" s="240" t="s">
        <v>239</v>
      </c>
      <c r="B65" s="241">
        <f t="shared" ref="B65:C74" si="44">(SUM(K65:O65)/SUM(K$76:O$76))*B$76</f>
        <v>40.920541850512308</v>
      </c>
      <c r="C65" s="241">
        <f t="shared" si="44"/>
        <v>46.882204960060797</v>
      </c>
      <c r="D65" s="146">
        <f>'[2]Russia Sunflower Exports'!BD$290</f>
        <v>61</v>
      </c>
      <c r="E65" s="146">
        <f>'[2]Russia Sunflower Exports'!BP$290</f>
        <v>235</v>
      </c>
      <c r="F65" s="146">
        <f>'[2]Russia Sunflower Exports'!CB$290</f>
        <v>135.67334399999999</v>
      </c>
      <c r="G65" s="146">
        <f>'[2]Russia Sunflower Exports'!CN$290</f>
        <v>288.52877599999999</v>
      </c>
      <c r="H65" s="146">
        <f>'[2]Russia Sunflower Exports'!CZ$290</f>
        <v>17.906452000000002</v>
      </c>
      <c r="I65" s="146">
        <f>'[2]Russia Sunflower Exports'!DL$290</f>
        <v>99.879821000000007</v>
      </c>
      <c r="J65" s="146">
        <f>'[2]Russia Sunflower Exports'!DX$290</f>
        <v>5.8516599999999999</v>
      </c>
      <c r="K65" s="146">
        <f>'[2]Russia Sunflower Exports'!EJ$290</f>
        <v>17.773</v>
      </c>
      <c r="L65" s="146">
        <f>'[2]Russia Sunflower Exports'!EV$290</f>
        <v>24.116</v>
      </c>
      <c r="M65" s="146">
        <f>'[2]Russia Sunflower Exports'!FH$290</f>
        <v>0.29799999999999999</v>
      </c>
      <c r="N65" s="146">
        <f>'[2]Russia Sunflower Exports'!FT$290</f>
        <v>35.616999999999997</v>
      </c>
      <c r="O65" s="146">
        <f>'[2]Russia Sunflower Exports'!GF$290</f>
        <v>20.956</v>
      </c>
      <c r="P65" s="146">
        <f>'[2]Russia Sunflower Exports'!GR$290</f>
        <v>1.4239999999999999</v>
      </c>
      <c r="Q65" s="146">
        <f>'[2]Russia Sunflower Exports'!HD$290</f>
        <v>0.85099999999999998</v>
      </c>
      <c r="R65" s="146">
        <f>'[2]Russia Sunflower Exports'!HP$290</f>
        <v>4.157</v>
      </c>
      <c r="S65" s="146">
        <f>'[2]Russia Sunflower Exports'!IB$290</f>
        <v>0.89900000000000002</v>
      </c>
      <c r="T65" s="146">
        <f>'[2]Russia Sunflower Exports'!IN$290</f>
        <v>6.8689999999999998</v>
      </c>
      <c r="U65" s="146">
        <f>'[2]Russia Sunflower Exports'!IZ$290</f>
        <v>4.0890000000000004</v>
      </c>
      <c r="V65" s="146">
        <f>'[2]Russia Sunflower Exports'!JL$290</f>
        <v>9.4499999999999993</v>
      </c>
      <c r="W65" s="146">
        <f>'[2]Russia Sunflower Exports'!JX$290</f>
        <v>3.508</v>
      </c>
      <c r="X65" s="146">
        <f>'[2]Russia Sunflower Exports'!KJ$290</f>
        <v>4.133</v>
      </c>
      <c r="Y65" s="146">
        <f>'[2]Russia Sunflower Exports'!KV$290</f>
        <v>20.126999999999999</v>
      </c>
      <c r="Z65" s="146">
        <f>'[2]Russia Sunflower Exports'!LH$290</f>
        <v>6.8150500000000003</v>
      </c>
      <c r="AA65" s="146">
        <f>'[2]Russia Sunflower Exports'!LT$290</f>
        <v>5.4915039999999999</v>
      </c>
      <c r="AB65" s="146">
        <f>'[2]Russia Sunflower Exports'!MF$290</f>
        <v>78.018624000000003</v>
      </c>
      <c r="AC65" s="146">
        <f>'[2]Russia Sunflower Exports'!MR$290</f>
        <v>204.27940100000001</v>
      </c>
      <c r="AD65" s="146">
        <f>'[2]Russia Sunflower Exports'!ND$290</f>
        <v>20.422000000000001</v>
      </c>
      <c r="AE65" s="253">
        <f t="shared" si="43"/>
        <v>27.077238746734643</v>
      </c>
    </row>
    <row r="66" spans="1:39">
      <c r="A66" s="240" t="s">
        <v>240</v>
      </c>
      <c r="B66" s="241">
        <f t="shared" si="44"/>
        <v>92.622295719557741</v>
      </c>
      <c r="C66" s="241">
        <f t="shared" si="44"/>
        <v>104.73190248088426</v>
      </c>
      <c r="D66" s="146">
        <f>'[2]Russia Sunflower Exports'!BE$290</f>
        <v>114</v>
      </c>
      <c r="E66" s="146">
        <f>'[2]Russia Sunflower Exports'!BQ$290</f>
        <v>316</v>
      </c>
      <c r="F66" s="146">
        <f>'[2]Russia Sunflower Exports'!CC$290</f>
        <v>237.727745</v>
      </c>
      <c r="G66" s="146">
        <f>'[2]Russia Sunflower Exports'!CO$290</f>
        <v>276.18699299999997</v>
      </c>
      <c r="H66" s="146">
        <f>'[2]Russia Sunflower Exports'!DA$290</f>
        <v>99.229028999999997</v>
      </c>
      <c r="I66" s="146">
        <f>'[2]Russia Sunflower Exports'!DM$290</f>
        <v>174.46945299999999</v>
      </c>
      <c r="J66" s="146">
        <f>'[2]Russia Sunflower Exports'!DY$290</f>
        <v>3.6299000000000001</v>
      </c>
      <c r="K66" s="146">
        <f>'[2]Russia Sunflower Exports'!EK$290</f>
        <v>46.137</v>
      </c>
      <c r="L66" s="146">
        <f>'[2]Russia Sunflower Exports'!EW$290</f>
        <v>78.028999999999996</v>
      </c>
      <c r="M66" s="146">
        <f>'[2]Russia Sunflower Exports'!FI$290</f>
        <v>0.16900000000000001</v>
      </c>
      <c r="N66" s="146">
        <f>'[2]Russia Sunflower Exports'!FU$290</f>
        <v>85.978999999999999</v>
      </c>
      <c r="O66" s="146">
        <f>'[2]Russia Sunflower Exports'!GG$290</f>
        <v>13.226000000000001</v>
      </c>
      <c r="P66" s="146">
        <f>'[2]Russia Sunflower Exports'!GS$290</f>
        <v>6.6980000000000004</v>
      </c>
      <c r="Q66" s="146">
        <f>'[2]Russia Sunflower Exports'!HE$290</f>
        <v>17.855</v>
      </c>
      <c r="R66" s="146">
        <f>'[2]Russia Sunflower Exports'!HQ$290</f>
        <v>0.99399999999999999</v>
      </c>
      <c r="S66" s="146">
        <f>'[2]Russia Sunflower Exports'!IC$290</f>
        <v>0.14499999999999999</v>
      </c>
      <c r="T66" s="146">
        <f>'[2]Russia Sunflower Exports'!IO$290</f>
        <v>24.873000000000001</v>
      </c>
      <c r="U66" s="146">
        <f>'[2]Russia Sunflower Exports'!JA$290</f>
        <v>2.4159999999999999</v>
      </c>
      <c r="V66" s="146">
        <f>'[2]Russia Sunflower Exports'!JM$290</f>
        <v>24.954000000000001</v>
      </c>
      <c r="W66" s="146">
        <f>'[2]Russia Sunflower Exports'!JY$290</f>
        <v>4.1109999999999998</v>
      </c>
      <c r="X66" s="146">
        <f>'[2]Russia Sunflower Exports'!KK$290</f>
        <v>4.5170000000000003</v>
      </c>
      <c r="Y66" s="146">
        <f>'[2]Russia Sunflower Exports'!KW$290</f>
        <v>52.396999999999998</v>
      </c>
      <c r="Z66" s="146">
        <f>'[2]Russia Sunflower Exports'!LI$290</f>
        <v>25.159330000000001</v>
      </c>
      <c r="AA66" s="146">
        <f>'[2]Russia Sunflower Exports'!LU$290</f>
        <v>12.719338</v>
      </c>
      <c r="AB66" s="146">
        <f>'[2]Russia Sunflower Exports'!MG$290</f>
        <v>112.982304</v>
      </c>
      <c r="AC66" s="146">
        <f>'[2]Russia Sunflower Exports'!MS$290</f>
        <v>184.11587399999999</v>
      </c>
      <c r="AD66" s="146">
        <f>'[2]Russia Sunflower Exports'!NE$290</f>
        <v>31.545999999999999</v>
      </c>
      <c r="AE66" s="253">
        <f t="shared" si="43"/>
        <v>33.326856318993073</v>
      </c>
    </row>
    <row r="67" spans="1:39">
      <c r="A67" s="240" t="s">
        <v>241</v>
      </c>
      <c r="B67" s="241">
        <f t="shared" si="44"/>
        <v>102.71445487157202</v>
      </c>
      <c r="C67" s="241">
        <f t="shared" si="44"/>
        <v>133.75403020949406</v>
      </c>
      <c r="D67" s="146">
        <f>'[2]Russia Sunflower Exports'!BF$290</f>
        <v>155</v>
      </c>
      <c r="E67" s="146">
        <f>'[2]Russia Sunflower Exports'!BR$290</f>
        <v>216</v>
      </c>
      <c r="F67" s="146">
        <f>'[2]Russia Sunflower Exports'!CD$290</f>
        <v>218.83521200000001</v>
      </c>
      <c r="G67" s="146">
        <f>'[2]Russia Sunflower Exports'!CP$290</f>
        <v>199.242852</v>
      </c>
      <c r="H67" s="146">
        <f>'[2]Russia Sunflower Exports'!DB$290</f>
        <v>88.535425000000004</v>
      </c>
      <c r="I67" s="146">
        <f>'[2]Russia Sunflower Exports'!DN$290</f>
        <v>187.47681700000001</v>
      </c>
      <c r="J67" s="146">
        <f>'[2]Russia Sunflower Exports'!DZ$290</f>
        <v>3.8164099999999999</v>
      </c>
      <c r="K67" s="146">
        <f>'[2]Russia Sunflower Exports'!EL$290</f>
        <v>17.187000000000001</v>
      </c>
      <c r="L67" s="146">
        <f>'[2]Russia Sunflower Exports'!EX$290</f>
        <v>85.363</v>
      </c>
      <c r="M67" s="146">
        <f>'[2]Russia Sunflower Exports'!FJ$290</f>
        <v>0.84</v>
      </c>
      <c r="N67" s="146">
        <f>'[2]Russia Sunflower Exports'!FV$290</f>
        <v>103.864</v>
      </c>
      <c r="O67" s="146">
        <f>'[2]Russia Sunflower Exports'!GH$290</f>
        <v>40.643000000000001</v>
      </c>
      <c r="P67" s="146">
        <f>'[2]Russia Sunflower Exports'!GT$290</f>
        <v>4.407</v>
      </c>
      <c r="Q67" s="146">
        <f>'[2]Russia Sunflower Exports'!HF$290</f>
        <v>45.209000000000003</v>
      </c>
      <c r="R67" s="146">
        <f>'[2]Russia Sunflower Exports'!HR$290</f>
        <v>0.41799999999999998</v>
      </c>
      <c r="S67" s="146">
        <f>'[2]Russia Sunflower Exports'!ID$290</f>
        <v>0.51300000000000001</v>
      </c>
      <c r="T67" s="146">
        <f>'[2]Russia Sunflower Exports'!IP$290</f>
        <v>72.721999999999994</v>
      </c>
      <c r="U67" s="146">
        <f>'[2]Russia Sunflower Exports'!JB$290</f>
        <v>6.0739999999999998</v>
      </c>
      <c r="V67" s="146">
        <f>'[2]Russia Sunflower Exports'!JN$290</f>
        <v>21.609000000000002</v>
      </c>
      <c r="W67" s="146">
        <f>'[2]Russia Sunflower Exports'!JZ$290</f>
        <v>8.1649999999999991</v>
      </c>
      <c r="X67" s="146">
        <f>'[2]Russia Sunflower Exports'!KL$290</f>
        <v>7.2889999999999997</v>
      </c>
      <c r="Y67" s="146">
        <f>'[2]Russia Sunflower Exports'!KX$290</f>
        <v>23.593</v>
      </c>
      <c r="Z67" s="146">
        <f>'[2]Russia Sunflower Exports'!LJ$290</f>
        <v>11.718159</v>
      </c>
      <c r="AA67" s="146">
        <f>'[2]Russia Sunflower Exports'!LV$290</f>
        <v>13.207148999999999</v>
      </c>
      <c r="AB67" s="146">
        <f>'[2]Russia Sunflower Exports'!MH$290</f>
        <v>194.565169</v>
      </c>
      <c r="AC67" s="146">
        <f>'[2]Russia Sunflower Exports'!MT$290</f>
        <v>108.450047</v>
      </c>
      <c r="AD67" s="146">
        <f>'[2]Russia Sunflower Exports'!NF$290</f>
        <v>70.478999999999999</v>
      </c>
      <c r="AE67" s="253">
        <f t="shared" si="43"/>
        <v>30.243413092109744</v>
      </c>
    </row>
    <row r="68" spans="1:39">
      <c r="A68" s="240" t="s">
        <v>231</v>
      </c>
      <c r="B68" s="241">
        <f t="shared" si="44"/>
        <v>40.276238057706045</v>
      </c>
      <c r="C68" s="241">
        <f t="shared" si="44"/>
        <v>45.826927264111085</v>
      </c>
      <c r="D68" s="146">
        <f>'[2]Russia Sunflower Exports'!BG$290</f>
        <v>116</v>
      </c>
      <c r="E68" s="146">
        <f>'[2]Russia Sunflower Exports'!BS$290</f>
        <v>142.97617600000001</v>
      </c>
      <c r="F68" s="146">
        <f>'[2]Russia Sunflower Exports'!CE$290</f>
        <v>95.779572999999999</v>
      </c>
      <c r="G68" s="146">
        <f>'[2]Russia Sunflower Exports'!CQ$290</f>
        <v>86.712318999999994</v>
      </c>
      <c r="H68" s="146">
        <f>'[2]Russia Sunflower Exports'!DC$290</f>
        <v>52.996431000000001</v>
      </c>
      <c r="I68" s="146">
        <f>'[2]Russia Sunflower Exports'!DO$290</f>
        <v>69.089813000000007</v>
      </c>
      <c r="J68" s="146">
        <f>'[2]Russia Sunflower Exports'!EA$290</f>
        <v>1.7290000000000001</v>
      </c>
      <c r="K68" s="146">
        <f>'[2]Russia Sunflower Exports'!EM$290</f>
        <v>18.32</v>
      </c>
      <c r="L68" s="146">
        <f>'[2]Russia Sunflower Exports'!EY$290</f>
        <v>43.198999999999998</v>
      </c>
      <c r="M68" s="146">
        <f>'[2]Russia Sunflower Exports'!FK$290</f>
        <v>0.108</v>
      </c>
      <c r="N68" s="146">
        <f>'[2]Russia Sunflower Exports'!FW$290</f>
        <v>22.902000000000001</v>
      </c>
      <c r="O68" s="146">
        <f>'[2]Russia Sunflower Exports'!GI$290</f>
        <v>12.676</v>
      </c>
      <c r="P68" s="146">
        <f>'[2]Russia Sunflower Exports'!GU$290</f>
        <v>1.671</v>
      </c>
      <c r="Q68" s="146">
        <f>'[2]Russia Sunflower Exports'!HG$290</f>
        <v>32.119</v>
      </c>
      <c r="R68" s="146">
        <f>'[2]Russia Sunflower Exports'!HS$290</f>
        <v>8.5999999999999993E-2</v>
      </c>
      <c r="S68" s="146">
        <f>'[2]Russia Sunflower Exports'!IE$290</f>
        <v>0.14299999999999999</v>
      </c>
      <c r="T68" s="146">
        <f>'[2]Russia Sunflower Exports'!IQ$290</f>
        <v>20.693999999999999</v>
      </c>
      <c r="U68" s="146">
        <f>'[2]Russia Sunflower Exports'!JC$290</f>
        <v>1.363</v>
      </c>
      <c r="V68" s="146">
        <f>'[2]Russia Sunflower Exports'!JO$290</f>
        <v>13.688000000000001</v>
      </c>
      <c r="W68" s="146">
        <f>'[2]Russia Sunflower Exports'!KA$290</f>
        <v>8.4339999999999993</v>
      </c>
      <c r="X68" s="146">
        <f>'[2]Russia Sunflower Exports'!KM$290</f>
        <v>3.4969999999999999</v>
      </c>
      <c r="Y68" s="146">
        <f>'[2]Russia Sunflower Exports'!KY$290</f>
        <v>16.577999999999999</v>
      </c>
      <c r="Z68" s="146">
        <f>'[2]Russia Sunflower Exports'!LK$290</f>
        <v>7.0252629999999998</v>
      </c>
      <c r="AA68" s="146">
        <f>'[2]Russia Sunflower Exports'!LW$290</f>
        <v>13.467264</v>
      </c>
      <c r="AB68" s="146">
        <f>'[2]Russia Sunflower Exports'!MI$290</f>
        <v>157.420163</v>
      </c>
      <c r="AC68" s="146">
        <f>'[2]Russia Sunflower Exports'!MU$290</f>
        <v>11.907999999999999</v>
      </c>
      <c r="AD68" s="146">
        <f>'[2]Russia Sunflower Exports'!NG$290</f>
        <v>20.479928000000001</v>
      </c>
      <c r="AE68" s="253">
        <f t="shared" si="43"/>
        <v>17.757057057637269</v>
      </c>
    </row>
    <row r="69" spans="1:39">
      <c r="A69" s="240" t="s">
        <v>232</v>
      </c>
      <c r="B69" s="241">
        <f t="shared" si="44"/>
        <v>26.821683228120836</v>
      </c>
      <c r="C69" s="241">
        <f t="shared" si="44"/>
        <v>29.107460156853701</v>
      </c>
      <c r="D69" s="146">
        <f>'[2]Russia Sunflower Exports'!BH$290</f>
        <v>111</v>
      </c>
      <c r="E69" s="146">
        <f>'[2]Russia Sunflower Exports'!BT$290</f>
        <v>74.153741999999994</v>
      </c>
      <c r="F69" s="146">
        <f>'[2]Russia Sunflower Exports'!CF$290</f>
        <v>79.512466000000003</v>
      </c>
      <c r="G69" s="146">
        <f>'[2]Russia Sunflower Exports'!CR$290</f>
        <v>13.267483</v>
      </c>
      <c r="H69" s="146">
        <f>'[2]Russia Sunflower Exports'!DD$290</f>
        <v>126.665989</v>
      </c>
      <c r="I69" s="146">
        <f>'[2]Russia Sunflower Exports'!DP$290</f>
        <v>104.111175</v>
      </c>
      <c r="J69" s="146">
        <f>'[2]Russia Sunflower Exports'!EB$290</f>
        <v>2.81</v>
      </c>
      <c r="K69" s="146">
        <f>'[2]Russia Sunflower Exports'!EN$290</f>
        <v>16.347000000000001</v>
      </c>
      <c r="L69" s="146">
        <f>'[2]Russia Sunflower Exports'!EZ$290</f>
        <v>21.373999999999999</v>
      </c>
      <c r="M69" s="146">
        <f>'[2]Russia Sunflower Exports'!FL$290</f>
        <v>0.27</v>
      </c>
      <c r="N69" s="146">
        <f>'[2]Russia Sunflower Exports'!FX$290</f>
        <v>9.3490000000000002</v>
      </c>
      <c r="O69" s="146">
        <f>'[2]Russia Sunflower Exports'!GJ$290</f>
        <v>17.393000000000001</v>
      </c>
      <c r="P69" s="146">
        <f>'[2]Russia Sunflower Exports'!GV$290</f>
        <v>2.78</v>
      </c>
      <c r="Q69" s="146">
        <f>'[2]Russia Sunflower Exports'!HH$290</f>
        <v>7.1829999999999998</v>
      </c>
      <c r="R69" s="146">
        <f>'[2]Russia Sunflower Exports'!HT$290</f>
        <v>0.35</v>
      </c>
      <c r="S69" s="146">
        <f>'[2]Russia Sunflower Exports'!IF$290</f>
        <v>2.1080000000000001</v>
      </c>
      <c r="T69" s="146">
        <f>'[2]Russia Sunflower Exports'!IR$290</f>
        <v>6.4009999999999998</v>
      </c>
      <c r="U69" s="146">
        <f>'[2]Russia Sunflower Exports'!JD$290</f>
        <v>2.706</v>
      </c>
      <c r="V69" s="146">
        <f>'[2]Russia Sunflower Exports'!JP$290</f>
        <v>12.89</v>
      </c>
      <c r="W69" s="146">
        <f>'[2]Russia Sunflower Exports'!KB$290</f>
        <v>15.472</v>
      </c>
      <c r="X69" s="146">
        <f>'[2]Russia Sunflower Exports'!KN$290</f>
        <v>14.278</v>
      </c>
      <c r="Y69" s="146">
        <f>'[2]Russia Sunflower Exports'!KZ$290</f>
        <v>26.869</v>
      </c>
      <c r="Z69" s="146">
        <f>'[2]Russia Sunflower Exports'!LL$290</f>
        <v>9.5801660000000002</v>
      </c>
      <c r="AA69" s="146">
        <f>'[2]Russia Sunflower Exports'!LX$290</f>
        <v>20.619980999999999</v>
      </c>
      <c r="AB69" s="146">
        <f>'[2]Russia Sunflower Exports'!MJ$290</f>
        <v>196.60848100000001</v>
      </c>
      <c r="AC69" s="146">
        <f>'[2]Russia Sunflower Exports'!MV$290</f>
        <v>5.85</v>
      </c>
      <c r="AD69" s="253">
        <f>(SUM(X69:AB69)/SUM(X$76:AB$76))*AD$76*0</f>
        <v>0</v>
      </c>
      <c r="AE69" s="253">
        <f t="shared" si="43"/>
        <v>22.32788831377399</v>
      </c>
    </row>
    <row r="70" spans="1:39">
      <c r="A70" s="240" t="s">
        <v>233</v>
      </c>
      <c r="B70" s="241">
        <f t="shared" si="44"/>
        <v>52.492735181242956</v>
      </c>
      <c r="C70" s="241">
        <f t="shared" si="44"/>
        <v>60.334577831286211</v>
      </c>
      <c r="D70" s="146">
        <f>'[2]Russia Sunflower Exports'!BI$290</f>
        <v>140</v>
      </c>
      <c r="E70" s="146">
        <f>'[2]Russia Sunflower Exports'!BU$290</f>
        <v>99.815567000000001</v>
      </c>
      <c r="F70" s="146">
        <f>'[2]Russia Sunflower Exports'!CG$290</f>
        <v>43.281413000000001</v>
      </c>
      <c r="G70" s="146">
        <f>'[2]Russia Sunflower Exports'!CS$290</f>
        <v>5.7908549999999996</v>
      </c>
      <c r="H70" s="146">
        <f>'[2]Russia Sunflower Exports'!DE$290</f>
        <v>111.97575399999999</v>
      </c>
      <c r="I70" s="146">
        <f>'[2]Russia Sunflower Exports'!DQ$290</f>
        <v>35.313966999999998</v>
      </c>
      <c r="J70" s="146">
        <f>'[2]Russia Sunflower Exports'!EC$290</f>
        <v>1.4999999999999999E-2</v>
      </c>
      <c r="K70" s="146">
        <f>'[2]Russia Sunflower Exports'!EO$290</f>
        <v>23.352</v>
      </c>
      <c r="L70" s="146">
        <f>'[2]Russia Sunflower Exports'!FA$290</f>
        <v>23.478000000000002</v>
      </c>
      <c r="M70" s="146">
        <f>'[2]Russia Sunflower Exports'!FM$290</f>
        <v>0.32200000000000001</v>
      </c>
      <c r="N70" s="146">
        <f>'[2]Russia Sunflower Exports'!FY$290</f>
        <v>57.616999999999997</v>
      </c>
      <c r="O70" s="146">
        <f>'[2]Russia Sunflower Exports'!GK$290</f>
        <v>21.92</v>
      </c>
      <c r="P70" s="146">
        <f>'[2]Russia Sunflower Exports'!GW$290</f>
        <v>2.7210000000000001</v>
      </c>
      <c r="Q70" s="146">
        <f>'[2]Russia Sunflower Exports'!HI$290</f>
        <v>31.523</v>
      </c>
      <c r="R70" s="146">
        <f>'[2]Russia Sunflower Exports'!HU$290</f>
        <v>0.50700000000000001</v>
      </c>
      <c r="S70" s="146">
        <f>'[2]Russia Sunflower Exports'!IG$290</f>
        <v>1.5620000000000001</v>
      </c>
      <c r="T70" s="146">
        <f>'[2]Russia Sunflower Exports'!IS$290</f>
        <v>13.768000000000001</v>
      </c>
      <c r="U70" s="146">
        <f>'[2]Russia Sunflower Exports'!JE$290</f>
        <v>1.8220000000000001</v>
      </c>
      <c r="V70" s="146">
        <f>'[2]Russia Sunflower Exports'!JQ$290</f>
        <v>16.945</v>
      </c>
      <c r="W70" s="146">
        <f>'[2]Russia Sunflower Exports'!KC$290</f>
        <v>4.8209999999999997</v>
      </c>
      <c r="X70" s="146">
        <f>'[2]Russia Sunflower Exports'!KO$290</f>
        <v>12.097</v>
      </c>
      <c r="Y70" s="146">
        <f>'[2]Russia Sunflower Exports'!LA$290</f>
        <v>44.813000000000002</v>
      </c>
      <c r="Z70" s="146">
        <f>'[2]Russia Sunflower Exports'!LM$290</f>
        <v>9.3605309999999999</v>
      </c>
      <c r="AA70" s="146">
        <f>'[2]Russia Sunflower Exports'!LY$290</f>
        <v>25.43572</v>
      </c>
      <c r="AB70" s="146">
        <f>'[2]Russia Sunflower Exports'!MK$290</f>
        <v>341.35654799999998</v>
      </c>
      <c r="AC70" s="146">
        <f>'[2]Russia Sunflower Exports'!MW$290</f>
        <v>15.069000000000001</v>
      </c>
      <c r="AD70" s="253">
        <f t="shared" ref="AD70:AD74" si="45">(SUM(X70:AB70)/SUM(X$76:AB$76))*AD$76*0</f>
        <v>0</v>
      </c>
      <c r="AE70" s="253">
        <f t="shared" si="43"/>
        <v>37.513294318672258</v>
      </c>
    </row>
    <row r="71" spans="1:39">
      <c r="A71" s="240" t="s">
        <v>234</v>
      </c>
      <c r="B71" s="241">
        <f t="shared" si="44"/>
        <v>40.040062390889602</v>
      </c>
      <c r="C71" s="241">
        <f t="shared" si="44"/>
        <v>48.77658486707567</v>
      </c>
      <c r="D71" s="146">
        <f>'[2]Russia Sunflower Exports'!BJ$290</f>
        <v>168</v>
      </c>
      <c r="E71" s="146">
        <f>'[2]Russia Sunflower Exports'!BV$290</f>
        <v>67.385560999999996</v>
      </c>
      <c r="F71" s="146">
        <f>'[2]Russia Sunflower Exports'!CH$290</f>
        <v>38.983021000000001</v>
      </c>
      <c r="G71" s="146">
        <f>'[2]Russia Sunflower Exports'!CT$290</f>
        <v>0.27944999999999998</v>
      </c>
      <c r="H71" s="146">
        <f>'[2]Russia Sunflower Exports'!DF$290</f>
        <v>103.912216</v>
      </c>
      <c r="I71" s="146">
        <f>'[2]Russia Sunflower Exports'!DR$290</f>
        <v>41.421241999999999</v>
      </c>
      <c r="J71" s="146">
        <f>'[2]Russia Sunflower Exports'!ED$290</f>
        <v>3.1E-2</v>
      </c>
      <c r="K71" s="146">
        <f>'[2]Russia Sunflower Exports'!EP$290</f>
        <v>15.612</v>
      </c>
      <c r="L71" s="146">
        <f>'[2]Russia Sunflower Exports'!FB$290</f>
        <v>19.776</v>
      </c>
      <c r="M71" s="146">
        <f>'[2]Russia Sunflower Exports'!FN$290</f>
        <v>15.712999999999999</v>
      </c>
      <c r="N71" s="146">
        <f>'[2]Russia Sunflower Exports'!FZ$290</f>
        <v>30.722999999999999</v>
      </c>
      <c r="O71" s="146">
        <f>'[2]Russia Sunflower Exports'!GL$290</f>
        <v>14.811</v>
      </c>
      <c r="P71" s="146">
        <f>'[2]Russia Sunflower Exports'!GX$290</f>
        <v>4.718</v>
      </c>
      <c r="Q71" s="146">
        <f>'[2]Russia Sunflower Exports'!HJ$290</f>
        <v>7.9809999999999999</v>
      </c>
      <c r="R71" s="146">
        <f>'[2]Russia Sunflower Exports'!HV$290</f>
        <v>0.38900000000000001</v>
      </c>
      <c r="S71" s="146">
        <f>'[2]Russia Sunflower Exports'!IH$290</f>
        <v>1.262</v>
      </c>
      <c r="T71" s="146">
        <f>'[2]Russia Sunflower Exports'!IT$290</f>
        <v>71.644000000000005</v>
      </c>
      <c r="U71" s="146">
        <f>'[2]Russia Sunflower Exports'!JF$290</f>
        <v>4.8369999999999997</v>
      </c>
      <c r="V71" s="146">
        <f>'[2]Russia Sunflower Exports'!JR$290</f>
        <v>15.65</v>
      </c>
      <c r="W71" s="146">
        <f>'[2]Russia Sunflower Exports'!KD$290</f>
        <v>4.9580000000000002</v>
      </c>
      <c r="X71" s="146">
        <f>'[2]Russia Sunflower Exports'!KP$290</f>
        <v>22.81</v>
      </c>
      <c r="Y71" s="146">
        <f>'[2]Russia Sunflower Exports'!LB$290</f>
        <v>55.621000000000002</v>
      </c>
      <c r="Z71" s="146">
        <f>'[2]Russia Sunflower Exports'!LN$290</f>
        <v>8.5457590000000003</v>
      </c>
      <c r="AA71" s="146">
        <f>'[2]Russia Sunflower Exports'!LZ$290</f>
        <v>42.782756999999997</v>
      </c>
      <c r="AB71" s="146">
        <f>'[2]Russia Sunflower Exports'!ML$290</f>
        <v>72.408006</v>
      </c>
      <c r="AC71" s="146">
        <f>'[2]Russia Sunflower Exports'!MX$290</f>
        <v>5.1909999999999998</v>
      </c>
      <c r="AD71" s="253">
        <f t="shared" si="45"/>
        <v>0</v>
      </c>
      <c r="AE71" s="253">
        <f t="shared" si="43"/>
        <v>15.877225941001015</v>
      </c>
    </row>
    <row r="72" spans="1:39">
      <c r="A72" s="240" t="s">
        <v>46</v>
      </c>
      <c r="B72" s="241">
        <f t="shared" si="44"/>
        <v>31.518678594842253</v>
      </c>
      <c r="C72" s="241">
        <f t="shared" si="44"/>
        <v>28.619358667298524</v>
      </c>
      <c r="D72" s="146">
        <f>'[2]Russia Sunflower Exports'!BK$290</f>
        <v>133</v>
      </c>
      <c r="E72" s="146">
        <f>'[2]Russia Sunflower Exports'!BW$290</f>
        <v>24.497064999999999</v>
      </c>
      <c r="F72" s="146">
        <f>'[2]Russia Sunflower Exports'!CI$290</f>
        <v>34.078111</v>
      </c>
      <c r="G72" s="146">
        <f>'[2]Russia Sunflower Exports'!CU$290</f>
        <v>0.1305</v>
      </c>
      <c r="H72" s="146">
        <f>'[2]Russia Sunflower Exports'!DG$290</f>
        <v>117.53833299999999</v>
      </c>
      <c r="I72" s="146">
        <f>'[2]Russia Sunflower Exports'!DS$290</f>
        <v>5.9562109999999997</v>
      </c>
      <c r="J72" s="146">
        <f>'[2]Russia Sunflower Exports'!EE$290</f>
        <v>7.0000000000000001E-3</v>
      </c>
      <c r="K72" s="146">
        <f>'[2]Russia Sunflower Exports'!EQ$290</f>
        <v>29.47</v>
      </c>
      <c r="L72" s="146">
        <f>'[2]Russia Sunflower Exports'!FC$290</f>
        <v>11.244999999999999</v>
      </c>
      <c r="M72" s="146">
        <f>'[2]Russia Sunflower Exports'!FO$290</f>
        <v>13.804</v>
      </c>
      <c r="N72" s="146">
        <f>'[2]Russia Sunflower Exports'!GA$290</f>
        <v>16.678999999999998</v>
      </c>
      <c r="O72" s="146">
        <f>'[2]Russia Sunflower Exports'!GM$290</f>
        <v>4.8710000000000004</v>
      </c>
      <c r="P72" s="146">
        <f>'[2]Russia Sunflower Exports'!GY$290</f>
        <v>3.7090000000000001</v>
      </c>
      <c r="Q72" s="146">
        <f>'[2]Russia Sunflower Exports'!HK$290</f>
        <v>1.333</v>
      </c>
      <c r="R72" s="146">
        <f>'[2]Russia Sunflower Exports'!HW$290</f>
        <v>4.0679999999999996</v>
      </c>
      <c r="S72" s="146">
        <f>'[2]Russia Sunflower Exports'!II$290</f>
        <v>1.3380000000000001</v>
      </c>
      <c r="T72" s="146">
        <f>'[2]Russia Sunflower Exports'!IU$290</f>
        <v>69.605999999999995</v>
      </c>
      <c r="U72" s="146">
        <f>'[2]Russia Sunflower Exports'!JG$290</f>
        <v>2.8050000000000002</v>
      </c>
      <c r="V72" s="146">
        <f>'[2]Russia Sunflower Exports'!JS$290</f>
        <v>8.1110000000000007</v>
      </c>
      <c r="W72" s="146">
        <f>'[2]Russia Sunflower Exports'!KE$290</f>
        <v>3.3010000000000002</v>
      </c>
      <c r="X72" s="146">
        <f>'[2]Russia Sunflower Exports'!KQ$290</f>
        <v>15.24</v>
      </c>
      <c r="Y72" s="146">
        <f>'[2]Russia Sunflower Exports'!LC$290</f>
        <v>82.042000000000002</v>
      </c>
      <c r="Z72" s="146">
        <f>'[2]Russia Sunflower Exports'!LO$290</f>
        <v>5.0428639999999998</v>
      </c>
      <c r="AA72" s="146">
        <f>'[2]Russia Sunflower Exports'!MA$290</f>
        <v>66.933287000000007</v>
      </c>
      <c r="AB72" s="146">
        <f>'[2]Russia Sunflower Exports'!MM$290</f>
        <v>61.230851000000001</v>
      </c>
      <c r="AC72" s="146">
        <f>'[2]Russia Sunflower Exports'!MY$290</f>
        <v>3.6</v>
      </c>
      <c r="AD72" s="253">
        <f t="shared" si="45"/>
        <v>0</v>
      </c>
      <c r="AE72" s="253">
        <f t="shared" si="43"/>
        <v>18.828192250255913</v>
      </c>
    </row>
    <row r="73" spans="1:39">
      <c r="A73" s="240" t="s">
        <v>235</v>
      </c>
      <c r="B73" s="241">
        <f t="shared" si="44"/>
        <v>5.6905905404509518</v>
      </c>
      <c r="C73" s="241">
        <f t="shared" si="44"/>
        <v>9.1516184877321951</v>
      </c>
      <c r="D73" s="146">
        <f>'[2]Russia Sunflower Exports'!BL$290</f>
        <v>94</v>
      </c>
      <c r="E73" s="146">
        <f>'[2]Russia Sunflower Exports'!BX$290</f>
        <v>11.108934</v>
      </c>
      <c r="F73" s="146">
        <f>'[2]Russia Sunflower Exports'!CJ$290</f>
        <v>16.988274000000001</v>
      </c>
      <c r="G73" s="146">
        <f>'[2]Russia Sunflower Exports'!CV$290</f>
        <v>5.8400000000000001E-2</v>
      </c>
      <c r="H73" s="146">
        <f>'[2]Russia Sunflower Exports'!DH$290</f>
        <v>66.722898999999998</v>
      </c>
      <c r="I73" s="146">
        <f>'[2]Russia Sunflower Exports'!DT$290</f>
        <v>0.466555</v>
      </c>
      <c r="J73" s="146">
        <f>'[2]Russia Sunflower Exports'!EF$290</f>
        <v>1.2E-2</v>
      </c>
      <c r="K73" s="146">
        <f>'[2]Russia Sunflower Exports'!ER$290</f>
        <v>1.29</v>
      </c>
      <c r="L73" s="146">
        <f>'[2]Russia Sunflower Exports'!FD$290</f>
        <v>3.1E-2</v>
      </c>
      <c r="M73" s="146">
        <f>'[2]Russia Sunflower Exports'!FP$290</f>
        <v>2.9670000000000001</v>
      </c>
      <c r="N73" s="146">
        <f>'[2]Russia Sunflower Exports'!GB$290</f>
        <v>5.97</v>
      </c>
      <c r="O73" s="146">
        <f>'[2]Russia Sunflower Exports'!GN$290</f>
        <v>3.476</v>
      </c>
      <c r="P73" s="146">
        <f>'[2]Russia Sunflower Exports'!GZ$290</f>
        <v>3.6429999999999998</v>
      </c>
      <c r="Q73" s="146">
        <f>'[2]Russia Sunflower Exports'!HL$290</f>
        <v>4.3940000000000001</v>
      </c>
      <c r="R73" s="146">
        <f>'[2]Russia Sunflower Exports'!HX$290</f>
        <v>3.1819999999999999</v>
      </c>
      <c r="S73" s="146">
        <f>'[2]Russia Sunflower Exports'!IJ$290</f>
        <v>0.91800000000000004</v>
      </c>
      <c r="T73" s="146">
        <f>'[2]Russia Sunflower Exports'!IV$290</f>
        <v>31.524999999999999</v>
      </c>
      <c r="U73" s="146">
        <f>'[2]Russia Sunflower Exports'!JH$290</f>
        <v>2.6520000000000001</v>
      </c>
      <c r="V73" s="146">
        <f>'[2]Russia Sunflower Exports'!JT$290</f>
        <v>2.8090000000000002</v>
      </c>
      <c r="W73" s="146">
        <f>'[2]Russia Sunflower Exports'!KF$290</f>
        <v>2.883</v>
      </c>
      <c r="X73" s="146">
        <f>'[2]Russia Sunflower Exports'!KR$290</f>
        <v>13.807</v>
      </c>
      <c r="Y73" s="146">
        <f>'[2]Russia Sunflower Exports'!LD$290</f>
        <v>30.948</v>
      </c>
      <c r="Z73" s="146">
        <f>'[2]Russia Sunflower Exports'!LP$290</f>
        <v>2.3552840000000002</v>
      </c>
      <c r="AA73" s="146">
        <f>'[2]Russia Sunflower Exports'!MB$290</f>
        <v>109.181026</v>
      </c>
      <c r="AB73" s="146">
        <f>'[2]Russia Sunflower Exports'!MN$290</f>
        <v>9.619548</v>
      </c>
      <c r="AC73" s="146">
        <f>'[2]Russia Sunflower Exports'!MZ$290</f>
        <v>3.056</v>
      </c>
      <c r="AD73" s="253">
        <f t="shared" si="45"/>
        <v>0</v>
      </c>
      <c r="AE73" s="253">
        <f t="shared" si="43"/>
        <v>13.348836911517687</v>
      </c>
    </row>
    <row r="74" spans="1:39">
      <c r="A74" s="240" t="s">
        <v>236</v>
      </c>
      <c r="B74" s="241">
        <f t="shared" si="44"/>
        <v>8.7364279558328484</v>
      </c>
      <c r="C74" s="241">
        <f t="shared" si="44"/>
        <v>12.550124663259774</v>
      </c>
      <c r="D74" s="146">
        <f>'[2]Russia Sunflower Exports'!BM$290</f>
        <v>65</v>
      </c>
      <c r="E74" s="146">
        <f>'[2]Russia Sunflower Exports'!BY$290</f>
        <v>5.1324860000000001</v>
      </c>
      <c r="F74" s="146">
        <f>'[2]Russia Sunflower Exports'!CK$290</f>
        <v>6.9174759999999997</v>
      </c>
      <c r="G74" s="146">
        <f>'[2]Russia Sunflower Exports'!CW$290</f>
        <v>0.153</v>
      </c>
      <c r="H74" s="146">
        <f>'[2]Russia Sunflower Exports'!DI$290</f>
        <v>47.695962000000002</v>
      </c>
      <c r="I74" s="146">
        <f>'[2]Russia Sunflower Exports'!DU$290</f>
        <v>1.7319999999999999E-2</v>
      </c>
      <c r="J74" s="146">
        <f>'[2]Russia Sunflower Exports'!EG$290</f>
        <v>1.2E-2</v>
      </c>
      <c r="K74" s="146">
        <f>'[2]Russia Sunflower Exports'!ES$290</f>
        <v>6.7000000000000004E-2</v>
      </c>
      <c r="L74" s="146">
        <f>'[2]Russia Sunflower Exports'!FE$290</f>
        <v>4.0229999999999997</v>
      </c>
      <c r="M74" s="146">
        <f>'[2]Russia Sunflower Exports'!FQ$290</f>
        <v>7.2610000000000001</v>
      </c>
      <c r="N74" s="146">
        <f>'[2]Russia Sunflower Exports'!GC$290</f>
        <v>5.1749999999999998</v>
      </c>
      <c r="O74" s="146">
        <f>'[2]Russia Sunflower Exports'!GO$290</f>
        <v>4.5590000000000002</v>
      </c>
      <c r="P74" s="146">
        <f>'[2]Russia Sunflower Exports'!HA$290</f>
        <v>1.0429999999999999</v>
      </c>
      <c r="Q74" s="146">
        <f>'[2]Russia Sunflower Exports'!HM$290</f>
        <v>7.41</v>
      </c>
      <c r="R74" s="146">
        <f>'[2]Russia Sunflower Exports'!HY$290</f>
        <v>1.9179999999999999</v>
      </c>
      <c r="S74" s="146">
        <f>'[2]Russia Sunflower Exports'!IK$290</f>
        <v>0.438</v>
      </c>
      <c r="T74" s="146">
        <f>'[2]Russia Sunflower Exports'!IW$290</f>
        <v>9.6820000000000004</v>
      </c>
      <c r="U74" s="146">
        <f>'[2]Russia Sunflower Exports'!JI$290</f>
        <v>1.474</v>
      </c>
      <c r="V74" s="146">
        <f>'[2]Russia Sunflower Exports'!JU$290</f>
        <v>1.87</v>
      </c>
      <c r="W74" s="146">
        <f>'[2]Russia Sunflower Exports'!KG$290</f>
        <v>2.4220000000000002</v>
      </c>
      <c r="X74" s="146">
        <f>'[2]Russia Sunflower Exports'!KS$290</f>
        <v>2.601</v>
      </c>
      <c r="Y74" s="146">
        <f>'[2]Russia Sunflower Exports'!LE$290</f>
        <v>5.3081469999999999</v>
      </c>
      <c r="Z74" s="146">
        <f>'[2]Russia Sunflower Exports'!LQ$290</f>
        <v>3.2114630000000002</v>
      </c>
      <c r="AA74" s="146">
        <f>'[2]Russia Sunflower Exports'!MC$290</f>
        <v>32.165042999999997</v>
      </c>
      <c r="AB74" s="146">
        <f>'[2]Russia Sunflower Exports'!MO$290</f>
        <v>1.22011</v>
      </c>
      <c r="AC74" s="146">
        <f>'[2]Russia Sunflower Exports'!NA$290</f>
        <v>5.867</v>
      </c>
      <c r="AD74" s="253">
        <f t="shared" si="45"/>
        <v>0</v>
      </c>
      <c r="AE74" s="253">
        <f t="shared" si="43"/>
        <v>4.109938494933882</v>
      </c>
    </row>
    <row r="75" spans="1:39">
      <c r="A75" s="240" t="s">
        <v>237</v>
      </c>
      <c r="B75" s="241">
        <f>(SUM(K75:O75)/SUM(K$76:O$76))*B$76</f>
        <v>5.3592422950566077</v>
      </c>
      <c r="C75" s="241">
        <f>(SUM(L75:P75)/SUM(L$76:P$76))*C$76</f>
        <v>7.6123949914827662</v>
      </c>
      <c r="D75" s="146">
        <f>'[2]Russia Sunflower Exports'!BN$290</f>
        <v>51</v>
      </c>
      <c r="E75" s="146">
        <f>'[2]Russia Sunflower Exports'!BZ$290</f>
        <v>0</v>
      </c>
      <c r="F75" s="146">
        <f>'[2]Russia Sunflower Exports'!CL$290</f>
        <v>7.2679999999999995E-2</v>
      </c>
      <c r="G75" s="146">
        <f>'[2]Russia Sunflower Exports'!CX$290</f>
        <v>0</v>
      </c>
      <c r="H75" s="146">
        <f>'[2]Russia Sunflower Exports'!DJ$290</f>
        <v>14.059111</v>
      </c>
      <c r="I75" s="146">
        <f>'[2]Russia Sunflower Exports'!DV$290</f>
        <v>0</v>
      </c>
      <c r="J75" s="146">
        <f>'[2]Russia Sunflower Exports'!EH$290</f>
        <v>1E-3</v>
      </c>
      <c r="K75" s="146">
        <f>'[2]Russia Sunflower Exports'!ET$290</f>
        <v>0</v>
      </c>
      <c r="L75" s="146">
        <f>'[2]Russia Sunflower Exports'!FF$290</f>
        <v>3.0499999999999999E-4</v>
      </c>
      <c r="M75" s="146">
        <f>'[2]Russia Sunflower Exports'!FR$290</f>
        <v>3.27</v>
      </c>
      <c r="N75" s="146">
        <f>'[2]Russia Sunflower Exports'!GD$290</f>
        <v>6.1909999999999998</v>
      </c>
      <c r="O75" s="146">
        <f>'[2]Russia Sunflower Exports'!GP$290</f>
        <v>3.4729999999999999</v>
      </c>
      <c r="P75" s="146">
        <f>'[2]Russia Sunflower Exports'!HB$290</f>
        <v>0.44700000000000001</v>
      </c>
      <c r="Q75" s="146">
        <f>'[2]Russia Sunflower Exports'!HN$290</f>
        <v>3.4529999999999998</v>
      </c>
      <c r="R75" s="146">
        <f>'[2]Russia Sunflower Exports'!HZ$290</f>
        <v>2.1749999999999998</v>
      </c>
      <c r="S75" s="146">
        <f>'[2]Russia Sunflower Exports'!IL$290</f>
        <v>0</v>
      </c>
      <c r="T75" s="146">
        <f>'[2]Russia Sunflower Exports'!IX$290</f>
        <v>0.35599999999999998</v>
      </c>
      <c r="U75" s="146">
        <f>'[2]Russia Sunflower Exports'!JJ$290</f>
        <v>0.42299999999999999</v>
      </c>
      <c r="V75" s="146">
        <f>'[2]Russia Sunflower Exports'!JV$290</f>
        <v>1.403</v>
      </c>
      <c r="W75" s="146">
        <f>'[2]Russia Sunflower Exports'!KH$290</f>
        <v>1.413</v>
      </c>
      <c r="X75" s="146">
        <f>'[2]Russia Sunflower Exports'!KT$290</f>
        <v>1.784</v>
      </c>
      <c r="Y75" s="146">
        <f>'[2]Russia Sunflower Exports'!LF$290</f>
        <v>4.8684940000000001</v>
      </c>
      <c r="Z75" s="146">
        <f>'[2]Russia Sunflower Exports'!LR$290</f>
        <v>5.299696</v>
      </c>
      <c r="AA75" s="146">
        <f>'[2]Russia Sunflower Exports'!MD$290</f>
        <v>4.2766320000000002</v>
      </c>
      <c r="AB75" s="146">
        <f>'[2]Russia Sunflower Exports'!MP$290</f>
        <v>2.02197</v>
      </c>
      <c r="AC75" s="146">
        <f>'[2]Russia Sunflower Exports'!NB$290</f>
        <v>1.3149999999999999</v>
      </c>
      <c r="AD75" s="253">
        <f>AD76-SUM(AD64:AD74)</f>
        <v>98.188072000000005</v>
      </c>
      <c r="AE75" s="253">
        <f>AE76-SUM(AE64:AE74)</f>
        <v>0.11313313098446542</v>
      </c>
    </row>
    <row r="76" spans="1:39" ht="15.75" thickBot="1">
      <c r="A76" s="240" t="s">
        <v>242</v>
      </c>
      <c r="B76" s="245">
        <f>B13</f>
        <v>450</v>
      </c>
      <c r="C76" s="245">
        <f>C13</f>
        <v>533</v>
      </c>
      <c r="D76" s="245">
        <f>SUM(D64:D75)</f>
        <v>1210</v>
      </c>
      <c r="E76" s="245">
        <f t="shared" ref="E76:AB76" si="46">SUM(E64:E74)</f>
        <v>1252.0695310000003</v>
      </c>
      <c r="F76" s="245">
        <f t="shared" si="46"/>
        <v>939.63855700000011</v>
      </c>
      <c r="G76" s="245">
        <f t="shared" si="46"/>
        <v>898.01875799999982</v>
      </c>
      <c r="H76" s="245">
        <f t="shared" si="46"/>
        <v>833.1784899999999</v>
      </c>
      <c r="I76" s="245">
        <f t="shared" si="46"/>
        <v>729.3457420000002</v>
      </c>
      <c r="J76" s="245">
        <f t="shared" si="46"/>
        <v>17.930572999999999</v>
      </c>
      <c r="K76" s="245">
        <f t="shared" si="46"/>
        <v>185.55500000000001</v>
      </c>
      <c r="L76" s="245">
        <f t="shared" si="46"/>
        <v>310.63400000000001</v>
      </c>
      <c r="M76" s="245">
        <f t="shared" si="46"/>
        <v>41.771999999999998</v>
      </c>
      <c r="N76" s="245">
        <f t="shared" si="46"/>
        <v>389.46100000000001</v>
      </c>
      <c r="O76" s="245">
        <f t="shared" si="46"/>
        <v>158.63400000000001</v>
      </c>
      <c r="P76" s="245">
        <f t="shared" si="46"/>
        <v>36.422999999999995</v>
      </c>
      <c r="Q76" s="245">
        <f t="shared" si="46"/>
        <v>156.238</v>
      </c>
      <c r="R76" s="245">
        <f t="shared" si="46"/>
        <v>18.177999999999997</v>
      </c>
      <c r="S76" s="245">
        <f t="shared" si="46"/>
        <v>9.5660000000000007</v>
      </c>
      <c r="T76" s="245">
        <f t="shared" si="46"/>
        <v>331.16499999999996</v>
      </c>
      <c r="U76" s="245">
        <f t="shared" si="46"/>
        <v>38.927999999999997</v>
      </c>
      <c r="V76" s="245">
        <f t="shared" si="46"/>
        <v>133.845</v>
      </c>
      <c r="W76" s="245">
        <f t="shared" si="46"/>
        <v>59.745999999999995</v>
      </c>
      <c r="X76" s="245">
        <f t="shared" si="46"/>
        <v>102.11699999999999</v>
      </c>
      <c r="Y76" s="245">
        <f t="shared" si="46"/>
        <v>362.58714700000002</v>
      </c>
      <c r="Z76" s="245">
        <f t="shared" si="46"/>
        <v>91.707181999999989</v>
      </c>
      <c r="AA76" s="245">
        <f t="shared" si="46"/>
        <v>347.25731399999995</v>
      </c>
      <c r="AB76" s="245">
        <f t="shared" si="46"/>
        <v>1232.3505859999998</v>
      </c>
      <c r="AC76" s="245">
        <f>SUM(AC64:AC75)</f>
        <v>581.37940800000013</v>
      </c>
      <c r="AD76" s="247">
        <f>AD13</f>
        <v>250</v>
      </c>
      <c r="AE76" s="247">
        <f>AE13</f>
        <v>225</v>
      </c>
    </row>
    <row r="77" spans="1:39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</row>
    <row r="78" spans="1:39" ht="15.75" thickBot="1">
      <c r="A78" s="235" t="s">
        <v>244</v>
      </c>
      <c r="AH78" s="265"/>
      <c r="AI78" s="386"/>
      <c r="AJ78" s="386"/>
      <c r="AK78" s="386"/>
      <c r="AL78" s="386"/>
      <c r="AM78" s="265"/>
    </row>
    <row r="79" spans="1:39" ht="15.75" thickBot="1">
      <c r="A79" s="236"/>
      <c r="B79" s="237" t="str">
        <f>B$2</f>
        <v xml:space="preserve">93/94 </v>
      </c>
      <c r="C79" s="237" t="str">
        <f t="shared" ref="C79:AE79" si="47">C$2</f>
        <v xml:space="preserve">94/95 </v>
      </c>
      <c r="D79" s="237" t="str">
        <f t="shared" si="47"/>
        <v xml:space="preserve">95/96 </v>
      </c>
      <c r="E79" s="237" t="str">
        <f t="shared" si="47"/>
        <v xml:space="preserve">96/97 </v>
      </c>
      <c r="F79" s="237" t="str">
        <f t="shared" si="47"/>
        <v xml:space="preserve">97/98 </v>
      </c>
      <c r="G79" s="237" t="str">
        <f t="shared" si="47"/>
        <v xml:space="preserve">98/99 </v>
      </c>
      <c r="H79" s="237" t="str">
        <f t="shared" si="47"/>
        <v xml:space="preserve">99/00 </v>
      </c>
      <c r="I79" s="237" t="str">
        <f t="shared" si="47"/>
        <v xml:space="preserve">00/01 </v>
      </c>
      <c r="J79" s="237" t="str">
        <f t="shared" si="47"/>
        <v xml:space="preserve">01/02 </v>
      </c>
      <c r="K79" s="237" t="str">
        <f t="shared" si="47"/>
        <v xml:space="preserve">02/03 </v>
      </c>
      <c r="L79" s="237" t="str">
        <f t="shared" si="47"/>
        <v xml:space="preserve">03/04 </v>
      </c>
      <c r="M79" s="237" t="str">
        <f t="shared" si="47"/>
        <v xml:space="preserve">04/05 </v>
      </c>
      <c r="N79" s="237" t="str">
        <f t="shared" si="47"/>
        <v xml:space="preserve">05/06 </v>
      </c>
      <c r="O79" s="237" t="str">
        <f t="shared" si="47"/>
        <v xml:space="preserve">06/07 </v>
      </c>
      <c r="P79" s="237" t="str">
        <f t="shared" si="47"/>
        <v xml:space="preserve">07/08 </v>
      </c>
      <c r="Q79" s="237" t="str">
        <f t="shared" si="47"/>
        <v xml:space="preserve">08/09 </v>
      </c>
      <c r="R79" s="237" t="str">
        <f t="shared" si="47"/>
        <v xml:space="preserve">09/10 </v>
      </c>
      <c r="S79" s="237" t="str">
        <f t="shared" si="47"/>
        <v xml:space="preserve">10/11 </v>
      </c>
      <c r="T79" s="237" t="str">
        <f t="shared" si="47"/>
        <v xml:space="preserve">11/12 </v>
      </c>
      <c r="U79" s="237" t="str">
        <f t="shared" si="47"/>
        <v xml:space="preserve">12/13 </v>
      </c>
      <c r="V79" s="237" t="str">
        <f t="shared" si="47"/>
        <v xml:space="preserve">13/14 </v>
      </c>
      <c r="W79" s="237" t="str">
        <f t="shared" si="47"/>
        <v xml:space="preserve">14/15 </v>
      </c>
      <c r="X79" s="237" t="str">
        <f t="shared" si="47"/>
        <v xml:space="preserve">15/16 </v>
      </c>
      <c r="Y79" s="237" t="str">
        <f t="shared" si="47"/>
        <v xml:space="preserve">16/17 </v>
      </c>
      <c r="Z79" s="237" t="str">
        <f t="shared" si="47"/>
        <v xml:space="preserve">17/18 </v>
      </c>
      <c r="AA79" s="237" t="str">
        <f t="shared" si="47"/>
        <v xml:space="preserve">18/19 </v>
      </c>
      <c r="AB79" s="237" t="str">
        <f t="shared" si="47"/>
        <v xml:space="preserve">19/20 </v>
      </c>
      <c r="AC79" s="237" t="str">
        <f t="shared" si="47"/>
        <v xml:space="preserve">20/21 </v>
      </c>
      <c r="AD79" s="237" t="str">
        <f t="shared" si="47"/>
        <v xml:space="preserve">21/22 </v>
      </c>
      <c r="AE79" s="237" t="str">
        <f t="shared" si="47"/>
        <v xml:space="preserve">22/23 </v>
      </c>
    </row>
    <row r="80" spans="1:39">
      <c r="A80" s="240" t="s">
        <v>238</v>
      </c>
      <c r="B80" s="290">
        <v>147.2269429738185</v>
      </c>
      <c r="C80" s="290">
        <f>B218/C$235</f>
        <v>141.28620313539307</v>
      </c>
      <c r="D80" s="290">
        <f t="shared" ref="D80:X80" si="48">C218/D$235</f>
        <v>137.84854384106325</v>
      </c>
      <c r="E80" s="290">
        <f t="shared" si="48"/>
        <v>224.05287086639035</v>
      </c>
      <c r="F80" s="290">
        <f t="shared" si="48"/>
        <v>50.97215582039383</v>
      </c>
      <c r="G80" s="290">
        <f t="shared" si="48"/>
        <v>158.24682439384617</v>
      </c>
      <c r="H80" s="290">
        <f t="shared" si="48"/>
        <v>137.3374192928039</v>
      </c>
      <c r="I80" s="290">
        <f t="shared" si="48"/>
        <v>231.06380158412367</v>
      </c>
      <c r="J80" s="290">
        <f t="shared" si="48"/>
        <v>238.95989967881243</v>
      </c>
      <c r="K80" s="290">
        <f t="shared" si="48"/>
        <v>202.02990501024402</v>
      </c>
      <c r="L80" s="290">
        <f t="shared" si="48"/>
        <v>223.02395402203709</v>
      </c>
      <c r="M80" s="290">
        <f t="shared" si="48"/>
        <v>278.82981890438754</v>
      </c>
      <c r="N80" s="290">
        <f t="shared" si="48"/>
        <v>298.22227243947856</v>
      </c>
      <c r="O80" s="290">
        <f t="shared" si="48"/>
        <v>363.80115489928716</v>
      </c>
      <c r="P80" s="290">
        <f t="shared" si="48"/>
        <v>335.31585612046865</v>
      </c>
      <c r="Q80" s="290">
        <f t="shared" si="48"/>
        <v>411.08310056420947</v>
      </c>
      <c r="R80" s="290">
        <f t="shared" si="48"/>
        <v>318.0612750898635</v>
      </c>
      <c r="S80" s="290">
        <f t="shared" si="48"/>
        <v>389.74630420512813</v>
      </c>
      <c r="T80" s="290">
        <f t="shared" si="48"/>
        <v>424.82341249146344</v>
      </c>
      <c r="U80" s="290">
        <f t="shared" si="48"/>
        <v>425.26825119513211</v>
      </c>
      <c r="V80" s="290">
        <f t="shared" si="48"/>
        <v>548.33279315549464</v>
      </c>
      <c r="W80" s="290">
        <f t="shared" si="48"/>
        <v>543.33967929978542</v>
      </c>
      <c r="X80" s="290">
        <f t="shared" si="48"/>
        <v>477.49346386140763</v>
      </c>
      <c r="Y80" s="290">
        <f>X218/Y$235</f>
        <v>682.49384258355371</v>
      </c>
      <c r="Z80" s="290">
        <f>Y218/Z$235</f>
        <v>832.36484529036602</v>
      </c>
      <c r="AA80" s="252">
        <f t="shared" ref="AA80:AE82" si="49">(SUM(U80:Y80)/SUM(U$92:Y$92))*AA$92</f>
        <v>747.33136607552785</v>
      </c>
      <c r="AB80" s="252">
        <f t="shared" si="49"/>
        <v>925.90194457974098</v>
      </c>
      <c r="AC80" s="252">
        <f t="shared" si="49"/>
        <v>921.28640925113177</v>
      </c>
      <c r="AD80" s="252">
        <f t="shared" si="49"/>
        <v>821.82715116306565</v>
      </c>
      <c r="AE80" s="252">
        <f t="shared" si="49"/>
        <v>785.72882368447836</v>
      </c>
      <c r="AF80" s="252">
        <f>AE80</f>
        <v>785.72882368447836</v>
      </c>
      <c r="AG80" s="252"/>
    </row>
    <row r="81" spans="1:31">
      <c r="A81" s="240" t="s">
        <v>239</v>
      </c>
      <c r="B81" s="290">
        <f t="shared" ref="B81:Z91" si="50">B207/B$235</f>
        <v>145.19036765619342</v>
      </c>
      <c r="C81" s="290">
        <f t="shared" si="50"/>
        <v>128.05938583764734</v>
      </c>
      <c r="D81" s="290">
        <f t="shared" si="50"/>
        <v>181.65396534238002</v>
      </c>
      <c r="E81" s="290">
        <f t="shared" si="50"/>
        <v>179.033550342334</v>
      </c>
      <c r="F81" s="290">
        <f t="shared" si="50"/>
        <v>99.61749894393742</v>
      </c>
      <c r="G81" s="290">
        <f t="shared" si="50"/>
        <v>201.30649342153848</v>
      </c>
      <c r="H81" s="290">
        <f t="shared" si="50"/>
        <v>220.2020754342432</v>
      </c>
      <c r="I81" s="290">
        <f t="shared" si="50"/>
        <v>226.46739281114625</v>
      </c>
      <c r="J81" s="290">
        <f t="shared" si="50"/>
        <v>225.4933809311741</v>
      </c>
      <c r="K81" s="290">
        <f t="shared" si="50"/>
        <v>250.02887558204512</v>
      </c>
      <c r="L81" s="290">
        <f t="shared" si="50"/>
        <v>266.06971556567169</v>
      </c>
      <c r="M81" s="290">
        <f t="shared" si="50"/>
        <v>314.80510015902587</v>
      </c>
      <c r="N81" s="290">
        <f t="shared" si="50"/>
        <v>373.65702967101186</v>
      </c>
      <c r="O81" s="290">
        <f t="shared" si="50"/>
        <v>365.3802223596839</v>
      </c>
      <c r="P81" s="290">
        <f t="shared" si="50"/>
        <v>371.81568150275552</v>
      </c>
      <c r="Q81" s="290">
        <f t="shared" si="50"/>
        <v>479.97930060275127</v>
      </c>
      <c r="R81" s="290">
        <f t="shared" si="50"/>
        <v>420.23425527416504</v>
      </c>
      <c r="S81" s="290">
        <f t="shared" si="50"/>
        <v>390.59274145209173</v>
      </c>
      <c r="T81" s="290">
        <f t="shared" si="50"/>
        <v>538.68726684050409</v>
      </c>
      <c r="U81" s="290">
        <f t="shared" si="50"/>
        <v>522.40513385484576</v>
      </c>
      <c r="V81" s="290">
        <f t="shared" si="50"/>
        <v>717.20076064998193</v>
      </c>
      <c r="W81" s="290">
        <f t="shared" si="50"/>
        <v>652.92684374742907</v>
      </c>
      <c r="X81" s="290">
        <f t="shared" si="50"/>
        <v>640.20729281433853</v>
      </c>
      <c r="Y81" s="290">
        <f t="shared" si="50"/>
        <v>780.38464822035871</v>
      </c>
      <c r="Z81" s="290">
        <f t="shared" si="50"/>
        <v>808.0774881313846</v>
      </c>
      <c r="AA81" s="252">
        <f t="shared" si="49"/>
        <v>924.94156163841637</v>
      </c>
      <c r="AB81" s="252">
        <f t="shared" si="49"/>
        <v>1080.4495999764426</v>
      </c>
      <c r="AC81" s="252">
        <f t="shared" si="49"/>
        <v>1068.195794766033</v>
      </c>
      <c r="AD81" s="252">
        <f t="shared" si="49"/>
        <v>949.27972321888319</v>
      </c>
      <c r="AE81" s="252">
        <f t="shared" si="49"/>
        <v>891.40156639182078</v>
      </c>
    </row>
    <row r="82" spans="1:31">
      <c r="A82" s="240" t="s">
        <v>240</v>
      </c>
      <c r="B82" s="290">
        <f t="shared" si="50"/>
        <v>148.91366278235924</v>
      </c>
      <c r="C82" s="290">
        <f t="shared" si="50"/>
        <v>137.37571054430313</v>
      </c>
      <c r="D82" s="290">
        <f t="shared" si="50"/>
        <v>188.53401932928981</v>
      </c>
      <c r="E82" s="290">
        <f t="shared" si="50"/>
        <v>172.199299070526</v>
      </c>
      <c r="F82" s="290">
        <f t="shared" si="50"/>
        <v>113.18960544624865</v>
      </c>
      <c r="G82" s="290">
        <f t="shared" si="50"/>
        <v>169.1425550215385</v>
      </c>
      <c r="H82" s="290">
        <f t="shared" si="50"/>
        <v>207.71278027295278</v>
      </c>
      <c r="I82" s="290">
        <f t="shared" si="50"/>
        <v>223.03364139562117</v>
      </c>
      <c r="J82" s="290">
        <f t="shared" si="50"/>
        <v>226.57285324696358</v>
      </c>
      <c r="K82" s="290">
        <f t="shared" si="50"/>
        <v>263.31226783386103</v>
      </c>
      <c r="L82" s="290">
        <f t="shared" si="50"/>
        <v>304.24219572707051</v>
      </c>
      <c r="M82" s="290">
        <f t="shared" si="50"/>
        <v>308.47174564041978</v>
      </c>
      <c r="N82" s="290">
        <f t="shared" si="50"/>
        <v>392.00404829298566</v>
      </c>
      <c r="O82" s="290">
        <f t="shared" si="50"/>
        <v>430.77737584001238</v>
      </c>
      <c r="P82" s="290">
        <f t="shared" si="50"/>
        <v>405.51596566017236</v>
      </c>
      <c r="Q82" s="290">
        <f t="shared" si="50"/>
        <v>471.0853311664257</v>
      </c>
      <c r="R82" s="290">
        <f t="shared" si="50"/>
        <v>513.3794008561531</v>
      </c>
      <c r="S82" s="290">
        <f t="shared" si="50"/>
        <v>329.76309924156544</v>
      </c>
      <c r="T82" s="290">
        <f t="shared" si="50"/>
        <v>712.64975110200533</v>
      </c>
      <c r="U82" s="290">
        <f t="shared" si="50"/>
        <v>555.05623312845364</v>
      </c>
      <c r="V82" s="290">
        <f t="shared" si="50"/>
        <v>756.92421244513912</v>
      </c>
      <c r="W82" s="290">
        <f t="shared" si="50"/>
        <v>654.99803331962141</v>
      </c>
      <c r="X82" s="290">
        <f t="shared" si="50"/>
        <v>713.2143767520156</v>
      </c>
      <c r="Y82" s="290">
        <f t="shared" si="50"/>
        <v>932.883100462725</v>
      </c>
      <c r="Z82" s="290">
        <f t="shared" si="50"/>
        <v>995.23486237936663</v>
      </c>
      <c r="AA82" s="252">
        <f t="shared" si="49"/>
        <v>1008.6804574707227</v>
      </c>
      <c r="AB82" s="252">
        <f t="shared" si="49"/>
        <v>1216.8892145099096</v>
      </c>
      <c r="AC82" s="252">
        <f t="shared" si="49"/>
        <v>1208.0779609485232</v>
      </c>
      <c r="AD82" s="252">
        <f t="shared" si="49"/>
        <v>1091.1632687875542</v>
      </c>
      <c r="AE82" s="252">
        <f t="shared" si="49"/>
        <v>1025.1900303123564</v>
      </c>
    </row>
    <row r="83" spans="1:31">
      <c r="A83" s="240" t="s">
        <v>241</v>
      </c>
      <c r="B83" s="290">
        <f t="shared" si="50"/>
        <v>152.98376890421531</v>
      </c>
      <c r="C83" s="290">
        <f t="shared" si="50"/>
        <v>141.63027130198864</v>
      </c>
      <c r="D83" s="290">
        <f t="shared" si="50"/>
        <v>190.97997225113497</v>
      </c>
      <c r="E83" s="290">
        <f t="shared" si="50"/>
        <v>166.32878359566067</v>
      </c>
      <c r="F83" s="290">
        <f t="shared" si="50"/>
        <v>104.71675345857538</v>
      </c>
      <c r="G83" s="290">
        <f t="shared" si="50"/>
        <v>185.25788270153845</v>
      </c>
      <c r="H83" s="290">
        <f t="shared" si="50"/>
        <v>231.53698511166252</v>
      </c>
      <c r="I83" s="290">
        <f t="shared" si="50"/>
        <v>228.95927372438825</v>
      </c>
      <c r="J83" s="290">
        <f t="shared" si="50"/>
        <v>225.41309640485827</v>
      </c>
      <c r="K83" s="290">
        <f t="shared" si="50"/>
        <v>279.70612739802573</v>
      </c>
      <c r="L83" s="290">
        <f t="shared" si="50"/>
        <v>332.64424441570537</v>
      </c>
      <c r="M83" s="290">
        <f t="shared" si="50"/>
        <v>355.21873719387531</v>
      </c>
      <c r="N83" s="290">
        <f t="shared" si="50"/>
        <v>452.6474505276226</v>
      </c>
      <c r="O83" s="290">
        <f t="shared" si="50"/>
        <v>609.42750329353589</v>
      </c>
      <c r="P83" s="290">
        <f t="shared" si="50"/>
        <v>447.31515516572216</v>
      </c>
      <c r="Q83" s="290">
        <f t="shared" si="50"/>
        <v>629.77209124993294</v>
      </c>
      <c r="R83" s="290">
        <f t="shared" si="50"/>
        <v>533.03488229200707</v>
      </c>
      <c r="S83" s="290">
        <f t="shared" si="50"/>
        <v>346.46996271524961</v>
      </c>
      <c r="T83" s="290">
        <f t="shared" si="50"/>
        <v>686.59202713106095</v>
      </c>
      <c r="U83" s="290">
        <f t="shared" si="50"/>
        <v>604.9030878500032</v>
      </c>
      <c r="V83" s="290">
        <f t="shared" si="50"/>
        <v>893.33708402877392</v>
      </c>
      <c r="W83" s="290">
        <f t="shared" si="50"/>
        <v>788.80656622217668</v>
      </c>
      <c r="X83" s="290">
        <f t="shared" si="50"/>
        <v>859.00192602963602</v>
      </c>
      <c r="Y83" s="290">
        <f t="shared" si="50"/>
        <v>1030.9463254746527</v>
      </c>
      <c r="Z83" s="290">
        <f t="shared" si="50"/>
        <v>1026.5446449912527</v>
      </c>
      <c r="AA83" s="252">
        <f t="shared" ref="Z83:AE90" si="51">(SUM(U83:Y83)/SUM(U$92:Y$92))*AA$92</f>
        <v>1166.1125501237718</v>
      </c>
      <c r="AB83" s="252">
        <f t="shared" si="51"/>
        <v>1380.6266291293018</v>
      </c>
      <c r="AC83" s="252">
        <f t="shared" si="51"/>
        <v>1367.0222267218162</v>
      </c>
      <c r="AD83" s="252">
        <f t="shared" si="51"/>
        <v>1224.8609394110317</v>
      </c>
      <c r="AE83" s="252">
        <f t="shared" si="51"/>
        <v>1141.7262272028725</v>
      </c>
    </row>
    <row r="84" spans="1:31">
      <c r="A84" s="240" t="s">
        <v>231</v>
      </c>
      <c r="B84" s="290">
        <f t="shared" si="50"/>
        <v>153.57178982267419</v>
      </c>
      <c r="C84" s="290">
        <f t="shared" si="50"/>
        <v>140.88642808914548</v>
      </c>
      <c r="D84" s="290">
        <f t="shared" si="50"/>
        <v>193.89520319439504</v>
      </c>
      <c r="E84" s="290">
        <f t="shared" si="50"/>
        <v>166.32878359566067</v>
      </c>
      <c r="F84" s="290">
        <f t="shared" si="50"/>
        <v>143.41380302714236</v>
      </c>
      <c r="G84" s="290">
        <f t="shared" si="50"/>
        <v>187.14789318153848</v>
      </c>
      <c r="H84" s="290">
        <f t="shared" si="50"/>
        <v>269.18477866004963</v>
      </c>
      <c r="I84" s="290">
        <f t="shared" si="50"/>
        <v>270.88122582484493</v>
      </c>
      <c r="J84" s="290">
        <f t="shared" si="50"/>
        <v>179.6970059838057</v>
      </c>
      <c r="K84" s="290">
        <f t="shared" si="50"/>
        <v>267.27853175637915</v>
      </c>
      <c r="L84" s="290">
        <f t="shared" si="50"/>
        <v>323.2297820081734</v>
      </c>
      <c r="M84" s="290">
        <f t="shared" si="50"/>
        <v>363.82660606570045</v>
      </c>
      <c r="N84" s="290">
        <f t="shared" si="50"/>
        <v>433.23220229671017</v>
      </c>
      <c r="O84" s="290">
        <f t="shared" si="50"/>
        <v>514.23308150365267</v>
      </c>
      <c r="P84" s="290">
        <f t="shared" si="50"/>
        <v>391.02733518590395</v>
      </c>
      <c r="Q84" s="290">
        <f t="shared" si="50"/>
        <v>475.41278987206232</v>
      </c>
      <c r="R84" s="290">
        <f t="shared" si="50"/>
        <v>467.67684202012924</v>
      </c>
      <c r="S84" s="290">
        <f t="shared" si="50"/>
        <v>350.62701660998647</v>
      </c>
      <c r="T84" s="290">
        <f t="shared" si="50"/>
        <v>614.44159371701744</v>
      </c>
      <c r="U84" s="290">
        <f t="shared" si="50"/>
        <v>664.04175128825966</v>
      </c>
      <c r="V84" s="290">
        <f t="shared" si="50"/>
        <v>693.17127832323536</v>
      </c>
      <c r="W84" s="290">
        <f t="shared" si="50"/>
        <v>741.48720618058428</v>
      </c>
      <c r="X84" s="290">
        <f t="shared" si="50"/>
        <v>742.67263879167581</v>
      </c>
      <c r="Y84" s="290">
        <f t="shared" si="50"/>
        <v>856.30331411969087</v>
      </c>
      <c r="Z84" s="290">
        <f t="shared" si="50"/>
        <v>706.75757844686507</v>
      </c>
      <c r="AA84" s="252">
        <f t="shared" si="51"/>
        <v>1032.2987268769584</v>
      </c>
      <c r="AB84" s="252">
        <f t="shared" si="51"/>
        <v>1122.959983461911</v>
      </c>
      <c r="AC84" s="252">
        <f t="shared" si="51"/>
        <v>1144.8002688952818</v>
      </c>
      <c r="AD84" s="252">
        <f t="shared" si="51"/>
        <v>1000.1579783010961</v>
      </c>
      <c r="AE84" s="252">
        <f t="shared" si="51"/>
        <v>929.84706618209543</v>
      </c>
    </row>
    <row r="85" spans="1:31">
      <c r="A85" s="240" t="s">
        <v>232</v>
      </c>
      <c r="B85" s="290">
        <f t="shared" si="50"/>
        <v>157.84889841084919</v>
      </c>
      <c r="C85" s="290">
        <f t="shared" si="50"/>
        <v>142.1750717664591</v>
      </c>
      <c r="D85" s="290">
        <f t="shared" si="50"/>
        <v>194.05237266826367</v>
      </c>
      <c r="E85" s="290">
        <f t="shared" si="50"/>
        <v>161.52956409719908</v>
      </c>
      <c r="F85" s="290">
        <f t="shared" si="50"/>
        <v>145.02363433684965</v>
      </c>
      <c r="G85" s="290">
        <f t="shared" si="50"/>
        <v>136.8438137415385</v>
      </c>
      <c r="H85" s="290">
        <f t="shared" si="50"/>
        <v>270.36410769230764</v>
      </c>
      <c r="I85" s="290">
        <f t="shared" si="50"/>
        <v>292.45406509425123</v>
      </c>
      <c r="J85" s="290">
        <f t="shared" si="50"/>
        <v>191.16706482591093</v>
      </c>
      <c r="K85" s="290">
        <f t="shared" si="50"/>
        <v>277.32196517042286</v>
      </c>
      <c r="L85" s="290">
        <f t="shared" si="50"/>
        <v>332.12503096580627</v>
      </c>
      <c r="M85" s="290">
        <f t="shared" si="50"/>
        <v>361.87877913126448</v>
      </c>
      <c r="N85" s="290">
        <f t="shared" si="50"/>
        <v>440.38675350713845</v>
      </c>
      <c r="O85" s="290">
        <f t="shared" si="50"/>
        <v>482.64288107131387</v>
      </c>
      <c r="P85" s="290">
        <f t="shared" si="50"/>
        <v>396.16268614453156</v>
      </c>
      <c r="Q85" s="290">
        <f t="shared" si="50"/>
        <v>512.20775254429611</v>
      </c>
      <c r="R85" s="290">
        <f t="shared" si="50"/>
        <v>466.46037630220252</v>
      </c>
      <c r="S85" s="290">
        <f t="shared" si="50"/>
        <v>339.44736303103917</v>
      </c>
      <c r="T85" s="290">
        <f t="shared" si="50"/>
        <v>547.05723052089149</v>
      </c>
      <c r="U85" s="290">
        <f t="shared" si="50"/>
        <v>648.20483845532988</v>
      </c>
      <c r="V85" s="290">
        <f t="shared" si="50"/>
        <v>835.24377715429569</v>
      </c>
      <c r="W85" s="290">
        <f t="shared" si="50"/>
        <v>763.9241392316834</v>
      </c>
      <c r="X85" s="290">
        <f t="shared" si="50"/>
        <v>809.50068374918271</v>
      </c>
      <c r="Y85" s="290">
        <f>Y211/Y$235</f>
        <v>773.55127209917555</v>
      </c>
      <c r="Z85" s="290">
        <f>Z211/Z$235</f>
        <v>830.99303919521446</v>
      </c>
      <c r="AA85" s="252">
        <f t="shared" si="51"/>
        <v>1069.358794673004</v>
      </c>
      <c r="AB85" s="252">
        <f t="shared" si="51"/>
        <v>1204.8676944920167</v>
      </c>
      <c r="AC85" s="252">
        <f t="shared" si="51"/>
        <v>1191.890907142109</v>
      </c>
      <c r="AD85" s="252">
        <f t="shared" si="51"/>
        <v>1051.1141636930754</v>
      </c>
      <c r="AE85" s="252">
        <f t="shared" si="51"/>
        <v>969.52985669862323</v>
      </c>
    </row>
    <row r="86" spans="1:31">
      <c r="A86" s="240" t="s">
        <v>233</v>
      </c>
      <c r="B86" s="290">
        <f t="shared" si="50"/>
        <v>155.00952717764605</v>
      </c>
      <c r="C86" s="290">
        <f t="shared" si="50"/>
        <v>129.95838880245248</v>
      </c>
      <c r="D86" s="290">
        <f t="shared" si="50"/>
        <v>182.80281446678075</v>
      </c>
      <c r="E86" s="290">
        <f t="shared" si="50"/>
        <v>152.52374373719911</v>
      </c>
      <c r="F86" s="290">
        <f t="shared" si="50"/>
        <v>140.13547835842124</v>
      </c>
      <c r="G86" s="290">
        <f t="shared" si="50"/>
        <v>154.49987118153851</v>
      </c>
      <c r="H86" s="290">
        <f t="shared" si="50"/>
        <v>306.98937301488843</v>
      </c>
      <c r="I86" s="290">
        <f t="shared" si="50"/>
        <v>292.42890340475356</v>
      </c>
      <c r="J86" s="290">
        <f t="shared" si="50"/>
        <v>196.72795640485828</v>
      </c>
      <c r="K86" s="290">
        <f t="shared" si="50"/>
        <v>251.85124119947855</v>
      </c>
      <c r="L86" s="290">
        <f t="shared" si="50"/>
        <v>348.04625732760849</v>
      </c>
      <c r="M86" s="290">
        <f t="shared" si="50"/>
        <v>356.72476914898465</v>
      </c>
      <c r="N86" s="290">
        <f t="shared" si="50"/>
        <v>566.30133041589079</v>
      </c>
      <c r="O86" s="290">
        <f t="shared" si="50"/>
        <v>537.43824190140458</v>
      </c>
      <c r="P86" s="290">
        <f t="shared" si="50"/>
        <v>425.06200884887073</v>
      </c>
      <c r="Q86" s="290">
        <f t="shared" si="50"/>
        <v>460.1585501225843</v>
      </c>
      <c r="R86" s="290">
        <f t="shared" si="50"/>
        <v>462.85278964119988</v>
      </c>
      <c r="S86" s="290">
        <f t="shared" si="50"/>
        <v>352.32222071524967</v>
      </c>
      <c r="T86" s="290">
        <f t="shared" si="50"/>
        <v>831.16623778481392</v>
      </c>
      <c r="U86" s="290">
        <f t="shared" si="50"/>
        <v>722.25411932700081</v>
      </c>
      <c r="V86" s="290">
        <f t="shared" si="50"/>
        <v>870.99220548716517</v>
      </c>
      <c r="W86" s="290">
        <f t="shared" si="50"/>
        <v>760.50966937131489</v>
      </c>
      <c r="X86" s="290">
        <f t="shared" si="50"/>
        <v>853.21712682283714</v>
      </c>
      <c r="Y86" s="290">
        <f t="shared" si="50"/>
        <v>1081.8769116984122</v>
      </c>
      <c r="Z86" s="252">
        <f t="shared" si="51"/>
        <v>1015.7558051610772</v>
      </c>
      <c r="AA86" s="252">
        <f t="shared" si="51"/>
        <v>1197.3396810827219</v>
      </c>
      <c r="AB86" s="252">
        <f t="shared" si="51"/>
        <v>1375.7375131395918</v>
      </c>
      <c r="AC86" s="252">
        <f t="shared" si="51"/>
        <v>1377.4858059607577</v>
      </c>
      <c r="AD86" s="252">
        <f t="shared" si="51"/>
        <v>1238.4687977873864</v>
      </c>
      <c r="AE86" s="252">
        <f t="shared" si="51"/>
        <v>1156.4380873681268</v>
      </c>
    </row>
    <row r="87" spans="1:31">
      <c r="A87" s="240" t="s">
        <v>234</v>
      </c>
      <c r="B87" s="290">
        <f t="shared" si="50"/>
        <v>161.28970264464959</v>
      </c>
      <c r="C87" s="290">
        <f t="shared" si="50"/>
        <v>145.26102545088142</v>
      </c>
      <c r="D87" s="290">
        <f t="shared" si="50"/>
        <v>207.62484142613317</v>
      </c>
      <c r="E87" s="290">
        <f t="shared" si="50"/>
        <v>139.60321967258386</v>
      </c>
      <c r="F87" s="290">
        <f t="shared" si="50"/>
        <v>135.53886385919165</v>
      </c>
      <c r="G87" s="290">
        <f t="shared" si="50"/>
        <v>90.571261981538399</v>
      </c>
      <c r="H87" s="290">
        <f t="shared" si="50"/>
        <v>300.98212704714638</v>
      </c>
      <c r="I87" s="290">
        <f t="shared" si="50"/>
        <v>290.20082938648869</v>
      </c>
      <c r="J87" s="290">
        <f t="shared" si="50"/>
        <v>178.60987829959512</v>
      </c>
      <c r="K87" s="290">
        <f t="shared" si="50"/>
        <v>273.14395548519275</v>
      </c>
      <c r="L87" s="290">
        <f t="shared" si="50"/>
        <v>305.36626001758827</v>
      </c>
      <c r="M87" s="290">
        <f t="shared" si="50"/>
        <v>362.93377476032538</v>
      </c>
      <c r="N87" s="290">
        <f t="shared" si="50"/>
        <v>539.5219695220361</v>
      </c>
      <c r="O87" s="290">
        <f t="shared" si="50"/>
        <v>503.67158076867639</v>
      </c>
      <c r="P87" s="290">
        <f t="shared" si="50"/>
        <v>407.56998543817434</v>
      </c>
      <c r="Q87" s="290">
        <f t="shared" si="50"/>
        <v>452.16515479899357</v>
      </c>
      <c r="R87" s="290">
        <f t="shared" si="50"/>
        <v>482.07253101758062</v>
      </c>
      <c r="S87" s="290">
        <f t="shared" si="50"/>
        <v>368.12625913630228</v>
      </c>
      <c r="T87" s="290">
        <f t="shared" si="50"/>
        <v>828.27047749425719</v>
      </c>
      <c r="U87" s="290">
        <f t="shared" si="50"/>
        <v>600.11433724467611</v>
      </c>
      <c r="V87" s="290">
        <f t="shared" si="50"/>
        <v>876.97982249245331</v>
      </c>
      <c r="W87" s="290">
        <f t="shared" si="50"/>
        <v>725.41435050619316</v>
      </c>
      <c r="X87" s="290">
        <f t="shared" si="50"/>
        <v>802.33862971235556</v>
      </c>
      <c r="Y87" s="290">
        <f t="shared" si="50"/>
        <v>836.5183539813321</v>
      </c>
      <c r="Z87" s="252">
        <f t="shared" si="51"/>
        <v>964.18452308035558</v>
      </c>
      <c r="AA87" s="252">
        <f t="shared" si="51"/>
        <v>1072.4131877677191</v>
      </c>
      <c r="AB87" s="252">
        <f t="shared" si="51"/>
        <v>1262.5778157424663</v>
      </c>
      <c r="AC87" s="252">
        <f t="shared" si="51"/>
        <v>1234.9778227777929</v>
      </c>
      <c r="AD87" s="252">
        <f t="shared" si="51"/>
        <v>1107.1107826881316</v>
      </c>
      <c r="AE87" s="252">
        <f t="shared" si="51"/>
        <v>1026.8929120469636</v>
      </c>
    </row>
    <row r="88" spans="1:31">
      <c r="A88" s="240" t="s">
        <v>46</v>
      </c>
      <c r="B88" s="290">
        <f t="shared" si="50"/>
        <v>154.87204600538664</v>
      </c>
      <c r="C88" s="290">
        <f t="shared" si="50"/>
        <v>130.2576043367724</v>
      </c>
      <c r="D88" s="290">
        <f t="shared" si="50"/>
        <v>182.52954961379814</v>
      </c>
      <c r="E88" s="290">
        <f t="shared" si="50"/>
        <v>157.77510711258387</v>
      </c>
      <c r="F88" s="290">
        <f t="shared" si="50"/>
        <v>119.45692860495438</v>
      </c>
      <c r="G88" s="290">
        <f t="shared" si="50"/>
        <v>157.60710286153844</v>
      </c>
      <c r="H88" s="290">
        <f t="shared" si="50"/>
        <v>274.48917301488837</v>
      </c>
      <c r="I88" s="290">
        <f t="shared" si="50"/>
        <v>265.20664892986764</v>
      </c>
      <c r="J88" s="290">
        <f t="shared" si="50"/>
        <v>196.21027482591091</v>
      </c>
      <c r="K88" s="290">
        <f t="shared" si="50"/>
        <v>248.08818308809833</v>
      </c>
      <c r="L88" s="290">
        <f t="shared" si="50"/>
        <v>306.11286418705691</v>
      </c>
      <c r="M88" s="290">
        <f t="shared" si="50"/>
        <v>353.50925030669271</v>
      </c>
      <c r="N88" s="290">
        <f t="shared" si="50"/>
        <v>479.73234289261342</v>
      </c>
      <c r="O88" s="290">
        <f t="shared" si="50"/>
        <v>602.3731859567439</v>
      </c>
      <c r="P88" s="290">
        <f t="shared" si="50"/>
        <v>331.53572348055576</v>
      </c>
      <c r="Q88" s="290">
        <f t="shared" si="50"/>
        <v>498.59416448584108</v>
      </c>
      <c r="R88" s="290">
        <f t="shared" si="50"/>
        <v>515.44081529965342</v>
      </c>
      <c r="S88" s="290">
        <f t="shared" si="50"/>
        <v>406.21726608367055</v>
      </c>
      <c r="T88" s="290">
        <f t="shared" si="50"/>
        <v>888.20690848699326</v>
      </c>
      <c r="U88" s="290">
        <f t="shared" si="50"/>
        <v>709.06783361271494</v>
      </c>
      <c r="V88" s="290">
        <f t="shared" si="50"/>
        <v>711.56563287375025</v>
      </c>
      <c r="W88" s="290">
        <f t="shared" si="50"/>
        <v>718.9113793089266</v>
      </c>
      <c r="X88" s="290">
        <f t="shared" si="50"/>
        <v>766.83764669535844</v>
      </c>
      <c r="Y88" s="290">
        <f t="shared" si="50"/>
        <v>1033.5650956917329</v>
      </c>
      <c r="Z88" s="252">
        <f t="shared" si="51"/>
        <v>954.49311422421658</v>
      </c>
      <c r="AA88" s="252">
        <f t="shared" si="51"/>
        <v>1099.934843312725</v>
      </c>
      <c r="AB88" s="252">
        <f t="shared" si="51"/>
        <v>1256.5544540762817</v>
      </c>
      <c r="AC88" s="252">
        <f t="shared" si="51"/>
        <v>1283.4896874093979</v>
      </c>
      <c r="AD88" s="252">
        <f t="shared" si="51"/>
        <v>1145.9765821063952</v>
      </c>
      <c r="AE88" s="252">
        <f t="shared" si="51"/>
        <v>1076.1021755219674</v>
      </c>
    </row>
    <row r="89" spans="1:31">
      <c r="A89" s="240" t="s">
        <v>235</v>
      </c>
      <c r="B89" s="290">
        <f t="shared" si="50"/>
        <v>153.68015897917894</v>
      </c>
      <c r="C89" s="290">
        <f t="shared" si="50"/>
        <v>133.26049669419029</v>
      </c>
      <c r="D89" s="290">
        <f t="shared" si="50"/>
        <v>188.62236790562363</v>
      </c>
      <c r="E89" s="290">
        <f t="shared" si="50"/>
        <v>114.830148623353</v>
      </c>
      <c r="F89" s="290">
        <f t="shared" si="50"/>
        <v>131.39137734147209</v>
      </c>
      <c r="G89" s="290">
        <f t="shared" si="50"/>
        <v>128.01490462153851</v>
      </c>
      <c r="H89" s="290">
        <f t="shared" si="50"/>
        <v>257.22863672456572</v>
      </c>
      <c r="I89" s="290">
        <f t="shared" si="50"/>
        <v>260.88725541388595</v>
      </c>
      <c r="J89" s="290">
        <f t="shared" si="50"/>
        <v>194.96961366801622</v>
      </c>
      <c r="K89" s="290">
        <f t="shared" si="50"/>
        <v>255.14240826969643</v>
      </c>
      <c r="L89" s="290">
        <f t="shared" si="50"/>
        <v>289.56437353473694</v>
      </c>
      <c r="M89" s="290">
        <f t="shared" si="50"/>
        <v>381.61157541005946</v>
      </c>
      <c r="N89" s="290">
        <f t="shared" si="50"/>
        <v>414.01383507138428</v>
      </c>
      <c r="O89" s="290">
        <f t="shared" si="50"/>
        <v>456.32410372587492</v>
      </c>
      <c r="P89" s="290">
        <f t="shared" si="50"/>
        <v>414.94693155320965</v>
      </c>
      <c r="Q89" s="290">
        <f t="shared" si="50"/>
        <v>569.93213509126917</v>
      </c>
      <c r="R89" s="290">
        <f t="shared" si="50"/>
        <v>539.53198152735126</v>
      </c>
      <c r="S89" s="290">
        <f t="shared" si="50"/>
        <v>417.10326292577605</v>
      </c>
      <c r="T89" s="290">
        <f t="shared" si="50"/>
        <v>761.13627652573405</v>
      </c>
      <c r="U89" s="290">
        <f t="shared" si="50"/>
        <v>550.43469075557221</v>
      </c>
      <c r="V89" s="290">
        <f t="shared" si="50"/>
        <v>707.49646393414537</v>
      </c>
      <c r="W89" s="290">
        <f t="shared" si="50"/>
        <v>685.76423247291916</v>
      </c>
      <c r="X89" s="290">
        <f t="shared" si="50"/>
        <v>686.11971740357365</v>
      </c>
      <c r="Y89" s="290">
        <f t="shared" si="50"/>
        <v>976.37289166024414</v>
      </c>
      <c r="Z89" s="252">
        <f t="shared" si="51"/>
        <v>852.96178371430142</v>
      </c>
      <c r="AA89" s="252">
        <f t="shared" si="51"/>
        <v>1006.7575113138432</v>
      </c>
      <c r="AB89" s="252">
        <f t="shared" si="51"/>
        <v>1173.494813723984</v>
      </c>
      <c r="AC89" s="252">
        <f t="shared" si="51"/>
        <v>1180.847953947509</v>
      </c>
      <c r="AD89" s="252">
        <f t="shared" si="51"/>
        <v>1052.7811489308926</v>
      </c>
      <c r="AE89" s="252">
        <f t="shared" si="51"/>
        <v>992.43095826331273</v>
      </c>
    </row>
    <row r="90" spans="1:31">
      <c r="A90" s="240" t="s">
        <v>236</v>
      </c>
      <c r="B90" s="290">
        <f t="shared" si="50"/>
        <v>142.43825722658701</v>
      </c>
      <c r="C90" s="290">
        <f t="shared" si="50"/>
        <v>121.15045802057959</v>
      </c>
      <c r="D90" s="290">
        <f t="shared" si="50"/>
        <v>175.40760193865154</v>
      </c>
      <c r="E90" s="290">
        <f t="shared" si="50"/>
        <v>108.63918277719915</v>
      </c>
      <c r="F90" s="290">
        <f t="shared" si="50"/>
        <v>114.08315792698826</v>
      </c>
      <c r="G90" s="290">
        <f t="shared" si="50"/>
        <v>84.046243101538451</v>
      </c>
      <c r="H90" s="290">
        <f t="shared" si="50"/>
        <v>245.18390769230763</v>
      </c>
      <c r="I90" s="290">
        <f t="shared" si="50"/>
        <v>269.44074874721929</v>
      </c>
      <c r="J90" s="290">
        <f t="shared" si="50"/>
        <v>184.23321608906883</v>
      </c>
      <c r="K90" s="290">
        <f t="shared" si="50"/>
        <v>221.7364954367666</v>
      </c>
      <c r="L90" s="290">
        <f t="shared" si="50"/>
        <v>274.24914313796489</v>
      </c>
      <c r="M90" s="290">
        <f t="shared" si="50"/>
        <v>336.76383317733649</v>
      </c>
      <c r="N90" s="290">
        <f t="shared" si="50"/>
        <v>404.84498106765989</v>
      </c>
      <c r="O90" s="290">
        <f t="shared" si="50"/>
        <v>373.7220070548849</v>
      </c>
      <c r="P90" s="290">
        <f t="shared" si="50"/>
        <v>439.4518663665296</v>
      </c>
      <c r="Q90" s="290">
        <f t="shared" si="50"/>
        <v>508.8598980975321</v>
      </c>
      <c r="R90" s="290">
        <f t="shared" si="50"/>
        <v>477.1877375596365</v>
      </c>
      <c r="S90" s="290">
        <f t="shared" si="50"/>
        <v>455.34322755735502</v>
      </c>
      <c r="T90" s="290">
        <f t="shared" si="50"/>
        <v>570.59323778481405</v>
      </c>
      <c r="U90" s="290">
        <f t="shared" si="50"/>
        <v>512.34017501707331</v>
      </c>
      <c r="V90" s="290">
        <f t="shared" si="50"/>
        <v>579.97958812006243</v>
      </c>
      <c r="W90" s="290">
        <f t="shared" si="50"/>
        <v>554.06615248183186</v>
      </c>
      <c r="X90" s="290">
        <f t="shared" si="50"/>
        <v>558.60946921660502</v>
      </c>
      <c r="Y90" s="290">
        <f t="shared" si="50"/>
        <v>712.65011230671382</v>
      </c>
      <c r="Z90" s="252">
        <f t="shared" si="51"/>
        <v>698.17309549423248</v>
      </c>
      <c r="AA90" s="252">
        <f t="shared" si="51"/>
        <v>814.53366343426603</v>
      </c>
      <c r="AB90" s="252">
        <f t="shared" si="51"/>
        <v>931.7424638233058</v>
      </c>
      <c r="AC90" s="252">
        <f>(SUM(W90:AA90)/SUM(W$92:AA$92))*AC$92</f>
        <v>936.72319223482032</v>
      </c>
      <c r="AD90" s="252">
        <f t="shared" si="51"/>
        <v>833.06484393830613</v>
      </c>
      <c r="AE90" s="252">
        <f t="shared" si="51"/>
        <v>782.75448000922313</v>
      </c>
    </row>
    <row r="91" spans="1:31">
      <c r="A91" s="240" t="s">
        <v>237</v>
      </c>
      <c r="B91" s="290">
        <f t="shared" si="50"/>
        <v>132.91561725486744</v>
      </c>
      <c r="C91" s="290">
        <f t="shared" si="50"/>
        <v>137.13661531451672</v>
      </c>
      <c r="D91" s="290">
        <f t="shared" si="50"/>
        <v>188.87509460898534</v>
      </c>
      <c r="E91" s="290">
        <f t="shared" si="50"/>
        <v>48.061992121814583</v>
      </c>
      <c r="F91" s="290">
        <f t="shared" si="50"/>
        <v>142.84783717198059</v>
      </c>
      <c r="G91" s="290">
        <f t="shared" si="50"/>
        <v>114.45672478153848</v>
      </c>
      <c r="H91" s="290">
        <f t="shared" si="50"/>
        <v>247.61870527295287</v>
      </c>
      <c r="I91" s="290">
        <f t="shared" si="50"/>
        <v>255.58533870155719</v>
      </c>
      <c r="J91" s="290">
        <f t="shared" si="50"/>
        <v>205.3504118785425</v>
      </c>
      <c r="K91" s="290">
        <f t="shared" si="50"/>
        <v>168.76530173216608</v>
      </c>
      <c r="L91" s="290">
        <f t="shared" si="50"/>
        <v>274.9043334540375</v>
      </c>
      <c r="M91" s="290">
        <f t="shared" si="50"/>
        <v>304.35497753646234</v>
      </c>
      <c r="N91" s="290">
        <f t="shared" ref="N91:AJ91" si="52">N217/N$235</f>
        <v>380.84534941030415</v>
      </c>
      <c r="O91" s="290">
        <f t="shared" si="52"/>
        <v>345.07424466837369</v>
      </c>
      <c r="P91" s="290">
        <f t="shared" si="52"/>
        <v>395.81136344019239</v>
      </c>
      <c r="Q91" s="290">
        <f t="shared" si="52"/>
        <v>412.49568064450489</v>
      </c>
      <c r="R91" s="290">
        <f t="shared" si="52"/>
        <v>400.90275612378275</v>
      </c>
      <c r="S91" s="290">
        <f t="shared" si="52"/>
        <v>449.47406092577603</v>
      </c>
      <c r="T91" s="290">
        <f t="shared" si="52"/>
        <v>587.27259855963234</v>
      </c>
      <c r="U91" s="290">
        <f t="shared" si="52"/>
        <v>475.10940504128649</v>
      </c>
      <c r="V91" s="290">
        <f t="shared" si="52"/>
        <v>544.12059254533381</v>
      </c>
      <c r="W91" s="290">
        <f t="shared" si="52"/>
        <v>528.46339478723894</v>
      </c>
      <c r="X91" s="290">
        <f t="shared" si="52"/>
        <v>608.08083251688845</v>
      </c>
      <c r="Y91" s="290">
        <f t="shared" si="52"/>
        <v>746.69796769793504</v>
      </c>
      <c r="Z91" s="252">
        <f t="shared" ref="Z91:AE91" si="53">Z92-SUM(Z80:Z90)</f>
        <v>464.45921989136696</v>
      </c>
      <c r="AA91" s="252">
        <f t="shared" si="53"/>
        <v>810.29765623032472</v>
      </c>
      <c r="AB91" s="252">
        <f t="shared" si="53"/>
        <v>868.1978733450469</v>
      </c>
      <c r="AC91" s="252">
        <f t="shared" si="53"/>
        <v>886.20196994482831</v>
      </c>
      <c r="AD91" s="252">
        <f t="shared" si="53"/>
        <v>784.19461997418148</v>
      </c>
      <c r="AE91" s="252">
        <f t="shared" si="53"/>
        <v>721.95781631815953</v>
      </c>
    </row>
    <row r="92" spans="1:31" ht="15.75" thickBot="1">
      <c r="A92" s="240" t="s">
        <v>242</v>
      </c>
      <c r="B92" s="290">
        <f>SUM(B80:B91)</f>
        <v>1805.9407398384255</v>
      </c>
      <c r="C92" s="290">
        <f t="shared" ref="C92:Y92" si="54">SUM(C80:C91)</f>
        <v>1628.4376592943297</v>
      </c>
      <c r="D92" s="290">
        <f t="shared" si="54"/>
        <v>2212.8263465864993</v>
      </c>
      <c r="E92" s="290">
        <f t="shared" si="54"/>
        <v>1790.9062456125041</v>
      </c>
      <c r="F92" s="290">
        <f t="shared" si="54"/>
        <v>1440.3870942961553</v>
      </c>
      <c r="G92" s="290">
        <f t="shared" si="54"/>
        <v>1767.1415709907694</v>
      </c>
      <c r="H92" s="290">
        <f t="shared" si="54"/>
        <v>2968.8300692307685</v>
      </c>
      <c r="I92" s="290">
        <f t="shared" si="54"/>
        <v>3106.6091250181485</v>
      </c>
      <c r="J92" s="290">
        <f t="shared" si="54"/>
        <v>2443.404652237517</v>
      </c>
      <c r="K92" s="290">
        <f t="shared" si="54"/>
        <v>2958.4052579623767</v>
      </c>
      <c r="L92" s="290">
        <f t="shared" si="54"/>
        <v>3579.5781543634575</v>
      </c>
      <c r="M92" s="290">
        <f t="shared" si="54"/>
        <v>4078.9289674345346</v>
      </c>
      <c r="N92" s="290">
        <f t="shared" si="54"/>
        <v>5175.4095651148364</v>
      </c>
      <c r="O92" s="290">
        <f t="shared" si="54"/>
        <v>5584.8655830434436</v>
      </c>
      <c r="P92" s="290">
        <f t="shared" si="54"/>
        <v>4761.5305589070867</v>
      </c>
      <c r="Q92" s="290">
        <f t="shared" si="54"/>
        <v>5881.7459492404032</v>
      </c>
      <c r="R92" s="290">
        <f t="shared" si="54"/>
        <v>5596.8356430037247</v>
      </c>
      <c r="S92" s="290">
        <f t="shared" si="54"/>
        <v>4595.2327845991904</v>
      </c>
      <c r="T92" s="290">
        <f t="shared" si="54"/>
        <v>7990.8970184391874</v>
      </c>
      <c r="U92" s="290">
        <f t="shared" si="54"/>
        <v>6989.1998567703477</v>
      </c>
      <c r="V92" s="290">
        <f t="shared" si="54"/>
        <v>8735.344211209831</v>
      </c>
      <c r="W92" s="290">
        <f t="shared" si="54"/>
        <v>8118.611646929704</v>
      </c>
      <c r="X92" s="290">
        <f t="shared" si="54"/>
        <v>8517.2938043658742</v>
      </c>
      <c r="Y92" s="290">
        <f t="shared" si="54"/>
        <v>10444.243835996529</v>
      </c>
      <c r="Z92" s="253">
        <f t="shared" ref="Z92:AE92" si="55">Z12</f>
        <v>10150</v>
      </c>
      <c r="AA92" s="253">
        <f t="shared" si="55"/>
        <v>11950</v>
      </c>
      <c r="AB92" s="253">
        <f t="shared" si="55"/>
        <v>13800</v>
      </c>
      <c r="AC92" s="253">
        <f t="shared" si="55"/>
        <v>13801</v>
      </c>
      <c r="AD92" s="253">
        <f t="shared" si="55"/>
        <v>12300</v>
      </c>
      <c r="AE92" s="253">
        <f t="shared" si="55"/>
        <v>11500</v>
      </c>
    </row>
    <row r="93" spans="1:31">
      <c r="A93" s="248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</row>
    <row r="94" spans="1:31" ht="15.75" thickBot="1">
      <c r="A94" s="235" t="s">
        <v>252</v>
      </c>
    </row>
    <row r="95" spans="1:31" ht="15.75" thickBot="1">
      <c r="A95" s="236"/>
      <c r="B95" s="237" t="str">
        <f>B$2</f>
        <v xml:space="preserve">93/94 </v>
      </c>
      <c r="C95" s="237" t="str">
        <f t="shared" ref="C95:AE95" si="56">C$2</f>
        <v xml:space="preserve">94/95 </v>
      </c>
      <c r="D95" s="237" t="str">
        <f t="shared" si="56"/>
        <v xml:space="preserve">95/96 </v>
      </c>
      <c r="E95" s="237" t="str">
        <f t="shared" si="56"/>
        <v xml:space="preserve">96/97 </v>
      </c>
      <c r="F95" s="237" t="str">
        <f t="shared" si="56"/>
        <v xml:space="preserve">97/98 </v>
      </c>
      <c r="G95" s="237" t="str">
        <f t="shared" si="56"/>
        <v xml:space="preserve">98/99 </v>
      </c>
      <c r="H95" s="237" t="str">
        <f t="shared" si="56"/>
        <v xml:space="preserve">99/00 </v>
      </c>
      <c r="I95" s="237" t="str">
        <f t="shared" si="56"/>
        <v xml:space="preserve">00/01 </v>
      </c>
      <c r="J95" s="237" t="str">
        <f t="shared" si="56"/>
        <v xml:space="preserve">01/02 </v>
      </c>
      <c r="K95" s="237" t="str">
        <f t="shared" si="56"/>
        <v xml:space="preserve">02/03 </v>
      </c>
      <c r="L95" s="237" t="str">
        <f t="shared" si="56"/>
        <v xml:space="preserve">03/04 </v>
      </c>
      <c r="M95" s="237" t="str">
        <f t="shared" si="56"/>
        <v xml:space="preserve">04/05 </v>
      </c>
      <c r="N95" s="237" t="str">
        <f t="shared" si="56"/>
        <v xml:space="preserve">05/06 </v>
      </c>
      <c r="O95" s="237" t="str">
        <f t="shared" si="56"/>
        <v xml:space="preserve">06/07 </v>
      </c>
      <c r="P95" s="237" t="str">
        <f t="shared" si="56"/>
        <v xml:space="preserve">07/08 </v>
      </c>
      <c r="Q95" s="237" t="str">
        <f t="shared" si="56"/>
        <v xml:space="preserve">08/09 </v>
      </c>
      <c r="R95" s="237" t="str">
        <f t="shared" si="56"/>
        <v xml:space="preserve">09/10 </v>
      </c>
      <c r="S95" s="237" t="str">
        <f t="shared" si="56"/>
        <v xml:space="preserve">10/11 </v>
      </c>
      <c r="T95" s="237" t="str">
        <f t="shared" si="56"/>
        <v xml:space="preserve">11/12 </v>
      </c>
      <c r="U95" s="237" t="str">
        <f t="shared" si="56"/>
        <v xml:space="preserve">12/13 </v>
      </c>
      <c r="V95" s="237" t="str">
        <f t="shared" si="56"/>
        <v xml:space="preserve">13/14 </v>
      </c>
      <c r="W95" s="237" t="str">
        <f t="shared" si="56"/>
        <v xml:space="preserve">14/15 </v>
      </c>
      <c r="X95" s="237" t="str">
        <f t="shared" si="56"/>
        <v xml:space="preserve">15/16 </v>
      </c>
      <c r="Y95" s="237" t="str">
        <f t="shared" si="56"/>
        <v xml:space="preserve">16/17 </v>
      </c>
      <c r="Z95" s="237" t="str">
        <f t="shared" si="56"/>
        <v xml:space="preserve">17/18 </v>
      </c>
      <c r="AA95" s="237" t="str">
        <f t="shared" si="56"/>
        <v xml:space="preserve">18/19 </v>
      </c>
      <c r="AB95" s="237" t="str">
        <f t="shared" si="56"/>
        <v xml:space="preserve">19/20 </v>
      </c>
      <c r="AC95" s="237" t="str">
        <f t="shared" si="56"/>
        <v xml:space="preserve">20/21 </v>
      </c>
      <c r="AD95" s="237" t="str">
        <f t="shared" si="56"/>
        <v xml:space="preserve">21/22 </v>
      </c>
      <c r="AE95" s="237" t="str">
        <f t="shared" si="56"/>
        <v xml:space="preserve">22/23 </v>
      </c>
    </row>
    <row r="96" spans="1:31">
      <c r="A96" s="240" t="s">
        <v>239</v>
      </c>
      <c r="B96" s="290">
        <f t="shared" ref="B96:AE104" si="57">B$124*B80</f>
        <v>56.028031076147592</v>
      </c>
      <c r="C96" s="290">
        <f t="shared" si="57"/>
        <v>53.732229869337175</v>
      </c>
      <c r="D96" s="290">
        <f t="shared" si="57"/>
        <v>52.742051556580719</v>
      </c>
      <c r="E96" s="290">
        <f t="shared" si="57"/>
        <v>83.0851189863005</v>
      </c>
      <c r="F96" s="290">
        <f t="shared" si="57"/>
        <v>19.312431708347972</v>
      </c>
      <c r="G96" s="290">
        <f t="shared" si="57"/>
        <v>59.555256492307699</v>
      </c>
      <c r="H96" s="290">
        <f t="shared" si="57"/>
        <v>50.814845138337439</v>
      </c>
      <c r="I96" s="290">
        <f t="shared" si="57"/>
        <v>87.193887390235346</v>
      </c>
      <c r="J96" s="290">
        <f t="shared" si="57"/>
        <v>91.428135529284759</v>
      </c>
      <c r="K96" s="290">
        <f t="shared" si="57"/>
        <v>77.444796920593546</v>
      </c>
      <c r="L96" s="290">
        <f t="shared" si="57"/>
        <v>86.731537675236652</v>
      </c>
      <c r="M96" s="290">
        <f t="shared" si="57"/>
        <v>108.13156391657957</v>
      </c>
      <c r="N96" s="290">
        <f t="shared" si="57"/>
        <v>117.56839586556366</v>
      </c>
      <c r="O96" s="290">
        <f t="shared" si="57"/>
        <v>142.92188228186282</v>
      </c>
      <c r="P96" s="290">
        <f t="shared" si="57"/>
        <v>134.12634244818747</v>
      </c>
      <c r="Q96" s="290">
        <f t="shared" si="57"/>
        <v>164.43324022568379</v>
      </c>
      <c r="R96" s="290">
        <f t="shared" si="57"/>
        <v>130.40512278684403</v>
      </c>
      <c r="S96" s="290">
        <f t="shared" si="57"/>
        <v>159.79598472410251</v>
      </c>
      <c r="T96" s="290">
        <f t="shared" si="57"/>
        <v>174.17759912150001</v>
      </c>
      <c r="U96" s="290">
        <f t="shared" si="57"/>
        <v>174.35998299000414</v>
      </c>
      <c r="V96" s="290">
        <f t="shared" si="57"/>
        <v>225.0055254672547</v>
      </c>
      <c r="W96" s="290">
        <f t="shared" si="57"/>
        <v>223.00260457150702</v>
      </c>
      <c r="X96" s="290">
        <f t="shared" si="57"/>
        <v>196.02363253257786</v>
      </c>
      <c r="Y96" s="290">
        <f t="shared" si="57"/>
        <v>280.19229970893281</v>
      </c>
      <c r="Z96" s="290">
        <f t="shared" si="57"/>
        <v>341.68997285455026</v>
      </c>
      <c r="AA96" s="252">
        <f t="shared" si="57"/>
        <v>314.45547450682068</v>
      </c>
      <c r="AB96" s="252">
        <f t="shared" si="57"/>
        <v>390.72703533105494</v>
      </c>
      <c r="AC96" s="252">
        <f t="shared" si="57"/>
        <v>390.15738191810135</v>
      </c>
      <c r="AD96" s="252">
        <f t="shared" si="57"/>
        <v>349.41159603306562</v>
      </c>
      <c r="AE96" s="252">
        <f t="shared" si="57"/>
        <v>335.16091226844316</v>
      </c>
    </row>
    <row r="97" spans="1:31">
      <c r="A97" s="240" t="s">
        <v>240</v>
      </c>
      <c r="B97" s="290">
        <f t="shared" si="57"/>
        <v>55.253001024718046</v>
      </c>
      <c r="C97" s="290">
        <f t="shared" si="57"/>
        <v>48.701969506256034</v>
      </c>
      <c r="D97" s="290">
        <f t="shared" si="57"/>
        <v>69.502386739693222</v>
      </c>
      <c r="E97" s="290">
        <f t="shared" si="57"/>
        <v>66.390686159085533</v>
      </c>
      <c r="F97" s="290">
        <f t="shared" si="57"/>
        <v>37.743275997392438</v>
      </c>
      <c r="G97" s="290">
        <f t="shared" si="57"/>
        <v>75.760508276923076</v>
      </c>
      <c r="H97" s="290">
        <f t="shared" si="57"/>
        <v>81.474767910669982</v>
      </c>
      <c r="I97" s="290">
        <f t="shared" si="57"/>
        <v>85.459393513640109</v>
      </c>
      <c r="J97" s="290">
        <f t="shared" si="57"/>
        <v>86.275728356275309</v>
      </c>
      <c r="K97" s="290">
        <f t="shared" si="57"/>
        <v>95.844402306450633</v>
      </c>
      <c r="L97" s="290">
        <f t="shared" si="57"/>
        <v>103.47155605331677</v>
      </c>
      <c r="M97" s="290">
        <f t="shared" si="57"/>
        <v>122.08295347630516</v>
      </c>
      <c r="N97" s="290">
        <f t="shared" si="57"/>
        <v>147.30709823568736</v>
      </c>
      <c r="O97" s="290">
        <f t="shared" si="57"/>
        <v>143.54223021273296</v>
      </c>
      <c r="P97" s="290">
        <f t="shared" si="57"/>
        <v>148.72627260110221</v>
      </c>
      <c r="Q97" s="290">
        <f t="shared" si="57"/>
        <v>191.99172024110052</v>
      </c>
      <c r="R97" s="290">
        <f t="shared" si="57"/>
        <v>172.29604466240767</v>
      </c>
      <c r="S97" s="290">
        <f t="shared" si="57"/>
        <v>160.14302399535759</v>
      </c>
      <c r="T97" s="290">
        <f t="shared" si="57"/>
        <v>220.86177940460666</v>
      </c>
      <c r="U97" s="290">
        <f t="shared" si="57"/>
        <v>214.18610488048674</v>
      </c>
      <c r="V97" s="290">
        <f t="shared" si="57"/>
        <v>294.29962247361328</v>
      </c>
      <c r="W97" s="290">
        <f t="shared" si="57"/>
        <v>267.98040396750309</v>
      </c>
      <c r="X97" s="290">
        <f t="shared" si="57"/>
        <v>262.82194126062319</v>
      </c>
      <c r="Y97" s="290">
        <f t="shared" si="57"/>
        <v>320.38057429893939</v>
      </c>
      <c r="Z97" s="290">
        <f t="shared" si="57"/>
        <v>331.71989007736835</v>
      </c>
      <c r="AA97" s="252">
        <f t="shared" si="57"/>
        <v>389.18871983581829</v>
      </c>
      <c r="AB97" s="252">
        <f t="shared" si="57"/>
        <v>455.94554746834979</v>
      </c>
      <c r="AC97" s="252">
        <f t="shared" si="57"/>
        <v>452.37232469391165</v>
      </c>
      <c r="AD97" s="252">
        <f t="shared" si="57"/>
        <v>403.59988435807168</v>
      </c>
      <c r="AE97" s="252">
        <f t="shared" si="57"/>
        <v>380.23673458793053</v>
      </c>
    </row>
    <row r="98" spans="1:31">
      <c r="A98" s="240" t="s">
        <v>241</v>
      </c>
      <c r="B98" s="290">
        <f t="shared" si="57"/>
        <v>56.669921669953375</v>
      </c>
      <c r="C98" s="290">
        <f t="shared" si="57"/>
        <v>52.245039456233435</v>
      </c>
      <c r="D98" s="290">
        <f t="shared" si="57"/>
        <v>72.134755221641313</v>
      </c>
      <c r="E98" s="290">
        <f t="shared" si="57"/>
        <v>63.856353178192578</v>
      </c>
      <c r="F98" s="290">
        <f t="shared" si="57"/>
        <v>42.885502684603523</v>
      </c>
      <c r="G98" s="290">
        <f t="shared" si="57"/>
        <v>63.655800276923088</v>
      </c>
      <c r="H98" s="290">
        <f t="shared" si="57"/>
        <v>76.853728700992534</v>
      </c>
      <c r="I98" s="290">
        <f t="shared" si="57"/>
        <v>84.163638262498566</v>
      </c>
      <c r="J98" s="290">
        <f t="shared" si="57"/>
        <v>86.688743851012148</v>
      </c>
      <c r="K98" s="290">
        <f t="shared" si="57"/>
        <v>100.9363693363134</v>
      </c>
      <c r="L98" s="290">
        <f t="shared" si="57"/>
        <v>118.31640944941631</v>
      </c>
      <c r="M98" s="290">
        <f t="shared" si="57"/>
        <v>119.62684769957743</v>
      </c>
      <c r="N98" s="290">
        <f t="shared" si="57"/>
        <v>154.54005750011933</v>
      </c>
      <c r="O98" s="290">
        <f t="shared" si="57"/>
        <v>169.23396908000487</v>
      </c>
      <c r="P98" s="290">
        <f t="shared" si="57"/>
        <v>162.20638626406895</v>
      </c>
      <c r="Q98" s="290">
        <f t="shared" si="57"/>
        <v>188.4341324665703</v>
      </c>
      <c r="R98" s="290">
        <f t="shared" si="57"/>
        <v>210.48555435102276</v>
      </c>
      <c r="S98" s="290">
        <f t="shared" si="57"/>
        <v>135.20287068904182</v>
      </c>
      <c r="T98" s="290">
        <f t="shared" si="57"/>
        <v>292.18639795182219</v>
      </c>
      <c r="U98" s="290">
        <f t="shared" si="57"/>
        <v>227.57305558266597</v>
      </c>
      <c r="V98" s="290">
        <f t="shared" si="57"/>
        <v>310.59993545162604</v>
      </c>
      <c r="W98" s="290">
        <f t="shared" si="57"/>
        <v>268.8304811600164</v>
      </c>
      <c r="X98" s="290">
        <f t="shared" si="57"/>
        <v>292.79327045609062</v>
      </c>
      <c r="Y98" s="290">
        <f t="shared" si="57"/>
        <v>382.98757434760341</v>
      </c>
      <c r="Z98" s="290">
        <f t="shared" si="57"/>
        <v>408.54893744542886</v>
      </c>
      <c r="AA98" s="252">
        <f t="shared" si="57"/>
        <v>424.42363090599531</v>
      </c>
      <c r="AB98" s="252">
        <f t="shared" si="57"/>
        <v>513.5225364793954</v>
      </c>
      <c r="AC98" s="252">
        <f t="shared" si="57"/>
        <v>511.61129662138785</v>
      </c>
      <c r="AD98" s="252">
        <f t="shared" si="57"/>
        <v>463.92370797209924</v>
      </c>
      <c r="AE98" s="252">
        <f t="shared" si="57"/>
        <v>437.30561416438712</v>
      </c>
    </row>
    <row r="99" spans="1:31">
      <c r="A99" s="240" t="s">
        <v>231</v>
      </c>
      <c r="B99" s="290">
        <f t="shared" si="57"/>
        <v>58.218823166326381</v>
      </c>
      <c r="C99" s="290">
        <f t="shared" si="57"/>
        <v>53.863081639771679</v>
      </c>
      <c r="D99" s="290">
        <f t="shared" si="57"/>
        <v>73.070598078695113</v>
      </c>
      <c r="E99" s="290">
        <f t="shared" si="57"/>
        <v>61.67940059171594</v>
      </c>
      <c r="F99" s="290">
        <f t="shared" si="57"/>
        <v>39.675291683062724</v>
      </c>
      <c r="G99" s="290">
        <f t="shared" si="57"/>
        <v>69.720708543589737</v>
      </c>
      <c r="H99" s="290">
        <f t="shared" si="57"/>
        <v>85.668684491315133</v>
      </c>
      <c r="I99" s="290">
        <f t="shared" si="57"/>
        <v>86.399725933731418</v>
      </c>
      <c r="J99" s="290">
        <f t="shared" si="57"/>
        <v>86.245010798380562</v>
      </c>
      <c r="K99" s="290">
        <f t="shared" si="57"/>
        <v>107.2206821692432</v>
      </c>
      <c r="L99" s="290">
        <f t="shared" si="57"/>
        <v>129.36165060610764</v>
      </c>
      <c r="M99" s="290">
        <f t="shared" si="57"/>
        <v>137.75555905811262</v>
      </c>
      <c r="N99" s="290">
        <f t="shared" si="57"/>
        <v>178.44755261185122</v>
      </c>
      <c r="O99" s="290">
        <f t="shared" si="57"/>
        <v>239.41794772246053</v>
      </c>
      <c r="P99" s="290">
        <f t="shared" si="57"/>
        <v>178.92606206628886</v>
      </c>
      <c r="Q99" s="290">
        <f t="shared" si="57"/>
        <v>251.90883649997318</v>
      </c>
      <c r="R99" s="290">
        <f t="shared" si="57"/>
        <v>218.5443017397229</v>
      </c>
      <c r="S99" s="290">
        <f t="shared" si="57"/>
        <v>142.05268471325232</v>
      </c>
      <c r="T99" s="290">
        <f t="shared" si="57"/>
        <v>281.50273112373497</v>
      </c>
      <c r="U99" s="290">
        <f t="shared" si="57"/>
        <v>248.01026601850131</v>
      </c>
      <c r="V99" s="290">
        <f t="shared" si="57"/>
        <v>366.57625172215205</v>
      </c>
      <c r="W99" s="290">
        <f t="shared" si="57"/>
        <v>323.74944343720011</v>
      </c>
      <c r="X99" s="290">
        <f t="shared" si="57"/>
        <v>352.64289594900845</v>
      </c>
      <c r="Y99" s="290">
        <f t="shared" si="57"/>
        <v>423.24663431062834</v>
      </c>
      <c r="Z99" s="290">
        <f t="shared" si="57"/>
        <v>421.4017613378233</v>
      </c>
      <c r="AA99" s="252">
        <f t="shared" si="57"/>
        <v>490.66651277215419</v>
      </c>
      <c r="AB99" s="252">
        <f t="shared" si="57"/>
        <v>582.61909142403942</v>
      </c>
      <c r="AC99" s="252">
        <f t="shared" si="57"/>
        <v>578.92291435751667</v>
      </c>
      <c r="AD99" s="252">
        <f t="shared" si="57"/>
        <v>520.76718949049359</v>
      </c>
      <c r="AE99" s="252">
        <f t="shared" si="57"/>
        <v>487.01535737956635</v>
      </c>
    </row>
    <row r="100" spans="1:31">
      <c r="A100" s="240" t="s">
        <v>232</v>
      </c>
      <c r="B100" s="290">
        <f t="shared" si="57"/>
        <v>58.442597793628785</v>
      </c>
      <c r="C100" s="290">
        <f t="shared" si="57"/>
        <v>53.580192344056556</v>
      </c>
      <c r="D100" s="290">
        <f t="shared" si="57"/>
        <v>74.185990787420707</v>
      </c>
      <c r="E100" s="290">
        <f t="shared" si="57"/>
        <v>61.67940059171594</v>
      </c>
      <c r="F100" s="290">
        <f t="shared" si="57"/>
        <v>54.336906736991828</v>
      </c>
      <c r="G100" s="290">
        <f t="shared" si="57"/>
        <v>70.432002810256421</v>
      </c>
      <c r="H100" s="290">
        <f t="shared" si="57"/>
        <v>99.598368104218366</v>
      </c>
      <c r="I100" s="290">
        <f t="shared" si="57"/>
        <v>102.21933049994149</v>
      </c>
      <c r="J100" s="290">
        <f t="shared" si="57"/>
        <v>68.753637072064791</v>
      </c>
      <c r="K100" s="290">
        <f t="shared" si="57"/>
        <v>102.45677050661202</v>
      </c>
      <c r="L100" s="290">
        <f t="shared" si="57"/>
        <v>125.70047078095632</v>
      </c>
      <c r="M100" s="290">
        <f t="shared" si="57"/>
        <v>141.09373259621066</v>
      </c>
      <c r="N100" s="290">
        <f t="shared" si="57"/>
        <v>170.79346436697227</v>
      </c>
      <c r="O100" s="290">
        <f t="shared" si="57"/>
        <v>202.02013916214926</v>
      </c>
      <c r="P100" s="290">
        <f t="shared" si="57"/>
        <v>156.41093407436159</v>
      </c>
      <c r="Q100" s="290">
        <f t="shared" si="57"/>
        <v>190.16511594882493</v>
      </c>
      <c r="R100" s="290">
        <f t="shared" si="57"/>
        <v>191.74750522825298</v>
      </c>
      <c r="S100" s="290">
        <f t="shared" si="57"/>
        <v>143.75707681009445</v>
      </c>
      <c r="T100" s="290">
        <f t="shared" si="57"/>
        <v>251.92105342397713</v>
      </c>
      <c r="U100" s="290">
        <f t="shared" si="57"/>
        <v>272.25711802818643</v>
      </c>
      <c r="V100" s="290">
        <f t="shared" si="57"/>
        <v>284.43924869125863</v>
      </c>
      <c r="W100" s="290">
        <f t="shared" si="57"/>
        <v>304.32818462258336</v>
      </c>
      <c r="X100" s="290">
        <f t="shared" si="57"/>
        <v>304.88666224079321</v>
      </c>
      <c r="Y100" s="290">
        <f t="shared" si="57"/>
        <v>351.54836551100999</v>
      </c>
      <c r="Z100" s="290">
        <f t="shared" si="57"/>
        <v>290.12755543515755</v>
      </c>
      <c r="AA100" s="252">
        <f t="shared" si="57"/>
        <v>434.36151716409353</v>
      </c>
      <c r="AB100" s="252">
        <f t="shared" si="57"/>
        <v>473.88476469032287</v>
      </c>
      <c r="AC100" s="252">
        <f t="shared" si="57"/>
        <v>484.81370315055784</v>
      </c>
      <c r="AD100" s="252">
        <f t="shared" si="57"/>
        <v>425.23150395897494</v>
      </c>
      <c r="AE100" s="252">
        <f t="shared" si="57"/>
        <v>396.63606778523098</v>
      </c>
    </row>
    <row r="101" spans="1:31">
      <c r="A101" s="240" t="s">
        <v>233</v>
      </c>
      <c r="B101" s="290">
        <f t="shared" si="57"/>
        <v>60.070275228573159</v>
      </c>
      <c r="C101" s="290">
        <f t="shared" si="57"/>
        <v>54.070273447182593</v>
      </c>
      <c r="D101" s="290">
        <f t="shared" si="57"/>
        <v>74.246125194813928</v>
      </c>
      <c r="E101" s="290">
        <f t="shared" si="57"/>
        <v>59.899714745562079</v>
      </c>
      <c r="F101" s="290">
        <f t="shared" si="57"/>
        <v>54.946842823278438</v>
      </c>
      <c r="G101" s="290">
        <f t="shared" si="57"/>
        <v>51.500360010256422</v>
      </c>
      <c r="H101" s="290">
        <f t="shared" si="57"/>
        <v>100.03471984615382</v>
      </c>
      <c r="I101" s="290">
        <f t="shared" si="57"/>
        <v>110.36002456386839</v>
      </c>
      <c r="J101" s="290">
        <f t="shared" si="57"/>
        <v>73.142181324696352</v>
      </c>
      <c r="K101" s="290">
        <f t="shared" si="57"/>
        <v>106.30675331532876</v>
      </c>
      <c r="L101" s="290">
        <f t="shared" si="57"/>
        <v>129.15973426448022</v>
      </c>
      <c r="M101" s="290">
        <f t="shared" si="57"/>
        <v>140.33835580944159</v>
      </c>
      <c r="N101" s="290">
        <f t="shared" si="57"/>
        <v>173.61400859416034</v>
      </c>
      <c r="O101" s="290">
        <f t="shared" si="57"/>
        <v>189.60970327801616</v>
      </c>
      <c r="P101" s="290">
        <f t="shared" si="57"/>
        <v>158.46507445781265</v>
      </c>
      <c r="Q101" s="290">
        <f t="shared" si="57"/>
        <v>204.88310101771845</v>
      </c>
      <c r="R101" s="290">
        <f t="shared" si="57"/>
        <v>191.24875428390303</v>
      </c>
      <c r="S101" s="290">
        <f t="shared" si="57"/>
        <v>139.17341884272605</v>
      </c>
      <c r="T101" s="290">
        <f t="shared" si="57"/>
        <v>224.29346451356551</v>
      </c>
      <c r="U101" s="290">
        <f t="shared" si="57"/>
        <v>265.76398376668521</v>
      </c>
      <c r="V101" s="290">
        <f t="shared" si="57"/>
        <v>342.73796372883169</v>
      </c>
      <c r="W101" s="290">
        <f t="shared" si="57"/>
        <v>313.53696266625536</v>
      </c>
      <c r="X101" s="290">
        <f t="shared" si="57"/>
        <v>332.32133332861184</v>
      </c>
      <c r="Y101" s="290">
        <f t="shared" si="57"/>
        <v>317.57518727460734</v>
      </c>
      <c r="Z101" s="252">
        <f>Z$124*Z85</f>
        <v>341.12683952417689</v>
      </c>
      <c r="AA101" s="252">
        <f t="shared" si="57"/>
        <v>449.95532431989102</v>
      </c>
      <c r="AB101" s="252">
        <f t="shared" si="57"/>
        <v>508.44950158162737</v>
      </c>
      <c r="AC101" s="252">
        <f t="shared" si="57"/>
        <v>504.75620957065019</v>
      </c>
      <c r="AD101" s="252">
        <f t="shared" si="57"/>
        <v>446.8962567483793</v>
      </c>
      <c r="AE101" s="252">
        <f t="shared" si="57"/>
        <v>413.56318038434551</v>
      </c>
    </row>
    <row r="102" spans="1:31">
      <c r="A102" s="240" t="s">
        <v>234</v>
      </c>
      <c r="B102" s="290">
        <f t="shared" si="57"/>
        <v>58.989736731493075</v>
      </c>
      <c r="C102" s="290">
        <f t="shared" si="57"/>
        <v>49.424174941486541</v>
      </c>
      <c r="D102" s="290">
        <f t="shared" si="57"/>
        <v>69.941946404681332</v>
      </c>
      <c r="E102" s="290">
        <f t="shared" si="57"/>
        <v>56.560102745562091</v>
      </c>
      <c r="F102" s="290">
        <f t="shared" si="57"/>
        <v>53.094808570581961</v>
      </c>
      <c r="G102" s="290">
        <f t="shared" si="57"/>
        <v>58.145112810256428</v>
      </c>
      <c r="H102" s="290">
        <f t="shared" si="57"/>
        <v>113.58606801550872</v>
      </c>
      <c r="I102" s="290">
        <f t="shared" si="57"/>
        <v>110.35052958669947</v>
      </c>
      <c r="J102" s="290">
        <f t="shared" si="57"/>
        <v>75.269826798380564</v>
      </c>
      <c r="K102" s="290">
        <f t="shared" si="57"/>
        <v>96.542975793133451</v>
      </c>
      <c r="L102" s="290">
        <f t="shared" si="57"/>
        <v>135.35132229406997</v>
      </c>
      <c r="M102" s="290">
        <f t="shared" si="57"/>
        <v>138.33960559680136</v>
      </c>
      <c r="N102" s="290">
        <f t="shared" si="57"/>
        <v>223.25340910626463</v>
      </c>
      <c r="O102" s="290">
        <f t="shared" si="57"/>
        <v>211.1364521755518</v>
      </c>
      <c r="P102" s="290">
        <f t="shared" si="57"/>
        <v>170.02480353954832</v>
      </c>
      <c r="Q102" s="290">
        <f t="shared" si="57"/>
        <v>184.06342004903374</v>
      </c>
      <c r="R102" s="290">
        <f t="shared" si="57"/>
        <v>189.76964375289194</v>
      </c>
      <c r="S102" s="290">
        <f t="shared" si="57"/>
        <v>144.45211049325235</v>
      </c>
      <c r="T102" s="290">
        <f t="shared" si="57"/>
        <v>340.7781574917737</v>
      </c>
      <c r="U102" s="290">
        <f t="shared" si="57"/>
        <v>296.12418892407032</v>
      </c>
      <c r="V102" s="290">
        <f t="shared" si="57"/>
        <v>357.40714638956086</v>
      </c>
      <c r="W102" s="290">
        <f t="shared" si="57"/>
        <v>312.13556368675438</v>
      </c>
      <c r="X102" s="290">
        <f t="shared" si="57"/>
        <v>350.26808364305947</v>
      </c>
      <c r="Y102" s="290">
        <f t="shared" si="57"/>
        <v>444.15577251697374</v>
      </c>
      <c r="Z102" s="252">
        <f t="shared" si="57"/>
        <v>416.97288809844622</v>
      </c>
      <c r="AA102" s="252">
        <f t="shared" si="57"/>
        <v>503.80598841700601</v>
      </c>
      <c r="AB102" s="252">
        <f t="shared" si="57"/>
        <v>580.55590340803826</v>
      </c>
      <c r="AC102" s="252">
        <f t="shared" si="57"/>
        <v>583.35415597832423</v>
      </c>
      <c r="AD102" s="252">
        <f t="shared" si="57"/>
        <v>526.55276557805041</v>
      </c>
      <c r="AE102" s="252">
        <f t="shared" si="57"/>
        <v>493.29085641373757</v>
      </c>
    </row>
    <row r="103" spans="1:31">
      <c r="A103" s="240" t="s">
        <v>46</v>
      </c>
      <c r="B103" s="290">
        <f t="shared" si="57"/>
        <v>61.37969239532498</v>
      </c>
      <c r="C103" s="290">
        <f t="shared" si="57"/>
        <v>55.243885371473667</v>
      </c>
      <c r="D103" s="290">
        <f t="shared" si="57"/>
        <v>79.439069763042255</v>
      </c>
      <c r="E103" s="290">
        <f t="shared" si="57"/>
        <v>51.768808284023677</v>
      </c>
      <c r="F103" s="290">
        <f t="shared" si="57"/>
        <v>51.353234132985655</v>
      </c>
      <c r="G103" s="290">
        <f t="shared" si="57"/>
        <v>34.085958810256386</v>
      </c>
      <c r="H103" s="290">
        <f t="shared" si="57"/>
        <v>111.36338700744416</v>
      </c>
      <c r="I103" s="290">
        <f t="shared" si="57"/>
        <v>109.50974693829762</v>
      </c>
      <c r="J103" s="290">
        <f t="shared" si="57"/>
        <v>68.337692566801621</v>
      </c>
      <c r="K103" s="290">
        <f t="shared" si="57"/>
        <v>104.70518293599056</v>
      </c>
      <c r="L103" s="290">
        <f t="shared" si="57"/>
        <v>118.75354556239544</v>
      </c>
      <c r="M103" s="290">
        <f t="shared" si="57"/>
        <v>140.74748826071155</v>
      </c>
      <c r="N103" s="290">
        <f t="shared" si="57"/>
        <v>212.69616106157193</v>
      </c>
      <c r="O103" s="290">
        <f t="shared" si="57"/>
        <v>197.87097815912287</v>
      </c>
      <c r="P103" s="290">
        <f t="shared" si="57"/>
        <v>163.02799417526975</v>
      </c>
      <c r="Q103" s="290">
        <f t="shared" si="57"/>
        <v>180.86606191959743</v>
      </c>
      <c r="R103" s="290">
        <f t="shared" si="57"/>
        <v>197.64973771720804</v>
      </c>
      <c r="S103" s="290">
        <f t="shared" si="57"/>
        <v>150.93176624588392</v>
      </c>
      <c r="T103" s="290">
        <f t="shared" si="57"/>
        <v>339.59089577264541</v>
      </c>
      <c r="U103" s="290">
        <f t="shared" si="57"/>
        <v>246.04687827031719</v>
      </c>
      <c r="V103" s="290">
        <f t="shared" si="57"/>
        <v>359.86413405724807</v>
      </c>
      <c r="W103" s="290">
        <f t="shared" si="57"/>
        <v>297.73141134272589</v>
      </c>
      <c r="X103" s="290">
        <f t="shared" si="57"/>
        <v>329.38112167138809</v>
      </c>
      <c r="Y103" s="290">
        <f t="shared" si="57"/>
        <v>343.42581093992226</v>
      </c>
      <c r="Z103" s="252">
        <f t="shared" si="57"/>
        <v>395.8026163432894</v>
      </c>
      <c r="AA103" s="252">
        <f t="shared" si="57"/>
        <v>451.24052479926166</v>
      </c>
      <c r="AB103" s="252">
        <f t="shared" si="57"/>
        <v>532.80294928393096</v>
      </c>
      <c r="AC103" s="252">
        <f t="shared" si="57"/>
        <v>523.00317167769913</v>
      </c>
      <c r="AD103" s="252">
        <f t="shared" si="57"/>
        <v>470.70402214993373</v>
      </c>
      <c r="AE103" s="252">
        <f t="shared" si="57"/>
        <v>438.03199631870325</v>
      </c>
    </row>
    <row r="104" spans="1:31">
      <c r="A104" s="240" t="s">
        <v>235</v>
      </c>
      <c r="B104" s="290">
        <f t="shared" si="57"/>
        <v>58.937417507605467</v>
      </c>
      <c r="C104" s="290">
        <f t="shared" si="57"/>
        <v>49.537968910846367</v>
      </c>
      <c r="D104" s="290">
        <f t="shared" si="57"/>
        <v>69.837392895714075</v>
      </c>
      <c r="E104" s="290">
        <f t="shared" si="57"/>
        <v>58.507456284023682</v>
      </c>
      <c r="F104" s="290">
        <f t="shared" si="57"/>
        <v>45.260078539765324</v>
      </c>
      <c r="G104" s="290">
        <f t="shared" si="57"/>
        <v>59.314501076923065</v>
      </c>
      <c r="H104" s="290">
        <f t="shared" si="57"/>
        <v>101.5609940155087</v>
      </c>
      <c r="I104" s="290">
        <f t="shared" si="57"/>
        <v>100.07798072825194</v>
      </c>
      <c r="J104" s="290">
        <f t="shared" si="57"/>
        <v>75.07175732469635</v>
      </c>
      <c r="K104" s="290">
        <f t="shared" si="57"/>
        <v>95.100470183771037</v>
      </c>
      <c r="L104" s="290">
        <f t="shared" si="57"/>
        <v>119.04389162829992</v>
      </c>
      <c r="M104" s="290">
        <f t="shared" si="57"/>
        <v>137.09261170430278</v>
      </c>
      <c r="N104" s="290">
        <f t="shared" si="57"/>
        <v>189.12525056343412</v>
      </c>
      <c r="O104" s="290">
        <f t="shared" si="57"/>
        <v>236.64660876872082</v>
      </c>
      <c r="P104" s="290">
        <f t="shared" si="57"/>
        <v>132.6142893922223</v>
      </c>
      <c r="Q104" s="290">
        <f t="shared" si="57"/>
        <v>199.43766579433645</v>
      </c>
      <c r="R104" s="290">
        <f t="shared" ref="C104:AR107" si="58">R$124*R88</f>
        <v>211.33073427285788</v>
      </c>
      <c r="S104" s="290">
        <f t="shared" si="58"/>
        <v>166.54907909430491</v>
      </c>
      <c r="T104" s="290">
        <f t="shared" si="58"/>
        <v>364.16483247966721</v>
      </c>
      <c r="U104" s="290">
        <f t="shared" si="58"/>
        <v>290.71781178121313</v>
      </c>
      <c r="V104" s="290">
        <f t="shared" si="58"/>
        <v>291.98727693784923</v>
      </c>
      <c r="W104" s="290">
        <f t="shared" si="58"/>
        <v>295.06240046482941</v>
      </c>
      <c r="X104" s="290">
        <f t="shared" si="58"/>
        <v>314.80703390651558</v>
      </c>
      <c r="Y104" s="290">
        <f t="shared" si="58"/>
        <v>424.32174913767989</v>
      </c>
      <c r="Z104" s="252">
        <f t="shared" si="58"/>
        <v>391.82424406133492</v>
      </c>
      <c r="AA104" s="252">
        <f t="shared" si="58"/>
        <v>462.82084331187104</v>
      </c>
      <c r="AB104" s="252">
        <f t="shared" si="58"/>
        <v>530.2611139844887</v>
      </c>
      <c r="AC104" s="252">
        <f t="shared" si="58"/>
        <v>543.54755603697492</v>
      </c>
      <c r="AD104" s="252">
        <f t="shared" si="58"/>
        <v>487.2283740000978</v>
      </c>
      <c r="AE104" s="252">
        <f t="shared" si="58"/>
        <v>459.02272637872647</v>
      </c>
    </row>
    <row r="105" spans="1:31">
      <c r="A105" s="240" t="s">
        <v>236</v>
      </c>
      <c r="B105" s="290">
        <f t="shared" ref="B105:B107" si="59">B$124*B89</f>
        <v>58.483838278187541</v>
      </c>
      <c r="C105" s="290">
        <f t="shared" si="58"/>
        <v>50.679991973544368</v>
      </c>
      <c r="D105" s="290">
        <f t="shared" si="58"/>
        <v>72.168558155195129</v>
      </c>
      <c r="E105" s="290">
        <f t="shared" si="58"/>
        <v>42.582255360946718</v>
      </c>
      <c r="F105" s="290">
        <f t="shared" si="58"/>
        <v>49.781826197700603</v>
      </c>
      <c r="G105" s="290">
        <f t="shared" si="58"/>
        <v>48.177652276923091</v>
      </c>
      <c r="H105" s="290">
        <f t="shared" si="58"/>
        <v>95.174595588089318</v>
      </c>
      <c r="I105" s="290">
        <f t="shared" si="58"/>
        <v>98.448020910900368</v>
      </c>
      <c r="J105" s="290">
        <f t="shared" si="58"/>
        <v>74.597069577327943</v>
      </c>
      <c r="K105" s="290">
        <f t="shared" si="58"/>
        <v>97.804589836716971</v>
      </c>
      <c r="L105" s="290">
        <f t="shared" si="58"/>
        <v>112.60836748573104</v>
      </c>
      <c r="M105" s="290">
        <f t="shared" si="58"/>
        <v>147.99083046390112</v>
      </c>
      <c r="N105" s="290">
        <f t="shared" si="58"/>
        <v>163.21699267237264</v>
      </c>
      <c r="O105" s="290">
        <f t="shared" si="58"/>
        <v>179.27018360659372</v>
      </c>
      <c r="P105" s="290">
        <f t="shared" si="58"/>
        <v>165.97877262128387</v>
      </c>
      <c r="Q105" s="290">
        <f t="shared" si="58"/>
        <v>227.97285403650767</v>
      </c>
      <c r="R105" s="290">
        <f t="shared" si="58"/>
        <v>221.208112426214</v>
      </c>
      <c r="S105" s="290">
        <f t="shared" si="58"/>
        <v>171.01233779956817</v>
      </c>
      <c r="T105" s="290">
        <f t="shared" si="58"/>
        <v>312.06587337555095</v>
      </c>
      <c r="U105" s="290">
        <f t="shared" si="58"/>
        <v>225.67822320978459</v>
      </c>
      <c r="V105" s="290">
        <f t="shared" si="58"/>
        <v>290.31751451090793</v>
      </c>
      <c r="W105" s="290">
        <f t="shared" si="58"/>
        <v>281.4578352910325</v>
      </c>
      <c r="X105" s="290">
        <f t="shared" si="58"/>
        <v>281.6701997762039</v>
      </c>
      <c r="Y105" s="290">
        <f t="shared" si="58"/>
        <v>400.84195463529431</v>
      </c>
      <c r="Z105" s="252">
        <f t="shared" si="58"/>
        <v>350.14512010251724</v>
      </c>
      <c r="AA105" s="252">
        <f t="shared" si="58"/>
        <v>423.61451065002643</v>
      </c>
      <c r="AB105" s="252">
        <f t="shared" si="58"/>
        <v>495.21026737972494</v>
      </c>
      <c r="AC105" s="252">
        <f t="shared" si="58"/>
        <v>500.07960774109387</v>
      </c>
      <c r="AD105" s="252">
        <f t="shared" si="58"/>
        <v>447.60499942217018</v>
      </c>
      <c r="AE105" s="252">
        <f t="shared" si="58"/>
        <v>423.3318866618892</v>
      </c>
    </row>
    <row r="106" spans="1:31">
      <c r="A106" s="240" t="s">
        <v>237</v>
      </c>
      <c r="B106" s="290">
        <f t="shared" si="59"/>
        <v>54.20567011122894</v>
      </c>
      <c r="C106" s="290">
        <f t="shared" si="58"/>
        <v>46.074451111826576</v>
      </c>
      <c r="D106" s="290">
        <f t="shared" si="58"/>
        <v>67.112473785223202</v>
      </c>
      <c r="E106" s="290">
        <f t="shared" si="58"/>
        <v>40.286470745562106</v>
      </c>
      <c r="F106" s="290">
        <f t="shared" si="58"/>
        <v>43.224053624511079</v>
      </c>
      <c r="G106" s="290">
        <f t="shared" si="58"/>
        <v>31.630306543589739</v>
      </c>
      <c r="H106" s="290">
        <f t="shared" si="58"/>
        <v>90.718045846153828</v>
      </c>
      <c r="I106" s="290">
        <f t="shared" si="58"/>
        <v>101.6757542442337</v>
      </c>
      <c r="J106" s="290">
        <f t="shared" si="58"/>
        <v>70.489230503643725</v>
      </c>
      <c r="K106" s="290">
        <f t="shared" si="58"/>
        <v>84.99898991742721</v>
      </c>
      <c r="L106" s="290">
        <f t="shared" si="58"/>
        <v>106.65244455365301</v>
      </c>
      <c r="M106" s="290">
        <f t="shared" si="58"/>
        <v>130.59865725657684</v>
      </c>
      <c r="N106" s="290">
        <f t="shared" si="58"/>
        <v>159.60234830551977</v>
      </c>
      <c r="O106" s="290">
        <f t="shared" si="58"/>
        <v>146.81935991441907</v>
      </c>
      <c r="P106" s="290">
        <f t="shared" si="58"/>
        <v>175.78074654661185</v>
      </c>
      <c r="Q106" s="290">
        <f t="shared" si="58"/>
        <v>203.54395923901285</v>
      </c>
      <c r="R106" s="290">
        <f t="shared" si="58"/>
        <v>195.64697239945096</v>
      </c>
      <c r="S106" s="290">
        <f t="shared" si="58"/>
        <v>186.69072329851554</v>
      </c>
      <c r="T106" s="290">
        <f t="shared" si="58"/>
        <v>233.94322749177374</v>
      </c>
      <c r="U106" s="290">
        <f t="shared" si="58"/>
        <v>210.05947175700004</v>
      </c>
      <c r="V106" s="290">
        <f t="shared" si="58"/>
        <v>237.9916240906463</v>
      </c>
      <c r="W106" s="290">
        <f t="shared" si="58"/>
        <v>227.40506503702179</v>
      </c>
      <c r="X106" s="290">
        <f t="shared" si="58"/>
        <v>229.32388736260629</v>
      </c>
      <c r="Y106" s="290">
        <f t="shared" si="58"/>
        <v>292.57271113123903</v>
      </c>
      <c r="Z106" s="252">
        <f t="shared" si="58"/>
        <v>286.60358182712736</v>
      </c>
      <c r="AA106" s="252">
        <f t="shared" si="58"/>
        <v>342.73226210488707</v>
      </c>
      <c r="AB106" s="252">
        <f t="shared" si="58"/>
        <v>393.19171183615487</v>
      </c>
      <c r="AC106" s="252">
        <f t="shared" si="58"/>
        <v>396.69473531187327</v>
      </c>
      <c r="AD106" s="252">
        <f t="shared" si="58"/>
        <v>354.18946223372484</v>
      </c>
      <c r="AE106" s="252">
        <f t="shared" si="58"/>
        <v>333.89217462060714</v>
      </c>
    </row>
    <row r="107" spans="1:31">
      <c r="A107" s="240" t="s">
        <v>238</v>
      </c>
      <c r="B107" s="290">
        <f t="shared" si="59"/>
        <v>50.581776566435664</v>
      </c>
      <c r="C107" s="290">
        <f t="shared" si="58"/>
        <v>52.154109701151583</v>
      </c>
      <c r="D107" s="290">
        <f t="shared" si="58"/>
        <v>72.265253589524832</v>
      </c>
      <c r="E107" s="290">
        <f t="shared" si="58"/>
        <v>17.822741207100584</v>
      </c>
      <c r="F107" s="290">
        <f t="shared" si="58"/>
        <v>54.122472468887054</v>
      </c>
      <c r="G107" s="290">
        <f t="shared" si="58"/>
        <v>43.075111476923084</v>
      </c>
      <c r="H107" s="290">
        <f t="shared" si="58"/>
        <v>91.61892095099256</v>
      </c>
      <c r="I107" s="290">
        <f t="shared" si="58"/>
        <v>96.447297623229133</v>
      </c>
      <c r="J107" s="290">
        <f t="shared" si="58"/>
        <v>78.568853240485822</v>
      </c>
      <c r="K107" s="290">
        <f t="shared" si="58"/>
        <v>64.693365663997</v>
      </c>
      <c r="L107" s="290">
        <f t="shared" si="58"/>
        <v>106.90724078768125</v>
      </c>
      <c r="M107" s="290">
        <f t="shared" si="58"/>
        <v>118.03034494706711</v>
      </c>
      <c r="N107" s="290">
        <f t="shared" si="58"/>
        <v>150.14095505598527</v>
      </c>
      <c r="O107" s="290">
        <f t="shared" si="58"/>
        <v>135.56488183400396</v>
      </c>
      <c r="P107" s="290">
        <f t="shared" si="58"/>
        <v>158.32454537607697</v>
      </c>
      <c r="Q107" s="290">
        <f t="shared" si="58"/>
        <v>164.99827225780197</v>
      </c>
      <c r="R107" s="290">
        <f t="shared" si="58"/>
        <v>164.37013001075093</v>
      </c>
      <c r="S107" s="290">
        <f t="shared" si="58"/>
        <v>184.28436497956815</v>
      </c>
      <c r="T107" s="290">
        <f t="shared" si="58"/>
        <v>240.78176540944924</v>
      </c>
      <c r="U107" s="290">
        <f t="shared" si="58"/>
        <v>194.79485606692745</v>
      </c>
      <c r="V107" s="290">
        <f t="shared" si="58"/>
        <v>223.27707073411972</v>
      </c>
      <c r="W107" s="290">
        <f t="shared" si="58"/>
        <v>216.89693933292202</v>
      </c>
      <c r="X107" s="290">
        <f t="shared" si="58"/>
        <v>249.63318387535421</v>
      </c>
      <c r="Y107" s="290">
        <f t="shared" si="58"/>
        <v>306.55078141845274</v>
      </c>
      <c r="Z107" s="252">
        <f t="shared" si="58"/>
        <v>190.66285551904195</v>
      </c>
      <c r="AA107" s="252">
        <f t="shared" si="58"/>
        <v>340.94987250397332</v>
      </c>
      <c r="AB107" s="252">
        <f t="shared" si="58"/>
        <v>366.37614071197328</v>
      </c>
      <c r="AC107" s="252">
        <f t="shared" si="58"/>
        <v>375.29940415097184</v>
      </c>
      <c r="AD107" s="252">
        <f t="shared" si="58"/>
        <v>333.41158585225929</v>
      </c>
      <c r="AE107" s="252">
        <f t="shared" si="58"/>
        <v>307.95871685330343</v>
      </c>
    </row>
    <row r="108" spans="1:31" ht="15.75" thickBot="1">
      <c r="A108" s="240" t="s">
        <v>242</v>
      </c>
      <c r="B108" s="290">
        <f>SUM(B96:B107)</f>
        <v>687.26078154962318</v>
      </c>
      <c r="C108" s="290">
        <f t="shared" ref="C108:Z108" si="60">SUM(C96:C107)</f>
        <v>619.30736827316662</v>
      </c>
      <c r="D108" s="290">
        <f t="shared" si="60"/>
        <v>846.64660217222593</v>
      </c>
      <c r="E108" s="290">
        <f t="shared" si="60"/>
        <v>664.11850887979142</v>
      </c>
      <c r="F108" s="290">
        <f t="shared" si="60"/>
        <v>545.73672516810871</v>
      </c>
      <c r="G108" s="290">
        <f t="shared" si="60"/>
        <v>665.05327940512825</v>
      </c>
      <c r="H108" s="290">
        <f t="shared" si="60"/>
        <v>1098.4671256153847</v>
      </c>
      <c r="I108" s="290">
        <f t="shared" si="60"/>
        <v>1172.3053301955276</v>
      </c>
      <c r="J108" s="290">
        <f t="shared" si="60"/>
        <v>934.86786694304999</v>
      </c>
      <c r="K108" s="290">
        <f t="shared" si="60"/>
        <v>1134.0553488855778</v>
      </c>
      <c r="L108" s="290">
        <f t="shared" si="60"/>
        <v>1392.0581711413445</v>
      </c>
      <c r="M108" s="290">
        <f t="shared" si="60"/>
        <v>1581.8285507855878</v>
      </c>
      <c r="N108" s="290">
        <f t="shared" si="60"/>
        <v>2040.3056939395028</v>
      </c>
      <c r="O108" s="290">
        <f t="shared" si="60"/>
        <v>2194.0543361956393</v>
      </c>
      <c r="P108" s="290">
        <f t="shared" si="60"/>
        <v>1904.6122235628347</v>
      </c>
      <c r="Q108" s="290">
        <f t="shared" si="60"/>
        <v>2352.6983796961613</v>
      </c>
      <c r="R108" s="290">
        <f t="shared" si="60"/>
        <v>2294.7026136315267</v>
      </c>
      <c r="S108" s="290">
        <f t="shared" si="60"/>
        <v>1884.0454416856678</v>
      </c>
      <c r="T108" s="290">
        <f t="shared" si="60"/>
        <v>3276.2677775600664</v>
      </c>
      <c r="U108" s="290">
        <f t="shared" si="60"/>
        <v>2865.5719412758422</v>
      </c>
      <c r="V108" s="290">
        <f t="shared" si="60"/>
        <v>3584.5033142550687</v>
      </c>
      <c r="W108" s="290">
        <f t="shared" si="60"/>
        <v>3332.1172955803518</v>
      </c>
      <c r="X108" s="290">
        <f t="shared" si="60"/>
        <v>3496.5732460028325</v>
      </c>
      <c r="Y108" s="290">
        <f t="shared" si="60"/>
        <v>4287.7994152312831</v>
      </c>
      <c r="Z108" s="252">
        <f t="shared" si="60"/>
        <v>4166.6262626262624</v>
      </c>
      <c r="AA108" s="253">
        <f>SUM(AA96:AA107)</f>
        <v>5028.2151812917982</v>
      </c>
      <c r="AB108" s="253">
        <f>SUM(AB96:AB107)</f>
        <v>5823.5465635791024</v>
      </c>
      <c r="AC108" s="253">
        <f>SUM(AC96:AC107)</f>
        <v>5844.6124612090634</v>
      </c>
      <c r="AD108" s="253">
        <f>SUM(AD96:AD107)</f>
        <v>5229.5213477973211</v>
      </c>
      <c r="AE108" s="253">
        <f>SUM(AE96:AE107)</f>
        <v>4905.4462238168708</v>
      </c>
    </row>
    <row r="109" spans="1:31">
      <c r="A109" s="248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48"/>
      <c r="AA109" s="248"/>
      <c r="AB109" s="248"/>
      <c r="AC109" s="254"/>
      <c r="AD109" s="254"/>
      <c r="AE109" s="254"/>
    </row>
    <row r="110" spans="1:31" ht="15.75" thickBot="1">
      <c r="A110" s="235" t="s">
        <v>254</v>
      </c>
    </row>
    <row r="111" spans="1:31" ht="15.75" thickBot="1">
      <c r="A111" s="236"/>
      <c r="B111" s="237" t="str">
        <f>B$2</f>
        <v xml:space="preserve">93/94 </v>
      </c>
      <c r="C111" s="237" t="str">
        <f t="shared" ref="C111:AE111" si="61">C$2</f>
        <v xml:space="preserve">94/95 </v>
      </c>
      <c r="D111" s="237" t="str">
        <f t="shared" si="61"/>
        <v xml:space="preserve">95/96 </v>
      </c>
      <c r="E111" s="237" t="str">
        <f t="shared" si="61"/>
        <v xml:space="preserve">96/97 </v>
      </c>
      <c r="F111" s="237" t="str">
        <f t="shared" si="61"/>
        <v xml:space="preserve">97/98 </v>
      </c>
      <c r="G111" s="237" t="str">
        <f t="shared" si="61"/>
        <v xml:space="preserve">98/99 </v>
      </c>
      <c r="H111" s="237" t="str">
        <f t="shared" si="61"/>
        <v xml:space="preserve">99/00 </v>
      </c>
      <c r="I111" s="237" t="str">
        <f t="shared" si="61"/>
        <v xml:space="preserve">00/01 </v>
      </c>
      <c r="J111" s="237" t="str">
        <f t="shared" si="61"/>
        <v xml:space="preserve">01/02 </v>
      </c>
      <c r="K111" s="237" t="str">
        <f t="shared" si="61"/>
        <v xml:space="preserve">02/03 </v>
      </c>
      <c r="L111" s="237" t="str">
        <f t="shared" si="61"/>
        <v xml:space="preserve">03/04 </v>
      </c>
      <c r="M111" s="237" t="str">
        <f t="shared" si="61"/>
        <v xml:space="preserve">04/05 </v>
      </c>
      <c r="N111" s="237" t="str">
        <f t="shared" si="61"/>
        <v xml:space="preserve">05/06 </v>
      </c>
      <c r="O111" s="237" t="str">
        <f t="shared" si="61"/>
        <v xml:space="preserve">06/07 </v>
      </c>
      <c r="P111" s="237" t="str">
        <f t="shared" si="61"/>
        <v xml:space="preserve">07/08 </v>
      </c>
      <c r="Q111" s="237" t="str">
        <f t="shared" si="61"/>
        <v xml:space="preserve">08/09 </v>
      </c>
      <c r="R111" s="237" t="str">
        <f t="shared" si="61"/>
        <v xml:space="preserve">09/10 </v>
      </c>
      <c r="S111" s="237" t="str">
        <f t="shared" si="61"/>
        <v xml:space="preserve">10/11 </v>
      </c>
      <c r="T111" s="237" t="str">
        <f t="shared" si="61"/>
        <v xml:space="preserve">11/12 </v>
      </c>
      <c r="U111" s="237" t="str">
        <f t="shared" si="61"/>
        <v xml:space="preserve">12/13 </v>
      </c>
      <c r="V111" s="237" t="str">
        <f t="shared" si="61"/>
        <v xml:space="preserve">13/14 </v>
      </c>
      <c r="W111" s="237" t="str">
        <f t="shared" si="61"/>
        <v xml:space="preserve">14/15 </v>
      </c>
      <c r="X111" s="237" t="str">
        <f t="shared" si="61"/>
        <v xml:space="preserve">15/16 </v>
      </c>
      <c r="Y111" s="237" t="str">
        <f t="shared" si="61"/>
        <v xml:space="preserve">16/17 </v>
      </c>
      <c r="Z111" s="237" t="str">
        <f t="shared" si="61"/>
        <v xml:space="preserve">17/18 </v>
      </c>
      <c r="AA111" s="237" t="str">
        <f t="shared" si="61"/>
        <v xml:space="preserve">18/19 </v>
      </c>
      <c r="AB111" s="237" t="str">
        <f t="shared" si="61"/>
        <v xml:space="preserve">19/20 </v>
      </c>
      <c r="AC111" s="237" t="str">
        <f t="shared" si="61"/>
        <v xml:space="preserve">20/21 </v>
      </c>
      <c r="AD111" s="237" t="str">
        <f t="shared" si="61"/>
        <v xml:space="preserve">21/22 </v>
      </c>
      <c r="AE111" s="237" t="str">
        <f t="shared" si="61"/>
        <v xml:space="preserve">22/23 </v>
      </c>
    </row>
    <row r="112" spans="1:31">
      <c r="A112" s="240" t="s">
        <v>239</v>
      </c>
      <c r="B112" s="298">
        <f t="shared" ref="B112:AE120" si="62">B96/B80</f>
        <v>0.38055555555555554</v>
      </c>
      <c r="C112" s="298">
        <f t="shared" si="62"/>
        <v>0.38030769230769229</v>
      </c>
      <c r="D112" s="298">
        <f t="shared" si="62"/>
        <v>0.38260869565217392</v>
      </c>
      <c r="E112" s="298">
        <f t="shared" si="62"/>
        <v>0.37082818294190356</v>
      </c>
      <c r="F112" s="298">
        <f t="shared" si="62"/>
        <v>0.37888198757763975</v>
      </c>
      <c r="G112" s="298">
        <f t="shared" si="62"/>
        <v>0.37634408602150538</v>
      </c>
      <c r="H112" s="298">
        <f t="shared" si="62"/>
        <v>0.37</v>
      </c>
      <c r="I112" s="298">
        <f t="shared" si="62"/>
        <v>0.37735849056603776</v>
      </c>
      <c r="J112" s="298">
        <f t="shared" si="62"/>
        <v>0.38260869565217392</v>
      </c>
      <c r="K112" s="298">
        <f t="shared" si="62"/>
        <v>0.38333333333333336</v>
      </c>
      <c r="L112" s="298">
        <f t="shared" si="62"/>
        <v>0.3888888888888889</v>
      </c>
      <c r="M112" s="298">
        <f t="shared" si="62"/>
        <v>0.3878048780487805</v>
      </c>
      <c r="N112" s="298">
        <f t="shared" si="62"/>
        <v>0.39423076923076922</v>
      </c>
      <c r="O112" s="298">
        <f t="shared" si="62"/>
        <v>0.3928571428571429</v>
      </c>
      <c r="P112" s="298">
        <f t="shared" si="62"/>
        <v>0.4</v>
      </c>
      <c r="Q112" s="298">
        <f t="shared" si="62"/>
        <v>0.4</v>
      </c>
      <c r="R112" s="298">
        <f t="shared" si="62"/>
        <v>0.41</v>
      </c>
      <c r="S112" s="298">
        <f t="shared" si="62"/>
        <v>0.40999999999999992</v>
      </c>
      <c r="T112" s="298">
        <f t="shared" si="62"/>
        <v>0.41</v>
      </c>
      <c r="U112" s="298">
        <f t="shared" si="62"/>
        <v>0.40999999999999992</v>
      </c>
      <c r="V112" s="298">
        <f t="shared" si="62"/>
        <v>0.41034482758620688</v>
      </c>
      <c r="W112" s="298">
        <f t="shared" si="62"/>
        <v>0.41042944785276075</v>
      </c>
      <c r="X112" s="298">
        <f t="shared" si="62"/>
        <v>0.41052631578947368</v>
      </c>
      <c r="Y112" s="298">
        <f t="shared" si="62"/>
        <v>0.41054187192118224</v>
      </c>
      <c r="Z112" s="298">
        <f t="shared" si="62"/>
        <v>0.41050505050505054</v>
      </c>
      <c r="AA112" s="259">
        <f t="shared" si="62"/>
        <v>0.42077114487797468</v>
      </c>
      <c r="AB112" s="259">
        <f t="shared" si="62"/>
        <v>0.42199612779558704</v>
      </c>
      <c r="AC112" s="259">
        <f t="shared" si="62"/>
        <v>0.4234919542938238</v>
      </c>
      <c r="AD112" s="259">
        <f t="shared" si="62"/>
        <v>0.42516433721929431</v>
      </c>
      <c r="AE112" s="259">
        <f t="shared" si="62"/>
        <v>0.42656054120146703</v>
      </c>
    </row>
    <row r="113" spans="1:31">
      <c r="A113" s="240" t="s">
        <v>240</v>
      </c>
      <c r="B113" s="298">
        <f t="shared" si="62"/>
        <v>0.38055555555555554</v>
      </c>
      <c r="C113" s="298">
        <f t="shared" si="62"/>
        <v>0.38030769230769229</v>
      </c>
      <c r="D113" s="298">
        <f t="shared" si="62"/>
        <v>0.38260869565217392</v>
      </c>
      <c r="E113" s="298">
        <f t="shared" si="62"/>
        <v>0.37082818294190356</v>
      </c>
      <c r="F113" s="298">
        <f t="shared" si="62"/>
        <v>0.37888198757763975</v>
      </c>
      <c r="G113" s="298">
        <f t="shared" si="62"/>
        <v>0.37634408602150532</v>
      </c>
      <c r="H113" s="298">
        <f t="shared" si="62"/>
        <v>0.37</v>
      </c>
      <c r="I113" s="298">
        <f t="shared" si="62"/>
        <v>0.37735849056603782</v>
      </c>
      <c r="J113" s="298">
        <f t="shared" si="62"/>
        <v>0.38260869565217392</v>
      </c>
      <c r="K113" s="298">
        <f t="shared" si="62"/>
        <v>0.38333333333333336</v>
      </c>
      <c r="L113" s="298">
        <f t="shared" si="62"/>
        <v>0.3888888888888889</v>
      </c>
      <c r="M113" s="298">
        <f t="shared" si="62"/>
        <v>0.3878048780487805</v>
      </c>
      <c r="N113" s="298">
        <f t="shared" si="62"/>
        <v>0.39423076923076922</v>
      </c>
      <c r="O113" s="298">
        <f t="shared" si="62"/>
        <v>0.39285714285714285</v>
      </c>
      <c r="P113" s="298">
        <f t="shared" si="62"/>
        <v>0.4</v>
      </c>
      <c r="Q113" s="298">
        <f t="shared" si="62"/>
        <v>0.4</v>
      </c>
      <c r="R113" s="298">
        <f t="shared" si="62"/>
        <v>0.41000000000000003</v>
      </c>
      <c r="S113" s="298">
        <f t="shared" si="62"/>
        <v>0.41</v>
      </c>
      <c r="T113" s="298">
        <f t="shared" si="62"/>
        <v>0.41</v>
      </c>
      <c r="U113" s="298">
        <f t="shared" si="62"/>
        <v>0.41</v>
      </c>
      <c r="V113" s="298">
        <f t="shared" si="62"/>
        <v>0.41034482758620688</v>
      </c>
      <c r="W113" s="298">
        <f t="shared" si="62"/>
        <v>0.41042944785276075</v>
      </c>
      <c r="X113" s="298">
        <f t="shared" si="62"/>
        <v>0.41052631578947368</v>
      </c>
      <c r="Y113" s="298">
        <f t="shared" si="62"/>
        <v>0.4105418719211823</v>
      </c>
      <c r="Z113" s="298">
        <f t="shared" si="62"/>
        <v>0.41050505050505048</v>
      </c>
      <c r="AA113" s="259">
        <f t="shared" si="62"/>
        <v>0.42077114487797473</v>
      </c>
      <c r="AB113" s="259">
        <f t="shared" si="62"/>
        <v>0.42199612779558704</v>
      </c>
      <c r="AC113" s="259">
        <f t="shared" si="62"/>
        <v>0.4234919542938238</v>
      </c>
      <c r="AD113" s="259">
        <f t="shared" si="62"/>
        <v>0.42516433721929436</v>
      </c>
      <c r="AE113" s="259">
        <f t="shared" si="62"/>
        <v>0.42656054120146703</v>
      </c>
    </row>
    <row r="114" spans="1:31">
      <c r="A114" s="240" t="s">
        <v>241</v>
      </c>
      <c r="B114" s="298">
        <f t="shared" si="62"/>
        <v>0.38055555555555554</v>
      </c>
      <c r="C114" s="298">
        <f t="shared" si="62"/>
        <v>0.38030769230769229</v>
      </c>
      <c r="D114" s="298">
        <f t="shared" si="62"/>
        <v>0.38260869565217387</v>
      </c>
      <c r="E114" s="298">
        <f t="shared" si="62"/>
        <v>0.37082818294190356</v>
      </c>
      <c r="F114" s="298">
        <f t="shared" si="62"/>
        <v>0.37888198757763975</v>
      </c>
      <c r="G114" s="298">
        <f t="shared" si="62"/>
        <v>0.37634408602150538</v>
      </c>
      <c r="H114" s="298">
        <f t="shared" si="62"/>
        <v>0.37</v>
      </c>
      <c r="I114" s="298">
        <f t="shared" si="62"/>
        <v>0.37735849056603776</v>
      </c>
      <c r="J114" s="298">
        <f t="shared" si="62"/>
        <v>0.38260869565217392</v>
      </c>
      <c r="K114" s="298">
        <f t="shared" si="62"/>
        <v>0.38333333333333336</v>
      </c>
      <c r="L114" s="298">
        <f t="shared" si="62"/>
        <v>0.3888888888888889</v>
      </c>
      <c r="M114" s="298">
        <f t="shared" si="62"/>
        <v>0.3878048780487805</v>
      </c>
      <c r="N114" s="298">
        <f t="shared" si="62"/>
        <v>0.39423076923076922</v>
      </c>
      <c r="O114" s="298">
        <f t="shared" si="62"/>
        <v>0.39285714285714285</v>
      </c>
      <c r="P114" s="298">
        <f t="shared" si="62"/>
        <v>0.4</v>
      </c>
      <c r="Q114" s="298">
        <f t="shared" si="62"/>
        <v>0.4</v>
      </c>
      <c r="R114" s="298">
        <f t="shared" si="62"/>
        <v>0.41</v>
      </c>
      <c r="S114" s="298">
        <f t="shared" si="62"/>
        <v>0.41</v>
      </c>
      <c r="T114" s="298">
        <f t="shared" si="62"/>
        <v>0.41000000000000003</v>
      </c>
      <c r="U114" s="298">
        <f t="shared" si="62"/>
        <v>0.41</v>
      </c>
      <c r="V114" s="298">
        <f t="shared" si="62"/>
        <v>0.41034482758620688</v>
      </c>
      <c r="W114" s="298">
        <f t="shared" si="62"/>
        <v>0.41042944785276075</v>
      </c>
      <c r="X114" s="298">
        <f t="shared" si="62"/>
        <v>0.41052631578947368</v>
      </c>
      <c r="Y114" s="298">
        <f t="shared" si="62"/>
        <v>0.41054187192118224</v>
      </c>
      <c r="Z114" s="298">
        <f t="shared" si="62"/>
        <v>0.41050505050505048</v>
      </c>
      <c r="AA114" s="259">
        <f t="shared" si="62"/>
        <v>0.42077114487797479</v>
      </c>
      <c r="AB114" s="259">
        <f t="shared" si="62"/>
        <v>0.42199612779558709</v>
      </c>
      <c r="AC114" s="259">
        <f t="shared" si="62"/>
        <v>0.4234919542938238</v>
      </c>
      <c r="AD114" s="259">
        <f t="shared" si="62"/>
        <v>0.42516433721929436</v>
      </c>
      <c r="AE114" s="259">
        <f t="shared" si="62"/>
        <v>0.42656054120146703</v>
      </c>
    </row>
    <row r="115" spans="1:31">
      <c r="A115" s="240" t="s">
        <v>231</v>
      </c>
      <c r="B115" s="298">
        <f t="shared" si="62"/>
        <v>0.38055555555555554</v>
      </c>
      <c r="C115" s="298">
        <f t="shared" si="62"/>
        <v>0.38030769230769229</v>
      </c>
      <c r="D115" s="298">
        <f t="shared" si="62"/>
        <v>0.38260869565217387</v>
      </c>
      <c r="E115" s="298">
        <f t="shared" si="62"/>
        <v>0.37082818294190356</v>
      </c>
      <c r="F115" s="298">
        <f t="shared" si="62"/>
        <v>0.37888198757763975</v>
      </c>
      <c r="G115" s="298">
        <f t="shared" si="62"/>
        <v>0.37634408602150538</v>
      </c>
      <c r="H115" s="298">
        <f t="shared" si="62"/>
        <v>0.37</v>
      </c>
      <c r="I115" s="298">
        <f t="shared" si="62"/>
        <v>0.37735849056603776</v>
      </c>
      <c r="J115" s="298">
        <f t="shared" si="62"/>
        <v>0.38260869565217392</v>
      </c>
      <c r="K115" s="298">
        <f t="shared" si="62"/>
        <v>0.38333333333333336</v>
      </c>
      <c r="L115" s="298">
        <f t="shared" si="62"/>
        <v>0.3888888888888889</v>
      </c>
      <c r="M115" s="298">
        <f t="shared" si="62"/>
        <v>0.3878048780487805</v>
      </c>
      <c r="N115" s="298">
        <f t="shared" si="62"/>
        <v>0.39423076923076922</v>
      </c>
      <c r="O115" s="298">
        <f t="shared" si="62"/>
        <v>0.39285714285714285</v>
      </c>
      <c r="P115" s="298">
        <f t="shared" si="62"/>
        <v>0.4</v>
      </c>
      <c r="Q115" s="298">
        <f t="shared" si="62"/>
        <v>0.4</v>
      </c>
      <c r="R115" s="298">
        <f t="shared" si="62"/>
        <v>0.41</v>
      </c>
      <c r="S115" s="298">
        <f t="shared" si="62"/>
        <v>0.40999999999999992</v>
      </c>
      <c r="T115" s="298">
        <f t="shared" si="62"/>
        <v>0.41</v>
      </c>
      <c r="U115" s="298">
        <f t="shared" si="62"/>
        <v>0.41</v>
      </c>
      <c r="V115" s="298">
        <f t="shared" si="62"/>
        <v>0.41034482758620688</v>
      </c>
      <c r="W115" s="298">
        <f t="shared" si="62"/>
        <v>0.4104294478527607</v>
      </c>
      <c r="X115" s="298">
        <f t="shared" si="62"/>
        <v>0.41052631578947363</v>
      </c>
      <c r="Y115" s="298">
        <f t="shared" si="62"/>
        <v>0.41054187192118224</v>
      </c>
      <c r="Z115" s="298">
        <f t="shared" si="62"/>
        <v>0.41050505050505048</v>
      </c>
      <c r="AA115" s="259">
        <f t="shared" si="62"/>
        <v>0.42077114487797473</v>
      </c>
      <c r="AB115" s="259">
        <f t="shared" si="62"/>
        <v>0.42199612779558704</v>
      </c>
      <c r="AC115" s="259">
        <f t="shared" si="62"/>
        <v>0.42349195429382386</v>
      </c>
      <c r="AD115" s="259">
        <f t="shared" si="62"/>
        <v>0.42516433721929436</v>
      </c>
      <c r="AE115" s="259">
        <f t="shared" si="62"/>
        <v>0.42656054120146703</v>
      </c>
    </row>
    <row r="116" spans="1:31">
      <c r="A116" s="240" t="s">
        <v>232</v>
      </c>
      <c r="B116" s="298">
        <f t="shared" si="62"/>
        <v>0.38055555555555554</v>
      </c>
      <c r="C116" s="298">
        <f t="shared" si="62"/>
        <v>0.38030769230769229</v>
      </c>
      <c r="D116" s="298">
        <f t="shared" si="62"/>
        <v>0.38260869565217387</v>
      </c>
      <c r="E116" s="298">
        <f t="shared" si="62"/>
        <v>0.37082818294190356</v>
      </c>
      <c r="F116" s="298">
        <f t="shared" si="62"/>
        <v>0.37888198757763975</v>
      </c>
      <c r="G116" s="298">
        <f t="shared" si="62"/>
        <v>0.37634408602150538</v>
      </c>
      <c r="H116" s="298">
        <f t="shared" si="62"/>
        <v>0.37</v>
      </c>
      <c r="I116" s="298">
        <f t="shared" si="62"/>
        <v>0.37735849056603776</v>
      </c>
      <c r="J116" s="298">
        <f t="shared" si="62"/>
        <v>0.38260869565217392</v>
      </c>
      <c r="K116" s="298">
        <f t="shared" si="62"/>
        <v>0.38333333333333336</v>
      </c>
      <c r="L116" s="298">
        <f t="shared" si="62"/>
        <v>0.3888888888888889</v>
      </c>
      <c r="M116" s="298">
        <f t="shared" si="62"/>
        <v>0.3878048780487805</v>
      </c>
      <c r="N116" s="298">
        <f t="shared" si="62"/>
        <v>0.39423076923076922</v>
      </c>
      <c r="O116" s="298">
        <f t="shared" si="62"/>
        <v>0.39285714285714285</v>
      </c>
      <c r="P116" s="298">
        <f t="shared" si="62"/>
        <v>0.4</v>
      </c>
      <c r="Q116" s="298">
        <f t="shared" si="62"/>
        <v>0.4</v>
      </c>
      <c r="R116" s="298">
        <f t="shared" si="62"/>
        <v>0.41</v>
      </c>
      <c r="S116" s="298">
        <f t="shared" si="62"/>
        <v>0.41</v>
      </c>
      <c r="T116" s="298">
        <f t="shared" si="62"/>
        <v>0.41</v>
      </c>
      <c r="U116" s="298">
        <f t="shared" si="62"/>
        <v>0.40999999999999992</v>
      </c>
      <c r="V116" s="298">
        <f t="shared" si="62"/>
        <v>0.41034482758620688</v>
      </c>
      <c r="W116" s="298">
        <f t="shared" si="62"/>
        <v>0.41042944785276075</v>
      </c>
      <c r="X116" s="298">
        <f t="shared" si="62"/>
        <v>0.41052631578947368</v>
      </c>
      <c r="Y116" s="298">
        <f t="shared" si="62"/>
        <v>0.41054187192118219</v>
      </c>
      <c r="Z116" s="298">
        <f t="shared" si="62"/>
        <v>0.41050505050505054</v>
      </c>
      <c r="AA116" s="259">
        <f t="shared" si="62"/>
        <v>0.42077114487797473</v>
      </c>
      <c r="AB116" s="259">
        <f t="shared" si="62"/>
        <v>0.42199612779558704</v>
      </c>
      <c r="AC116" s="259">
        <f t="shared" si="62"/>
        <v>0.4234919542938238</v>
      </c>
      <c r="AD116" s="259">
        <f t="shared" si="62"/>
        <v>0.42516433721929436</v>
      </c>
      <c r="AE116" s="259">
        <f t="shared" si="62"/>
        <v>0.42656054120146703</v>
      </c>
    </row>
    <row r="117" spans="1:31">
      <c r="A117" s="240" t="s">
        <v>233</v>
      </c>
      <c r="B117" s="298">
        <f t="shared" si="62"/>
        <v>0.38055555555555554</v>
      </c>
      <c r="C117" s="298">
        <f t="shared" si="62"/>
        <v>0.38030769230769229</v>
      </c>
      <c r="D117" s="298">
        <f t="shared" si="62"/>
        <v>0.38260869565217392</v>
      </c>
      <c r="E117" s="298">
        <f t="shared" si="62"/>
        <v>0.37082818294190356</v>
      </c>
      <c r="F117" s="298">
        <f t="shared" si="62"/>
        <v>0.37888198757763975</v>
      </c>
      <c r="G117" s="298">
        <f t="shared" si="62"/>
        <v>0.37634408602150538</v>
      </c>
      <c r="H117" s="298">
        <f t="shared" si="62"/>
        <v>0.37</v>
      </c>
      <c r="I117" s="298">
        <f t="shared" si="62"/>
        <v>0.37735849056603776</v>
      </c>
      <c r="J117" s="298">
        <f t="shared" si="62"/>
        <v>0.38260869565217392</v>
      </c>
      <c r="K117" s="298">
        <f t="shared" si="62"/>
        <v>0.38333333333333336</v>
      </c>
      <c r="L117" s="298">
        <f t="shared" si="62"/>
        <v>0.3888888888888889</v>
      </c>
      <c r="M117" s="298">
        <f t="shared" si="62"/>
        <v>0.3878048780487805</v>
      </c>
      <c r="N117" s="298">
        <f t="shared" si="62"/>
        <v>0.39423076923076922</v>
      </c>
      <c r="O117" s="298">
        <f t="shared" si="62"/>
        <v>0.39285714285714285</v>
      </c>
      <c r="P117" s="298">
        <f t="shared" si="62"/>
        <v>0.40000000000000008</v>
      </c>
      <c r="Q117" s="298">
        <f t="shared" si="62"/>
        <v>0.4</v>
      </c>
      <c r="R117" s="298">
        <f t="shared" si="62"/>
        <v>0.41</v>
      </c>
      <c r="S117" s="298">
        <f t="shared" si="62"/>
        <v>0.41</v>
      </c>
      <c r="T117" s="298">
        <f t="shared" si="62"/>
        <v>0.41</v>
      </c>
      <c r="U117" s="298">
        <f t="shared" si="62"/>
        <v>0.40999999999999992</v>
      </c>
      <c r="V117" s="298">
        <f t="shared" si="62"/>
        <v>0.41034482758620688</v>
      </c>
      <c r="W117" s="298">
        <f t="shared" si="62"/>
        <v>0.41042944785276075</v>
      </c>
      <c r="X117" s="298">
        <f t="shared" si="62"/>
        <v>0.41052631578947368</v>
      </c>
      <c r="Y117" s="298">
        <f t="shared" si="62"/>
        <v>0.41054187192118224</v>
      </c>
      <c r="Z117" s="259">
        <f>Z101/Z85</f>
        <v>0.41050505050505048</v>
      </c>
      <c r="AA117" s="259">
        <f t="shared" si="62"/>
        <v>0.42077114487797473</v>
      </c>
      <c r="AB117" s="259">
        <f t="shared" si="62"/>
        <v>0.42199612779558704</v>
      </c>
      <c r="AC117" s="259">
        <f t="shared" si="62"/>
        <v>0.4234919542938238</v>
      </c>
      <c r="AD117" s="259">
        <f t="shared" si="62"/>
        <v>0.42516433721929436</v>
      </c>
      <c r="AE117" s="259">
        <f t="shared" si="62"/>
        <v>0.42656054120146703</v>
      </c>
    </row>
    <row r="118" spans="1:31">
      <c r="A118" s="240" t="s">
        <v>234</v>
      </c>
      <c r="B118" s="298">
        <f t="shared" si="62"/>
        <v>0.38055555555555554</v>
      </c>
      <c r="C118" s="298">
        <f t="shared" si="62"/>
        <v>0.38030769230769229</v>
      </c>
      <c r="D118" s="298">
        <f t="shared" si="62"/>
        <v>0.38260869565217392</v>
      </c>
      <c r="E118" s="298">
        <f t="shared" si="62"/>
        <v>0.37082818294190356</v>
      </c>
      <c r="F118" s="298">
        <f t="shared" si="62"/>
        <v>0.37888198757763975</v>
      </c>
      <c r="G118" s="298">
        <f t="shared" si="62"/>
        <v>0.37634408602150538</v>
      </c>
      <c r="H118" s="298">
        <f t="shared" si="62"/>
        <v>0.37</v>
      </c>
      <c r="I118" s="298">
        <f t="shared" si="62"/>
        <v>0.37735849056603776</v>
      </c>
      <c r="J118" s="298">
        <f t="shared" si="62"/>
        <v>0.38260869565217392</v>
      </c>
      <c r="K118" s="298">
        <f t="shared" si="62"/>
        <v>0.38333333333333336</v>
      </c>
      <c r="L118" s="298">
        <f t="shared" si="62"/>
        <v>0.3888888888888889</v>
      </c>
      <c r="M118" s="298">
        <f t="shared" si="62"/>
        <v>0.3878048780487805</v>
      </c>
      <c r="N118" s="298">
        <f t="shared" si="62"/>
        <v>0.39423076923076922</v>
      </c>
      <c r="O118" s="298">
        <f t="shared" si="62"/>
        <v>0.39285714285714285</v>
      </c>
      <c r="P118" s="298">
        <f t="shared" si="62"/>
        <v>0.40000000000000008</v>
      </c>
      <c r="Q118" s="298">
        <f t="shared" si="62"/>
        <v>0.4</v>
      </c>
      <c r="R118" s="298">
        <f t="shared" si="62"/>
        <v>0.41</v>
      </c>
      <c r="S118" s="298">
        <f t="shared" si="62"/>
        <v>0.41</v>
      </c>
      <c r="T118" s="298">
        <f t="shared" si="62"/>
        <v>0.41</v>
      </c>
      <c r="U118" s="298">
        <f t="shared" si="62"/>
        <v>0.41</v>
      </c>
      <c r="V118" s="298">
        <f t="shared" si="62"/>
        <v>0.41034482758620688</v>
      </c>
      <c r="W118" s="298">
        <f t="shared" si="62"/>
        <v>0.4104294478527607</v>
      </c>
      <c r="X118" s="298">
        <f t="shared" si="62"/>
        <v>0.41052631578947368</v>
      </c>
      <c r="Y118" s="298">
        <f t="shared" si="62"/>
        <v>0.41054187192118224</v>
      </c>
      <c r="Z118" s="259">
        <f t="shared" si="62"/>
        <v>0.41050505050505048</v>
      </c>
      <c r="AA118" s="259">
        <f t="shared" si="62"/>
        <v>0.42077114487797473</v>
      </c>
      <c r="AB118" s="259">
        <f t="shared" si="62"/>
        <v>0.42199612779558704</v>
      </c>
      <c r="AC118" s="259">
        <f t="shared" si="62"/>
        <v>0.4234919542938238</v>
      </c>
      <c r="AD118" s="259">
        <f t="shared" si="62"/>
        <v>0.42516433721929436</v>
      </c>
      <c r="AE118" s="259">
        <f t="shared" si="62"/>
        <v>0.42656054120146703</v>
      </c>
    </row>
    <row r="119" spans="1:31">
      <c r="A119" s="240" t="s">
        <v>46</v>
      </c>
      <c r="B119" s="298">
        <f t="shared" si="62"/>
        <v>0.38055555555555554</v>
      </c>
      <c r="C119" s="298">
        <f t="shared" si="62"/>
        <v>0.38030769230769229</v>
      </c>
      <c r="D119" s="298">
        <f t="shared" si="62"/>
        <v>0.38260869565217392</v>
      </c>
      <c r="E119" s="298">
        <f t="shared" si="62"/>
        <v>0.37082818294190356</v>
      </c>
      <c r="F119" s="298">
        <f t="shared" si="62"/>
        <v>0.37888198757763975</v>
      </c>
      <c r="G119" s="298">
        <f t="shared" si="62"/>
        <v>0.37634408602150538</v>
      </c>
      <c r="H119" s="298">
        <f t="shared" si="62"/>
        <v>0.37</v>
      </c>
      <c r="I119" s="298">
        <f t="shared" si="62"/>
        <v>0.37735849056603776</v>
      </c>
      <c r="J119" s="298">
        <f t="shared" si="62"/>
        <v>0.38260869565217398</v>
      </c>
      <c r="K119" s="298">
        <f t="shared" si="62"/>
        <v>0.38333333333333336</v>
      </c>
      <c r="L119" s="298">
        <f t="shared" si="62"/>
        <v>0.3888888888888889</v>
      </c>
      <c r="M119" s="298">
        <f t="shared" si="62"/>
        <v>0.3878048780487805</v>
      </c>
      <c r="N119" s="298">
        <f t="shared" si="62"/>
        <v>0.39423076923076922</v>
      </c>
      <c r="O119" s="298">
        <f t="shared" si="62"/>
        <v>0.39285714285714285</v>
      </c>
      <c r="P119" s="298">
        <f t="shared" si="62"/>
        <v>0.4</v>
      </c>
      <c r="Q119" s="298">
        <f t="shared" si="62"/>
        <v>0.4</v>
      </c>
      <c r="R119" s="298">
        <f t="shared" si="62"/>
        <v>0.41</v>
      </c>
      <c r="S119" s="298">
        <f t="shared" si="62"/>
        <v>0.41</v>
      </c>
      <c r="T119" s="298">
        <f t="shared" si="62"/>
        <v>0.41</v>
      </c>
      <c r="U119" s="298">
        <f t="shared" si="62"/>
        <v>0.41</v>
      </c>
      <c r="V119" s="298">
        <f t="shared" si="62"/>
        <v>0.41034482758620688</v>
      </c>
      <c r="W119" s="298">
        <f t="shared" si="62"/>
        <v>0.4104294478527607</v>
      </c>
      <c r="X119" s="298">
        <f t="shared" si="62"/>
        <v>0.41052631578947368</v>
      </c>
      <c r="Y119" s="298">
        <f t="shared" si="62"/>
        <v>0.4105418719211823</v>
      </c>
      <c r="Z119" s="259">
        <f t="shared" si="62"/>
        <v>0.41050505050505048</v>
      </c>
      <c r="AA119" s="259">
        <f t="shared" si="62"/>
        <v>0.42077114487797473</v>
      </c>
      <c r="AB119" s="259">
        <f t="shared" si="62"/>
        <v>0.42199612779558704</v>
      </c>
      <c r="AC119" s="259">
        <f t="shared" si="62"/>
        <v>0.42349195429382386</v>
      </c>
      <c r="AD119" s="259">
        <f t="shared" si="62"/>
        <v>0.42516433721929436</v>
      </c>
      <c r="AE119" s="259">
        <f t="shared" si="62"/>
        <v>0.42656054120146703</v>
      </c>
    </row>
    <row r="120" spans="1:31">
      <c r="A120" s="240" t="s">
        <v>235</v>
      </c>
      <c r="B120" s="298">
        <f t="shared" si="62"/>
        <v>0.38055555555555554</v>
      </c>
      <c r="C120" s="298">
        <f t="shared" si="62"/>
        <v>0.38030769230769229</v>
      </c>
      <c r="D120" s="298">
        <f t="shared" si="62"/>
        <v>0.38260869565217392</v>
      </c>
      <c r="E120" s="298">
        <f t="shared" si="62"/>
        <v>0.37082818294190356</v>
      </c>
      <c r="F120" s="298">
        <f t="shared" si="62"/>
        <v>0.37888198757763975</v>
      </c>
      <c r="G120" s="298">
        <f t="shared" si="62"/>
        <v>0.37634408602150538</v>
      </c>
      <c r="H120" s="298">
        <f t="shared" si="62"/>
        <v>0.37</v>
      </c>
      <c r="I120" s="298">
        <f t="shared" si="62"/>
        <v>0.37735849056603776</v>
      </c>
      <c r="J120" s="298">
        <f t="shared" si="62"/>
        <v>0.38260869565217392</v>
      </c>
      <c r="K120" s="298">
        <f t="shared" si="62"/>
        <v>0.38333333333333336</v>
      </c>
      <c r="L120" s="298">
        <f t="shared" si="62"/>
        <v>0.3888888888888889</v>
      </c>
      <c r="M120" s="298">
        <f t="shared" si="62"/>
        <v>0.3878048780487805</v>
      </c>
      <c r="N120" s="298">
        <f t="shared" si="62"/>
        <v>0.39423076923076922</v>
      </c>
      <c r="O120" s="298">
        <f t="shared" si="62"/>
        <v>0.39285714285714285</v>
      </c>
      <c r="P120" s="298">
        <f t="shared" si="62"/>
        <v>0.4</v>
      </c>
      <c r="Q120" s="298">
        <f t="shared" si="62"/>
        <v>0.4</v>
      </c>
      <c r="R120" s="298">
        <f t="shared" ref="C120:AR123" si="63">R104/R88</f>
        <v>0.41</v>
      </c>
      <c r="S120" s="298">
        <f t="shared" si="63"/>
        <v>0.41</v>
      </c>
      <c r="T120" s="298">
        <f t="shared" si="63"/>
        <v>0.41</v>
      </c>
      <c r="U120" s="298">
        <f t="shared" si="63"/>
        <v>0.41000000000000003</v>
      </c>
      <c r="V120" s="298">
        <f t="shared" si="63"/>
        <v>0.41034482758620688</v>
      </c>
      <c r="W120" s="298">
        <f t="shared" si="63"/>
        <v>0.41042944785276075</v>
      </c>
      <c r="X120" s="298">
        <f t="shared" si="63"/>
        <v>0.41052631578947368</v>
      </c>
      <c r="Y120" s="298">
        <f t="shared" si="63"/>
        <v>0.41054187192118224</v>
      </c>
      <c r="Z120" s="259">
        <f t="shared" si="63"/>
        <v>0.41050505050505048</v>
      </c>
      <c r="AA120" s="259">
        <f t="shared" si="63"/>
        <v>0.42077114487797473</v>
      </c>
      <c r="AB120" s="259">
        <f t="shared" si="63"/>
        <v>0.42199612779558709</v>
      </c>
      <c r="AC120" s="259">
        <f t="shared" si="63"/>
        <v>0.4234919542938238</v>
      </c>
      <c r="AD120" s="259">
        <f t="shared" si="63"/>
        <v>0.42516433721929436</v>
      </c>
      <c r="AE120" s="259">
        <f t="shared" si="63"/>
        <v>0.42656054120146703</v>
      </c>
    </row>
    <row r="121" spans="1:31">
      <c r="A121" s="240" t="s">
        <v>236</v>
      </c>
      <c r="B121" s="298">
        <f t="shared" ref="B121:B123" si="64">B105/B89</f>
        <v>0.38055555555555554</v>
      </c>
      <c r="C121" s="298">
        <f t="shared" si="63"/>
        <v>0.38030769230769229</v>
      </c>
      <c r="D121" s="298">
        <f t="shared" si="63"/>
        <v>0.38260869565217392</v>
      </c>
      <c r="E121" s="298">
        <f t="shared" si="63"/>
        <v>0.37082818294190356</v>
      </c>
      <c r="F121" s="298">
        <f t="shared" si="63"/>
        <v>0.37888198757763975</v>
      </c>
      <c r="G121" s="298">
        <f t="shared" si="63"/>
        <v>0.37634408602150538</v>
      </c>
      <c r="H121" s="298">
        <f t="shared" si="63"/>
        <v>0.37</v>
      </c>
      <c r="I121" s="298">
        <f t="shared" si="63"/>
        <v>0.37735849056603776</v>
      </c>
      <c r="J121" s="298">
        <f t="shared" si="63"/>
        <v>0.38260869565217392</v>
      </c>
      <c r="K121" s="298">
        <f t="shared" si="63"/>
        <v>0.38333333333333336</v>
      </c>
      <c r="L121" s="298">
        <f t="shared" si="63"/>
        <v>0.3888888888888889</v>
      </c>
      <c r="M121" s="298">
        <f t="shared" si="63"/>
        <v>0.3878048780487805</v>
      </c>
      <c r="N121" s="298">
        <f t="shared" si="63"/>
        <v>0.39423076923076922</v>
      </c>
      <c r="O121" s="298">
        <f t="shared" si="63"/>
        <v>0.39285714285714285</v>
      </c>
      <c r="P121" s="298">
        <f t="shared" si="63"/>
        <v>0.4</v>
      </c>
      <c r="Q121" s="298">
        <f t="shared" si="63"/>
        <v>0.4</v>
      </c>
      <c r="R121" s="298">
        <f t="shared" si="63"/>
        <v>0.41</v>
      </c>
      <c r="S121" s="298">
        <f t="shared" si="63"/>
        <v>0.41</v>
      </c>
      <c r="T121" s="298">
        <f t="shared" si="63"/>
        <v>0.41</v>
      </c>
      <c r="U121" s="298">
        <f t="shared" si="63"/>
        <v>0.41</v>
      </c>
      <c r="V121" s="298">
        <f t="shared" si="63"/>
        <v>0.41034482758620688</v>
      </c>
      <c r="W121" s="298">
        <f t="shared" si="63"/>
        <v>0.41042944785276075</v>
      </c>
      <c r="X121" s="298">
        <f t="shared" si="63"/>
        <v>0.41052631578947368</v>
      </c>
      <c r="Y121" s="298">
        <f t="shared" si="63"/>
        <v>0.41054187192118224</v>
      </c>
      <c r="Z121" s="259">
        <f t="shared" si="63"/>
        <v>0.41050505050505048</v>
      </c>
      <c r="AA121" s="259">
        <f t="shared" si="63"/>
        <v>0.42077114487797473</v>
      </c>
      <c r="AB121" s="259">
        <f t="shared" si="63"/>
        <v>0.42199612779558704</v>
      </c>
      <c r="AC121" s="259">
        <f t="shared" si="63"/>
        <v>0.4234919542938238</v>
      </c>
      <c r="AD121" s="259">
        <f t="shared" si="63"/>
        <v>0.42516433721929436</v>
      </c>
      <c r="AE121" s="259">
        <f t="shared" si="63"/>
        <v>0.42656054120146703</v>
      </c>
    </row>
    <row r="122" spans="1:31">
      <c r="A122" s="240" t="s">
        <v>237</v>
      </c>
      <c r="B122" s="298">
        <f t="shared" si="64"/>
        <v>0.38055555555555554</v>
      </c>
      <c r="C122" s="298">
        <f t="shared" si="63"/>
        <v>0.38030769230769229</v>
      </c>
      <c r="D122" s="298">
        <f t="shared" si="63"/>
        <v>0.38260869565217392</v>
      </c>
      <c r="E122" s="298">
        <f t="shared" si="63"/>
        <v>0.37082818294190356</v>
      </c>
      <c r="F122" s="298">
        <f t="shared" si="63"/>
        <v>0.37888198757763975</v>
      </c>
      <c r="G122" s="298">
        <f t="shared" si="63"/>
        <v>0.37634408602150538</v>
      </c>
      <c r="H122" s="298">
        <f t="shared" si="63"/>
        <v>0.37</v>
      </c>
      <c r="I122" s="298">
        <f t="shared" si="63"/>
        <v>0.37735849056603776</v>
      </c>
      <c r="J122" s="298">
        <f t="shared" si="63"/>
        <v>0.38260869565217392</v>
      </c>
      <c r="K122" s="298">
        <f t="shared" si="63"/>
        <v>0.38333333333333336</v>
      </c>
      <c r="L122" s="298">
        <f t="shared" si="63"/>
        <v>0.3888888888888889</v>
      </c>
      <c r="M122" s="298">
        <f t="shared" si="63"/>
        <v>0.3878048780487805</v>
      </c>
      <c r="N122" s="298">
        <f t="shared" si="63"/>
        <v>0.39423076923076922</v>
      </c>
      <c r="O122" s="298">
        <f t="shared" si="63"/>
        <v>0.39285714285714285</v>
      </c>
      <c r="P122" s="298">
        <f t="shared" si="63"/>
        <v>0.4</v>
      </c>
      <c r="Q122" s="298">
        <f t="shared" si="63"/>
        <v>0.4</v>
      </c>
      <c r="R122" s="298">
        <f t="shared" si="63"/>
        <v>0.41</v>
      </c>
      <c r="S122" s="298">
        <f t="shared" si="63"/>
        <v>0.41</v>
      </c>
      <c r="T122" s="298">
        <f t="shared" si="63"/>
        <v>0.41</v>
      </c>
      <c r="U122" s="298">
        <f t="shared" si="63"/>
        <v>0.41</v>
      </c>
      <c r="V122" s="298">
        <f t="shared" si="63"/>
        <v>0.41034482758620688</v>
      </c>
      <c r="W122" s="298">
        <f t="shared" si="63"/>
        <v>0.41042944785276075</v>
      </c>
      <c r="X122" s="298">
        <f t="shared" si="63"/>
        <v>0.41052631578947368</v>
      </c>
      <c r="Y122" s="298">
        <f t="shared" si="63"/>
        <v>0.41054187192118224</v>
      </c>
      <c r="Z122" s="259">
        <f t="shared" si="63"/>
        <v>0.41050505050505048</v>
      </c>
      <c r="AA122" s="259">
        <f t="shared" si="63"/>
        <v>0.42077114487797473</v>
      </c>
      <c r="AB122" s="259">
        <f t="shared" si="63"/>
        <v>0.42199612779558704</v>
      </c>
      <c r="AC122" s="259">
        <f t="shared" si="63"/>
        <v>0.4234919542938238</v>
      </c>
      <c r="AD122" s="259">
        <f t="shared" si="63"/>
        <v>0.42516433721929436</v>
      </c>
      <c r="AE122" s="259">
        <f t="shared" si="63"/>
        <v>0.42656054120146703</v>
      </c>
    </row>
    <row r="123" spans="1:31">
      <c r="A123" s="240" t="s">
        <v>238</v>
      </c>
      <c r="B123" s="298">
        <f t="shared" si="64"/>
        <v>0.38055555555555554</v>
      </c>
      <c r="C123" s="298">
        <f t="shared" si="63"/>
        <v>0.38030769230769229</v>
      </c>
      <c r="D123" s="298">
        <f t="shared" si="63"/>
        <v>0.38260869565217398</v>
      </c>
      <c r="E123" s="298">
        <f t="shared" si="63"/>
        <v>0.37082818294190351</v>
      </c>
      <c r="F123" s="298">
        <f t="shared" si="63"/>
        <v>0.37888198757763975</v>
      </c>
      <c r="G123" s="298">
        <f t="shared" si="63"/>
        <v>0.37634408602150538</v>
      </c>
      <c r="H123" s="298">
        <f t="shared" si="63"/>
        <v>0.37</v>
      </c>
      <c r="I123" s="298">
        <f t="shared" si="63"/>
        <v>0.37735849056603776</v>
      </c>
      <c r="J123" s="298">
        <f t="shared" si="63"/>
        <v>0.38260869565217387</v>
      </c>
      <c r="K123" s="298">
        <f t="shared" si="63"/>
        <v>0.38333333333333336</v>
      </c>
      <c r="L123" s="298">
        <f t="shared" si="63"/>
        <v>0.3888888888888889</v>
      </c>
      <c r="M123" s="298">
        <f t="shared" si="63"/>
        <v>0.3878048780487805</v>
      </c>
      <c r="N123" s="298">
        <f t="shared" si="63"/>
        <v>0.39423076923076916</v>
      </c>
      <c r="O123" s="298">
        <f t="shared" si="63"/>
        <v>0.39285714285714285</v>
      </c>
      <c r="P123" s="298">
        <f t="shared" si="63"/>
        <v>0.4</v>
      </c>
      <c r="Q123" s="298">
        <f t="shared" si="63"/>
        <v>0.4</v>
      </c>
      <c r="R123" s="298">
        <f t="shared" si="63"/>
        <v>0.41</v>
      </c>
      <c r="S123" s="298">
        <f t="shared" si="63"/>
        <v>0.41</v>
      </c>
      <c r="T123" s="298">
        <f t="shared" si="63"/>
        <v>0.41</v>
      </c>
      <c r="U123" s="298">
        <f t="shared" si="63"/>
        <v>0.41</v>
      </c>
      <c r="V123" s="298">
        <f t="shared" si="63"/>
        <v>0.41034482758620688</v>
      </c>
      <c r="W123" s="298">
        <f t="shared" si="63"/>
        <v>0.41042944785276075</v>
      </c>
      <c r="X123" s="298">
        <f t="shared" si="63"/>
        <v>0.41052631578947368</v>
      </c>
      <c r="Y123" s="298">
        <f t="shared" si="63"/>
        <v>0.41054187192118224</v>
      </c>
      <c r="Z123" s="259">
        <f t="shared" si="63"/>
        <v>0.41050505050505054</v>
      </c>
      <c r="AA123" s="259">
        <f t="shared" si="63"/>
        <v>0.42077114487797473</v>
      </c>
      <c r="AB123" s="259">
        <f t="shared" si="63"/>
        <v>0.42199612779558698</v>
      </c>
      <c r="AC123" s="259">
        <f t="shared" si="63"/>
        <v>0.4234919542938238</v>
      </c>
      <c r="AD123" s="259">
        <f t="shared" si="63"/>
        <v>0.42516433721929436</v>
      </c>
      <c r="AE123" s="259">
        <f t="shared" si="63"/>
        <v>0.42656054120146697</v>
      </c>
    </row>
    <row r="124" spans="1:31" ht="15.75" thickBot="1">
      <c r="A124" s="240" t="s">
        <v>255</v>
      </c>
      <c r="B124" s="258">
        <v>0.38055555555555554</v>
      </c>
      <c r="C124" s="258">
        <v>0.38030769230769229</v>
      </c>
      <c r="D124" s="258">
        <v>0.38260869565217392</v>
      </c>
      <c r="E124" s="258">
        <v>0.37082818294190356</v>
      </c>
      <c r="F124" s="258">
        <v>0.37888198757763975</v>
      </c>
      <c r="G124" s="258">
        <v>0.37634408602150538</v>
      </c>
      <c r="H124" s="258">
        <v>0.37</v>
      </c>
      <c r="I124" s="258">
        <v>0.37735849056603776</v>
      </c>
      <c r="J124" s="258">
        <v>0.38260869565217392</v>
      </c>
      <c r="K124" s="258">
        <v>0.38333333333333336</v>
      </c>
      <c r="L124" s="258">
        <v>0.3888888888888889</v>
      </c>
      <c r="M124" s="258">
        <v>0.3878048780487805</v>
      </c>
      <c r="N124" s="258">
        <v>0.39423076923076922</v>
      </c>
      <c r="O124" s="258">
        <v>0.39285714285714285</v>
      </c>
      <c r="P124" s="258">
        <v>0.4</v>
      </c>
      <c r="Q124" s="258">
        <v>0.4</v>
      </c>
      <c r="R124" s="258">
        <v>0.41</v>
      </c>
      <c r="S124" s="258">
        <v>0.41</v>
      </c>
      <c r="T124" s="258">
        <v>0.41</v>
      </c>
      <c r="U124" s="258">
        <v>0.41</v>
      </c>
      <c r="V124" s="258">
        <v>0.41034482758620688</v>
      </c>
      <c r="W124" s="258">
        <v>0.41042944785276075</v>
      </c>
      <c r="X124" s="258">
        <v>0.41052631578947368</v>
      </c>
      <c r="Y124" s="258">
        <v>0.41054187192118224</v>
      </c>
      <c r="Z124" s="258">
        <v>0.41050505050505048</v>
      </c>
      <c r="AA124" s="259">
        <f>FORECAST(AA45,H124:Z124,H45:Z45)</f>
        <v>0.42077114487797473</v>
      </c>
      <c r="AB124" s="259">
        <f>FORECAST(AB45,I124:AA124,I45:AA45)</f>
        <v>0.42199612779558704</v>
      </c>
      <c r="AC124" s="259">
        <f>FORECAST(AC45,J124:AB124,J45:AB45)</f>
        <v>0.4234919542938238</v>
      </c>
      <c r="AD124" s="259">
        <f>FORECAST(AD45,K124:AC124,K45:AC45)</f>
        <v>0.42516433721929436</v>
      </c>
      <c r="AE124" s="259">
        <f>FORECAST(AE45,L124:AD124,L45:AD45)</f>
        <v>0.42656054120146703</v>
      </c>
    </row>
    <row r="125" spans="1:31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  <c r="AE125" s="248"/>
    </row>
    <row r="126" spans="1:31" ht="15.75" thickBot="1">
      <c r="A126" s="235" t="s">
        <v>256</v>
      </c>
    </row>
    <row r="127" spans="1:31" ht="15.75" thickBot="1">
      <c r="A127" s="236"/>
      <c r="B127" s="237" t="str">
        <f>B$2</f>
        <v xml:space="preserve">93/94 </v>
      </c>
      <c r="C127" s="237" t="str">
        <f t="shared" ref="C127:AE127" si="65">C$2</f>
        <v xml:space="preserve">94/95 </v>
      </c>
      <c r="D127" s="237" t="str">
        <f t="shared" si="65"/>
        <v xml:space="preserve">95/96 </v>
      </c>
      <c r="E127" s="237" t="str">
        <f t="shared" si="65"/>
        <v xml:space="preserve">96/97 </v>
      </c>
      <c r="F127" s="237" t="str">
        <f t="shared" si="65"/>
        <v xml:space="preserve">97/98 </v>
      </c>
      <c r="G127" s="237" t="str">
        <f t="shared" si="65"/>
        <v xml:space="preserve">98/99 </v>
      </c>
      <c r="H127" s="237" t="str">
        <f t="shared" si="65"/>
        <v xml:space="preserve">99/00 </v>
      </c>
      <c r="I127" s="237" t="str">
        <f t="shared" si="65"/>
        <v xml:space="preserve">00/01 </v>
      </c>
      <c r="J127" s="237" t="str">
        <f t="shared" si="65"/>
        <v xml:space="preserve">01/02 </v>
      </c>
      <c r="K127" s="237" t="str">
        <f t="shared" si="65"/>
        <v xml:space="preserve">02/03 </v>
      </c>
      <c r="L127" s="237" t="str">
        <f t="shared" si="65"/>
        <v xml:space="preserve">03/04 </v>
      </c>
      <c r="M127" s="237" t="str">
        <f t="shared" si="65"/>
        <v xml:space="preserve">04/05 </v>
      </c>
      <c r="N127" s="237" t="str">
        <f t="shared" si="65"/>
        <v xml:space="preserve">05/06 </v>
      </c>
      <c r="O127" s="237" t="str">
        <f t="shared" si="65"/>
        <v xml:space="preserve">06/07 </v>
      </c>
      <c r="P127" s="237" t="str">
        <f t="shared" si="65"/>
        <v xml:space="preserve">07/08 </v>
      </c>
      <c r="Q127" s="237" t="str">
        <f t="shared" si="65"/>
        <v xml:space="preserve">08/09 </v>
      </c>
      <c r="R127" s="237" t="str">
        <f t="shared" si="65"/>
        <v xml:space="preserve">09/10 </v>
      </c>
      <c r="S127" s="237" t="str">
        <f t="shared" si="65"/>
        <v xml:space="preserve">10/11 </v>
      </c>
      <c r="T127" s="237" t="str">
        <f t="shared" si="65"/>
        <v xml:space="preserve">11/12 </v>
      </c>
      <c r="U127" s="237" t="str">
        <f t="shared" si="65"/>
        <v xml:space="preserve">12/13 </v>
      </c>
      <c r="V127" s="237" t="str">
        <f t="shared" si="65"/>
        <v xml:space="preserve">13/14 </v>
      </c>
      <c r="W127" s="237" t="str">
        <f t="shared" si="65"/>
        <v xml:space="preserve">14/15 </v>
      </c>
      <c r="X127" s="237" t="str">
        <f t="shared" si="65"/>
        <v xml:space="preserve">15/16 </v>
      </c>
      <c r="Y127" s="237" t="str">
        <f t="shared" si="65"/>
        <v xml:space="preserve">16/17 </v>
      </c>
      <c r="Z127" s="237" t="str">
        <f t="shared" si="65"/>
        <v xml:space="preserve">17/18 </v>
      </c>
      <c r="AA127" s="237" t="str">
        <f t="shared" si="65"/>
        <v xml:space="preserve">18/19 </v>
      </c>
      <c r="AB127" s="237" t="str">
        <f t="shared" si="65"/>
        <v xml:space="preserve">19/20 </v>
      </c>
      <c r="AC127" s="237" t="str">
        <f t="shared" si="65"/>
        <v xml:space="preserve">20/21 </v>
      </c>
      <c r="AD127" s="237" t="str">
        <f t="shared" si="65"/>
        <v xml:space="preserve">21/22 </v>
      </c>
      <c r="AE127" s="237" t="str">
        <f t="shared" si="65"/>
        <v xml:space="preserve">22/23 </v>
      </c>
    </row>
    <row r="128" spans="1:31">
      <c r="A128" s="240" t="s">
        <v>239</v>
      </c>
      <c r="B128" s="241">
        <f>(SUM(S139:W139)/SUM(T$140:X$140))*B$140</f>
        <v>3.2937371727097458</v>
      </c>
      <c r="C128" s="241">
        <f>(SUM(K139:O139)/SUM(L$140:P$140))*C$140</f>
        <v>2.7766915781972341</v>
      </c>
      <c r="D128" s="241">
        <f>(SUM(L139:P139)/SUM(M$140:Q$140))*D$140</f>
        <v>1.190589169089544</v>
      </c>
      <c r="E128" s="241">
        <v>1.3850860662849211</v>
      </c>
      <c r="F128" s="242">
        <f>'[2]Russia Sun Meal Imports'!CB$290</f>
        <v>1.3620000000000001</v>
      </c>
      <c r="G128" s="242">
        <f>'[2]Russia Sun Meal Imports'!CN$290</f>
        <v>9.1999999999999998E-2</v>
      </c>
      <c r="H128" s="242">
        <f>'[2]Russia Sun Meal Imports'!CZ$290</f>
        <v>1.286</v>
      </c>
      <c r="I128" s="242">
        <f>'[2]Russia Sun Meal Imports'!DL$290</f>
        <v>1.1599999999999999</v>
      </c>
      <c r="J128" s="242">
        <f>'[2]Russia Sun Meal Imports'!DX$290</f>
        <v>2.2829999999999999</v>
      </c>
      <c r="K128" s="242">
        <f>'[2]Russia Sun Meal Imports'!EJ$290</f>
        <v>1.1859999999999999</v>
      </c>
      <c r="L128" s="242">
        <f>'[2]Russia Sun Meal Imports'!EV$290</f>
        <v>2.9540000000000002</v>
      </c>
      <c r="M128" s="242">
        <f>'[2]Russia Sun Meal Imports'!FH$290</f>
        <v>4.4180000000000001</v>
      </c>
      <c r="N128" s="242">
        <f>'[2]Russia Sun Meal Imports'!FT$290</f>
        <v>1.9390000000000001</v>
      </c>
      <c r="O128" s="242">
        <f>'[2]Russia Sun Meal Imports'!GF$290</f>
        <v>3.1709999999999998</v>
      </c>
      <c r="P128" s="242">
        <f>'[2]Russia Sun Meal Imports'!GR$290</f>
        <v>0</v>
      </c>
      <c r="Q128" s="242">
        <f>'[2]Russia Sun Meal Imports'!HD$290</f>
        <v>0.16400000000000001</v>
      </c>
      <c r="R128" s="242">
        <f>'[2]Russia Sun Meal Imports'!HP$290</f>
        <v>0</v>
      </c>
      <c r="S128" s="242">
        <f>'[2]Russia Sun Meal Imports'!IB$290</f>
        <v>0.49299999999999999</v>
      </c>
      <c r="T128" s="242">
        <f>'[2]Russia Sun Meal Imports'!IN$290</f>
        <v>0</v>
      </c>
      <c r="U128" s="242">
        <f>'[2]Russia Sun Meal Imports'!IZ$290</f>
        <v>0</v>
      </c>
      <c r="V128" s="242">
        <f>'[2]Russia Sun Meal Imports'!JL$290</f>
        <v>0</v>
      </c>
      <c r="W128" s="242">
        <f>'[2]Russia Sun Meal Imports'!JX$290</f>
        <v>0</v>
      </c>
      <c r="X128" s="242">
        <f>'[2]Russia Sun Meal Imports'!KJ$290</f>
        <v>7.3999999999999996E-2</v>
      </c>
      <c r="Y128" s="242">
        <f>'[2]Russia Sun Meal Imports'!KV$290</f>
        <v>0</v>
      </c>
      <c r="Z128" s="242">
        <f>'[2]Russia Sun Meal Imports'!LH$290</f>
        <v>2.153</v>
      </c>
      <c r="AA128" s="242">
        <f>'[2]Russia Sun Meal Imports'!LT$290</f>
        <v>1.655</v>
      </c>
      <c r="AB128" s="242">
        <f>'[2]Russia Sun Meal Imports'!MF$290</f>
        <v>0.252</v>
      </c>
      <c r="AC128" s="242">
        <f>'[2]Russia Sun Meal Imports'!MR$290</f>
        <v>0.432</v>
      </c>
      <c r="AD128" s="242">
        <f>'[2]Russia Sun Meal Imports'!ND$290</f>
        <v>6.5000000000000002E-2</v>
      </c>
      <c r="AE128" s="243">
        <f>(SUM(Y128:AC128)/SUM(Y$140:AC$140))*AE$140</f>
        <v>1.1405468750000001</v>
      </c>
    </row>
    <row r="129" spans="1:31">
      <c r="A129" s="240" t="s">
        <v>240</v>
      </c>
      <c r="B129" s="241">
        <f t="shared" ref="B129:B139" si="66">(SUM(T128:X128)/SUM(T$140:X$140))*B$140</f>
        <v>0.36818210087692016</v>
      </c>
      <c r="C129" s="241">
        <f t="shared" ref="C129:C139" si="67">(SUM(L128:P128)/SUM(L$140:P$140))*C$140</f>
        <v>3.0410339807894942</v>
      </c>
      <c r="D129" s="241">
        <f t="shared" ref="D129:D139" si="68">(SUM(M128:Q128)/SUM(M$140:Q$140))*D$140</f>
        <v>1.2542598072625939</v>
      </c>
      <c r="E129" s="241">
        <v>1.6854924518479961</v>
      </c>
      <c r="F129" s="242">
        <f>'[2]Russia Sun Meal Imports'!CC$290</f>
        <v>5.0999999999999997E-2</v>
      </c>
      <c r="G129" s="242">
        <f>'[2]Russia Sun Meal Imports'!CO$290</f>
        <v>0.45400000000000001</v>
      </c>
      <c r="H129" s="242">
        <f>'[2]Russia Sun Meal Imports'!DA$290</f>
        <v>1.589</v>
      </c>
      <c r="I129" s="242">
        <f>'[2]Russia Sun Meal Imports'!DM$290</f>
        <v>0.69699999999999995</v>
      </c>
      <c r="J129" s="242">
        <f>'[2]Russia Sun Meal Imports'!DY$290</f>
        <v>3.234</v>
      </c>
      <c r="K129" s="242">
        <f>'[2]Russia Sun Meal Imports'!EK$290</f>
        <v>1.496</v>
      </c>
      <c r="L129" s="242">
        <f>'[2]Russia Sun Meal Imports'!EW$290</f>
        <v>2.2690000000000001</v>
      </c>
      <c r="M129" s="242">
        <f>'[2]Russia Sun Meal Imports'!FI$290</f>
        <v>3.0430000000000001</v>
      </c>
      <c r="N129" s="242">
        <f>'[2]Russia Sun Meal Imports'!FU$290</f>
        <v>3.738</v>
      </c>
      <c r="O129" s="242">
        <f>'[2]Russia Sun Meal Imports'!GG$290</f>
        <v>3.2669999999999999</v>
      </c>
      <c r="P129" s="242">
        <f>'[2]Russia Sun Meal Imports'!GS$290</f>
        <v>0</v>
      </c>
      <c r="Q129" s="242">
        <f>'[2]Russia Sun Meal Imports'!HE$290</f>
        <v>0</v>
      </c>
      <c r="R129" s="242">
        <f>'[2]Russia Sun Meal Imports'!HQ$290</f>
        <v>0</v>
      </c>
      <c r="S129" s="242">
        <f>'[2]Russia Sun Meal Imports'!IC$290</f>
        <v>0.28299999999999997</v>
      </c>
      <c r="T129" s="242">
        <f>'[2]Russia Sun Meal Imports'!IO$290</f>
        <v>0</v>
      </c>
      <c r="U129" s="242">
        <f>'[2]Russia Sun Meal Imports'!JA$290</f>
        <v>0</v>
      </c>
      <c r="V129" s="242">
        <f>'[2]Russia Sun Meal Imports'!JM$290</f>
        <v>0</v>
      </c>
      <c r="W129" s="242">
        <f>'[2]Russia Sun Meal Imports'!JY$290</f>
        <v>0</v>
      </c>
      <c r="X129" s="242">
        <f>'[2]Russia Sun Meal Imports'!KK$290</f>
        <v>0.104</v>
      </c>
      <c r="Y129" s="242">
        <f>'[2]Russia Sun Meal Imports'!KW$290</f>
        <v>0</v>
      </c>
      <c r="Z129" s="242">
        <f>'[2]Russia Sun Meal Imports'!LI$290</f>
        <v>0.85699999999999998</v>
      </c>
      <c r="AA129" s="242">
        <f>'[2]Russia Sun Meal Imports'!LU$290</f>
        <v>2.8839999999999999</v>
      </c>
      <c r="AB129" s="242">
        <f>'[2]Russia Sun Meal Imports'!MG$290</f>
        <v>0</v>
      </c>
      <c r="AC129" s="242">
        <f>'[2]Russia Sun Meal Imports'!MS$290</f>
        <v>3.827</v>
      </c>
      <c r="AD129" s="242">
        <f>'[2]Russia Sun Meal Imports'!NE$290</f>
        <v>0.50600000000000001</v>
      </c>
      <c r="AE129" s="243">
        <f t="shared" ref="AD129:AE133" si="69">(SUM(Y129:AC129)/SUM(Y$140:AC$140))*AE$140</f>
        <v>1.9215625000000003</v>
      </c>
    </row>
    <row r="130" spans="1:31">
      <c r="A130" s="240" t="s">
        <v>241</v>
      </c>
      <c r="B130" s="241">
        <f t="shared" si="66"/>
        <v>0.51744511474594179</v>
      </c>
      <c r="C130" s="241">
        <f t="shared" si="67"/>
        <v>3.0008344449114088</v>
      </c>
      <c r="D130" s="241">
        <f t="shared" si="68"/>
        <v>1.300330431631711</v>
      </c>
      <c r="E130" s="241">
        <v>1.6424214818670835</v>
      </c>
      <c r="F130" s="242">
        <f>'[2]Russia Sun Meal Imports'!CD$290</f>
        <v>0.16500000000000001</v>
      </c>
      <c r="G130" s="242">
        <f>'[2]Russia Sun Meal Imports'!CP$290</f>
        <v>0</v>
      </c>
      <c r="H130" s="242">
        <f>'[2]Russia Sun Meal Imports'!DB$290</f>
        <v>0.35299999999999998</v>
      </c>
      <c r="I130" s="242">
        <f>'[2]Russia Sun Meal Imports'!DN$290</f>
        <v>0.46100000000000002</v>
      </c>
      <c r="J130" s="242">
        <f>'[2]Russia Sun Meal Imports'!DZ$290</f>
        <v>7.8789999999999996</v>
      </c>
      <c r="K130" s="242">
        <f>'[2]Russia Sun Meal Imports'!EL$290</f>
        <v>0.502</v>
      </c>
      <c r="L130" s="242">
        <f>'[2]Russia Sun Meal Imports'!EX$290</f>
        <v>2.9119999999999999</v>
      </c>
      <c r="M130" s="242">
        <f>'[2]Russia Sun Meal Imports'!FJ$290</f>
        <v>2.714</v>
      </c>
      <c r="N130" s="242">
        <f>'[2]Russia Sun Meal Imports'!FV$290</f>
        <v>4.5579999999999998</v>
      </c>
      <c r="O130" s="242">
        <f>'[2]Russia Sun Meal Imports'!GH$290</f>
        <v>2.7280000000000002</v>
      </c>
      <c r="P130" s="242">
        <f>'[2]Russia Sun Meal Imports'!GT$290</f>
        <v>1.3720000000000001</v>
      </c>
      <c r="Q130" s="242">
        <f>'[2]Russia Sun Meal Imports'!HF$290</f>
        <v>0</v>
      </c>
      <c r="R130" s="242">
        <f>'[2]Russia Sun Meal Imports'!HR$290</f>
        <v>0</v>
      </c>
      <c r="S130" s="242">
        <f>'[2]Russia Sun Meal Imports'!ID$290</f>
        <v>0</v>
      </c>
      <c r="T130" s="242">
        <f>'[2]Russia Sun Meal Imports'!IP$290</f>
        <v>0</v>
      </c>
      <c r="U130" s="242">
        <f>'[2]Russia Sun Meal Imports'!JB$290</f>
        <v>0</v>
      </c>
      <c r="V130" s="242">
        <f>'[2]Russia Sun Meal Imports'!JN$290</f>
        <v>0.18</v>
      </c>
      <c r="W130" s="242">
        <f>'[2]Russia Sun Meal Imports'!JZ$290</f>
        <v>0</v>
      </c>
      <c r="X130" s="242">
        <f>'[2]Russia Sun Meal Imports'!KL$290</f>
        <v>0.21299999999999999</v>
      </c>
      <c r="Y130" s="242">
        <f>'[2]Russia Sun Meal Imports'!KX$290</f>
        <v>2.1000000000000001E-2</v>
      </c>
      <c r="Z130" s="242">
        <f>'[2]Russia Sun Meal Imports'!LJ$290</f>
        <v>3.2890000000000001</v>
      </c>
      <c r="AA130" s="242">
        <f>'[2]Russia Sun Meal Imports'!LV$290</f>
        <v>9.6000000000000002E-2</v>
      </c>
      <c r="AB130" s="242">
        <f>'[2]Russia Sun Meal Imports'!MH$290</f>
        <v>0</v>
      </c>
      <c r="AC130" s="242">
        <f>'[2]Russia Sun Meal Imports'!MT$290</f>
        <v>4.6440000000000001</v>
      </c>
      <c r="AD130" s="242">
        <f>'[2]Russia Sun Meal Imports'!NF$290</f>
        <v>0.628</v>
      </c>
      <c r="AE130" s="243">
        <f t="shared" si="69"/>
        <v>2.0439453125000004</v>
      </c>
    </row>
    <row r="131" spans="1:31">
      <c r="A131" s="240" t="s">
        <v>231</v>
      </c>
      <c r="B131" s="241">
        <f t="shared" si="66"/>
        <v>1.9553454816841842</v>
      </c>
      <c r="C131" s="241">
        <f t="shared" si="67"/>
        <v>3.4800616392883459</v>
      </c>
      <c r="D131" s="241">
        <f t="shared" si="68"/>
        <v>1.4716717424876409</v>
      </c>
      <c r="E131" s="242">
        <f>'[2]Russia Sun Meal Imports'!BS$290</f>
        <v>0</v>
      </c>
      <c r="F131" s="242">
        <f>'[2]Russia Sun Meal Imports'!CE$290</f>
        <v>0.24299999999999999</v>
      </c>
      <c r="G131" s="242">
        <f>'[2]Russia Sun Meal Imports'!CQ$290</f>
        <v>0</v>
      </c>
      <c r="H131" s="242">
        <f>'[2]Russia Sun Meal Imports'!DC$290</f>
        <v>1.4E-2</v>
      </c>
      <c r="I131" s="242">
        <f>'[2]Russia Sun Meal Imports'!DO$290</f>
        <v>0.35199999999999998</v>
      </c>
      <c r="J131" s="242">
        <f>'[2]Russia Sun Meal Imports'!EA$290</f>
        <v>13.852</v>
      </c>
      <c r="K131" s="242">
        <f>'[2]Russia Sun Meal Imports'!EM$290</f>
        <v>0.45600000000000002</v>
      </c>
      <c r="L131" s="242">
        <f>'[2]Russia Sun Meal Imports'!EY$290</f>
        <v>3.2749999999999999</v>
      </c>
      <c r="M131" s="242">
        <f>'[2]Russia Sun Meal Imports'!FK$290</f>
        <v>1.573</v>
      </c>
      <c r="N131" s="242">
        <f>'[2]Russia Sun Meal Imports'!FW$290</f>
        <v>4.1000000000000002E-2</v>
      </c>
      <c r="O131" s="242">
        <f>'[2]Russia Sun Meal Imports'!GI$290</f>
        <v>2.2839999999999998</v>
      </c>
      <c r="P131" s="242">
        <f>'[2]Russia Sun Meal Imports'!GU$290</f>
        <v>0.48799999999999999</v>
      </c>
      <c r="Q131" s="242">
        <f>'[2]Russia Sun Meal Imports'!HG$290</f>
        <v>0</v>
      </c>
      <c r="R131" s="242">
        <f>'[2]Russia Sun Meal Imports'!HS$290</f>
        <v>0</v>
      </c>
      <c r="S131" s="242">
        <f>'[2]Russia Sun Meal Imports'!IE$290</f>
        <v>0</v>
      </c>
      <c r="T131" s="242">
        <f>'[2]Russia Sun Meal Imports'!IQ$290</f>
        <v>0</v>
      </c>
      <c r="U131" s="242">
        <f>'[2]Russia Sun Meal Imports'!JC$290</f>
        <v>0</v>
      </c>
      <c r="V131" s="242">
        <f>'[2]Russia Sun Meal Imports'!JO$290</f>
        <v>0</v>
      </c>
      <c r="W131" s="242">
        <f>'[2]Russia Sun Meal Imports'!KA$290</f>
        <v>4.1000000000000002E-2</v>
      </c>
      <c r="X131" s="242">
        <f>'[2]Russia Sun Meal Imports'!KM$290</f>
        <v>0</v>
      </c>
      <c r="Y131" s="242">
        <f>'[2]Russia Sun Meal Imports'!KY$290</f>
        <v>7.4999999999999997E-2</v>
      </c>
      <c r="Z131" s="242">
        <f>'[2]Russia Sun Meal Imports'!LK$290</f>
        <v>5.7430000000000003</v>
      </c>
      <c r="AA131" s="242">
        <f>'[2]Russia Sun Meal Imports'!LW$290</f>
        <v>0</v>
      </c>
      <c r="AB131" s="242">
        <f>'[2]Russia Sun Meal Imports'!MI$290</f>
        <v>0.106</v>
      </c>
      <c r="AC131" s="242">
        <f>'[2]Russia Sun Meal Imports'!MU$290</f>
        <v>1.7430000000000001</v>
      </c>
      <c r="AD131" s="242">
        <f>'[2]Russia Sun Meal Imports'!NG$290</f>
        <v>0.93700000000000006</v>
      </c>
      <c r="AE131" s="243">
        <f t="shared" si="69"/>
        <v>1.9466992187500005</v>
      </c>
    </row>
    <row r="132" spans="1:31">
      <c r="A132" s="240" t="s">
        <v>232</v>
      </c>
      <c r="B132" s="241">
        <f t="shared" si="66"/>
        <v>0.20399278562099635</v>
      </c>
      <c r="C132" s="241">
        <f t="shared" si="67"/>
        <v>1.8664766324970608</v>
      </c>
      <c r="D132" s="241">
        <f t="shared" si="68"/>
        <v>0.56760044517681951</v>
      </c>
      <c r="E132" s="242">
        <f>'[2]Russia Sun Meal Imports'!BT$290</f>
        <v>0</v>
      </c>
      <c r="F132" s="242">
        <f>'[2]Russia Sun Meal Imports'!CF$290</f>
        <v>0.47499999999999998</v>
      </c>
      <c r="G132" s="242">
        <f>'[2]Russia Sun Meal Imports'!CR$290</f>
        <v>0.78800000000000003</v>
      </c>
      <c r="H132" s="242">
        <f>'[2]Russia Sun Meal Imports'!DD$290</f>
        <v>0.44500000000000001</v>
      </c>
      <c r="I132" s="242">
        <f>'[2]Russia Sun Meal Imports'!DP$290</f>
        <v>1.0109999999999999</v>
      </c>
      <c r="J132" s="242">
        <f>'[2]Russia Sun Meal Imports'!EB$290</f>
        <v>9.4429999999999996</v>
      </c>
      <c r="K132" s="242">
        <f>'[2]Russia Sun Meal Imports'!EN$290</f>
        <v>0.70099999999999996</v>
      </c>
      <c r="L132" s="242">
        <f>'[2]Russia Sun Meal Imports'!EZ$290</f>
        <v>4.4249999999999998</v>
      </c>
      <c r="M132" s="242">
        <f>'[2]Russia Sun Meal Imports'!FL$290</f>
        <v>2.2040000000000002</v>
      </c>
      <c r="N132" s="242">
        <f>'[2]Russia Sun Meal Imports'!FX$290</f>
        <v>1.2529999999999999</v>
      </c>
      <c r="O132" s="242">
        <f>'[2]Russia Sun Meal Imports'!GJ$290</f>
        <v>1.4419999999999999</v>
      </c>
      <c r="P132" s="242">
        <f>'[2]Russia Sun Meal Imports'!GV$290</f>
        <v>0</v>
      </c>
      <c r="Q132" s="242">
        <f>'[2]Russia Sun Meal Imports'!HH$290</f>
        <v>0</v>
      </c>
      <c r="R132" s="242">
        <f>'[2]Russia Sun Meal Imports'!HT$290</f>
        <v>0</v>
      </c>
      <c r="S132" s="242">
        <f>'[2]Russia Sun Meal Imports'!IF$290</f>
        <v>1.466</v>
      </c>
      <c r="T132" s="242">
        <f>'[2]Russia Sun Meal Imports'!IR$290</f>
        <v>0</v>
      </c>
      <c r="U132" s="242">
        <f>'[2]Russia Sun Meal Imports'!JD$290</f>
        <v>0</v>
      </c>
      <c r="V132" s="242">
        <f>'[2]Russia Sun Meal Imports'!JP$290</f>
        <v>0</v>
      </c>
      <c r="W132" s="242">
        <f>'[2]Russia Sun Meal Imports'!KB$290</f>
        <v>7.6999999999999999E-2</v>
      </c>
      <c r="X132" s="242">
        <f>'[2]Russia Sun Meal Imports'!KN$290</f>
        <v>0</v>
      </c>
      <c r="Y132" s="242">
        <f>'[2]Russia Sun Meal Imports'!KZ$290</f>
        <v>0.40400000000000003</v>
      </c>
      <c r="Z132" s="242">
        <f>'[2]Russia Sun Meal Imports'!LL$290</f>
        <v>5.1100000000000003</v>
      </c>
      <c r="AA132" s="242">
        <f>'[2]Russia Sun Meal Imports'!LX$290</f>
        <v>0.32300000000000001</v>
      </c>
      <c r="AB132" s="242">
        <f>'[2]Russia Sun Meal Imports'!MJ$290</f>
        <v>1.633</v>
      </c>
      <c r="AC132" s="242">
        <f>'[2]Russia Sun Meal Imports'!MV$290</f>
        <v>3.4790000000000001</v>
      </c>
      <c r="AD132" s="243">
        <f t="shared" si="69"/>
        <v>0.46022727272727282</v>
      </c>
      <c r="AE132" s="243">
        <f t="shared" si="69"/>
        <v>2.7800195312500007</v>
      </c>
    </row>
    <row r="133" spans="1:31">
      <c r="A133" s="240" t="s">
        <v>233</v>
      </c>
      <c r="B133" s="241">
        <f t="shared" si="66"/>
        <v>0.38310840226382237</v>
      </c>
      <c r="C133" s="241">
        <f t="shared" si="67"/>
        <v>2.2716392274380102</v>
      </c>
      <c r="D133" s="241">
        <f t="shared" si="68"/>
        <v>0.63398873254018229</v>
      </c>
      <c r="E133" s="242">
        <f>'[2]Russia Sun Meal Imports'!BU$290</f>
        <v>0</v>
      </c>
      <c r="F133" s="242">
        <f>'[2]Russia Sun Meal Imports'!CG$290</f>
        <v>0.113</v>
      </c>
      <c r="G133" s="242">
        <f>'[2]Russia Sun Meal Imports'!CS$290</f>
        <v>1.427</v>
      </c>
      <c r="H133" s="242">
        <f>'[2]Russia Sun Meal Imports'!DE$290</f>
        <v>0</v>
      </c>
      <c r="I133" s="242">
        <f>'[2]Russia Sun Meal Imports'!DQ$290</f>
        <v>3.427</v>
      </c>
      <c r="J133" s="242">
        <f>'[2]Russia Sun Meal Imports'!EC$290</f>
        <v>8.3780000000000001</v>
      </c>
      <c r="K133" s="242">
        <f>'[2]Russia Sun Meal Imports'!EO$290</f>
        <v>0.66200000000000003</v>
      </c>
      <c r="L133" s="242">
        <f>'[2]Russia Sun Meal Imports'!FA$290</f>
        <v>5.5970000000000004</v>
      </c>
      <c r="M133" s="242">
        <f>'[2]Russia Sun Meal Imports'!FM$290</f>
        <v>3.3969999999999998</v>
      </c>
      <c r="N133" s="242">
        <f>'[2]Russia Sun Meal Imports'!FY$290</f>
        <v>4.04</v>
      </c>
      <c r="O133" s="242">
        <f>'[2]Russia Sun Meal Imports'!GK$290</f>
        <v>4.0389999999999997</v>
      </c>
      <c r="P133" s="242">
        <f>'[2]Russia Sun Meal Imports'!GW$290</f>
        <v>0.47199999999999998</v>
      </c>
      <c r="Q133" s="242">
        <f>'[2]Russia Sun Meal Imports'!HI$290</f>
        <v>0</v>
      </c>
      <c r="R133" s="242">
        <f>'[2]Russia Sun Meal Imports'!HU$290</f>
        <v>0</v>
      </c>
      <c r="S133" s="242">
        <f>'[2]Russia Sun Meal Imports'!IG$290</f>
        <v>3.3420000000000001</v>
      </c>
      <c r="T133" s="242">
        <f>'[2]Russia Sun Meal Imports'!IS$290</f>
        <v>0</v>
      </c>
      <c r="U133" s="242">
        <f>'[2]Russia Sun Meal Imports'!JE$290</f>
        <v>0</v>
      </c>
      <c r="V133" s="242">
        <f>'[2]Russia Sun Meal Imports'!JQ$290</f>
        <v>0</v>
      </c>
      <c r="W133" s="242">
        <f>'[2]Russia Sun Meal Imports'!KC$290</f>
        <v>0</v>
      </c>
      <c r="X133" s="242">
        <f>'[2]Russia Sun Meal Imports'!KO$290</f>
        <v>1E-3</v>
      </c>
      <c r="Y133" s="242">
        <f>'[2]Russia Sun Meal Imports'!LA$290</f>
        <v>1.159</v>
      </c>
      <c r="Z133" s="242">
        <f>'[2]Russia Sun Meal Imports'!LM$290</f>
        <v>4.4240000000000004</v>
      </c>
      <c r="AA133" s="242">
        <f>'[2]Russia Sun Meal Imports'!LY$290</f>
        <v>1.4</v>
      </c>
      <c r="AB133" s="242">
        <f>'[2]Russia Sun Meal Imports'!MK$290</f>
        <v>3.4889999999999999</v>
      </c>
      <c r="AC133" s="242">
        <f>'[2]Russia Sun Meal Imports'!MW$290</f>
        <v>2.2759999999999998</v>
      </c>
      <c r="AD133" s="243">
        <f>(SUM(X133:AB133)/SUM(X$140:AB$140))*AD$140*0</f>
        <v>0</v>
      </c>
      <c r="AE133" s="243">
        <f t="shared" si="69"/>
        <v>3.2367968750000005</v>
      </c>
    </row>
    <row r="134" spans="1:31">
      <c r="A134" s="240" t="s">
        <v>234</v>
      </c>
      <c r="B134" s="241">
        <f t="shared" si="66"/>
        <v>4.9754337956340565E-3</v>
      </c>
      <c r="C134" s="241">
        <f t="shared" si="67"/>
        <v>4.2745506483697868</v>
      </c>
      <c r="D134" s="241">
        <f t="shared" si="68"/>
        <v>1.5462129774219426</v>
      </c>
      <c r="E134" s="242">
        <f>'[2]Russia Sun Meal Imports'!BV$290</f>
        <v>0</v>
      </c>
      <c r="F134" s="242">
        <f>'[2]Russia Sun Meal Imports'!CH$290</f>
        <v>0.216</v>
      </c>
      <c r="G134" s="242">
        <f>'[2]Russia Sun Meal Imports'!CT$290</f>
        <v>0.90400000000000003</v>
      </c>
      <c r="H134" s="242">
        <f>'[2]Russia Sun Meal Imports'!DF$290</f>
        <v>0</v>
      </c>
      <c r="I134" s="242">
        <f>'[2]Russia Sun Meal Imports'!DR$290</f>
        <v>4.6890000000000001</v>
      </c>
      <c r="J134" s="242">
        <f>'[2]Russia Sun Meal Imports'!ED$290</f>
        <v>2.1429999999999998</v>
      </c>
      <c r="K134" s="242">
        <f>'[2]Russia Sun Meal Imports'!EP$290</f>
        <v>1.552</v>
      </c>
      <c r="L134" s="242">
        <f>'[2]Russia Sun Meal Imports'!FB$290</f>
        <v>6.8250000000000002</v>
      </c>
      <c r="M134" s="242">
        <f>'[2]Russia Sun Meal Imports'!FN$290</f>
        <v>2.9180000000000001</v>
      </c>
      <c r="N134" s="242">
        <f>'[2]Russia Sun Meal Imports'!FZ$290</f>
        <v>5.117</v>
      </c>
      <c r="O134" s="242">
        <f>'[2]Russia Sun Meal Imports'!GL$290</f>
        <v>1.806</v>
      </c>
      <c r="P134" s="242">
        <f>'[2]Russia Sun Meal Imports'!GX$290</f>
        <v>1.6259999999999999</v>
      </c>
      <c r="Q134" s="242">
        <f>'[2]Russia Sun Meal Imports'!HJ$290</f>
        <v>0</v>
      </c>
      <c r="R134" s="242">
        <f>'[2]Russia Sun Meal Imports'!HV$290</f>
        <v>0.28999999999999998</v>
      </c>
      <c r="S134" s="242">
        <f>'[2]Russia Sun Meal Imports'!IH$290</f>
        <v>2.7669999999999999</v>
      </c>
      <c r="T134" s="242">
        <f>'[2]Russia Sun Meal Imports'!IT$290</f>
        <v>0</v>
      </c>
      <c r="U134" s="242">
        <f>'[2]Russia Sun Meal Imports'!JF$290</f>
        <v>0</v>
      </c>
      <c r="V134" s="242">
        <f>'[2]Russia Sun Meal Imports'!JR$290</f>
        <v>1.6379999999999999</v>
      </c>
      <c r="W134" s="242">
        <f>'[2]Russia Sun Meal Imports'!KD$290</f>
        <v>0</v>
      </c>
      <c r="X134" s="242">
        <f>'[2]Russia Sun Meal Imports'!KP$290</f>
        <v>2.1999999999999999E-2</v>
      </c>
      <c r="Y134" s="242">
        <f>'[2]Russia Sun Meal Imports'!LB$290</f>
        <v>1.653</v>
      </c>
      <c r="Z134" s="242">
        <f>'[2]Russia Sun Meal Imports'!LN$290</f>
        <v>9.9819999999999993</v>
      </c>
      <c r="AA134" s="242">
        <f>'[2]Russia Sun Meal Imports'!LZ$290</f>
        <v>0.44800000000000001</v>
      </c>
      <c r="AB134" s="242">
        <f>'[2]Russia Sun Meal Imports'!ML$290</f>
        <v>1.605</v>
      </c>
      <c r="AC134" s="242">
        <f>'[2]Russia Sun Meal Imports'!MX$290</f>
        <v>1.4450000000000001</v>
      </c>
      <c r="AD134" s="243">
        <f t="shared" ref="AD134:AD138" si="70">(SUM(X134:AB134)/SUM(X$140:AB$140))*AD$140*0</f>
        <v>0</v>
      </c>
      <c r="AE134" s="243">
        <f>(SUM(Y134:AC134)/SUM(Y$140:AC$140))*AE$140</f>
        <v>3.8423632812500004</v>
      </c>
    </row>
    <row r="135" spans="1:31">
      <c r="A135" s="240" t="s">
        <v>46</v>
      </c>
      <c r="B135" s="241">
        <f t="shared" si="66"/>
        <v>8.2592201007525325</v>
      </c>
      <c r="C135" s="241">
        <f t="shared" si="67"/>
        <v>4.456544910799666</v>
      </c>
      <c r="D135" s="241">
        <f t="shared" si="68"/>
        <v>1.4839658697771527</v>
      </c>
      <c r="E135" s="242">
        <f>'[2]Russia Sun Meal Imports'!BW$290</f>
        <v>1.4E-2</v>
      </c>
      <c r="F135" s="242">
        <f>'[2]Russia Sun Meal Imports'!CI$290</f>
        <v>4.665</v>
      </c>
      <c r="G135" s="242">
        <f>'[2]Russia Sun Meal Imports'!CU$290</f>
        <v>1.63</v>
      </c>
      <c r="H135" s="242">
        <f>'[2]Russia Sun Meal Imports'!DG$290</f>
        <v>0.2</v>
      </c>
      <c r="I135" s="242">
        <f>'[2]Russia Sun Meal Imports'!DS$290</f>
        <v>3.1819999999999999</v>
      </c>
      <c r="J135" s="242">
        <f>'[2]Russia Sun Meal Imports'!EE$290</f>
        <v>4.9630000000000001</v>
      </c>
      <c r="K135" s="242">
        <f>'[2]Russia Sun Meal Imports'!EQ$290</f>
        <v>1.2470000000000001</v>
      </c>
      <c r="L135" s="242">
        <f>'[2]Russia Sun Meal Imports'!FC$290</f>
        <v>6.202</v>
      </c>
      <c r="M135" s="242">
        <f>'[2]Russia Sun Meal Imports'!FO$290</f>
        <v>3.2450000000000001</v>
      </c>
      <c r="N135" s="242">
        <f>'[2]Russia Sun Meal Imports'!GA$290</f>
        <v>5.2670000000000003</v>
      </c>
      <c r="O135" s="242">
        <f>'[2]Russia Sun Meal Imports'!GM$290</f>
        <v>0.434</v>
      </c>
      <c r="P135" s="242">
        <f>'[2]Russia Sun Meal Imports'!GY$290</f>
        <v>2.4910000000000001</v>
      </c>
      <c r="Q135" s="242">
        <f>'[2]Russia Sun Meal Imports'!HK$290</f>
        <v>0</v>
      </c>
      <c r="R135" s="242">
        <f>'[2]Russia Sun Meal Imports'!HW$290</f>
        <v>0.95899999999999996</v>
      </c>
      <c r="S135" s="242">
        <f>'[2]Russia Sun Meal Imports'!II$290</f>
        <v>6.5190000000000001</v>
      </c>
      <c r="T135" s="242">
        <f>'[2]Russia Sun Meal Imports'!IU$290</f>
        <v>0</v>
      </c>
      <c r="U135" s="242">
        <f>'[2]Russia Sun Meal Imports'!JG$290</f>
        <v>0.04</v>
      </c>
      <c r="V135" s="242">
        <f>'[2]Russia Sun Meal Imports'!JS$290</f>
        <v>2.407</v>
      </c>
      <c r="W135" s="242">
        <f>'[2]Russia Sun Meal Imports'!KE$290</f>
        <v>6.0000000000000001E-3</v>
      </c>
      <c r="X135" s="242">
        <f>'[2]Russia Sun Meal Imports'!KQ$290</f>
        <v>1E-3</v>
      </c>
      <c r="Y135" s="242">
        <f>'[2]Russia Sun Meal Imports'!LC$290</f>
        <v>1.4</v>
      </c>
      <c r="Z135" s="242">
        <f>'[2]Russia Sun Meal Imports'!LO$290</f>
        <v>4.226</v>
      </c>
      <c r="AA135" s="242">
        <f>'[2]Russia Sun Meal Imports'!MA$290</f>
        <v>0.26100000000000001</v>
      </c>
      <c r="AB135" s="242">
        <f>'[2]Russia Sun Meal Imports'!MM$290</f>
        <v>3.6190000000000002</v>
      </c>
      <c r="AC135" s="242">
        <f>'[2]Russia Sun Meal Imports'!MY$290</f>
        <v>1.8720000000000001</v>
      </c>
      <c r="AD135" s="243">
        <f t="shared" si="70"/>
        <v>0</v>
      </c>
      <c r="AE135" s="243">
        <f t="shared" ref="AE135:AE138" si="71">(SUM(Y135:AC135)/SUM(Y$140:AC$140))*AE$140</f>
        <v>2.8889453125000002</v>
      </c>
    </row>
    <row r="136" spans="1:31">
      <c r="A136" s="240" t="s">
        <v>235</v>
      </c>
      <c r="B136" s="241">
        <f t="shared" si="66"/>
        <v>12.209714534485974</v>
      </c>
      <c r="C136" s="241">
        <f t="shared" si="67"/>
        <v>4.2974522021427566</v>
      </c>
      <c r="D136" s="241">
        <f t="shared" si="68"/>
        <v>1.4800835137909909</v>
      </c>
      <c r="E136" s="242">
        <f>'[2]Russia Sun Meal Imports'!BX$290</f>
        <v>11.183</v>
      </c>
      <c r="F136" s="242">
        <f>'[2]Russia Sun Meal Imports'!CJ$290</f>
        <v>0.156</v>
      </c>
      <c r="G136" s="242">
        <f>'[2]Russia Sun Meal Imports'!CV$290</f>
        <v>1.163</v>
      </c>
      <c r="H136" s="242">
        <f>'[2]Russia Sun Meal Imports'!DH$290</f>
        <v>1.2090000000000001</v>
      </c>
      <c r="I136" s="242">
        <f>'[2]Russia Sun Meal Imports'!DT$290</f>
        <v>1.1499999999999999</v>
      </c>
      <c r="J136" s="242">
        <f>'[2]Russia Sun Meal Imports'!EF$290</f>
        <v>3.1520000000000001</v>
      </c>
      <c r="K136" s="242">
        <f>'[2]Russia Sun Meal Imports'!ER$290</f>
        <v>1.9450000000000001</v>
      </c>
      <c r="L136" s="242">
        <f>'[2]Russia Sun Meal Imports'!FD$290</f>
        <v>5.8929999999999998</v>
      </c>
      <c r="M136" s="242">
        <f>'[2]Russia Sun Meal Imports'!FP$290</f>
        <v>4.508</v>
      </c>
      <c r="N136" s="242">
        <f>'[2]Russia Sun Meal Imports'!GB$290</f>
        <v>2.2280000000000002</v>
      </c>
      <c r="O136" s="242">
        <f>'[2]Russia Sun Meal Imports'!GN$290</f>
        <v>2.3740000000000001</v>
      </c>
      <c r="P136" s="242">
        <f>'[2]Russia Sun Meal Imports'!GZ$290</f>
        <v>6.9180000000000001</v>
      </c>
      <c r="Q136" s="242">
        <f>'[2]Russia Sun Meal Imports'!HL$290</f>
        <v>0</v>
      </c>
      <c r="R136" s="242">
        <f>'[2]Russia Sun Meal Imports'!HX$290</f>
        <v>0.76100000000000001</v>
      </c>
      <c r="S136" s="242">
        <f>'[2]Russia Sun Meal Imports'!IJ$290</f>
        <v>1.258</v>
      </c>
      <c r="T136" s="242">
        <f>'[2]Russia Sun Meal Imports'!IV$290</f>
        <v>0</v>
      </c>
      <c r="U136" s="242">
        <f>'[2]Russia Sun Meal Imports'!JH$290</f>
        <v>0</v>
      </c>
      <c r="V136" s="242">
        <f>'[2]Russia Sun Meal Imports'!JT$290</f>
        <v>1.504</v>
      </c>
      <c r="W136" s="242">
        <f>'[2]Russia Sun Meal Imports'!KF$290</f>
        <v>1.069</v>
      </c>
      <c r="X136" s="242">
        <f>'[2]Russia Sun Meal Imports'!KR$290</f>
        <v>1.4690000000000001</v>
      </c>
      <c r="Y136" s="242">
        <f>'[2]Russia Sun Meal Imports'!LD$290</f>
        <v>1.554</v>
      </c>
      <c r="Z136" s="242">
        <f>'[2]Russia Sun Meal Imports'!LP$290</f>
        <v>1.92</v>
      </c>
      <c r="AA136" s="242">
        <f>'[2]Russia Sun Meal Imports'!MB$290</f>
        <v>0.17199999999999999</v>
      </c>
      <c r="AB136" s="242">
        <f>'[2]Russia Sun Meal Imports'!MN$290</f>
        <v>4.8360000000000003</v>
      </c>
      <c r="AC136" s="242">
        <f>'[2]Russia Sun Meal Imports'!MZ$290</f>
        <v>1.329</v>
      </c>
      <c r="AD136" s="243">
        <f t="shared" si="70"/>
        <v>0</v>
      </c>
      <c r="AE136" s="243">
        <f t="shared" si="71"/>
        <v>2.4910742187500006</v>
      </c>
    </row>
    <row r="137" spans="1:31">
      <c r="A137" s="240" t="s">
        <v>236</v>
      </c>
      <c r="B137" s="241">
        <f t="shared" si="66"/>
        <v>20.110703401952854</v>
      </c>
      <c r="C137" s="241">
        <f t="shared" si="67"/>
        <v>5.3406910665667766</v>
      </c>
      <c r="D137" s="241">
        <f t="shared" si="68"/>
        <v>2.0742133915399146</v>
      </c>
      <c r="E137" s="242">
        <f>'[2]Russia Sun Meal Imports'!BY$290</f>
        <v>8.1340000000000003</v>
      </c>
      <c r="F137" s="242">
        <f>'[2]Russia Sun Meal Imports'!CK$290</f>
        <v>6.6360000000000001</v>
      </c>
      <c r="G137" s="242">
        <f>'[2]Russia Sun Meal Imports'!CW$290</f>
        <v>0.28599999999999998</v>
      </c>
      <c r="H137" s="242">
        <f>'[2]Russia Sun Meal Imports'!DI$290</f>
        <v>0.27500000000000002</v>
      </c>
      <c r="I137" s="242">
        <f>'[2]Russia Sun Meal Imports'!DU$290</f>
        <v>1.706</v>
      </c>
      <c r="J137" s="242">
        <f>'[2]Russia Sun Meal Imports'!EG$290</f>
        <v>5.0030000000000001</v>
      </c>
      <c r="K137" s="242">
        <f>'[2]Russia Sun Meal Imports'!ES$290</f>
        <v>2.786</v>
      </c>
      <c r="L137" s="242">
        <f>'[2]Russia Sun Meal Imports'!FE$290</f>
        <v>2.7719999999999998</v>
      </c>
      <c r="M137" s="242">
        <f>'[2]Russia Sun Meal Imports'!FQ$290</f>
        <v>3.0590000000000002</v>
      </c>
      <c r="N137" s="242">
        <f>'[2]Russia Sun Meal Imports'!GC$290</f>
        <v>1.39</v>
      </c>
      <c r="O137" s="242">
        <f>'[2]Russia Sun Meal Imports'!GO$290</f>
        <v>3.3359999999999999</v>
      </c>
      <c r="P137" s="242">
        <f>'[2]Russia Sun Meal Imports'!HA$290</f>
        <v>1.393</v>
      </c>
      <c r="Q137" s="242">
        <f>'[2]Russia Sun Meal Imports'!HM$290</f>
        <v>0</v>
      </c>
      <c r="R137" s="242">
        <f>'[2]Russia Sun Meal Imports'!HY$290</f>
        <v>0</v>
      </c>
      <c r="S137" s="242">
        <f>'[2]Russia Sun Meal Imports'!IK$290</f>
        <v>0.81299999999999994</v>
      </c>
      <c r="T137" s="242">
        <f>'[2]Russia Sun Meal Imports'!IW$290</f>
        <v>0</v>
      </c>
      <c r="U137" s="242">
        <f>'[2]Russia Sun Meal Imports'!JI$290</f>
        <v>0</v>
      </c>
      <c r="V137" s="242">
        <f>'[2]Russia Sun Meal Imports'!JU$290</f>
        <v>0</v>
      </c>
      <c r="W137" s="242">
        <f>'[2]Russia Sun Meal Imports'!KG$290</f>
        <v>0.98899999999999999</v>
      </c>
      <c r="X137" s="242">
        <f>'[2]Russia Sun Meal Imports'!KS$290</f>
        <v>2.581</v>
      </c>
      <c r="Y137" s="242">
        <f>'[2]Russia Sun Meal Imports'!LE$290</f>
        <v>2.3690000000000002</v>
      </c>
      <c r="Z137" s="242">
        <f>'[2]Russia Sun Meal Imports'!LQ$290</f>
        <v>0.53700000000000003</v>
      </c>
      <c r="AA137" s="242">
        <f>'[2]Russia Sun Meal Imports'!MC$290</f>
        <v>0.58699999999999997</v>
      </c>
      <c r="AB137" s="242">
        <f>'[2]Russia Sun Meal Imports'!MO$290</f>
        <v>2.121</v>
      </c>
      <c r="AC137" s="242">
        <f>'[2]Russia Sun Meal Imports'!NA$290</f>
        <v>0.11799999999999999</v>
      </c>
      <c r="AD137" s="243">
        <f t="shared" si="70"/>
        <v>0</v>
      </c>
      <c r="AE137" s="243">
        <f t="shared" si="71"/>
        <v>1.4553906250000004</v>
      </c>
    </row>
    <row r="138" spans="1:31">
      <c r="A138" s="240" t="s">
        <v>237</v>
      </c>
      <c r="B138" s="241">
        <f t="shared" si="66"/>
        <v>17.76229865041358</v>
      </c>
      <c r="C138" s="241">
        <f t="shared" si="67"/>
        <v>2.9114209317765143</v>
      </c>
      <c r="D138" s="241">
        <f t="shared" si="68"/>
        <v>1.1877421080330257</v>
      </c>
      <c r="E138" s="242">
        <f>'[2]Russia Sun Meal Imports'!BZ$290</f>
        <v>7.9560000000000004</v>
      </c>
      <c r="F138" s="242">
        <f>'[2]Russia Sun Meal Imports'!CL$290</f>
        <v>5.0490000000000004</v>
      </c>
      <c r="G138" s="242">
        <f>'[2]Russia Sun Meal Imports'!CX$290</f>
        <v>0.88300000000000001</v>
      </c>
      <c r="H138" s="242">
        <f>'[2]Russia Sun Meal Imports'!DJ$290</f>
        <v>0.29199999999999998</v>
      </c>
      <c r="I138" s="242">
        <f>'[2]Russia Sun Meal Imports'!DV$290</f>
        <v>0.42</v>
      </c>
      <c r="J138" s="242">
        <f>'[2]Russia Sun Meal Imports'!EH$290</f>
        <v>3.4180000000000001</v>
      </c>
      <c r="K138" s="242">
        <f>'[2]Russia Sun Meal Imports'!ET$290</f>
        <v>2.9279999999999999</v>
      </c>
      <c r="L138" s="242">
        <f>'[2]Russia Sun Meal Imports'!FF$290</f>
        <v>1.458</v>
      </c>
      <c r="M138" s="242">
        <f>'[2]Russia Sun Meal Imports'!FR$290</f>
        <v>3.65</v>
      </c>
      <c r="N138" s="242">
        <f>'[2]Russia Sun Meal Imports'!GD$290</f>
        <v>4.1539999999999999</v>
      </c>
      <c r="O138" s="242">
        <f>'[2]Russia Sun Meal Imports'!GP$290</f>
        <v>2.3039999999999998</v>
      </c>
      <c r="P138" s="242">
        <f>'[2]Russia Sun Meal Imports'!HB$290</f>
        <v>0</v>
      </c>
      <c r="Q138" s="242">
        <f>'[2]Russia Sun Meal Imports'!HN$290</f>
        <v>0</v>
      </c>
      <c r="R138" s="242">
        <f>'[2]Russia Sun Meal Imports'!HZ$290</f>
        <v>0.186</v>
      </c>
      <c r="S138" s="242">
        <f>'[2]Russia Sun Meal Imports'!IL$290</f>
        <v>0</v>
      </c>
      <c r="T138" s="242">
        <f>'[2]Russia Sun Meal Imports'!IX$290</f>
        <v>0</v>
      </c>
      <c r="U138" s="242">
        <f>'[2]Russia Sun Meal Imports'!JJ$290</f>
        <v>0</v>
      </c>
      <c r="V138" s="242">
        <f>'[2]Russia Sun Meal Imports'!JV$290</f>
        <v>0</v>
      </c>
      <c r="W138" s="242">
        <f>'[2]Russia Sun Meal Imports'!KH$290</f>
        <v>0.89800000000000002</v>
      </c>
      <c r="X138" s="242">
        <f>'[2]Russia Sun Meal Imports'!KT$290</f>
        <v>2.1030000000000002</v>
      </c>
      <c r="Y138" s="242">
        <f>'[2]Russia Sun Meal Imports'!LF$290</f>
        <v>2.1619999999999999</v>
      </c>
      <c r="Z138" s="242">
        <f>'[2]Russia Sun Meal Imports'!LR$290</f>
        <v>0.72699999999999998</v>
      </c>
      <c r="AA138" s="242">
        <f>'[2]Russia Sun Meal Imports'!MD$290</f>
        <v>1.0489999999999999</v>
      </c>
      <c r="AB138" s="242">
        <f>'[2]Russia Sun Meal Imports'!MP$290</f>
        <v>1.014</v>
      </c>
      <c r="AC138" s="242">
        <f>'[2]Russia Sun Meal Imports'!NB$290</f>
        <v>8.8999999999999996E-2</v>
      </c>
      <c r="AD138" s="243">
        <f t="shared" si="70"/>
        <v>0</v>
      </c>
      <c r="AE138" s="243">
        <f t="shared" si="71"/>
        <v>1.2799414062500003</v>
      </c>
    </row>
    <row r="139" spans="1:31">
      <c r="A139" s="240" t="s">
        <v>238</v>
      </c>
      <c r="B139" s="241">
        <f t="shared" si="66"/>
        <v>14.931276820697805</v>
      </c>
      <c r="C139" s="241">
        <f t="shared" si="67"/>
        <v>2.8178656482784241</v>
      </c>
      <c r="D139" s="241">
        <f t="shared" si="68"/>
        <v>1.308095143604034</v>
      </c>
      <c r="E139" s="242">
        <f>'[2]Russia Sun Meal Imports'!CA$290</f>
        <v>4.1189999999999998</v>
      </c>
      <c r="F139" s="242">
        <f>'[2]Russia Sun Meal Imports'!CM$290</f>
        <v>0.20200000000000001</v>
      </c>
      <c r="G139" s="242">
        <f>'[2]Russia Sun Meal Imports'!CY$290</f>
        <v>0</v>
      </c>
      <c r="H139" s="242">
        <f>'[2]Russia Sun Meal Imports'!DK$290</f>
        <v>0.72</v>
      </c>
      <c r="I139" s="242">
        <f>'[2]Russia Sun Meal Imports'!DW$290</f>
        <v>0.04</v>
      </c>
      <c r="J139" s="242">
        <f>'[2]Russia Sun Meal Imports'!EI$290</f>
        <v>0.83899999999999997</v>
      </c>
      <c r="K139" s="242">
        <f>'[2]Russia Sun Meal Imports'!EU$290</f>
        <v>2.1970000000000001</v>
      </c>
      <c r="L139" s="242">
        <f>'[2]Russia Sun Meal Imports'!FG$290</f>
        <v>3.8540000000000001</v>
      </c>
      <c r="M139" s="242">
        <f>'[2]Russia Sun Meal Imports'!FS$290</f>
        <v>2.694</v>
      </c>
      <c r="N139" s="242">
        <f>'[2]Russia Sun Meal Imports'!GE$290</f>
        <v>2.6520000000000001</v>
      </c>
      <c r="O139" s="242">
        <f>'[2]Russia Sun Meal Imports'!GQ$290</f>
        <v>0</v>
      </c>
      <c r="P139" s="242">
        <f>'[2]Russia Sun Meal Imports'!HC$290</f>
        <v>0</v>
      </c>
      <c r="Q139" s="242">
        <f>'[2]Russia Sun Meal Imports'!HO$290</f>
        <v>0</v>
      </c>
      <c r="R139" s="242">
        <f>'[2]Russia Sun Meal Imports'!IA$290</f>
        <v>0</v>
      </c>
      <c r="S139" s="242">
        <f>'[2]Russia Sun Meal Imports'!IM$290</f>
        <v>0</v>
      </c>
      <c r="T139" s="242">
        <f>'[2]Russia Sun Meal Imports'!IY$290</f>
        <v>0</v>
      </c>
      <c r="U139" s="242">
        <f>'[2]Russia Sun Meal Imports'!JK$290</f>
        <v>0</v>
      </c>
      <c r="V139" s="242">
        <f>'[2]Russia Sun Meal Imports'!JW$290</f>
        <v>0</v>
      </c>
      <c r="W139" s="242">
        <f>'[2]Russia Sun Meal Imports'!KI$290</f>
        <v>0.66200000000000003</v>
      </c>
      <c r="X139" s="242">
        <f>'[2]Russia Sun Meal Imports'!KU$290</f>
        <v>0</v>
      </c>
      <c r="Y139" s="242">
        <f>'[2]Russia Sun Meal Imports'!LG$290</f>
        <v>0.61299999999999999</v>
      </c>
      <c r="Z139" s="242">
        <f>'[2]Russia Sun Meal Imports'!LS$290</f>
        <v>0.753</v>
      </c>
      <c r="AA139" s="242">
        <f>'[2]Russia Sun Meal Imports'!ME$290</f>
        <v>1.7989999999999999</v>
      </c>
      <c r="AB139" s="242">
        <f>'[2]Russia Sun Meal Imports'!MQ$290</f>
        <v>0.6</v>
      </c>
      <c r="AC139" s="242">
        <f>'[2]Russia Sun Meal Imports'!NC$290</f>
        <v>6.6000000000000003E-2</v>
      </c>
      <c r="AD139" s="243">
        <f>AD140-SUM(AD128:AD138)</f>
        <v>2.8037727272727273</v>
      </c>
      <c r="AE139" s="243">
        <f>AE140-SUM(AE128:AE138)</f>
        <v>0.97271484374999773</v>
      </c>
    </row>
    <row r="140" spans="1:31" ht="15.75" thickBot="1">
      <c r="A140" s="240" t="s">
        <v>242</v>
      </c>
      <c r="B140" s="242">
        <f>B24</f>
        <v>80</v>
      </c>
      <c r="C140" s="242">
        <f>C24</f>
        <v>40</v>
      </c>
      <c r="D140" s="242">
        <f>D24</f>
        <v>15</v>
      </c>
      <c r="E140" s="242">
        <f>E24</f>
        <v>32</v>
      </c>
      <c r="F140" s="242">
        <f>SUM(F128:F139)</f>
        <v>19.333000000000002</v>
      </c>
      <c r="G140" s="242">
        <f t="shared" ref="G140:AB140" si="72">SUM(G128:G139)</f>
        <v>7.6269999999999998</v>
      </c>
      <c r="H140" s="242">
        <f t="shared" si="72"/>
        <v>6.383</v>
      </c>
      <c r="I140" s="242">
        <f t="shared" si="72"/>
        <v>18.294999999999998</v>
      </c>
      <c r="J140" s="242">
        <f t="shared" si="72"/>
        <v>64.587000000000003</v>
      </c>
      <c r="K140" s="242">
        <f t="shared" si="72"/>
        <v>17.657999999999998</v>
      </c>
      <c r="L140" s="242">
        <f t="shared" si="72"/>
        <v>48.436</v>
      </c>
      <c r="M140" s="242">
        <f t="shared" si="72"/>
        <v>37.423000000000002</v>
      </c>
      <c r="N140" s="242">
        <f t="shared" si="72"/>
        <v>36.377000000000002</v>
      </c>
      <c r="O140" s="242">
        <f t="shared" si="72"/>
        <v>27.184999999999995</v>
      </c>
      <c r="P140" s="242">
        <f t="shared" si="72"/>
        <v>14.760000000000002</v>
      </c>
      <c r="Q140" s="242">
        <f t="shared" si="72"/>
        <v>0.16400000000000001</v>
      </c>
      <c r="R140" s="242">
        <f t="shared" si="72"/>
        <v>2.1959999999999997</v>
      </c>
      <c r="S140" s="242">
        <f t="shared" si="72"/>
        <v>16.940999999999999</v>
      </c>
      <c r="T140" s="242">
        <f t="shared" si="72"/>
        <v>0</v>
      </c>
      <c r="U140" s="242">
        <f t="shared" si="72"/>
        <v>0.04</v>
      </c>
      <c r="V140" s="242">
        <f t="shared" si="72"/>
        <v>5.7289999999999992</v>
      </c>
      <c r="W140" s="242">
        <f t="shared" si="72"/>
        <v>3.742</v>
      </c>
      <c r="X140" s="242">
        <f t="shared" si="72"/>
        <v>6.5679999999999996</v>
      </c>
      <c r="Y140" s="242">
        <f t="shared" si="72"/>
        <v>11.41</v>
      </c>
      <c r="Z140" s="242">
        <f t="shared" si="72"/>
        <v>39.720999999999997</v>
      </c>
      <c r="AA140" s="242">
        <f t="shared" si="72"/>
        <v>10.673999999999999</v>
      </c>
      <c r="AB140" s="242">
        <f t="shared" si="72"/>
        <v>19.275000000000002</v>
      </c>
      <c r="AC140" s="242">
        <f>SUM(AC128:AC139)</f>
        <v>21.319999999999997</v>
      </c>
      <c r="AD140" s="243">
        <f>AD24</f>
        <v>5.4</v>
      </c>
      <c r="AE140" s="243">
        <f>AE24</f>
        <v>26</v>
      </c>
    </row>
    <row r="141" spans="1:31">
      <c r="A141" s="248"/>
      <c r="B141" s="248"/>
      <c r="C141" s="248"/>
      <c r="D141" s="248"/>
      <c r="E141" s="263"/>
      <c r="F141" s="263"/>
      <c r="G141" s="263"/>
      <c r="H141" s="263"/>
      <c r="I141" s="263"/>
      <c r="J141" s="263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  <c r="AE141" s="248"/>
    </row>
    <row r="142" spans="1:31" ht="15.75" thickBot="1">
      <c r="A142" s="235" t="s">
        <v>257</v>
      </c>
    </row>
    <row r="143" spans="1:31" ht="15.75" thickBot="1">
      <c r="A143" s="236"/>
      <c r="B143" s="237" t="str">
        <f>B$2</f>
        <v xml:space="preserve">93/94 </v>
      </c>
      <c r="C143" s="237" t="str">
        <f t="shared" ref="C143:AE143" si="73">C$2</f>
        <v xml:space="preserve">94/95 </v>
      </c>
      <c r="D143" s="237" t="str">
        <f t="shared" si="73"/>
        <v xml:space="preserve">95/96 </v>
      </c>
      <c r="E143" s="237" t="str">
        <f t="shared" si="73"/>
        <v xml:space="preserve">96/97 </v>
      </c>
      <c r="F143" s="237" t="str">
        <f t="shared" si="73"/>
        <v xml:space="preserve">97/98 </v>
      </c>
      <c r="G143" s="237" t="str">
        <f t="shared" si="73"/>
        <v xml:space="preserve">98/99 </v>
      </c>
      <c r="H143" s="237" t="str">
        <f t="shared" si="73"/>
        <v xml:space="preserve">99/00 </v>
      </c>
      <c r="I143" s="237" t="str">
        <f t="shared" si="73"/>
        <v xml:space="preserve">00/01 </v>
      </c>
      <c r="J143" s="237" t="str">
        <f t="shared" si="73"/>
        <v xml:space="preserve">01/02 </v>
      </c>
      <c r="K143" s="237" t="str">
        <f t="shared" si="73"/>
        <v xml:space="preserve">02/03 </v>
      </c>
      <c r="L143" s="237" t="str">
        <f t="shared" si="73"/>
        <v xml:space="preserve">03/04 </v>
      </c>
      <c r="M143" s="237" t="str">
        <f t="shared" si="73"/>
        <v xml:space="preserve">04/05 </v>
      </c>
      <c r="N143" s="237" t="str">
        <f t="shared" si="73"/>
        <v xml:space="preserve">05/06 </v>
      </c>
      <c r="O143" s="237" t="str">
        <f t="shared" si="73"/>
        <v xml:space="preserve">06/07 </v>
      </c>
      <c r="P143" s="237" t="str">
        <f t="shared" si="73"/>
        <v xml:space="preserve">07/08 </v>
      </c>
      <c r="Q143" s="237" t="str">
        <f t="shared" si="73"/>
        <v xml:space="preserve">08/09 </v>
      </c>
      <c r="R143" s="237" t="str">
        <f t="shared" si="73"/>
        <v xml:space="preserve">09/10 </v>
      </c>
      <c r="S143" s="237" t="str">
        <f t="shared" si="73"/>
        <v xml:space="preserve">10/11 </v>
      </c>
      <c r="T143" s="237" t="str">
        <f t="shared" si="73"/>
        <v xml:space="preserve">11/12 </v>
      </c>
      <c r="U143" s="237" t="str">
        <f t="shared" si="73"/>
        <v xml:space="preserve">12/13 </v>
      </c>
      <c r="V143" s="237" t="str">
        <f t="shared" si="73"/>
        <v xml:space="preserve">13/14 </v>
      </c>
      <c r="W143" s="237" t="str">
        <f t="shared" si="73"/>
        <v xml:space="preserve">14/15 </v>
      </c>
      <c r="X143" s="237" t="str">
        <f t="shared" si="73"/>
        <v xml:space="preserve">15/16 </v>
      </c>
      <c r="Y143" s="237" t="str">
        <f t="shared" si="73"/>
        <v xml:space="preserve">16/17 </v>
      </c>
      <c r="Z143" s="237" t="str">
        <f t="shared" si="73"/>
        <v xml:space="preserve">17/18 </v>
      </c>
      <c r="AA143" s="237" t="str">
        <f t="shared" si="73"/>
        <v xml:space="preserve">18/19 </v>
      </c>
      <c r="AB143" s="237" t="str">
        <f t="shared" si="73"/>
        <v xml:space="preserve">19/20 </v>
      </c>
      <c r="AC143" s="237" t="str">
        <f t="shared" si="73"/>
        <v xml:space="preserve">20/21 </v>
      </c>
      <c r="AD143" s="237" t="str">
        <f t="shared" si="73"/>
        <v xml:space="preserve">21/22 </v>
      </c>
      <c r="AE143" s="237" t="str">
        <f t="shared" si="73"/>
        <v xml:space="preserve">22/23 </v>
      </c>
    </row>
    <row r="144" spans="1:31">
      <c r="A144" s="240" t="s">
        <v>239</v>
      </c>
      <c r="B144" s="290">
        <f>(SUM(S155:W155)/SUM(T$156:X$156))*B$156</f>
        <v>0</v>
      </c>
      <c r="C144" s="290">
        <f>(SUM(K155:O155)/SUM(L$156:P$156))*C$156</f>
        <v>0.52347710420439786</v>
      </c>
      <c r="D144" s="290">
        <f>(SUM(L155:P155)/SUM(M$156:Q$156))*D$156</f>
        <v>0.18853422743718945</v>
      </c>
      <c r="E144" s="290">
        <v>3.8239483403521581</v>
      </c>
      <c r="F144" s="146">
        <f>'[2]Russia Sun Meal Exports'!CB$290</f>
        <v>1.4070499999999999</v>
      </c>
      <c r="G144" s="146">
        <f>'[2]Russia Sun Meal Exports'!CN$290</f>
        <v>1.1671</v>
      </c>
      <c r="H144" s="146">
        <f>'[2]Russia Sun Meal Exports'!CZ$290</f>
        <v>3.1563439999999998</v>
      </c>
      <c r="I144" s="146">
        <f>'[2]Russia Sun Meal Exports'!DL$290</f>
        <v>20.404074999999999</v>
      </c>
      <c r="J144" s="146">
        <f>'[2]Russia Sun Meal Exports'!DX$290</f>
        <v>8.3630019999999998</v>
      </c>
      <c r="K144" s="146">
        <f>'[2]Russia Sun Meal Exports'!EJ$290</f>
        <v>13.003080000000001</v>
      </c>
      <c r="L144" s="146">
        <f>'[2]Russia Sun Meal Exports'!EV$290</f>
        <v>24.041129000000002</v>
      </c>
      <c r="M144" s="146">
        <f>'[2]Russia Sun Meal Exports'!FH$290</f>
        <v>21.533964000000001</v>
      </c>
      <c r="N144" s="146">
        <f>'[2]Russia Sun Meal Exports'!FT$290</f>
        <v>52.448</v>
      </c>
      <c r="O144" s="146">
        <f>'[2]Russia Sun Meal Exports'!GF$290</f>
        <v>64.238</v>
      </c>
      <c r="P144" s="146">
        <f>'[2]Russia Sun Meal Exports'!GR$290</f>
        <v>71.164000000000001</v>
      </c>
      <c r="Q144" s="146">
        <f>'[2]Russia Sun Meal Exports'!HD$290</f>
        <v>65.94</v>
      </c>
      <c r="R144" s="146">
        <f>'[2]Russia Sun Meal Exports'!HP$290</f>
        <v>57.337000000000003</v>
      </c>
      <c r="S144" s="146">
        <f>'[2]Russia Sun Meal Exports'!IB$290</f>
        <v>86.320999999999998</v>
      </c>
      <c r="T144" s="146">
        <f>'[2]Russia Sun Meal Exports'!IN$290</f>
        <v>98.774000000000001</v>
      </c>
      <c r="U144" s="146">
        <f>'[2]Russia Sun Meal Exports'!IZ$290</f>
        <v>163.773</v>
      </c>
      <c r="V144" s="146">
        <f>'[2]Russia Sun Meal Exports'!JL$290</f>
        <v>147.87200000000001</v>
      </c>
      <c r="W144" s="146">
        <f>'[2]Russia Sun Meal Exports'!JX$290</f>
        <v>161.44800000000001</v>
      </c>
      <c r="X144" s="146">
        <f>'[2]Russia Sun Meal Exports'!KJ$290</f>
        <v>89.706999999999994</v>
      </c>
      <c r="Y144" s="146">
        <f>'[2]Russia Sun Meal Exports'!KV$290</f>
        <v>118.929</v>
      </c>
      <c r="Z144" s="146">
        <f>'[2]Russia Sun Meal Exports'!LH$290</f>
        <v>93.95</v>
      </c>
      <c r="AA144" s="146">
        <f>'[2]Russia Sun Meal Exports'!LT$290</f>
        <v>103.363</v>
      </c>
      <c r="AB144" s="146">
        <f>'[2]Russia Sun Meal Exports'!MF$290</f>
        <v>160.98699999999999</v>
      </c>
      <c r="AC144" s="146">
        <f>'[2]Russia Sun Meal Exports'!MR$290</f>
        <v>132.589</v>
      </c>
      <c r="AD144" s="146">
        <f>'[2]Russia Sun Meal Exports'!ND$290</f>
        <v>139.196</v>
      </c>
      <c r="AE144" s="253">
        <f>(SUM(Y144:AC144)/SUM(Y$156:AC$156))*AE$156</f>
        <v>31.348279359003673</v>
      </c>
    </row>
    <row r="145" spans="1:31">
      <c r="A145" s="240" t="s">
        <v>240</v>
      </c>
      <c r="B145" s="290">
        <f t="shared" ref="B145:B155" si="74">(SUM(T144:X144)/SUM(T$156:X$156))*B$156</f>
        <v>0</v>
      </c>
      <c r="C145" s="290">
        <f t="shared" ref="C145:C155" si="75">(SUM(L144:P144)/SUM(L$156:P$156))*C$156</f>
        <v>0.89975154203614316</v>
      </c>
      <c r="D145" s="290">
        <f t="shared" ref="D145:D155" si="76">(SUM(M144:Q144)/SUM(M$156:Q$156))*D$156</f>
        <v>0.36160017291499674</v>
      </c>
      <c r="E145" s="290">
        <v>5.4019005768207196</v>
      </c>
      <c r="F145" s="146">
        <f>'[2]Russia Sun Meal Exports'!CC$290</f>
        <v>2.3750499999999999</v>
      </c>
      <c r="G145" s="146">
        <f>'[2]Russia Sun Meal Exports'!CO$290</f>
        <v>1.2919499999999999</v>
      </c>
      <c r="H145" s="146">
        <f>'[2]Russia Sun Meal Exports'!DA$290</f>
        <v>7.1200169999999998</v>
      </c>
      <c r="I145" s="146">
        <f>'[2]Russia Sun Meal Exports'!DM$290</f>
        <v>21.446729000000001</v>
      </c>
      <c r="J145" s="146">
        <f>'[2]Russia Sun Meal Exports'!DY$290</f>
        <v>15.087837</v>
      </c>
      <c r="K145" s="146">
        <f>'[2]Russia Sun Meal Exports'!EK$290</f>
        <v>12.204886999999999</v>
      </c>
      <c r="L145" s="146">
        <f>'[2]Russia Sun Meal Exports'!EW$290</f>
        <v>48.912132</v>
      </c>
      <c r="M145" s="146">
        <f>'[2]Russia Sun Meal Exports'!FI$290</f>
        <v>22.837053999999998</v>
      </c>
      <c r="N145" s="146">
        <f>'[2]Russia Sun Meal Exports'!FU$290</f>
        <v>74.436999999999998</v>
      </c>
      <c r="O145" s="146">
        <f>'[2]Russia Sun Meal Exports'!GG$290</f>
        <v>71.394999999999996</v>
      </c>
      <c r="P145" s="146">
        <f>'[2]Russia Sun Meal Exports'!GS$290</f>
        <v>101.93300000000001</v>
      </c>
      <c r="Q145" s="146">
        <f>'[2]Russia Sun Meal Exports'!HE$290</f>
        <v>65.834999999999994</v>
      </c>
      <c r="R145" s="146">
        <f>'[2]Russia Sun Meal Exports'!HQ$290</f>
        <v>109.039</v>
      </c>
      <c r="S145" s="146">
        <f>'[2]Russia Sun Meal Exports'!IC$290</f>
        <v>73.078999999999994</v>
      </c>
      <c r="T145" s="146">
        <f>'[2]Russia Sun Meal Exports'!IO$290</f>
        <v>140.69200000000001</v>
      </c>
      <c r="U145" s="146">
        <f>'[2]Russia Sun Meal Exports'!JA$290</f>
        <v>152.63999999999999</v>
      </c>
      <c r="V145" s="146">
        <f>'[2]Russia Sun Meal Exports'!JM$290</f>
        <v>191.095</v>
      </c>
      <c r="W145" s="146">
        <f>'[2]Russia Sun Meal Exports'!JY$290</f>
        <v>149.21299999999999</v>
      </c>
      <c r="X145" s="146">
        <f>'[2]Russia Sun Meal Exports'!KK$290</f>
        <v>178.14</v>
      </c>
      <c r="Y145" s="146">
        <f>'[2]Russia Sun Meal Exports'!KW$290</f>
        <v>189.15199999999999</v>
      </c>
      <c r="Z145" s="146">
        <f>'[2]Russia Sun Meal Exports'!LI$290</f>
        <v>151.71899999999999</v>
      </c>
      <c r="AA145" s="146">
        <f>'[2]Russia Sun Meal Exports'!LU$290</f>
        <v>152.095</v>
      </c>
      <c r="AB145" s="146">
        <f>'[2]Russia Sun Meal Exports'!MG$290</f>
        <v>210.79599999999999</v>
      </c>
      <c r="AC145" s="146">
        <f>'[2]Russia Sun Meal Exports'!MS$290</f>
        <v>208.53399999999999</v>
      </c>
      <c r="AD145" s="146">
        <f>'[2]Russia Sun Meal Exports'!NE$290</f>
        <v>155.83799999999999</v>
      </c>
      <c r="AE145" s="253">
        <f t="shared" ref="AE145:AE149" si="77">(SUM(Y145:AC145)/SUM(Y$156:AC$156))*AE$156</f>
        <v>46.897451151165775</v>
      </c>
    </row>
    <row r="146" spans="1:31">
      <c r="A146" s="240" t="s">
        <v>241</v>
      </c>
      <c r="B146" s="290">
        <f t="shared" si="74"/>
        <v>0</v>
      </c>
      <c r="C146" s="290">
        <f t="shared" si="75"/>
        <v>1.2315873064937499</v>
      </c>
      <c r="D146" s="290">
        <f t="shared" si="76"/>
        <v>0.44186381430063992</v>
      </c>
      <c r="E146" s="290">
        <v>7.4099850828271228</v>
      </c>
      <c r="F146" s="146">
        <f>'[2]Russia Sun Meal Exports'!CD$290</f>
        <v>7.2316039999999999</v>
      </c>
      <c r="G146" s="146">
        <f>'[2]Russia Sun Meal Exports'!CP$290</f>
        <v>0.82784999999999997</v>
      </c>
      <c r="H146" s="146">
        <f>'[2]Russia Sun Meal Exports'!DB$290</f>
        <v>16.340135</v>
      </c>
      <c r="I146" s="146">
        <f>'[2]Russia Sun Meal Exports'!DN$290</f>
        <v>38.556660000000001</v>
      </c>
      <c r="J146" s="146">
        <f>'[2]Russia Sun Meal Exports'!DZ$290</f>
        <v>8.5732049999999997</v>
      </c>
      <c r="K146" s="146">
        <f>'[2]Russia Sun Meal Exports'!EL$290</f>
        <v>15.378413999999999</v>
      </c>
      <c r="L146" s="146">
        <f>'[2]Russia Sun Meal Exports'!EX$290</f>
        <v>59.324494000000001</v>
      </c>
      <c r="M146" s="146">
        <f>'[2]Russia Sun Meal Exports'!FJ$290</f>
        <v>38.250999999999998</v>
      </c>
      <c r="N146" s="146">
        <f>'[2]Russia Sun Meal Exports'!FV$290</f>
        <v>95.531000000000006</v>
      </c>
      <c r="O146" s="146">
        <f>'[2]Russia Sun Meal Exports'!GH$290</f>
        <v>109.834</v>
      </c>
      <c r="P146" s="146">
        <f>'[2]Russia Sun Meal Exports'!GT$290</f>
        <v>89.805999999999997</v>
      </c>
      <c r="Q146" s="146">
        <f>'[2]Russia Sun Meal Exports'!HF$290</f>
        <v>94.015000000000001</v>
      </c>
      <c r="R146" s="146">
        <f>'[2]Russia Sun Meal Exports'!HR$290</f>
        <v>135.39099999999999</v>
      </c>
      <c r="S146" s="146">
        <f>'[2]Russia Sun Meal Exports'!ID$290</f>
        <v>79.680999999999997</v>
      </c>
      <c r="T146" s="146">
        <f>'[2]Russia Sun Meal Exports'!IP$290</f>
        <v>157.44200000000001</v>
      </c>
      <c r="U146" s="146">
        <f>'[2]Russia Sun Meal Exports'!JB$290</f>
        <v>162.18299999999999</v>
      </c>
      <c r="V146" s="146">
        <f>'[2]Russia Sun Meal Exports'!JN$290</f>
        <v>177.31100000000001</v>
      </c>
      <c r="W146" s="146">
        <f>'[2]Russia Sun Meal Exports'!JZ$290</f>
        <v>175.87899999999999</v>
      </c>
      <c r="X146" s="146">
        <f>'[2]Russia Sun Meal Exports'!KL$290</f>
        <v>174.65799999999999</v>
      </c>
      <c r="Y146" s="146">
        <f>'[2]Russia Sun Meal Exports'!KX$290</f>
        <v>189.32300000000001</v>
      </c>
      <c r="Z146" s="146">
        <f>'[2]Russia Sun Meal Exports'!LJ$290</f>
        <v>174.36699999999999</v>
      </c>
      <c r="AA146" s="146">
        <f>'[2]Russia Sun Meal Exports'!LV$290</f>
        <v>137.16800000000001</v>
      </c>
      <c r="AB146" s="146">
        <f>'[2]Russia Sun Meal Exports'!MH$290</f>
        <v>243.529</v>
      </c>
      <c r="AC146" s="146">
        <f>'[2]Russia Sun Meal Exports'!MT$290</f>
        <v>175.44</v>
      </c>
      <c r="AD146" s="146">
        <f>'[2]Russia Sun Meal Exports'!NF$290</f>
        <v>188.727</v>
      </c>
      <c r="AE146" s="253">
        <f t="shared" si="77"/>
        <v>47.284589431525916</v>
      </c>
    </row>
    <row r="147" spans="1:31">
      <c r="A147" s="240" t="s">
        <v>231</v>
      </c>
      <c r="B147" s="290">
        <f t="shared" si="74"/>
        <v>0</v>
      </c>
      <c r="C147" s="290">
        <f t="shared" si="75"/>
        <v>1.5138657933651922</v>
      </c>
      <c r="D147" s="290">
        <f t="shared" si="76"/>
        <v>0.56137973195194679</v>
      </c>
      <c r="E147" s="146">
        <f>'[2]Russia Sun Meal Exports'!BS$290</f>
        <v>1.0429999999999999</v>
      </c>
      <c r="F147" s="146">
        <f>'[2]Russia Sun Meal Exports'!CE$290</f>
        <v>2.4582000000000002</v>
      </c>
      <c r="G147" s="146">
        <f>'[2]Russia Sun Meal Exports'!CQ$290</f>
        <v>0.80078000000000005</v>
      </c>
      <c r="H147" s="146">
        <f>'[2]Russia Sun Meal Exports'!DC$290</f>
        <v>9.2861150000000006</v>
      </c>
      <c r="I147" s="146">
        <f>'[2]Russia Sun Meal Exports'!DO$290</f>
        <v>37.391517999999998</v>
      </c>
      <c r="J147" s="146">
        <f>'[2]Russia Sun Meal Exports'!EA$290</f>
        <v>5.3291979999999999</v>
      </c>
      <c r="K147" s="146">
        <f>'[2]Russia Sun Meal Exports'!EM$290</f>
        <v>10.478590000000001</v>
      </c>
      <c r="L147" s="146">
        <f>'[2]Russia Sun Meal Exports'!EY$290</f>
        <v>61.733018999999999</v>
      </c>
      <c r="M147" s="146">
        <f>'[2]Russia Sun Meal Exports'!FK$290</f>
        <v>44.962000000000003</v>
      </c>
      <c r="N147" s="146">
        <f>'[2]Russia Sun Meal Exports'!FW$290</f>
        <v>68.088999999999999</v>
      </c>
      <c r="O147" s="146">
        <f>'[2]Russia Sun Meal Exports'!GI$290</f>
        <v>97.403999999999996</v>
      </c>
      <c r="P147" s="146">
        <f>'[2]Russia Sun Meal Exports'!GU$290</f>
        <v>30.925000000000001</v>
      </c>
      <c r="Q147" s="146">
        <f>'[2]Russia Sun Meal Exports'!HG$290</f>
        <v>82.366</v>
      </c>
      <c r="R147" s="146">
        <f>'[2]Russia Sun Meal Exports'!HS$290</f>
        <v>61.61</v>
      </c>
      <c r="S147" s="146">
        <f>'[2]Russia Sun Meal Exports'!IE$290</f>
        <v>50.874000000000002</v>
      </c>
      <c r="T147" s="146">
        <f>'[2]Russia Sun Meal Exports'!IQ$290</f>
        <v>126.127</v>
      </c>
      <c r="U147" s="146">
        <f>'[2]Russia Sun Meal Exports'!JC$290</f>
        <v>162.86099999999999</v>
      </c>
      <c r="V147" s="146">
        <f>'[2]Russia Sun Meal Exports'!JO$290</f>
        <v>154.78700000000001</v>
      </c>
      <c r="W147" s="146">
        <f>'[2]Russia Sun Meal Exports'!KA$290</f>
        <v>145.74100000000001</v>
      </c>
      <c r="X147" s="146">
        <f>'[2]Russia Sun Meal Exports'!KM$290</f>
        <v>114.28700000000001</v>
      </c>
      <c r="Y147" s="146">
        <f>'[2]Russia Sun Meal Exports'!KY$290</f>
        <v>163.16999999999999</v>
      </c>
      <c r="Z147" s="146">
        <f>'[2]Russia Sun Meal Exports'!LK$290</f>
        <v>170.251</v>
      </c>
      <c r="AA147" s="146">
        <f>'[2]Russia Sun Meal Exports'!LW$290</f>
        <v>190.369</v>
      </c>
      <c r="AB147" s="146">
        <f>'[2]Russia Sun Meal Exports'!MI$290</f>
        <v>203.89699999999999</v>
      </c>
      <c r="AC147" s="146">
        <f>'[2]Russia Sun Meal Exports'!MU$290</f>
        <v>221.68</v>
      </c>
      <c r="AD147" s="146">
        <f>'[2]Russia Sun Meal Exports'!NG$290</f>
        <v>246.91200000000001</v>
      </c>
      <c r="AE147" s="253">
        <f t="shared" si="77"/>
        <v>48.803121472667641</v>
      </c>
    </row>
    <row r="148" spans="1:31">
      <c r="A148" s="240" t="s">
        <v>232</v>
      </c>
      <c r="B148" s="290">
        <f t="shared" si="74"/>
        <v>0</v>
      </c>
      <c r="C148" s="290">
        <f t="shared" si="75"/>
        <v>1.1683679879972493</v>
      </c>
      <c r="D148" s="290">
        <f t="shared" si="76"/>
        <v>0.42519585974193852</v>
      </c>
      <c r="E148" s="146">
        <f>'[2]Russia Sun Meal Exports'!BT$290</f>
        <v>1.6227</v>
      </c>
      <c r="F148" s="146">
        <f>'[2]Russia Sun Meal Exports'!CF$290</f>
        <v>0.49745</v>
      </c>
      <c r="G148" s="146">
        <f>'[2]Russia Sun Meal Exports'!CR$290</f>
        <v>0.51049999999999995</v>
      </c>
      <c r="H148" s="146">
        <f>'[2]Russia Sun Meal Exports'!DD$290</f>
        <v>15.034001999999999</v>
      </c>
      <c r="I148" s="146">
        <f>'[2]Russia Sun Meal Exports'!DP$290</f>
        <v>22.002023000000001</v>
      </c>
      <c r="J148" s="146">
        <f>'[2]Russia Sun Meal Exports'!EB$290</f>
        <v>9.4256329999999995</v>
      </c>
      <c r="K148" s="146">
        <f>'[2]Russia Sun Meal Exports'!EN$290</f>
        <v>11.20664</v>
      </c>
      <c r="L148" s="146">
        <f>'[2]Russia Sun Meal Exports'!EZ$290</f>
        <v>36.629102000000003</v>
      </c>
      <c r="M148" s="146">
        <f>'[2]Russia Sun Meal Exports'!FL$290</f>
        <v>39.872</v>
      </c>
      <c r="N148" s="146">
        <f>'[2]Russia Sun Meal Exports'!FX$290</f>
        <v>17.616</v>
      </c>
      <c r="O148" s="146">
        <f>'[2]Russia Sun Meal Exports'!GJ$290</f>
        <v>110.307</v>
      </c>
      <c r="P148" s="146">
        <f>'[2]Russia Sun Meal Exports'!GV$290</f>
        <v>46.741</v>
      </c>
      <c r="Q148" s="146">
        <f>'[2]Russia Sun Meal Exports'!HH$290</f>
        <v>80.828999999999994</v>
      </c>
      <c r="R148" s="146">
        <f>'[2]Russia Sun Meal Exports'!HT$290</f>
        <v>59.485999999999997</v>
      </c>
      <c r="S148" s="146">
        <f>'[2]Russia Sun Meal Exports'!IF$290</f>
        <v>15.446999999999999</v>
      </c>
      <c r="T148" s="146">
        <f>'[2]Russia Sun Meal Exports'!IR$290</f>
        <v>49.249000000000002</v>
      </c>
      <c r="U148" s="146">
        <f>'[2]Russia Sun Meal Exports'!JD$290</f>
        <v>88.474000000000004</v>
      </c>
      <c r="V148" s="146">
        <f>'[2]Russia Sun Meal Exports'!JP$290</f>
        <v>159.66200000000001</v>
      </c>
      <c r="W148" s="146">
        <f>'[2]Russia Sun Meal Exports'!KB$290</f>
        <v>213.22399999999999</v>
      </c>
      <c r="X148" s="146">
        <f>'[2]Russia Sun Meal Exports'!KN$290</f>
        <v>172.97900000000001</v>
      </c>
      <c r="Y148" s="146">
        <f>'[2]Russia Sun Meal Exports'!KZ$290</f>
        <v>108.127</v>
      </c>
      <c r="Z148" s="146">
        <f>'[2]Russia Sun Meal Exports'!LL$290</f>
        <v>130.58199999999999</v>
      </c>
      <c r="AA148" s="146">
        <f>'[2]Russia Sun Meal Exports'!LX$290</f>
        <v>170.23099999999999</v>
      </c>
      <c r="AB148" s="146">
        <f>'[2]Russia Sun Meal Exports'!MJ$290</f>
        <v>178.809</v>
      </c>
      <c r="AC148" s="146">
        <f>'[2]Russia Sun Meal Exports'!MV$290</f>
        <v>171.05</v>
      </c>
      <c r="AD148" s="253">
        <f>(SUM(X148:AB148)/SUM(X$156:AB$156))*AD$156+10</f>
        <v>166.43504904480869</v>
      </c>
      <c r="AE148" s="253">
        <f t="shared" si="77"/>
        <v>39.006790598723924</v>
      </c>
    </row>
    <row r="149" spans="1:31">
      <c r="A149" s="240" t="s">
        <v>233</v>
      </c>
      <c r="B149" s="290">
        <f t="shared" si="74"/>
        <v>0</v>
      </c>
      <c r="C149" s="290">
        <f t="shared" si="75"/>
        <v>0.96813151030924149</v>
      </c>
      <c r="D149" s="290">
        <f t="shared" si="76"/>
        <v>0.3879213182948289</v>
      </c>
      <c r="E149" s="146">
        <f>'[2]Russia Sun Meal Exports'!BU$290</f>
        <v>1.2416670000000001</v>
      </c>
      <c r="F149" s="146">
        <f>'[2]Russia Sun Meal Exports'!CG$290</f>
        <v>0.51685000000000003</v>
      </c>
      <c r="G149" s="146">
        <f>'[2]Russia Sun Meal Exports'!CS$290</f>
        <v>5.0000000000000001E-3</v>
      </c>
      <c r="H149" s="146">
        <f>'[2]Russia Sun Meal Exports'!DE$290</f>
        <v>17.769786</v>
      </c>
      <c r="I149" s="146">
        <f>'[2]Russia Sun Meal Exports'!DQ$290</f>
        <v>20.325873999999999</v>
      </c>
      <c r="J149" s="146">
        <f>'[2]Russia Sun Meal Exports'!EC$290</f>
        <v>0.36220000000000002</v>
      </c>
      <c r="K149" s="146">
        <f>'[2]Russia Sun Meal Exports'!EO$290</f>
        <v>16.827014999999999</v>
      </c>
      <c r="L149" s="146">
        <f>'[2]Russia Sun Meal Exports'!FA$290</f>
        <v>60.340252999999997</v>
      </c>
      <c r="M149" s="146">
        <f>'[2]Russia Sun Meal Exports'!FM$290</f>
        <v>59.987000000000002</v>
      </c>
      <c r="N149" s="146">
        <f>'[2]Russia Sun Meal Exports'!FY$290</f>
        <v>74.959000000000003</v>
      </c>
      <c r="O149" s="146">
        <f>'[2]Russia Sun Meal Exports'!GK$290</f>
        <v>110.902</v>
      </c>
      <c r="P149" s="146">
        <f>'[2]Russia Sun Meal Exports'!GW$290</f>
        <v>97.566000000000003</v>
      </c>
      <c r="Q149" s="146">
        <f>'[2]Russia Sun Meal Exports'!HI$290</f>
        <v>98.988</v>
      </c>
      <c r="R149" s="146">
        <f>'[2]Russia Sun Meal Exports'!HU$290</f>
        <v>55.165999999999997</v>
      </c>
      <c r="S149" s="146">
        <f>'[2]Russia Sun Meal Exports'!IG$290</f>
        <v>34.482999999999997</v>
      </c>
      <c r="T149" s="146">
        <f>'[2]Russia Sun Meal Exports'!IS$290</f>
        <v>78.67</v>
      </c>
      <c r="U149" s="146">
        <f>'[2]Russia Sun Meal Exports'!JE$290</f>
        <v>104.71599999999999</v>
      </c>
      <c r="V149" s="146">
        <f>'[2]Russia Sun Meal Exports'!JQ$290</f>
        <v>235.995</v>
      </c>
      <c r="W149" s="146">
        <f>'[2]Russia Sun Meal Exports'!KC$290</f>
        <v>165.29499999999999</v>
      </c>
      <c r="X149" s="146">
        <f>'[2]Russia Sun Meal Exports'!KO$290</f>
        <v>124.018</v>
      </c>
      <c r="Y149" s="146">
        <f>'[2]Russia Sun Meal Exports'!LA$290</f>
        <v>143.56899999999999</v>
      </c>
      <c r="Z149" s="146">
        <f>'[2]Russia Sun Meal Exports'!LM$290</f>
        <v>133.55699999999999</v>
      </c>
      <c r="AA149" s="146">
        <f>'[2]Russia Sun Meal Exports'!LY$290</f>
        <v>161.958</v>
      </c>
      <c r="AB149" s="146">
        <f>'[2]Russia Sun Meal Exports'!MK$290</f>
        <v>196.636</v>
      </c>
      <c r="AC149" s="146">
        <f>'[2]Russia Sun Meal Exports'!MW$290</f>
        <v>194.649</v>
      </c>
      <c r="AD149" s="253">
        <f>(SUM(X149:AB149)/SUM(X$156:AB$156))*AD$156*0</f>
        <v>0</v>
      </c>
      <c r="AE149" s="253">
        <f t="shared" si="77"/>
        <v>42.685915114110308</v>
      </c>
    </row>
    <row r="150" spans="1:31">
      <c r="A150" s="240" t="s">
        <v>234</v>
      </c>
      <c r="B150" s="290">
        <f t="shared" si="74"/>
        <v>0</v>
      </c>
      <c r="C150" s="290">
        <f t="shared" si="75"/>
        <v>1.5562958852088837</v>
      </c>
      <c r="D150" s="290">
        <f t="shared" si="76"/>
        <v>0.58103420194088296</v>
      </c>
      <c r="E150" s="146">
        <f>'[2]Russia Sun Meal Exports'!BV$290</f>
        <v>0.45679900000000001</v>
      </c>
      <c r="F150" s="146">
        <f>'[2]Russia Sun Meal Exports'!CH$290</f>
        <v>0</v>
      </c>
      <c r="G150" s="146">
        <f>'[2]Russia Sun Meal Exports'!CT$290</f>
        <v>0</v>
      </c>
      <c r="H150" s="146">
        <f>'[2]Russia Sun Meal Exports'!DF$290</f>
        <v>14.459213</v>
      </c>
      <c r="I150" s="146">
        <f>'[2]Russia Sun Meal Exports'!DR$290</f>
        <v>11.456357000000001</v>
      </c>
      <c r="J150" s="146">
        <f>'[2]Russia Sun Meal Exports'!ED$290</f>
        <v>10.844295000000001</v>
      </c>
      <c r="K150" s="146">
        <f>'[2]Russia Sun Meal Exports'!EP$290</f>
        <v>17.978721</v>
      </c>
      <c r="L150" s="146">
        <f>'[2]Russia Sun Meal Exports'!FB$290</f>
        <v>45.013894000000001</v>
      </c>
      <c r="M150" s="146">
        <f>'[2]Russia Sun Meal Exports'!FN$290</f>
        <v>39.68</v>
      </c>
      <c r="N150" s="146">
        <f>'[2]Russia Sun Meal Exports'!FZ$290</f>
        <v>129.988</v>
      </c>
      <c r="O150" s="146">
        <f>'[2]Russia Sun Meal Exports'!GL$290</f>
        <v>102.556</v>
      </c>
      <c r="P150" s="146">
        <f>'[2]Russia Sun Meal Exports'!GX$290</f>
        <v>56.191000000000003</v>
      </c>
      <c r="Q150" s="146">
        <f>'[2]Russia Sun Meal Exports'!HJ$290</f>
        <v>117.676</v>
      </c>
      <c r="R150" s="146">
        <f>'[2]Russia Sun Meal Exports'!HV$290</f>
        <v>22.321000000000002</v>
      </c>
      <c r="S150" s="146">
        <f>'[2]Russia Sun Meal Exports'!IH$290</f>
        <v>38.929000000000002</v>
      </c>
      <c r="T150" s="146">
        <f>'[2]Russia Sun Meal Exports'!IT$290</f>
        <v>242.792</v>
      </c>
      <c r="U150" s="146">
        <f>'[2]Russia Sun Meal Exports'!JF$290</f>
        <v>133.154</v>
      </c>
      <c r="V150" s="146">
        <f>'[2]Russia Sun Meal Exports'!JR$290</f>
        <v>197.06</v>
      </c>
      <c r="W150" s="146">
        <f>'[2]Russia Sun Meal Exports'!KD$290</f>
        <v>133.41800000000001</v>
      </c>
      <c r="X150" s="146">
        <f>'[2]Russia Sun Meal Exports'!KP$290</f>
        <v>80.796000000000006</v>
      </c>
      <c r="Y150" s="146">
        <f>'[2]Russia Sun Meal Exports'!LB$290</f>
        <v>111.239</v>
      </c>
      <c r="Z150" s="146">
        <f>'[2]Russia Sun Meal Exports'!LN$290</f>
        <v>73.415000000000006</v>
      </c>
      <c r="AA150" s="146">
        <f>'[2]Russia Sun Meal Exports'!LZ$290</f>
        <v>142.93600000000001</v>
      </c>
      <c r="AB150" s="146">
        <f>'[2]Russia Sun Meal Exports'!ML$290</f>
        <v>255.75200000000001</v>
      </c>
      <c r="AC150" s="146">
        <f>'[2]Russia Sun Meal Exports'!MX$290</f>
        <v>173.90700000000001</v>
      </c>
      <c r="AD150" s="253">
        <f t="shared" ref="AD150:AD154" si="78">(SUM(X150:AB150)/SUM(X$156:AB$156))*AD$156*0</f>
        <v>0</v>
      </c>
      <c r="AE150" s="253">
        <f>(SUM(Y150:AC150)/SUM(Y$156:AC$156))*AE$156</f>
        <v>38.9271113616295</v>
      </c>
    </row>
    <row r="151" spans="1:31">
      <c r="A151" s="240" t="s">
        <v>46</v>
      </c>
      <c r="B151" s="290">
        <f t="shared" si="74"/>
        <v>0</v>
      </c>
      <c r="C151" s="290">
        <f t="shared" si="75"/>
        <v>1.4394049024427356</v>
      </c>
      <c r="D151" s="290">
        <f t="shared" si="76"/>
        <v>0.5858791962468759</v>
      </c>
      <c r="E151" s="146">
        <f>'[2]Russia Sun Meal Exports'!BW$290</f>
        <v>0</v>
      </c>
      <c r="F151" s="146">
        <f>'[2]Russia Sun Meal Exports'!CI$290</f>
        <v>0</v>
      </c>
      <c r="G151" s="146">
        <f>'[2]Russia Sun Meal Exports'!CU$290</f>
        <v>0</v>
      </c>
      <c r="H151" s="146">
        <f>'[2]Russia Sun Meal Exports'!DG$290</f>
        <v>10.034051</v>
      </c>
      <c r="I151" s="146">
        <f>'[2]Russia Sun Meal Exports'!DS$290</f>
        <v>8.113899</v>
      </c>
      <c r="J151" s="146">
        <f>'[2]Russia Sun Meal Exports'!EE$290</f>
        <v>14.852916</v>
      </c>
      <c r="K151" s="146">
        <f>'[2]Russia Sun Meal Exports'!EQ$290</f>
        <v>19.682908000000001</v>
      </c>
      <c r="L151" s="146">
        <f>'[2]Russia Sun Meal Exports'!FC$290</f>
        <v>44.901370999999997</v>
      </c>
      <c r="M151" s="146">
        <f>'[2]Russia Sun Meal Exports'!FO$290</f>
        <v>42.317</v>
      </c>
      <c r="N151" s="146">
        <f>'[2]Russia Sun Meal Exports'!GA$290</f>
        <v>98.912000000000006</v>
      </c>
      <c r="O151" s="146">
        <f>'[2]Russia Sun Meal Exports'!GM$290</f>
        <v>96.281999999999996</v>
      </c>
      <c r="P151" s="146">
        <f>'[2]Russia Sun Meal Exports'!GY$290</f>
        <v>46.829000000000001</v>
      </c>
      <c r="Q151" s="146">
        <f>'[2]Russia Sun Meal Exports'!HK$290</f>
        <v>124.91200000000001</v>
      </c>
      <c r="R151" s="146">
        <f>'[2]Russia Sun Meal Exports'!HW$290</f>
        <v>42.777000000000001</v>
      </c>
      <c r="S151" s="146">
        <f>'[2]Russia Sun Meal Exports'!II$290</f>
        <v>23.821000000000002</v>
      </c>
      <c r="T151" s="146">
        <f>'[2]Russia Sun Meal Exports'!IU$290</f>
        <v>314.25700000000001</v>
      </c>
      <c r="U151" s="146">
        <f>'[2]Russia Sun Meal Exports'!JG$290</f>
        <v>146.44499999999999</v>
      </c>
      <c r="V151" s="146">
        <f>'[2]Russia Sun Meal Exports'!JS$290</f>
        <v>145.774</v>
      </c>
      <c r="W151" s="146">
        <f>'[2]Russia Sun Meal Exports'!KE$290</f>
        <v>75.783000000000001</v>
      </c>
      <c r="X151" s="146">
        <f>'[2]Russia Sun Meal Exports'!KQ$290</f>
        <v>69.603999999999999</v>
      </c>
      <c r="Y151" s="146">
        <f>'[2]Russia Sun Meal Exports'!LC$290</f>
        <v>91.816999999999993</v>
      </c>
      <c r="Z151" s="146">
        <f>'[2]Russia Sun Meal Exports'!LO$290</f>
        <v>85.635999999999996</v>
      </c>
      <c r="AA151" s="146">
        <f>'[2]Russia Sun Meal Exports'!MA$290</f>
        <v>138.447</v>
      </c>
      <c r="AB151" s="146">
        <f>'[2]Russia Sun Meal Exports'!MM$290</f>
        <v>146.81100000000001</v>
      </c>
      <c r="AC151" s="146">
        <f>'[2]Russia Sun Meal Exports'!MY$290</f>
        <v>124.244</v>
      </c>
      <c r="AD151" s="253">
        <f t="shared" si="78"/>
        <v>0</v>
      </c>
      <c r="AE151" s="253">
        <f t="shared" ref="AE151:AE154" si="79">(SUM(Y151:AC151)/SUM(Y$156:AC$156))*AE$156</f>
        <v>30.172984908881013</v>
      </c>
    </row>
    <row r="152" spans="1:31">
      <c r="A152" s="240" t="s">
        <v>235</v>
      </c>
      <c r="B152" s="290">
        <f t="shared" si="74"/>
        <v>0</v>
      </c>
      <c r="C152" s="290">
        <f t="shared" si="75"/>
        <v>1.2690813461916193</v>
      </c>
      <c r="D152" s="290">
        <f t="shared" si="76"/>
        <v>0.53749623467504726</v>
      </c>
      <c r="E152" s="146">
        <f>'[2]Russia Sun Meal Exports'!BX$290</f>
        <v>0</v>
      </c>
      <c r="F152" s="146">
        <f>'[2]Russia Sun Meal Exports'!CJ$290</f>
        <v>0.12386</v>
      </c>
      <c r="G152" s="146">
        <f>'[2]Russia Sun Meal Exports'!CV$290</f>
        <v>0</v>
      </c>
      <c r="H152" s="146">
        <f>'[2]Russia Sun Meal Exports'!DH$290</f>
        <v>14.567028000000001</v>
      </c>
      <c r="I152" s="146">
        <f>'[2]Russia Sun Meal Exports'!DT$290</f>
        <v>8.0903960000000001</v>
      </c>
      <c r="J152" s="146">
        <f>'[2]Russia Sun Meal Exports'!EF$290</f>
        <v>3.9322590000000002</v>
      </c>
      <c r="K152" s="146">
        <f>'[2]Russia Sun Meal Exports'!ER$290</f>
        <v>15.264263</v>
      </c>
      <c r="L152" s="146">
        <f>'[2]Russia Sun Meal Exports'!FD$290</f>
        <v>54.471653000000003</v>
      </c>
      <c r="M152" s="146">
        <f>'[2]Russia Sun Meal Exports'!FP$290</f>
        <v>55.722999999999999</v>
      </c>
      <c r="N152" s="146">
        <f>'[2]Russia Sun Meal Exports'!GB$290</f>
        <v>88.540999999999997</v>
      </c>
      <c r="O152" s="146">
        <f>'[2]Russia Sun Meal Exports'!GN$290</f>
        <v>38.716000000000001</v>
      </c>
      <c r="P152" s="146">
        <f>'[2]Russia Sun Meal Exports'!GZ$290</f>
        <v>50.904000000000003</v>
      </c>
      <c r="Q152" s="146">
        <f>'[2]Russia Sun Meal Exports'!HL$290</f>
        <v>119.871</v>
      </c>
      <c r="R152" s="146">
        <f>'[2]Russia Sun Meal Exports'!HX$290</f>
        <v>46.536000000000001</v>
      </c>
      <c r="S152" s="146">
        <f>'[2]Russia Sun Meal Exports'!IJ$290</f>
        <v>44.098999999999997</v>
      </c>
      <c r="T152" s="146">
        <f>'[2]Russia Sun Meal Exports'!IV$290</f>
        <v>212.12700000000001</v>
      </c>
      <c r="U152" s="146">
        <f>'[2]Russia Sun Meal Exports'!JH$290</f>
        <v>87.296000000000006</v>
      </c>
      <c r="V152" s="146">
        <f>'[2]Russia Sun Meal Exports'!JT$290</f>
        <v>115.36199999999999</v>
      </c>
      <c r="W152" s="146">
        <f>'[2]Russia Sun Meal Exports'!KF$290</f>
        <v>33.826000000000001</v>
      </c>
      <c r="X152" s="146">
        <f>'[2]Russia Sun Meal Exports'!KR$290</f>
        <v>101.508</v>
      </c>
      <c r="Y152" s="146">
        <f>'[2]Russia Sun Meal Exports'!LD$290</f>
        <v>37.463000000000001</v>
      </c>
      <c r="Z152" s="146">
        <f>'[2]Russia Sun Meal Exports'!LP$290</f>
        <v>60.673000000000002</v>
      </c>
      <c r="AA152" s="146">
        <f>'[2]Russia Sun Meal Exports'!MB$290</f>
        <v>157.30500000000001</v>
      </c>
      <c r="AB152" s="146">
        <f>'[2]Russia Sun Meal Exports'!MN$290</f>
        <v>187.96199999999999</v>
      </c>
      <c r="AC152" s="146">
        <f>'[2]Russia Sun Meal Exports'!MZ$290</f>
        <v>143.77000000000001</v>
      </c>
      <c r="AD152" s="253">
        <f t="shared" si="78"/>
        <v>0</v>
      </c>
      <c r="AE152" s="253">
        <f t="shared" si="79"/>
        <v>30.184191408033652</v>
      </c>
    </row>
    <row r="153" spans="1:31">
      <c r="A153" s="240" t="s">
        <v>236</v>
      </c>
      <c r="B153" s="290">
        <f t="shared" si="74"/>
        <v>0</v>
      </c>
      <c r="C153" s="290">
        <f t="shared" si="75"/>
        <v>1.1114848027139439</v>
      </c>
      <c r="D153" s="290">
        <f t="shared" si="76"/>
        <v>0.46460855535824214</v>
      </c>
      <c r="E153" s="146">
        <f>'[2]Russia Sun Meal Exports'!BY$290</f>
        <v>0</v>
      </c>
      <c r="F153" s="146">
        <f>'[2]Russia Sun Meal Exports'!CK$290</f>
        <v>0</v>
      </c>
      <c r="G153" s="146">
        <f>'[2]Russia Sun Meal Exports'!CW$290</f>
        <v>0</v>
      </c>
      <c r="H153" s="146">
        <f>'[2]Russia Sun Meal Exports'!DI$290</f>
        <v>15.144645000000001</v>
      </c>
      <c r="I153" s="146">
        <f>'[2]Russia Sun Meal Exports'!DU$290</f>
        <v>8.1613779999999991</v>
      </c>
      <c r="J153" s="146">
        <f>'[2]Russia Sun Meal Exports'!EG$290</f>
        <v>5.7277310000000003</v>
      </c>
      <c r="K153" s="146">
        <f>'[2]Russia Sun Meal Exports'!ES$290</f>
        <v>10.605626000000001</v>
      </c>
      <c r="L153" s="146">
        <f>'[2]Russia Sun Meal Exports'!FE$290</f>
        <v>40.26587</v>
      </c>
      <c r="M153" s="146">
        <f>'[2]Russia Sun Meal Exports'!FQ$290</f>
        <v>45.317999999999998</v>
      </c>
      <c r="N153" s="146">
        <f>'[2]Russia Sun Meal Exports'!GC$290</f>
        <v>59.146999999999998</v>
      </c>
      <c r="O153" s="146">
        <f>'[2]Russia Sun Meal Exports'!GO$290</f>
        <v>23.875</v>
      </c>
      <c r="P153" s="146">
        <f>'[2]Russia Sun Meal Exports'!HA$290</f>
        <v>22.164000000000001</v>
      </c>
      <c r="Q153" s="146">
        <f>'[2]Russia Sun Meal Exports'!HM$290</f>
        <v>46.988</v>
      </c>
      <c r="R153" s="146">
        <f>'[2]Russia Sun Meal Exports'!HY$290</f>
        <v>30.776</v>
      </c>
      <c r="S153" s="146">
        <f>'[2]Russia Sun Meal Exports'!IK$290</f>
        <v>56.875</v>
      </c>
      <c r="T153" s="146">
        <f>'[2]Russia Sun Meal Exports'!IW$290</f>
        <v>136.99100000000001</v>
      </c>
      <c r="U153" s="146">
        <f>'[2]Russia Sun Meal Exports'!JI$290</f>
        <v>51.429000000000002</v>
      </c>
      <c r="V153" s="146">
        <f>'[2]Russia Sun Meal Exports'!JU$290</f>
        <v>74.14</v>
      </c>
      <c r="W153" s="146">
        <f>'[2]Russia Sun Meal Exports'!KG$290</f>
        <v>7.4</v>
      </c>
      <c r="X153" s="146">
        <f>'[2]Russia Sun Meal Exports'!KS$290</f>
        <v>40.340000000000003</v>
      </c>
      <c r="Y153" s="146">
        <f>'[2]Russia Sun Meal Exports'!LE$290</f>
        <v>30.282</v>
      </c>
      <c r="Z153" s="146">
        <f>'[2]Russia Sun Meal Exports'!LQ$290</f>
        <v>36.581000000000003</v>
      </c>
      <c r="AA153" s="146">
        <f>'[2]Russia Sun Meal Exports'!MC$290</f>
        <v>115.443</v>
      </c>
      <c r="AB153" s="146">
        <f>'[2]Russia Sun Meal Exports'!MO$290</f>
        <v>124.69</v>
      </c>
      <c r="AC153" s="146">
        <f>'[2]Russia Sun Meal Exports'!NA$290</f>
        <v>87.367000000000004</v>
      </c>
      <c r="AD153" s="253">
        <f t="shared" si="78"/>
        <v>0</v>
      </c>
      <c r="AE153" s="253">
        <f t="shared" si="79"/>
        <v>20.272608373079777</v>
      </c>
    </row>
    <row r="154" spans="1:31">
      <c r="A154" s="240" t="s">
        <v>237</v>
      </c>
      <c r="B154" s="290">
        <f t="shared" si="74"/>
        <v>0</v>
      </c>
      <c r="C154" s="290">
        <f t="shared" si="75"/>
        <v>0.7353343314573918</v>
      </c>
      <c r="D154" s="290">
        <f t="shared" si="76"/>
        <v>0.25937858917841439</v>
      </c>
      <c r="E154" s="146">
        <f>'[2]Russia Sun Meal Exports'!BZ$290</f>
        <v>0</v>
      </c>
      <c r="F154" s="146">
        <f>'[2]Russia Sun Meal Exports'!CL$290</f>
        <v>0</v>
      </c>
      <c r="G154" s="146">
        <f>'[2]Russia Sun Meal Exports'!CX$290</f>
        <v>0</v>
      </c>
      <c r="H154" s="146">
        <f>'[2]Russia Sun Meal Exports'!DJ$290</f>
        <v>1.5273540000000001</v>
      </c>
      <c r="I154" s="146">
        <f>'[2]Russia Sun Meal Exports'!DV$290</f>
        <v>0.13600000000000001</v>
      </c>
      <c r="J154" s="146">
        <f>'[2]Russia Sun Meal Exports'!EH$290</f>
        <v>8.6793890000000005</v>
      </c>
      <c r="K154" s="146">
        <f>'[2]Russia Sun Meal Exports'!ET$290</f>
        <v>14.792192999999999</v>
      </c>
      <c r="L154" s="146">
        <f>'[2]Russia Sun Meal Exports'!FF$290</f>
        <v>36.247123999999999</v>
      </c>
      <c r="M154" s="146">
        <f>'[2]Russia Sun Meal Exports'!FR$290</f>
        <v>43.073</v>
      </c>
      <c r="N154" s="146">
        <f>'[2]Russia Sun Meal Exports'!GD$290</f>
        <v>31.073</v>
      </c>
      <c r="O154" s="146">
        <f>'[2]Russia Sun Meal Exports'!GP$290</f>
        <v>21.460999999999999</v>
      </c>
      <c r="P154" s="146">
        <f>'[2]Russia Sun Meal Exports'!HB$290</f>
        <v>11.708</v>
      </c>
      <c r="Q154" s="146">
        <f>'[2]Russia Sun Meal Exports'!HN$290</f>
        <v>48.161000000000001</v>
      </c>
      <c r="R154" s="146">
        <f>'[2]Russia Sun Meal Exports'!HZ$290</f>
        <v>13.59</v>
      </c>
      <c r="S154" s="146">
        <f>'[2]Russia Sun Meal Exports'!IL$290</f>
        <v>38.79</v>
      </c>
      <c r="T154" s="146">
        <f>'[2]Russia Sun Meal Exports'!IX$290</f>
        <v>93.697999999999993</v>
      </c>
      <c r="U154" s="146">
        <f>'[2]Russia Sun Meal Exports'!JJ$290</f>
        <v>47.79</v>
      </c>
      <c r="V154" s="146">
        <f>'[2]Russia Sun Meal Exports'!JV$290</f>
        <v>49.238999999999997</v>
      </c>
      <c r="W154" s="146">
        <f>'[2]Russia Sun Meal Exports'!KH$290</f>
        <v>7.2590000000000003</v>
      </c>
      <c r="X154" s="146">
        <f>'[2]Russia Sun Meal Exports'!KT$290</f>
        <v>35.774999999999999</v>
      </c>
      <c r="Y154" s="146">
        <f>'[2]Russia Sun Meal Exports'!LF$290</f>
        <v>40.542999999999999</v>
      </c>
      <c r="Z154" s="146">
        <f>'[2]Russia Sun Meal Exports'!LR$290</f>
        <v>47.435000000000002</v>
      </c>
      <c r="AA154" s="146">
        <f>'[2]Russia Sun Meal Exports'!MD$290</f>
        <v>65.599999999999994</v>
      </c>
      <c r="AB154" s="146">
        <f>'[2]Russia Sun Meal Exports'!MP$290</f>
        <v>57.38</v>
      </c>
      <c r="AC154" s="146">
        <f>'[2]Russia Sun Meal Exports'!NB$290</f>
        <v>84.087000000000003</v>
      </c>
      <c r="AD154" s="253">
        <f t="shared" si="78"/>
        <v>0</v>
      </c>
      <c r="AE154" s="253">
        <f t="shared" si="79"/>
        <v>15.167071295824719</v>
      </c>
    </row>
    <row r="155" spans="1:31">
      <c r="A155" s="240" t="s">
        <v>238</v>
      </c>
      <c r="B155" s="290">
        <f t="shared" si="74"/>
        <v>0</v>
      </c>
      <c r="C155" s="290">
        <f t="shared" si="75"/>
        <v>0.55336913776868024</v>
      </c>
      <c r="D155" s="290">
        <f t="shared" si="76"/>
        <v>0.20419634988304916</v>
      </c>
      <c r="E155" s="146">
        <f>'[2]Russia Sun Meal Exports'!CA$290</f>
        <v>0</v>
      </c>
      <c r="F155" s="146">
        <f>'[2]Russia Sun Meal Exports'!CM$290</f>
        <v>0</v>
      </c>
      <c r="G155" s="146">
        <f>'[2]Russia Sun Meal Exports'!CY$290</f>
        <v>4.9419839999999997</v>
      </c>
      <c r="H155" s="146">
        <f>'[2]Russia Sun Meal Exports'!DK$290</f>
        <v>12.422426</v>
      </c>
      <c r="I155" s="146">
        <f>'[2]Russia Sun Meal Exports'!DW$290</f>
        <v>7.0560559999999999</v>
      </c>
      <c r="J155" s="146">
        <f>'[2]Russia Sun Meal Exports'!EI$290</f>
        <v>5.5636549999999998</v>
      </c>
      <c r="K155" s="146">
        <f>'[2]Russia Sun Meal Exports'!EU$290</f>
        <v>11.477358000000001</v>
      </c>
      <c r="L155" s="146">
        <f>'[2]Russia Sun Meal Exports'!FG$290</f>
        <v>25.433790999999999</v>
      </c>
      <c r="M155" s="146">
        <f>'[2]Russia Sun Meal Exports'!FS$290</f>
        <v>40.725000000000001</v>
      </c>
      <c r="N155" s="146">
        <f>'[2]Russia Sun Meal Exports'!GE$290</f>
        <v>18.602</v>
      </c>
      <c r="O155" s="146">
        <f>'[2]Russia Sun Meal Exports'!GQ$290</f>
        <v>39.569000000000003</v>
      </c>
      <c r="P155" s="146">
        <f>'[2]Russia Sun Meal Exports'!HC$290</f>
        <v>19.221</v>
      </c>
      <c r="Q155" s="146">
        <f>'[2]Russia Sun Meal Exports'!HO$290</f>
        <v>26.128</v>
      </c>
      <c r="R155" s="146">
        <f>'[2]Russia Sun Meal Exports'!IA$290</f>
        <v>40.473999999999997</v>
      </c>
      <c r="S155" s="146">
        <f>'[2]Russia Sun Meal Exports'!IM$290</f>
        <v>30.161999999999999</v>
      </c>
      <c r="T155" s="146">
        <f>'[2]Russia Sun Meal Exports'!IY$290</f>
        <v>68.293000000000006</v>
      </c>
      <c r="U155" s="146">
        <f>'[2]Russia Sun Meal Exports'!JK$290</f>
        <v>79.236999999999995</v>
      </c>
      <c r="V155" s="146">
        <f>'[2]Russia Sun Meal Exports'!JW$290</f>
        <v>64.146000000000001</v>
      </c>
      <c r="W155" s="146">
        <f>'[2]Russia Sun Meal Exports'!KI$290</f>
        <v>29.096</v>
      </c>
      <c r="X155" s="146">
        <f>'[2]Russia Sun Meal Exports'!KU$290</f>
        <v>75.597999999999999</v>
      </c>
      <c r="Y155" s="146">
        <f>'[2]Russia Sun Meal Exports'!LG$290</f>
        <v>37.082000000000001</v>
      </c>
      <c r="Z155" s="146">
        <f>'[2]Russia Sun Meal Exports'!LS$290</f>
        <v>28.908000000000001</v>
      </c>
      <c r="AA155" s="146">
        <f>'[2]Russia Sun Meal Exports'!ME$290</f>
        <v>60.551000000000002</v>
      </c>
      <c r="AB155" s="146">
        <f>'[2]Russia Sun Meal Exports'!MQ$290</f>
        <v>26.454999999999998</v>
      </c>
      <c r="AC155" s="146">
        <f>'[2]Russia Sun Meal Exports'!NC$290</f>
        <v>26.942</v>
      </c>
      <c r="AD155" s="253">
        <f>AD156-SUM(AD144:AD154)</f>
        <v>602.89195095519131</v>
      </c>
      <c r="AE155" s="253">
        <f>AE156-SUM(AE144:AE154)</f>
        <v>9.2498855253541592</v>
      </c>
    </row>
    <row r="156" spans="1:31" ht="15.75" thickBot="1">
      <c r="A156" s="240" t="s">
        <v>242</v>
      </c>
      <c r="B156" s="146">
        <f>B27</f>
        <v>0</v>
      </c>
      <c r="C156" s="146">
        <f>C27</f>
        <v>13</v>
      </c>
      <c r="D156" s="146">
        <f>D27</f>
        <v>5</v>
      </c>
      <c r="E156" s="146">
        <f>E27</f>
        <v>21</v>
      </c>
      <c r="F156" s="146">
        <f>SUM(F144:F155)</f>
        <v>14.610064000000001</v>
      </c>
      <c r="G156" s="146">
        <f t="shared" ref="G156:AB156" si="80">SUM(G144:G155)</f>
        <v>9.5451639999999998</v>
      </c>
      <c r="H156" s="146">
        <f t="shared" si="80"/>
        <v>136.86111600000001</v>
      </c>
      <c r="I156" s="146">
        <f t="shared" si="80"/>
        <v>203.14096500000002</v>
      </c>
      <c r="J156" s="146">
        <f t="shared" si="80"/>
        <v>96.741320000000016</v>
      </c>
      <c r="K156" s="146">
        <f t="shared" si="80"/>
        <v>168.89969500000001</v>
      </c>
      <c r="L156" s="146">
        <f t="shared" si="80"/>
        <v>537.31383200000005</v>
      </c>
      <c r="M156" s="146">
        <f t="shared" si="80"/>
        <v>494.27901800000001</v>
      </c>
      <c r="N156" s="146">
        <f t="shared" si="80"/>
        <v>809.34299999999996</v>
      </c>
      <c r="O156" s="146">
        <f t="shared" si="80"/>
        <v>886.5390000000001</v>
      </c>
      <c r="P156" s="146">
        <f t="shared" si="80"/>
        <v>645.15199999999993</v>
      </c>
      <c r="Q156" s="146">
        <f t="shared" si="80"/>
        <v>971.70900000000017</v>
      </c>
      <c r="R156" s="146">
        <f t="shared" si="80"/>
        <v>674.50300000000004</v>
      </c>
      <c r="S156" s="146">
        <f t="shared" si="80"/>
        <v>572.56100000000004</v>
      </c>
      <c r="T156" s="146">
        <f t="shared" si="80"/>
        <v>1719.1120000000001</v>
      </c>
      <c r="U156" s="146">
        <f t="shared" si="80"/>
        <v>1379.9980000000003</v>
      </c>
      <c r="V156" s="146">
        <f t="shared" si="80"/>
        <v>1712.4430000000002</v>
      </c>
      <c r="W156" s="146">
        <f t="shared" si="80"/>
        <v>1297.5819999999999</v>
      </c>
      <c r="X156" s="146">
        <f t="shared" si="80"/>
        <v>1257.4100000000001</v>
      </c>
      <c r="Y156" s="146">
        <f t="shared" si="80"/>
        <v>1260.6959999999997</v>
      </c>
      <c r="Z156" s="146">
        <f t="shared" si="80"/>
        <v>1187.0739999999996</v>
      </c>
      <c r="AA156" s="146">
        <f t="shared" si="80"/>
        <v>1595.4659999999999</v>
      </c>
      <c r="AB156" s="146">
        <f t="shared" si="80"/>
        <v>1993.704</v>
      </c>
      <c r="AC156" s="146">
        <f>SUM(AC144:AC155)</f>
        <v>1744.2589999999998</v>
      </c>
      <c r="AD156" s="253">
        <f>AD27</f>
        <v>1500</v>
      </c>
      <c r="AE156" s="253">
        <f>AE27</f>
        <v>400</v>
      </c>
    </row>
    <row r="157" spans="1:31">
      <c r="A157" s="248"/>
      <c r="B157" s="248"/>
      <c r="C157" s="248"/>
      <c r="D157" s="248"/>
      <c r="E157" s="387"/>
      <c r="F157" s="387"/>
      <c r="G157" s="387"/>
      <c r="H157" s="387"/>
      <c r="I157" s="387"/>
      <c r="J157" s="387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  <c r="AE157" s="248"/>
    </row>
    <row r="158" spans="1:31" ht="15.75" thickBot="1">
      <c r="A158" s="235" t="s">
        <v>258</v>
      </c>
      <c r="D158" s="264"/>
      <c r="E158" s="264"/>
      <c r="F158" s="264"/>
      <c r="G158" s="264"/>
      <c r="H158" s="264"/>
      <c r="I158" s="264"/>
      <c r="J158" s="264"/>
    </row>
    <row r="159" spans="1:31" ht="15.75" thickBot="1">
      <c r="A159" s="236"/>
      <c r="B159" s="237" t="str">
        <f>B$2</f>
        <v xml:space="preserve">93/94 </v>
      </c>
      <c r="C159" s="237" t="str">
        <f t="shared" ref="C159:AE159" si="81">C$2</f>
        <v xml:space="preserve">94/95 </v>
      </c>
      <c r="D159" s="237" t="str">
        <f t="shared" si="81"/>
        <v xml:space="preserve">95/96 </v>
      </c>
      <c r="E159" s="237" t="str">
        <f t="shared" si="81"/>
        <v xml:space="preserve">96/97 </v>
      </c>
      <c r="F159" s="237" t="str">
        <f t="shared" si="81"/>
        <v xml:space="preserve">97/98 </v>
      </c>
      <c r="G159" s="237" t="str">
        <f t="shared" si="81"/>
        <v xml:space="preserve">98/99 </v>
      </c>
      <c r="H159" s="237" t="str">
        <f t="shared" si="81"/>
        <v xml:space="preserve">99/00 </v>
      </c>
      <c r="I159" s="237" t="str">
        <f t="shared" si="81"/>
        <v xml:space="preserve">00/01 </v>
      </c>
      <c r="J159" s="237" t="str">
        <f t="shared" si="81"/>
        <v xml:space="preserve">01/02 </v>
      </c>
      <c r="K159" s="237" t="str">
        <f t="shared" si="81"/>
        <v xml:space="preserve">02/03 </v>
      </c>
      <c r="L159" s="237" t="str">
        <f t="shared" si="81"/>
        <v xml:space="preserve">03/04 </v>
      </c>
      <c r="M159" s="237" t="str">
        <f t="shared" si="81"/>
        <v xml:space="preserve">04/05 </v>
      </c>
      <c r="N159" s="237" t="str">
        <f t="shared" si="81"/>
        <v xml:space="preserve">05/06 </v>
      </c>
      <c r="O159" s="237" t="str">
        <f t="shared" si="81"/>
        <v xml:space="preserve">06/07 </v>
      </c>
      <c r="P159" s="237" t="str">
        <f t="shared" si="81"/>
        <v xml:space="preserve">07/08 </v>
      </c>
      <c r="Q159" s="237" t="str">
        <f t="shared" si="81"/>
        <v xml:space="preserve">08/09 </v>
      </c>
      <c r="R159" s="237" t="str">
        <f t="shared" si="81"/>
        <v xml:space="preserve">09/10 </v>
      </c>
      <c r="S159" s="237" t="str">
        <f t="shared" si="81"/>
        <v xml:space="preserve">10/11 </v>
      </c>
      <c r="T159" s="237" t="str">
        <f t="shared" si="81"/>
        <v xml:space="preserve">11/12 </v>
      </c>
      <c r="U159" s="237" t="str">
        <f t="shared" si="81"/>
        <v xml:space="preserve">12/13 </v>
      </c>
      <c r="V159" s="237" t="str">
        <f t="shared" si="81"/>
        <v xml:space="preserve">13/14 </v>
      </c>
      <c r="W159" s="237" t="str">
        <f t="shared" si="81"/>
        <v xml:space="preserve">14/15 </v>
      </c>
      <c r="X159" s="237" t="str">
        <f t="shared" si="81"/>
        <v xml:space="preserve">15/16 </v>
      </c>
      <c r="Y159" s="237" t="str">
        <f t="shared" si="81"/>
        <v xml:space="preserve">16/17 </v>
      </c>
      <c r="Z159" s="237" t="str">
        <f t="shared" si="81"/>
        <v xml:space="preserve">17/18 </v>
      </c>
      <c r="AA159" s="237" t="str">
        <f t="shared" si="81"/>
        <v xml:space="preserve">18/19 </v>
      </c>
      <c r="AB159" s="237" t="str">
        <f t="shared" si="81"/>
        <v xml:space="preserve">19/20 </v>
      </c>
      <c r="AC159" s="237" t="str">
        <f t="shared" si="81"/>
        <v xml:space="preserve">20/21 </v>
      </c>
      <c r="AD159" s="237" t="str">
        <f t="shared" si="81"/>
        <v xml:space="preserve">21/22 </v>
      </c>
      <c r="AE159" s="237" t="str">
        <f t="shared" si="81"/>
        <v xml:space="preserve">22/23 </v>
      </c>
    </row>
    <row r="160" spans="1:31">
      <c r="A160" s="240" t="s">
        <v>239</v>
      </c>
      <c r="B160" s="290">
        <f t="shared" ref="B160:D160" si="82">B22+B96+B131-B144-B176</f>
        <v>57.983376557831775</v>
      </c>
      <c r="C160" s="290">
        <f t="shared" si="82"/>
        <v>52.842660558267276</v>
      </c>
      <c r="D160" s="290">
        <f t="shared" si="82"/>
        <v>47.102112148554255</v>
      </c>
      <c r="E160" s="290" t="e">
        <f>E22+E96+#REF!-E144-E176</f>
        <v>#REF!</v>
      </c>
      <c r="F160" s="290">
        <f t="shared" ref="F160:AB160" si="83">F22+F96+F130-E155-F176</f>
        <v>19.477431708347972</v>
      </c>
      <c r="G160" s="290">
        <f t="shared" si="83"/>
        <v>59.555256492307699</v>
      </c>
      <c r="H160" s="290">
        <f t="shared" si="83"/>
        <v>46.225861138337443</v>
      </c>
      <c r="I160" s="290">
        <f t="shared" si="83"/>
        <v>75.232461390235343</v>
      </c>
      <c r="J160" s="290">
        <f t="shared" si="83"/>
        <v>92.251079529284766</v>
      </c>
      <c r="K160" s="290">
        <f t="shared" si="83"/>
        <v>72.383141920593545</v>
      </c>
      <c r="L160" s="290">
        <f t="shared" si="83"/>
        <v>78.166179675236663</v>
      </c>
      <c r="M160" s="290">
        <f t="shared" si="83"/>
        <v>85.411772916579565</v>
      </c>
      <c r="N160" s="290">
        <f t="shared" si="83"/>
        <v>81.401395865563671</v>
      </c>
      <c r="O160" s="290">
        <f t="shared" si="83"/>
        <v>125.97095920493975</v>
      </c>
      <c r="P160" s="290">
        <f t="shared" si="83"/>
        <v>95.621650140495177</v>
      </c>
      <c r="Q160" s="290">
        <f t="shared" si="83"/>
        <v>144.8276248410684</v>
      </c>
      <c r="R160" s="290">
        <f t="shared" si="83"/>
        <v>86.661738171459419</v>
      </c>
      <c r="S160" s="290">
        <f t="shared" si="83"/>
        <v>133.16813857025633</v>
      </c>
      <c r="T160" s="290">
        <f t="shared" si="83"/>
        <v>136.40021450611539</v>
      </c>
      <c r="U160" s="290">
        <f t="shared" si="83"/>
        <v>109.2208291438503</v>
      </c>
      <c r="V160" s="290">
        <f t="shared" si="83"/>
        <v>138.41006392879319</v>
      </c>
      <c r="W160" s="290">
        <f t="shared" si="83"/>
        <v>161.54891226381471</v>
      </c>
      <c r="X160" s="290">
        <f t="shared" si="83"/>
        <v>162.83294022488553</v>
      </c>
      <c r="Y160" s="290">
        <f t="shared" si="83"/>
        <v>196.84606893970192</v>
      </c>
      <c r="Z160" s="290">
        <f t="shared" si="83"/>
        <v>311.51235746993484</v>
      </c>
      <c r="AA160" s="290">
        <f t="shared" si="83"/>
        <v>289.64347450682067</v>
      </c>
      <c r="AB160" s="290">
        <f t="shared" si="83"/>
        <v>332.94526610028566</v>
      </c>
      <c r="AC160" s="253">
        <f>AC22+AC96+AB139-AC144-AC176</f>
        <v>247.78376653348599</v>
      </c>
      <c r="AD160" s="253">
        <f>AD22+AD96+AD128-AD144-AD176</f>
        <v>210.28059603306565</v>
      </c>
      <c r="AE160" s="253">
        <f>AE22+AE96+AE128-AE144-AE176</f>
        <v>322.26087209213182</v>
      </c>
    </row>
    <row r="161" spans="1:31">
      <c r="A161" s="240" t="s">
        <v>240</v>
      </c>
      <c r="B161" s="290">
        <f t="shared" ref="B161:D168" si="84">B176+B97+B132-B145-B177</f>
        <v>55.456993810339043</v>
      </c>
      <c r="C161" s="290">
        <f t="shared" si="84"/>
        <v>45.822540750563107</v>
      </c>
      <c r="D161" s="290">
        <f t="shared" si="84"/>
        <v>62.785310088878134</v>
      </c>
      <c r="E161" s="290">
        <f>E176+E97+E131-E145-E177</f>
        <v>71.758016351495598</v>
      </c>
      <c r="F161" s="290">
        <f t="shared" ref="F161:AB169" si="85">F176+F97+F131-F144-F177</f>
        <v>36.579225997392442</v>
      </c>
      <c r="G161" s="290">
        <f t="shared" si="85"/>
        <v>74.593408276923071</v>
      </c>
      <c r="H161" s="290">
        <f t="shared" si="85"/>
        <v>78.332423910669974</v>
      </c>
      <c r="I161" s="290">
        <f t="shared" si="85"/>
        <v>65.407318513640121</v>
      </c>
      <c r="J161" s="290">
        <f t="shared" si="85"/>
        <v>91.764726356275318</v>
      </c>
      <c r="K161" s="290">
        <f t="shared" si="85"/>
        <v>83.297322306450639</v>
      </c>
      <c r="L161" s="290">
        <f t="shared" si="85"/>
        <v>82.705427053316782</v>
      </c>
      <c r="M161" s="290">
        <f t="shared" si="85"/>
        <v>102.12198947630516</v>
      </c>
      <c r="N161" s="290">
        <f t="shared" si="85"/>
        <v>94.900098235687352</v>
      </c>
      <c r="O161" s="290">
        <f t="shared" si="85"/>
        <v>80.511307135809858</v>
      </c>
      <c r="P161" s="290">
        <f t="shared" si="85"/>
        <v>77.742580293409915</v>
      </c>
      <c r="Q161" s="290">
        <f t="shared" si="85"/>
        <v>125.66710485648514</v>
      </c>
      <c r="R161" s="290">
        <f t="shared" si="85"/>
        <v>97.343660047023036</v>
      </c>
      <c r="S161" s="290">
        <f t="shared" si="85"/>
        <v>87.668177841511408</v>
      </c>
      <c r="T161" s="290">
        <f t="shared" si="85"/>
        <v>114.47239478922205</v>
      </c>
      <c r="U161" s="290">
        <f t="shared" si="85"/>
        <v>53.566951034332902</v>
      </c>
      <c r="V161" s="290">
        <f t="shared" si="85"/>
        <v>138.88916093515172</v>
      </c>
      <c r="W161" s="290">
        <f t="shared" si="85"/>
        <v>109.26571165981079</v>
      </c>
      <c r="X161" s="290">
        <f t="shared" si="85"/>
        <v>168.80724895293088</v>
      </c>
      <c r="Y161" s="290">
        <f t="shared" si="85"/>
        <v>193.75734352970869</v>
      </c>
      <c r="Z161" s="290">
        <f t="shared" si="85"/>
        <v>247.12827469275305</v>
      </c>
      <c r="AA161" s="290">
        <f t="shared" si="85"/>
        <v>289.82571983581829</v>
      </c>
      <c r="AB161" s="290">
        <f t="shared" si="85"/>
        <v>297.83377823758065</v>
      </c>
      <c r="AC161" s="253">
        <f t="shared" ref="AC161:AC164" si="86">AC176+AC97+AC128-AC145-AC177</f>
        <v>233.88570930929626</v>
      </c>
      <c r="AD161" s="253">
        <f t="shared" ref="AD161:AE171" si="87">AD176+AD97+AD129-AD145-AD177</f>
        <v>248.26788435807168</v>
      </c>
      <c r="AE161" s="253">
        <f t="shared" si="87"/>
        <v>352.56853824445716</v>
      </c>
    </row>
    <row r="162" spans="1:31">
      <c r="A162" s="240" t="s">
        <v>241</v>
      </c>
      <c r="B162" s="290">
        <f t="shared" si="84"/>
        <v>57.053030072217197</v>
      </c>
      <c r="C162" s="290">
        <f t="shared" si="84"/>
        <v>49.438937531023846</v>
      </c>
      <c r="D162" s="290">
        <f t="shared" si="84"/>
        <v>65.403803216803951</v>
      </c>
      <c r="E162" s="290">
        <f>E177+E98+E132-E146-E178</f>
        <v>67.215598864596245</v>
      </c>
      <c r="F162" s="290">
        <f t="shared" si="85"/>
        <v>40.985452684603523</v>
      </c>
      <c r="G162" s="290">
        <f t="shared" si="85"/>
        <v>63.151850276923085</v>
      </c>
      <c r="H162" s="290">
        <f t="shared" si="85"/>
        <v>70.178711700992523</v>
      </c>
      <c r="I162" s="290">
        <f t="shared" si="85"/>
        <v>63.727909262498557</v>
      </c>
      <c r="J162" s="290">
        <f t="shared" si="85"/>
        <v>81.043906851012139</v>
      </c>
      <c r="K162" s="290">
        <f t="shared" si="85"/>
        <v>89.432482336313399</v>
      </c>
      <c r="L162" s="290">
        <f t="shared" si="85"/>
        <v>73.82927744941631</v>
      </c>
      <c r="M162" s="290">
        <f t="shared" si="85"/>
        <v>98.993793699577424</v>
      </c>
      <c r="N162" s="290">
        <f t="shared" si="85"/>
        <v>81.35605750011932</v>
      </c>
      <c r="O162" s="290">
        <f t="shared" si="85"/>
        <v>98.204046003081814</v>
      </c>
      <c r="P162" s="290">
        <f t="shared" si="85"/>
        <v>59.965693956376633</v>
      </c>
      <c r="Q162" s="290">
        <f t="shared" si="85"/>
        <v>122.21451708195495</v>
      </c>
      <c r="R162" s="290">
        <f t="shared" si="85"/>
        <v>83.831169735638156</v>
      </c>
      <c r="S162" s="290">
        <f t="shared" si="85"/>
        <v>77.436024535195685</v>
      </c>
      <c r="T162" s="290">
        <f t="shared" si="85"/>
        <v>143.87901333643757</v>
      </c>
      <c r="U162" s="290">
        <f t="shared" si="85"/>
        <v>78.086901736512146</v>
      </c>
      <c r="V162" s="290">
        <f t="shared" si="85"/>
        <v>111.96647391316446</v>
      </c>
      <c r="W162" s="290">
        <f t="shared" si="85"/>
        <v>122.38678885232406</v>
      </c>
      <c r="X162" s="290">
        <f t="shared" si="85"/>
        <v>110.34557814839832</v>
      </c>
      <c r="Y162" s="290">
        <f t="shared" si="85"/>
        <v>186.47034357837265</v>
      </c>
      <c r="Z162" s="290">
        <f t="shared" si="85"/>
        <v>265.55532206081364</v>
      </c>
      <c r="AA162" s="290">
        <f t="shared" si="85"/>
        <v>276.65163090599526</v>
      </c>
      <c r="AB162" s="290">
        <f t="shared" si="85"/>
        <v>307.12876724862616</v>
      </c>
      <c r="AC162" s="253">
        <f t="shared" si="86"/>
        <v>329.61368123677244</v>
      </c>
      <c r="AD162" s="253">
        <f t="shared" si="87"/>
        <v>275.8247079720993</v>
      </c>
      <c r="AE162" s="253">
        <f t="shared" si="87"/>
        <v>409.3726623530535</v>
      </c>
    </row>
    <row r="163" spans="1:31">
      <c r="A163" s="240" t="s">
        <v>231</v>
      </c>
      <c r="B163" s="290">
        <f t="shared" si="84"/>
        <v>58.223798600122016</v>
      </c>
      <c r="C163" s="290">
        <f t="shared" si="84"/>
        <v>52.777612648622409</v>
      </c>
      <c r="D163" s="290">
        <f t="shared" si="84"/>
        <v>67.132354401088179</v>
      </c>
      <c r="E163" s="290" t="e">
        <f>E178+E99+E133-#REF!-E179</f>
        <v>#REF!</v>
      </c>
      <c r="F163" s="290">
        <f t="shared" si="85"/>
        <v>32.556687683062727</v>
      </c>
      <c r="G163" s="290">
        <f t="shared" si="85"/>
        <v>70.319858543589746</v>
      </c>
      <c r="H163" s="290">
        <f t="shared" si="85"/>
        <v>69.32854949131513</v>
      </c>
      <c r="I163" s="290">
        <f t="shared" si="85"/>
        <v>51.270065933731424</v>
      </c>
      <c r="J163" s="290">
        <f t="shared" si="85"/>
        <v>86.049805798380561</v>
      </c>
      <c r="K163" s="290">
        <f t="shared" si="85"/>
        <v>92.504268169243204</v>
      </c>
      <c r="L163" s="290">
        <f t="shared" si="85"/>
        <v>75.634156606107652</v>
      </c>
      <c r="M163" s="290">
        <f t="shared" si="85"/>
        <v>102.90155905811261</v>
      </c>
      <c r="N163" s="290">
        <f t="shared" si="85"/>
        <v>86.956552611851208</v>
      </c>
      <c r="O163" s="290">
        <f t="shared" si="85"/>
        <v>132.54602464553741</v>
      </c>
      <c r="P163" s="290">
        <f t="shared" si="85"/>
        <v>89.284369758596569</v>
      </c>
      <c r="Q163" s="290">
        <f t="shared" si="85"/>
        <v>157.50922111535778</v>
      </c>
      <c r="R163" s="290">
        <f t="shared" si="85"/>
        <v>65.537917124338293</v>
      </c>
      <c r="S163" s="290">
        <f t="shared" si="85"/>
        <v>79.55983855940616</v>
      </c>
      <c r="T163" s="290">
        <f t="shared" si="85"/>
        <v>116.44534650835033</v>
      </c>
      <c r="U163" s="290">
        <f t="shared" si="85"/>
        <v>88.98111217234748</v>
      </c>
      <c r="V163" s="290">
        <f t="shared" si="85"/>
        <v>181.72679018369047</v>
      </c>
      <c r="W163" s="290">
        <f t="shared" si="85"/>
        <v>150.56275112950777</v>
      </c>
      <c r="X163" s="290">
        <f t="shared" si="85"/>
        <v>173.67820364131614</v>
      </c>
      <c r="Y163" s="290">
        <f t="shared" si="85"/>
        <v>227.31340354139752</v>
      </c>
      <c r="Z163" s="290">
        <f t="shared" si="85"/>
        <v>255.07414595320802</v>
      </c>
      <c r="AA163" s="290">
        <f t="shared" si="85"/>
        <v>358.89851277215416</v>
      </c>
      <c r="AB163" s="290">
        <f t="shared" si="85"/>
        <v>345.34832219327018</v>
      </c>
      <c r="AC163" s="253">
        <f t="shared" si="86"/>
        <v>351.50229897290126</v>
      </c>
      <c r="AD163" s="253">
        <f t="shared" si="87"/>
        <v>274.79218949049357</v>
      </c>
      <c r="AE163" s="253">
        <f t="shared" si="87"/>
        <v>457.46662743334105</v>
      </c>
    </row>
    <row r="164" spans="1:31">
      <c r="A164" s="240" t="s">
        <v>232</v>
      </c>
      <c r="B164" s="290">
        <f t="shared" si="84"/>
        <v>66.701817894381321</v>
      </c>
      <c r="C164" s="290">
        <f t="shared" si="84"/>
        <v>53.022215420705137</v>
      </c>
      <c r="D164" s="290">
        <f t="shared" si="84"/>
        <v>68.321683874379019</v>
      </c>
      <c r="E164" s="290">
        <f t="shared" ref="E164:E169" si="88">E179+E100+E134-E147-E180</f>
        <v>71.4056313609467</v>
      </c>
      <c r="F164" s="290">
        <f t="shared" si="85"/>
        <v>52.094706736991832</v>
      </c>
      <c r="G164" s="290">
        <f t="shared" si="85"/>
        <v>70.535222810256414</v>
      </c>
      <c r="H164" s="290">
        <f t="shared" si="85"/>
        <v>90.312253104218371</v>
      </c>
      <c r="I164" s="290">
        <f t="shared" si="85"/>
        <v>69.516812499941494</v>
      </c>
      <c r="J164" s="290">
        <f t="shared" si="85"/>
        <v>65.567439072064786</v>
      </c>
      <c r="K164" s="290">
        <f t="shared" si="85"/>
        <v>93.530180506612027</v>
      </c>
      <c r="L164" s="290">
        <f t="shared" si="85"/>
        <v>70.792451780956313</v>
      </c>
      <c r="M164" s="290">
        <f t="shared" si="85"/>
        <v>99.04973259621066</v>
      </c>
      <c r="N164" s="290">
        <f t="shared" si="85"/>
        <v>107.82146436697226</v>
      </c>
      <c r="O164" s="290">
        <f t="shared" si="85"/>
        <v>105.34521608522621</v>
      </c>
      <c r="P164" s="290">
        <f t="shared" si="85"/>
        <v>126.80424176666926</v>
      </c>
      <c r="Q164" s="290">
        <f t="shared" si="85"/>
        <v>107.41450056420953</v>
      </c>
      <c r="R164" s="290">
        <f t="shared" si="85"/>
        <v>112.81212061286837</v>
      </c>
      <c r="S164" s="290">
        <f t="shared" si="85"/>
        <v>109.49623065624823</v>
      </c>
      <c r="T164" s="290">
        <f t="shared" si="85"/>
        <v>118.17866880859251</v>
      </c>
      <c r="U164" s="290">
        <f t="shared" si="85"/>
        <v>112.5499641820326</v>
      </c>
      <c r="V164" s="290">
        <f t="shared" si="85"/>
        <v>123.75178715279708</v>
      </c>
      <c r="W164" s="290">
        <f t="shared" si="85"/>
        <v>161.27949231489112</v>
      </c>
      <c r="X164" s="290">
        <f t="shared" si="85"/>
        <v>186.31396993310085</v>
      </c>
      <c r="Y164" s="290">
        <f t="shared" si="85"/>
        <v>182.26213474177922</v>
      </c>
      <c r="Z164" s="290">
        <f t="shared" si="85"/>
        <v>133.47394005054218</v>
      </c>
      <c r="AA164" s="290">
        <f t="shared" si="85"/>
        <v>248.44051716409354</v>
      </c>
      <c r="AB164" s="290">
        <f t="shared" si="85"/>
        <v>274.36199545955367</v>
      </c>
      <c r="AC164" s="253">
        <f t="shared" si="86"/>
        <v>305.12208776594252</v>
      </c>
      <c r="AD164" s="253">
        <f t="shared" si="87"/>
        <v>259.2566821868935</v>
      </c>
      <c r="AE164" s="253">
        <f t="shared" si="87"/>
        <v>377.71698902544944</v>
      </c>
    </row>
    <row r="165" spans="1:31">
      <c r="A165" s="240" t="s">
        <v>233</v>
      </c>
      <c r="B165" s="290">
        <f t="shared" si="84"/>
        <v>72.279989763059135</v>
      </c>
      <c r="C165" s="290">
        <f t="shared" si="84"/>
        <v>53.553440292862263</v>
      </c>
      <c r="D165" s="290">
        <f t="shared" si="84"/>
        <v>68.41521046723318</v>
      </c>
      <c r="E165" s="290">
        <f t="shared" si="88"/>
        <v>69.060245514792854</v>
      </c>
      <c r="F165" s="290">
        <f t="shared" si="85"/>
        <v>59.114392823278436</v>
      </c>
      <c r="G165" s="290">
        <f t="shared" si="85"/>
        <v>52.619860010256424</v>
      </c>
      <c r="H165" s="290">
        <f t="shared" si="85"/>
        <v>85.200717846153822</v>
      </c>
      <c r="I165" s="290">
        <f t="shared" si="85"/>
        <v>91.540001563868401</v>
      </c>
      <c r="J165" s="290">
        <f t="shared" si="85"/>
        <v>68.679548324696341</v>
      </c>
      <c r="K165" s="290">
        <f t="shared" si="85"/>
        <v>96.347113315328755</v>
      </c>
      <c r="L165" s="290">
        <f t="shared" si="85"/>
        <v>98.732632264480216</v>
      </c>
      <c r="M165" s="290">
        <f t="shared" si="85"/>
        <v>103.7113558094416</v>
      </c>
      <c r="N165" s="290">
        <f t="shared" si="85"/>
        <v>161.26500859416035</v>
      </c>
      <c r="O165" s="290">
        <f t="shared" si="85"/>
        <v>78.659780201093071</v>
      </c>
      <c r="P165" s="290">
        <f t="shared" si="85"/>
        <v>113.90738215012034</v>
      </c>
      <c r="Q165" s="290">
        <f t="shared" si="85"/>
        <v>123.66948563310305</v>
      </c>
      <c r="R165" s="290">
        <f t="shared" si="85"/>
        <v>115.10636966851843</v>
      </c>
      <c r="S165" s="290">
        <f t="shared" si="85"/>
        <v>144.09157268887992</v>
      </c>
      <c r="T165" s="290">
        <f t="shared" si="85"/>
        <v>167.42907989818087</v>
      </c>
      <c r="U165" s="290">
        <f t="shared" si="85"/>
        <v>180.48382992053138</v>
      </c>
      <c r="V165" s="290">
        <f t="shared" si="85"/>
        <v>177.94450219037014</v>
      </c>
      <c r="W165" s="290">
        <f t="shared" si="85"/>
        <v>103.01127035856297</v>
      </c>
      <c r="X165" s="290">
        <f t="shared" si="85"/>
        <v>155.03564102091946</v>
      </c>
      <c r="Y165" s="290">
        <f t="shared" si="85"/>
        <v>203.07895650537654</v>
      </c>
      <c r="Z165" s="290">
        <f t="shared" si="85"/>
        <v>218.38622413956159</v>
      </c>
      <c r="AA165" s="290">
        <f t="shared" si="85"/>
        <v>283.98532431989099</v>
      </c>
      <c r="AB165" s="290">
        <f t="shared" si="85"/>
        <v>336.02873235085826</v>
      </c>
      <c r="AC165" s="253">
        <f t="shared" ref="AC165:AC171" si="89">AC180+AC101+AC133-AC149-AC181</f>
        <v>301.99859418603478</v>
      </c>
      <c r="AD165" s="253">
        <f t="shared" si="87"/>
        <v>446.8962567483793</v>
      </c>
      <c r="AE165" s="253">
        <f t="shared" si="87"/>
        <v>391.42175445292742</v>
      </c>
    </row>
    <row r="166" spans="1:31">
      <c r="A166" s="240" t="s">
        <v>234</v>
      </c>
      <c r="B166" s="290">
        <f t="shared" si="84"/>
        <v>79.100440133445929</v>
      </c>
      <c r="C166" s="290">
        <f t="shared" si="84"/>
        <v>49.362416276690595</v>
      </c>
      <c r="D166" s="290">
        <f t="shared" si="84"/>
        <v>64.512048671203431</v>
      </c>
      <c r="E166" s="290">
        <f t="shared" si="88"/>
        <v>77.27066651479285</v>
      </c>
      <c r="F166" s="290">
        <f t="shared" si="85"/>
        <v>52.733958570581962</v>
      </c>
      <c r="G166" s="290">
        <f t="shared" si="85"/>
        <v>59.303112810256422</v>
      </c>
      <c r="H166" s="290">
        <f t="shared" si="85"/>
        <v>97.025282015508722</v>
      </c>
      <c r="I166" s="290">
        <f t="shared" si="85"/>
        <v>91.174655586699473</v>
      </c>
      <c r="J166" s="290">
        <f t="shared" si="85"/>
        <v>78.059626798380563</v>
      </c>
      <c r="K166" s="290">
        <f t="shared" si="85"/>
        <v>81.660960793133441</v>
      </c>
      <c r="L166" s="290">
        <f t="shared" si="85"/>
        <v>80.904069294069984</v>
      </c>
      <c r="M166" s="290">
        <f t="shared" si="85"/>
        <v>82.860605596801378</v>
      </c>
      <c r="N166" s="290">
        <f t="shared" si="85"/>
        <v>150.52240910626463</v>
      </c>
      <c r="O166" s="290">
        <f t="shared" si="85"/>
        <v>101.53152909862871</v>
      </c>
      <c r="P166" s="290">
        <f t="shared" si="85"/>
        <v>79.069111231855999</v>
      </c>
      <c r="Q166" s="290">
        <f t="shared" si="85"/>
        <v>84.690804664418351</v>
      </c>
      <c r="R166" s="290">
        <f t="shared" si="85"/>
        <v>117.74925913750732</v>
      </c>
      <c r="S166" s="290">
        <f t="shared" si="85"/>
        <v>125.07326433940617</v>
      </c>
      <c r="T166" s="290">
        <f t="shared" si="85"/>
        <v>254.49277287638907</v>
      </c>
      <c r="U166" s="290">
        <f t="shared" si="85"/>
        <v>194.56203507791648</v>
      </c>
      <c r="V166" s="290">
        <f t="shared" si="85"/>
        <v>115.37768485109939</v>
      </c>
      <c r="W166" s="290">
        <f t="shared" si="85"/>
        <v>150.60187137906206</v>
      </c>
      <c r="X166" s="290">
        <f t="shared" si="85"/>
        <v>223.41139133536711</v>
      </c>
      <c r="Y166" s="290">
        <f t="shared" si="85"/>
        <v>294.37154174774304</v>
      </c>
      <c r="Z166" s="290">
        <f t="shared" si="85"/>
        <v>288.9512727138308</v>
      </c>
      <c r="AA166" s="290">
        <f t="shared" si="85"/>
        <v>346.01998841700606</v>
      </c>
      <c r="AB166" s="290">
        <f t="shared" si="85"/>
        <v>391.52513417726908</v>
      </c>
      <c r="AC166" s="253">
        <f t="shared" si="89"/>
        <v>400.50754059370888</v>
      </c>
      <c r="AD166" s="253">
        <f t="shared" si="87"/>
        <v>526.55276557805041</v>
      </c>
      <c r="AE166" s="253">
        <f t="shared" si="87"/>
        <v>475.5138006410503</v>
      </c>
    </row>
    <row r="167" spans="1:31">
      <c r="A167" s="240" t="s">
        <v>46</v>
      </c>
      <c r="B167" s="290">
        <f t="shared" si="84"/>
        <v>79.141991045738564</v>
      </c>
      <c r="C167" s="290">
        <f t="shared" si="84"/>
        <v>52.8697475546536</v>
      </c>
      <c r="D167" s="290">
        <f t="shared" si="84"/>
        <v>73.117855751751506</v>
      </c>
      <c r="E167" s="290">
        <f t="shared" si="88"/>
        <v>70.215240053254448</v>
      </c>
      <c r="F167" s="290">
        <f t="shared" si="85"/>
        <v>57.989234132985658</v>
      </c>
      <c r="G167" s="290">
        <f t="shared" si="85"/>
        <v>34.371958810256388</v>
      </c>
      <c r="H167" s="290">
        <f t="shared" si="85"/>
        <v>97.179174007444161</v>
      </c>
      <c r="I167" s="290">
        <f t="shared" si="85"/>
        <v>99.75938993829763</v>
      </c>
      <c r="J167" s="290">
        <f t="shared" si="85"/>
        <v>62.496397566801619</v>
      </c>
      <c r="K167" s="290">
        <f t="shared" si="85"/>
        <v>89.512461935990558</v>
      </c>
      <c r="L167" s="290">
        <f t="shared" si="85"/>
        <v>76.511651562395457</v>
      </c>
      <c r="M167" s="290">
        <f t="shared" si="85"/>
        <v>104.12648826071154</v>
      </c>
      <c r="N167" s="290">
        <f t="shared" si="85"/>
        <v>84.098161061571915</v>
      </c>
      <c r="O167" s="290">
        <f t="shared" si="85"/>
        <v>97.57405508219982</v>
      </c>
      <c r="P167" s="290">
        <f t="shared" si="85"/>
        <v>107.92230186757745</v>
      </c>
      <c r="Q167" s="290">
        <f t="shared" si="85"/>
        <v>62.805446534982039</v>
      </c>
      <c r="R167" s="290">
        <f t="shared" si="85"/>
        <v>157.71335310182337</v>
      </c>
      <c r="S167" s="290">
        <f t="shared" si="85"/>
        <v>126.6619200920378</v>
      </c>
      <c r="T167" s="290">
        <f t="shared" si="85"/>
        <v>89.183511157260824</v>
      </c>
      <c r="U167" s="290">
        <f t="shared" si="85"/>
        <v>116.04672442416336</v>
      </c>
      <c r="V167" s="290">
        <f t="shared" si="85"/>
        <v>155.26567251878652</v>
      </c>
      <c r="W167" s="290">
        <f t="shared" si="85"/>
        <v>167.99471903503354</v>
      </c>
      <c r="X167" s="290">
        <f t="shared" si="85"/>
        <v>246.85842936369585</v>
      </c>
      <c r="Y167" s="290">
        <f t="shared" si="85"/>
        <v>226.78658017069154</v>
      </c>
      <c r="Z167" s="290">
        <f t="shared" si="85"/>
        <v>326.54000095867411</v>
      </c>
      <c r="AA167" s="290">
        <f t="shared" si="85"/>
        <v>312.89152479926167</v>
      </c>
      <c r="AB167" s="290">
        <f t="shared" si="85"/>
        <v>281.94118005316164</v>
      </c>
      <c r="AC167" s="253">
        <f t="shared" si="89"/>
        <v>390.2465562930837</v>
      </c>
      <c r="AD167" s="253">
        <f t="shared" si="87"/>
        <v>470.70402214993373</v>
      </c>
      <c r="AE167" s="253">
        <f t="shared" si="87"/>
        <v>428.05564903001459</v>
      </c>
    </row>
    <row r="168" spans="1:31">
      <c r="A168" s="240" t="s">
        <v>235</v>
      </c>
      <c r="B168" s="290">
        <f t="shared" si="84"/>
        <v>73.868694328303278</v>
      </c>
      <c r="C168" s="290">
        <f t="shared" si="84"/>
        <v>47.240599366779321</v>
      </c>
      <c r="D168" s="290">
        <f t="shared" si="84"/>
        <v>63.684914881566115</v>
      </c>
      <c r="E168" s="290">
        <f t="shared" si="88"/>
        <v>77.232687053254452</v>
      </c>
      <c r="F168" s="290">
        <f t="shared" si="85"/>
        <v>50.309078539765324</v>
      </c>
      <c r="G168" s="290">
        <f t="shared" si="85"/>
        <v>60.197501076923068</v>
      </c>
      <c r="H168" s="290">
        <f t="shared" si="85"/>
        <v>91.818943015508694</v>
      </c>
      <c r="I168" s="290">
        <f t="shared" si="85"/>
        <v>92.384081728251942</v>
      </c>
      <c r="J168" s="290">
        <f t="shared" si="85"/>
        <v>63.636841324696356</v>
      </c>
      <c r="K168" s="290">
        <f t="shared" si="85"/>
        <v>78.345562183771037</v>
      </c>
      <c r="L168" s="290">
        <f t="shared" si="85"/>
        <v>75.600520628299918</v>
      </c>
      <c r="M168" s="290">
        <f t="shared" si="85"/>
        <v>98.425611704302781</v>
      </c>
      <c r="N168" s="290">
        <f t="shared" si="85"/>
        <v>94.367250563434112</v>
      </c>
      <c r="O168" s="290">
        <f t="shared" si="85"/>
        <v>141.59168569179775</v>
      </c>
      <c r="P168" s="290">
        <f t="shared" si="85"/>
        <v>85.477597084529975</v>
      </c>
      <c r="Q168" s="290">
        <f t="shared" si="85"/>
        <v>74.141050409721061</v>
      </c>
      <c r="R168" s="290">
        <f t="shared" si="85"/>
        <v>151.12434965747323</v>
      </c>
      <c r="S168" s="290">
        <f t="shared" si="85"/>
        <v>156.57423294045876</v>
      </c>
      <c r="T168" s="290">
        <f t="shared" si="85"/>
        <v>42.292447864282593</v>
      </c>
      <c r="U168" s="290">
        <f t="shared" si="85"/>
        <v>147.4266579350593</v>
      </c>
      <c r="V168" s="290">
        <f t="shared" si="85"/>
        <v>138.67481539938768</v>
      </c>
      <c r="W168" s="290">
        <f t="shared" si="85"/>
        <v>222.8697081571371</v>
      </c>
      <c r="X168" s="290">
        <f t="shared" si="85"/>
        <v>242.99834159882323</v>
      </c>
      <c r="Y168" s="290">
        <f t="shared" si="85"/>
        <v>326.8975183684492</v>
      </c>
      <c r="Z168" s="290">
        <f t="shared" si="85"/>
        <v>310.53062867671952</v>
      </c>
      <c r="AA168" s="290">
        <f t="shared" si="85"/>
        <v>329.42284331187102</v>
      </c>
      <c r="AB168" s="290">
        <f t="shared" si="85"/>
        <v>387.23334475371945</v>
      </c>
      <c r="AC168" s="253">
        <f t="shared" si="89"/>
        <v>390.72194065235954</v>
      </c>
      <c r="AD168" s="253">
        <f t="shared" si="87"/>
        <v>487.2283740000978</v>
      </c>
      <c r="AE168" s="253">
        <f t="shared" si="87"/>
        <v>448.63730149713518</v>
      </c>
    </row>
    <row r="169" spans="1:31">
      <c r="A169" s="240" t="s">
        <v>236</v>
      </c>
      <c r="B169" s="290">
        <f t="shared" ref="B169:D171" si="90">B184+B105+C128-B153-B185</f>
        <v>61.260529856384778</v>
      </c>
      <c r="C169" s="290">
        <f t="shared" si="90"/>
        <v>46.912942493766117</v>
      </c>
      <c r="D169" s="290">
        <f t="shared" si="90"/>
        <v>66.165958743044882</v>
      </c>
      <c r="E169" s="290">
        <f t="shared" si="88"/>
        <v>57.470486130177491</v>
      </c>
      <c r="F169" s="290">
        <f t="shared" si="85"/>
        <v>49.859966197700601</v>
      </c>
      <c r="G169" s="290">
        <f t="shared" si="85"/>
        <v>48.177652276923091</v>
      </c>
      <c r="H169" s="290">
        <f t="shared" si="85"/>
        <v>81.327567588089323</v>
      </c>
      <c r="I169" s="290">
        <f t="shared" si="85"/>
        <v>90.397624910900376</v>
      </c>
      <c r="J169" s="290">
        <f t="shared" si="85"/>
        <v>71.50381057732794</v>
      </c>
      <c r="K169" s="290">
        <f t="shared" si="85"/>
        <v>84.737326836716974</v>
      </c>
      <c r="L169" s="290">
        <f t="shared" si="85"/>
        <v>61.990714485731033</v>
      </c>
      <c r="M169" s="290">
        <f t="shared" si="85"/>
        <v>94.961830463901109</v>
      </c>
      <c r="N169" s="290">
        <f t="shared" si="85"/>
        <v>77.327992672372631</v>
      </c>
      <c r="O169" s="290">
        <f t="shared" si="85"/>
        <v>139.47726052967062</v>
      </c>
      <c r="P169" s="290">
        <f t="shared" si="85"/>
        <v>114.76708031359156</v>
      </c>
      <c r="Q169" s="290">
        <f t="shared" si="85"/>
        <v>107.7172386518923</v>
      </c>
      <c r="R169" s="290">
        <f t="shared" si="85"/>
        <v>157.05672781082939</v>
      </c>
      <c r="S169" s="290">
        <f t="shared" si="85"/>
        <v>140.75949164572205</v>
      </c>
      <c r="T169" s="290">
        <f t="shared" si="85"/>
        <v>92.323488760166356</v>
      </c>
      <c r="U169" s="290">
        <f t="shared" si="85"/>
        <v>141.53606936363076</v>
      </c>
      <c r="V169" s="290">
        <f t="shared" si="85"/>
        <v>167.41705297244641</v>
      </c>
      <c r="W169" s="290">
        <f t="shared" si="85"/>
        <v>250.98614298334013</v>
      </c>
      <c r="X169" s="290">
        <f t="shared" si="85"/>
        <v>175.8545074685116</v>
      </c>
      <c r="Y169" s="290">
        <f t="shared" si="85"/>
        <v>356.22272386606357</v>
      </c>
      <c r="Z169" s="290">
        <f t="shared" si="85"/>
        <v>293.84050471790192</v>
      </c>
      <c r="AA169" s="290">
        <f t="shared" si="85"/>
        <v>272.10851065002635</v>
      </c>
      <c r="AB169" s="290">
        <f t="shared" si="85"/>
        <v>310.61749814895575</v>
      </c>
      <c r="AC169" s="253">
        <f t="shared" si="89"/>
        <v>402.44599235647865</v>
      </c>
      <c r="AD169" s="253">
        <f t="shared" si="87"/>
        <v>447.60499942217018</v>
      </c>
      <c r="AE169" s="253">
        <f t="shared" si="87"/>
        <v>421.82236122150164</v>
      </c>
    </row>
    <row r="170" spans="1:31">
      <c r="A170" s="240" t="s">
        <v>237</v>
      </c>
      <c r="B170" s="290">
        <f t="shared" si="90"/>
        <v>57.246704092018433</v>
      </c>
      <c r="C170" s="290">
        <f t="shared" si="90"/>
        <v>42.747222741477941</v>
      </c>
      <c r="D170" s="290">
        <f t="shared" si="90"/>
        <v>61.615510724815877</v>
      </c>
      <c r="E170" s="290">
        <f t="shared" ref="E170:AB171" si="91">E185+E106+F128-E153-E186</f>
        <v>52.417701514792867</v>
      </c>
      <c r="F170" s="290">
        <f t="shared" si="91"/>
        <v>43.316053624511078</v>
      </c>
      <c r="G170" s="290">
        <f t="shared" si="91"/>
        <v>32.916306543589741</v>
      </c>
      <c r="H170" s="290">
        <f t="shared" si="91"/>
        <v>76.733400846153828</v>
      </c>
      <c r="I170" s="290">
        <f t="shared" si="91"/>
        <v>95.797376244233703</v>
      </c>
      <c r="J170" s="290">
        <f t="shared" si="91"/>
        <v>65.947499503643712</v>
      </c>
      <c r="K170" s="290">
        <f t="shared" si="91"/>
        <v>77.347363917427202</v>
      </c>
      <c r="L170" s="290">
        <f t="shared" si="91"/>
        <v>70.804574553653026</v>
      </c>
      <c r="M170" s="290">
        <f t="shared" si="91"/>
        <v>87.219657256576838</v>
      </c>
      <c r="N170" s="290">
        <f t="shared" si="91"/>
        <v>103.62634830551977</v>
      </c>
      <c r="O170" s="290">
        <f t="shared" si="91"/>
        <v>121.867436837496</v>
      </c>
      <c r="P170" s="290">
        <f t="shared" si="91"/>
        <v>153.4730542389195</v>
      </c>
      <c r="Q170" s="290">
        <f t="shared" si="91"/>
        <v>156.17134385439746</v>
      </c>
      <c r="R170" s="290">
        <f t="shared" si="91"/>
        <v>147.7485877840663</v>
      </c>
      <c r="S170" s="290">
        <f t="shared" si="91"/>
        <v>143.66187714466938</v>
      </c>
      <c r="T170" s="290">
        <f t="shared" si="91"/>
        <v>89.336842876389085</v>
      </c>
      <c r="U170" s="290">
        <f t="shared" si="91"/>
        <v>161.78431791084623</v>
      </c>
      <c r="V170" s="290">
        <f t="shared" si="91"/>
        <v>156.31316255218474</v>
      </c>
      <c r="W170" s="290">
        <f t="shared" si="91"/>
        <v>222.77137272932953</v>
      </c>
      <c r="X170" s="290">
        <f t="shared" si="91"/>
        <v>184.67619505491399</v>
      </c>
      <c r="Y170" s="290">
        <f t="shared" si="91"/>
        <v>256.6744803620083</v>
      </c>
      <c r="Z170" s="290">
        <f t="shared" si="91"/>
        <v>255.2929664425119</v>
      </c>
      <c r="AA170" s="290">
        <f t="shared" si="91"/>
        <v>231.54126210488698</v>
      </c>
      <c r="AB170" s="290">
        <f t="shared" si="91"/>
        <v>271.70294260538572</v>
      </c>
      <c r="AC170" s="253">
        <f t="shared" si="89"/>
        <v>302.31211992725798</v>
      </c>
      <c r="AD170" s="253">
        <f t="shared" si="87"/>
        <v>354.18946223372484</v>
      </c>
      <c r="AE170" s="253">
        <f t="shared" si="87"/>
        <v>337.31273703872472</v>
      </c>
    </row>
    <row r="171" spans="1:31">
      <c r="A171" s="240" t="s">
        <v>238</v>
      </c>
      <c r="B171" s="290">
        <f t="shared" si="90"/>
        <v>53.582611011347076</v>
      </c>
      <c r="C171" s="290">
        <f t="shared" si="90"/>
        <v>45.208763302706913</v>
      </c>
      <c r="D171" s="290">
        <f t="shared" si="90"/>
        <v>59.857324875354976</v>
      </c>
      <c r="E171" s="290">
        <f t="shared" si="91"/>
        <v>39.412202745562084</v>
      </c>
      <c r="F171" s="290">
        <f t="shared" si="91"/>
        <v>54.576472468887054</v>
      </c>
      <c r="G171" s="290">
        <f t="shared" si="91"/>
        <v>44.664111476923082</v>
      </c>
      <c r="H171" s="290">
        <f t="shared" si="91"/>
        <v>90.788566950992561</v>
      </c>
      <c r="I171" s="290">
        <f t="shared" si="91"/>
        <v>99.545297623229132</v>
      </c>
      <c r="J171" s="290">
        <f t="shared" si="91"/>
        <v>71.385464240485817</v>
      </c>
      <c r="K171" s="290">
        <f t="shared" si="91"/>
        <v>52.170172663997008</v>
      </c>
      <c r="L171" s="290">
        <f t="shared" si="91"/>
        <v>73.703116787681253</v>
      </c>
      <c r="M171" s="290">
        <f t="shared" si="91"/>
        <v>78.695344947067099</v>
      </c>
      <c r="N171" s="290">
        <f t="shared" si="91"/>
        <v>122.33495505598526</v>
      </c>
      <c r="O171" s="290">
        <f t="shared" si="91"/>
        <v>111.9500356801578</v>
      </c>
      <c r="P171" s="290">
        <f t="shared" si="91"/>
        <v>146.00116076069236</v>
      </c>
      <c r="Q171" s="290">
        <f t="shared" si="91"/>
        <v>116.0680414885712</v>
      </c>
      <c r="R171" s="290">
        <f t="shared" si="91"/>
        <v>115.83236077998168</v>
      </c>
      <c r="S171" s="290">
        <f t="shared" si="91"/>
        <v>173.18667267187593</v>
      </c>
      <c r="T171" s="290">
        <f t="shared" si="91"/>
        <v>131.85299617867997</v>
      </c>
      <c r="U171" s="290">
        <f t="shared" si="91"/>
        <v>153.31254837461967</v>
      </c>
      <c r="V171" s="290">
        <f t="shared" si="91"/>
        <v>158.96114765719676</v>
      </c>
      <c r="W171" s="290">
        <f t="shared" si="91"/>
        <v>215.12655471753754</v>
      </c>
      <c r="X171" s="290">
        <f t="shared" si="91"/>
        <v>205.24279925996973</v>
      </c>
      <c r="Y171" s="290">
        <f t="shared" si="91"/>
        <v>251.32631987999127</v>
      </c>
      <c r="Z171" s="290">
        <f t="shared" si="91"/>
        <v>153.34262474981091</v>
      </c>
      <c r="AA171" s="290">
        <f t="shared" si="91"/>
        <v>283.3498725039733</v>
      </c>
      <c r="AB171" s="290">
        <f t="shared" si="91"/>
        <v>318.36160225043477</v>
      </c>
      <c r="AC171" s="253">
        <f t="shared" si="89"/>
        <v>327.65417338174097</v>
      </c>
      <c r="AD171" s="253">
        <f t="shared" si="87"/>
        <v>-266.6765923756592</v>
      </c>
      <c r="AE171" s="253">
        <f t="shared" si="87"/>
        <v>334.29693078708374</v>
      </c>
    </row>
    <row r="172" spans="1:31" ht="15.75" thickBot="1">
      <c r="A172" s="240" t="s">
        <v>242</v>
      </c>
      <c r="B172" s="146">
        <f>B36</f>
        <v>830</v>
      </c>
      <c r="C172" s="146">
        <f t="shared" ref="C172:AC172" si="92">SUM(C160:C171)</f>
        <v>591.7990989381185</v>
      </c>
      <c r="D172" s="146">
        <f t="shared" si="92"/>
        <v>768.11408784467358</v>
      </c>
      <c r="E172" s="146" t="e">
        <f t="shared" si="92"/>
        <v>#REF!</v>
      </c>
      <c r="F172" s="146">
        <f t="shared" si="92"/>
        <v>549.59266116810863</v>
      </c>
      <c r="G172" s="146">
        <f t="shared" si="92"/>
        <v>670.40609940512832</v>
      </c>
      <c r="H172" s="146">
        <f t="shared" si="92"/>
        <v>974.45145161538471</v>
      </c>
      <c r="I172" s="146">
        <f t="shared" si="92"/>
        <v>985.75299519552755</v>
      </c>
      <c r="J172" s="146">
        <f t="shared" si="92"/>
        <v>898.38614594304988</v>
      </c>
      <c r="K172" s="146">
        <f t="shared" si="92"/>
        <v>991.26835688557787</v>
      </c>
      <c r="L172" s="146">
        <f t="shared" si="92"/>
        <v>919.37477214134469</v>
      </c>
      <c r="M172" s="146">
        <f t="shared" si="92"/>
        <v>1138.4797417855877</v>
      </c>
      <c r="N172" s="146">
        <f t="shared" si="92"/>
        <v>1245.9776939395026</v>
      </c>
      <c r="O172" s="146">
        <f t="shared" si="92"/>
        <v>1335.2293361956386</v>
      </c>
      <c r="P172" s="146">
        <f t="shared" si="92"/>
        <v>1250.0362235628347</v>
      </c>
      <c r="Q172" s="146">
        <f t="shared" si="92"/>
        <v>1382.8963796961614</v>
      </c>
      <c r="R172" s="146">
        <f t="shared" si="92"/>
        <v>1408.517613631527</v>
      </c>
      <c r="S172" s="146">
        <f t="shared" si="92"/>
        <v>1497.337441685668</v>
      </c>
      <c r="T172" s="146">
        <f t="shared" si="92"/>
        <v>1496.2867775600666</v>
      </c>
      <c r="U172" s="146">
        <f t="shared" si="92"/>
        <v>1537.5579412758425</v>
      </c>
      <c r="V172" s="146">
        <f t="shared" si="92"/>
        <v>1764.6983142550685</v>
      </c>
      <c r="W172" s="146">
        <f t="shared" si="92"/>
        <v>2038.4052955803513</v>
      </c>
      <c r="X172" s="146">
        <f t="shared" si="92"/>
        <v>2236.0552460028325</v>
      </c>
      <c r="Y172" s="146">
        <f t="shared" si="92"/>
        <v>2902.0074152312832</v>
      </c>
      <c r="Z172" s="253">
        <f t="shared" si="92"/>
        <v>3059.6282626262628</v>
      </c>
      <c r="AA172" s="253">
        <f t="shared" si="92"/>
        <v>3522.7791812917985</v>
      </c>
      <c r="AB172" s="253">
        <f t="shared" si="92"/>
        <v>3855.0285635791006</v>
      </c>
      <c r="AC172" s="253">
        <f t="shared" si="92"/>
        <v>3983.7944612090632</v>
      </c>
      <c r="AD172" s="253">
        <f t="shared" ref="AD172:AE172" si="93">SUM(AD160:AD171)</f>
        <v>3734.9213477973208</v>
      </c>
      <c r="AE172" s="253">
        <f t="shared" si="93"/>
        <v>4756.4462238168699</v>
      </c>
    </row>
    <row r="173" spans="1:31">
      <c r="A173" s="248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</row>
    <row r="174" spans="1:31" ht="15.75" thickBot="1">
      <c r="A174" s="235" t="s">
        <v>259</v>
      </c>
      <c r="Y174" s="146"/>
    </row>
    <row r="175" spans="1:31" ht="15.75" thickBot="1">
      <c r="A175" s="236"/>
      <c r="B175" s="237" t="str">
        <f>B$2</f>
        <v xml:space="preserve">93/94 </v>
      </c>
      <c r="C175" s="237" t="str">
        <f t="shared" ref="C175:AE175" si="94">C$2</f>
        <v xml:space="preserve">94/95 </v>
      </c>
      <c r="D175" s="237" t="str">
        <f t="shared" si="94"/>
        <v xml:space="preserve">95/96 </v>
      </c>
      <c r="E175" s="237" t="str">
        <f t="shared" si="94"/>
        <v xml:space="preserve">96/97 </v>
      </c>
      <c r="F175" s="237" t="str">
        <f t="shared" si="94"/>
        <v xml:space="preserve">97/98 </v>
      </c>
      <c r="G175" s="237" t="str">
        <f t="shared" si="94"/>
        <v xml:space="preserve">98/99 </v>
      </c>
      <c r="H175" s="237" t="str">
        <f t="shared" si="94"/>
        <v xml:space="preserve">99/00 </v>
      </c>
      <c r="I175" s="237" t="str">
        <f t="shared" si="94"/>
        <v xml:space="preserve">00/01 </v>
      </c>
      <c r="J175" s="237" t="str">
        <f t="shared" si="94"/>
        <v xml:space="preserve">01/02 </v>
      </c>
      <c r="K175" s="237" t="str">
        <f t="shared" si="94"/>
        <v xml:space="preserve">02/03 </v>
      </c>
      <c r="L175" s="237" t="str">
        <f t="shared" si="94"/>
        <v xml:space="preserve">03/04 </v>
      </c>
      <c r="M175" s="237" t="str">
        <f t="shared" si="94"/>
        <v xml:space="preserve">04/05 </v>
      </c>
      <c r="N175" s="237" t="str">
        <f t="shared" si="94"/>
        <v xml:space="preserve">05/06 </v>
      </c>
      <c r="O175" s="237" t="str">
        <f t="shared" si="94"/>
        <v xml:space="preserve">06/07 </v>
      </c>
      <c r="P175" s="237" t="str">
        <f t="shared" si="94"/>
        <v xml:space="preserve">07/08 </v>
      </c>
      <c r="Q175" s="237" t="str">
        <f t="shared" si="94"/>
        <v xml:space="preserve">08/09 </v>
      </c>
      <c r="R175" s="237" t="str">
        <f t="shared" si="94"/>
        <v xml:space="preserve">09/10 </v>
      </c>
      <c r="S175" s="237" t="str">
        <f t="shared" si="94"/>
        <v xml:space="preserve">10/11 </v>
      </c>
      <c r="T175" s="237" t="str">
        <f t="shared" si="94"/>
        <v xml:space="preserve">11/12 </v>
      </c>
      <c r="U175" s="237" t="str">
        <f t="shared" si="94"/>
        <v xml:space="preserve">12/13 </v>
      </c>
      <c r="V175" s="237" t="str">
        <f t="shared" si="94"/>
        <v xml:space="preserve">13/14 </v>
      </c>
      <c r="W175" s="237" t="str">
        <f t="shared" si="94"/>
        <v xml:space="preserve">14/15 </v>
      </c>
      <c r="X175" s="237" t="str">
        <f t="shared" si="94"/>
        <v xml:space="preserve">15/16 </v>
      </c>
      <c r="Y175" s="237" t="str">
        <f t="shared" si="94"/>
        <v xml:space="preserve">16/17 </v>
      </c>
      <c r="Z175" s="237" t="str">
        <f t="shared" si="94"/>
        <v xml:space="preserve">17/18 </v>
      </c>
      <c r="AA175" s="237" t="str">
        <f t="shared" si="94"/>
        <v xml:space="preserve">18/19 </v>
      </c>
      <c r="AB175" s="237" t="str">
        <f t="shared" si="94"/>
        <v xml:space="preserve">19/20 </v>
      </c>
      <c r="AC175" s="237" t="str">
        <f t="shared" si="94"/>
        <v xml:space="preserve">20/21 </v>
      </c>
      <c r="AD175" s="237" t="str">
        <f t="shared" si="94"/>
        <v xml:space="preserve">21/22 </v>
      </c>
      <c r="AE175" s="237" t="str">
        <f t="shared" si="94"/>
        <v xml:space="preserve">22/23 </v>
      </c>
    </row>
    <row r="176" spans="1:31">
      <c r="A176" s="240" t="s">
        <v>239</v>
      </c>
      <c r="B176" s="290">
        <f>(B$187-B$22)/13+B22</f>
        <v>0</v>
      </c>
      <c r="C176" s="290">
        <f>(C$187-B$187)/13+B187</f>
        <v>3.8461538461538463</v>
      </c>
      <c r="D176" s="290">
        <f t="shared" ref="D176:AE176" si="95">(D$187-C$187)/13+C187</f>
        <v>56.92307692307692</v>
      </c>
      <c r="E176" s="290">
        <f t="shared" si="95"/>
        <v>129.23076923076923</v>
      </c>
      <c r="F176" s="290">
        <f t="shared" si="95"/>
        <v>0</v>
      </c>
      <c r="G176" s="290">
        <f t="shared" si="95"/>
        <v>0</v>
      </c>
      <c r="H176" s="290">
        <f t="shared" si="95"/>
        <v>0</v>
      </c>
      <c r="I176" s="290">
        <f t="shared" si="95"/>
        <v>0</v>
      </c>
      <c r="J176" s="290">
        <f t="shared" si="95"/>
        <v>0</v>
      </c>
      <c r="K176" s="290">
        <f t="shared" si="95"/>
        <v>0</v>
      </c>
      <c r="L176" s="290">
        <f t="shared" si="95"/>
        <v>0</v>
      </c>
      <c r="M176" s="290">
        <f t="shared" si="95"/>
        <v>0</v>
      </c>
      <c r="N176" s="290">
        <f t="shared" si="95"/>
        <v>0</v>
      </c>
      <c r="O176" s="290">
        <f t="shared" si="95"/>
        <v>1.0769230769230769</v>
      </c>
      <c r="P176" s="290">
        <f t="shared" si="95"/>
        <v>14.307692307692308</v>
      </c>
      <c r="Q176" s="290">
        <f t="shared" si="95"/>
        <v>18.384615384615383</v>
      </c>
      <c r="R176" s="290">
        <f t="shared" si="95"/>
        <v>40.615384615384613</v>
      </c>
      <c r="S176" s="290">
        <f t="shared" si="95"/>
        <v>238.15384615384616</v>
      </c>
      <c r="T176" s="290">
        <f t="shared" si="95"/>
        <v>79.615384615384613</v>
      </c>
      <c r="U176" s="290">
        <f t="shared" si="95"/>
        <v>167.84615384615384</v>
      </c>
      <c r="V176" s="290">
        <f t="shared" si="95"/>
        <v>137.53846153846155</v>
      </c>
      <c r="W176" s="290">
        <f t="shared" si="95"/>
        <v>225.30769230769232</v>
      </c>
      <c r="X176" s="290">
        <f t="shared" si="95"/>
        <v>197.30769230769232</v>
      </c>
      <c r="Y176" s="290">
        <f t="shared" si="95"/>
        <v>256.76923076923077</v>
      </c>
      <c r="Z176" s="252">
        <f t="shared" si="95"/>
        <v>346.38461538461536</v>
      </c>
      <c r="AA176" s="252">
        <f t="shared" si="95"/>
        <v>299</v>
      </c>
      <c r="AB176" s="252">
        <f t="shared" si="95"/>
        <v>248.23076923076923</v>
      </c>
      <c r="AC176" s="252">
        <f t="shared" si="95"/>
        <v>225.38461538461539</v>
      </c>
      <c r="AD176" s="252">
        <f t="shared" si="95"/>
        <v>350</v>
      </c>
      <c r="AE176" s="252">
        <f t="shared" si="95"/>
        <v>332.69230769230768</v>
      </c>
    </row>
    <row r="177" spans="1:31">
      <c r="A177" s="240" t="s">
        <v>240</v>
      </c>
      <c r="B177" s="290">
        <f>(B$187-B$22)/13+B176</f>
        <v>0</v>
      </c>
      <c r="C177" s="290">
        <f>(C$187-B$187)/13+C176</f>
        <v>7.6923076923076925</v>
      </c>
      <c r="D177" s="290">
        <f t="shared" ref="D177:AE186" si="96">(D$187-C$187)/13+D176</f>
        <v>63.84615384615384</v>
      </c>
      <c r="E177" s="290">
        <f t="shared" si="96"/>
        <v>118.46153846153845</v>
      </c>
      <c r="F177" s="290">
        <f t="shared" si="96"/>
        <v>0</v>
      </c>
      <c r="G177" s="290">
        <f t="shared" si="96"/>
        <v>0</v>
      </c>
      <c r="H177" s="290">
        <f t="shared" si="96"/>
        <v>0</v>
      </c>
      <c r="I177" s="290">
        <f t="shared" si="96"/>
        <v>0</v>
      </c>
      <c r="J177" s="290">
        <f t="shared" si="96"/>
        <v>0</v>
      </c>
      <c r="K177" s="290">
        <f t="shared" si="96"/>
        <v>0</v>
      </c>
      <c r="L177" s="290">
        <f t="shared" si="96"/>
        <v>0</v>
      </c>
      <c r="M177" s="290">
        <f t="shared" si="96"/>
        <v>0</v>
      </c>
      <c r="N177" s="290">
        <f t="shared" si="96"/>
        <v>0</v>
      </c>
      <c r="O177" s="290">
        <f t="shared" si="96"/>
        <v>2.1538461538461537</v>
      </c>
      <c r="P177" s="290">
        <f t="shared" si="96"/>
        <v>14.615384615384617</v>
      </c>
      <c r="Q177" s="290">
        <f t="shared" si="96"/>
        <v>18.769230769230766</v>
      </c>
      <c r="R177" s="290">
        <f t="shared" si="96"/>
        <v>58.230769230769226</v>
      </c>
      <c r="S177" s="290">
        <f t="shared" si="96"/>
        <v>224.30769230769232</v>
      </c>
      <c r="T177" s="290">
        <f t="shared" si="96"/>
        <v>87.230769230769226</v>
      </c>
      <c r="U177" s="290">
        <f t="shared" si="96"/>
        <v>164.69230769230768</v>
      </c>
      <c r="V177" s="290">
        <f t="shared" si="96"/>
        <v>145.07692307692309</v>
      </c>
      <c r="W177" s="290">
        <f t="shared" si="96"/>
        <v>222.61538461538464</v>
      </c>
      <c r="X177" s="290">
        <f t="shared" si="96"/>
        <v>201.61538461538464</v>
      </c>
      <c r="Y177" s="290">
        <f t="shared" si="96"/>
        <v>264.53846153846155</v>
      </c>
      <c r="Z177" s="252">
        <f t="shared" si="96"/>
        <v>342.76923076923072</v>
      </c>
      <c r="AA177" s="252">
        <f t="shared" si="96"/>
        <v>295</v>
      </c>
      <c r="AB177" s="252">
        <f t="shared" si="96"/>
        <v>245.46153846153845</v>
      </c>
      <c r="AC177" s="252">
        <f t="shared" si="96"/>
        <v>235.76923076923077</v>
      </c>
      <c r="AD177" s="252">
        <f t="shared" si="96"/>
        <v>350</v>
      </c>
      <c r="AE177" s="252">
        <f t="shared" si="96"/>
        <v>315.38461538461536</v>
      </c>
    </row>
    <row r="178" spans="1:31">
      <c r="A178" s="240" t="s">
        <v>241</v>
      </c>
      <c r="B178" s="290">
        <f t="shared" ref="B178:B186" si="97">(B$187-B$22)/13+B177</f>
        <v>0</v>
      </c>
      <c r="C178" s="290">
        <f t="shared" ref="C178:C186" si="98">(C$187-B$187)/13+C177</f>
        <v>11.538461538461538</v>
      </c>
      <c r="D178" s="290">
        <f t="shared" si="96"/>
        <v>70.769230769230759</v>
      </c>
      <c r="E178" s="290">
        <f t="shared" si="96"/>
        <v>107.69230769230768</v>
      </c>
      <c r="F178" s="290">
        <f t="shared" si="96"/>
        <v>0</v>
      </c>
      <c r="G178" s="290">
        <f t="shared" si="96"/>
        <v>0</v>
      </c>
      <c r="H178" s="290">
        <f t="shared" si="96"/>
        <v>0</v>
      </c>
      <c r="I178" s="290">
        <f t="shared" si="96"/>
        <v>0</v>
      </c>
      <c r="J178" s="290">
        <f t="shared" si="96"/>
        <v>0</v>
      </c>
      <c r="K178" s="290">
        <f t="shared" si="96"/>
        <v>0</v>
      </c>
      <c r="L178" s="290">
        <f t="shared" si="96"/>
        <v>0</v>
      </c>
      <c r="M178" s="290">
        <f t="shared" si="96"/>
        <v>0</v>
      </c>
      <c r="N178" s="290">
        <f t="shared" si="96"/>
        <v>0</v>
      </c>
      <c r="O178" s="290">
        <f t="shared" si="96"/>
        <v>3.2307692307692308</v>
      </c>
      <c r="P178" s="290">
        <f t="shared" si="96"/>
        <v>14.923076923076925</v>
      </c>
      <c r="Q178" s="290">
        <f t="shared" si="96"/>
        <v>19.15384615384615</v>
      </c>
      <c r="R178" s="290">
        <f t="shared" si="96"/>
        <v>75.84615384615384</v>
      </c>
      <c r="S178" s="290">
        <f t="shared" si="96"/>
        <v>210.46153846153848</v>
      </c>
      <c r="T178" s="290">
        <f t="shared" si="96"/>
        <v>94.84615384615384</v>
      </c>
      <c r="U178" s="290">
        <f t="shared" si="96"/>
        <v>161.53846153846152</v>
      </c>
      <c r="V178" s="290">
        <f t="shared" si="96"/>
        <v>152.61538461538464</v>
      </c>
      <c r="W178" s="290">
        <f t="shared" si="96"/>
        <v>219.92307692307696</v>
      </c>
      <c r="X178" s="290">
        <f t="shared" si="96"/>
        <v>205.92307692307696</v>
      </c>
      <c r="Y178" s="290">
        <f t="shared" si="96"/>
        <v>272.30769230769232</v>
      </c>
      <c r="Z178" s="252">
        <f t="shared" si="96"/>
        <v>339.15384615384608</v>
      </c>
      <c r="AA178" s="252">
        <f t="shared" si="96"/>
        <v>291</v>
      </c>
      <c r="AB178" s="252">
        <f t="shared" si="96"/>
        <v>242.69230769230768</v>
      </c>
      <c r="AC178" s="252">
        <f t="shared" si="96"/>
        <v>246.15384615384616</v>
      </c>
      <c r="AD178" s="252">
        <f t="shared" si="96"/>
        <v>350</v>
      </c>
      <c r="AE178" s="252">
        <f t="shared" si="96"/>
        <v>298.07692307692304</v>
      </c>
    </row>
    <row r="179" spans="1:31">
      <c r="A179" s="240" t="s">
        <v>231</v>
      </c>
      <c r="B179" s="290">
        <f t="shared" si="97"/>
        <v>0</v>
      </c>
      <c r="C179" s="290">
        <f t="shared" si="98"/>
        <v>15.384615384615385</v>
      </c>
      <c r="D179" s="290">
        <f t="shared" si="96"/>
        <v>77.692307692307679</v>
      </c>
      <c r="E179" s="290">
        <f t="shared" si="96"/>
        <v>96.923076923076906</v>
      </c>
      <c r="F179" s="290">
        <f t="shared" si="96"/>
        <v>0</v>
      </c>
      <c r="G179" s="290">
        <f t="shared" si="96"/>
        <v>0</v>
      </c>
      <c r="H179" s="290">
        <f t="shared" si="96"/>
        <v>0</v>
      </c>
      <c r="I179" s="290">
        <f t="shared" si="96"/>
        <v>0</v>
      </c>
      <c r="J179" s="290">
        <f t="shared" si="96"/>
        <v>0</v>
      </c>
      <c r="K179" s="290">
        <f t="shared" si="96"/>
        <v>0</v>
      </c>
      <c r="L179" s="290">
        <f t="shared" si="96"/>
        <v>0</v>
      </c>
      <c r="M179" s="290">
        <f t="shared" si="96"/>
        <v>0</v>
      </c>
      <c r="N179" s="290">
        <f t="shared" si="96"/>
        <v>0</v>
      </c>
      <c r="O179" s="290">
        <f t="shared" si="96"/>
        <v>4.3076923076923075</v>
      </c>
      <c r="P179" s="290">
        <f t="shared" si="96"/>
        <v>15.230769230769234</v>
      </c>
      <c r="Q179" s="290">
        <f t="shared" si="96"/>
        <v>19.538461538461533</v>
      </c>
      <c r="R179" s="290">
        <f t="shared" si="96"/>
        <v>93.461538461538453</v>
      </c>
      <c r="S179" s="290">
        <f t="shared" si="96"/>
        <v>196.61538461538464</v>
      </c>
      <c r="T179" s="290">
        <f t="shared" si="96"/>
        <v>102.46153846153845</v>
      </c>
      <c r="U179" s="290">
        <f t="shared" si="96"/>
        <v>158.38461538461536</v>
      </c>
      <c r="V179" s="290">
        <f t="shared" si="96"/>
        <v>160.15384615384619</v>
      </c>
      <c r="W179" s="290">
        <f t="shared" si="96"/>
        <v>217.23076923076928</v>
      </c>
      <c r="X179" s="290">
        <f t="shared" si="96"/>
        <v>210.23076923076928</v>
      </c>
      <c r="Y179" s="290">
        <f t="shared" si="96"/>
        <v>280.07692307692309</v>
      </c>
      <c r="Z179" s="252">
        <f t="shared" si="96"/>
        <v>335.53846153846143</v>
      </c>
      <c r="AA179" s="252">
        <f t="shared" si="96"/>
        <v>287</v>
      </c>
      <c r="AB179" s="252">
        <f t="shared" si="96"/>
        <v>239.92307692307691</v>
      </c>
      <c r="AC179" s="252">
        <f t="shared" si="96"/>
        <v>256.53846153846155</v>
      </c>
      <c r="AD179" s="252">
        <f t="shared" si="96"/>
        <v>350</v>
      </c>
      <c r="AE179" s="252">
        <f t="shared" si="96"/>
        <v>280.76923076923072</v>
      </c>
    </row>
    <row r="180" spans="1:31">
      <c r="A180" s="240" t="s">
        <v>232</v>
      </c>
      <c r="B180" s="290">
        <f t="shared" si="97"/>
        <v>0</v>
      </c>
      <c r="C180" s="290">
        <f t="shared" si="98"/>
        <v>19.23076923076923</v>
      </c>
      <c r="D180" s="290">
        <f t="shared" si="96"/>
        <v>84.615384615384599</v>
      </c>
      <c r="E180" s="290">
        <f t="shared" si="96"/>
        <v>86.153846153846132</v>
      </c>
      <c r="F180" s="290">
        <f t="shared" si="96"/>
        <v>0</v>
      </c>
      <c r="G180" s="290">
        <f t="shared" si="96"/>
        <v>0</v>
      </c>
      <c r="H180" s="290">
        <f t="shared" si="96"/>
        <v>0</v>
      </c>
      <c r="I180" s="290">
        <f t="shared" si="96"/>
        <v>0</v>
      </c>
      <c r="J180" s="290">
        <f t="shared" si="96"/>
        <v>0</v>
      </c>
      <c r="K180" s="290">
        <f t="shared" si="96"/>
        <v>0</v>
      </c>
      <c r="L180" s="290">
        <f t="shared" si="96"/>
        <v>0</v>
      </c>
      <c r="M180" s="290">
        <f t="shared" si="96"/>
        <v>0</v>
      </c>
      <c r="N180" s="290">
        <f t="shared" si="96"/>
        <v>0</v>
      </c>
      <c r="O180" s="290">
        <f t="shared" si="96"/>
        <v>5.3846153846153841</v>
      </c>
      <c r="P180" s="290">
        <f t="shared" si="96"/>
        <v>15.538461538461542</v>
      </c>
      <c r="Q180" s="290">
        <f t="shared" si="96"/>
        <v>19.923076923076916</v>
      </c>
      <c r="R180" s="290">
        <f t="shared" si="96"/>
        <v>111.07692307692307</v>
      </c>
      <c r="S180" s="290">
        <f t="shared" si="96"/>
        <v>182.7692307692308</v>
      </c>
      <c r="T180" s="290">
        <f t="shared" si="96"/>
        <v>110.07692307692307</v>
      </c>
      <c r="U180" s="290">
        <f t="shared" si="96"/>
        <v>155.2307692307692</v>
      </c>
      <c r="V180" s="290">
        <f t="shared" si="96"/>
        <v>167.69230769230774</v>
      </c>
      <c r="W180" s="290">
        <f t="shared" si="96"/>
        <v>214.5384615384616</v>
      </c>
      <c r="X180" s="290">
        <f t="shared" si="96"/>
        <v>214.5384615384616</v>
      </c>
      <c r="Y180" s="290">
        <f t="shared" si="96"/>
        <v>287.84615384615387</v>
      </c>
      <c r="Z180" s="252">
        <f t="shared" si="96"/>
        <v>331.92307692307679</v>
      </c>
      <c r="AA180" s="252">
        <f t="shared" si="96"/>
        <v>283</v>
      </c>
      <c r="AB180" s="252">
        <f t="shared" si="96"/>
        <v>237.15384615384613</v>
      </c>
      <c r="AC180" s="252">
        <f t="shared" si="96"/>
        <v>266.92307692307691</v>
      </c>
      <c r="AD180" s="252">
        <f t="shared" si="96"/>
        <v>350</v>
      </c>
      <c r="AE180" s="252">
        <f t="shared" si="96"/>
        <v>263.4615384615384</v>
      </c>
    </row>
    <row r="181" spans="1:31">
      <c r="A181" s="240" t="s">
        <v>233</v>
      </c>
      <c r="B181" s="290">
        <f t="shared" si="97"/>
        <v>0</v>
      </c>
      <c r="C181" s="290">
        <f t="shared" si="98"/>
        <v>23.076923076923077</v>
      </c>
      <c r="D181" s="290">
        <f t="shared" si="96"/>
        <v>91.538461538461519</v>
      </c>
      <c r="E181" s="290">
        <f t="shared" si="96"/>
        <v>75.384615384615358</v>
      </c>
      <c r="F181" s="290">
        <f t="shared" si="96"/>
        <v>0</v>
      </c>
      <c r="G181" s="290">
        <f t="shared" si="96"/>
        <v>0</v>
      </c>
      <c r="H181" s="290">
        <f t="shared" si="96"/>
        <v>0</v>
      </c>
      <c r="I181" s="290">
        <f t="shared" si="96"/>
        <v>0</v>
      </c>
      <c r="J181" s="290">
        <f t="shared" si="96"/>
        <v>0</v>
      </c>
      <c r="K181" s="290">
        <f t="shared" si="96"/>
        <v>0</v>
      </c>
      <c r="L181" s="290">
        <f t="shared" si="96"/>
        <v>0</v>
      </c>
      <c r="M181" s="290">
        <f t="shared" si="96"/>
        <v>0</v>
      </c>
      <c r="N181" s="290">
        <f t="shared" si="96"/>
        <v>0</v>
      </c>
      <c r="O181" s="290">
        <f t="shared" si="96"/>
        <v>6.4615384615384608</v>
      </c>
      <c r="P181" s="290">
        <f t="shared" si="96"/>
        <v>15.84615384615385</v>
      </c>
      <c r="Q181" s="290">
        <f t="shared" si="96"/>
        <v>20.307692307692299</v>
      </c>
      <c r="R181" s="290">
        <f t="shared" si="96"/>
        <v>128.69230769230768</v>
      </c>
      <c r="S181" s="290">
        <f t="shared" si="96"/>
        <v>168.92307692307696</v>
      </c>
      <c r="T181" s="290">
        <f t="shared" si="96"/>
        <v>117.69230769230768</v>
      </c>
      <c r="U181" s="290">
        <f t="shared" si="96"/>
        <v>152.07692307692304</v>
      </c>
      <c r="V181" s="290">
        <f t="shared" si="96"/>
        <v>175.23076923076928</v>
      </c>
      <c r="W181" s="290">
        <f t="shared" si="96"/>
        <v>211.84615384615392</v>
      </c>
      <c r="X181" s="290">
        <f t="shared" si="96"/>
        <v>218.84615384615392</v>
      </c>
      <c r="Y181" s="290">
        <f t="shared" si="96"/>
        <v>295.61538461538464</v>
      </c>
      <c r="Z181" s="252">
        <f t="shared" si="96"/>
        <v>328.30769230769215</v>
      </c>
      <c r="AA181" s="252">
        <f t="shared" si="96"/>
        <v>279</v>
      </c>
      <c r="AB181" s="252">
        <f t="shared" si="96"/>
        <v>234.38461538461536</v>
      </c>
      <c r="AC181" s="252">
        <f t="shared" si="96"/>
        <v>277.30769230769226</v>
      </c>
      <c r="AD181" s="252">
        <f t="shared" si="96"/>
        <v>350</v>
      </c>
      <c r="AE181" s="252">
        <f t="shared" si="96"/>
        <v>246.15384615384608</v>
      </c>
    </row>
    <row r="182" spans="1:31">
      <c r="A182" s="240" t="s">
        <v>234</v>
      </c>
      <c r="B182" s="290">
        <f t="shared" si="97"/>
        <v>0</v>
      </c>
      <c r="C182" s="290">
        <f t="shared" si="98"/>
        <v>26.923076923076923</v>
      </c>
      <c r="D182" s="290">
        <f t="shared" si="96"/>
        <v>98.461538461538439</v>
      </c>
      <c r="E182" s="290">
        <f t="shared" si="96"/>
        <v>64.615384615384585</v>
      </c>
      <c r="F182" s="290">
        <f t="shared" si="96"/>
        <v>0</v>
      </c>
      <c r="G182" s="290">
        <f t="shared" si="96"/>
        <v>0</v>
      </c>
      <c r="H182" s="290">
        <f t="shared" si="96"/>
        <v>0</v>
      </c>
      <c r="I182" s="290">
        <f t="shared" si="96"/>
        <v>0</v>
      </c>
      <c r="J182" s="290">
        <f t="shared" si="96"/>
        <v>0</v>
      </c>
      <c r="K182" s="290">
        <f t="shared" si="96"/>
        <v>0</v>
      </c>
      <c r="L182" s="290">
        <f t="shared" si="96"/>
        <v>0</v>
      </c>
      <c r="M182" s="290">
        <f t="shared" si="96"/>
        <v>0</v>
      </c>
      <c r="N182" s="290">
        <f t="shared" si="96"/>
        <v>0</v>
      </c>
      <c r="O182" s="290">
        <f t="shared" si="96"/>
        <v>7.5384615384615374</v>
      </c>
      <c r="P182" s="290">
        <f t="shared" si="96"/>
        <v>16.153846153846157</v>
      </c>
      <c r="Q182" s="290">
        <f t="shared" si="96"/>
        <v>20.692307692307683</v>
      </c>
      <c r="R182" s="290">
        <f t="shared" si="96"/>
        <v>146.30769230769229</v>
      </c>
      <c r="S182" s="290">
        <f t="shared" si="96"/>
        <v>155.07692307692312</v>
      </c>
      <c r="T182" s="290">
        <f t="shared" si="96"/>
        <v>125.30769230769229</v>
      </c>
      <c r="U182" s="290">
        <f t="shared" si="96"/>
        <v>148.92307692307688</v>
      </c>
      <c r="V182" s="290">
        <f t="shared" si="96"/>
        <v>182.76923076923083</v>
      </c>
      <c r="W182" s="290">
        <f t="shared" si="96"/>
        <v>209.15384615384625</v>
      </c>
      <c r="X182" s="290">
        <f t="shared" si="96"/>
        <v>223.15384615384625</v>
      </c>
      <c r="Y182" s="290">
        <f t="shared" si="96"/>
        <v>303.38461538461542</v>
      </c>
      <c r="Z182" s="252">
        <f t="shared" si="96"/>
        <v>324.69230769230751</v>
      </c>
      <c r="AA182" s="252">
        <f t="shared" si="96"/>
        <v>275</v>
      </c>
      <c r="AB182" s="252">
        <f t="shared" si="96"/>
        <v>231.61538461538458</v>
      </c>
      <c r="AC182" s="252">
        <f t="shared" si="96"/>
        <v>287.69230769230762</v>
      </c>
      <c r="AD182" s="252">
        <f t="shared" si="96"/>
        <v>350</v>
      </c>
      <c r="AE182" s="252">
        <f t="shared" si="96"/>
        <v>228.84615384615375</v>
      </c>
    </row>
    <row r="183" spans="1:31">
      <c r="A183" s="240" t="s">
        <v>46</v>
      </c>
      <c r="B183" s="290">
        <f t="shared" si="97"/>
        <v>0</v>
      </c>
      <c r="C183" s="290">
        <f t="shared" si="98"/>
        <v>30.76923076923077</v>
      </c>
      <c r="D183" s="290">
        <f t="shared" si="96"/>
        <v>105.38461538461536</v>
      </c>
      <c r="E183" s="290">
        <f t="shared" si="96"/>
        <v>53.846153846153811</v>
      </c>
      <c r="F183" s="290">
        <f t="shared" si="96"/>
        <v>0</v>
      </c>
      <c r="G183" s="290">
        <f t="shared" si="96"/>
        <v>0</v>
      </c>
      <c r="H183" s="290">
        <f t="shared" si="96"/>
        <v>0</v>
      </c>
      <c r="I183" s="290">
        <f t="shared" si="96"/>
        <v>0</v>
      </c>
      <c r="J183" s="290">
        <f t="shared" si="96"/>
        <v>0</v>
      </c>
      <c r="K183" s="290">
        <f t="shared" si="96"/>
        <v>0</v>
      </c>
      <c r="L183" s="290">
        <f t="shared" si="96"/>
        <v>0</v>
      </c>
      <c r="M183" s="290">
        <f t="shared" si="96"/>
        <v>0</v>
      </c>
      <c r="N183" s="290">
        <f t="shared" si="96"/>
        <v>0</v>
      </c>
      <c r="O183" s="290">
        <f t="shared" si="96"/>
        <v>8.615384615384615</v>
      </c>
      <c r="P183" s="290">
        <f t="shared" si="96"/>
        <v>16.461538461538463</v>
      </c>
      <c r="Q183" s="290">
        <f t="shared" si="96"/>
        <v>21.076923076923066</v>
      </c>
      <c r="R183" s="290">
        <f t="shared" si="96"/>
        <v>163.92307692307691</v>
      </c>
      <c r="S183" s="290">
        <f t="shared" si="96"/>
        <v>141.23076923076928</v>
      </c>
      <c r="T183" s="290">
        <f t="shared" si="96"/>
        <v>132.92307692307691</v>
      </c>
      <c r="U183" s="290">
        <f t="shared" si="96"/>
        <v>145.76923076923072</v>
      </c>
      <c r="V183" s="290">
        <f t="shared" si="96"/>
        <v>190.30769230769238</v>
      </c>
      <c r="W183" s="290">
        <f t="shared" si="96"/>
        <v>206.46153846153857</v>
      </c>
      <c r="X183" s="290">
        <f t="shared" si="96"/>
        <v>227.46153846153857</v>
      </c>
      <c r="Y183" s="290">
        <f t="shared" si="96"/>
        <v>311.15384615384619</v>
      </c>
      <c r="Z183" s="252">
        <f t="shared" si="96"/>
        <v>321.07692307692287</v>
      </c>
      <c r="AA183" s="252">
        <f t="shared" si="96"/>
        <v>271</v>
      </c>
      <c r="AB183" s="252">
        <f t="shared" si="96"/>
        <v>228.84615384615381</v>
      </c>
      <c r="AC183" s="252">
        <f t="shared" si="96"/>
        <v>298.07692307692298</v>
      </c>
      <c r="AD183" s="252">
        <f t="shared" si="96"/>
        <v>350</v>
      </c>
      <c r="AE183" s="252">
        <f t="shared" si="96"/>
        <v>211.53846153846143</v>
      </c>
    </row>
    <row r="184" spans="1:31">
      <c r="A184" s="240" t="s">
        <v>235</v>
      </c>
      <c r="B184" s="290">
        <f t="shared" si="97"/>
        <v>0</v>
      </c>
      <c r="C184" s="290">
        <f t="shared" si="98"/>
        <v>34.615384615384613</v>
      </c>
      <c r="D184" s="290">
        <f t="shared" si="96"/>
        <v>112.30769230769228</v>
      </c>
      <c r="E184" s="290">
        <f t="shared" si="96"/>
        <v>43.076923076923038</v>
      </c>
      <c r="F184" s="290">
        <f t="shared" si="96"/>
        <v>0</v>
      </c>
      <c r="G184" s="290">
        <f t="shared" si="96"/>
        <v>0</v>
      </c>
      <c r="H184" s="290">
        <f t="shared" si="96"/>
        <v>0</v>
      </c>
      <c r="I184" s="290">
        <f t="shared" si="96"/>
        <v>0</v>
      </c>
      <c r="J184" s="290">
        <f t="shared" si="96"/>
        <v>0</v>
      </c>
      <c r="K184" s="290">
        <f t="shared" si="96"/>
        <v>0</v>
      </c>
      <c r="L184" s="290">
        <f t="shared" si="96"/>
        <v>0</v>
      </c>
      <c r="M184" s="290">
        <f t="shared" si="96"/>
        <v>0</v>
      </c>
      <c r="N184" s="290">
        <f t="shared" si="96"/>
        <v>0</v>
      </c>
      <c r="O184" s="290">
        <f t="shared" si="96"/>
        <v>9.6923076923076916</v>
      </c>
      <c r="P184" s="290">
        <f t="shared" si="96"/>
        <v>16.76923076923077</v>
      </c>
      <c r="Q184" s="290">
        <f t="shared" si="96"/>
        <v>21.461538461538449</v>
      </c>
      <c r="R184" s="290">
        <f t="shared" si="96"/>
        <v>181.53846153846152</v>
      </c>
      <c r="S184" s="290">
        <f t="shared" si="96"/>
        <v>127.38461538461544</v>
      </c>
      <c r="T184" s="290">
        <f t="shared" si="96"/>
        <v>140.53846153846152</v>
      </c>
      <c r="U184" s="290">
        <f t="shared" si="96"/>
        <v>142.61538461538456</v>
      </c>
      <c r="V184" s="290">
        <f t="shared" si="96"/>
        <v>197.84615384615392</v>
      </c>
      <c r="W184" s="290">
        <f t="shared" si="96"/>
        <v>203.76923076923089</v>
      </c>
      <c r="X184" s="290">
        <f t="shared" si="96"/>
        <v>231.76923076923089</v>
      </c>
      <c r="Y184" s="290">
        <f t="shared" si="96"/>
        <v>318.92307692307696</v>
      </c>
      <c r="Z184" s="252">
        <f t="shared" si="96"/>
        <v>317.46153846153823</v>
      </c>
      <c r="AA184" s="252">
        <f t="shared" si="96"/>
        <v>267</v>
      </c>
      <c r="AB184" s="252">
        <f t="shared" si="96"/>
        <v>226.07692307692304</v>
      </c>
      <c r="AC184" s="252">
        <f t="shared" si="96"/>
        <v>308.46153846153834</v>
      </c>
      <c r="AD184" s="252">
        <f t="shared" si="96"/>
        <v>350</v>
      </c>
      <c r="AE184" s="252">
        <f t="shared" si="96"/>
        <v>194.23076923076911</v>
      </c>
    </row>
    <row r="185" spans="1:31">
      <c r="A185" s="240" t="s">
        <v>236</v>
      </c>
      <c r="B185" s="290">
        <f t="shared" si="97"/>
        <v>0</v>
      </c>
      <c r="C185" s="290">
        <f t="shared" si="98"/>
        <v>38.46153846153846</v>
      </c>
      <c r="D185" s="290">
        <f t="shared" si="96"/>
        <v>119.2307692307692</v>
      </c>
      <c r="E185" s="290">
        <f t="shared" si="96"/>
        <v>32.307692307692264</v>
      </c>
      <c r="F185" s="290">
        <f t="shared" si="96"/>
        <v>0</v>
      </c>
      <c r="G185" s="290">
        <f t="shared" si="96"/>
        <v>0</v>
      </c>
      <c r="H185" s="290">
        <f t="shared" si="96"/>
        <v>0</v>
      </c>
      <c r="I185" s="290">
        <f t="shared" si="96"/>
        <v>0</v>
      </c>
      <c r="J185" s="290">
        <f t="shared" si="96"/>
        <v>0</v>
      </c>
      <c r="K185" s="290">
        <f t="shared" si="96"/>
        <v>0</v>
      </c>
      <c r="L185" s="290">
        <f t="shared" si="96"/>
        <v>0</v>
      </c>
      <c r="M185" s="290">
        <f t="shared" si="96"/>
        <v>0</v>
      </c>
      <c r="N185" s="290">
        <f t="shared" si="96"/>
        <v>0</v>
      </c>
      <c r="O185" s="290">
        <f t="shared" si="96"/>
        <v>10.769230769230768</v>
      </c>
      <c r="P185" s="290">
        <f t="shared" si="96"/>
        <v>17.076923076923077</v>
      </c>
      <c r="Q185" s="290">
        <f t="shared" si="96"/>
        <v>21.846153846153832</v>
      </c>
      <c r="R185" s="290">
        <f t="shared" si="96"/>
        <v>199.15384615384613</v>
      </c>
      <c r="S185" s="290">
        <f t="shared" si="96"/>
        <v>113.5384615384616</v>
      </c>
      <c r="T185" s="290">
        <f t="shared" si="96"/>
        <v>148.15384615384613</v>
      </c>
      <c r="U185" s="290">
        <f t="shared" si="96"/>
        <v>139.4615384615384</v>
      </c>
      <c r="V185" s="290">
        <f t="shared" si="96"/>
        <v>205.38461538461547</v>
      </c>
      <c r="W185" s="290">
        <f t="shared" si="96"/>
        <v>201.07692307692321</v>
      </c>
      <c r="X185" s="290">
        <f t="shared" si="96"/>
        <v>236.07692307692321</v>
      </c>
      <c r="Y185" s="290">
        <f t="shared" si="96"/>
        <v>326.69230769230774</v>
      </c>
      <c r="Z185" s="252">
        <f t="shared" si="96"/>
        <v>313.84615384615358</v>
      </c>
      <c r="AA185" s="252">
        <f t="shared" si="96"/>
        <v>263</v>
      </c>
      <c r="AB185" s="252">
        <f t="shared" si="96"/>
        <v>223.30769230769226</v>
      </c>
      <c r="AC185" s="252">
        <f t="shared" si="96"/>
        <v>318.8461538461537</v>
      </c>
      <c r="AD185" s="252">
        <f t="shared" si="96"/>
        <v>350</v>
      </c>
      <c r="AE185" s="252">
        <f t="shared" si="96"/>
        <v>176.92307692307679</v>
      </c>
    </row>
    <row r="186" spans="1:31">
      <c r="A186" s="240" t="s">
        <v>237</v>
      </c>
      <c r="B186" s="290">
        <f t="shared" si="97"/>
        <v>0</v>
      </c>
      <c r="C186" s="290">
        <f t="shared" si="98"/>
        <v>42.307692307692307</v>
      </c>
      <c r="D186" s="290">
        <f t="shared" si="96"/>
        <v>126.15384615384612</v>
      </c>
      <c r="E186" s="290">
        <f t="shared" si="96"/>
        <v>21.538461538461494</v>
      </c>
      <c r="F186" s="290">
        <f t="shared" si="96"/>
        <v>0</v>
      </c>
      <c r="G186" s="290">
        <f t="shared" ref="G186:AE186" si="99">(G$187-F$187)/13+G185</f>
        <v>0</v>
      </c>
      <c r="H186" s="290">
        <f t="shared" si="99"/>
        <v>0</v>
      </c>
      <c r="I186" s="290">
        <f t="shared" si="99"/>
        <v>0</v>
      </c>
      <c r="J186" s="290">
        <f t="shared" si="99"/>
        <v>0</v>
      </c>
      <c r="K186" s="290">
        <f t="shared" si="99"/>
        <v>0</v>
      </c>
      <c r="L186" s="290">
        <f t="shared" si="99"/>
        <v>0</v>
      </c>
      <c r="M186" s="290">
        <f t="shared" si="99"/>
        <v>0</v>
      </c>
      <c r="N186" s="290">
        <f t="shared" si="99"/>
        <v>0</v>
      </c>
      <c r="O186" s="290">
        <f t="shared" si="99"/>
        <v>11.846153846153845</v>
      </c>
      <c r="P186" s="290">
        <f t="shared" si="99"/>
        <v>17.384615384615383</v>
      </c>
      <c r="Q186" s="290">
        <f t="shared" si="99"/>
        <v>22.230769230769216</v>
      </c>
      <c r="R186" s="290">
        <f t="shared" si="99"/>
        <v>216.76923076923075</v>
      </c>
      <c r="S186" s="290">
        <f t="shared" si="99"/>
        <v>99.692307692307764</v>
      </c>
      <c r="T186" s="290">
        <f t="shared" si="99"/>
        <v>155.76923076923075</v>
      </c>
      <c r="U186" s="290">
        <f t="shared" si="99"/>
        <v>136.30769230769224</v>
      </c>
      <c r="V186" s="290">
        <f t="shared" si="99"/>
        <v>212.92307692307702</v>
      </c>
      <c r="W186" s="290">
        <f t="shared" si="99"/>
        <v>198.38461538461553</v>
      </c>
      <c r="X186" s="290">
        <f t="shared" si="99"/>
        <v>240.38461538461553</v>
      </c>
      <c r="Y186" s="290">
        <f t="shared" si="99"/>
        <v>334.46153846153851</v>
      </c>
      <c r="Z186" s="252">
        <f t="shared" si="99"/>
        <v>310.23076923076894</v>
      </c>
      <c r="AA186" s="252">
        <f t="shared" si="99"/>
        <v>259</v>
      </c>
      <c r="AB186" s="252">
        <f t="shared" si="99"/>
        <v>220.53846153846149</v>
      </c>
      <c r="AC186" s="252">
        <f t="shared" si="99"/>
        <v>329.23076923076906</v>
      </c>
      <c r="AD186" s="252">
        <f t="shared" si="99"/>
        <v>350</v>
      </c>
      <c r="AE186" s="252">
        <f t="shared" si="99"/>
        <v>159.61538461538447</v>
      </c>
    </row>
    <row r="187" spans="1:31" ht="15.75" thickBot="1">
      <c r="A187" s="240" t="s">
        <v>238</v>
      </c>
      <c r="B187" s="267">
        <f>B29</f>
        <v>0</v>
      </c>
      <c r="C187" s="267">
        <f t="shared" ref="C187:AE187" si="100">C29</f>
        <v>50</v>
      </c>
      <c r="D187" s="267">
        <f t="shared" si="100"/>
        <v>140</v>
      </c>
      <c r="E187" s="267">
        <f t="shared" si="100"/>
        <v>0</v>
      </c>
      <c r="F187" s="267">
        <f t="shared" si="100"/>
        <v>0</v>
      </c>
      <c r="G187" s="267">
        <f t="shared" si="100"/>
        <v>0</v>
      </c>
      <c r="H187" s="267">
        <f t="shared" si="100"/>
        <v>0</v>
      </c>
      <c r="I187" s="267">
        <f t="shared" si="100"/>
        <v>0</v>
      </c>
      <c r="J187" s="267">
        <f t="shared" si="100"/>
        <v>0</v>
      </c>
      <c r="K187" s="267">
        <f t="shared" si="100"/>
        <v>0</v>
      </c>
      <c r="L187" s="267">
        <f t="shared" si="100"/>
        <v>0</v>
      </c>
      <c r="M187" s="267">
        <f t="shared" si="100"/>
        <v>0</v>
      </c>
      <c r="N187" s="267">
        <f t="shared" si="100"/>
        <v>0</v>
      </c>
      <c r="O187" s="267">
        <f t="shared" si="100"/>
        <v>14</v>
      </c>
      <c r="P187" s="267">
        <f t="shared" si="100"/>
        <v>18</v>
      </c>
      <c r="Q187" s="267">
        <f t="shared" si="100"/>
        <v>23</v>
      </c>
      <c r="R187" s="267">
        <f t="shared" si="100"/>
        <v>252</v>
      </c>
      <c r="S187" s="267">
        <f t="shared" si="100"/>
        <v>72</v>
      </c>
      <c r="T187" s="267">
        <f t="shared" si="100"/>
        <v>171</v>
      </c>
      <c r="U187" s="267">
        <f t="shared" si="100"/>
        <v>130</v>
      </c>
      <c r="V187" s="267">
        <f t="shared" si="100"/>
        <v>228</v>
      </c>
      <c r="W187" s="267">
        <f t="shared" si="100"/>
        <v>193</v>
      </c>
      <c r="X187" s="267">
        <f t="shared" si="100"/>
        <v>249</v>
      </c>
      <c r="Y187" s="267">
        <f t="shared" si="100"/>
        <v>350</v>
      </c>
      <c r="Z187" s="268">
        <f t="shared" si="100"/>
        <v>303</v>
      </c>
      <c r="AA187" s="268">
        <f t="shared" si="100"/>
        <v>251</v>
      </c>
      <c r="AB187" s="268">
        <f t="shared" si="100"/>
        <v>215</v>
      </c>
      <c r="AC187" s="268">
        <f t="shared" si="100"/>
        <v>350</v>
      </c>
      <c r="AD187" s="268">
        <f t="shared" si="100"/>
        <v>350</v>
      </c>
      <c r="AE187" s="268">
        <f t="shared" si="100"/>
        <v>125</v>
      </c>
    </row>
    <row r="188" spans="1:31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  <c r="AD188" s="248"/>
      <c r="AE188" s="248"/>
    </row>
    <row r="189" spans="1:31" ht="15.75" thickBot="1">
      <c r="A189" s="235" t="s">
        <v>261</v>
      </c>
    </row>
    <row r="190" spans="1:31" ht="15.75" thickBot="1">
      <c r="A190" s="236"/>
      <c r="B190" s="237" t="str">
        <f>B$2</f>
        <v xml:space="preserve">93/94 </v>
      </c>
      <c r="C190" s="237" t="str">
        <f t="shared" ref="C190:AE190" si="101">C$2</f>
        <v xml:space="preserve">94/95 </v>
      </c>
      <c r="D190" s="237" t="str">
        <f t="shared" si="101"/>
        <v xml:space="preserve">95/96 </v>
      </c>
      <c r="E190" s="237" t="str">
        <f t="shared" si="101"/>
        <v xml:space="preserve">96/97 </v>
      </c>
      <c r="F190" s="237" t="str">
        <f t="shared" si="101"/>
        <v xml:space="preserve">97/98 </v>
      </c>
      <c r="G190" s="237" t="str">
        <f t="shared" si="101"/>
        <v xml:space="preserve">98/99 </v>
      </c>
      <c r="H190" s="237" t="str">
        <f t="shared" si="101"/>
        <v xml:space="preserve">99/00 </v>
      </c>
      <c r="I190" s="237" t="str">
        <f t="shared" si="101"/>
        <v xml:space="preserve">00/01 </v>
      </c>
      <c r="J190" s="237" t="str">
        <f t="shared" si="101"/>
        <v xml:space="preserve">01/02 </v>
      </c>
      <c r="K190" s="237" t="str">
        <f t="shared" si="101"/>
        <v xml:space="preserve">02/03 </v>
      </c>
      <c r="L190" s="237" t="str">
        <f t="shared" si="101"/>
        <v xml:space="preserve">03/04 </v>
      </c>
      <c r="M190" s="237" t="str">
        <f t="shared" si="101"/>
        <v xml:space="preserve">04/05 </v>
      </c>
      <c r="N190" s="237" t="str">
        <f t="shared" si="101"/>
        <v xml:space="preserve">05/06 </v>
      </c>
      <c r="O190" s="237" t="str">
        <f t="shared" si="101"/>
        <v xml:space="preserve">06/07 </v>
      </c>
      <c r="P190" s="237" t="str">
        <f t="shared" si="101"/>
        <v xml:space="preserve">07/08 </v>
      </c>
      <c r="Q190" s="237" t="str">
        <f t="shared" si="101"/>
        <v xml:space="preserve">08/09 </v>
      </c>
      <c r="R190" s="237" t="str">
        <f t="shared" si="101"/>
        <v xml:space="preserve">09/10 </v>
      </c>
      <c r="S190" s="237" t="str">
        <f t="shared" si="101"/>
        <v xml:space="preserve">10/11 </v>
      </c>
      <c r="T190" s="237" t="str">
        <f t="shared" si="101"/>
        <v xml:space="preserve">11/12 </v>
      </c>
      <c r="U190" s="237" t="str">
        <f t="shared" si="101"/>
        <v xml:space="preserve">12/13 </v>
      </c>
      <c r="V190" s="237" t="str">
        <f t="shared" si="101"/>
        <v xml:space="preserve">13/14 </v>
      </c>
      <c r="W190" s="237" t="str">
        <f t="shared" si="101"/>
        <v xml:space="preserve">14/15 </v>
      </c>
      <c r="X190" s="237" t="str">
        <f t="shared" si="101"/>
        <v xml:space="preserve">15/16 </v>
      </c>
      <c r="Y190" s="237" t="str">
        <f t="shared" si="101"/>
        <v xml:space="preserve">16/17 </v>
      </c>
      <c r="Z190" s="237" t="str">
        <f t="shared" si="101"/>
        <v xml:space="preserve">17/18 </v>
      </c>
      <c r="AA190" s="237" t="str">
        <f t="shared" si="101"/>
        <v xml:space="preserve">18/19 </v>
      </c>
      <c r="AB190" s="237" t="str">
        <f t="shared" si="101"/>
        <v xml:space="preserve">19/20 </v>
      </c>
      <c r="AC190" s="237" t="str">
        <f t="shared" si="101"/>
        <v xml:space="preserve">20/21 </v>
      </c>
      <c r="AD190" s="237" t="str">
        <f t="shared" si="101"/>
        <v xml:space="preserve">21/22 </v>
      </c>
      <c r="AE190" s="237" t="str">
        <f t="shared" si="101"/>
        <v xml:space="preserve">22/23 </v>
      </c>
    </row>
    <row r="191" spans="1:31">
      <c r="A191" s="240" t="s">
        <v>239</v>
      </c>
    </row>
    <row r="192" spans="1:31">
      <c r="A192" s="240" t="s">
        <v>240</v>
      </c>
    </row>
    <row r="193" spans="1:41">
      <c r="A193" s="240" t="s">
        <v>241</v>
      </c>
    </row>
    <row r="194" spans="1:41">
      <c r="A194" s="240" t="s">
        <v>231</v>
      </c>
    </row>
    <row r="195" spans="1:41">
      <c r="A195" s="240" t="s">
        <v>232</v>
      </c>
    </row>
    <row r="196" spans="1:41">
      <c r="A196" s="240" t="s">
        <v>233</v>
      </c>
    </row>
    <row r="197" spans="1:41">
      <c r="A197" s="240" t="s">
        <v>234</v>
      </c>
    </row>
    <row r="198" spans="1:41">
      <c r="A198" s="240" t="s">
        <v>46</v>
      </c>
      <c r="AO198" s="363"/>
    </row>
    <row r="199" spans="1:41">
      <c r="A199" s="240" t="s">
        <v>235</v>
      </c>
      <c r="AO199" s="364"/>
    </row>
    <row r="200" spans="1:41">
      <c r="A200" s="240" t="s">
        <v>236</v>
      </c>
      <c r="AO200" s="363"/>
    </row>
    <row r="201" spans="1:41">
      <c r="A201" s="240" t="s">
        <v>237</v>
      </c>
      <c r="AO201" s="363"/>
    </row>
    <row r="202" spans="1:41">
      <c r="A202" s="240" t="s">
        <v>238</v>
      </c>
      <c r="AO202" s="300"/>
    </row>
    <row r="203" spans="1:41" ht="15.75" thickBot="1">
      <c r="A203" s="240" t="s">
        <v>255</v>
      </c>
      <c r="AO203" s="300"/>
    </row>
    <row r="204" spans="1:41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  <c r="AD204" s="248"/>
      <c r="AE204" s="248"/>
      <c r="AO204" s="365"/>
    </row>
    <row r="205" spans="1:41" ht="15.75" thickBot="1">
      <c r="A205" s="235" t="s">
        <v>262</v>
      </c>
    </row>
    <row r="206" spans="1:41" ht="15.75" thickBot="1">
      <c r="A206" s="236"/>
      <c r="B206" s="237" t="str">
        <f>B$2</f>
        <v xml:space="preserve">93/94 </v>
      </c>
      <c r="C206" s="237" t="str">
        <f t="shared" ref="C206:AE206" si="102">C$2</f>
        <v xml:space="preserve">94/95 </v>
      </c>
      <c r="D206" s="237" t="str">
        <f t="shared" si="102"/>
        <v xml:space="preserve">95/96 </v>
      </c>
      <c r="E206" s="237" t="str">
        <f t="shared" si="102"/>
        <v xml:space="preserve">96/97 </v>
      </c>
      <c r="F206" s="237" t="str">
        <f t="shared" si="102"/>
        <v xml:space="preserve">97/98 </v>
      </c>
      <c r="G206" s="237" t="str">
        <f t="shared" si="102"/>
        <v xml:space="preserve">98/99 </v>
      </c>
      <c r="H206" s="237" t="str">
        <f t="shared" si="102"/>
        <v xml:space="preserve">99/00 </v>
      </c>
      <c r="I206" s="237" t="str">
        <f t="shared" si="102"/>
        <v xml:space="preserve">00/01 </v>
      </c>
      <c r="J206" s="237" t="str">
        <f t="shared" si="102"/>
        <v xml:space="preserve">01/02 </v>
      </c>
      <c r="K206" s="237" t="str">
        <f t="shared" si="102"/>
        <v xml:space="preserve">02/03 </v>
      </c>
      <c r="L206" s="237" t="str">
        <f t="shared" si="102"/>
        <v xml:space="preserve">03/04 </v>
      </c>
      <c r="M206" s="237" t="str">
        <f t="shared" si="102"/>
        <v xml:space="preserve">04/05 </v>
      </c>
      <c r="N206" s="237" t="str">
        <f t="shared" si="102"/>
        <v xml:space="preserve">05/06 </v>
      </c>
      <c r="O206" s="237" t="str">
        <f t="shared" si="102"/>
        <v xml:space="preserve">06/07 </v>
      </c>
      <c r="P206" s="237" t="str">
        <f t="shared" si="102"/>
        <v xml:space="preserve">07/08 </v>
      </c>
      <c r="Q206" s="237" t="str">
        <f t="shared" si="102"/>
        <v xml:space="preserve">08/09 </v>
      </c>
      <c r="R206" s="237" t="str">
        <f t="shared" si="102"/>
        <v xml:space="preserve">09/10 </v>
      </c>
      <c r="S206" s="237" t="str">
        <f t="shared" si="102"/>
        <v xml:space="preserve">10/11 </v>
      </c>
      <c r="T206" s="237" t="str">
        <f t="shared" si="102"/>
        <v xml:space="preserve">11/12 </v>
      </c>
      <c r="U206" s="237" t="str">
        <f t="shared" si="102"/>
        <v xml:space="preserve">12/13 </v>
      </c>
      <c r="V206" s="237" t="str">
        <f t="shared" si="102"/>
        <v xml:space="preserve">13/14 </v>
      </c>
      <c r="W206" s="237" t="str">
        <f t="shared" si="102"/>
        <v xml:space="preserve">14/15 </v>
      </c>
      <c r="X206" s="237" t="str">
        <f t="shared" si="102"/>
        <v xml:space="preserve">15/16 </v>
      </c>
      <c r="Y206" s="237" t="str">
        <f t="shared" si="102"/>
        <v xml:space="preserve">16/17 </v>
      </c>
      <c r="Z206" s="237" t="str">
        <f t="shared" si="102"/>
        <v xml:space="preserve">17/18 </v>
      </c>
      <c r="AA206" s="237" t="str">
        <f t="shared" si="102"/>
        <v xml:space="preserve">18/19 </v>
      </c>
      <c r="AB206" s="237" t="str">
        <f t="shared" si="102"/>
        <v xml:space="preserve">19/20 </v>
      </c>
      <c r="AC206" s="237" t="str">
        <f t="shared" si="102"/>
        <v xml:space="preserve">20/21 </v>
      </c>
      <c r="AD206" s="237" t="str">
        <f t="shared" si="102"/>
        <v xml:space="preserve">21/22 </v>
      </c>
      <c r="AE206" s="237" t="str">
        <f t="shared" si="102"/>
        <v xml:space="preserve">22/23 </v>
      </c>
    </row>
    <row r="207" spans="1:41">
      <c r="A207" s="240" t="s">
        <v>239</v>
      </c>
      <c r="B207" s="290">
        <f>B303+B287+B271-B255-B32</f>
        <v>58.076147062477375</v>
      </c>
      <c r="C207" s="290">
        <f>C303+C287+C271-C255-B314</f>
        <v>51.223754335058942</v>
      </c>
      <c r="D207" s="290">
        <f t="shared" ref="D207:Y207" si="103">D303+D287+D271-D255-C314</f>
        <v>72.66158613695201</v>
      </c>
      <c r="E207" s="290">
        <f t="shared" si="103"/>
        <v>71.923243339009332</v>
      </c>
      <c r="F207" s="290">
        <f t="shared" si="103"/>
        <v>40.156370692307689</v>
      </c>
      <c r="G207" s="290">
        <f t="shared" si="103"/>
        <v>81.171973153846153</v>
      </c>
      <c r="H207" s="290">
        <f t="shared" si="103"/>
        <v>91.016857846153854</v>
      </c>
      <c r="I207" s="290">
        <f t="shared" si="103"/>
        <v>93.57803589743591</v>
      </c>
      <c r="J207" s="290">
        <f t="shared" si="103"/>
        <v>93.138570384615392</v>
      </c>
      <c r="K207" s="290">
        <f t="shared" si="103"/>
        <v>103.26192561538463</v>
      </c>
      <c r="L207" s="290">
        <f t="shared" si="103"/>
        <v>109.90157417948717</v>
      </c>
      <c r="M207" s="290">
        <f t="shared" si="103"/>
        <v>129.99147184615384</v>
      </c>
      <c r="N207" s="290">
        <f t="shared" si="103"/>
        <v>154.34909610256412</v>
      </c>
      <c r="O207" s="290">
        <f t="shared" si="103"/>
        <v>150.91508112820514</v>
      </c>
      <c r="P207" s="290">
        <f t="shared" si="103"/>
        <v>153.5288918205128</v>
      </c>
      <c r="Q207" s="290">
        <f t="shared" si="103"/>
        <v>198.19834912820505</v>
      </c>
      <c r="R207" s="290">
        <f t="shared" si="103"/>
        <v>173.54937489743588</v>
      </c>
      <c r="S207" s="290">
        <f t="shared" si="103"/>
        <v>161.33178451282049</v>
      </c>
      <c r="T207" s="290">
        <f t="shared" si="103"/>
        <v>222.47784120512819</v>
      </c>
      <c r="U207" s="290">
        <f t="shared" si="103"/>
        <v>215.75332028205128</v>
      </c>
      <c r="V207" s="290">
        <f t="shared" si="103"/>
        <v>296.1956704615385</v>
      </c>
      <c r="W207" s="290">
        <f t="shared" si="103"/>
        <v>269.66279215384617</v>
      </c>
      <c r="X207" s="290">
        <f t="shared" si="103"/>
        <v>264.31950217948713</v>
      </c>
      <c r="Y207" s="290">
        <f t="shared" si="103"/>
        <v>322.30270397435896</v>
      </c>
      <c r="Z207" s="290">
        <f>Z303+Z287+Z271-Z255-Y314</f>
        <v>333.76048979487189</v>
      </c>
      <c r="AA207" s="252">
        <f t="shared" ref="AA207:AE211" si="104">AA$235*AA81</f>
        <v>381.92939833560513</v>
      </c>
      <c r="AB207" s="252">
        <f t="shared" si="104"/>
        <v>446.16035719569686</v>
      </c>
      <c r="AC207" s="252">
        <f t="shared" si="104"/>
        <v>441.11319770981584</v>
      </c>
      <c r="AD207" s="252">
        <f t="shared" si="104"/>
        <v>392.0058485180482</v>
      </c>
      <c r="AE207" s="252">
        <f t="shared" si="104"/>
        <v>368.10082481586227</v>
      </c>
      <c r="AH207" s="252"/>
      <c r="AI207" s="388"/>
      <c r="AJ207" s="388"/>
      <c r="AK207" s="388"/>
      <c r="AL207" s="388"/>
      <c r="AM207" s="252"/>
      <c r="AN207" s="240"/>
    </row>
    <row r="208" spans="1:41">
      <c r="A208" s="240" t="s">
        <v>240</v>
      </c>
      <c r="B208" s="290">
        <f>B304+B288+B272-B256-B303</f>
        <v>59.565465112943699</v>
      </c>
      <c r="C208" s="290">
        <f>C304+C288+C272-C256-C303</f>
        <v>54.950284217721261</v>
      </c>
      <c r="D208" s="290">
        <f t="shared" ref="D208:Y218" si="105">D304+D288+D272-D256-D303</f>
        <v>75.413607731715928</v>
      </c>
      <c r="E208" s="290">
        <f t="shared" si="105"/>
        <v>69.17771594304196</v>
      </c>
      <c r="F208" s="290">
        <f t="shared" si="105"/>
        <v>45.627362692307685</v>
      </c>
      <c r="G208" s="290">
        <f t="shared" si="105"/>
        <v>68.202643153846168</v>
      </c>
      <c r="H208" s="290">
        <f t="shared" si="105"/>
        <v>85.85461584615382</v>
      </c>
      <c r="I208" s="290">
        <f t="shared" si="105"/>
        <v>92.159183897435923</v>
      </c>
      <c r="J208" s="290">
        <f t="shared" si="105"/>
        <v>93.584439384615393</v>
      </c>
      <c r="K208" s="290">
        <f t="shared" si="105"/>
        <v>108.7479666153846</v>
      </c>
      <c r="L208" s="290">
        <f t="shared" si="105"/>
        <v>125.66892917948718</v>
      </c>
      <c r="M208" s="290">
        <f t="shared" si="105"/>
        <v>127.37625984615383</v>
      </c>
      <c r="N208" s="290">
        <f t="shared" si="105"/>
        <v>161.92782610256407</v>
      </c>
      <c r="O208" s="290">
        <f t="shared" si="105"/>
        <v>177.92644112820511</v>
      </c>
      <c r="P208" s="290">
        <f t="shared" si="105"/>
        <v>167.44430082051284</v>
      </c>
      <c r="Q208" s="290">
        <f t="shared" si="105"/>
        <v>194.52575312820511</v>
      </c>
      <c r="R208" s="290">
        <f t="shared" si="105"/>
        <v>212.01668589743588</v>
      </c>
      <c r="S208" s="290">
        <f t="shared" si="105"/>
        <v>136.2064975128205</v>
      </c>
      <c r="T208" s="290">
        <f t="shared" si="105"/>
        <v>294.32434720512816</v>
      </c>
      <c r="U208" s="290">
        <f t="shared" si="105"/>
        <v>229.23822428205133</v>
      </c>
      <c r="V208" s="290">
        <f t="shared" si="105"/>
        <v>312.60099946153849</v>
      </c>
      <c r="W208" s="290">
        <f t="shared" si="105"/>
        <v>270.51820615384611</v>
      </c>
      <c r="X208" s="290">
        <f t="shared" si="105"/>
        <v>294.46160817948714</v>
      </c>
      <c r="Y208" s="290">
        <f t="shared" si="105"/>
        <v>385.28531597435892</v>
      </c>
      <c r="Z208" s="290">
        <f>Z304+Z288+Z272-Z256-Z303</f>
        <v>411.06215679487173</v>
      </c>
      <c r="AA208" s="252">
        <f t="shared" si="104"/>
        <v>416.50709213700378</v>
      </c>
      <c r="AB208" s="252">
        <f t="shared" si="104"/>
        <v>502.50166840282958</v>
      </c>
      <c r="AC208" s="252">
        <f t="shared" si="104"/>
        <v>498.87776664902339</v>
      </c>
      <c r="AD208" s="252">
        <f t="shared" si="104"/>
        <v>450.59677626145208</v>
      </c>
      <c r="AE208" s="252">
        <f t="shared" si="104"/>
        <v>423.34825288505334</v>
      </c>
      <c r="AH208" s="252"/>
      <c r="AI208" s="388"/>
      <c r="AJ208" s="388"/>
      <c r="AK208" s="388"/>
      <c r="AL208" s="388"/>
      <c r="AM208" s="252"/>
      <c r="AN208" s="240"/>
    </row>
    <row r="209" spans="1:40">
      <c r="A209" s="240" t="s">
        <v>241</v>
      </c>
      <c r="B209" s="290">
        <f t="shared" ref="B209:C218" si="106">B305+B289+B273-B257-B304</f>
        <v>61.193507561686133</v>
      </c>
      <c r="C209" s="290">
        <f t="shared" si="106"/>
        <v>56.652108520795466</v>
      </c>
      <c r="D209" s="290">
        <f t="shared" si="105"/>
        <v>76.391988900453995</v>
      </c>
      <c r="E209" s="290">
        <f t="shared" si="105"/>
        <v>66.819350641025608</v>
      </c>
      <c r="F209" s="290">
        <f t="shared" si="105"/>
        <v>42.211908692307716</v>
      </c>
      <c r="G209" s="290">
        <f t="shared" si="105"/>
        <v>74.70075915384615</v>
      </c>
      <c r="H209" s="290">
        <f t="shared" si="105"/>
        <v>95.701953846153842</v>
      </c>
      <c r="I209" s="290">
        <f t="shared" si="105"/>
        <v>94.607699897435907</v>
      </c>
      <c r="J209" s="290">
        <f t="shared" si="105"/>
        <v>93.105409384615371</v>
      </c>
      <c r="K209" s="290">
        <f t="shared" si="105"/>
        <v>115.51863061538461</v>
      </c>
      <c r="L209" s="290">
        <f t="shared" si="105"/>
        <v>137.40055317948719</v>
      </c>
      <c r="M209" s="290">
        <f t="shared" si="105"/>
        <v>146.67934684615386</v>
      </c>
      <c r="N209" s="290">
        <f t="shared" si="105"/>
        <v>186.97821610256409</v>
      </c>
      <c r="O209" s="290">
        <f t="shared" si="105"/>
        <v>251.71532412820508</v>
      </c>
      <c r="P209" s="290">
        <f t="shared" si="105"/>
        <v>184.70388282051277</v>
      </c>
      <c r="Q209" s="290">
        <f t="shared" si="105"/>
        <v>260.05244112820509</v>
      </c>
      <c r="R209" s="290">
        <f t="shared" si="105"/>
        <v>220.13405489743593</v>
      </c>
      <c r="S209" s="290">
        <f t="shared" si="105"/>
        <v>143.10715851282049</v>
      </c>
      <c r="T209" s="290">
        <f t="shared" si="105"/>
        <v>283.56250720512816</v>
      </c>
      <c r="U209" s="290">
        <f t="shared" si="105"/>
        <v>249.8249752820513</v>
      </c>
      <c r="V209" s="290">
        <f t="shared" si="105"/>
        <v>368.93794746153844</v>
      </c>
      <c r="W209" s="290">
        <f t="shared" si="105"/>
        <v>325.78195115384619</v>
      </c>
      <c r="X209" s="290">
        <f t="shared" si="105"/>
        <v>354.65225717948715</v>
      </c>
      <c r="Y209" s="290">
        <f t="shared" si="105"/>
        <v>425.78591097435901</v>
      </c>
      <c r="Z209" s="290">
        <f>Z305+Z289+Z273-Z257-Z304</f>
        <v>423.99404579487191</v>
      </c>
      <c r="AA209" s="252">
        <f t="shared" si="104"/>
        <v>481.51438223994313</v>
      </c>
      <c r="AB209" s="252">
        <f t="shared" si="104"/>
        <v>570.11532052920438</v>
      </c>
      <c r="AC209" s="252">
        <f t="shared" si="104"/>
        <v>564.5140607408315</v>
      </c>
      <c r="AD209" s="252">
        <f t="shared" si="104"/>
        <v>505.80734016133869</v>
      </c>
      <c r="AE209" s="252">
        <f t="shared" si="104"/>
        <v>471.47142409501623</v>
      </c>
      <c r="AH209" s="252"/>
      <c r="AI209" s="388"/>
      <c r="AJ209" s="388"/>
      <c r="AK209" s="388"/>
      <c r="AL209" s="388"/>
      <c r="AM209" s="252"/>
      <c r="AN209" s="240"/>
    </row>
    <row r="210" spans="1:40">
      <c r="A210" s="240" t="s">
        <v>231</v>
      </c>
      <c r="B210" s="290">
        <f t="shared" si="106"/>
        <v>61.428715929069682</v>
      </c>
      <c r="C210" s="290">
        <f t="shared" si="106"/>
        <v>56.354571235658199</v>
      </c>
      <c r="D210" s="290">
        <f t="shared" si="105"/>
        <v>77.558081277758021</v>
      </c>
      <c r="E210" s="290">
        <f t="shared" si="105"/>
        <v>66.819350641025608</v>
      </c>
      <c r="F210" s="290">
        <f t="shared" si="105"/>
        <v>57.810905692307699</v>
      </c>
      <c r="G210" s="290">
        <f t="shared" si="105"/>
        <v>75.462860153846151</v>
      </c>
      <c r="H210" s="290">
        <f t="shared" si="105"/>
        <v>111.26304184615384</v>
      </c>
      <c r="I210" s="290">
        <f t="shared" si="105"/>
        <v>111.93016689743592</v>
      </c>
      <c r="J210" s="290">
        <f t="shared" si="105"/>
        <v>74.222676384615397</v>
      </c>
      <c r="K210" s="290">
        <f t="shared" si="105"/>
        <v>110.38603361538459</v>
      </c>
      <c r="L210" s="290">
        <f t="shared" si="105"/>
        <v>133.51185717948718</v>
      </c>
      <c r="M210" s="290">
        <f t="shared" si="105"/>
        <v>150.23376684615386</v>
      </c>
      <c r="N210" s="290">
        <f t="shared" si="105"/>
        <v>178.95822510256411</v>
      </c>
      <c r="O210" s="290">
        <f t="shared" si="105"/>
        <v>212.39662812820512</v>
      </c>
      <c r="P210" s="290">
        <f t="shared" si="105"/>
        <v>161.46170382051284</v>
      </c>
      <c r="Q210" s="290">
        <f t="shared" si="105"/>
        <v>196.31269512820506</v>
      </c>
      <c r="R210" s="290">
        <f t="shared" si="105"/>
        <v>193.14233089743584</v>
      </c>
      <c r="S210" s="290">
        <f t="shared" si="105"/>
        <v>144.82420251282051</v>
      </c>
      <c r="T210" s="290">
        <f t="shared" si="105"/>
        <v>253.7643782051282</v>
      </c>
      <c r="U210" s="290">
        <f t="shared" si="105"/>
        <v>274.24924328205122</v>
      </c>
      <c r="V210" s="290">
        <f t="shared" si="105"/>
        <v>286.27177046153844</v>
      </c>
      <c r="W210" s="290">
        <f t="shared" si="105"/>
        <v>306.2387651538462</v>
      </c>
      <c r="X210" s="290">
        <f t="shared" si="105"/>
        <v>306.62390817948722</v>
      </c>
      <c r="Y210" s="290">
        <f t="shared" si="105"/>
        <v>353.65748697435902</v>
      </c>
      <c r="Z210" s="290">
        <f>Z306+Z290+Z274-Z258-Z305</f>
        <v>291.91229679487185</v>
      </c>
      <c r="AA210" s="252">
        <f t="shared" si="104"/>
        <v>426.25961251037</v>
      </c>
      <c r="AB210" s="252">
        <f t="shared" si="104"/>
        <v>463.71457525530479</v>
      </c>
      <c r="AC210" s="252">
        <f t="shared" si="104"/>
        <v>472.74714038924105</v>
      </c>
      <c r="AD210" s="252">
        <f t="shared" si="104"/>
        <v>413.01606612492083</v>
      </c>
      <c r="AE210" s="252">
        <f t="shared" si="104"/>
        <v>383.97674507090659</v>
      </c>
      <c r="AH210" s="252"/>
      <c r="AI210" s="388"/>
      <c r="AJ210" s="388"/>
      <c r="AK210" s="388"/>
      <c r="AL210" s="388"/>
      <c r="AM210" s="252"/>
      <c r="AN210" s="240"/>
    </row>
    <row r="211" spans="1:40">
      <c r="A211" s="240" t="s">
        <v>232</v>
      </c>
      <c r="B211" s="290">
        <f t="shared" si="106"/>
        <v>63.139559364339675</v>
      </c>
      <c r="C211" s="290">
        <f t="shared" si="106"/>
        <v>56.870028706583639</v>
      </c>
      <c r="D211" s="290">
        <f t="shared" si="105"/>
        <v>77.620949067305475</v>
      </c>
      <c r="E211" s="290">
        <f t="shared" si="105"/>
        <v>64.891357641025593</v>
      </c>
      <c r="F211" s="290">
        <f t="shared" si="105"/>
        <v>58.459837692307715</v>
      </c>
      <c r="G211" s="290">
        <f t="shared" si="105"/>
        <v>55.17895715384617</v>
      </c>
      <c r="H211" s="290">
        <f t="shared" si="105"/>
        <v>111.75049784615382</v>
      </c>
      <c r="I211" s="290">
        <f t="shared" si="105"/>
        <v>120.8442268974359</v>
      </c>
      <c r="J211" s="290">
        <f t="shared" si="105"/>
        <v>78.960309384615385</v>
      </c>
      <c r="K211" s="290">
        <f t="shared" si="105"/>
        <v>114.53397161538463</v>
      </c>
      <c r="L211" s="290">
        <f t="shared" si="105"/>
        <v>137.1860891794872</v>
      </c>
      <c r="M211" s="290">
        <f t="shared" si="105"/>
        <v>149.42945684615384</v>
      </c>
      <c r="N211" s="290">
        <f t="shared" si="105"/>
        <v>181.91360510256411</v>
      </c>
      <c r="O211" s="290">
        <f t="shared" si="105"/>
        <v>199.34874712820516</v>
      </c>
      <c r="P211" s="290">
        <f t="shared" si="105"/>
        <v>163.58217582051282</v>
      </c>
      <c r="Q211" s="290">
        <f t="shared" si="105"/>
        <v>211.50647712820506</v>
      </c>
      <c r="R211" s="290">
        <f t="shared" si="105"/>
        <v>192.63995189743594</v>
      </c>
      <c r="S211" s="290">
        <f t="shared" si="105"/>
        <v>140.20651951282053</v>
      </c>
      <c r="T211" s="290">
        <f t="shared" si="105"/>
        <v>225.93463620512819</v>
      </c>
      <c r="U211" s="290">
        <f t="shared" si="105"/>
        <v>267.70859828205124</v>
      </c>
      <c r="V211" s="290">
        <f t="shared" si="105"/>
        <v>344.94607946153843</v>
      </c>
      <c r="W211" s="290">
        <f t="shared" si="105"/>
        <v>315.50535615384615</v>
      </c>
      <c r="X211" s="290">
        <f t="shared" si="105"/>
        <v>334.21490217948713</v>
      </c>
      <c r="Y211" s="290">
        <f t="shared" si="105"/>
        <v>319.480485974359</v>
      </c>
      <c r="Z211" s="290">
        <f>Z307+Z291+Z275-Z259-Z306</f>
        <v>343.22530679487193</v>
      </c>
      <c r="AA211" s="252">
        <f t="shared" si="104"/>
        <v>441.56255702347829</v>
      </c>
      <c r="AB211" s="252">
        <f t="shared" si="104"/>
        <v>497.53750749672599</v>
      </c>
      <c r="AC211" s="252">
        <f t="shared" si="104"/>
        <v>492.19329634775977</v>
      </c>
      <c r="AD211" s="252">
        <f t="shared" si="104"/>
        <v>434.05846511780436</v>
      </c>
      <c r="AE211" s="252">
        <f t="shared" si="104"/>
        <v>400.36359973984742</v>
      </c>
      <c r="AH211" s="252"/>
      <c r="AI211" s="388"/>
      <c r="AJ211" s="388"/>
      <c r="AK211" s="388"/>
      <c r="AL211" s="388"/>
      <c r="AM211" s="252"/>
      <c r="AN211" s="240"/>
    </row>
    <row r="212" spans="1:40">
      <c r="A212" s="240" t="s">
        <v>233</v>
      </c>
      <c r="B212" s="290">
        <f t="shared" si="106"/>
        <v>62.00381087105842</v>
      </c>
      <c r="C212" s="290">
        <f t="shared" si="106"/>
        <v>51.983355520980993</v>
      </c>
      <c r="D212" s="290">
        <f t="shared" si="105"/>
        <v>73.121125786712298</v>
      </c>
      <c r="E212" s="290">
        <f t="shared" si="105"/>
        <v>61.273444641025606</v>
      </c>
      <c r="F212" s="290">
        <f t="shared" si="105"/>
        <v>56.489394692307684</v>
      </c>
      <c r="G212" s="290">
        <f t="shared" si="105"/>
        <v>62.298335153846175</v>
      </c>
      <c r="H212" s="290">
        <f t="shared" si="105"/>
        <v>126.88894084615387</v>
      </c>
      <c r="I212" s="290">
        <f t="shared" si="105"/>
        <v>120.83382989743592</v>
      </c>
      <c r="J212" s="290">
        <f t="shared" si="105"/>
        <v>81.257199384615376</v>
      </c>
      <c r="K212" s="290">
        <f t="shared" si="105"/>
        <v>104.01456261538463</v>
      </c>
      <c r="L212" s="290">
        <f t="shared" si="105"/>
        <v>143.76244017948719</v>
      </c>
      <c r="M212" s="290">
        <f t="shared" si="105"/>
        <v>147.30122784615389</v>
      </c>
      <c r="N212" s="290">
        <f t="shared" si="105"/>
        <v>233.9260111025641</v>
      </c>
      <c r="O212" s="290">
        <f t="shared" si="105"/>
        <v>221.98118812820513</v>
      </c>
      <c r="P212" s="290">
        <f t="shared" si="105"/>
        <v>175.51518782051286</v>
      </c>
      <c r="Q212" s="290">
        <f t="shared" si="105"/>
        <v>190.01374612820507</v>
      </c>
      <c r="R212" s="290">
        <f t="shared" si="105"/>
        <v>191.15008189743588</v>
      </c>
      <c r="S212" s="290">
        <f t="shared" si="105"/>
        <v>145.52439551282052</v>
      </c>
      <c r="T212" s="290">
        <f t="shared" si="105"/>
        <v>343.27165620512812</v>
      </c>
      <c r="U212" s="290">
        <f t="shared" si="105"/>
        <v>298.29095128205131</v>
      </c>
      <c r="V212" s="290">
        <f t="shared" si="105"/>
        <v>359.70976946153843</v>
      </c>
      <c r="W212" s="290">
        <f t="shared" si="105"/>
        <v>314.09515915384611</v>
      </c>
      <c r="X212" s="290">
        <f t="shared" si="105"/>
        <v>352.26391317948713</v>
      </c>
      <c r="Y212" s="290">
        <f t="shared" si="105"/>
        <v>446.82049397435901</v>
      </c>
      <c r="Z212" s="252">
        <f t="shared" ref="Z212:AE217" si="107">Z$235*Z86</f>
        <v>419.53792801046916</v>
      </c>
      <c r="AA212" s="252">
        <f t="shared" si="107"/>
        <v>494.4087745275732</v>
      </c>
      <c r="AB212" s="252">
        <f t="shared" si="107"/>
        <v>568.09641123775032</v>
      </c>
      <c r="AC212" s="252">
        <f t="shared" si="107"/>
        <v>568.83501287357285</v>
      </c>
      <c r="AD212" s="252">
        <f t="shared" si="107"/>
        <v>511.42671655678959</v>
      </c>
      <c r="AE212" s="252">
        <f t="shared" si="107"/>
        <v>477.54662977737354</v>
      </c>
      <c r="AH212" s="252"/>
      <c r="AI212" s="388"/>
      <c r="AJ212" s="388"/>
      <c r="AK212" s="388"/>
      <c r="AL212" s="388"/>
      <c r="AM212" s="252"/>
      <c r="AN212" s="240"/>
    </row>
    <row r="213" spans="1:40">
      <c r="A213" s="240" t="s">
        <v>234</v>
      </c>
      <c r="B213" s="290">
        <f t="shared" si="106"/>
        <v>64.515881057859843</v>
      </c>
      <c r="C213" s="290">
        <f t="shared" si="106"/>
        <v>58.104410180352573</v>
      </c>
      <c r="D213" s="290">
        <f t="shared" si="105"/>
        <v>83.049936570453269</v>
      </c>
      <c r="E213" s="290">
        <f t="shared" si="105"/>
        <v>56.082875641025652</v>
      </c>
      <c r="F213" s="290">
        <f t="shared" si="105"/>
        <v>54.636473692307689</v>
      </c>
      <c r="G213" s="290">
        <f t="shared" si="105"/>
        <v>36.520670153846126</v>
      </c>
      <c r="H213" s="290">
        <f t="shared" si="105"/>
        <v>124.40594584615384</v>
      </c>
      <c r="I213" s="290">
        <f t="shared" si="105"/>
        <v>119.9131728974359</v>
      </c>
      <c r="J213" s="290">
        <f t="shared" si="105"/>
        <v>73.773645384615378</v>
      </c>
      <c r="K213" s="290">
        <f t="shared" si="105"/>
        <v>112.80845361538459</v>
      </c>
      <c r="L213" s="290">
        <f t="shared" si="105"/>
        <v>126.13323017948717</v>
      </c>
      <c r="M213" s="290">
        <f t="shared" si="105"/>
        <v>149.86509284615386</v>
      </c>
      <c r="N213" s="290">
        <f t="shared" si="105"/>
        <v>222.86407510256416</v>
      </c>
      <c r="O213" s="290">
        <f t="shared" si="105"/>
        <v>208.03435112820509</v>
      </c>
      <c r="P213" s="290">
        <f t="shared" si="105"/>
        <v>168.29243982051281</v>
      </c>
      <c r="Q213" s="290">
        <f t="shared" si="105"/>
        <v>186.71302512820512</v>
      </c>
      <c r="R213" s="290">
        <f t="shared" si="105"/>
        <v>199.08749789743592</v>
      </c>
      <c r="S213" s="290">
        <f t="shared" si="105"/>
        <v>152.0521505128205</v>
      </c>
      <c r="T213" s="290">
        <f t="shared" si="105"/>
        <v>342.0757072051282</v>
      </c>
      <c r="U213" s="290">
        <f t="shared" si="105"/>
        <v>247.84722128205124</v>
      </c>
      <c r="V213" s="290">
        <f t="shared" si="105"/>
        <v>362.18258646153845</v>
      </c>
      <c r="W213" s="290">
        <f t="shared" si="105"/>
        <v>299.60057715384613</v>
      </c>
      <c r="X213" s="290">
        <f t="shared" si="105"/>
        <v>331.25793717948716</v>
      </c>
      <c r="Y213" s="290">
        <f t="shared" si="105"/>
        <v>345.48620097435901</v>
      </c>
      <c r="Z213" s="252">
        <f t="shared" si="107"/>
        <v>398.23742574500744</v>
      </c>
      <c r="AA213" s="252">
        <f t="shared" si="107"/>
        <v>442.8237853705736</v>
      </c>
      <c r="AB213" s="252">
        <f t="shared" si="107"/>
        <v>521.3682982263158</v>
      </c>
      <c r="AC213" s="252">
        <f t="shared" si="107"/>
        <v>509.98610851631219</v>
      </c>
      <c r="AD213" s="252">
        <f t="shared" si="107"/>
        <v>457.18231534486483</v>
      </c>
      <c r="AE213" s="252">
        <f t="shared" si="107"/>
        <v>424.05145130281028</v>
      </c>
      <c r="AH213" s="252"/>
      <c r="AI213" s="388"/>
      <c r="AJ213" s="388"/>
      <c r="AK213" s="388"/>
      <c r="AL213" s="388"/>
      <c r="AM213" s="252"/>
      <c r="AN213" s="240"/>
    </row>
    <row r="214" spans="1:40">
      <c r="A214" s="240" t="s">
        <v>46</v>
      </c>
      <c r="B214" s="290">
        <f t="shared" si="106"/>
        <v>61.948818402154657</v>
      </c>
      <c r="C214" s="290">
        <f t="shared" si="106"/>
        <v>52.103041734708967</v>
      </c>
      <c r="D214" s="290">
        <f t="shared" si="105"/>
        <v>73.011819845519256</v>
      </c>
      <c r="E214" s="290">
        <f t="shared" si="105"/>
        <v>63.383077641025665</v>
      </c>
      <c r="F214" s="290">
        <f t="shared" si="105"/>
        <v>48.153755692307698</v>
      </c>
      <c r="G214" s="290">
        <f t="shared" si="105"/>
        <v>63.551251153846145</v>
      </c>
      <c r="H214" s="290">
        <f t="shared" si="105"/>
        <v>113.45552484615385</v>
      </c>
      <c r="I214" s="290">
        <f t="shared" si="105"/>
        <v>109.58538889743588</v>
      </c>
      <c r="J214" s="290">
        <f t="shared" si="105"/>
        <v>81.043374384615376</v>
      </c>
      <c r="K214" s="290">
        <f t="shared" si="105"/>
        <v>102.46041961538461</v>
      </c>
      <c r="L214" s="290">
        <f t="shared" si="105"/>
        <v>126.44161917948713</v>
      </c>
      <c r="M214" s="290">
        <f t="shared" si="105"/>
        <v>145.97345384615383</v>
      </c>
      <c r="N214" s="290">
        <f t="shared" si="105"/>
        <v>198.16636010256414</v>
      </c>
      <c r="O214" s="290">
        <f t="shared" si="105"/>
        <v>248.80163912820512</v>
      </c>
      <c r="P214" s="290">
        <f t="shared" si="105"/>
        <v>136.89662582051281</v>
      </c>
      <c r="Q214" s="290">
        <f t="shared" si="105"/>
        <v>205.88500412820508</v>
      </c>
      <c r="R214" s="290">
        <f t="shared" si="105"/>
        <v>212.86801389743584</v>
      </c>
      <c r="S214" s="290">
        <f t="shared" si="105"/>
        <v>167.78539251282044</v>
      </c>
      <c r="T214" s="290">
        <f t="shared" si="105"/>
        <v>366.82945320512817</v>
      </c>
      <c r="U214" s="290">
        <f t="shared" si="105"/>
        <v>292.84501528205124</v>
      </c>
      <c r="V214" s="290">
        <f t="shared" si="105"/>
        <v>293.86842746153843</v>
      </c>
      <c r="W214" s="290">
        <f t="shared" si="105"/>
        <v>296.91481015384625</v>
      </c>
      <c r="X214" s="290">
        <f t="shared" si="105"/>
        <v>316.60080617948717</v>
      </c>
      <c r="Y214" s="290">
        <f t="shared" si="105"/>
        <v>426.86747597435908</v>
      </c>
      <c r="Z214" s="252">
        <f t="shared" si="107"/>
        <v>394.2345802083658</v>
      </c>
      <c r="AA214" s="252">
        <f t="shared" si="107"/>
        <v>454.18810261985408</v>
      </c>
      <c r="AB214" s="252">
        <f t="shared" si="107"/>
        <v>518.88101405076293</v>
      </c>
      <c r="AC214" s="252">
        <f t="shared" si="107"/>
        <v>530.01916223115109</v>
      </c>
      <c r="AD214" s="252">
        <f t="shared" si="107"/>
        <v>473.23197942873117</v>
      </c>
      <c r="AE214" s="252">
        <f t="shared" si="107"/>
        <v>444.37222608790631</v>
      </c>
      <c r="AH214" s="252"/>
      <c r="AI214" s="388"/>
      <c r="AJ214" s="388"/>
      <c r="AK214" s="388"/>
      <c r="AL214" s="388"/>
      <c r="AM214" s="252"/>
      <c r="AN214" s="240"/>
    </row>
    <row r="215" spans="1:40">
      <c r="A215" s="240" t="s">
        <v>235</v>
      </c>
      <c r="B215" s="290">
        <f t="shared" si="106"/>
        <v>61.472063591671585</v>
      </c>
      <c r="C215" s="290">
        <f t="shared" si="106"/>
        <v>53.304198677676126</v>
      </c>
      <c r="D215" s="290">
        <f t="shared" si="105"/>
        <v>75.448947162249453</v>
      </c>
      <c r="E215" s="290">
        <f t="shared" si="105"/>
        <v>46.130776641025619</v>
      </c>
      <c r="F215" s="290">
        <f t="shared" si="105"/>
        <v>52.964598692307689</v>
      </c>
      <c r="G215" s="290">
        <f t="shared" si="105"/>
        <v>51.618913153846165</v>
      </c>
      <c r="H215" s="290">
        <f t="shared" si="105"/>
        <v>106.32116984615382</v>
      </c>
      <c r="I215" s="290">
        <f t="shared" si="105"/>
        <v>107.8005828974359</v>
      </c>
      <c r="J215" s="290">
        <f t="shared" si="105"/>
        <v>80.530927384615396</v>
      </c>
      <c r="K215" s="290">
        <f t="shared" si="105"/>
        <v>105.37381461538462</v>
      </c>
      <c r="L215" s="290">
        <f t="shared" si="105"/>
        <v>119.60617317948717</v>
      </c>
      <c r="M215" s="290">
        <f t="shared" si="105"/>
        <v>157.57765784615381</v>
      </c>
      <c r="N215" s="290">
        <f t="shared" si="105"/>
        <v>171.01956110256413</v>
      </c>
      <c r="O215" s="290">
        <f t="shared" si="105"/>
        <v>188.47815212820512</v>
      </c>
      <c r="P215" s="290">
        <f t="shared" si="105"/>
        <v>171.33850382051281</v>
      </c>
      <c r="Q215" s="290">
        <f t="shared" si="105"/>
        <v>235.34266612820511</v>
      </c>
      <c r="R215" s="290">
        <f t="shared" si="105"/>
        <v>222.81724289743596</v>
      </c>
      <c r="S215" s="290">
        <f t="shared" si="105"/>
        <v>172.28178251282054</v>
      </c>
      <c r="T215" s="290">
        <f t="shared" si="105"/>
        <v>314.34928220512813</v>
      </c>
      <c r="U215" s="290">
        <f t="shared" si="105"/>
        <v>227.32952728205129</v>
      </c>
      <c r="V215" s="290">
        <f t="shared" si="105"/>
        <v>292.18790746153843</v>
      </c>
      <c r="W215" s="290">
        <f t="shared" si="105"/>
        <v>283.22483515384613</v>
      </c>
      <c r="X215" s="290">
        <f t="shared" si="105"/>
        <v>283.27515817948711</v>
      </c>
      <c r="Y215" s="290">
        <f t="shared" si="105"/>
        <v>403.24681397435893</v>
      </c>
      <c r="Z215" s="252">
        <f t="shared" si="107"/>
        <v>352.29906400078568</v>
      </c>
      <c r="AA215" s="252">
        <f t="shared" si="107"/>
        <v>415.71306395274985</v>
      </c>
      <c r="AB215" s="252">
        <f t="shared" si="107"/>
        <v>484.58240464877395</v>
      </c>
      <c r="AC215" s="252">
        <f t="shared" si="107"/>
        <v>487.63309079396731</v>
      </c>
      <c r="AD215" s="252">
        <f t="shared" si="107"/>
        <v>434.7468480534493</v>
      </c>
      <c r="AE215" s="252">
        <f t="shared" si="107"/>
        <v>409.82052094459277</v>
      </c>
      <c r="AH215" s="252"/>
      <c r="AI215" s="388"/>
      <c r="AJ215" s="388"/>
      <c r="AK215" s="388"/>
      <c r="AL215" s="388"/>
      <c r="AM215" s="252"/>
      <c r="AN215" s="240"/>
    </row>
    <row r="216" spans="1:40">
      <c r="A216" s="240" t="s">
        <v>236</v>
      </c>
      <c r="B216" s="290">
        <f t="shared" si="106"/>
        <v>56.975302890634808</v>
      </c>
      <c r="C216" s="290">
        <f t="shared" si="106"/>
        <v>48.46018320823184</v>
      </c>
      <c r="D216" s="290">
        <f t="shared" si="105"/>
        <v>70.163040775460615</v>
      </c>
      <c r="E216" s="290">
        <f t="shared" si="105"/>
        <v>43.643676641025621</v>
      </c>
      <c r="F216" s="290">
        <f t="shared" si="105"/>
        <v>45.987558692307687</v>
      </c>
      <c r="G216" s="290">
        <f t="shared" si="105"/>
        <v>33.889614153846146</v>
      </c>
      <c r="H216" s="290">
        <f t="shared" si="105"/>
        <v>101.34268184615382</v>
      </c>
      <c r="I216" s="290">
        <f t="shared" si="105"/>
        <v>111.3349508974359</v>
      </c>
      <c r="J216" s="290">
        <f t="shared" si="105"/>
        <v>76.09632838461539</v>
      </c>
      <c r="K216" s="290">
        <f t="shared" si="105"/>
        <v>91.577172615384598</v>
      </c>
      <c r="L216" s="290">
        <f t="shared" si="105"/>
        <v>113.28013217948717</v>
      </c>
      <c r="M216" s="290">
        <f t="shared" si="105"/>
        <v>139.05882184615382</v>
      </c>
      <c r="N216" s="290">
        <f t="shared" si="105"/>
        <v>167.23211910256413</v>
      </c>
      <c r="O216" s="290">
        <f t="shared" si="105"/>
        <v>154.36053612820513</v>
      </c>
      <c r="P216" s="290">
        <f t="shared" si="105"/>
        <v>181.45699982051283</v>
      </c>
      <c r="Q216" s="290">
        <f t="shared" si="105"/>
        <v>210.12404412820507</v>
      </c>
      <c r="R216" s="290">
        <f t="shared" si="105"/>
        <v>197.07016389743586</v>
      </c>
      <c r="S216" s="290">
        <f t="shared" si="105"/>
        <v>188.07655051282055</v>
      </c>
      <c r="T216" s="290">
        <f t="shared" si="105"/>
        <v>235.65500720512819</v>
      </c>
      <c r="U216" s="290">
        <f t="shared" si="105"/>
        <v>211.59649228205129</v>
      </c>
      <c r="V216" s="290">
        <f t="shared" si="105"/>
        <v>239.52490346153843</v>
      </c>
      <c r="W216" s="290">
        <f t="shared" si="105"/>
        <v>228.83272015384614</v>
      </c>
      <c r="X216" s="290">
        <f t="shared" si="105"/>
        <v>230.63057617948721</v>
      </c>
      <c r="Y216" s="290">
        <f t="shared" si="105"/>
        <v>294.32800697435903</v>
      </c>
      <c r="Z216" s="252">
        <f t="shared" si="107"/>
        <v>288.36664519958754</v>
      </c>
      <c r="AA216" s="252">
        <f t="shared" si="107"/>
        <v>336.33946716426215</v>
      </c>
      <c r="AB216" s="252">
        <f t="shared" si="107"/>
        <v>384.75330129500588</v>
      </c>
      <c r="AC216" s="252">
        <f t="shared" si="107"/>
        <v>386.82137181241342</v>
      </c>
      <c r="AD216" s="252">
        <f t="shared" si="107"/>
        <v>344.01481779390332</v>
      </c>
      <c r="AE216" s="252">
        <f t="shared" si="107"/>
        <v>323.2354312389171</v>
      </c>
      <c r="AH216" s="252"/>
      <c r="AI216" s="388"/>
      <c r="AJ216" s="388"/>
      <c r="AK216" s="388"/>
      <c r="AL216" s="388"/>
      <c r="AM216" s="252"/>
      <c r="AN216" s="240"/>
    </row>
    <row r="217" spans="1:40">
      <c r="A217" s="240" t="s">
        <v>237</v>
      </c>
      <c r="B217" s="290">
        <f t="shared" si="106"/>
        <v>53.166246901946977</v>
      </c>
      <c r="C217" s="290">
        <f t="shared" si="106"/>
        <v>54.854646125806696</v>
      </c>
      <c r="D217" s="290">
        <f t="shared" si="105"/>
        <v>75.55003784359414</v>
      </c>
      <c r="E217" s="290">
        <f t="shared" si="105"/>
        <v>19.307969641025636</v>
      </c>
      <c r="F217" s="290">
        <f t="shared" si="105"/>
        <v>57.582761692307699</v>
      </c>
      <c r="G217" s="290">
        <f t="shared" si="105"/>
        <v>46.151905153846158</v>
      </c>
      <c r="H217" s="290">
        <f t="shared" si="105"/>
        <v>102.34906484615385</v>
      </c>
      <c r="I217" s="290">
        <f t="shared" si="105"/>
        <v>105.6097908974359</v>
      </c>
      <c r="J217" s="290">
        <f t="shared" si="105"/>
        <v>84.818648384615386</v>
      </c>
      <c r="K217" s="290">
        <f t="shared" si="105"/>
        <v>69.700069615384592</v>
      </c>
      <c r="L217" s="290">
        <f t="shared" si="105"/>
        <v>113.55076217948717</v>
      </c>
      <c r="M217" s="290">
        <f t="shared" si="105"/>
        <v>125.67633584615383</v>
      </c>
      <c r="N217" s="290">
        <f t="shared" si="105"/>
        <v>157.31842510256411</v>
      </c>
      <c r="O217" s="290">
        <f t="shared" si="105"/>
        <v>142.52798712820507</v>
      </c>
      <c r="P217" s="290">
        <f t="shared" si="105"/>
        <v>163.43710882051278</v>
      </c>
      <c r="Q217" s="290">
        <f t="shared" si="105"/>
        <v>170.33226812820504</v>
      </c>
      <c r="R217" s="290">
        <f t="shared" si="105"/>
        <v>165.5658048974359</v>
      </c>
      <c r="S217" s="290">
        <f t="shared" si="105"/>
        <v>185.65232951282053</v>
      </c>
      <c r="T217" s="290">
        <f t="shared" si="105"/>
        <v>242.54358320512813</v>
      </c>
      <c r="U217" s="290">
        <f t="shared" si="105"/>
        <v>196.22018428205132</v>
      </c>
      <c r="V217" s="290">
        <f t="shared" si="105"/>
        <v>224.71555046153844</v>
      </c>
      <c r="W217" s="290">
        <f t="shared" si="105"/>
        <v>218.25862415384617</v>
      </c>
      <c r="X217" s="290">
        <f t="shared" si="105"/>
        <v>251.05559517948726</v>
      </c>
      <c r="Y217" s="290">
        <f t="shared" si="105"/>
        <v>308.38993897435898</v>
      </c>
      <c r="Z217" s="252">
        <f t="shared" si="107"/>
        <v>191.83573233694943</v>
      </c>
      <c r="AA217" s="252">
        <f t="shared" si="107"/>
        <v>334.59032348876252</v>
      </c>
      <c r="AB217" s="252">
        <f t="shared" si="107"/>
        <v>358.51322754584402</v>
      </c>
      <c r="AC217" s="252">
        <f t="shared" si="107"/>
        <v>365.95855057145542</v>
      </c>
      <c r="AD217" s="252">
        <f t="shared" si="107"/>
        <v>323.83381830161096</v>
      </c>
      <c r="AE217" s="252">
        <f t="shared" si="107"/>
        <v>298.12968440775649</v>
      </c>
      <c r="AH217" s="252"/>
      <c r="AI217" s="388"/>
      <c r="AJ217" s="388"/>
      <c r="AK217" s="388"/>
      <c r="AL217" s="388"/>
      <c r="AM217" s="252"/>
      <c r="AN217" s="240"/>
    </row>
    <row r="218" spans="1:40">
      <c r="A218" s="240" t="s">
        <v>238</v>
      </c>
      <c r="B218" s="290">
        <f t="shared" si="106"/>
        <v>56.514481254157232</v>
      </c>
      <c r="C218" s="290">
        <f t="shared" si="106"/>
        <v>55.139417536425299</v>
      </c>
      <c r="D218" s="290">
        <f t="shared" si="105"/>
        <v>90.00887890182554</v>
      </c>
      <c r="E218" s="290">
        <f t="shared" si="105"/>
        <v>20.54716094871776</v>
      </c>
      <c r="F218" s="290">
        <f t="shared" si="105"/>
        <v>63.809203384615387</v>
      </c>
      <c r="G218" s="290">
        <f t="shared" si="105"/>
        <v>56.766133307692279</v>
      </c>
      <c r="H218" s="290">
        <f t="shared" si="105"/>
        <v>95.477306692307707</v>
      </c>
      <c r="I218" s="290">
        <f t="shared" si="105"/>
        <v>98.700828128205131</v>
      </c>
      <c r="J218" s="290">
        <f t="shared" si="105"/>
        <v>83.43835076923078</v>
      </c>
      <c r="K218" s="290">
        <f t="shared" si="105"/>
        <v>92.121283230769208</v>
      </c>
      <c r="L218" s="290">
        <f t="shared" si="105"/>
        <v>115.13631302564099</v>
      </c>
      <c r="M218" s="290">
        <f t="shared" si="105"/>
        <v>123.18873869230768</v>
      </c>
      <c r="N218" s="290">
        <f t="shared" si="105"/>
        <v>150.26286987179486</v>
      </c>
      <c r="O218" s="290">
        <f t="shared" si="105"/>
        <v>138.4575055897435</v>
      </c>
      <c r="P218" s="290">
        <f t="shared" si="105"/>
        <v>169.74896997435891</v>
      </c>
      <c r="Q218" s="290">
        <f t="shared" si="105"/>
        <v>131.35372658974364</v>
      </c>
      <c r="R218" s="290">
        <f t="shared" si="105"/>
        <v>160.9821691282051</v>
      </c>
      <c r="S218" s="290">
        <f t="shared" si="105"/>
        <v>175.4520693589744</v>
      </c>
      <c r="T218" s="290">
        <f t="shared" si="105"/>
        <v>175.63578774358956</v>
      </c>
      <c r="U218" s="290">
        <f t="shared" si="105"/>
        <v>226.45514089743588</v>
      </c>
      <c r="V218" s="290">
        <f t="shared" si="105"/>
        <v>224.402620923077</v>
      </c>
      <c r="W218" s="290">
        <f t="shared" si="105"/>
        <v>197.14057630769227</v>
      </c>
      <c r="X218" s="290">
        <f t="shared" si="105"/>
        <v>281.87331902564108</v>
      </c>
      <c r="Y218" s="290">
        <f t="shared" si="105"/>
        <v>343.79190428205118</v>
      </c>
      <c r="Z218" s="252">
        <f t="shared" ref="Z218:AE218" si="108">Z$235*AA80</f>
        <v>308.67050059422559</v>
      </c>
      <c r="AA218" s="252">
        <f t="shared" si="108"/>
        <v>382.32596228533419</v>
      </c>
      <c r="AB218" s="252">
        <f t="shared" si="108"/>
        <v>380.43558296471025</v>
      </c>
      <c r="AC218" s="252">
        <f t="shared" si="108"/>
        <v>339.37486403762767</v>
      </c>
      <c r="AD218" s="252">
        <f t="shared" si="108"/>
        <v>324.46736899540974</v>
      </c>
      <c r="AE218" s="252">
        <f t="shared" si="108"/>
        <v>324.46367494122404</v>
      </c>
      <c r="AH218" s="252"/>
      <c r="AI218" s="388"/>
      <c r="AJ218" s="388"/>
      <c r="AK218" s="388"/>
      <c r="AL218" s="388"/>
      <c r="AM218" s="252"/>
      <c r="AN218" s="240"/>
    </row>
    <row r="219" spans="1:40" ht="15.75" thickBot="1">
      <c r="A219" s="240" t="s">
        <v>242</v>
      </c>
      <c r="B219" s="146">
        <f>SUM(B207:B218)</f>
        <v>720.00000000000011</v>
      </c>
      <c r="C219" s="146">
        <f t="shared" ref="C219:AE219" si="109">SUM(C207:C218)</f>
        <v>649.99999999999989</v>
      </c>
      <c r="D219" s="146">
        <f t="shared" si="109"/>
        <v>920</v>
      </c>
      <c r="E219" s="146">
        <f t="shared" si="109"/>
        <v>649.99999999999966</v>
      </c>
      <c r="F219" s="146">
        <f t="shared" si="109"/>
        <v>623.89013199999999</v>
      </c>
      <c r="G219" s="146">
        <f t="shared" si="109"/>
        <v>705.51401500000009</v>
      </c>
      <c r="H219" s="146">
        <f t="shared" si="109"/>
        <v>1265.8276019999998</v>
      </c>
      <c r="I219" s="146">
        <f t="shared" si="109"/>
        <v>1286.897858</v>
      </c>
      <c r="J219" s="146">
        <f t="shared" si="109"/>
        <v>993.96987900000011</v>
      </c>
      <c r="K219" s="146">
        <f t="shared" si="109"/>
        <v>1230.5043039999998</v>
      </c>
      <c r="L219" s="146">
        <f t="shared" si="109"/>
        <v>1501.5796729999997</v>
      </c>
      <c r="M219" s="146">
        <f t="shared" si="109"/>
        <v>1692.3516309999998</v>
      </c>
      <c r="N219" s="146">
        <f t="shared" si="109"/>
        <v>2164.9163899999999</v>
      </c>
      <c r="O219" s="146">
        <f t="shared" si="109"/>
        <v>2294.943581</v>
      </c>
      <c r="P219" s="146">
        <f t="shared" si="109"/>
        <v>1997.4067910000001</v>
      </c>
      <c r="Q219" s="146">
        <f t="shared" si="109"/>
        <v>2390.3601959999996</v>
      </c>
      <c r="R219" s="146">
        <f t="shared" si="109"/>
        <v>2341.023373</v>
      </c>
      <c r="S219" s="146">
        <f t="shared" si="109"/>
        <v>1912.5008330000001</v>
      </c>
      <c r="T219" s="146">
        <f t="shared" si="109"/>
        <v>3300.4241869999992</v>
      </c>
      <c r="U219" s="146">
        <f t="shared" si="109"/>
        <v>2937.358894</v>
      </c>
      <c r="V219" s="146">
        <f t="shared" si="109"/>
        <v>3605.5442330000001</v>
      </c>
      <c r="W219" s="146">
        <f t="shared" si="109"/>
        <v>3325.7743730000002</v>
      </c>
      <c r="X219" s="146">
        <f t="shared" si="109"/>
        <v>3601.2294830000001</v>
      </c>
      <c r="Y219" s="146">
        <f t="shared" si="109"/>
        <v>4375.4427390000001</v>
      </c>
      <c r="Z219" s="253">
        <f t="shared" si="109"/>
        <v>4157.1361720697496</v>
      </c>
      <c r="AA219" s="253">
        <f t="shared" si="109"/>
        <v>5008.1625216555103</v>
      </c>
      <c r="AB219" s="253">
        <f t="shared" si="109"/>
        <v>5696.6596688489244</v>
      </c>
      <c r="AC219" s="253">
        <f t="shared" si="109"/>
        <v>5658.0736226731715</v>
      </c>
      <c r="AD219" s="253">
        <f t="shared" si="109"/>
        <v>5064.3883606583231</v>
      </c>
      <c r="AE219" s="253">
        <f t="shared" si="109"/>
        <v>4748.8804653072657</v>
      </c>
      <c r="AN219" s="240"/>
    </row>
    <row r="220" spans="1:40">
      <c r="A220" s="248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</row>
    <row r="221" spans="1:40" ht="15.75" thickBot="1">
      <c r="A221" s="235" t="s">
        <v>263</v>
      </c>
    </row>
    <row r="222" spans="1:40" ht="15.75" thickBot="1">
      <c r="A222" s="236"/>
      <c r="B222" s="237" t="str">
        <f>B$2</f>
        <v xml:space="preserve">93/94 </v>
      </c>
      <c r="C222" s="237" t="str">
        <f t="shared" ref="C222:AE222" si="110">C$2</f>
        <v xml:space="preserve">94/95 </v>
      </c>
      <c r="D222" s="237" t="str">
        <f t="shared" si="110"/>
        <v xml:space="preserve">95/96 </v>
      </c>
      <c r="E222" s="237" t="str">
        <f t="shared" si="110"/>
        <v xml:space="preserve">96/97 </v>
      </c>
      <c r="F222" s="237" t="str">
        <f t="shared" si="110"/>
        <v xml:space="preserve">97/98 </v>
      </c>
      <c r="G222" s="237" t="str">
        <f t="shared" si="110"/>
        <v xml:space="preserve">98/99 </v>
      </c>
      <c r="H222" s="237" t="str">
        <f t="shared" si="110"/>
        <v xml:space="preserve">99/00 </v>
      </c>
      <c r="I222" s="237" t="str">
        <f t="shared" si="110"/>
        <v xml:space="preserve">00/01 </v>
      </c>
      <c r="J222" s="237" t="str">
        <f t="shared" si="110"/>
        <v xml:space="preserve">01/02 </v>
      </c>
      <c r="K222" s="237" t="str">
        <f t="shared" si="110"/>
        <v xml:space="preserve">02/03 </v>
      </c>
      <c r="L222" s="237" t="str">
        <f t="shared" si="110"/>
        <v xml:space="preserve">03/04 </v>
      </c>
      <c r="M222" s="237" t="str">
        <f t="shared" si="110"/>
        <v xml:space="preserve">04/05 </v>
      </c>
      <c r="N222" s="237" t="str">
        <f t="shared" si="110"/>
        <v xml:space="preserve">05/06 </v>
      </c>
      <c r="O222" s="237" t="str">
        <f t="shared" si="110"/>
        <v xml:space="preserve">06/07 </v>
      </c>
      <c r="P222" s="237" t="str">
        <f t="shared" si="110"/>
        <v xml:space="preserve">07/08 </v>
      </c>
      <c r="Q222" s="237" t="str">
        <f t="shared" si="110"/>
        <v xml:space="preserve">08/09 </v>
      </c>
      <c r="R222" s="237" t="str">
        <f t="shared" si="110"/>
        <v xml:space="preserve">09/10 </v>
      </c>
      <c r="S222" s="237" t="str">
        <f t="shared" si="110"/>
        <v xml:space="preserve">10/11 </v>
      </c>
      <c r="T222" s="237" t="str">
        <f t="shared" si="110"/>
        <v xml:space="preserve">11/12 </v>
      </c>
      <c r="U222" s="237" t="str">
        <f t="shared" si="110"/>
        <v xml:space="preserve">12/13 </v>
      </c>
      <c r="V222" s="237" t="str">
        <f t="shared" si="110"/>
        <v xml:space="preserve">13/14 </v>
      </c>
      <c r="W222" s="237" t="str">
        <f t="shared" si="110"/>
        <v xml:space="preserve">14/15 </v>
      </c>
      <c r="X222" s="237" t="str">
        <f t="shared" si="110"/>
        <v xml:space="preserve">15/16 </v>
      </c>
      <c r="Y222" s="237" t="str">
        <f t="shared" si="110"/>
        <v xml:space="preserve">16/17 </v>
      </c>
      <c r="Z222" s="237" t="str">
        <f t="shared" si="110"/>
        <v xml:space="preserve">17/18 </v>
      </c>
      <c r="AA222" s="237" t="str">
        <f t="shared" si="110"/>
        <v xml:space="preserve">18/19 </v>
      </c>
      <c r="AB222" s="237" t="str">
        <f t="shared" si="110"/>
        <v xml:space="preserve">19/20 </v>
      </c>
      <c r="AC222" s="237" t="str">
        <f t="shared" si="110"/>
        <v xml:space="preserve">20/21 </v>
      </c>
      <c r="AD222" s="237" t="str">
        <f t="shared" si="110"/>
        <v xml:space="preserve">21/22 </v>
      </c>
      <c r="AE222" s="237" t="str">
        <f t="shared" si="110"/>
        <v xml:space="preserve">22/23 </v>
      </c>
    </row>
    <row r="223" spans="1:40">
      <c r="A223" s="240" t="s">
        <v>239</v>
      </c>
      <c r="B223" s="298">
        <f t="shared" ref="B223:AE231" si="111">B207/B81</f>
        <v>0.40000000000000008</v>
      </c>
      <c r="C223" s="298">
        <f t="shared" si="111"/>
        <v>0.4</v>
      </c>
      <c r="D223" s="298">
        <f t="shared" si="111"/>
        <v>0.4</v>
      </c>
      <c r="E223" s="298">
        <f t="shared" si="111"/>
        <v>0.40173053152039556</v>
      </c>
      <c r="F223" s="298">
        <f t="shared" si="111"/>
        <v>0.40310559006211177</v>
      </c>
      <c r="G223" s="298">
        <f t="shared" si="111"/>
        <v>0.40322580645161288</v>
      </c>
      <c r="H223" s="298">
        <f t="shared" si="111"/>
        <v>0.41333333333333333</v>
      </c>
      <c r="I223" s="298">
        <f t="shared" si="111"/>
        <v>0.41320754716981134</v>
      </c>
      <c r="J223" s="298">
        <f t="shared" si="111"/>
        <v>0.41304347826086957</v>
      </c>
      <c r="K223" s="298">
        <f t="shared" si="111"/>
        <v>0.41299999999999998</v>
      </c>
      <c r="L223" s="298">
        <f t="shared" si="111"/>
        <v>0.41305555555555556</v>
      </c>
      <c r="M223" s="298">
        <f t="shared" si="111"/>
        <v>0.41292682926829266</v>
      </c>
      <c r="N223" s="298">
        <f t="shared" si="111"/>
        <v>0.41307692307692306</v>
      </c>
      <c r="O223" s="298">
        <f t="shared" si="111"/>
        <v>0.41303571428571428</v>
      </c>
      <c r="P223" s="298">
        <f t="shared" si="111"/>
        <v>0.41291666666666665</v>
      </c>
      <c r="Q223" s="298">
        <f t="shared" si="111"/>
        <v>0.41293103448275864</v>
      </c>
      <c r="R223" s="298">
        <f t="shared" si="111"/>
        <v>0.4129824561403509</v>
      </c>
      <c r="S223" s="298">
        <f t="shared" si="111"/>
        <v>0.41304347826086957</v>
      </c>
      <c r="T223" s="298">
        <f t="shared" si="111"/>
        <v>0.41299999999999998</v>
      </c>
      <c r="U223" s="298">
        <f t="shared" si="111"/>
        <v>0.41299999999999998</v>
      </c>
      <c r="V223" s="298">
        <f t="shared" si="111"/>
        <v>0.41298850574712642</v>
      </c>
      <c r="W223" s="298">
        <f t="shared" si="111"/>
        <v>0.41300613496932514</v>
      </c>
      <c r="X223" s="298">
        <f t="shared" si="111"/>
        <v>0.41286549707602338</v>
      </c>
      <c r="Y223" s="298">
        <f t="shared" si="111"/>
        <v>0.41300492610837436</v>
      </c>
      <c r="Z223" s="298">
        <f t="shared" si="111"/>
        <v>0.41303030303030303</v>
      </c>
      <c r="AA223" s="298">
        <f t="shared" si="111"/>
        <v>0.4129227339066327</v>
      </c>
      <c r="AB223" s="298">
        <f t="shared" si="111"/>
        <v>0.41293953665716998</v>
      </c>
      <c r="AC223" s="298">
        <f t="shared" si="111"/>
        <v>0.41295163290399667</v>
      </c>
      <c r="AD223" s="298">
        <f t="shared" si="111"/>
        <v>0.41295082885454215</v>
      </c>
      <c r="AE223" s="298">
        <f t="shared" si="111"/>
        <v>0.41294612741802317</v>
      </c>
      <c r="AN223" s="240"/>
    </row>
    <row r="224" spans="1:40">
      <c r="A224" s="240" t="s">
        <v>240</v>
      </c>
      <c r="B224" s="298">
        <f t="shared" si="111"/>
        <v>0.4</v>
      </c>
      <c r="C224" s="298">
        <f t="shared" si="111"/>
        <v>0.40000000000000008</v>
      </c>
      <c r="D224" s="298">
        <f t="shared" si="111"/>
        <v>0.4</v>
      </c>
      <c r="E224" s="298">
        <f t="shared" si="111"/>
        <v>0.40173053152039551</v>
      </c>
      <c r="F224" s="298">
        <f t="shared" si="111"/>
        <v>0.40310559006211177</v>
      </c>
      <c r="G224" s="298">
        <f t="shared" si="111"/>
        <v>0.40322580645161288</v>
      </c>
      <c r="H224" s="298">
        <f t="shared" si="111"/>
        <v>0.41333333333333333</v>
      </c>
      <c r="I224" s="298">
        <f t="shared" si="111"/>
        <v>0.41320754716981134</v>
      </c>
      <c r="J224" s="298">
        <f t="shared" si="111"/>
        <v>0.41304347826086957</v>
      </c>
      <c r="K224" s="298">
        <f t="shared" si="111"/>
        <v>0.41299999999999998</v>
      </c>
      <c r="L224" s="298">
        <f t="shared" si="111"/>
        <v>0.41305555555555556</v>
      </c>
      <c r="M224" s="298">
        <f t="shared" si="111"/>
        <v>0.41292682926829266</v>
      </c>
      <c r="N224" s="298">
        <f t="shared" si="111"/>
        <v>0.41307692307692306</v>
      </c>
      <c r="O224" s="298">
        <f t="shared" si="111"/>
        <v>0.41303571428571428</v>
      </c>
      <c r="P224" s="298">
        <f t="shared" si="111"/>
        <v>0.41291666666666665</v>
      </c>
      <c r="Q224" s="298">
        <f t="shared" si="111"/>
        <v>0.41293103448275864</v>
      </c>
      <c r="R224" s="298">
        <f t="shared" si="111"/>
        <v>0.4129824561403509</v>
      </c>
      <c r="S224" s="298">
        <f t="shared" si="111"/>
        <v>0.41304347826086957</v>
      </c>
      <c r="T224" s="298">
        <f t="shared" si="111"/>
        <v>0.41299999999999992</v>
      </c>
      <c r="U224" s="298">
        <f t="shared" si="111"/>
        <v>0.41299999999999998</v>
      </c>
      <c r="V224" s="298">
        <f t="shared" si="111"/>
        <v>0.41298850574712642</v>
      </c>
      <c r="W224" s="298">
        <f t="shared" si="111"/>
        <v>0.4130061349693252</v>
      </c>
      <c r="X224" s="298">
        <f t="shared" si="111"/>
        <v>0.41286549707602338</v>
      </c>
      <c r="Y224" s="298">
        <f t="shared" si="111"/>
        <v>0.41300492610837436</v>
      </c>
      <c r="Z224" s="298">
        <f t="shared" si="111"/>
        <v>0.41303030303030303</v>
      </c>
      <c r="AA224" s="298">
        <f t="shared" si="111"/>
        <v>0.4129227339066327</v>
      </c>
      <c r="AB224" s="298">
        <f t="shared" si="111"/>
        <v>0.41293953665716998</v>
      </c>
      <c r="AC224" s="298">
        <f t="shared" si="111"/>
        <v>0.41295163290399667</v>
      </c>
      <c r="AD224" s="298">
        <f t="shared" si="111"/>
        <v>0.41295082885454215</v>
      </c>
      <c r="AE224" s="298">
        <f t="shared" si="111"/>
        <v>0.41294612741802317</v>
      </c>
      <c r="AN224" s="240"/>
    </row>
    <row r="225" spans="1:40">
      <c r="A225" s="240" t="s">
        <v>241</v>
      </c>
      <c r="B225" s="298">
        <f t="shared" si="111"/>
        <v>0.40000000000000008</v>
      </c>
      <c r="C225" s="298">
        <f t="shared" si="111"/>
        <v>0.40000000000000008</v>
      </c>
      <c r="D225" s="298">
        <f t="shared" si="111"/>
        <v>0.4</v>
      </c>
      <c r="E225" s="298">
        <f t="shared" si="111"/>
        <v>0.40173053152039556</v>
      </c>
      <c r="F225" s="298">
        <f t="shared" si="111"/>
        <v>0.40310559006211177</v>
      </c>
      <c r="G225" s="298">
        <f t="shared" si="111"/>
        <v>0.40322580645161293</v>
      </c>
      <c r="H225" s="298">
        <f t="shared" si="111"/>
        <v>0.41333333333333333</v>
      </c>
      <c r="I225" s="298">
        <f t="shared" si="111"/>
        <v>0.41320754716981134</v>
      </c>
      <c r="J225" s="298">
        <f t="shared" si="111"/>
        <v>0.41304347826086957</v>
      </c>
      <c r="K225" s="298">
        <f t="shared" si="111"/>
        <v>0.41299999999999992</v>
      </c>
      <c r="L225" s="298">
        <f t="shared" si="111"/>
        <v>0.41305555555555556</v>
      </c>
      <c r="M225" s="298">
        <f t="shared" si="111"/>
        <v>0.41292682926829266</v>
      </c>
      <c r="N225" s="298">
        <f t="shared" si="111"/>
        <v>0.41307692307692306</v>
      </c>
      <c r="O225" s="298">
        <f t="shared" si="111"/>
        <v>0.41303571428571428</v>
      </c>
      <c r="P225" s="298">
        <f t="shared" si="111"/>
        <v>0.41291666666666665</v>
      </c>
      <c r="Q225" s="298">
        <f t="shared" si="111"/>
        <v>0.41293103448275864</v>
      </c>
      <c r="R225" s="298">
        <f t="shared" si="111"/>
        <v>0.41298245614035095</v>
      </c>
      <c r="S225" s="298">
        <f t="shared" si="111"/>
        <v>0.41304347826086957</v>
      </c>
      <c r="T225" s="298">
        <f t="shared" si="111"/>
        <v>0.41299999999999998</v>
      </c>
      <c r="U225" s="298">
        <f t="shared" si="111"/>
        <v>0.41299999999999998</v>
      </c>
      <c r="V225" s="298">
        <f t="shared" si="111"/>
        <v>0.41298850574712642</v>
      </c>
      <c r="W225" s="298">
        <f t="shared" si="111"/>
        <v>0.41300613496932509</v>
      </c>
      <c r="X225" s="298">
        <f t="shared" si="111"/>
        <v>0.41286549707602338</v>
      </c>
      <c r="Y225" s="298">
        <f t="shared" si="111"/>
        <v>0.41300492610837436</v>
      </c>
      <c r="Z225" s="298">
        <f t="shared" si="111"/>
        <v>0.41303030303030303</v>
      </c>
      <c r="AA225" s="298">
        <f t="shared" si="111"/>
        <v>0.4129227339066327</v>
      </c>
      <c r="AB225" s="298">
        <f t="shared" si="111"/>
        <v>0.41293953665716998</v>
      </c>
      <c r="AC225" s="298">
        <f t="shared" si="111"/>
        <v>0.41295163290399661</v>
      </c>
      <c r="AD225" s="298">
        <f t="shared" si="111"/>
        <v>0.41295082885454215</v>
      </c>
      <c r="AE225" s="298">
        <f t="shared" si="111"/>
        <v>0.41294612741802317</v>
      </c>
      <c r="AN225" s="240"/>
    </row>
    <row r="226" spans="1:40">
      <c r="A226" s="240" t="s">
        <v>231</v>
      </c>
      <c r="B226" s="298">
        <f t="shared" si="111"/>
        <v>0.4</v>
      </c>
      <c r="C226" s="298">
        <f t="shared" si="111"/>
        <v>0.4</v>
      </c>
      <c r="D226" s="298">
        <f t="shared" si="111"/>
        <v>0.4</v>
      </c>
      <c r="E226" s="298">
        <f t="shared" si="111"/>
        <v>0.40173053152039556</v>
      </c>
      <c r="F226" s="298">
        <f t="shared" si="111"/>
        <v>0.40310559006211183</v>
      </c>
      <c r="G226" s="298">
        <f t="shared" si="111"/>
        <v>0.40322580645161288</v>
      </c>
      <c r="H226" s="298">
        <f t="shared" si="111"/>
        <v>0.41333333333333333</v>
      </c>
      <c r="I226" s="298">
        <f t="shared" si="111"/>
        <v>0.41320754716981134</v>
      </c>
      <c r="J226" s="298">
        <f t="shared" si="111"/>
        <v>0.41304347826086957</v>
      </c>
      <c r="K226" s="298">
        <f t="shared" si="111"/>
        <v>0.41299999999999998</v>
      </c>
      <c r="L226" s="298">
        <f t="shared" si="111"/>
        <v>0.41305555555555556</v>
      </c>
      <c r="M226" s="298">
        <f t="shared" si="111"/>
        <v>0.41292682926829266</v>
      </c>
      <c r="N226" s="298">
        <f t="shared" si="111"/>
        <v>0.41307692307692306</v>
      </c>
      <c r="O226" s="298">
        <f t="shared" si="111"/>
        <v>0.41303571428571428</v>
      </c>
      <c r="P226" s="298">
        <f t="shared" si="111"/>
        <v>0.41291666666666665</v>
      </c>
      <c r="Q226" s="298">
        <f t="shared" si="111"/>
        <v>0.41293103448275864</v>
      </c>
      <c r="R226" s="298">
        <f t="shared" si="111"/>
        <v>0.4129824561403509</v>
      </c>
      <c r="S226" s="298">
        <f t="shared" si="111"/>
        <v>0.41304347826086957</v>
      </c>
      <c r="T226" s="298">
        <f t="shared" si="111"/>
        <v>0.41299999999999998</v>
      </c>
      <c r="U226" s="298">
        <f t="shared" si="111"/>
        <v>0.41299999999999998</v>
      </c>
      <c r="V226" s="298">
        <f t="shared" si="111"/>
        <v>0.41298850574712642</v>
      </c>
      <c r="W226" s="298">
        <f t="shared" si="111"/>
        <v>0.41300613496932514</v>
      </c>
      <c r="X226" s="298">
        <f t="shared" si="111"/>
        <v>0.41286549707602338</v>
      </c>
      <c r="Y226" s="298">
        <f t="shared" si="111"/>
        <v>0.41300492610837436</v>
      </c>
      <c r="Z226" s="298">
        <f t="shared" si="111"/>
        <v>0.41303030303030303</v>
      </c>
      <c r="AA226" s="298">
        <f t="shared" si="111"/>
        <v>0.4129227339066327</v>
      </c>
      <c r="AB226" s="298">
        <f t="shared" si="111"/>
        <v>0.41293953665716998</v>
      </c>
      <c r="AC226" s="298">
        <f t="shared" si="111"/>
        <v>0.41295163290399667</v>
      </c>
      <c r="AD226" s="298">
        <f t="shared" si="111"/>
        <v>0.41295082885454215</v>
      </c>
      <c r="AE226" s="298">
        <f t="shared" si="111"/>
        <v>0.41294612741802317</v>
      </c>
      <c r="AN226" s="240"/>
    </row>
    <row r="227" spans="1:40">
      <c r="A227" s="240" t="s">
        <v>232</v>
      </c>
      <c r="B227" s="298">
        <f t="shared" si="111"/>
        <v>0.4</v>
      </c>
      <c r="C227" s="298">
        <f t="shared" si="111"/>
        <v>0.4</v>
      </c>
      <c r="D227" s="298">
        <f t="shared" si="111"/>
        <v>0.4</v>
      </c>
      <c r="E227" s="298">
        <f t="shared" si="111"/>
        <v>0.40173053152039556</v>
      </c>
      <c r="F227" s="298">
        <f t="shared" si="111"/>
        <v>0.40310559006211177</v>
      </c>
      <c r="G227" s="298">
        <f t="shared" si="111"/>
        <v>0.40322580645161293</v>
      </c>
      <c r="H227" s="298">
        <f t="shared" si="111"/>
        <v>0.41333333333333333</v>
      </c>
      <c r="I227" s="298">
        <f t="shared" si="111"/>
        <v>0.4132075471698114</v>
      </c>
      <c r="J227" s="298">
        <f t="shared" si="111"/>
        <v>0.41304347826086957</v>
      </c>
      <c r="K227" s="298">
        <f t="shared" si="111"/>
        <v>0.41299999999999998</v>
      </c>
      <c r="L227" s="298">
        <f t="shared" si="111"/>
        <v>0.41305555555555556</v>
      </c>
      <c r="M227" s="298">
        <f t="shared" si="111"/>
        <v>0.41292682926829266</v>
      </c>
      <c r="N227" s="298">
        <f t="shared" si="111"/>
        <v>0.41307692307692306</v>
      </c>
      <c r="O227" s="298">
        <f t="shared" si="111"/>
        <v>0.41303571428571428</v>
      </c>
      <c r="P227" s="298">
        <f t="shared" si="111"/>
        <v>0.41291666666666665</v>
      </c>
      <c r="Q227" s="298">
        <f t="shared" si="111"/>
        <v>0.4129310344827587</v>
      </c>
      <c r="R227" s="298">
        <f t="shared" si="111"/>
        <v>0.4129824561403509</v>
      </c>
      <c r="S227" s="298">
        <f t="shared" si="111"/>
        <v>0.41304347826086957</v>
      </c>
      <c r="T227" s="298">
        <f t="shared" si="111"/>
        <v>0.41299999999999998</v>
      </c>
      <c r="U227" s="298">
        <f t="shared" si="111"/>
        <v>0.41299999999999998</v>
      </c>
      <c r="V227" s="298">
        <f t="shared" si="111"/>
        <v>0.41298850574712642</v>
      </c>
      <c r="W227" s="298">
        <f t="shared" si="111"/>
        <v>0.41300613496932514</v>
      </c>
      <c r="X227" s="298">
        <f t="shared" si="111"/>
        <v>0.41286549707602338</v>
      </c>
      <c r="Y227" s="298">
        <f t="shared" si="111"/>
        <v>0.41300492610837436</v>
      </c>
      <c r="Z227" s="298">
        <f t="shared" si="111"/>
        <v>0.41303030303030303</v>
      </c>
      <c r="AA227" s="298">
        <f t="shared" si="111"/>
        <v>0.4129227339066327</v>
      </c>
      <c r="AB227" s="298">
        <f t="shared" si="111"/>
        <v>0.41293953665716998</v>
      </c>
      <c r="AC227" s="298">
        <f t="shared" si="111"/>
        <v>0.41295163290399667</v>
      </c>
      <c r="AD227" s="298">
        <f t="shared" si="111"/>
        <v>0.41295082885454215</v>
      </c>
      <c r="AE227" s="298">
        <f t="shared" si="111"/>
        <v>0.41294612741802317</v>
      </c>
      <c r="AN227" s="240"/>
    </row>
    <row r="228" spans="1:40">
      <c r="A228" s="240" t="s">
        <v>233</v>
      </c>
      <c r="B228" s="298">
        <f t="shared" si="111"/>
        <v>0.4</v>
      </c>
      <c r="C228" s="298">
        <f t="shared" si="111"/>
        <v>0.4</v>
      </c>
      <c r="D228" s="298">
        <f t="shared" si="111"/>
        <v>0.4</v>
      </c>
      <c r="E228" s="298">
        <f t="shared" si="111"/>
        <v>0.40173053152039556</v>
      </c>
      <c r="F228" s="298">
        <f t="shared" si="111"/>
        <v>0.40310559006211172</v>
      </c>
      <c r="G228" s="298">
        <f t="shared" si="111"/>
        <v>0.40322580645161293</v>
      </c>
      <c r="H228" s="298">
        <f t="shared" si="111"/>
        <v>0.41333333333333327</v>
      </c>
      <c r="I228" s="298">
        <f t="shared" si="111"/>
        <v>0.4132075471698114</v>
      </c>
      <c r="J228" s="298">
        <f t="shared" si="111"/>
        <v>0.41304347826086957</v>
      </c>
      <c r="K228" s="298">
        <f t="shared" si="111"/>
        <v>0.41299999999999998</v>
      </c>
      <c r="L228" s="298">
        <f t="shared" si="111"/>
        <v>0.41305555555555562</v>
      </c>
      <c r="M228" s="298">
        <f t="shared" si="111"/>
        <v>0.41292682926829266</v>
      </c>
      <c r="N228" s="298">
        <f t="shared" si="111"/>
        <v>0.41307692307692306</v>
      </c>
      <c r="O228" s="298">
        <f t="shared" si="111"/>
        <v>0.41303571428571428</v>
      </c>
      <c r="P228" s="298">
        <f t="shared" si="111"/>
        <v>0.41291666666666665</v>
      </c>
      <c r="Q228" s="298">
        <f t="shared" si="111"/>
        <v>0.41293103448275864</v>
      </c>
      <c r="R228" s="298">
        <f t="shared" si="111"/>
        <v>0.4129824561403509</v>
      </c>
      <c r="S228" s="298">
        <f t="shared" si="111"/>
        <v>0.41304347826086957</v>
      </c>
      <c r="T228" s="298">
        <f t="shared" si="111"/>
        <v>0.41299999999999998</v>
      </c>
      <c r="U228" s="298">
        <f t="shared" si="111"/>
        <v>0.41299999999999998</v>
      </c>
      <c r="V228" s="298">
        <f t="shared" si="111"/>
        <v>0.41298850574712642</v>
      </c>
      <c r="W228" s="298">
        <f t="shared" si="111"/>
        <v>0.41300613496932514</v>
      </c>
      <c r="X228" s="298">
        <f t="shared" si="111"/>
        <v>0.41286549707602338</v>
      </c>
      <c r="Y228" s="298">
        <f t="shared" si="111"/>
        <v>0.41300492610837441</v>
      </c>
      <c r="Z228" s="298">
        <f t="shared" si="111"/>
        <v>0.41303030303030303</v>
      </c>
      <c r="AA228" s="298">
        <f t="shared" si="111"/>
        <v>0.4129227339066327</v>
      </c>
      <c r="AB228" s="298">
        <f t="shared" si="111"/>
        <v>0.41293953665716998</v>
      </c>
      <c r="AC228" s="298">
        <f t="shared" si="111"/>
        <v>0.41295163290399672</v>
      </c>
      <c r="AD228" s="298">
        <f t="shared" si="111"/>
        <v>0.41295082885454215</v>
      </c>
      <c r="AE228" s="298">
        <f t="shared" si="111"/>
        <v>0.41294612741802317</v>
      </c>
      <c r="AN228" s="240"/>
    </row>
    <row r="229" spans="1:40">
      <c r="A229" s="240" t="s">
        <v>234</v>
      </c>
      <c r="B229" s="298">
        <f t="shared" si="111"/>
        <v>0.4</v>
      </c>
      <c r="C229" s="298">
        <f t="shared" si="111"/>
        <v>0.4</v>
      </c>
      <c r="D229" s="298">
        <f t="shared" si="111"/>
        <v>0.4</v>
      </c>
      <c r="E229" s="298">
        <f t="shared" si="111"/>
        <v>0.40173053152039551</v>
      </c>
      <c r="F229" s="298">
        <f t="shared" si="111"/>
        <v>0.40310559006211177</v>
      </c>
      <c r="G229" s="298">
        <f t="shared" si="111"/>
        <v>0.40322580645161288</v>
      </c>
      <c r="H229" s="298">
        <f t="shared" si="111"/>
        <v>0.41333333333333333</v>
      </c>
      <c r="I229" s="298">
        <f t="shared" si="111"/>
        <v>0.41320754716981134</v>
      </c>
      <c r="J229" s="298">
        <f t="shared" si="111"/>
        <v>0.41304347826086957</v>
      </c>
      <c r="K229" s="298">
        <f t="shared" si="111"/>
        <v>0.41299999999999998</v>
      </c>
      <c r="L229" s="298">
        <f t="shared" si="111"/>
        <v>0.41305555555555562</v>
      </c>
      <c r="M229" s="298">
        <f t="shared" si="111"/>
        <v>0.41292682926829266</v>
      </c>
      <c r="N229" s="298">
        <f t="shared" si="111"/>
        <v>0.41307692307692312</v>
      </c>
      <c r="O229" s="298">
        <f t="shared" si="111"/>
        <v>0.41303571428571428</v>
      </c>
      <c r="P229" s="298">
        <f t="shared" si="111"/>
        <v>0.41291666666666665</v>
      </c>
      <c r="Q229" s="298">
        <f t="shared" si="111"/>
        <v>0.41293103448275864</v>
      </c>
      <c r="R229" s="298">
        <f t="shared" si="111"/>
        <v>0.4129824561403509</v>
      </c>
      <c r="S229" s="298">
        <f t="shared" si="111"/>
        <v>0.41304347826086957</v>
      </c>
      <c r="T229" s="298">
        <f t="shared" si="111"/>
        <v>0.41299999999999998</v>
      </c>
      <c r="U229" s="298">
        <f t="shared" si="111"/>
        <v>0.41300000000000003</v>
      </c>
      <c r="V229" s="298">
        <f t="shared" si="111"/>
        <v>0.41298850574712642</v>
      </c>
      <c r="W229" s="298">
        <f t="shared" si="111"/>
        <v>0.41300613496932514</v>
      </c>
      <c r="X229" s="298">
        <f t="shared" si="111"/>
        <v>0.41286549707602338</v>
      </c>
      <c r="Y229" s="298">
        <f t="shared" si="111"/>
        <v>0.41300492610837436</v>
      </c>
      <c r="Z229" s="298">
        <f t="shared" si="111"/>
        <v>0.41303030303030303</v>
      </c>
      <c r="AA229" s="298">
        <f t="shared" si="111"/>
        <v>0.4129227339066327</v>
      </c>
      <c r="AB229" s="298">
        <f t="shared" si="111"/>
        <v>0.41293953665716998</v>
      </c>
      <c r="AC229" s="298">
        <f t="shared" si="111"/>
        <v>0.41295163290399667</v>
      </c>
      <c r="AD229" s="298">
        <f t="shared" si="111"/>
        <v>0.41295082885454215</v>
      </c>
      <c r="AE229" s="298">
        <f t="shared" si="111"/>
        <v>0.41294612741802317</v>
      </c>
      <c r="AN229" s="240"/>
    </row>
    <row r="230" spans="1:40">
      <c r="A230" s="240" t="s">
        <v>46</v>
      </c>
      <c r="B230" s="298">
        <f t="shared" si="111"/>
        <v>0.4</v>
      </c>
      <c r="C230" s="298">
        <f t="shared" si="111"/>
        <v>0.4</v>
      </c>
      <c r="D230" s="298">
        <f t="shared" si="111"/>
        <v>0.4</v>
      </c>
      <c r="E230" s="298">
        <f t="shared" si="111"/>
        <v>0.40173053152039562</v>
      </c>
      <c r="F230" s="298">
        <f t="shared" si="111"/>
        <v>0.40310559006211177</v>
      </c>
      <c r="G230" s="298">
        <f t="shared" si="111"/>
        <v>0.40322580645161293</v>
      </c>
      <c r="H230" s="298">
        <f t="shared" si="111"/>
        <v>0.41333333333333333</v>
      </c>
      <c r="I230" s="298">
        <f t="shared" si="111"/>
        <v>0.41320754716981134</v>
      </c>
      <c r="J230" s="298">
        <f t="shared" si="111"/>
        <v>0.41304347826086957</v>
      </c>
      <c r="K230" s="298">
        <f t="shared" si="111"/>
        <v>0.41299999999999998</v>
      </c>
      <c r="L230" s="298">
        <f t="shared" si="111"/>
        <v>0.41305555555555562</v>
      </c>
      <c r="M230" s="298">
        <f t="shared" si="111"/>
        <v>0.41292682926829266</v>
      </c>
      <c r="N230" s="298">
        <f t="shared" si="111"/>
        <v>0.41307692307692306</v>
      </c>
      <c r="O230" s="298">
        <f t="shared" si="111"/>
        <v>0.41303571428571428</v>
      </c>
      <c r="P230" s="298">
        <f t="shared" si="111"/>
        <v>0.41291666666666665</v>
      </c>
      <c r="Q230" s="298">
        <f t="shared" si="111"/>
        <v>0.41293103448275864</v>
      </c>
      <c r="R230" s="298">
        <f t="shared" si="111"/>
        <v>0.41298245614035095</v>
      </c>
      <c r="S230" s="298">
        <f t="shared" si="111"/>
        <v>0.41304347826086957</v>
      </c>
      <c r="T230" s="298">
        <f t="shared" si="111"/>
        <v>0.41299999999999998</v>
      </c>
      <c r="U230" s="298">
        <f t="shared" si="111"/>
        <v>0.41299999999999998</v>
      </c>
      <c r="V230" s="298">
        <f t="shared" si="111"/>
        <v>0.41298850574712637</v>
      </c>
      <c r="W230" s="298">
        <f t="shared" si="111"/>
        <v>0.41300613496932514</v>
      </c>
      <c r="X230" s="298">
        <f t="shared" si="111"/>
        <v>0.41286549707602338</v>
      </c>
      <c r="Y230" s="298">
        <f t="shared" si="111"/>
        <v>0.41300492610837441</v>
      </c>
      <c r="Z230" s="298">
        <f t="shared" si="111"/>
        <v>0.41303030303030303</v>
      </c>
      <c r="AA230" s="298">
        <f t="shared" si="111"/>
        <v>0.4129227339066327</v>
      </c>
      <c r="AB230" s="298">
        <f t="shared" si="111"/>
        <v>0.41293953665716998</v>
      </c>
      <c r="AC230" s="298">
        <f t="shared" si="111"/>
        <v>0.41295163290399667</v>
      </c>
      <c r="AD230" s="298">
        <f t="shared" si="111"/>
        <v>0.41295082885454215</v>
      </c>
      <c r="AE230" s="298">
        <f t="shared" si="111"/>
        <v>0.41294612741802317</v>
      </c>
      <c r="AN230" s="240"/>
    </row>
    <row r="231" spans="1:40">
      <c r="A231" s="240" t="s">
        <v>235</v>
      </c>
      <c r="B231" s="298">
        <f t="shared" si="111"/>
        <v>0.40000000000000008</v>
      </c>
      <c r="C231" s="298">
        <f t="shared" si="111"/>
        <v>0.40000000000000008</v>
      </c>
      <c r="D231" s="298">
        <f t="shared" si="111"/>
        <v>0.4</v>
      </c>
      <c r="E231" s="298">
        <f t="shared" si="111"/>
        <v>0.40173053152039556</v>
      </c>
      <c r="F231" s="298">
        <f t="shared" si="111"/>
        <v>0.40310559006211177</v>
      </c>
      <c r="G231" s="298">
        <f t="shared" si="111"/>
        <v>0.40322580645161288</v>
      </c>
      <c r="H231" s="298">
        <f t="shared" si="111"/>
        <v>0.41333333333333327</v>
      </c>
      <c r="I231" s="298">
        <f t="shared" si="111"/>
        <v>0.41320754716981134</v>
      </c>
      <c r="J231" s="298">
        <f t="shared" si="111"/>
        <v>0.41304347826086957</v>
      </c>
      <c r="K231" s="298">
        <f t="shared" si="111"/>
        <v>0.41299999999999998</v>
      </c>
      <c r="L231" s="298">
        <f t="shared" si="111"/>
        <v>0.41305555555555556</v>
      </c>
      <c r="M231" s="298">
        <f t="shared" si="111"/>
        <v>0.41292682926829266</v>
      </c>
      <c r="N231" s="298">
        <f t="shared" si="111"/>
        <v>0.41307692307692306</v>
      </c>
      <c r="O231" s="298">
        <f t="shared" si="111"/>
        <v>0.41303571428571428</v>
      </c>
      <c r="P231" s="298">
        <f t="shared" si="111"/>
        <v>0.41291666666666665</v>
      </c>
      <c r="Q231" s="298">
        <f t="shared" ref="C231:AQ233" si="112">Q215/Q89</f>
        <v>0.41293103448275859</v>
      </c>
      <c r="R231" s="298">
        <f t="shared" si="112"/>
        <v>0.4129824561403509</v>
      </c>
      <c r="S231" s="298">
        <f t="shared" si="112"/>
        <v>0.41304347826086957</v>
      </c>
      <c r="T231" s="298">
        <f t="shared" si="112"/>
        <v>0.41299999999999998</v>
      </c>
      <c r="U231" s="298">
        <f t="shared" si="112"/>
        <v>0.41299999999999992</v>
      </c>
      <c r="V231" s="298">
        <f t="shared" si="112"/>
        <v>0.41298850574712642</v>
      </c>
      <c r="W231" s="298">
        <f t="shared" si="112"/>
        <v>0.41300613496932514</v>
      </c>
      <c r="X231" s="298">
        <f t="shared" si="112"/>
        <v>0.41286549707602338</v>
      </c>
      <c r="Y231" s="298">
        <f t="shared" si="112"/>
        <v>0.41300492610837436</v>
      </c>
      <c r="Z231" s="298">
        <f t="shared" si="112"/>
        <v>0.41303030303030297</v>
      </c>
      <c r="AA231" s="298">
        <f t="shared" si="112"/>
        <v>0.4129227339066327</v>
      </c>
      <c r="AB231" s="298">
        <f t="shared" si="112"/>
        <v>0.41293953665716998</v>
      </c>
      <c r="AC231" s="298">
        <f t="shared" si="112"/>
        <v>0.41295163290399667</v>
      </c>
      <c r="AD231" s="298">
        <f t="shared" si="112"/>
        <v>0.41295082885454215</v>
      </c>
      <c r="AE231" s="298">
        <f t="shared" si="112"/>
        <v>0.41294612741802317</v>
      </c>
      <c r="AN231" s="240"/>
    </row>
    <row r="232" spans="1:40">
      <c r="A232" s="240" t="s">
        <v>236</v>
      </c>
      <c r="B232" s="298">
        <f t="shared" ref="B232:B233" si="113">B216/B90</f>
        <v>0.4</v>
      </c>
      <c r="C232" s="298">
        <f t="shared" si="112"/>
        <v>0.4</v>
      </c>
      <c r="D232" s="298">
        <f t="shared" si="112"/>
        <v>0.4</v>
      </c>
      <c r="E232" s="298">
        <f t="shared" si="112"/>
        <v>0.40173053152039556</v>
      </c>
      <c r="F232" s="298">
        <f t="shared" si="112"/>
        <v>0.40310559006211177</v>
      </c>
      <c r="G232" s="298">
        <f t="shared" si="112"/>
        <v>0.40322580645161288</v>
      </c>
      <c r="H232" s="298">
        <f t="shared" si="112"/>
        <v>0.41333333333333333</v>
      </c>
      <c r="I232" s="298">
        <f t="shared" si="112"/>
        <v>0.41320754716981134</v>
      </c>
      <c r="J232" s="298">
        <f t="shared" si="112"/>
        <v>0.41304347826086957</v>
      </c>
      <c r="K232" s="298">
        <f t="shared" si="112"/>
        <v>0.41299999999999998</v>
      </c>
      <c r="L232" s="298">
        <f t="shared" si="112"/>
        <v>0.41305555555555556</v>
      </c>
      <c r="M232" s="298">
        <f t="shared" si="112"/>
        <v>0.41292682926829266</v>
      </c>
      <c r="N232" s="298">
        <f t="shared" si="112"/>
        <v>0.41307692307692306</v>
      </c>
      <c r="O232" s="298">
        <f t="shared" si="112"/>
        <v>0.41303571428571428</v>
      </c>
      <c r="P232" s="298">
        <f t="shared" si="112"/>
        <v>0.41291666666666665</v>
      </c>
      <c r="Q232" s="298">
        <f t="shared" si="112"/>
        <v>0.41293103448275864</v>
      </c>
      <c r="R232" s="298">
        <f t="shared" si="112"/>
        <v>0.4129824561403509</v>
      </c>
      <c r="S232" s="298">
        <f t="shared" si="112"/>
        <v>0.41304347826086957</v>
      </c>
      <c r="T232" s="298">
        <f t="shared" si="112"/>
        <v>0.41299999999999998</v>
      </c>
      <c r="U232" s="298">
        <f t="shared" si="112"/>
        <v>0.41300000000000003</v>
      </c>
      <c r="V232" s="298">
        <f t="shared" si="112"/>
        <v>0.41298850574712642</v>
      </c>
      <c r="W232" s="298">
        <f t="shared" si="112"/>
        <v>0.41300613496932514</v>
      </c>
      <c r="X232" s="298">
        <f t="shared" si="112"/>
        <v>0.41286549707602338</v>
      </c>
      <c r="Y232" s="298">
        <f t="shared" si="112"/>
        <v>0.41300492610837436</v>
      </c>
      <c r="Z232" s="298">
        <f t="shared" si="112"/>
        <v>0.41303030303030303</v>
      </c>
      <c r="AA232" s="298">
        <f t="shared" si="112"/>
        <v>0.4129227339066327</v>
      </c>
      <c r="AB232" s="298">
        <f t="shared" si="112"/>
        <v>0.41293953665716998</v>
      </c>
      <c r="AC232" s="298">
        <f t="shared" si="112"/>
        <v>0.41295163290399667</v>
      </c>
      <c r="AD232" s="298">
        <f t="shared" si="112"/>
        <v>0.41295082885454215</v>
      </c>
      <c r="AE232" s="298">
        <f t="shared" si="112"/>
        <v>0.41294612741802317</v>
      </c>
      <c r="AN232" s="240"/>
    </row>
    <row r="233" spans="1:40">
      <c r="A233" s="240" t="s">
        <v>237</v>
      </c>
      <c r="B233" s="298">
        <f t="shared" si="113"/>
        <v>0.4</v>
      </c>
      <c r="C233" s="298">
        <f t="shared" si="112"/>
        <v>0.40000000000000008</v>
      </c>
      <c r="D233" s="298">
        <f t="shared" si="112"/>
        <v>0.4</v>
      </c>
      <c r="E233" s="298">
        <f t="shared" si="112"/>
        <v>0.40173053152039556</v>
      </c>
      <c r="F233" s="298">
        <f t="shared" si="112"/>
        <v>0.40310559006211177</v>
      </c>
      <c r="G233" s="298">
        <f t="shared" si="112"/>
        <v>0.40322580645161288</v>
      </c>
      <c r="H233" s="298">
        <f t="shared" si="112"/>
        <v>0.41333333333333333</v>
      </c>
      <c r="I233" s="298">
        <f t="shared" si="112"/>
        <v>0.41320754716981134</v>
      </c>
      <c r="J233" s="298">
        <f t="shared" si="112"/>
        <v>0.41304347826086957</v>
      </c>
      <c r="K233" s="298">
        <f t="shared" si="112"/>
        <v>0.41300000000000003</v>
      </c>
      <c r="L233" s="298">
        <f t="shared" si="112"/>
        <v>0.41305555555555556</v>
      </c>
      <c r="M233" s="298">
        <f t="shared" si="112"/>
        <v>0.41292682926829266</v>
      </c>
      <c r="N233" s="298">
        <f t="shared" si="112"/>
        <v>0.41307692307692312</v>
      </c>
      <c r="O233" s="298">
        <f t="shared" si="112"/>
        <v>0.41303571428571428</v>
      </c>
      <c r="P233" s="298">
        <f t="shared" si="112"/>
        <v>0.41291666666666665</v>
      </c>
      <c r="Q233" s="298">
        <f t="shared" si="112"/>
        <v>0.41293103448275864</v>
      </c>
      <c r="R233" s="298">
        <f t="shared" si="112"/>
        <v>0.4129824561403509</v>
      </c>
      <c r="S233" s="298">
        <f t="shared" si="112"/>
        <v>0.41304347826086957</v>
      </c>
      <c r="T233" s="298">
        <f t="shared" si="112"/>
        <v>0.41299999999999998</v>
      </c>
      <c r="U233" s="298">
        <f t="shared" si="112"/>
        <v>0.41299999999999998</v>
      </c>
      <c r="V233" s="298">
        <f t="shared" si="112"/>
        <v>0.41298850574712648</v>
      </c>
      <c r="W233" s="298">
        <f t="shared" si="112"/>
        <v>0.41300613496932514</v>
      </c>
      <c r="X233" s="298">
        <f t="shared" si="112"/>
        <v>0.41286549707602338</v>
      </c>
      <c r="Y233" s="298">
        <f t="shared" si="112"/>
        <v>0.41300492610837436</v>
      </c>
      <c r="Z233" s="298">
        <f t="shared" si="112"/>
        <v>0.41303030303030303</v>
      </c>
      <c r="AA233" s="298">
        <f t="shared" si="112"/>
        <v>0.4129227339066327</v>
      </c>
      <c r="AB233" s="298">
        <f t="shared" si="112"/>
        <v>0.41293953665716998</v>
      </c>
      <c r="AC233" s="298">
        <f t="shared" si="112"/>
        <v>0.41295163290399667</v>
      </c>
      <c r="AD233" s="298">
        <f t="shared" si="112"/>
        <v>0.41295082885454221</v>
      </c>
      <c r="AE233" s="298">
        <f t="shared" si="112"/>
        <v>0.41294612741802317</v>
      </c>
      <c r="AN233" s="240"/>
    </row>
    <row r="234" spans="1:40">
      <c r="A234" s="240" t="s">
        <v>238</v>
      </c>
      <c r="B234" s="298">
        <f>B218/C80</f>
        <v>0.4</v>
      </c>
      <c r="C234" s="298">
        <f t="shared" ref="C234:AE234" si="114">C218/D80</f>
        <v>0.4</v>
      </c>
      <c r="D234" s="298">
        <f t="shared" si="114"/>
        <v>0.40173053152039556</v>
      </c>
      <c r="E234" s="298">
        <f t="shared" si="114"/>
        <v>0.40310559006211177</v>
      </c>
      <c r="F234" s="298">
        <f t="shared" si="114"/>
        <v>0.40322580645161288</v>
      </c>
      <c r="G234" s="298">
        <f t="shared" si="114"/>
        <v>0.41333333333333333</v>
      </c>
      <c r="H234" s="298">
        <f t="shared" si="114"/>
        <v>0.41320754716981134</v>
      </c>
      <c r="I234" s="298">
        <f t="shared" si="114"/>
        <v>0.41304347826086957</v>
      </c>
      <c r="J234" s="298">
        <f t="shared" si="114"/>
        <v>0.41299999999999998</v>
      </c>
      <c r="K234" s="298">
        <f t="shared" si="114"/>
        <v>0.41305555555555556</v>
      </c>
      <c r="L234" s="298">
        <f t="shared" si="114"/>
        <v>0.41292682926829266</v>
      </c>
      <c r="M234" s="298">
        <f t="shared" si="114"/>
        <v>0.41307692307692306</v>
      </c>
      <c r="N234" s="298">
        <f t="shared" si="114"/>
        <v>0.41303571428571428</v>
      </c>
      <c r="O234" s="298">
        <f t="shared" si="114"/>
        <v>0.41291666666666665</v>
      </c>
      <c r="P234" s="298">
        <f t="shared" si="114"/>
        <v>0.41293103448275864</v>
      </c>
      <c r="Q234" s="298">
        <f t="shared" si="114"/>
        <v>0.41298245614035095</v>
      </c>
      <c r="R234" s="298">
        <f t="shared" si="114"/>
        <v>0.41304347826086957</v>
      </c>
      <c r="S234" s="298">
        <f t="shared" si="114"/>
        <v>0.41299999999999998</v>
      </c>
      <c r="T234" s="298">
        <f t="shared" si="114"/>
        <v>0.41299999999999998</v>
      </c>
      <c r="U234" s="298">
        <f t="shared" si="114"/>
        <v>0.41298850574712642</v>
      </c>
      <c r="V234" s="298">
        <f t="shared" si="114"/>
        <v>0.41300613496932509</v>
      </c>
      <c r="W234" s="298">
        <f t="shared" si="114"/>
        <v>0.41286549707602338</v>
      </c>
      <c r="X234" s="298">
        <f t="shared" si="114"/>
        <v>0.41300492610837436</v>
      </c>
      <c r="Y234" s="298">
        <f t="shared" si="114"/>
        <v>0.41303030303030303</v>
      </c>
      <c r="Z234" s="298">
        <f t="shared" si="114"/>
        <v>0.41303030303030303</v>
      </c>
      <c r="AA234" s="298">
        <f t="shared" si="114"/>
        <v>0.4129227339066327</v>
      </c>
      <c r="AB234" s="298">
        <f t="shared" si="114"/>
        <v>0.41293953665716998</v>
      </c>
      <c r="AC234" s="298">
        <f t="shared" si="114"/>
        <v>0.41295163290399667</v>
      </c>
      <c r="AD234" s="298">
        <f t="shared" si="114"/>
        <v>0.41295082885454215</v>
      </c>
      <c r="AE234" s="298">
        <f t="shared" si="114"/>
        <v>0.41294612741802317</v>
      </c>
      <c r="AN234" s="240"/>
    </row>
    <row r="235" spans="1:40" ht="15.75" thickBot="1">
      <c r="A235" s="240" t="s">
        <v>255</v>
      </c>
      <c r="B235" s="258">
        <v>0.4</v>
      </c>
      <c r="C235" s="258">
        <v>0.4</v>
      </c>
      <c r="D235" s="258">
        <v>0.4</v>
      </c>
      <c r="E235" s="258">
        <v>0.40173053152039556</v>
      </c>
      <c r="F235" s="258">
        <v>0.40310559006211177</v>
      </c>
      <c r="G235" s="258">
        <v>0.40322580645161288</v>
      </c>
      <c r="H235" s="258">
        <v>0.41333333333333333</v>
      </c>
      <c r="I235" s="258">
        <v>0.41320754716981134</v>
      </c>
      <c r="J235" s="258">
        <v>0.41304347826086957</v>
      </c>
      <c r="K235" s="258">
        <v>0.41299999999999998</v>
      </c>
      <c r="L235" s="258">
        <v>0.41305555555555556</v>
      </c>
      <c r="M235" s="258">
        <v>0.41292682926829266</v>
      </c>
      <c r="N235" s="258">
        <v>0.41307692307692306</v>
      </c>
      <c r="O235" s="258">
        <v>0.41303571428571428</v>
      </c>
      <c r="P235" s="258">
        <v>0.41291666666666665</v>
      </c>
      <c r="Q235" s="258">
        <v>0.41293103448275864</v>
      </c>
      <c r="R235" s="258">
        <v>0.4129824561403509</v>
      </c>
      <c r="S235" s="258">
        <v>0.41304347826086957</v>
      </c>
      <c r="T235" s="258">
        <v>0.41299999999999998</v>
      </c>
      <c r="U235" s="258">
        <v>0.41299999999999998</v>
      </c>
      <c r="V235" s="258">
        <v>0.41298850574712642</v>
      </c>
      <c r="W235" s="258">
        <v>0.41300613496932514</v>
      </c>
      <c r="X235" s="258">
        <v>0.41286549707602338</v>
      </c>
      <c r="Y235" s="258">
        <v>0.41300492610837436</v>
      </c>
      <c r="Z235" s="259">
        <v>0.41303030303030303</v>
      </c>
      <c r="AA235" s="259">
        <f>FORECAST(AA45,H235:Z235,H45:Z45)</f>
        <v>0.4129227339066327</v>
      </c>
      <c r="AB235" s="259">
        <f>FORECAST(AB45,I235:AA235,I45:AA45)</f>
        <v>0.41293953665716998</v>
      </c>
      <c r="AC235" s="259">
        <f>FORECAST(AC45,J235:AB235,J45:AB45)</f>
        <v>0.41295163290399667</v>
      </c>
      <c r="AD235" s="259">
        <f>FORECAST(AD45,K235:AC235,K45:AC45)</f>
        <v>0.41295082885454215</v>
      </c>
      <c r="AE235" s="259">
        <f>FORECAST(AE45,L235:AD235,L45:AD45)</f>
        <v>0.41294612741802317</v>
      </c>
    </row>
    <row r="236" spans="1:40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  <c r="AD236" s="248"/>
      <c r="AE236" s="248"/>
    </row>
    <row r="237" spans="1:40" ht="15.75" thickBot="1">
      <c r="A237" s="235" t="s">
        <v>264</v>
      </c>
    </row>
    <row r="238" spans="1:40" ht="15.75" thickBot="1">
      <c r="A238" s="236"/>
      <c r="B238" s="237" t="str">
        <f>B$2</f>
        <v xml:space="preserve">93/94 </v>
      </c>
      <c r="C238" s="237" t="str">
        <f t="shared" ref="C238:AE238" si="115">C$2</f>
        <v xml:space="preserve">94/95 </v>
      </c>
      <c r="D238" s="237" t="str">
        <f t="shared" si="115"/>
        <v xml:space="preserve">95/96 </v>
      </c>
      <c r="E238" s="237" t="str">
        <f t="shared" si="115"/>
        <v xml:space="preserve">96/97 </v>
      </c>
      <c r="F238" s="237" t="str">
        <f t="shared" si="115"/>
        <v xml:space="preserve">97/98 </v>
      </c>
      <c r="G238" s="237" t="str">
        <f t="shared" si="115"/>
        <v xml:space="preserve">98/99 </v>
      </c>
      <c r="H238" s="237" t="str">
        <f t="shared" si="115"/>
        <v xml:space="preserve">99/00 </v>
      </c>
      <c r="I238" s="237" t="str">
        <f t="shared" si="115"/>
        <v xml:space="preserve">00/01 </v>
      </c>
      <c r="J238" s="237" t="str">
        <f t="shared" si="115"/>
        <v xml:space="preserve">01/02 </v>
      </c>
      <c r="K238" s="237" t="str">
        <f t="shared" si="115"/>
        <v xml:space="preserve">02/03 </v>
      </c>
      <c r="L238" s="237" t="str">
        <f t="shared" si="115"/>
        <v xml:space="preserve">03/04 </v>
      </c>
      <c r="M238" s="237" t="str">
        <f t="shared" si="115"/>
        <v xml:space="preserve">04/05 </v>
      </c>
      <c r="N238" s="237" t="str">
        <f t="shared" si="115"/>
        <v xml:space="preserve">05/06 </v>
      </c>
      <c r="O238" s="237" t="str">
        <f t="shared" si="115"/>
        <v xml:space="preserve">06/07 </v>
      </c>
      <c r="P238" s="237" t="str">
        <f t="shared" si="115"/>
        <v xml:space="preserve">07/08 </v>
      </c>
      <c r="Q238" s="237" t="str">
        <f t="shared" si="115"/>
        <v xml:space="preserve">08/09 </v>
      </c>
      <c r="R238" s="237" t="str">
        <f t="shared" si="115"/>
        <v xml:space="preserve">09/10 </v>
      </c>
      <c r="S238" s="237" t="str">
        <f t="shared" si="115"/>
        <v xml:space="preserve">10/11 </v>
      </c>
      <c r="T238" s="237" t="str">
        <f t="shared" si="115"/>
        <v xml:space="preserve">11/12 </v>
      </c>
      <c r="U238" s="237" t="str">
        <f t="shared" si="115"/>
        <v xml:space="preserve">12/13 </v>
      </c>
      <c r="V238" s="237" t="str">
        <f t="shared" si="115"/>
        <v xml:space="preserve">13/14 </v>
      </c>
      <c r="W238" s="237" t="str">
        <f t="shared" si="115"/>
        <v xml:space="preserve">14/15 </v>
      </c>
      <c r="X238" s="237" t="str">
        <f t="shared" si="115"/>
        <v xml:space="preserve">15/16 </v>
      </c>
      <c r="Y238" s="237" t="str">
        <f t="shared" si="115"/>
        <v xml:space="preserve">16/17 </v>
      </c>
      <c r="Z238" s="237" t="str">
        <f t="shared" si="115"/>
        <v xml:space="preserve">17/18 </v>
      </c>
      <c r="AA238" s="237" t="str">
        <f t="shared" si="115"/>
        <v xml:space="preserve">18/19 </v>
      </c>
      <c r="AB238" s="237" t="str">
        <f t="shared" si="115"/>
        <v xml:space="preserve">19/20 </v>
      </c>
      <c r="AC238" s="237" t="str">
        <f t="shared" si="115"/>
        <v xml:space="preserve">20/21 </v>
      </c>
      <c r="AD238" s="237" t="str">
        <f t="shared" si="115"/>
        <v xml:space="preserve">21/22 </v>
      </c>
      <c r="AE238" s="237" t="str">
        <f t="shared" si="115"/>
        <v xml:space="preserve">22/23 </v>
      </c>
    </row>
    <row r="239" spans="1:40">
      <c r="A239" s="240" t="s">
        <v>239</v>
      </c>
      <c r="B239" s="298">
        <f t="shared" ref="B239:AE247" si="116">B223+B112</f>
        <v>0.78055555555555567</v>
      </c>
      <c r="C239" s="298">
        <f t="shared" si="116"/>
        <v>0.78030769230769237</v>
      </c>
      <c r="D239" s="298">
        <f t="shared" si="116"/>
        <v>0.78260869565217395</v>
      </c>
      <c r="E239" s="298">
        <f t="shared" si="116"/>
        <v>0.77255871446229918</v>
      </c>
      <c r="F239" s="298">
        <f t="shared" si="116"/>
        <v>0.78198757763975157</v>
      </c>
      <c r="G239" s="298">
        <f t="shared" si="116"/>
        <v>0.77956989247311825</v>
      </c>
      <c r="H239" s="298">
        <f t="shared" si="116"/>
        <v>0.78333333333333333</v>
      </c>
      <c r="I239" s="298">
        <f t="shared" si="116"/>
        <v>0.7905660377358491</v>
      </c>
      <c r="J239" s="298">
        <f t="shared" si="116"/>
        <v>0.79565217391304355</v>
      </c>
      <c r="K239" s="298">
        <f t="shared" si="116"/>
        <v>0.79633333333333334</v>
      </c>
      <c r="L239" s="298">
        <f t="shared" si="116"/>
        <v>0.80194444444444446</v>
      </c>
      <c r="M239" s="298">
        <f t="shared" si="116"/>
        <v>0.80073170731707322</v>
      </c>
      <c r="N239" s="298">
        <f t="shared" si="116"/>
        <v>0.80730769230769228</v>
      </c>
      <c r="O239" s="298">
        <f t="shared" si="116"/>
        <v>0.80589285714285719</v>
      </c>
      <c r="P239" s="298">
        <f t="shared" si="116"/>
        <v>0.81291666666666673</v>
      </c>
      <c r="Q239" s="298">
        <f t="shared" si="116"/>
        <v>0.81293103448275872</v>
      </c>
      <c r="R239" s="298">
        <f t="shared" si="116"/>
        <v>0.82298245614035093</v>
      </c>
      <c r="S239" s="298">
        <f t="shared" si="116"/>
        <v>0.82304347826086954</v>
      </c>
      <c r="T239" s="298">
        <f t="shared" si="116"/>
        <v>0.82299999999999995</v>
      </c>
      <c r="U239" s="298">
        <f t="shared" si="116"/>
        <v>0.82299999999999995</v>
      </c>
      <c r="V239" s="298">
        <f t="shared" si="116"/>
        <v>0.82333333333333325</v>
      </c>
      <c r="W239" s="298">
        <f t="shared" si="116"/>
        <v>0.82343558282208584</v>
      </c>
      <c r="X239" s="298">
        <f t="shared" si="116"/>
        <v>0.82339181286549712</v>
      </c>
      <c r="Y239" s="298">
        <f t="shared" si="116"/>
        <v>0.82354679802955655</v>
      </c>
      <c r="Z239" s="298">
        <f t="shared" si="116"/>
        <v>0.82353535353535356</v>
      </c>
      <c r="AA239" s="259">
        <f t="shared" si="116"/>
        <v>0.83369387878460732</v>
      </c>
      <c r="AB239" s="259">
        <f t="shared" si="116"/>
        <v>0.83493566445275702</v>
      </c>
      <c r="AC239" s="259">
        <f t="shared" si="116"/>
        <v>0.83644358719782042</v>
      </c>
      <c r="AD239" s="259">
        <f t="shared" si="116"/>
        <v>0.8381151660738364</v>
      </c>
      <c r="AE239" s="259">
        <f t="shared" si="116"/>
        <v>0.83950666861949019</v>
      </c>
    </row>
    <row r="240" spans="1:40">
      <c r="A240" s="240" t="s">
        <v>240</v>
      </c>
      <c r="B240" s="298">
        <f t="shared" si="116"/>
        <v>0.78055555555555556</v>
      </c>
      <c r="C240" s="298">
        <f t="shared" si="116"/>
        <v>0.78030769230769237</v>
      </c>
      <c r="D240" s="298">
        <f t="shared" si="116"/>
        <v>0.78260869565217395</v>
      </c>
      <c r="E240" s="298">
        <f t="shared" si="116"/>
        <v>0.77255871446229907</v>
      </c>
      <c r="F240" s="298">
        <f t="shared" si="116"/>
        <v>0.78198757763975157</v>
      </c>
      <c r="G240" s="298">
        <f t="shared" si="116"/>
        <v>0.77956989247311825</v>
      </c>
      <c r="H240" s="298">
        <f t="shared" si="116"/>
        <v>0.78333333333333333</v>
      </c>
      <c r="I240" s="298">
        <f t="shared" si="116"/>
        <v>0.79056603773584921</v>
      </c>
      <c r="J240" s="298">
        <f t="shared" si="116"/>
        <v>0.79565217391304355</v>
      </c>
      <c r="K240" s="298">
        <f t="shared" si="116"/>
        <v>0.79633333333333334</v>
      </c>
      <c r="L240" s="298">
        <f t="shared" si="116"/>
        <v>0.80194444444444446</v>
      </c>
      <c r="M240" s="298">
        <f t="shared" si="116"/>
        <v>0.80073170731707322</v>
      </c>
      <c r="N240" s="298">
        <f t="shared" si="116"/>
        <v>0.80730769230769228</v>
      </c>
      <c r="O240" s="298">
        <f t="shared" si="116"/>
        <v>0.80589285714285719</v>
      </c>
      <c r="P240" s="298">
        <f t="shared" si="116"/>
        <v>0.81291666666666673</v>
      </c>
      <c r="Q240" s="298">
        <f t="shared" si="116"/>
        <v>0.81293103448275872</v>
      </c>
      <c r="R240" s="298">
        <f t="shared" si="116"/>
        <v>0.82298245614035093</v>
      </c>
      <c r="S240" s="298">
        <f t="shared" si="116"/>
        <v>0.82304347826086954</v>
      </c>
      <c r="T240" s="298">
        <f t="shared" si="116"/>
        <v>0.82299999999999995</v>
      </c>
      <c r="U240" s="298">
        <f t="shared" si="116"/>
        <v>0.82299999999999995</v>
      </c>
      <c r="V240" s="298">
        <f t="shared" si="116"/>
        <v>0.82333333333333325</v>
      </c>
      <c r="W240" s="298">
        <f t="shared" si="116"/>
        <v>0.82343558282208595</v>
      </c>
      <c r="X240" s="298">
        <f t="shared" si="116"/>
        <v>0.82339181286549712</v>
      </c>
      <c r="Y240" s="298">
        <f t="shared" si="116"/>
        <v>0.82354679802955666</v>
      </c>
      <c r="Z240" s="298">
        <f t="shared" si="116"/>
        <v>0.82353535353535356</v>
      </c>
      <c r="AA240" s="259">
        <f t="shared" si="116"/>
        <v>0.83369387878460743</v>
      </c>
      <c r="AB240" s="259">
        <f t="shared" si="116"/>
        <v>0.83493566445275702</v>
      </c>
      <c r="AC240" s="259">
        <f t="shared" si="116"/>
        <v>0.83644358719782042</v>
      </c>
      <c r="AD240" s="259">
        <f t="shared" si="116"/>
        <v>0.83811516607383652</v>
      </c>
      <c r="AE240" s="259">
        <f t="shared" si="116"/>
        <v>0.83950666861949019</v>
      </c>
    </row>
    <row r="241" spans="1:33">
      <c r="A241" s="240" t="s">
        <v>241</v>
      </c>
      <c r="B241" s="298">
        <f t="shared" si="116"/>
        <v>0.78055555555555567</v>
      </c>
      <c r="C241" s="298">
        <f t="shared" si="116"/>
        <v>0.78030769230769237</v>
      </c>
      <c r="D241" s="298">
        <f t="shared" si="116"/>
        <v>0.78260869565217384</v>
      </c>
      <c r="E241" s="298">
        <f t="shared" si="116"/>
        <v>0.77255871446229918</v>
      </c>
      <c r="F241" s="298">
        <f t="shared" si="116"/>
        <v>0.78198757763975157</v>
      </c>
      <c r="G241" s="298">
        <f t="shared" si="116"/>
        <v>0.77956989247311825</v>
      </c>
      <c r="H241" s="298">
        <f t="shared" si="116"/>
        <v>0.78333333333333333</v>
      </c>
      <c r="I241" s="298">
        <f t="shared" si="116"/>
        <v>0.7905660377358491</v>
      </c>
      <c r="J241" s="298">
        <f t="shared" si="116"/>
        <v>0.79565217391304355</v>
      </c>
      <c r="K241" s="298">
        <f t="shared" si="116"/>
        <v>0.79633333333333334</v>
      </c>
      <c r="L241" s="298">
        <f t="shared" si="116"/>
        <v>0.80194444444444446</v>
      </c>
      <c r="M241" s="298">
        <f t="shared" si="116"/>
        <v>0.80073170731707322</v>
      </c>
      <c r="N241" s="298">
        <f t="shared" si="116"/>
        <v>0.80730769230769228</v>
      </c>
      <c r="O241" s="298">
        <f t="shared" si="116"/>
        <v>0.80589285714285719</v>
      </c>
      <c r="P241" s="298">
        <f t="shared" si="116"/>
        <v>0.81291666666666673</v>
      </c>
      <c r="Q241" s="298">
        <f t="shared" si="116"/>
        <v>0.81293103448275872</v>
      </c>
      <c r="R241" s="298">
        <f t="shared" si="116"/>
        <v>0.82298245614035093</v>
      </c>
      <c r="S241" s="298">
        <f t="shared" si="116"/>
        <v>0.82304347826086954</v>
      </c>
      <c r="T241" s="298">
        <f t="shared" si="116"/>
        <v>0.82299999999999995</v>
      </c>
      <c r="U241" s="298">
        <f t="shared" si="116"/>
        <v>0.82299999999999995</v>
      </c>
      <c r="V241" s="298">
        <f t="shared" si="116"/>
        <v>0.82333333333333325</v>
      </c>
      <c r="W241" s="298">
        <f t="shared" si="116"/>
        <v>0.82343558282208584</v>
      </c>
      <c r="X241" s="298">
        <f t="shared" si="116"/>
        <v>0.82339181286549712</v>
      </c>
      <c r="Y241" s="298">
        <f t="shared" si="116"/>
        <v>0.82354679802955655</v>
      </c>
      <c r="Z241" s="298">
        <f t="shared" si="116"/>
        <v>0.82353535353535356</v>
      </c>
      <c r="AA241" s="259">
        <f t="shared" si="116"/>
        <v>0.83369387878460754</v>
      </c>
      <c r="AB241" s="259">
        <f t="shared" si="116"/>
        <v>0.83493566445275702</v>
      </c>
      <c r="AC241" s="259">
        <f t="shared" si="116"/>
        <v>0.83644358719782042</v>
      </c>
      <c r="AD241" s="259">
        <f t="shared" si="116"/>
        <v>0.83811516607383652</v>
      </c>
      <c r="AE241" s="259">
        <f t="shared" si="116"/>
        <v>0.83950666861949019</v>
      </c>
    </row>
    <row r="242" spans="1:33">
      <c r="A242" s="240" t="s">
        <v>231</v>
      </c>
      <c r="B242" s="298">
        <f t="shared" si="116"/>
        <v>0.78055555555555556</v>
      </c>
      <c r="C242" s="298">
        <f t="shared" si="116"/>
        <v>0.78030769230769237</v>
      </c>
      <c r="D242" s="298">
        <f t="shared" si="116"/>
        <v>0.78260869565217384</v>
      </c>
      <c r="E242" s="298">
        <f t="shared" si="116"/>
        <v>0.77255871446229918</v>
      </c>
      <c r="F242" s="298">
        <f t="shared" si="116"/>
        <v>0.78198757763975157</v>
      </c>
      <c r="G242" s="298">
        <f t="shared" si="116"/>
        <v>0.77956989247311825</v>
      </c>
      <c r="H242" s="298">
        <f t="shared" si="116"/>
        <v>0.78333333333333333</v>
      </c>
      <c r="I242" s="298">
        <f t="shared" si="116"/>
        <v>0.7905660377358491</v>
      </c>
      <c r="J242" s="298">
        <f t="shared" si="116"/>
        <v>0.79565217391304355</v>
      </c>
      <c r="K242" s="298">
        <f t="shared" si="116"/>
        <v>0.79633333333333334</v>
      </c>
      <c r="L242" s="298">
        <f t="shared" si="116"/>
        <v>0.80194444444444446</v>
      </c>
      <c r="M242" s="298">
        <f t="shared" si="116"/>
        <v>0.80073170731707322</v>
      </c>
      <c r="N242" s="298">
        <f t="shared" si="116"/>
        <v>0.80730769230769228</v>
      </c>
      <c r="O242" s="298">
        <f t="shared" si="116"/>
        <v>0.80589285714285719</v>
      </c>
      <c r="P242" s="298">
        <f t="shared" si="116"/>
        <v>0.81291666666666673</v>
      </c>
      <c r="Q242" s="298">
        <f t="shared" si="116"/>
        <v>0.81293103448275872</v>
      </c>
      <c r="R242" s="298">
        <f t="shared" si="116"/>
        <v>0.82298245614035093</v>
      </c>
      <c r="S242" s="298">
        <f t="shared" si="116"/>
        <v>0.82304347826086954</v>
      </c>
      <c r="T242" s="298">
        <f t="shared" si="116"/>
        <v>0.82299999999999995</v>
      </c>
      <c r="U242" s="298">
        <f t="shared" si="116"/>
        <v>0.82299999999999995</v>
      </c>
      <c r="V242" s="298">
        <f t="shared" si="116"/>
        <v>0.82333333333333325</v>
      </c>
      <c r="W242" s="298">
        <f t="shared" si="116"/>
        <v>0.82343558282208584</v>
      </c>
      <c r="X242" s="298">
        <f t="shared" si="116"/>
        <v>0.82339181286549701</v>
      </c>
      <c r="Y242" s="298">
        <f t="shared" si="116"/>
        <v>0.82354679802955655</v>
      </c>
      <c r="Z242" s="298">
        <f t="shared" si="116"/>
        <v>0.82353535353535356</v>
      </c>
      <c r="AA242" s="259">
        <f t="shared" si="116"/>
        <v>0.83369387878460743</v>
      </c>
      <c r="AB242" s="259">
        <f t="shared" si="116"/>
        <v>0.83493566445275702</v>
      </c>
      <c r="AC242" s="259">
        <f t="shared" si="116"/>
        <v>0.83644358719782053</v>
      </c>
      <c r="AD242" s="259">
        <f t="shared" si="116"/>
        <v>0.83811516607383652</v>
      </c>
      <c r="AE242" s="259">
        <f t="shared" si="116"/>
        <v>0.83950666861949019</v>
      </c>
    </row>
    <row r="243" spans="1:33">
      <c r="A243" s="240" t="s">
        <v>232</v>
      </c>
      <c r="B243" s="298">
        <f t="shared" si="116"/>
        <v>0.78055555555555556</v>
      </c>
      <c r="C243" s="298">
        <f t="shared" si="116"/>
        <v>0.78030769230769237</v>
      </c>
      <c r="D243" s="298">
        <f t="shared" si="116"/>
        <v>0.78260869565217384</v>
      </c>
      <c r="E243" s="298">
        <f t="shared" si="116"/>
        <v>0.77255871446229918</v>
      </c>
      <c r="F243" s="298">
        <f t="shared" si="116"/>
        <v>0.78198757763975157</v>
      </c>
      <c r="G243" s="298">
        <f t="shared" si="116"/>
        <v>0.77956989247311825</v>
      </c>
      <c r="H243" s="298">
        <f t="shared" si="116"/>
        <v>0.78333333333333333</v>
      </c>
      <c r="I243" s="298">
        <f t="shared" si="116"/>
        <v>0.79056603773584921</v>
      </c>
      <c r="J243" s="298">
        <f t="shared" si="116"/>
        <v>0.79565217391304355</v>
      </c>
      <c r="K243" s="298">
        <f t="shared" si="116"/>
        <v>0.79633333333333334</v>
      </c>
      <c r="L243" s="298">
        <f t="shared" si="116"/>
        <v>0.80194444444444446</v>
      </c>
      <c r="M243" s="298">
        <f t="shared" si="116"/>
        <v>0.80073170731707322</v>
      </c>
      <c r="N243" s="298">
        <f t="shared" si="116"/>
        <v>0.80730769230769228</v>
      </c>
      <c r="O243" s="298">
        <f t="shared" si="116"/>
        <v>0.80589285714285719</v>
      </c>
      <c r="P243" s="298">
        <f t="shared" si="116"/>
        <v>0.81291666666666673</v>
      </c>
      <c r="Q243" s="298">
        <f t="shared" si="116"/>
        <v>0.81293103448275872</v>
      </c>
      <c r="R243" s="298">
        <f t="shared" si="116"/>
        <v>0.82298245614035093</v>
      </c>
      <c r="S243" s="298">
        <f t="shared" si="116"/>
        <v>0.82304347826086954</v>
      </c>
      <c r="T243" s="298">
        <f t="shared" si="116"/>
        <v>0.82299999999999995</v>
      </c>
      <c r="U243" s="298">
        <f t="shared" si="116"/>
        <v>0.82299999999999995</v>
      </c>
      <c r="V243" s="298">
        <f t="shared" si="116"/>
        <v>0.82333333333333325</v>
      </c>
      <c r="W243" s="298">
        <f t="shared" si="116"/>
        <v>0.82343558282208584</v>
      </c>
      <c r="X243" s="298">
        <f t="shared" si="116"/>
        <v>0.82339181286549712</v>
      </c>
      <c r="Y243" s="298">
        <f t="shared" si="116"/>
        <v>0.82354679802955655</v>
      </c>
      <c r="Z243" s="298">
        <f t="shared" si="116"/>
        <v>0.82353535353535356</v>
      </c>
      <c r="AA243" s="259">
        <f t="shared" si="116"/>
        <v>0.83369387878460743</v>
      </c>
      <c r="AB243" s="259">
        <f t="shared" si="116"/>
        <v>0.83493566445275702</v>
      </c>
      <c r="AC243" s="259">
        <f t="shared" si="116"/>
        <v>0.83644358719782042</v>
      </c>
      <c r="AD243" s="259">
        <f t="shared" si="116"/>
        <v>0.83811516607383652</v>
      </c>
      <c r="AE243" s="259">
        <f t="shared" si="116"/>
        <v>0.83950666861949019</v>
      </c>
    </row>
    <row r="244" spans="1:33">
      <c r="A244" s="240" t="s">
        <v>233</v>
      </c>
      <c r="B244" s="298">
        <f t="shared" si="116"/>
        <v>0.78055555555555556</v>
      </c>
      <c r="C244" s="298">
        <f t="shared" si="116"/>
        <v>0.78030769230769237</v>
      </c>
      <c r="D244" s="298">
        <f t="shared" si="116"/>
        <v>0.78260869565217395</v>
      </c>
      <c r="E244" s="298">
        <f t="shared" si="116"/>
        <v>0.77255871446229918</v>
      </c>
      <c r="F244" s="298">
        <f t="shared" si="116"/>
        <v>0.78198757763975146</v>
      </c>
      <c r="G244" s="298">
        <f t="shared" si="116"/>
        <v>0.77956989247311825</v>
      </c>
      <c r="H244" s="298">
        <f t="shared" si="116"/>
        <v>0.78333333333333321</v>
      </c>
      <c r="I244" s="298">
        <f t="shared" si="116"/>
        <v>0.79056603773584921</v>
      </c>
      <c r="J244" s="298">
        <f t="shared" si="116"/>
        <v>0.79565217391304355</v>
      </c>
      <c r="K244" s="298">
        <f t="shared" si="116"/>
        <v>0.79633333333333334</v>
      </c>
      <c r="L244" s="298">
        <f t="shared" si="116"/>
        <v>0.80194444444444457</v>
      </c>
      <c r="M244" s="298">
        <f t="shared" si="116"/>
        <v>0.80073170731707322</v>
      </c>
      <c r="N244" s="298">
        <f t="shared" si="116"/>
        <v>0.80730769230769228</v>
      </c>
      <c r="O244" s="298">
        <f t="shared" si="116"/>
        <v>0.80589285714285719</v>
      </c>
      <c r="P244" s="298">
        <f t="shared" si="116"/>
        <v>0.81291666666666673</v>
      </c>
      <c r="Q244" s="298">
        <f t="shared" si="116"/>
        <v>0.81293103448275872</v>
      </c>
      <c r="R244" s="298">
        <f t="shared" si="116"/>
        <v>0.82298245614035093</v>
      </c>
      <c r="S244" s="298">
        <f t="shared" si="116"/>
        <v>0.82304347826086954</v>
      </c>
      <c r="T244" s="298">
        <f t="shared" si="116"/>
        <v>0.82299999999999995</v>
      </c>
      <c r="U244" s="298">
        <f t="shared" si="116"/>
        <v>0.82299999999999995</v>
      </c>
      <c r="V244" s="298">
        <f t="shared" si="116"/>
        <v>0.82333333333333325</v>
      </c>
      <c r="W244" s="298">
        <f t="shared" si="116"/>
        <v>0.82343558282208584</v>
      </c>
      <c r="X244" s="298">
        <f t="shared" si="116"/>
        <v>0.82339181286549712</v>
      </c>
      <c r="Y244" s="298">
        <f t="shared" si="116"/>
        <v>0.82354679802955666</v>
      </c>
      <c r="Z244" s="298">
        <f t="shared" si="116"/>
        <v>0.82353535353535356</v>
      </c>
      <c r="AA244" s="259">
        <f t="shared" si="116"/>
        <v>0.83369387878460743</v>
      </c>
      <c r="AB244" s="259">
        <f t="shared" si="116"/>
        <v>0.83493566445275702</v>
      </c>
      <c r="AC244" s="259">
        <f t="shared" si="116"/>
        <v>0.83644358719782053</v>
      </c>
      <c r="AD244" s="259">
        <f t="shared" si="116"/>
        <v>0.83811516607383652</v>
      </c>
      <c r="AE244" s="259">
        <f t="shared" si="116"/>
        <v>0.83950666861949019</v>
      </c>
    </row>
    <row r="245" spans="1:33">
      <c r="A245" s="240" t="s">
        <v>234</v>
      </c>
      <c r="B245" s="298">
        <f t="shared" si="116"/>
        <v>0.78055555555555556</v>
      </c>
      <c r="C245" s="298">
        <f t="shared" si="116"/>
        <v>0.78030769230769237</v>
      </c>
      <c r="D245" s="298">
        <f t="shared" si="116"/>
        <v>0.78260869565217395</v>
      </c>
      <c r="E245" s="298">
        <f t="shared" si="116"/>
        <v>0.77255871446229907</v>
      </c>
      <c r="F245" s="298">
        <f t="shared" si="116"/>
        <v>0.78198757763975157</v>
      </c>
      <c r="G245" s="298">
        <f t="shared" si="116"/>
        <v>0.77956989247311825</v>
      </c>
      <c r="H245" s="298">
        <f t="shared" si="116"/>
        <v>0.78333333333333333</v>
      </c>
      <c r="I245" s="298">
        <f t="shared" si="116"/>
        <v>0.7905660377358491</v>
      </c>
      <c r="J245" s="298">
        <f t="shared" si="116"/>
        <v>0.79565217391304355</v>
      </c>
      <c r="K245" s="298">
        <f t="shared" si="116"/>
        <v>0.79633333333333334</v>
      </c>
      <c r="L245" s="298">
        <f t="shared" si="116"/>
        <v>0.80194444444444457</v>
      </c>
      <c r="M245" s="298">
        <f t="shared" si="116"/>
        <v>0.80073170731707322</v>
      </c>
      <c r="N245" s="298">
        <f t="shared" si="116"/>
        <v>0.80730769230769228</v>
      </c>
      <c r="O245" s="298">
        <f t="shared" si="116"/>
        <v>0.80589285714285719</v>
      </c>
      <c r="P245" s="298">
        <f t="shared" si="116"/>
        <v>0.81291666666666673</v>
      </c>
      <c r="Q245" s="298">
        <f t="shared" si="116"/>
        <v>0.81293103448275872</v>
      </c>
      <c r="R245" s="298">
        <f t="shared" si="116"/>
        <v>0.82298245614035093</v>
      </c>
      <c r="S245" s="298">
        <f t="shared" si="116"/>
        <v>0.82304347826086954</v>
      </c>
      <c r="T245" s="298">
        <f t="shared" si="116"/>
        <v>0.82299999999999995</v>
      </c>
      <c r="U245" s="298">
        <f t="shared" si="116"/>
        <v>0.82299999999999995</v>
      </c>
      <c r="V245" s="298">
        <f t="shared" si="116"/>
        <v>0.82333333333333325</v>
      </c>
      <c r="W245" s="298">
        <f t="shared" si="116"/>
        <v>0.82343558282208584</v>
      </c>
      <c r="X245" s="298">
        <f t="shared" si="116"/>
        <v>0.82339181286549712</v>
      </c>
      <c r="Y245" s="298">
        <f t="shared" si="116"/>
        <v>0.82354679802955655</v>
      </c>
      <c r="Z245" s="259">
        <f t="shared" si="116"/>
        <v>0.82353535353535356</v>
      </c>
      <c r="AA245" s="259">
        <f t="shared" si="116"/>
        <v>0.83369387878460743</v>
      </c>
      <c r="AB245" s="259">
        <f t="shared" si="116"/>
        <v>0.83493566445275702</v>
      </c>
      <c r="AC245" s="259">
        <f t="shared" si="116"/>
        <v>0.83644358719782042</v>
      </c>
      <c r="AD245" s="259">
        <f t="shared" si="116"/>
        <v>0.83811516607383652</v>
      </c>
      <c r="AE245" s="259">
        <f t="shared" si="116"/>
        <v>0.83950666861949019</v>
      </c>
    </row>
    <row r="246" spans="1:33">
      <c r="A246" s="240" t="s">
        <v>46</v>
      </c>
      <c r="B246" s="298">
        <f t="shared" si="116"/>
        <v>0.78055555555555556</v>
      </c>
      <c r="C246" s="298">
        <f t="shared" si="116"/>
        <v>0.78030769230769237</v>
      </c>
      <c r="D246" s="298">
        <f t="shared" si="116"/>
        <v>0.78260869565217395</v>
      </c>
      <c r="E246" s="298">
        <f t="shared" si="116"/>
        <v>0.77255871446229918</v>
      </c>
      <c r="F246" s="298">
        <f t="shared" si="116"/>
        <v>0.78198757763975157</v>
      </c>
      <c r="G246" s="298">
        <f t="shared" si="116"/>
        <v>0.77956989247311825</v>
      </c>
      <c r="H246" s="298">
        <f t="shared" si="116"/>
        <v>0.78333333333333333</v>
      </c>
      <c r="I246" s="298">
        <f t="shared" si="116"/>
        <v>0.7905660377358491</v>
      </c>
      <c r="J246" s="298">
        <f t="shared" si="116"/>
        <v>0.79565217391304355</v>
      </c>
      <c r="K246" s="298">
        <f t="shared" si="116"/>
        <v>0.79633333333333334</v>
      </c>
      <c r="L246" s="298">
        <f t="shared" si="116"/>
        <v>0.80194444444444457</v>
      </c>
      <c r="M246" s="298">
        <f t="shared" si="116"/>
        <v>0.80073170731707322</v>
      </c>
      <c r="N246" s="298">
        <f t="shared" si="116"/>
        <v>0.80730769230769228</v>
      </c>
      <c r="O246" s="298">
        <f t="shared" si="116"/>
        <v>0.80589285714285719</v>
      </c>
      <c r="P246" s="298">
        <f t="shared" si="116"/>
        <v>0.81291666666666673</v>
      </c>
      <c r="Q246" s="298">
        <f t="shared" si="116"/>
        <v>0.81293103448275872</v>
      </c>
      <c r="R246" s="298">
        <f t="shared" si="116"/>
        <v>0.82298245614035093</v>
      </c>
      <c r="S246" s="298">
        <f t="shared" si="116"/>
        <v>0.82304347826086954</v>
      </c>
      <c r="T246" s="298">
        <f t="shared" si="116"/>
        <v>0.82299999999999995</v>
      </c>
      <c r="U246" s="298">
        <f t="shared" si="116"/>
        <v>0.82299999999999995</v>
      </c>
      <c r="V246" s="298">
        <f t="shared" si="116"/>
        <v>0.82333333333333325</v>
      </c>
      <c r="W246" s="298">
        <f t="shared" si="116"/>
        <v>0.82343558282208584</v>
      </c>
      <c r="X246" s="298">
        <f t="shared" si="116"/>
        <v>0.82339181286549712</v>
      </c>
      <c r="Y246" s="298">
        <f t="shared" si="116"/>
        <v>0.82354679802955677</v>
      </c>
      <c r="Z246" s="259">
        <f t="shared" si="116"/>
        <v>0.82353535353535356</v>
      </c>
      <c r="AA246" s="259">
        <f t="shared" si="116"/>
        <v>0.83369387878460743</v>
      </c>
      <c r="AB246" s="259">
        <f t="shared" si="116"/>
        <v>0.83493566445275702</v>
      </c>
      <c r="AC246" s="259">
        <f t="shared" si="116"/>
        <v>0.83644358719782053</v>
      </c>
      <c r="AD246" s="259">
        <f t="shared" si="116"/>
        <v>0.83811516607383652</v>
      </c>
      <c r="AE246" s="259">
        <f t="shared" si="116"/>
        <v>0.83950666861949019</v>
      </c>
    </row>
    <row r="247" spans="1:33">
      <c r="A247" s="240" t="s">
        <v>235</v>
      </c>
      <c r="B247" s="298">
        <f t="shared" si="116"/>
        <v>0.78055555555555567</v>
      </c>
      <c r="C247" s="298">
        <f t="shared" si="116"/>
        <v>0.78030769230769237</v>
      </c>
      <c r="D247" s="298">
        <f t="shared" si="116"/>
        <v>0.78260869565217395</v>
      </c>
      <c r="E247" s="298">
        <f t="shared" si="116"/>
        <v>0.77255871446229918</v>
      </c>
      <c r="F247" s="298">
        <f t="shared" si="116"/>
        <v>0.78198757763975157</v>
      </c>
      <c r="G247" s="298">
        <f t="shared" si="116"/>
        <v>0.77956989247311825</v>
      </c>
      <c r="H247" s="298">
        <f t="shared" si="116"/>
        <v>0.78333333333333321</v>
      </c>
      <c r="I247" s="298">
        <f t="shared" si="116"/>
        <v>0.7905660377358491</v>
      </c>
      <c r="J247" s="298">
        <f t="shared" si="116"/>
        <v>0.79565217391304355</v>
      </c>
      <c r="K247" s="298">
        <f t="shared" si="116"/>
        <v>0.79633333333333334</v>
      </c>
      <c r="L247" s="298">
        <f t="shared" si="116"/>
        <v>0.80194444444444446</v>
      </c>
      <c r="M247" s="298">
        <f t="shared" si="116"/>
        <v>0.80073170731707322</v>
      </c>
      <c r="N247" s="298">
        <f t="shared" si="116"/>
        <v>0.80730769230769228</v>
      </c>
      <c r="O247" s="298">
        <f t="shared" si="116"/>
        <v>0.80589285714285719</v>
      </c>
      <c r="P247" s="298">
        <f t="shared" si="116"/>
        <v>0.81291666666666673</v>
      </c>
      <c r="Q247" s="298">
        <f t="shared" ref="B247:AR251" si="117">Q231+Q120</f>
        <v>0.81293103448275861</v>
      </c>
      <c r="R247" s="298">
        <f t="shared" si="117"/>
        <v>0.82298245614035093</v>
      </c>
      <c r="S247" s="298">
        <f t="shared" si="117"/>
        <v>0.82304347826086954</v>
      </c>
      <c r="T247" s="298">
        <f t="shared" si="117"/>
        <v>0.82299999999999995</v>
      </c>
      <c r="U247" s="298">
        <f t="shared" si="117"/>
        <v>0.82299999999999995</v>
      </c>
      <c r="V247" s="298">
        <f t="shared" si="117"/>
        <v>0.82333333333333325</v>
      </c>
      <c r="W247" s="298">
        <f t="shared" si="117"/>
        <v>0.82343558282208584</v>
      </c>
      <c r="X247" s="298">
        <f t="shared" si="117"/>
        <v>0.82339181286549712</v>
      </c>
      <c r="Y247" s="298">
        <f t="shared" si="117"/>
        <v>0.82354679802955655</v>
      </c>
      <c r="Z247" s="259">
        <f t="shared" si="117"/>
        <v>0.82353535353535345</v>
      </c>
      <c r="AA247" s="259">
        <f t="shared" si="117"/>
        <v>0.83369387878460743</v>
      </c>
      <c r="AB247" s="259">
        <f t="shared" si="117"/>
        <v>0.83493566445275702</v>
      </c>
      <c r="AC247" s="259">
        <f t="shared" si="117"/>
        <v>0.83644358719782042</v>
      </c>
      <c r="AD247" s="259">
        <f t="shared" si="117"/>
        <v>0.83811516607383652</v>
      </c>
      <c r="AE247" s="259">
        <f t="shared" si="117"/>
        <v>0.83950666861949019</v>
      </c>
    </row>
    <row r="248" spans="1:33">
      <c r="A248" s="240" t="s">
        <v>236</v>
      </c>
      <c r="B248" s="298">
        <f t="shared" si="117"/>
        <v>0.78055555555555556</v>
      </c>
      <c r="C248" s="298">
        <f t="shared" si="117"/>
        <v>0.78030769230769237</v>
      </c>
      <c r="D248" s="298">
        <f t="shared" si="117"/>
        <v>0.78260869565217395</v>
      </c>
      <c r="E248" s="298">
        <f t="shared" si="117"/>
        <v>0.77255871446229918</v>
      </c>
      <c r="F248" s="298">
        <f t="shared" si="117"/>
        <v>0.78198757763975157</v>
      </c>
      <c r="G248" s="298">
        <f t="shared" si="117"/>
        <v>0.77956989247311825</v>
      </c>
      <c r="H248" s="298">
        <f t="shared" si="117"/>
        <v>0.78333333333333333</v>
      </c>
      <c r="I248" s="298">
        <f t="shared" si="117"/>
        <v>0.7905660377358491</v>
      </c>
      <c r="J248" s="298">
        <f t="shared" si="117"/>
        <v>0.79565217391304355</v>
      </c>
      <c r="K248" s="298">
        <f t="shared" si="117"/>
        <v>0.79633333333333334</v>
      </c>
      <c r="L248" s="298">
        <f t="shared" si="117"/>
        <v>0.80194444444444446</v>
      </c>
      <c r="M248" s="298">
        <f t="shared" si="117"/>
        <v>0.80073170731707322</v>
      </c>
      <c r="N248" s="298">
        <f t="shared" si="117"/>
        <v>0.80730769230769228</v>
      </c>
      <c r="O248" s="298">
        <f t="shared" si="117"/>
        <v>0.80589285714285719</v>
      </c>
      <c r="P248" s="298">
        <f t="shared" si="117"/>
        <v>0.81291666666666673</v>
      </c>
      <c r="Q248" s="298">
        <f t="shared" si="117"/>
        <v>0.81293103448275872</v>
      </c>
      <c r="R248" s="298">
        <f t="shared" si="117"/>
        <v>0.82298245614035093</v>
      </c>
      <c r="S248" s="298">
        <f t="shared" si="117"/>
        <v>0.82304347826086954</v>
      </c>
      <c r="T248" s="298">
        <f t="shared" si="117"/>
        <v>0.82299999999999995</v>
      </c>
      <c r="U248" s="298">
        <f t="shared" si="117"/>
        <v>0.82299999999999995</v>
      </c>
      <c r="V248" s="298">
        <f t="shared" si="117"/>
        <v>0.82333333333333325</v>
      </c>
      <c r="W248" s="298">
        <f t="shared" si="117"/>
        <v>0.82343558282208584</v>
      </c>
      <c r="X248" s="298">
        <f t="shared" si="117"/>
        <v>0.82339181286549712</v>
      </c>
      <c r="Y248" s="298">
        <f t="shared" si="117"/>
        <v>0.82354679802955655</v>
      </c>
      <c r="Z248" s="259">
        <f t="shared" si="117"/>
        <v>0.82353535353535356</v>
      </c>
      <c r="AA248" s="259">
        <f t="shared" si="117"/>
        <v>0.83369387878460743</v>
      </c>
      <c r="AB248" s="259">
        <f t="shared" si="117"/>
        <v>0.83493566445275702</v>
      </c>
      <c r="AC248" s="259">
        <f t="shared" si="117"/>
        <v>0.83644358719782042</v>
      </c>
      <c r="AD248" s="259">
        <f t="shared" si="117"/>
        <v>0.83811516607383652</v>
      </c>
      <c r="AE248" s="259">
        <f t="shared" si="117"/>
        <v>0.83950666861949019</v>
      </c>
    </row>
    <row r="249" spans="1:33">
      <c r="A249" s="240" t="s">
        <v>237</v>
      </c>
      <c r="B249" s="298">
        <f t="shared" si="117"/>
        <v>0.78055555555555556</v>
      </c>
      <c r="C249" s="298">
        <f t="shared" si="117"/>
        <v>0.78030769230769237</v>
      </c>
      <c r="D249" s="298">
        <f t="shared" si="117"/>
        <v>0.78260869565217395</v>
      </c>
      <c r="E249" s="298">
        <f t="shared" si="117"/>
        <v>0.77255871446229918</v>
      </c>
      <c r="F249" s="298">
        <f t="shared" si="117"/>
        <v>0.78198757763975157</v>
      </c>
      <c r="G249" s="298">
        <f t="shared" si="117"/>
        <v>0.77956989247311825</v>
      </c>
      <c r="H249" s="298">
        <f t="shared" si="117"/>
        <v>0.78333333333333333</v>
      </c>
      <c r="I249" s="298">
        <f t="shared" si="117"/>
        <v>0.7905660377358491</v>
      </c>
      <c r="J249" s="298">
        <f t="shared" si="117"/>
        <v>0.79565217391304355</v>
      </c>
      <c r="K249" s="298">
        <f t="shared" si="117"/>
        <v>0.79633333333333334</v>
      </c>
      <c r="L249" s="298">
        <f t="shared" si="117"/>
        <v>0.80194444444444446</v>
      </c>
      <c r="M249" s="298">
        <f t="shared" si="117"/>
        <v>0.80073170731707322</v>
      </c>
      <c r="N249" s="298">
        <f t="shared" si="117"/>
        <v>0.80730769230769228</v>
      </c>
      <c r="O249" s="298">
        <f t="shared" si="117"/>
        <v>0.80589285714285719</v>
      </c>
      <c r="P249" s="298">
        <f t="shared" si="117"/>
        <v>0.81291666666666673</v>
      </c>
      <c r="Q249" s="298">
        <f t="shared" si="117"/>
        <v>0.81293103448275872</v>
      </c>
      <c r="R249" s="298">
        <f t="shared" si="117"/>
        <v>0.82298245614035093</v>
      </c>
      <c r="S249" s="298">
        <f t="shared" si="117"/>
        <v>0.82304347826086954</v>
      </c>
      <c r="T249" s="298">
        <f t="shared" si="117"/>
        <v>0.82299999999999995</v>
      </c>
      <c r="U249" s="298">
        <f t="shared" si="117"/>
        <v>0.82299999999999995</v>
      </c>
      <c r="V249" s="298">
        <f t="shared" si="117"/>
        <v>0.82333333333333336</v>
      </c>
      <c r="W249" s="298">
        <f t="shared" si="117"/>
        <v>0.82343558282208584</v>
      </c>
      <c r="X249" s="298">
        <f t="shared" si="117"/>
        <v>0.82339181286549712</v>
      </c>
      <c r="Y249" s="298">
        <f t="shared" si="117"/>
        <v>0.82354679802955655</v>
      </c>
      <c r="Z249" s="259">
        <f t="shared" si="117"/>
        <v>0.82353535353535356</v>
      </c>
      <c r="AA249" s="259">
        <f t="shared" si="117"/>
        <v>0.83369387878460743</v>
      </c>
      <c r="AB249" s="259">
        <f t="shared" si="117"/>
        <v>0.83493566445275702</v>
      </c>
      <c r="AC249" s="259">
        <f t="shared" si="117"/>
        <v>0.83644358719782042</v>
      </c>
      <c r="AD249" s="259">
        <f t="shared" si="117"/>
        <v>0.83811516607383663</v>
      </c>
      <c r="AE249" s="259">
        <f t="shared" si="117"/>
        <v>0.83950666861949019</v>
      </c>
    </row>
    <row r="250" spans="1:33">
      <c r="A250" s="240" t="s">
        <v>238</v>
      </c>
      <c r="B250" s="298">
        <f t="shared" si="117"/>
        <v>0.78055555555555556</v>
      </c>
      <c r="C250" s="298">
        <f t="shared" si="117"/>
        <v>0.78030769230769237</v>
      </c>
      <c r="D250" s="298">
        <f t="shared" si="117"/>
        <v>0.78433922717256954</v>
      </c>
      <c r="E250" s="298">
        <f t="shared" si="117"/>
        <v>0.77393377300401522</v>
      </c>
      <c r="F250" s="298">
        <f t="shared" si="117"/>
        <v>0.78210779402925268</v>
      </c>
      <c r="G250" s="298">
        <f t="shared" si="117"/>
        <v>0.78967741935483871</v>
      </c>
      <c r="H250" s="298">
        <f t="shared" si="117"/>
        <v>0.78320754716981134</v>
      </c>
      <c r="I250" s="298">
        <f t="shared" si="117"/>
        <v>0.79040196882690728</v>
      </c>
      <c r="J250" s="298">
        <f t="shared" si="117"/>
        <v>0.79560869565217385</v>
      </c>
      <c r="K250" s="298">
        <f t="shared" si="117"/>
        <v>0.79638888888888892</v>
      </c>
      <c r="L250" s="298">
        <f t="shared" si="117"/>
        <v>0.80181571815718156</v>
      </c>
      <c r="M250" s="298">
        <f t="shared" si="117"/>
        <v>0.80088180112570351</v>
      </c>
      <c r="N250" s="298">
        <f t="shared" si="117"/>
        <v>0.80726648351648345</v>
      </c>
      <c r="O250" s="298">
        <f t="shared" si="117"/>
        <v>0.8057738095238095</v>
      </c>
      <c r="P250" s="298">
        <f t="shared" si="117"/>
        <v>0.81293103448275872</v>
      </c>
      <c r="Q250" s="298">
        <f t="shared" si="117"/>
        <v>0.81298245614035092</v>
      </c>
      <c r="R250" s="298">
        <f t="shared" si="117"/>
        <v>0.82304347826086954</v>
      </c>
      <c r="S250" s="298">
        <f t="shared" si="117"/>
        <v>0.82299999999999995</v>
      </c>
      <c r="T250" s="298">
        <f t="shared" si="117"/>
        <v>0.82299999999999995</v>
      </c>
      <c r="U250" s="298">
        <f t="shared" si="117"/>
        <v>0.82298850574712645</v>
      </c>
      <c r="V250" s="298">
        <f t="shared" si="117"/>
        <v>0.82335096255553197</v>
      </c>
      <c r="W250" s="298">
        <f t="shared" si="117"/>
        <v>0.82329494492878408</v>
      </c>
      <c r="X250" s="298">
        <f t="shared" si="117"/>
        <v>0.82353124189784799</v>
      </c>
      <c r="Y250" s="298">
        <f t="shared" si="117"/>
        <v>0.82357217495148527</v>
      </c>
      <c r="Z250" s="259">
        <f t="shared" si="117"/>
        <v>0.82353535353535356</v>
      </c>
      <c r="AA250" s="259">
        <f t="shared" si="117"/>
        <v>0.83369387878460743</v>
      </c>
      <c r="AB250" s="259">
        <f t="shared" si="117"/>
        <v>0.83493566445275702</v>
      </c>
      <c r="AC250" s="259">
        <f t="shared" si="117"/>
        <v>0.83644358719782042</v>
      </c>
      <c r="AD250" s="259">
        <f t="shared" si="117"/>
        <v>0.83811516607383652</v>
      </c>
      <c r="AE250" s="259">
        <f t="shared" si="117"/>
        <v>0.83950666861949008</v>
      </c>
    </row>
    <row r="251" spans="1:33" ht="15.75" thickBot="1">
      <c r="A251" s="240" t="s">
        <v>255</v>
      </c>
      <c r="B251" s="258">
        <f>B235+B124</f>
        <v>0.78055555555555556</v>
      </c>
      <c r="C251" s="258">
        <f t="shared" si="117"/>
        <v>0.78030769230769237</v>
      </c>
      <c r="D251" s="258">
        <f t="shared" si="117"/>
        <v>0.78260869565217395</v>
      </c>
      <c r="E251" s="258">
        <f t="shared" si="117"/>
        <v>0.77255871446229918</v>
      </c>
      <c r="F251" s="258">
        <f t="shared" si="117"/>
        <v>0.78198757763975157</v>
      </c>
      <c r="G251" s="258">
        <f t="shared" si="117"/>
        <v>0.77956989247311825</v>
      </c>
      <c r="H251" s="258">
        <f t="shared" si="117"/>
        <v>0.78333333333333333</v>
      </c>
      <c r="I251" s="258">
        <f t="shared" si="117"/>
        <v>0.7905660377358491</v>
      </c>
      <c r="J251" s="258">
        <f t="shared" si="117"/>
        <v>0.79565217391304355</v>
      </c>
      <c r="K251" s="258">
        <f t="shared" si="117"/>
        <v>0.79633333333333334</v>
      </c>
      <c r="L251" s="258">
        <f t="shared" si="117"/>
        <v>0.80194444444444446</v>
      </c>
      <c r="M251" s="258">
        <f t="shared" si="117"/>
        <v>0.80073170731707322</v>
      </c>
      <c r="N251" s="258">
        <f t="shared" si="117"/>
        <v>0.80730769230769228</v>
      </c>
      <c r="O251" s="258">
        <f t="shared" si="117"/>
        <v>0.80589285714285719</v>
      </c>
      <c r="P251" s="258">
        <f t="shared" si="117"/>
        <v>0.81291666666666673</v>
      </c>
      <c r="Q251" s="258">
        <f t="shared" si="117"/>
        <v>0.81293103448275872</v>
      </c>
      <c r="R251" s="258">
        <f t="shared" si="117"/>
        <v>0.82298245614035093</v>
      </c>
      <c r="S251" s="258">
        <f t="shared" si="117"/>
        <v>0.82304347826086954</v>
      </c>
      <c r="T251" s="258">
        <f t="shared" si="117"/>
        <v>0.82299999999999995</v>
      </c>
      <c r="U251" s="258">
        <f t="shared" si="117"/>
        <v>0.82299999999999995</v>
      </c>
      <c r="V251" s="258">
        <f t="shared" si="117"/>
        <v>0.82333333333333325</v>
      </c>
      <c r="W251" s="258">
        <f t="shared" si="117"/>
        <v>0.82343558282208584</v>
      </c>
      <c r="X251" s="258">
        <f t="shared" si="117"/>
        <v>0.82339181286549712</v>
      </c>
      <c r="Y251" s="258">
        <f t="shared" si="117"/>
        <v>0.82354679802955655</v>
      </c>
      <c r="Z251" s="259">
        <f t="shared" si="117"/>
        <v>0.82353535353535356</v>
      </c>
      <c r="AA251" s="259">
        <f t="shared" si="117"/>
        <v>0.83369387878460743</v>
      </c>
      <c r="AB251" s="259">
        <f t="shared" si="117"/>
        <v>0.83493566445275702</v>
      </c>
      <c r="AC251" s="259">
        <f t="shared" si="117"/>
        <v>0.83644358719782042</v>
      </c>
      <c r="AD251" s="259">
        <f t="shared" si="117"/>
        <v>0.83811516607383652</v>
      </c>
      <c r="AE251" s="259">
        <f t="shared" si="117"/>
        <v>0.83950666861949019</v>
      </c>
    </row>
    <row r="252" spans="1:33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  <c r="AD252" s="248"/>
      <c r="AE252" s="248"/>
    </row>
    <row r="253" spans="1:33" ht="15.75" thickBot="1">
      <c r="A253" s="235" t="s">
        <v>265</v>
      </c>
    </row>
    <row r="254" spans="1:33" ht="15.75" thickBot="1">
      <c r="A254" s="236"/>
      <c r="B254" s="237" t="str">
        <f>B$2</f>
        <v xml:space="preserve">93/94 </v>
      </c>
      <c r="C254" s="237" t="str">
        <f t="shared" ref="C254:AE254" si="118">C$2</f>
        <v xml:space="preserve">94/95 </v>
      </c>
      <c r="D254" s="237" t="str">
        <f t="shared" si="118"/>
        <v xml:space="preserve">95/96 </v>
      </c>
      <c r="E254" s="237" t="str">
        <f t="shared" si="118"/>
        <v xml:space="preserve">96/97 </v>
      </c>
      <c r="F254" s="237" t="str">
        <f t="shared" si="118"/>
        <v xml:space="preserve">97/98 </v>
      </c>
      <c r="G254" s="237" t="str">
        <f t="shared" si="118"/>
        <v xml:space="preserve">98/99 </v>
      </c>
      <c r="H254" s="237" t="str">
        <f t="shared" si="118"/>
        <v xml:space="preserve">99/00 </v>
      </c>
      <c r="I254" s="237" t="str">
        <f t="shared" si="118"/>
        <v xml:space="preserve">00/01 </v>
      </c>
      <c r="J254" s="237" t="str">
        <f t="shared" si="118"/>
        <v xml:space="preserve">01/02 </v>
      </c>
      <c r="K254" s="237" t="str">
        <f t="shared" si="118"/>
        <v xml:space="preserve">02/03 </v>
      </c>
      <c r="L254" s="237" t="str">
        <f t="shared" si="118"/>
        <v xml:space="preserve">03/04 </v>
      </c>
      <c r="M254" s="237" t="str">
        <f t="shared" si="118"/>
        <v xml:space="preserve">04/05 </v>
      </c>
      <c r="N254" s="237" t="str">
        <f t="shared" si="118"/>
        <v xml:space="preserve">05/06 </v>
      </c>
      <c r="O254" s="237" t="str">
        <f t="shared" si="118"/>
        <v xml:space="preserve">06/07 </v>
      </c>
      <c r="P254" s="237" t="str">
        <f t="shared" si="118"/>
        <v xml:space="preserve">07/08 </v>
      </c>
      <c r="Q254" s="237" t="str">
        <f t="shared" si="118"/>
        <v xml:space="preserve">08/09 </v>
      </c>
      <c r="R254" s="237" t="str">
        <f t="shared" si="118"/>
        <v xml:space="preserve">09/10 </v>
      </c>
      <c r="S254" s="237" t="str">
        <f t="shared" si="118"/>
        <v xml:space="preserve">10/11 </v>
      </c>
      <c r="T254" s="237" t="str">
        <f t="shared" si="118"/>
        <v xml:space="preserve">11/12 </v>
      </c>
      <c r="U254" s="237" t="str">
        <f t="shared" si="118"/>
        <v xml:space="preserve">12/13 </v>
      </c>
      <c r="V254" s="237" t="str">
        <f t="shared" si="118"/>
        <v xml:space="preserve">13/14 </v>
      </c>
      <c r="W254" s="237" t="str">
        <f t="shared" si="118"/>
        <v xml:space="preserve">14/15 </v>
      </c>
      <c r="X254" s="237" t="str">
        <f t="shared" si="118"/>
        <v xml:space="preserve">15/16 </v>
      </c>
      <c r="Y254" s="237" t="str">
        <f t="shared" si="118"/>
        <v xml:space="preserve">16/17 </v>
      </c>
      <c r="Z254" s="237" t="str">
        <f t="shared" si="118"/>
        <v xml:space="preserve">17/18 </v>
      </c>
      <c r="AA254" s="237" t="str">
        <f t="shared" si="118"/>
        <v xml:space="preserve">18/19 </v>
      </c>
      <c r="AB254" s="237" t="str">
        <f t="shared" si="118"/>
        <v xml:space="preserve">19/20 </v>
      </c>
      <c r="AC254" s="237" t="str">
        <f t="shared" si="118"/>
        <v xml:space="preserve">20/21 </v>
      </c>
      <c r="AD254" s="237" t="str">
        <f t="shared" si="118"/>
        <v xml:space="preserve">21/22 </v>
      </c>
      <c r="AE254" s="237" t="str">
        <f t="shared" si="118"/>
        <v xml:space="preserve">22/23 </v>
      </c>
      <c r="AF254" s="269"/>
      <c r="AG254" s="269"/>
    </row>
    <row r="255" spans="1:33">
      <c r="A255" s="240" t="s">
        <v>239</v>
      </c>
      <c r="B255" s="241">
        <f>(SUM(K255:O255)/SUM(K$267:O$267))*B$267</f>
        <v>12.972126769103053</v>
      </c>
      <c r="C255" s="241">
        <f>(SUM(L255:P255)/SUM(L$267:P$267))*C$267</f>
        <v>19.613391133260254</v>
      </c>
      <c r="D255" s="241">
        <f>(SUM(M255:Q255)/SUM(M$267:Q$267))*D$267</f>
        <v>20.009205673733277</v>
      </c>
      <c r="E255" s="241">
        <v>7.5558518590775332</v>
      </c>
      <c r="F255" s="242">
        <f>'[2]Russia Sun Oil Imports'!CB$290</f>
        <v>37.442999999999998</v>
      </c>
      <c r="G255" s="242">
        <f>'[2]Russia Sun Oil Imports'!CN$290</f>
        <v>4.9009999999999998</v>
      </c>
      <c r="H255" s="242">
        <f>'[2]Russia Sun Oil Imports'!CZ$290</f>
        <v>18.181000000000001</v>
      </c>
      <c r="I255" s="242">
        <f>'[2]Russia Sun Oil Imports'!DL$290</f>
        <v>12.358000000000001</v>
      </c>
      <c r="J255" s="242">
        <f>'[2]Russia Sun Oil Imports'!DX$290</f>
        <v>0</v>
      </c>
      <c r="K255" s="242">
        <f>'[2]Russia Sun Oil Imports'!EJ$290</f>
        <v>16.261733</v>
      </c>
      <c r="L255" s="242">
        <f>'[2]Russia Sun Oil Imports'!EV$290</f>
        <v>19.677430000000001</v>
      </c>
      <c r="M255" s="242">
        <f>'[2]Russia Sun Oil Imports'!FH$290</f>
        <v>11.639063</v>
      </c>
      <c r="N255" s="242">
        <f>'[2]Russia Sun Oil Imports'!FT$290</f>
        <v>8.1944680000000005</v>
      </c>
      <c r="O255" s="242">
        <f>'[2]Russia Sun Oil Imports'!GF$290</f>
        <v>8.5401240000000005</v>
      </c>
      <c r="P255" s="242">
        <f>'[2]Russia Sun Oil Imports'!GR$290</f>
        <v>15.226621</v>
      </c>
      <c r="Q255" s="242">
        <f>'[2]Russia Sun Oil Imports'!HD$290</f>
        <v>5.5078560000000003</v>
      </c>
      <c r="R255" s="242">
        <f>'[2]Russia Sun Oil Imports'!HP$290</f>
        <v>7.6440609999999998</v>
      </c>
      <c r="S255" s="242">
        <f>'[2]Russia Sun Oil Imports'!IB$290</f>
        <v>7.8350359999999997</v>
      </c>
      <c r="T255" s="242">
        <f>'[2]Russia Sun Oil Imports'!IN$290</f>
        <v>0.43928699999999998</v>
      </c>
      <c r="U255" s="242">
        <f>'[2]Russia Sun Oil Imports'!IZ$290</f>
        <v>2.823731</v>
      </c>
      <c r="V255" s="242">
        <f>'[2]Russia Sun Oil Imports'!JL$290</f>
        <v>3.4708679999999998</v>
      </c>
      <c r="W255" s="242">
        <f>'[2]Russia Sun Oil Imports'!JX$290</f>
        <v>0.17505399999999999</v>
      </c>
      <c r="X255" s="242">
        <f>'[2]Russia Sun Oil Imports'!KJ$290</f>
        <v>0.44298500000000002</v>
      </c>
      <c r="Y255" s="242">
        <f>'[2]Russia Sun Oil Imports'!KV$290</f>
        <v>1.089655</v>
      </c>
      <c r="Z255" s="242">
        <f>'[2]Russia Sun Oil Imports'!LH$290</f>
        <v>3.18994</v>
      </c>
      <c r="AA255" s="242">
        <f>'[2]Russia Sun Oil Imports'!LT$290</f>
        <v>2.4607890000000001</v>
      </c>
      <c r="AB255" s="242">
        <f>'[2]Russia Sun Oil Imports'!MF$290</f>
        <v>4.5170000000000002E-2</v>
      </c>
      <c r="AC255" s="242">
        <f>'[2]Russia Sun Oil Imports'!MR$290</f>
        <v>0.14796599999999999</v>
      </c>
      <c r="AD255" s="242">
        <f>'[2]Russia Sun Oil Imports'!ND$290</f>
        <v>7.9000000000000001E-2</v>
      </c>
      <c r="AE255" s="253">
        <f t="shared" ref="AD255:AE265" si="119">(SUM(Y255:AC255)/SUM(Y$267:AC$267))*AE$267</f>
        <v>0</v>
      </c>
    </row>
    <row r="256" spans="1:33">
      <c r="A256" s="240" t="s">
        <v>240</v>
      </c>
      <c r="B256" s="241">
        <f t="shared" ref="B256:B266" si="120">(SUM(K256:O256)/SUM(K$267:O$267))*B$267</f>
        <v>11.026017038342225</v>
      </c>
      <c r="C256" s="241">
        <f t="shared" ref="C256:D266" si="121">(SUM(L256:P256)/SUM(L$267:P$267))*C$267</f>
        <v>15.757645162401339</v>
      </c>
      <c r="D256" s="241">
        <f t="shared" si="121"/>
        <v>17.611783478698559</v>
      </c>
      <c r="E256" s="241">
        <v>8.7181481409224659</v>
      </c>
      <c r="F256" s="242">
        <f>'[2]Russia Sun Oil Imports'!CC$290</f>
        <v>32.250999999999998</v>
      </c>
      <c r="G256" s="242">
        <f>'[2]Russia Sun Oil Imports'!CO$290</f>
        <v>14.833</v>
      </c>
      <c r="H256" s="242">
        <f>'[2]Russia Sun Oil Imports'!DA$290</f>
        <v>22.484000000000002</v>
      </c>
      <c r="I256" s="242">
        <f>'[2]Russia Sun Oil Imports'!DM$290</f>
        <v>12.208</v>
      </c>
      <c r="J256" s="242">
        <f>'[2]Russia Sun Oil Imports'!DY$290</f>
        <v>0</v>
      </c>
      <c r="K256" s="242">
        <f>'[2]Russia Sun Oil Imports'!EK$290</f>
        <v>12.793561</v>
      </c>
      <c r="L256" s="242">
        <f>'[2]Russia Sun Oil Imports'!EW$290</f>
        <v>12.355363000000001</v>
      </c>
      <c r="M256" s="242">
        <f>'[2]Russia Sun Oil Imports'!FI$290</f>
        <v>9.8850280000000001</v>
      </c>
      <c r="N256" s="242">
        <f>'[2]Russia Sun Oil Imports'!FU$290</f>
        <v>10.629738</v>
      </c>
      <c r="O256" s="242">
        <f>'[2]Russia Sun Oil Imports'!GG$290</f>
        <v>9.0007640000000002</v>
      </c>
      <c r="P256" s="242">
        <f>'[2]Russia Sun Oil Imports'!GS$290</f>
        <v>8.967212</v>
      </c>
      <c r="Q256" s="242">
        <f>'[2]Russia Sun Oil Imports'!HE$290</f>
        <v>4.7414519999999998</v>
      </c>
      <c r="R256" s="242">
        <f>'[2]Russia Sun Oil Imports'!HQ$290</f>
        <v>3.8457499999999998</v>
      </c>
      <c r="S256" s="242">
        <f>'[2]Russia Sun Oil Imports'!IC$290</f>
        <v>31.561323000000002</v>
      </c>
      <c r="T256" s="242">
        <f>'[2]Russia Sun Oil Imports'!IO$290</f>
        <v>3.6887810000000001</v>
      </c>
      <c r="U256" s="242">
        <f>'[2]Russia Sun Oil Imports'!JA$290</f>
        <v>0.408827</v>
      </c>
      <c r="V256" s="242">
        <f>'[2]Russia Sun Oil Imports'!JM$290</f>
        <v>0.41253899999999999</v>
      </c>
      <c r="W256" s="242">
        <f>'[2]Russia Sun Oil Imports'!JY$290</f>
        <v>0.14063999999999999</v>
      </c>
      <c r="X256" s="242">
        <f>'[2]Russia Sun Oil Imports'!KK$290</f>
        <v>0.24987899999999999</v>
      </c>
      <c r="Y256" s="242">
        <f>'[2]Russia Sun Oil Imports'!KW$290</f>
        <v>1.272043</v>
      </c>
      <c r="Z256" s="242">
        <f>'[2]Russia Sun Oil Imports'!LI$290</f>
        <v>2.6504639999999999</v>
      </c>
      <c r="AA256" s="242">
        <f>'[2]Russia Sun Oil Imports'!LU$290</f>
        <v>2.930707</v>
      </c>
      <c r="AB256" s="242">
        <f>'[2]Russia Sun Oil Imports'!MG$290</f>
        <v>7.1859999999999993E-2</v>
      </c>
      <c r="AC256" s="242">
        <f>'[2]Russia Sun Oil Imports'!MS$290</f>
        <v>8.9570999999999998E-2</v>
      </c>
      <c r="AD256" s="242">
        <f>'[2]Russia Sun Oil Imports'!NE$290</f>
        <v>3.2000000000000001E-2</v>
      </c>
      <c r="AE256" s="253">
        <f t="shared" si="119"/>
        <v>0</v>
      </c>
    </row>
    <row r="257" spans="1:33">
      <c r="A257" s="240" t="s">
        <v>241</v>
      </c>
      <c r="B257" s="241">
        <f t="shared" si="120"/>
        <v>11.075134284826399</v>
      </c>
      <c r="C257" s="241">
        <f t="shared" si="121"/>
        <v>15.206100204732858</v>
      </c>
      <c r="D257" s="241">
        <f t="shared" si="121"/>
        <v>17.71903950840726</v>
      </c>
      <c r="E257" s="262">
        <f>'[2]Russia Sun Oil Imports'!BS$290</f>
        <v>8.0470000000000006</v>
      </c>
      <c r="F257" s="242">
        <f>'[2]Russia Sun Oil Imports'!CD$290</f>
        <v>36.753999999999998</v>
      </c>
      <c r="G257" s="242">
        <f>'[2]Russia Sun Oil Imports'!CP$290</f>
        <v>14.59</v>
      </c>
      <c r="H257" s="242">
        <f>'[2]Russia Sun Oil Imports'!DB$290</f>
        <v>17.495999999999999</v>
      </c>
      <c r="I257" s="242">
        <f>'[2]Russia Sun Oil Imports'!DN$290</f>
        <v>15.442</v>
      </c>
      <c r="J257" s="242">
        <f>'[2]Russia Sun Oil Imports'!DZ$290</f>
        <v>0</v>
      </c>
      <c r="K257" s="242">
        <f>'[2]Russia Sun Oil Imports'!EL$290</f>
        <v>16.425913000000001</v>
      </c>
      <c r="L257" s="242">
        <f>'[2]Russia Sun Oil Imports'!EX$290</f>
        <v>6.1230169999999999</v>
      </c>
      <c r="M257" s="242">
        <f>'[2]Russia Sun Oil Imports'!FJ$290</f>
        <v>11.796806999999999</v>
      </c>
      <c r="N257" s="242">
        <f>'[2]Russia Sun Oil Imports'!FV$290</f>
        <v>10.502348</v>
      </c>
      <c r="O257" s="242">
        <f>'[2]Russia Sun Oil Imports'!GH$290</f>
        <v>10.059881000000001</v>
      </c>
      <c r="P257" s="242">
        <f>'[2]Russia Sun Oil Imports'!GT$290</f>
        <v>10.57663</v>
      </c>
      <c r="Q257" s="242">
        <f>'[2]Russia Sun Oil Imports'!HF$290</f>
        <v>0.55176400000000003</v>
      </c>
      <c r="R257" s="242">
        <f>'[2]Russia Sun Oil Imports'!HR$290</f>
        <v>2.7313809999999998</v>
      </c>
      <c r="S257" s="242">
        <f>'[2]Russia Sun Oil Imports'!ID$290</f>
        <v>22.647662</v>
      </c>
      <c r="T257" s="242">
        <f>'[2]Russia Sun Oil Imports'!IP$290</f>
        <v>1.024621</v>
      </c>
      <c r="U257" s="242">
        <f>'[2]Russia Sun Oil Imports'!JB$290</f>
        <v>0.60307599999999995</v>
      </c>
      <c r="V257" s="242">
        <f>'[2]Russia Sun Oil Imports'!JN$290</f>
        <v>0.46559099999999998</v>
      </c>
      <c r="W257" s="242">
        <f>'[2]Russia Sun Oil Imports'!JZ$290</f>
        <v>0.34489500000000001</v>
      </c>
      <c r="X257" s="242">
        <f>'[2]Russia Sun Oil Imports'!KL$290</f>
        <v>0.14523</v>
      </c>
      <c r="Y257" s="242">
        <f>'[2]Russia Sun Oil Imports'!KX$290</f>
        <v>0.622448</v>
      </c>
      <c r="Z257" s="242">
        <f>'[2]Russia Sun Oil Imports'!LJ$290</f>
        <v>3.643777</v>
      </c>
      <c r="AA257" s="242">
        <f>'[2]Russia Sun Oil Imports'!LV$290</f>
        <v>0.81913100000000005</v>
      </c>
      <c r="AB257" s="242">
        <f>'[2]Russia Sun Oil Imports'!MH$290</f>
        <v>7.5949000000000003E-2</v>
      </c>
      <c r="AC257" s="242">
        <f>'[2]Russia Sun Oil Imports'!MT$290</f>
        <v>5.4052000000000003E-2</v>
      </c>
      <c r="AD257" s="242">
        <f>'[2]Russia Sun Oil Imports'!NF$290</f>
        <v>0.04</v>
      </c>
      <c r="AE257" s="253">
        <f t="shared" si="119"/>
        <v>0</v>
      </c>
    </row>
    <row r="258" spans="1:33">
      <c r="A258" s="240" t="s">
        <v>231</v>
      </c>
      <c r="B258" s="241">
        <f t="shared" si="120"/>
        <v>10.908375633720754</v>
      </c>
      <c r="C258" s="241">
        <f t="shared" si="121"/>
        <v>15.152237053347864</v>
      </c>
      <c r="D258" s="241">
        <f t="shared" si="121"/>
        <v>16.517949298771992</v>
      </c>
      <c r="E258" s="242">
        <f>'[2]Russia Sun Oil Imports'!BS$290</f>
        <v>8.0470000000000006</v>
      </c>
      <c r="F258" s="242">
        <f>'[2]Russia Sun Oil Imports'!CE$290</f>
        <v>21.317</v>
      </c>
      <c r="G258" s="242">
        <f>'[2]Russia Sun Oil Imports'!CQ$290</f>
        <v>6.806</v>
      </c>
      <c r="H258" s="242">
        <f>'[2]Russia Sun Oil Imports'!DC$290</f>
        <v>7.7560000000000002</v>
      </c>
      <c r="I258" s="242">
        <f>'[2]Russia Sun Oil Imports'!DO$290</f>
        <v>0</v>
      </c>
      <c r="J258" s="242">
        <f>'[2]Russia Sun Oil Imports'!EA$290</f>
        <v>18.751448</v>
      </c>
      <c r="K258" s="242">
        <f>'[2]Russia Sun Oil Imports'!EM$290</f>
        <v>12.847117000000001</v>
      </c>
      <c r="L258" s="242">
        <f>'[2]Russia Sun Oil Imports'!EY$290</f>
        <v>10.315795</v>
      </c>
      <c r="M258" s="242">
        <f>'[2]Russia Sun Oil Imports'!FK$290</f>
        <v>9.8033870000000007</v>
      </c>
      <c r="N258" s="242">
        <f>'[2]Russia Sun Oil Imports'!FW$290</f>
        <v>13.957338999999999</v>
      </c>
      <c r="O258" s="242">
        <f>'[2]Russia Sun Oil Imports'!GI$290</f>
        <v>7.1575769999999999</v>
      </c>
      <c r="P258" s="242">
        <f>'[2]Russia Sun Oil Imports'!GU$290</f>
        <v>7.6508089999999997</v>
      </c>
      <c r="Q258" s="242">
        <f>'[2]Russia Sun Oil Imports'!HG$290</f>
        <v>1.97051</v>
      </c>
      <c r="R258" s="242">
        <f>'[2]Russia Sun Oil Imports'!HS$290</f>
        <v>1.567105</v>
      </c>
      <c r="S258" s="242">
        <f>'[2]Russia Sun Oil Imports'!IE$290</f>
        <v>14.072618</v>
      </c>
      <c r="T258" s="242">
        <f>'[2]Russia Sun Oil Imports'!IQ$290</f>
        <v>0.22675000000000001</v>
      </c>
      <c r="U258" s="242">
        <f>'[2]Russia Sun Oil Imports'!JC$290</f>
        <v>5.0807999999999999E-2</v>
      </c>
      <c r="V258" s="242">
        <f>'[2]Russia Sun Oil Imports'!JO$290</f>
        <v>0.15176799999999999</v>
      </c>
      <c r="W258" s="242">
        <f>'[2]Russia Sun Oil Imports'!KA$290</f>
        <v>0.10608099999999999</v>
      </c>
      <c r="X258" s="242">
        <f>'[2]Russia Sun Oil Imports'!KM$290</f>
        <v>9.2578999999999995E-2</v>
      </c>
      <c r="Y258" s="242">
        <f>'[2]Russia Sun Oil Imports'!KY$290</f>
        <v>0.70087200000000005</v>
      </c>
      <c r="Z258" s="242">
        <f>'[2]Russia Sun Oil Imports'!LK$290</f>
        <v>0.850553</v>
      </c>
      <c r="AA258" s="242">
        <f>'[2]Russia Sun Oil Imports'!LW$290</f>
        <v>0.48084100000000002</v>
      </c>
      <c r="AB258" s="242">
        <f>'[2]Russia Sun Oil Imports'!MI$290</f>
        <v>4.8582E-2</v>
      </c>
      <c r="AC258" s="242">
        <f>'[2]Russia Sun Oil Imports'!MU$290</f>
        <v>0.161</v>
      </c>
      <c r="AD258" s="242">
        <f>'[2]Russia Sun Oil Imports'!NG$290</f>
        <v>9.0130000000000002E-3</v>
      </c>
      <c r="AE258" s="253">
        <f t="shared" si="119"/>
        <v>0</v>
      </c>
    </row>
    <row r="259" spans="1:33">
      <c r="A259" s="240" t="s">
        <v>232</v>
      </c>
      <c r="B259" s="241">
        <f t="shared" si="120"/>
        <v>10.088266353667997</v>
      </c>
      <c r="C259" s="241">
        <f t="shared" si="121"/>
        <v>15.191228140313127</v>
      </c>
      <c r="D259" s="241">
        <f t="shared" si="121"/>
        <v>17.241403516057979</v>
      </c>
      <c r="E259" s="242">
        <f>'[2]Russia Sun Oil Imports'!BT$290</f>
        <v>10.558999999999999</v>
      </c>
      <c r="F259" s="242">
        <f>'[2]Russia Sun Oil Imports'!CF$290</f>
        <v>18.98</v>
      </c>
      <c r="G259" s="242">
        <f>'[2]Russia Sun Oil Imports'!CR$290</f>
        <v>25.547000000000001</v>
      </c>
      <c r="H259" s="242">
        <f>'[2]Russia Sun Oil Imports'!DD$290</f>
        <v>11.342000000000001</v>
      </c>
      <c r="I259" s="242">
        <f>'[2]Russia Sun Oil Imports'!DP$290</f>
        <v>0</v>
      </c>
      <c r="J259" s="242">
        <f>'[2]Russia Sun Oil Imports'!EB$290</f>
        <v>13.501268</v>
      </c>
      <c r="K259" s="242">
        <f>'[2]Russia Sun Oil Imports'!EN$290</f>
        <v>10.646936999999999</v>
      </c>
      <c r="L259" s="242">
        <f>'[2]Russia Sun Oil Imports'!EZ$290</f>
        <v>11.025251000000001</v>
      </c>
      <c r="M259" s="242">
        <f>'[2]Russia Sun Oil Imports'!FL$290</f>
        <v>13.465697</v>
      </c>
      <c r="N259" s="242">
        <f>'[2]Russia Sun Oil Imports'!FX$290</f>
        <v>8.8889589999999998</v>
      </c>
      <c r="O259" s="242">
        <f>'[2]Russia Sun Oil Imports'!GJ$290</f>
        <v>5.9884579999999996</v>
      </c>
      <c r="P259" s="242">
        <f>'[2]Russia Sun Oil Imports'!GV$290</f>
        <v>9.6423369999999995</v>
      </c>
      <c r="Q259" s="242">
        <f>'[2]Russia Sun Oil Imports'!HH$290</f>
        <v>4.3297280000000002</v>
      </c>
      <c r="R259" s="242">
        <f>'[2]Russia Sun Oil Imports'!HT$290</f>
        <v>5.1684840000000003</v>
      </c>
      <c r="S259" s="242">
        <f>'[2]Russia Sun Oil Imports'!IF$290</f>
        <v>23.851300999999999</v>
      </c>
      <c r="T259" s="242">
        <f>'[2]Russia Sun Oil Imports'!IR$290</f>
        <v>0.47149200000000002</v>
      </c>
      <c r="U259" s="242">
        <f>'[2]Russia Sun Oil Imports'!JD$290</f>
        <v>0.29945300000000002</v>
      </c>
      <c r="V259" s="242">
        <f>'[2]Russia Sun Oil Imports'!JP$290</f>
        <v>9.7459000000000004E-2</v>
      </c>
      <c r="W259" s="242">
        <f>'[2]Russia Sun Oil Imports'!KB$290</f>
        <v>0.16849</v>
      </c>
      <c r="X259" s="242">
        <f>'[2]Russia Sun Oil Imports'!KN$290</f>
        <v>0.124585</v>
      </c>
      <c r="Y259" s="242">
        <f>'[2]Russia Sun Oil Imports'!KZ$290</f>
        <v>1.015873</v>
      </c>
      <c r="Z259" s="242">
        <f>'[2]Russia Sun Oil Imports'!LL$290</f>
        <v>3.5191089999999998</v>
      </c>
      <c r="AA259" s="242">
        <f>'[2]Russia Sun Oil Imports'!LX$290</f>
        <v>0.15345</v>
      </c>
      <c r="AB259" s="242">
        <f>'[2]Russia Sun Oil Imports'!MJ$290</f>
        <v>9.2885999999999996E-2</v>
      </c>
      <c r="AC259" s="242">
        <f>'[2]Russia Sun Oil Imports'!MV$290</f>
        <v>7.1999999999999995E-2</v>
      </c>
      <c r="AD259" s="253">
        <f t="shared" si="119"/>
        <v>2.4127751741870249E-2</v>
      </c>
      <c r="AE259" s="253">
        <f t="shared" si="119"/>
        <v>0</v>
      </c>
    </row>
    <row r="260" spans="1:33">
      <c r="A260" s="240" t="s">
        <v>233</v>
      </c>
      <c r="B260" s="241">
        <f t="shared" si="120"/>
        <v>12.880951095239967</v>
      </c>
      <c r="C260" s="241">
        <f t="shared" si="121"/>
        <v>20.616356450249665</v>
      </c>
      <c r="D260" s="241">
        <f t="shared" si="121"/>
        <v>22.727378142845204</v>
      </c>
      <c r="E260" s="242">
        <f>'[2]Russia Sun Oil Imports'!BU$290</f>
        <v>13.002000000000001</v>
      </c>
      <c r="F260" s="242">
        <f>'[2]Russia Sun Oil Imports'!CG$290</f>
        <v>21.094000000000001</v>
      </c>
      <c r="G260" s="242">
        <f>'[2]Russia Sun Oil Imports'!CS$290</f>
        <v>18.175999999999998</v>
      </c>
      <c r="H260" s="242">
        <f>'[2]Russia Sun Oil Imports'!DE$290</f>
        <v>12.661</v>
      </c>
      <c r="I260" s="242">
        <f>'[2]Russia Sun Oil Imports'!DQ$290</f>
        <v>0</v>
      </c>
      <c r="J260" s="242">
        <f>'[2]Russia Sun Oil Imports'!EC$290</f>
        <v>12.061005</v>
      </c>
      <c r="K260" s="242">
        <f>'[2]Russia Sun Oil Imports'!EO$290</f>
        <v>16.622592000000001</v>
      </c>
      <c r="L260" s="242">
        <f>'[2]Russia Sun Oil Imports'!FA$290</f>
        <v>15.274702</v>
      </c>
      <c r="M260" s="242">
        <f>'[2]Russia Sun Oil Imports'!FM$290</f>
        <v>13.546925999999999</v>
      </c>
      <c r="N260" s="242">
        <f>'[2]Russia Sun Oil Imports'!FY$290</f>
        <v>8.7075530000000008</v>
      </c>
      <c r="O260" s="242">
        <f>'[2]Russia Sun Oil Imports'!GK$290</f>
        <v>9.7090169999999993</v>
      </c>
      <c r="P260" s="242">
        <f>'[2]Russia Sun Oil Imports'!GW$290</f>
        <v>19.275324999999999</v>
      </c>
      <c r="Q260" s="242">
        <f>'[2]Russia Sun Oil Imports'!HI$290</f>
        <v>4.5404590000000002</v>
      </c>
      <c r="R260" s="242">
        <f>'[2]Russia Sun Oil Imports'!HU$290</f>
        <v>2.4753539999999998</v>
      </c>
      <c r="S260" s="242">
        <f>'[2]Russia Sun Oil Imports'!IG$290</f>
        <v>22.854424999999999</v>
      </c>
      <c r="T260" s="242">
        <f>'[2]Russia Sun Oil Imports'!IS$290</f>
        <v>0.276472</v>
      </c>
      <c r="U260" s="242">
        <f>'[2]Russia Sun Oil Imports'!JE$290</f>
        <v>0.30709999999999998</v>
      </c>
      <c r="V260" s="242">
        <f>'[2]Russia Sun Oil Imports'!JQ$290</f>
        <v>0.15376899999999999</v>
      </c>
      <c r="W260" s="242">
        <f>'[2]Russia Sun Oil Imports'!KC$290</f>
        <v>0.134687</v>
      </c>
      <c r="X260" s="242">
        <f>'[2]Russia Sun Oil Imports'!KO$290</f>
        <v>0.294574</v>
      </c>
      <c r="Y260" s="242">
        <f>'[2]Russia Sun Oil Imports'!LA$290</f>
        <v>1.370865</v>
      </c>
      <c r="Z260" s="242">
        <f>'[2]Russia Sun Oil Imports'!LM$290</f>
        <v>4.269107</v>
      </c>
      <c r="AA260" s="242">
        <f>'[2]Russia Sun Oil Imports'!LY$290</f>
        <v>0.19842299999999999</v>
      </c>
      <c r="AB260" s="242">
        <f>'[2]Russia Sun Oil Imports'!MK$290</f>
        <v>2.3460000000000002E-2</v>
      </c>
      <c r="AC260" s="242">
        <f>'[2]Russia Sun Oil Imports'!MW$290</f>
        <v>0.104</v>
      </c>
      <c r="AD260" s="253">
        <f>(SUM(X260:AB260)/SUM(X$267:AB$267))*AD$267*0</f>
        <v>0</v>
      </c>
      <c r="AE260" s="253">
        <f t="shared" si="119"/>
        <v>0</v>
      </c>
    </row>
    <row r="261" spans="1:33">
      <c r="A261" s="240" t="s">
        <v>234</v>
      </c>
      <c r="B261" s="241">
        <f t="shared" si="120"/>
        <v>9.8910512661233909</v>
      </c>
      <c r="C261" s="241">
        <f t="shared" si="121"/>
        <v>14.236666385648686</v>
      </c>
      <c r="D261" s="241">
        <f t="shared" si="121"/>
        <v>11.876678042367919</v>
      </c>
      <c r="E261" s="242">
        <f>'[2]Russia Sun Oil Imports'!BV$290</f>
        <v>18.571000000000002</v>
      </c>
      <c r="F261" s="242">
        <f>'[2]Russia Sun Oil Imports'!CH$290</f>
        <v>22.672999999999998</v>
      </c>
      <c r="G261" s="242">
        <f>'[2]Russia Sun Oil Imports'!CT$290</f>
        <v>43.96</v>
      </c>
      <c r="H261" s="242">
        <f>'[2]Russia Sun Oil Imports'!DF$290</f>
        <v>10.959</v>
      </c>
      <c r="I261" s="242">
        <f>'[2]Russia Sun Oil Imports'!DR$290</f>
        <v>0</v>
      </c>
      <c r="J261" s="242">
        <f>'[2]Russia Sun Oil Imports'!ED$290</f>
        <v>19.958902999999999</v>
      </c>
      <c r="K261" s="242">
        <f>'[2]Russia Sun Oil Imports'!EP$290</f>
        <v>6.5055810000000003</v>
      </c>
      <c r="L261" s="242">
        <f>'[2]Russia Sun Oil Imports'!FB$290</f>
        <v>16.86957</v>
      </c>
      <c r="M261" s="242">
        <f>'[2]Russia Sun Oil Imports'!FN$290</f>
        <v>10.024061</v>
      </c>
      <c r="N261" s="242">
        <f>'[2]Russia Sun Oil Imports'!FZ$290</f>
        <v>7.6744890000000003</v>
      </c>
      <c r="O261" s="242">
        <f>'[2]Russia Sun Oil Imports'!GL$290</f>
        <v>7.9638540000000004</v>
      </c>
      <c r="P261" s="242">
        <f>'[2]Russia Sun Oil Imports'!GX$290</f>
        <v>3.399073</v>
      </c>
      <c r="Q261" s="242">
        <f>'[2]Russia Sun Oil Imports'!HJ$290</f>
        <v>8.7179999999999994E-2</v>
      </c>
      <c r="R261" s="242">
        <f>'[2]Russia Sun Oil Imports'!HV$290</f>
        <v>4.8599379999999996</v>
      </c>
      <c r="S261" s="242">
        <f>'[2]Russia Sun Oil Imports'!IH$290</f>
        <v>15.18267</v>
      </c>
      <c r="T261" s="242">
        <f>'[2]Russia Sun Oil Imports'!IT$290</f>
        <v>2.3584209999999999</v>
      </c>
      <c r="U261" s="242">
        <f>'[2]Russia Sun Oil Imports'!JF$290</f>
        <v>1.8798299999999999</v>
      </c>
      <c r="V261" s="242">
        <f>'[2]Russia Sun Oil Imports'!JR$290</f>
        <v>0.22095200000000001</v>
      </c>
      <c r="W261" s="242">
        <f>'[2]Russia Sun Oil Imports'!KD$290</f>
        <v>0.37026900000000001</v>
      </c>
      <c r="X261" s="242">
        <f>'[2]Russia Sun Oil Imports'!KP$290</f>
        <v>0.36954999999999999</v>
      </c>
      <c r="Y261" s="242">
        <f>'[2]Russia Sun Oil Imports'!LB$290</f>
        <v>1.8731580000000001</v>
      </c>
      <c r="Z261" s="242">
        <f>'[2]Russia Sun Oil Imports'!LN$290</f>
        <v>2.9723090000000001</v>
      </c>
      <c r="AA261" s="242">
        <f>'[2]Russia Sun Oil Imports'!LZ$290</f>
        <v>0.31705299999999997</v>
      </c>
      <c r="AB261" s="242">
        <f>'[2]Russia Sun Oil Imports'!ML$290</f>
        <v>2.5203E-2</v>
      </c>
      <c r="AC261" s="242">
        <f>'[2]Russia Sun Oil Imports'!MX$290</f>
        <v>8.4000000000000005E-2</v>
      </c>
      <c r="AD261" s="253">
        <f t="shared" ref="AD261:AD265" si="122">(SUM(X261:AB261)/SUM(X$267:AB$267))*AD$267*0</f>
        <v>0</v>
      </c>
      <c r="AE261" s="253">
        <f t="shared" si="119"/>
        <v>0</v>
      </c>
    </row>
    <row r="262" spans="1:33">
      <c r="A262" s="240" t="s">
        <v>46</v>
      </c>
      <c r="B262" s="241">
        <f t="shared" si="120"/>
        <v>10.21597175929692</v>
      </c>
      <c r="C262" s="241">
        <f t="shared" si="121"/>
        <v>18.939724522832293</v>
      </c>
      <c r="D262" s="241">
        <f t="shared" si="121"/>
        <v>20.485283162254678</v>
      </c>
      <c r="E262" s="242">
        <f>'[2]Russia Sun Oil Imports'!BW$290</f>
        <v>11.54</v>
      </c>
      <c r="F262" s="242">
        <f>'[2]Russia Sun Oil Imports'!CI$290</f>
        <v>29.317</v>
      </c>
      <c r="G262" s="242">
        <f>'[2]Russia Sun Oil Imports'!CU$290</f>
        <v>16.93</v>
      </c>
      <c r="H262" s="242">
        <f>'[2]Russia Sun Oil Imports'!DG$290</f>
        <v>10.087</v>
      </c>
      <c r="I262" s="242">
        <f>'[2]Russia Sun Oil Imports'!DS$290</f>
        <v>0</v>
      </c>
      <c r="J262" s="242">
        <f>'[2]Russia Sun Oil Imports'!EE$290</f>
        <v>11.408668</v>
      </c>
      <c r="K262" s="242">
        <f>'[2]Russia Sun Oil Imports'!EQ$290</f>
        <v>10.124034</v>
      </c>
      <c r="L262" s="242">
        <f>'[2]Russia Sun Oil Imports'!FC$290</f>
        <v>12.531931999999999</v>
      </c>
      <c r="M262" s="242">
        <f>'[2]Russia Sun Oil Imports'!FO$290</f>
        <v>14.3117</v>
      </c>
      <c r="N262" s="242">
        <f>'[2]Russia Sun Oil Imports'!GA$290</f>
        <v>8.1152040000000003</v>
      </c>
      <c r="O262" s="242">
        <f>'[2]Russia Sun Oil Imports'!GM$290</f>
        <v>5.5655659999999996</v>
      </c>
      <c r="P262" s="242">
        <f>'[2]Russia Sun Oil Imports'!GY$290</f>
        <v>20.579886999999999</v>
      </c>
      <c r="Q262" s="242">
        <f>'[2]Russia Sun Oil Imports'!HK$290</f>
        <v>1.7042010000000001</v>
      </c>
      <c r="R262" s="242">
        <f>'[2]Russia Sun Oil Imports'!HW$290</f>
        <v>2.2464219999999999</v>
      </c>
      <c r="S262" s="242">
        <f>'[2]Russia Sun Oil Imports'!II$290</f>
        <v>3.3694280000000001</v>
      </c>
      <c r="T262" s="242">
        <f>'[2]Russia Sun Oil Imports'!IU$290</f>
        <v>0.20367499999999999</v>
      </c>
      <c r="U262" s="242">
        <f>'[2]Russia Sun Oil Imports'!JG$290</f>
        <v>2.719036</v>
      </c>
      <c r="V262" s="242">
        <f>'[2]Russia Sun Oil Imports'!JS$290</f>
        <v>0.218111</v>
      </c>
      <c r="W262" s="242">
        <f>'[2]Russia Sun Oil Imports'!KE$290</f>
        <v>0.32403599999999999</v>
      </c>
      <c r="X262" s="242">
        <f>'[2]Russia Sun Oil Imports'!KQ$290</f>
        <v>0.105681</v>
      </c>
      <c r="Y262" s="242">
        <f>'[2]Russia Sun Oil Imports'!LC$290</f>
        <v>1.4998830000000001</v>
      </c>
      <c r="Z262" s="242">
        <f>'[2]Russia Sun Oil Imports'!LO$290</f>
        <v>2.0317189999999998</v>
      </c>
      <c r="AA262" s="242">
        <f>'[2]Russia Sun Oil Imports'!MA$290</f>
        <v>0.31989600000000001</v>
      </c>
      <c r="AB262" s="242">
        <f>'[2]Russia Sun Oil Imports'!MM$290</f>
        <v>0.117093</v>
      </c>
      <c r="AC262" s="242">
        <f>'[2]Russia Sun Oil Imports'!MY$290</f>
        <v>3.6999999999999998E-2</v>
      </c>
      <c r="AD262" s="253">
        <f t="shared" si="122"/>
        <v>0</v>
      </c>
      <c r="AE262" s="253">
        <f t="shared" si="119"/>
        <v>0</v>
      </c>
    </row>
    <row r="263" spans="1:33">
      <c r="A263" s="240" t="s">
        <v>235</v>
      </c>
      <c r="B263" s="241">
        <f t="shared" si="120"/>
        <v>10.099492772509022</v>
      </c>
      <c r="C263" s="241">
        <f t="shared" si="121"/>
        <v>17.540764492993333</v>
      </c>
      <c r="D263" s="241">
        <f t="shared" si="121"/>
        <v>17.616634601986071</v>
      </c>
      <c r="E263" s="242">
        <f>'[2]Russia Sun Oil Imports'!BX$290</f>
        <v>27.673999999999999</v>
      </c>
      <c r="F263" s="242">
        <f>'[2]Russia Sun Oil Imports'!CJ$290</f>
        <v>23.905000000000001</v>
      </c>
      <c r="G263" s="242">
        <f>'[2]Russia Sun Oil Imports'!CV$290</f>
        <v>28.771999999999998</v>
      </c>
      <c r="H263" s="242">
        <f>'[2]Russia Sun Oil Imports'!DH$290</f>
        <v>13.044</v>
      </c>
      <c r="I263" s="242">
        <f>'[2]Russia Sun Oil Imports'!DT$290</f>
        <v>0</v>
      </c>
      <c r="J263" s="242">
        <f>'[2]Russia Sun Oil Imports'!EF$290</f>
        <v>12.418218</v>
      </c>
      <c r="K263" s="242">
        <f>'[2]Russia Sun Oil Imports'!ER$290</f>
        <v>8.1710750000000001</v>
      </c>
      <c r="L263" s="242">
        <f>'[2]Russia Sun Oil Imports'!FD$290</f>
        <v>13.551333</v>
      </c>
      <c r="M263" s="242">
        <f>'[2]Russia Sun Oil Imports'!FP$290</f>
        <v>10.241496</v>
      </c>
      <c r="N263" s="242">
        <f>'[2]Russia Sun Oil Imports'!GB$290</f>
        <v>7.9550029999999996</v>
      </c>
      <c r="O263" s="242">
        <f>'[2]Russia Sun Oil Imports'!GN$290</f>
        <v>10.152053</v>
      </c>
      <c r="P263" s="242">
        <f>'[2]Russia Sun Oil Imports'!GZ$290</f>
        <v>14.691008999999999</v>
      </c>
      <c r="Q263" s="242">
        <f>'[2]Russia Sun Oil Imports'!HL$290</f>
        <v>0.19653899999999999</v>
      </c>
      <c r="R263" s="242">
        <f>'[2]Russia Sun Oil Imports'!HX$290</f>
        <v>2.245193</v>
      </c>
      <c r="S263" s="242">
        <f>'[2]Russia Sun Oil Imports'!IJ$290</f>
        <v>6.2060380000000004</v>
      </c>
      <c r="T263" s="242">
        <f>'[2]Russia Sun Oil Imports'!IV$290</f>
        <v>1.9528460000000001</v>
      </c>
      <c r="U263" s="242">
        <f>'[2]Russia Sun Oil Imports'!JH$290</f>
        <v>2.7335240000000001</v>
      </c>
      <c r="V263" s="242">
        <f>'[2]Russia Sun Oil Imports'!JT$290</f>
        <v>0.24363099999999999</v>
      </c>
      <c r="W263" s="242">
        <f>'[2]Russia Sun Oil Imports'!KF$290</f>
        <v>0.30601099999999998</v>
      </c>
      <c r="X263" s="242">
        <f>'[2]Russia Sun Oil Imports'!KR$290</f>
        <v>0.38232899999999997</v>
      </c>
      <c r="Y263" s="242">
        <f>'[2]Russia Sun Oil Imports'!LD$290</f>
        <v>2.5526680000000002</v>
      </c>
      <c r="Z263" s="242">
        <f>'[2]Russia Sun Oil Imports'!LP$290</f>
        <v>1.4988459999999999</v>
      </c>
      <c r="AA263" s="242">
        <f>'[2]Russia Sun Oil Imports'!MB$290</f>
        <v>0.15267900000000001</v>
      </c>
      <c r="AB263" s="242">
        <f>'[2]Russia Sun Oil Imports'!MN$290</f>
        <v>0.19597000000000001</v>
      </c>
      <c r="AC263" s="242">
        <f>'[2]Russia Sun Oil Imports'!MZ$290</f>
        <v>7.6999999999999999E-2</v>
      </c>
      <c r="AD263" s="253">
        <f t="shared" si="122"/>
        <v>0</v>
      </c>
      <c r="AE263" s="253">
        <f t="shared" si="119"/>
        <v>0</v>
      </c>
    </row>
    <row r="264" spans="1:33">
      <c r="A264" s="240" t="s">
        <v>236</v>
      </c>
      <c r="B264" s="241">
        <f t="shared" si="120"/>
        <v>14.654135692506134</v>
      </c>
      <c r="C264" s="241">
        <f t="shared" si="121"/>
        <v>22.337587523271065</v>
      </c>
      <c r="D264" s="241">
        <f t="shared" si="121"/>
        <v>22.747685549585476</v>
      </c>
      <c r="E264" s="242">
        <f>'[2]Russia Sun Oil Imports'!BY$290</f>
        <v>29.05</v>
      </c>
      <c r="F264" s="242">
        <f>'[2]Russia Sun Oil Imports'!CK$290</f>
        <v>30.911000000000001</v>
      </c>
      <c r="G264" s="242">
        <f>'[2]Russia Sun Oil Imports'!CW$290</f>
        <v>46.768000000000001</v>
      </c>
      <c r="H264" s="242">
        <f>'[2]Russia Sun Oil Imports'!DI$290</f>
        <v>12.538</v>
      </c>
      <c r="I264" s="242">
        <f>'[2]Russia Sun Oil Imports'!DU$290</f>
        <v>0</v>
      </c>
      <c r="J264" s="242">
        <f>'[2]Russia Sun Oil Imports'!EG$290</f>
        <v>19.107975</v>
      </c>
      <c r="K264" s="242">
        <f>'[2]Russia Sun Oil Imports'!ES$290</f>
        <v>20.299699</v>
      </c>
      <c r="L264" s="242">
        <f>'[2]Russia Sun Oil Imports'!FE$290</f>
        <v>17.536686</v>
      </c>
      <c r="M264" s="242">
        <f>'[2]Russia Sun Oil Imports'!FQ$290</f>
        <v>6.3093320000000004</v>
      </c>
      <c r="N264" s="242">
        <f>'[2]Russia Sun Oil Imports'!GC$290</f>
        <v>8.6584450000000004</v>
      </c>
      <c r="O264" s="242">
        <f>'[2]Russia Sun Oil Imports'!GO$290</f>
        <v>19.847669</v>
      </c>
      <c r="P264" s="242">
        <f>'[2]Russia Sun Oil Imports'!HA$290</f>
        <v>19.714513</v>
      </c>
      <c r="Q264" s="242">
        <f>'[2]Russia Sun Oil Imports'!HM$290</f>
        <v>1.299161</v>
      </c>
      <c r="R264" s="242">
        <f>'[2]Russia Sun Oil Imports'!HY$290</f>
        <v>14.000272000000001</v>
      </c>
      <c r="S264" s="242">
        <f>'[2]Russia Sun Oil Imports'!IK$290</f>
        <v>0.55527000000000004</v>
      </c>
      <c r="T264" s="242">
        <f>'[2]Russia Sun Oil Imports'!IW$290</f>
        <v>0.59712100000000001</v>
      </c>
      <c r="U264" s="242">
        <f>'[2]Russia Sun Oil Imports'!JI$290</f>
        <v>3.0755590000000002</v>
      </c>
      <c r="V264" s="242">
        <f>'[2]Russia Sun Oil Imports'!JU$290</f>
        <v>2.8536350000000001</v>
      </c>
      <c r="W264" s="242">
        <f>'[2]Russia Sun Oil Imports'!KG$290</f>
        <v>0.72012600000000004</v>
      </c>
      <c r="X264" s="242">
        <f>'[2]Russia Sun Oil Imports'!KS$290</f>
        <v>0.52591100000000002</v>
      </c>
      <c r="Y264" s="242">
        <f>'[2]Russia Sun Oil Imports'!LE$290</f>
        <v>2.6372550000000001</v>
      </c>
      <c r="Z264" s="242">
        <f>'[2]Russia Sun Oil Imports'!LQ$290</f>
        <v>1.9299599999999999</v>
      </c>
      <c r="AA264" s="242">
        <f>'[2]Russia Sun Oil Imports'!MC$290</f>
        <v>0.18010499999999999</v>
      </c>
      <c r="AB264" s="242">
        <f>'[2]Russia Sun Oil Imports'!MO$290</f>
        <v>7.3304999999999995E-2</v>
      </c>
      <c r="AC264" s="242">
        <f>'[2]Russia Sun Oil Imports'!NA$290</f>
        <v>0.17599999999999999</v>
      </c>
      <c r="AD264" s="253">
        <f t="shared" si="122"/>
        <v>0</v>
      </c>
      <c r="AE264" s="253">
        <f t="shared" si="119"/>
        <v>0</v>
      </c>
    </row>
    <row r="265" spans="1:33">
      <c r="A265" s="240" t="s">
        <v>237</v>
      </c>
      <c r="B265" s="241">
        <f t="shared" si="120"/>
        <v>18.210628794014447</v>
      </c>
      <c r="C265" s="241">
        <f t="shared" si="121"/>
        <v>15.823943183430378</v>
      </c>
      <c r="D265" s="241">
        <f t="shared" si="121"/>
        <v>17.148641775674548</v>
      </c>
      <c r="E265" s="242">
        <f>'[2]Russia Sun Oil Imports'!BZ$290</f>
        <v>53.048000000000002</v>
      </c>
      <c r="F265" s="242">
        <f>'[2]Russia Sun Oil Imports'!CL$290</f>
        <v>19.571000000000002</v>
      </c>
      <c r="G265" s="242">
        <f>'[2]Russia Sun Oil Imports'!CX$290</f>
        <v>34.548999999999999</v>
      </c>
      <c r="H265" s="242">
        <f>'[2]Russia Sun Oil Imports'!DJ$290</f>
        <v>13.028</v>
      </c>
      <c r="I265" s="242">
        <f>'[2]Russia Sun Oil Imports'!DV$290</f>
        <v>0</v>
      </c>
      <c r="J265" s="242">
        <f>'[2]Russia Sun Oil Imports'!EH$290</f>
        <v>11.694851999999999</v>
      </c>
      <c r="K265" s="242">
        <f>'[2]Russia Sun Oil Imports'!ET$290</f>
        <v>42.284509999999997</v>
      </c>
      <c r="L265" s="242">
        <f>'[2]Russia Sun Oil Imports'!FF$290</f>
        <v>15.00642</v>
      </c>
      <c r="M265" s="242">
        <f>'[2]Russia Sun Oil Imports'!FR$290</f>
        <v>10.620818</v>
      </c>
      <c r="N265" s="242">
        <f>'[2]Russia Sun Oil Imports'!GD$290</f>
        <v>6.4611390000000002</v>
      </c>
      <c r="O265" s="242">
        <f>'[2]Russia Sun Oil Imports'!GP$290</f>
        <v>15.911218</v>
      </c>
      <c r="P265" s="242">
        <f>'[2]Russia Sun Oil Imports'!HB$290</f>
        <v>3.0524040000000001</v>
      </c>
      <c r="Q265" s="242">
        <f>'[2]Russia Sun Oil Imports'!HN$290</f>
        <v>6.0419369999999999</v>
      </c>
      <c r="R265" s="242">
        <f>'[2]Russia Sun Oil Imports'!HZ$290</f>
        <v>8.7496310000000008</v>
      </c>
      <c r="S265" s="242">
        <f>'[2]Russia Sun Oil Imports'!IL$290</f>
        <v>1.5404910000000001</v>
      </c>
      <c r="T265" s="242">
        <f>'[2]Russia Sun Oil Imports'!IX$290</f>
        <v>1.1675450000000001</v>
      </c>
      <c r="U265" s="242">
        <f>'[2]Russia Sun Oil Imports'!JJ$290</f>
        <v>2.423867</v>
      </c>
      <c r="V265" s="242">
        <f>'[2]Russia Sun Oil Imports'!JV$290</f>
        <v>3.9679880000000001</v>
      </c>
      <c r="W265" s="242">
        <f>'[2]Russia Sun Oil Imports'!KH$290</f>
        <v>0.18122199999999999</v>
      </c>
      <c r="X265" s="242">
        <f>'[2]Russia Sun Oil Imports'!KT$290</f>
        <v>0.29089199999999998</v>
      </c>
      <c r="Y265" s="242">
        <f>'[2]Russia Sun Oil Imports'!LF$290</f>
        <v>2.3873530000000001</v>
      </c>
      <c r="Z265" s="242">
        <f>'[2]Russia Sun Oil Imports'!LR$290</f>
        <v>0.97689499999999996</v>
      </c>
      <c r="AA265" s="242">
        <f>'[2]Russia Sun Oil Imports'!MD$290</f>
        <v>0.23938100000000001</v>
      </c>
      <c r="AB265" s="242">
        <f>'[2]Russia Sun Oil Imports'!MP$290</f>
        <v>0.10470500000000001</v>
      </c>
      <c r="AC265" s="242">
        <f>'[2]Russia Sun Oil Imports'!NB$290</f>
        <v>0.17899999999999999</v>
      </c>
      <c r="AD265" s="253">
        <f t="shared" si="122"/>
        <v>0</v>
      </c>
      <c r="AE265" s="253">
        <f t="shared" si="119"/>
        <v>0</v>
      </c>
    </row>
    <row r="266" spans="1:33">
      <c r="A266" s="240" t="s">
        <v>238</v>
      </c>
      <c r="B266" s="241">
        <f t="shared" si="120"/>
        <v>13.977848540649671</v>
      </c>
      <c r="C266" s="241">
        <f t="shared" si="121"/>
        <v>15.584355747519142</v>
      </c>
      <c r="D266" s="241">
        <f t="shared" si="121"/>
        <v>18.298317249617046</v>
      </c>
      <c r="E266" s="242">
        <f>'[2]Russia Sun Oil Imports'!CA$290</f>
        <v>44.188000000000002</v>
      </c>
      <c r="F266" s="242">
        <f>'[2]Russia Sun Oil Imports'!CM$290</f>
        <v>9.0579999999999998</v>
      </c>
      <c r="G266" s="242">
        <f>'[2]Russia Sun Oil Imports'!CY$290</f>
        <v>20.202999999999999</v>
      </c>
      <c r="H266" s="242">
        <f>'[2]Russia Sun Oil Imports'!DK$290</f>
        <v>18.103000000000002</v>
      </c>
      <c r="I266" s="242">
        <f>'[2]Russia Sun Oil Imports'!DW$290</f>
        <v>0</v>
      </c>
      <c r="J266" s="242">
        <f>'[2]Russia Sun Oil Imports'!EI$290</f>
        <v>15.120333</v>
      </c>
      <c r="K266" s="242">
        <f>'[2]Russia Sun Oil Imports'!EU$290</f>
        <v>20.388314000000001</v>
      </c>
      <c r="L266" s="242">
        <f>'[2]Russia Sun Oil Imports'!FG$290</f>
        <v>14.795909</v>
      </c>
      <c r="M266" s="242">
        <f>'[2]Russia Sun Oil Imports'!FS$290</f>
        <v>15.120569</v>
      </c>
      <c r="N266" s="242">
        <f>'[2]Russia Sun Oil Imports'!GE$290</f>
        <v>5.3549249999999997</v>
      </c>
      <c r="O266" s="242">
        <f>'[2]Russia Sun Oil Imports'!GQ$290</f>
        <v>13.639238000000001</v>
      </c>
      <c r="P266" s="242">
        <f>'[2]Russia Sun Oil Imports'!HC$290</f>
        <v>1.3683890000000001</v>
      </c>
      <c r="Q266" s="242">
        <f>'[2]Russia Sun Oil Imports'!HO$290</f>
        <v>9.4260169999999999</v>
      </c>
      <c r="R266" s="242">
        <f>'[2]Russia Sun Oil Imports'!IA$290</f>
        <v>11.337035999999999</v>
      </c>
      <c r="S266" s="242">
        <f>'[2]Russia Sun Oil Imports'!IM$290</f>
        <v>1.6929050000000001</v>
      </c>
      <c r="T266" s="242">
        <f>'[2]Russia Sun Oil Imports'!IY$290</f>
        <v>6.1978020000000003</v>
      </c>
      <c r="U266" s="242">
        <f>'[2]Russia Sun Oil Imports'!JK$290</f>
        <v>0.228295</v>
      </c>
      <c r="V266" s="242">
        <f>'[2]Russia Sun Oil Imports'!JW$290</f>
        <v>0.15445600000000001</v>
      </c>
      <c r="W266" s="242">
        <f>'[2]Russia Sun Oil Imports'!KI$290</f>
        <v>0.13611599999999999</v>
      </c>
      <c r="X266" s="242">
        <f>'[2]Russia Sun Oil Imports'!KU$290</f>
        <v>0.66932199999999997</v>
      </c>
      <c r="Y266" s="242">
        <f>'[2]Russia Sun Oil Imports'!LG$290</f>
        <v>2.0062169999999999</v>
      </c>
      <c r="Z266" s="242">
        <f>'[2]Russia Sun Oil Imports'!LS$290</f>
        <v>1.402954</v>
      </c>
      <c r="AA266" s="242">
        <f>'[2]Russia Sun Oil Imports'!ME$290</f>
        <v>4.6809999999999997E-2</v>
      </c>
      <c r="AB266" s="242">
        <f>'[2]Russia Sun Oil Imports'!MQ$290</f>
        <v>0.16820199999999999</v>
      </c>
      <c r="AC266" s="242">
        <f>'[2]Russia Sun Oil Imports'!NC$290</f>
        <v>0.13500000000000001</v>
      </c>
      <c r="AD266" s="253">
        <f>AD267-SUM(AD255:AD265)</f>
        <v>0.11585924825812977</v>
      </c>
      <c r="AE266" s="253">
        <f>AE267-SUM(AE255:AE265)</f>
        <v>0</v>
      </c>
    </row>
    <row r="267" spans="1:33" ht="15.75" thickBot="1">
      <c r="A267" s="240" t="s">
        <v>242</v>
      </c>
      <c r="B267" s="245">
        <f>B34</f>
        <v>146</v>
      </c>
      <c r="C267" s="245">
        <f>C34</f>
        <v>206</v>
      </c>
      <c r="D267" s="245">
        <f>D34</f>
        <v>220</v>
      </c>
      <c r="E267" s="245">
        <f>E34</f>
        <v>240</v>
      </c>
      <c r="F267" s="245">
        <f>SUM(F255:F266)</f>
        <v>303.274</v>
      </c>
      <c r="G267" s="245">
        <f>SUM(G255:G266)</f>
        <v>276.03499999999997</v>
      </c>
      <c r="H267" s="245">
        <f>SUM(H255:H266)</f>
        <v>167.679</v>
      </c>
      <c r="I267" s="245">
        <f>SUM(I255:I266)</f>
        <v>40.008000000000003</v>
      </c>
      <c r="J267" s="245">
        <f t="shared" ref="J267:AB267" si="123">SUM(J255:J266)</f>
        <v>134.02267000000001</v>
      </c>
      <c r="K267" s="245">
        <f t="shared" si="123"/>
        <v>193.37106600000001</v>
      </c>
      <c r="L267" s="245">
        <f t="shared" si="123"/>
        <v>165.06340799999998</v>
      </c>
      <c r="M267" s="245">
        <f t="shared" si="123"/>
        <v>136.764884</v>
      </c>
      <c r="N267" s="245">
        <f t="shared" si="123"/>
        <v>105.09961</v>
      </c>
      <c r="O267" s="245">
        <f t="shared" si="123"/>
        <v>123.535419</v>
      </c>
      <c r="P267" s="245">
        <f t="shared" si="123"/>
        <v>134.14420899999999</v>
      </c>
      <c r="Q267" s="245">
        <f t="shared" si="123"/>
        <v>40.396804000000003</v>
      </c>
      <c r="R267" s="245">
        <f t="shared" si="123"/>
        <v>66.870626999999999</v>
      </c>
      <c r="S267" s="245">
        <f t="shared" si="123"/>
        <v>151.369167</v>
      </c>
      <c r="T267" s="245">
        <f t="shared" si="123"/>
        <v>18.604813</v>
      </c>
      <c r="U267" s="245">
        <f t="shared" si="123"/>
        <v>17.553106</v>
      </c>
      <c r="V267" s="245">
        <f t="shared" si="123"/>
        <v>12.410766999999998</v>
      </c>
      <c r="W267" s="245">
        <f t="shared" si="123"/>
        <v>3.1076269999999999</v>
      </c>
      <c r="X267" s="245">
        <f t="shared" si="123"/>
        <v>3.6935169999999999</v>
      </c>
      <c r="Y267" s="245">
        <f t="shared" si="123"/>
        <v>19.028290000000002</v>
      </c>
      <c r="Z267" s="245">
        <f t="shared" si="123"/>
        <v>28.935632999999999</v>
      </c>
      <c r="AA267" s="245">
        <f t="shared" si="123"/>
        <v>8.2992650000000001</v>
      </c>
      <c r="AB267" s="245">
        <f t="shared" si="123"/>
        <v>1.0423849999999999</v>
      </c>
      <c r="AC267" s="242">
        <f>SUM(AC255:AC266)</f>
        <v>1.316589</v>
      </c>
      <c r="AD267" s="243">
        <f>AD34</f>
        <v>0.3</v>
      </c>
      <c r="AE267" s="243">
        <f>AE34</f>
        <v>0</v>
      </c>
    </row>
    <row r="268" spans="1:33">
      <c r="A268" s="248"/>
      <c r="B268" s="248"/>
      <c r="C268" s="248"/>
      <c r="E268" s="385"/>
      <c r="F268" s="263"/>
      <c r="G268" s="263"/>
      <c r="H268" s="263"/>
      <c r="I268" s="263"/>
      <c r="J268" s="263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  <c r="AD268" s="248"/>
      <c r="AE268" s="248"/>
    </row>
    <row r="269" spans="1:33" ht="15.75" thickBot="1">
      <c r="A269" s="235" t="s">
        <v>267</v>
      </c>
      <c r="D269" s="271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</row>
    <row r="270" spans="1:33" ht="15.75" thickBot="1">
      <c r="A270" s="236"/>
      <c r="B270" s="237" t="str">
        <f>B$2</f>
        <v xml:space="preserve">93/94 </v>
      </c>
      <c r="C270" s="237" t="str">
        <f t="shared" ref="C270:AE270" si="124">C$2</f>
        <v xml:space="preserve">94/95 </v>
      </c>
      <c r="D270" s="237" t="str">
        <f t="shared" si="124"/>
        <v xml:space="preserve">95/96 </v>
      </c>
      <c r="E270" s="237" t="str">
        <f t="shared" si="124"/>
        <v xml:space="preserve">96/97 </v>
      </c>
      <c r="F270" s="237" t="str">
        <f t="shared" si="124"/>
        <v xml:space="preserve">97/98 </v>
      </c>
      <c r="G270" s="237" t="str">
        <f t="shared" si="124"/>
        <v xml:space="preserve">98/99 </v>
      </c>
      <c r="H270" s="237" t="str">
        <f t="shared" si="124"/>
        <v xml:space="preserve">99/00 </v>
      </c>
      <c r="I270" s="237" t="str">
        <f t="shared" si="124"/>
        <v xml:space="preserve">00/01 </v>
      </c>
      <c r="J270" s="237" t="str">
        <f t="shared" si="124"/>
        <v xml:space="preserve">01/02 </v>
      </c>
      <c r="K270" s="237" t="str">
        <f t="shared" si="124"/>
        <v xml:space="preserve">02/03 </v>
      </c>
      <c r="L270" s="237" t="str">
        <f t="shared" si="124"/>
        <v xml:space="preserve">03/04 </v>
      </c>
      <c r="M270" s="237" t="str">
        <f t="shared" si="124"/>
        <v xml:space="preserve">04/05 </v>
      </c>
      <c r="N270" s="237" t="str">
        <f t="shared" si="124"/>
        <v xml:space="preserve">05/06 </v>
      </c>
      <c r="O270" s="237" t="str">
        <f t="shared" si="124"/>
        <v xml:space="preserve">06/07 </v>
      </c>
      <c r="P270" s="237" t="str">
        <f t="shared" si="124"/>
        <v xml:space="preserve">07/08 </v>
      </c>
      <c r="Q270" s="237" t="str">
        <f t="shared" si="124"/>
        <v xml:space="preserve">08/09 </v>
      </c>
      <c r="R270" s="237" t="str">
        <f t="shared" si="124"/>
        <v xml:space="preserve">09/10 </v>
      </c>
      <c r="S270" s="237" t="str">
        <f t="shared" si="124"/>
        <v xml:space="preserve">10/11 </v>
      </c>
      <c r="T270" s="237" t="str">
        <f t="shared" si="124"/>
        <v xml:space="preserve">11/12 </v>
      </c>
      <c r="U270" s="237" t="str">
        <f t="shared" si="124"/>
        <v xml:space="preserve">12/13 </v>
      </c>
      <c r="V270" s="237" t="str">
        <f t="shared" si="124"/>
        <v xml:space="preserve">13/14 </v>
      </c>
      <c r="W270" s="237" t="str">
        <f t="shared" si="124"/>
        <v xml:space="preserve">14/15 </v>
      </c>
      <c r="X270" s="237" t="str">
        <f t="shared" si="124"/>
        <v xml:space="preserve">15/16 </v>
      </c>
      <c r="Y270" s="237" t="str">
        <f t="shared" si="124"/>
        <v xml:space="preserve">16/17 </v>
      </c>
      <c r="Z270" s="237" t="str">
        <f t="shared" si="124"/>
        <v xml:space="preserve">17/18 </v>
      </c>
      <c r="AA270" s="237" t="str">
        <f t="shared" si="124"/>
        <v xml:space="preserve">18/19 </v>
      </c>
      <c r="AB270" s="237" t="str">
        <f t="shared" si="124"/>
        <v xml:space="preserve">19/20 </v>
      </c>
      <c r="AC270" s="237" t="str">
        <f t="shared" si="124"/>
        <v xml:space="preserve">20/21 </v>
      </c>
      <c r="AD270" s="237" t="str">
        <f t="shared" si="124"/>
        <v xml:space="preserve">21/22 </v>
      </c>
      <c r="AE270" s="237" t="str">
        <f t="shared" si="124"/>
        <v xml:space="preserve">22/23 </v>
      </c>
      <c r="AF270" s="269"/>
      <c r="AG270" s="269"/>
    </row>
    <row r="271" spans="1:33">
      <c r="A271" s="240" t="s">
        <v>239</v>
      </c>
      <c r="B271" s="290">
        <f>(SUM(F271:J271)/SUM(F$283:J$283))*B$283</f>
        <v>2.1892994726060602</v>
      </c>
      <c r="C271" s="290">
        <f t="shared" ref="C271:D282" si="125">(SUM(G271:K271)/SUM(G$283:K$283))*C$283</f>
        <v>1.2794531606268893</v>
      </c>
      <c r="D271" s="290">
        <f t="shared" si="125"/>
        <v>1.0746379645314468</v>
      </c>
      <c r="E271" s="290">
        <v>7.58806955706119</v>
      </c>
      <c r="F271" s="146">
        <f>'[2]Russia Sun Oil Exports'!CB$290</f>
        <v>1.907063</v>
      </c>
      <c r="G271" s="146">
        <f>'[2]Russia Sun Oil Exports'!CN$290</f>
        <v>6.1691269999999996</v>
      </c>
      <c r="H271" s="146">
        <f>'[2]Russia Sun Oil Exports'!CZ$290</f>
        <v>6.6017039999999998</v>
      </c>
      <c r="I271" s="146">
        <f>'[2]Russia Sun Oil Exports'!DL$290</f>
        <v>5.5385999999999997</v>
      </c>
      <c r="J271" s="146">
        <f>'[2]Russia Sun Oil Exports'!DX$290</f>
        <v>2.5039549999999999</v>
      </c>
      <c r="K271" s="146">
        <f>'[2]Russia Sun Oil Exports'!EJ$290</f>
        <v>8.9082740000000005</v>
      </c>
      <c r="L271" s="146">
        <f>'[2]Russia Sun Oil Exports'!EV$290</f>
        <v>2.1495169999999999</v>
      </c>
      <c r="M271" s="146">
        <f>'[2]Russia Sun Oil Exports'!FH$290</f>
        <v>8.2843809999999998</v>
      </c>
      <c r="N271" s="146">
        <f>'[2]Russia Sun Oil Exports'!FT$290</f>
        <v>25.940999999999999</v>
      </c>
      <c r="O271" s="146">
        <f>'[2]Russia Sun Oil Exports'!GF$290</f>
        <v>16.577000000000002</v>
      </c>
      <c r="P271" s="146">
        <f>'[2]Russia Sun Oil Exports'!GR$290</f>
        <v>19.184999999999999</v>
      </c>
      <c r="Q271" s="146">
        <f>'[2]Russia Sun Oil Exports'!HD$290</f>
        <v>67.328000000000003</v>
      </c>
      <c r="R271" s="146">
        <f>'[2]Russia Sun Oil Exports'!HP$290</f>
        <v>22.795999999999999</v>
      </c>
      <c r="S271" s="146">
        <f>'[2]Russia Sun Oil Exports'!IB$290</f>
        <v>13.154</v>
      </c>
      <c r="T271" s="146">
        <f>'[2]Russia Sun Oil Exports'!IN$290</f>
        <v>65.212000000000003</v>
      </c>
      <c r="U271" s="146">
        <f>'[2]Russia Sun Oil Exports'!IZ$290</f>
        <v>60.295000000000002</v>
      </c>
      <c r="V271" s="146">
        <f>'[2]Russia Sun Oil Exports'!JL$290</f>
        <v>148.70500000000001</v>
      </c>
      <c r="W271" s="146">
        <f>'[2]Russia Sun Oil Exports'!JX$290</f>
        <v>110.184</v>
      </c>
      <c r="X271" s="146">
        <f>'[2]Russia Sun Oil Exports'!KJ$290</f>
        <v>99.082999999999998</v>
      </c>
      <c r="Y271" s="146">
        <f>'[2]Russia Sun Oil Exports'!KV$290</f>
        <v>143.16800000000001</v>
      </c>
      <c r="Z271" s="146">
        <f>'[2]Russia Sun Oil Exports'!LH$290</f>
        <v>176.90555800000001</v>
      </c>
      <c r="AA271" s="146">
        <f>'[2]Russia Sun Oil Exports'!LT$290</f>
        <v>106.295008</v>
      </c>
      <c r="AB271" s="146">
        <f>'[2]Russia Sun Oil Exports'!MF$290</f>
        <v>211.739701</v>
      </c>
      <c r="AC271" s="146">
        <f>'[2]Russia Sun Oil Exports'!MR$290</f>
        <v>160.000618</v>
      </c>
      <c r="AD271" s="146">
        <f>'[2]Russia Sun Oil Exports'!ND$290</f>
        <v>92.233000000000004</v>
      </c>
      <c r="AE271" s="253">
        <f t="shared" ref="AE271:AE281" si="126">(SUM(Y271:AC271)/SUM(Y$283:AC$283))*AE$283</f>
        <v>189.00925036259915</v>
      </c>
      <c r="AF271" s="146"/>
      <c r="AG271" s="146"/>
    </row>
    <row r="272" spans="1:33">
      <c r="A272" s="240" t="s">
        <v>240</v>
      </c>
      <c r="B272" s="290">
        <f t="shared" ref="B272:B282" si="127">(SUM(F272:J272)/SUM(F$283:J$283))*B$283</f>
        <v>1.7325077923115464</v>
      </c>
      <c r="C272" s="290">
        <f t="shared" si="125"/>
        <v>1.1502370724302851</v>
      </c>
      <c r="D272" s="290">
        <f t="shared" si="125"/>
        <v>1.4292373642606362</v>
      </c>
      <c r="E272" s="290">
        <v>6.0048384429388113</v>
      </c>
      <c r="F272" s="146">
        <f>'[2]Russia Sun Oil Exports'!CC$290</f>
        <v>2.1860550000000001</v>
      </c>
      <c r="G272" s="146">
        <f>'[2]Russia Sun Oil Exports'!CO$290</f>
        <v>3.1317970000000002</v>
      </c>
      <c r="H272" s="146">
        <f>'[2]Russia Sun Oil Exports'!DA$290</f>
        <v>5.7424619999999997</v>
      </c>
      <c r="I272" s="146">
        <f>'[2]Russia Sun Oil Exports'!DM$290</f>
        <v>3.9697480000000001</v>
      </c>
      <c r="J272" s="146">
        <f>'[2]Russia Sun Oil Exports'!DY$290</f>
        <v>2.949824</v>
      </c>
      <c r="K272" s="146">
        <f>'[2]Russia Sun Oil Exports'!EK$290</f>
        <v>10.926143</v>
      </c>
      <c r="L272" s="146">
        <f>'[2]Russia Sun Oil Exports'!EW$290</f>
        <v>10.594804999999999</v>
      </c>
      <c r="M272" s="146">
        <f>'[2]Russia Sun Oil Exports'!FI$290</f>
        <v>3.9151340000000001</v>
      </c>
      <c r="N272" s="146">
        <f>'[2]Russia Sun Oil Exports'!FU$290</f>
        <v>35.954999999999998</v>
      </c>
      <c r="O272" s="146">
        <f>'[2]Russia Sun Oil Exports'!GG$290</f>
        <v>44.048999999999999</v>
      </c>
      <c r="P272" s="146">
        <f>'[2]Russia Sun Oil Exports'!GS$290</f>
        <v>26.841000000000001</v>
      </c>
      <c r="Q272" s="146">
        <f>'[2]Russia Sun Oil Exports'!HE$290</f>
        <v>62.889000000000003</v>
      </c>
      <c r="R272" s="146">
        <f>'[2]Russia Sun Oil Exports'!HQ$290</f>
        <v>57.465000000000003</v>
      </c>
      <c r="S272" s="146">
        <f>'[2]Russia Sun Oil Exports'!IC$290</f>
        <v>11.755000000000001</v>
      </c>
      <c r="T272" s="146">
        <f>'[2]Russia Sun Oil Exports'!IO$290</f>
        <v>140.30799999999999</v>
      </c>
      <c r="U272" s="146">
        <f>'[2]Russia Sun Oil Exports'!JA$290</f>
        <v>71.364999999999995</v>
      </c>
      <c r="V272" s="146">
        <f>'[2]Russia Sun Oil Exports'!JM$290</f>
        <v>162.05199999999999</v>
      </c>
      <c r="W272" s="146">
        <f>'[2]Russia Sun Oil Exports'!JY$290</f>
        <v>111.005</v>
      </c>
      <c r="X272" s="146">
        <f>'[2]Russia Sun Oil Exports'!KK$290</f>
        <v>129.03200000000001</v>
      </c>
      <c r="Y272" s="146">
        <f>'[2]Russia Sun Oil Exports'!KW$290</f>
        <v>206.333</v>
      </c>
      <c r="Z272" s="146">
        <f>'[2]Russia Sun Oil Exports'!LI$290</f>
        <v>253.66774899999999</v>
      </c>
      <c r="AA272" s="146">
        <f>'[2]Russia Sun Oil Exports'!LU$290</f>
        <v>156.78211099999999</v>
      </c>
      <c r="AB272" s="146">
        <f>'[2]Russia Sun Oil Exports'!MG$290</f>
        <v>279.65392600000001</v>
      </c>
      <c r="AC272" s="146">
        <f>'[2]Russia Sun Oil Exports'!MS$290</f>
        <v>251.178011</v>
      </c>
      <c r="AD272" s="146">
        <f>'[2]Russia Sun Oil Exports'!NE$290</f>
        <v>312.28500000000003</v>
      </c>
      <c r="AE272" s="253">
        <f t="shared" si="126"/>
        <v>271.77972399843208</v>
      </c>
      <c r="AF272" s="146"/>
      <c r="AG272" s="146"/>
    </row>
    <row r="273" spans="1:33">
      <c r="A273" s="240" t="s">
        <v>241</v>
      </c>
      <c r="B273" s="290">
        <f t="shared" si="127"/>
        <v>3.4096674875381749</v>
      </c>
      <c r="C273" s="290">
        <f t="shared" si="125"/>
        <v>2.3005164178360271</v>
      </c>
      <c r="D273" s="290">
        <f t="shared" si="125"/>
        <v>2.5148745627074072</v>
      </c>
      <c r="E273" s="251">
        <f>'[2]Russia Sun Oil Exports'!BS$290</f>
        <v>2.9753250000000002</v>
      </c>
      <c r="F273" s="146">
        <f>'[2]Russia Sun Oil Exports'!CD$290</f>
        <v>3.2736010000000002</v>
      </c>
      <c r="G273" s="146">
        <f>'[2]Russia Sun Oil Exports'!CP$290</f>
        <v>9.3869129999999998</v>
      </c>
      <c r="H273" s="146">
        <f>'[2]Russia Sun Oil Exports'!DB$290</f>
        <v>10.601800000000001</v>
      </c>
      <c r="I273" s="146">
        <f>'[2]Russia Sun Oil Exports'!DN$290</f>
        <v>9.6522640000000006</v>
      </c>
      <c r="J273" s="146">
        <f>'[2]Russia Sun Oil Exports'!DZ$290</f>
        <v>2.4707940000000002</v>
      </c>
      <c r="K273" s="146">
        <f>'[2]Russia Sun Oil Exports'!EL$290</f>
        <v>21.329159000000001</v>
      </c>
      <c r="L273" s="146">
        <f>'[2]Russia Sun Oil Exports'!EX$290</f>
        <v>16.094083000000001</v>
      </c>
      <c r="M273" s="146">
        <f>'[2]Russia Sun Oil Exports'!FJ$290</f>
        <v>25.13</v>
      </c>
      <c r="N273" s="146">
        <f>'[2]Russia Sun Oil Exports'!FV$290</f>
        <v>60.878</v>
      </c>
      <c r="O273" s="146">
        <f>'[2]Russia Sun Oil Exports'!GH$290</f>
        <v>118.89700000000001</v>
      </c>
      <c r="P273" s="146">
        <f>'[2]Russia Sun Oil Exports'!GT$290</f>
        <v>45.71</v>
      </c>
      <c r="Q273" s="146">
        <f>'[2]Russia Sun Oil Exports'!HF$290</f>
        <v>124.226</v>
      </c>
      <c r="R273" s="146">
        <f>'[2]Russia Sun Oil Exports'!HR$290</f>
        <v>64.468000000000004</v>
      </c>
      <c r="S273" s="146">
        <f>'[2]Russia Sun Oil Exports'!ID$290</f>
        <v>9.7420000000000009</v>
      </c>
      <c r="T273" s="146">
        <f>'[2]Russia Sun Oil Exports'!IP$290</f>
        <v>126.88200000000001</v>
      </c>
      <c r="U273" s="146">
        <f>'[2]Russia Sun Oil Exports'!JB$290</f>
        <v>92.146000000000001</v>
      </c>
      <c r="V273" s="146">
        <f>'[2]Russia Sun Oil Exports'!JN$290</f>
        <v>218.44200000000001</v>
      </c>
      <c r="W273" s="146">
        <f>'[2]Russia Sun Oil Exports'!JZ$290</f>
        <v>166.47300000000001</v>
      </c>
      <c r="X273" s="146">
        <f>'[2]Russia Sun Oil Exports'!KL$290</f>
        <v>189.11799999999999</v>
      </c>
      <c r="Y273" s="146">
        <f>'[2]Russia Sun Oil Exports'!KX$290</f>
        <v>246.184</v>
      </c>
      <c r="Z273" s="146">
        <f>'[2]Russia Sun Oil Exports'!LJ$290</f>
        <v>267.59295100000003</v>
      </c>
      <c r="AA273" s="146">
        <f>'[2]Russia Sun Oil Exports'!LV$290</f>
        <v>280.50517400000001</v>
      </c>
      <c r="AB273" s="146">
        <f>'[2]Russia Sun Oil Exports'!MH$290</f>
        <v>373.938244</v>
      </c>
      <c r="AC273" s="146">
        <f>'[2]Russia Sun Oil Exports'!MT$290</f>
        <v>313.10113000000001</v>
      </c>
      <c r="AD273" s="146">
        <f>'[2]Russia Sun Oil Exports'!NF$290</f>
        <v>292.315</v>
      </c>
      <c r="AE273" s="253">
        <f t="shared" si="126"/>
        <v>350.80860686319966</v>
      </c>
      <c r="AF273" s="146"/>
      <c r="AG273" s="146"/>
    </row>
    <row r="274" spans="1:33">
      <c r="A274" s="240" t="s">
        <v>231</v>
      </c>
      <c r="B274" s="290">
        <f t="shared" si="127"/>
        <v>3.4781172038160628</v>
      </c>
      <c r="C274" s="290">
        <f t="shared" si="125"/>
        <v>1.949115981313746</v>
      </c>
      <c r="D274" s="290">
        <f t="shared" si="125"/>
        <v>2.4798767303761586</v>
      </c>
      <c r="E274" s="146">
        <f>'[2]Russia Sun Oil Exports'!BS$290</f>
        <v>2.9753250000000002</v>
      </c>
      <c r="F274" s="146">
        <f>'[2]Russia Sun Oil Exports'!CE$290</f>
        <v>3.4355980000000002</v>
      </c>
      <c r="G274" s="146">
        <f>'[2]Russia Sun Oil Exports'!CQ$290</f>
        <v>2.3650139999999999</v>
      </c>
      <c r="H274" s="146">
        <f>'[2]Russia Sun Oil Exports'!DC$290</f>
        <v>16.422888</v>
      </c>
      <c r="I274" s="146">
        <f>'[2]Russia Sun Oil Exports'!DO$290</f>
        <v>11.532731</v>
      </c>
      <c r="J274" s="146">
        <f>'[2]Russia Sun Oil Exports'!EA$290</f>
        <v>2.3395090000000001</v>
      </c>
      <c r="K274" s="146">
        <f>'[2]Russia Sun Oil Exports'!EM$290</f>
        <v>12.617766</v>
      </c>
      <c r="L274" s="146">
        <f>'[2]Russia Sun Oil Exports'!EY$290</f>
        <v>16.398164999999999</v>
      </c>
      <c r="M274" s="146">
        <f>'[2]Russia Sun Oil Exports'!FK$290</f>
        <v>26.690999999999999</v>
      </c>
      <c r="N274" s="146">
        <f>'[2]Russia Sun Oil Exports'!FW$290</f>
        <v>56.313000000000002</v>
      </c>
      <c r="O274" s="146">
        <f>'[2]Russia Sun Oil Exports'!GI$290</f>
        <v>76.676000000000002</v>
      </c>
      <c r="P274" s="146">
        <f>'[2]Russia Sun Oil Exports'!GU$290</f>
        <v>19.542000000000002</v>
      </c>
      <c r="Q274" s="146">
        <f>'[2]Russia Sun Oil Exports'!HG$290</f>
        <v>61.905000000000001</v>
      </c>
      <c r="R274" s="146">
        <f>'[2]Russia Sun Oil Exports'!HS$290</f>
        <v>36.311999999999998</v>
      </c>
      <c r="S274" s="146">
        <f>'[2]Russia Sun Oil Exports'!IE$290</f>
        <v>2.8839999999999999</v>
      </c>
      <c r="T274" s="146">
        <f>'[2]Russia Sun Oil Exports'!IQ$290</f>
        <v>96.286000000000001</v>
      </c>
      <c r="U274" s="146">
        <f>'[2]Russia Sun Oil Exports'!JC$290</f>
        <v>116.018</v>
      </c>
      <c r="V274" s="146">
        <f>'[2]Russia Sun Oil Exports'!JO$290</f>
        <v>135.46199999999999</v>
      </c>
      <c r="W274" s="146">
        <f>'[2]Russia Sun Oil Exports'!KA$290</f>
        <v>146.691</v>
      </c>
      <c r="X274" s="146">
        <f>'[2]Russia Sun Oil Exports'!KM$290</f>
        <v>141.03700000000001</v>
      </c>
      <c r="Y274" s="146">
        <f>'[2]Russia Sun Oil Exports'!KY$290</f>
        <v>174.13399999999999</v>
      </c>
      <c r="Z274" s="146">
        <f>'[2]Russia Sun Oil Exports'!LK$290</f>
        <v>132.71797799999999</v>
      </c>
      <c r="AA274" s="146">
        <f>'[2]Russia Sun Oil Exports'!LW$290</f>
        <v>241.25272200000001</v>
      </c>
      <c r="AB274" s="146">
        <f>'[2]Russia Sun Oil Exports'!MI$290</f>
        <v>250.97941</v>
      </c>
      <c r="AC274" s="146">
        <f>'[2]Russia Sun Oil Exports'!MU$290</f>
        <v>298.3</v>
      </c>
      <c r="AD274" s="146">
        <f>'[2]Russia Sun Oil Exports'!NG$290</f>
        <v>109.094891</v>
      </c>
      <c r="AE274" s="253">
        <f t="shared" si="126"/>
        <v>259.88402320684355</v>
      </c>
      <c r="AF274" s="146"/>
      <c r="AG274" s="146"/>
    </row>
    <row r="275" spans="1:33">
      <c r="A275" s="240" t="s">
        <v>232</v>
      </c>
      <c r="B275" s="290">
        <f t="shared" si="127"/>
        <v>4.3688513590333073</v>
      </c>
      <c r="C275" s="290">
        <f t="shared" si="125"/>
        <v>2.5035645392044588</v>
      </c>
      <c r="D275" s="290">
        <f t="shared" si="125"/>
        <v>3.2661987372096086</v>
      </c>
      <c r="E275" s="146">
        <f>'[2]Russia Sun Oil Exports'!BT$290</f>
        <v>3.5593319999999999</v>
      </c>
      <c r="F275" s="146">
        <f>'[2]Russia Sun Oil Exports'!CF$290</f>
        <v>1.74753</v>
      </c>
      <c r="G275" s="146">
        <f>'[2]Russia Sun Oil Exports'!CR$290</f>
        <v>0.82211100000000004</v>
      </c>
      <c r="H275" s="146">
        <f>'[2]Russia Sun Oil Exports'!DD$290</f>
        <v>20.496344000000001</v>
      </c>
      <c r="I275" s="146">
        <f>'[2]Russia Sun Oil Exports'!DP$290</f>
        <v>20.446791000000001</v>
      </c>
      <c r="J275" s="146">
        <f>'[2]Russia Sun Oil Exports'!EB$290</f>
        <v>1.826962</v>
      </c>
      <c r="K275" s="146">
        <f>'[2]Russia Sun Oil Exports'!EN$290</f>
        <v>14.565524</v>
      </c>
      <c r="L275" s="146">
        <f>'[2]Russia Sun Oil Exports'!EZ$290</f>
        <v>20.781853000000002</v>
      </c>
      <c r="M275" s="146">
        <f>'[2]Russia Sun Oil Exports'!FL$290</f>
        <v>29.548999999999999</v>
      </c>
      <c r="N275" s="146">
        <f>'[2]Russia Sun Oil Exports'!FX$290</f>
        <v>54.2</v>
      </c>
      <c r="O275" s="146">
        <f>'[2]Russia Sun Oil Exports'!GJ$290</f>
        <v>62.459000000000003</v>
      </c>
      <c r="P275" s="146">
        <f>'[2]Russia Sun Oil Exports'!GV$290</f>
        <v>23.654</v>
      </c>
      <c r="Q275" s="146">
        <f>'[2]Russia Sun Oil Exports'!HH$290</f>
        <v>79.457999999999998</v>
      </c>
      <c r="R275" s="146">
        <f>'[2]Russia Sun Oil Exports'!HT$290</f>
        <v>39.411000000000001</v>
      </c>
      <c r="S275" s="146">
        <f>'[2]Russia Sun Oil Exports'!IF$290</f>
        <v>8.0449999999999999</v>
      </c>
      <c r="T275" s="146">
        <f>'[2]Russia Sun Oil Exports'!IR$290</f>
        <v>68.700999999999993</v>
      </c>
      <c r="U275" s="146">
        <f>'[2]Russia Sun Oil Exports'!JD$290</f>
        <v>109.726</v>
      </c>
      <c r="V275" s="146">
        <f>'[2]Russia Sun Oil Exports'!JP$290</f>
        <v>194.08199999999999</v>
      </c>
      <c r="W275" s="146">
        <f>'[2]Russia Sun Oil Exports'!KB$290</f>
        <v>156.02000000000001</v>
      </c>
      <c r="X275" s="146">
        <f>'[2]Russia Sun Oil Exports'!KN$290</f>
        <v>168.66</v>
      </c>
      <c r="Y275" s="146">
        <f>'[2]Russia Sun Oil Exports'!KZ$290</f>
        <v>140.27199999999999</v>
      </c>
      <c r="Z275" s="146">
        <f>'[2]Russia Sun Oil Exports'!LL$290</f>
        <v>186.699544</v>
      </c>
      <c r="AA275" s="146">
        <f>'[2]Russia Sun Oil Exports'!LX$290</f>
        <v>211.08287799999999</v>
      </c>
      <c r="AB275" s="146">
        <f>'[2]Russia Sun Oil Exports'!MJ$290</f>
        <v>253.05414099999999</v>
      </c>
      <c r="AC275" s="146">
        <f>'[2]Russia Sun Oil Exports'!MV$290</f>
        <v>296.58600000000001</v>
      </c>
      <c r="AD275" s="253">
        <f>(SUM(X275:AB275)/SUM(X$283:AB$283))*AD$283+50</f>
        <v>305.45058195257354</v>
      </c>
      <c r="AE275" s="253">
        <f t="shared" si="126"/>
        <v>257.5893312804115</v>
      </c>
      <c r="AF275" s="146"/>
      <c r="AG275" s="146"/>
    </row>
    <row r="276" spans="1:33">
      <c r="A276" s="240" t="s">
        <v>233</v>
      </c>
      <c r="B276" s="290">
        <f t="shared" si="127"/>
        <v>6.0257876073240224</v>
      </c>
      <c r="C276" s="290">
        <f t="shared" si="125"/>
        <v>3.0420196635383561</v>
      </c>
      <c r="D276" s="290">
        <f t="shared" si="125"/>
        <v>4.2523500834036518</v>
      </c>
      <c r="E276" s="146">
        <f>'[2]Russia Sun Oil Exports'!BU$290</f>
        <v>2.3844189999999998</v>
      </c>
      <c r="F276" s="146">
        <f>'[2]Russia Sun Oil Exports'!CG$290</f>
        <v>1.891087</v>
      </c>
      <c r="G276" s="146">
        <f>'[2]Russia Sun Oil Exports'!CS$290</f>
        <v>0.57048900000000002</v>
      </c>
      <c r="H276" s="146">
        <f>'[2]Russia Sun Oil Exports'!DE$290</f>
        <v>36.953786999999998</v>
      </c>
      <c r="I276" s="146">
        <f>'[2]Russia Sun Oil Exports'!DQ$290</f>
        <v>20.436394</v>
      </c>
      <c r="J276" s="146">
        <f>'[2]Russia Sun Oil Exports'!EC$290</f>
        <v>2.683589</v>
      </c>
      <c r="K276" s="146">
        <f>'[2]Russia Sun Oil Exports'!EO$290</f>
        <v>10.02177</v>
      </c>
      <c r="L276" s="146">
        <f>'[2]Russia Sun Oil Exports'!FA$290</f>
        <v>31.607655000000001</v>
      </c>
      <c r="M276" s="146">
        <f>'[2]Russia Sun Oil Exports'!FM$290</f>
        <v>27.501999999999999</v>
      </c>
      <c r="N276" s="146">
        <f>'[2]Russia Sun Oil Exports'!FY$290</f>
        <v>106.03100000000001</v>
      </c>
      <c r="O276" s="146">
        <f>'[2]Russia Sun Oil Exports'!GK$290</f>
        <v>88.811999999999998</v>
      </c>
      <c r="P276" s="146">
        <f>'[2]Russia Sun Oil Exports'!GW$290</f>
        <v>45.22</v>
      </c>
      <c r="Q276" s="146">
        <f>'[2]Russia Sun Oil Exports'!HI$290</f>
        <v>58.176000000000002</v>
      </c>
      <c r="R276" s="146">
        <f>'[2]Russia Sun Oil Exports'!HU$290</f>
        <v>35.228000000000002</v>
      </c>
      <c r="S276" s="146">
        <f>'[2]Russia Sun Oil Exports'!IG$290</f>
        <v>12.366</v>
      </c>
      <c r="T276" s="146">
        <f>'[2]Russia Sun Oil Exports'!IS$290</f>
        <v>185.84299999999999</v>
      </c>
      <c r="U276" s="146">
        <f>'[2]Russia Sun Oil Exports'!JE$290</f>
        <v>140.316</v>
      </c>
      <c r="V276" s="146">
        <f>'[2]Russia Sun Oil Exports'!JQ$290</f>
        <v>208.90199999999999</v>
      </c>
      <c r="W276" s="146">
        <f>'[2]Russia Sun Oil Exports'!KC$290</f>
        <v>154.57599999999999</v>
      </c>
      <c r="X276" s="146">
        <f>'[2]Russia Sun Oil Exports'!KO$290</f>
        <v>186.87899999999999</v>
      </c>
      <c r="Y276" s="146">
        <f>'[2]Russia Sun Oil Exports'!LA$290</f>
        <v>267.96699999999998</v>
      </c>
      <c r="Z276" s="146">
        <f>'[2]Russia Sun Oil Exports'!LM$290</f>
        <v>192.12452400000001</v>
      </c>
      <c r="AA276" s="146">
        <f>'[2]Russia Sun Oil Exports'!LY$290</f>
        <v>289.49947900000001</v>
      </c>
      <c r="AB276" s="146">
        <f>'[2]Russia Sun Oil Exports'!MK$290</f>
        <v>414.829453</v>
      </c>
      <c r="AC276" s="146">
        <f>'[2]Russia Sun Oil Exports'!MW$290</f>
        <v>494.80200000000002</v>
      </c>
      <c r="AD276" s="253">
        <f>(SUM(X276:AB276)/SUM(X$283:AB$283))*AD$283*0</f>
        <v>0</v>
      </c>
      <c r="AE276" s="253">
        <f t="shared" si="126"/>
        <v>392.93935763332667</v>
      </c>
      <c r="AF276" s="146"/>
      <c r="AG276" s="146"/>
    </row>
    <row r="277" spans="1:33">
      <c r="A277" s="240" t="s">
        <v>234</v>
      </c>
      <c r="B277" s="290">
        <f t="shared" si="127"/>
        <v>5.5479579650088828</v>
      </c>
      <c r="C277" s="290">
        <f t="shared" si="125"/>
        <v>2.7833842583089612</v>
      </c>
      <c r="D277" s="290">
        <f t="shared" si="125"/>
        <v>3.3304607666673585</v>
      </c>
      <c r="E277" s="146">
        <f>'[2]Russia Sun Oil Exports'!BV$290</f>
        <v>2.7628499999999998</v>
      </c>
      <c r="F277" s="146">
        <f>'[2]Russia Sun Oil Exports'!CH$290</f>
        <v>1.6171660000000001</v>
      </c>
      <c r="G277" s="146">
        <f>'[2]Russia Sun Oil Exports'!CT$290</f>
        <v>0.576824</v>
      </c>
      <c r="H277" s="146">
        <f>'[2]Russia Sun Oil Exports'!DF$290</f>
        <v>32.768791999999998</v>
      </c>
      <c r="I277" s="146">
        <f>'[2]Russia Sun Oil Exports'!DR$290</f>
        <v>19.515737000000001</v>
      </c>
      <c r="J277" s="146">
        <f>'[2]Russia Sun Oil Exports'!ED$290</f>
        <v>3.0979329999999998</v>
      </c>
      <c r="K277" s="146">
        <f>'[2]Russia Sun Oil Exports'!EP$290</f>
        <v>8.6986500000000007</v>
      </c>
      <c r="L277" s="146">
        <f>'[2]Russia Sun Oil Exports'!FB$290</f>
        <v>15.573313000000001</v>
      </c>
      <c r="M277" s="146">
        <f>'[2]Russia Sun Oil Exports'!FN$290</f>
        <v>26.542999999999999</v>
      </c>
      <c r="N277" s="146">
        <f>'[2]Russia Sun Oil Exports'!FZ$290</f>
        <v>93.936000000000007</v>
      </c>
      <c r="O277" s="146">
        <f>'[2]Russia Sun Oil Exports'!GL$290</f>
        <v>73.12</v>
      </c>
      <c r="P277" s="146">
        <f>'[2]Russia Sun Oil Exports'!GX$290</f>
        <v>22.120999999999999</v>
      </c>
      <c r="Q277" s="146">
        <f>'[2]Russia Sun Oil Exports'!HJ$290</f>
        <v>50.421999999999997</v>
      </c>
      <c r="R277" s="146">
        <f>'[2]Russia Sun Oil Exports'!HV$290</f>
        <v>45.55</v>
      </c>
      <c r="S277" s="146">
        <f>'[2]Russia Sun Oil Exports'!IH$290</f>
        <v>11.222</v>
      </c>
      <c r="T277" s="146">
        <f>'[2]Russia Sun Oil Exports'!IT$290</f>
        <v>186.72900000000001</v>
      </c>
      <c r="U277" s="146">
        <f>'[2]Russia Sun Oil Exports'!JF$290</f>
        <v>91.444999999999993</v>
      </c>
      <c r="V277" s="146">
        <f>'[2]Russia Sun Oil Exports'!JR$290</f>
        <v>211.44200000000001</v>
      </c>
      <c r="W277" s="146">
        <f>'[2]Russia Sun Oil Exports'!KD$290</f>
        <v>140.31700000000001</v>
      </c>
      <c r="X277" s="146">
        <f>'[2]Russia Sun Oil Exports'!KP$290</f>
        <v>165.94800000000001</v>
      </c>
      <c r="Y277" s="146">
        <f>'[2]Russia Sun Oil Exports'!LB$290</f>
        <v>167.13499999999999</v>
      </c>
      <c r="Z277" s="146">
        <f>'[2]Russia Sun Oil Exports'!LN$290</f>
        <v>234.58724900000001</v>
      </c>
      <c r="AA277" s="146">
        <f>'[2]Russia Sun Oil Exports'!LZ$290</f>
        <v>243.88855000000001</v>
      </c>
      <c r="AB277" s="146">
        <f>'[2]Russia Sun Oil Exports'!ML$290</f>
        <v>377.27478300000001</v>
      </c>
      <c r="AC277" s="146">
        <f>'[2]Russia Sun Oil Exports'!MX$290</f>
        <v>374.90600000000001</v>
      </c>
      <c r="AD277" s="253">
        <f t="shared" ref="AD277:AD281" si="128">(SUM(X277:AB277)/SUM(X$283:AB$283))*AD$283*0</f>
        <v>0</v>
      </c>
      <c r="AE277" s="253">
        <f t="shared" si="126"/>
        <v>331.02693635213882</v>
      </c>
      <c r="AF277" s="146"/>
      <c r="AG277" s="146"/>
    </row>
    <row r="278" spans="1:33">
      <c r="A278" s="240" t="s">
        <v>46</v>
      </c>
      <c r="B278" s="290">
        <f t="shared" si="127"/>
        <v>3.3058158024772117</v>
      </c>
      <c r="C278" s="290">
        <f t="shared" si="125"/>
        <v>1.4850739498489507</v>
      </c>
      <c r="D278" s="290">
        <f t="shared" si="125"/>
        <v>1.9009491616201177</v>
      </c>
      <c r="E278" s="146">
        <f>'[2]Russia Sun Oil Exports'!BW$290</f>
        <v>3.0320520000000002</v>
      </c>
      <c r="F278" s="146">
        <f>'[2]Russia Sun Oil Exports'!CI$290</f>
        <v>1.778448</v>
      </c>
      <c r="G278" s="146">
        <f>'[2]Russia Sun Oil Exports'!CU$290</f>
        <v>0.57740499999999995</v>
      </c>
      <c r="H278" s="146">
        <f>'[2]Russia Sun Oil Exports'!DG$290</f>
        <v>20.946370999999999</v>
      </c>
      <c r="I278" s="146">
        <f>'[2]Russia Sun Oil Exports'!DS$290</f>
        <v>9.1879530000000003</v>
      </c>
      <c r="J278" s="146">
        <f>'[2]Russia Sun Oil Exports'!EE$290</f>
        <v>1.8174269999999999</v>
      </c>
      <c r="K278" s="146">
        <f>'[2]Russia Sun Oil Exports'!EQ$290</f>
        <v>1.969069</v>
      </c>
      <c r="L278" s="146">
        <f>'[2]Russia Sun Oil Exports'!FC$290</f>
        <v>11.544064000000001</v>
      </c>
      <c r="M278" s="146">
        <f>'[2]Russia Sun Oil Exports'!FO$290</f>
        <v>26.939</v>
      </c>
      <c r="N278" s="146">
        <f>'[2]Russia Sun Oil Exports'!GA$290</f>
        <v>69.679000000000002</v>
      </c>
      <c r="O278" s="146">
        <f>'[2]Russia Sun Oil Exports'!GM$290</f>
        <v>111.489</v>
      </c>
      <c r="P278" s="146">
        <f>'[2]Russia Sun Oil Exports'!GY$290</f>
        <v>7.9059999999999997</v>
      </c>
      <c r="Q278" s="146">
        <f>'[2]Russia Sun Oil Exports'!HK$290</f>
        <v>71.210999999999999</v>
      </c>
      <c r="R278" s="146">
        <f>'[2]Russia Sun Oil Exports'!HW$290</f>
        <v>56.716999999999999</v>
      </c>
      <c r="S278" s="146">
        <f>'[2]Russia Sun Oil Exports'!II$290</f>
        <v>15.141999999999999</v>
      </c>
      <c r="T278" s="146">
        <f>'[2]Russia Sun Oil Exports'!IU$290</f>
        <v>209.328</v>
      </c>
      <c r="U278" s="146">
        <f>'[2]Russia Sun Oil Exports'!JG$290</f>
        <v>137.28200000000001</v>
      </c>
      <c r="V278" s="146">
        <f>'[2]Russia Sun Oil Exports'!JS$290</f>
        <v>143.125</v>
      </c>
      <c r="W278" s="146">
        <f>'[2]Russia Sun Oil Exports'!KE$290</f>
        <v>137.58500000000001</v>
      </c>
      <c r="X278" s="146">
        <f>'[2]Russia Sun Oil Exports'!KQ$290</f>
        <v>151.02699999999999</v>
      </c>
      <c r="Y278" s="146">
        <f>'[2]Russia Sun Oil Exports'!LC$290</f>
        <v>248.143</v>
      </c>
      <c r="Z278" s="146">
        <f>'[2]Russia Sun Oil Exports'!LO$290</f>
        <v>210.12288599999999</v>
      </c>
      <c r="AA278" s="146">
        <f>'[2]Russia Sun Oil Exports'!MA$290</f>
        <v>319.95110699999998</v>
      </c>
      <c r="AB278" s="146">
        <f>'[2]Russia Sun Oil Exports'!MM$290</f>
        <v>314.93348099999997</v>
      </c>
      <c r="AC278" s="146">
        <f>'[2]Russia Sun Oil Exports'!MY$290</f>
        <v>175.85400000000001</v>
      </c>
      <c r="AD278" s="253">
        <f t="shared" si="128"/>
        <v>0</v>
      </c>
      <c r="AE278" s="253">
        <f t="shared" si="126"/>
        <v>300.52739525324841</v>
      </c>
      <c r="AF278" s="146"/>
      <c r="AG278" s="146"/>
    </row>
    <row r="279" spans="1:33">
      <c r="A279" s="240" t="s">
        <v>235</v>
      </c>
      <c r="B279" s="290">
        <f t="shared" si="127"/>
        <v>2.7125820052062481</v>
      </c>
      <c r="C279" s="290">
        <f t="shared" si="125"/>
        <v>1.2872708629771499</v>
      </c>
      <c r="D279" s="290">
        <f t="shared" si="125"/>
        <v>1.4694279180816889</v>
      </c>
      <c r="E279" s="146">
        <f>'[2]Russia Sun Oil Exports'!BX$290</f>
        <v>1.913751</v>
      </c>
      <c r="F279" s="146">
        <f>'[2]Russia Sun Oil Exports'!CJ$290</f>
        <v>1.1772910000000001</v>
      </c>
      <c r="G279" s="146">
        <f>'[2]Russia Sun Oil Exports'!CV$290</f>
        <v>0.48706700000000003</v>
      </c>
      <c r="H279" s="146">
        <f>'[2]Russia Sun Oil Exports'!DH$290</f>
        <v>16.769016000000001</v>
      </c>
      <c r="I279" s="146">
        <f>'[2]Russia Sun Oil Exports'!DT$290</f>
        <v>7.4031469999999997</v>
      </c>
      <c r="J279" s="146">
        <f>'[2]Russia Sun Oil Exports'!EF$290</f>
        <v>2.31453</v>
      </c>
      <c r="K279" s="146">
        <f>'[2]Russia Sun Oil Exports'!ER$290</f>
        <v>2.9295049999999998</v>
      </c>
      <c r="L279" s="146">
        <f>'[2]Russia Sun Oil Exports'!FD$290</f>
        <v>5.7280189999999997</v>
      </c>
      <c r="M279" s="146">
        <f>'[2]Russia Sun Oil Exports'!FP$290</f>
        <v>34.472999999999999</v>
      </c>
      <c r="N279" s="146">
        <f>'[2]Russia Sun Oil Exports'!GB$290</f>
        <v>42.372</v>
      </c>
      <c r="O279" s="146">
        <f>'[2]Russia Sun Oil Exports'!GN$290</f>
        <v>55.752000000000002</v>
      </c>
      <c r="P279" s="146">
        <f>'[2]Russia Sun Oil Exports'!GZ$290</f>
        <v>36.459000000000003</v>
      </c>
      <c r="Q279" s="146">
        <f>'[2]Russia Sun Oil Exports'!HL$290</f>
        <v>99.161000000000001</v>
      </c>
      <c r="R279" s="146">
        <f>'[2]Russia Sun Oil Exports'!HX$290</f>
        <v>66.665000000000006</v>
      </c>
      <c r="S279" s="146">
        <f>'[2]Russia Sun Oil Exports'!IJ$290</f>
        <v>22.475000000000001</v>
      </c>
      <c r="T279" s="146">
        <f>'[2]Russia Sun Oil Exports'!IV$290</f>
        <v>158.59700000000001</v>
      </c>
      <c r="U279" s="146">
        <f>'[2]Russia Sun Oil Exports'!JH$290</f>
        <v>71.781000000000006</v>
      </c>
      <c r="V279" s="146">
        <f>'[2]Russia Sun Oil Exports'!JT$290</f>
        <v>141.47</v>
      </c>
      <c r="W279" s="146">
        <f>'[2]Russia Sun Oil Exports'!KF$290</f>
        <v>123.877</v>
      </c>
      <c r="X279" s="146">
        <f>'[2]Russia Sun Oil Exports'!KR$290</f>
        <v>117.97799999999999</v>
      </c>
      <c r="Y279" s="146">
        <f>'[2]Russia Sun Oil Exports'!LD$290</f>
        <v>225.57512299999999</v>
      </c>
      <c r="Z279" s="146">
        <f>'[2]Russia Sun Oil Exports'!LP$290</f>
        <v>203.332166</v>
      </c>
      <c r="AA279" s="146">
        <f>'[2]Russia Sun Oil Exports'!MB$290</f>
        <v>212.35421199999999</v>
      </c>
      <c r="AB279" s="146">
        <f>'[2]Russia Sun Oil Exports'!MN$290</f>
        <v>225.33621400000001</v>
      </c>
      <c r="AC279" s="146">
        <f>'[2]Russia Sun Oil Exports'!MZ$290</f>
        <v>138.83000000000001</v>
      </c>
      <c r="AD279" s="253">
        <f t="shared" si="128"/>
        <v>0</v>
      </c>
      <c r="AE279" s="253">
        <f t="shared" si="126"/>
        <v>238.10678251743926</v>
      </c>
      <c r="AF279" s="146"/>
      <c r="AG279" s="146"/>
    </row>
    <row r="280" spans="1:33">
      <c r="A280" s="240" t="s">
        <v>236</v>
      </c>
      <c r="B280" s="290">
        <f t="shared" si="127"/>
        <v>2.7704642241665773</v>
      </c>
      <c r="C280" s="290">
        <f t="shared" si="125"/>
        <v>1.2400784238105997</v>
      </c>
      <c r="D280" s="290">
        <f t="shared" si="125"/>
        <v>1.314572478892198</v>
      </c>
      <c r="E280" s="146">
        <f>'[2]Russia Sun Oil Exports'!BY$290</f>
        <v>0.802651</v>
      </c>
      <c r="F280" s="146">
        <f>'[2]Russia Sun Oil Exports'!CK$290</f>
        <v>1.206251</v>
      </c>
      <c r="G280" s="146">
        <f>'[2]Russia Sun Oil Exports'!CW$290</f>
        <v>0.75376799999999999</v>
      </c>
      <c r="H280" s="146">
        <f>'[2]Russia Sun Oil Exports'!DI$290</f>
        <v>11.284528</v>
      </c>
      <c r="I280" s="146">
        <f>'[2]Russia Sun Oil Exports'!DU$290</f>
        <v>10.937514999999999</v>
      </c>
      <c r="J280" s="146">
        <f>'[2]Russia Sun Oil Exports'!EG$290</f>
        <v>4.5696880000000002</v>
      </c>
      <c r="K280" s="146">
        <f>'[2]Russia Sun Oil Exports'!ES$290</f>
        <v>1.261487</v>
      </c>
      <c r="L280" s="146">
        <f>'[2]Russia Sun Oil Exports'!FE$290</f>
        <v>3.3873310000000001</v>
      </c>
      <c r="M280" s="146">
        <f>'[2]Russia Sun Oil Exports'!FQ$290</f>
        <v>12.022</v>
      </c>
      <c r="N280" s="146">
        <f>'[2]Russia Sun Oil Exports'!GC$290</f>
        <v>39.287999999999997</v>
      </c>
      <c r="O280" s="146">
        <f>'[2]Russia Sun Oil Exports'!GO$290</f>
        <v>31.33</v>
      </c>
      <c r="P280" s="146">
        <f>'[2]Russia Sun Oil Exports'!HA$290</f>
        <v>51.600999999999999</v>
      </c>
      <c r="Q280" s="146">
        <f>'[2]Russia Sun Oil Exports'!HM$290</f>
        <v>75.045000000000002</v>
      </c>
      <c r="R280" s="146">
        <f>'[2]Russia Sun Oil Exports'!HY$290</f>
        <v>52.673000000000002</v>
      </c>
      <c r="S280" s="146">
        <f>'[2]Russia Sun Oil Exports'!IK$290</f>
        <v>32.619</v>
      </c>
      <c r="T280" s="146">
        <f>'[2]Russia Sun Oil Exports'!IW$290</f>
        <v>78.546999999999997</v>
      </c>
      <c r="U280" s="146">
        <f>'[2]Russia Sun Oil Exports'!JI$290</f>
        <v>56.39</v>
      </c>
      <c r="V280" s="146">
        <f>'[2]Russia Sun Oil Exports'!JU$290</f>
        <v>91.417000000000002</v>
      </c>
      <c r="W280" s="146">
        <f>'[2]Russia Sun Oil Exports'!KG$290</f>
        <v>69.899000000000001</v>
      </c>
      <c r="X280" s="146">
        <f>'[2]Russia Sun Oil Exports'!KS$290</f>
        <v>65.477000000000004</v>
      </c>
      <c r="Y280" s="146">
        <f>'[2]Russia Sun Oil Exports'!LE$290</f>
        <v>116.740903</v>
      </c>
      <c r="Z280" s="146">
        <f>'[2]Russia Sun Oil Exports'!LQ$290</f>
        <v>162.92564899999999</v>
      </c>
      <c r="AA280" s="146">
        <f>'[2]Russia Sun Oil Exports'!MC$290</f>
        <v>220.716059</v>
      </c>
      <c r="AB280" s="146">
        <f>'[2]Russia Sun Oil Exports'!MO$290</f>
        <v>267.59289699999999</v>
      </c>
      <c r="AC280" s="146">
        <f>'[2]Russia Sun Oil Exports'!NA$290</f>
        <v>153.131</v>
      </c>
      <c r="AD280" s="253">
        <f t="shared" si="128"/>
        <v>0</v>
      </c>
      <c r="AE280" s="253">
        <f t="shared" si="126"/>
        <v>218.13771761379573</v>
      </c>
      <c r="AF280" s="146"/>
      <c r="AG280" s="146"/>
    </row>
    <row r="281" spans="1:33">
      <c r="A281" s="240" t="s">
        <v>237</v>
      </c>
      <c r="B281" s="290">
        <f t="shared" si="127"/>
        <v>2.5179013369870535</v>
      </c>
      <c r="C281" s="290">
        <f t="shared" si="125"/>
        <v>1.1208970015447655</v>
      </c>
      <c r="D281" s="290">
        <f t="shared" si="125"/>
        <v>1.1025257731148399</v>
      </c>
      <c r="E281" s="146">
        <f>'[2]Russia Sun Oil Exports'!BZ$290</f>
        <v>0.46494400000000002</v>
      </c>
      <c r="F281" s="146">
        <f>'[2]Russia Sun Oil Exports'!CL$290</f>
        <v>1.461454</v>
      </c>
      <c r="G281" s="146">
        <f>'[2]Russia Sun Oil Exports'!CX$290</f>
        <v>0.79705899999999996</v>
      </c>
      <c r="H281" s="146">
        <f>'[2]Russia Sun Oil Exports'!DJ$290</f>
        <v>12.780911</v>
      </c>
      <c r="I281" s="146">
        <f>'[2]Russia Sun Oil Exports'!DV$290</f>
        <v>5.2123549999999996</v>
      </c>
      <c r="J281" s="146">
        <f>'[2]Russia Sun Oil Exports'!EH$290</f>
        <v>5.8788850000000004</v>
      </c>
      <c r="K281" s="146">
        <f>'[2]Russia Sun Oil Exports'!ET$290</f>
        <v>1.3691949999999999</v>
      </c>
      <c r="L281" s="146">
        <f>'[2]Russia Sun Oil Exports'!FF$290</f>
        <v>1.1276949999999999</v>
      </c>
      <c r="M281" s="146">
        <f>'[2]Russia Sun Oil Exports'!FR$290</f>
        <v>2.9510000000000001</v>
      </c>
      <c r="N281" s="146">
        <f>'[2]Russia Sun Oil Exports'!GD$290</f>
        <v>27.177</v>
      </c>
      <c r="O281" s="146">
        <f>'[2]Russia Sun Oil Exports'!GP$290</f>
        <v>15.561</v>
      </c>
      <c r="P281" s="146">
        <f>'[2]Russia Sun Oil Exports'!HB$290</f>
        <v>16.919</v>
      </c>
      <c r="Q281" s="146">
        <f>'[2]Russia Sun Oil Exports'!HN$290</f>
        <v>39.996000000000002</v>
      </c>
      <c r="R281" s="146">
        <f>'[2]Russia Sun Oil Exports'!HZ$290</f>
        <v>15.917999999999999</v>
      </c>
      <c r="S281" s="146">
        <f>'[2]Russia Sun Oil Exports'!IL$290</f>
        <v>31.18</v>
      </c>
      <c r="T281" s="146">
        <f>'[2]Russia Sun Oil Exports'!IX$290</f>
        <v>86.006</v>
      </c>
      <c r="U281" s="146">
        <f>'[2]Russia Sun Oil Exports'!JJ$290</f>
        <v>40.362000000000002</v>
      </c>
      <c r="V281" s="146">
        <f>'[2]Russia Sun Oil Exports'!JV$290</f>
        <v>77.721999999999994</v>
      </c>
      <c r="W281" s="146">
        <f>'[2]Russia Sun Oil Exports'!KH$290</f>
        <v>58.786000000000001</v>
      </c>
      <c r="X281" s="146">
        <f>'[2]Russia Sun Oil Exports'!KT$290</f>
        <v>85.667000000000002</v>
      </c>
      <c r="Y281" s="146">
        <f>'[2]Russia Sun Oil Exports'!LF$290</f>
        <v>130.552933</v>
      </c>
      <c r="Z281" s="146">
        <f>'[2]Russia Sun Oil Exports'!LR$290</f>
        <v>129.028952</v>
      </c>
      <c r="AA281" s="146">
        <f>'[2]Russia Sun Oil Exports'!MD$290</f>
        <v>256.408995</v>
      </c>
      <c r="AB281" s="146">
        <f>'[2]Russia Sun Oil Exports'!MP$290</f>
        <v>286.42162000000002</v>
      </c>
      <c r="AC281" s="146">
        <f>'[2]Russia Sun Oil Exports'!NB$290</f>
        <v>369.35599999999999</v>
      </c>
      <c r="AD281" s="253">
        <f t="shared" si="128"/>
        <v>0</v>
      </c>
      <c r="AE281" s="253">
        <f t="shared" si="126"/>
        <v>277.49983736054662</v>
      </c>
      <c r="AF281" s="146"/>
      <c r="AG281" s="146"/>
    </row>
    <row r="282" spans="1:33">
      <c r="A282" s="240" t="s">
        <v>238</v>
      </c>
      <c r="B282" s="290">
        <f t="shared" si="127"/>
        <v>1.9410477435248583</v>
      </c>
      <c r="C282" s="290">
        <f t="shared" si="125"/>
        <v>0.85838866855981222</v>
      </c>
      <c r="D282" s="290">
        <f t="shared" si="125"/>
        <v>0.86488845913488666</v>
      </c>
      <c r="E282" s="146">
        <f>'[2]Russia Sun Oil Exports'!CA$290</f>
        <v>0.536443</v>
      </c>
      <c r="F282" s="146">
        <f>'[2]Russia Sun Oil Exports'!CM$290</f>
        <v>1.482588</v>
      </c>
      <c r="G282" s="146">
        <f>'[2]Russia Sun Oil Exports'!CY$290</f>
        <v>0.91144099999999995</v>
      </c>
      <c r="H282" s="146">
        <f>'[2]Russia Sun Oil Exports'!DK$290</f>
        <v>7.1379989999999998</v>
      </c>
      <c r="I282" s="146">
        <f>'[2]Russia Sun Oil Exports'!DW$290</f>
        <v>2.0726230000000001</v>
      </c>
      <c r="J282" s="146">
        <f>'[2]Russia Sun Oil Exports'!EI$290</f>
        <v>8.539453</v>
      </c>
      <c r="K282" s="146">
        <f>'[2]Russia Sun Oil Exports'!EU$290</f>
        <v>1.2788280000000001</v>
      </c>
      <c r="L282" s="146">
        <f>'[2]Russia Sun Oil Exports'!FG$290</f>
        <v>1.6565810000000001</v>
      </c>
      <c r="M282" s="146">
        <f>'[2]Russia Sun Oil Exports'!FS$290</f>
        <v>4.117</v>
      </c>
      <c r="N282" s="146">
        <f>'[2]Russia Sun Oil Exports'!GE$290</f>
        <v>16.245999999999999</v>
      </c>
      <c r="O282" s="146">
        <f>'[2]Russia Sun Oil Exports'!GQ$290</f>
        <v>6.7569999999999997</v>
      </c>
      <c r="P282" s="146">
        <f>'[2]Russia Sun Oil Exports'!HC$290</f>
        <v>12.393000000000001</v>
      </c>
      <c r="Q282" s="146">
        <f>'[2]Russia Sun Oil Exports'!HO$290</f>
        <v>10.94</v>
      </c>
      <c r="R282" s="146">
        <f>'[2]Russia Sun Oil Exports'!IA$290</f>
        <v>9.6910000000000007</v>
      </c>
      <c r="S282" s="146">
        <f>'[2]Russia Sun Oil Exports'!IM$290</f>
        <v>24.286000000000001</v>
      </c>
      <c r="T282" s="146">
        <f>'[2]Russia Sun Oil Exports'!IY$290</f>
        <v>25.59</v>
      </c>
      <c r="U282" s="146">
        <f>'[2]Russia Sun Oil Exports'!JK$290</f>
        <v>66.786000000000001</v>
      </c>
      <c r="V282" s="146">
        <f>'[2]Russia Sun Oil Exports'!JW$290</f>
        <v>80.134</v>
      </c>
      <c r="W282" s="146">
        <f>'[2]Russia Sun Oil Exports'!KI$290</f>
        <v>40.469000000000001</v>
      </c>
      <c r="X282" s="146">
        <f>'[2]Russia Sun Oil Exports'!KU$290</f>
        <v>112.017</v>
      </c>
      <c r="Y282" s="146">
        <f>'[2]Russia Sun Oil Exports'!LG$290</f>
        <v>157.26607000000001</v>
      </c>
      <c r="Z282" s="146">
        <f>'[2]Russia Sun Oil Exports'!LS$290</f>
        <v>107.799302</v>
      </c>
      <c r="AA282" s="146">
        <f>'[2]Russia Sun Oil Exports'!ME$290</f>
        <v>231.23235299999999</v>
      </c>
      <c r="AB282" s="146">
        <f>'[2]Russia Sun Oil Exports'!MQ$290</f>
        <v>92.147093999999996</v>
      </c>
      <c r="AC282" s="146">
        <f>'[2]Russia Sun Oil Exports'!NC$290</f>
        <v>98.533000000000001</v>
      </c>
      <c r="AD282" s="253">
        <f>AD283-SUM(AD271:AD281)</f>
        <v>2138.6215270474263</v>
      </c>
      <c r="AE282" s="253">
        <f>AE283-SUM(AE271:AE281)</f>
        <v>162.69103755801871</v>
      </c>
      <c r="AF282" s="146"/>
      <c r="AG282" s="146"/>
    </row>
    <row r="283" spans="1:33" ht="15.75" thickBot="1">
      <c r="A283" s="240" t="s">
        <v>242</v>
      </c>
      <c r="B283" s="146">
        <f>B40</f>
        <v>40</v>
      </c>
      <c r="C283" s="146">
        <f>C40</f>
        <v>21</v>
      </c>
      <c r="D283" s="146">
        <f>D40</f>
        <v>25</v>
      </c>
      <c r="E283" s="146">
        <f>E40</f>
        <v>35</v>
      </c>
      <c r="F283" s="146">
        <f t="shared" ref="F283:W283" si="129">SUM(F271:F282)</f>
        <v>23.164131999999999</v>
      </c>
      <c r="G283" s="146">
        <f t="shared" si="129"/>
        <v>26.549014999999997</v>
      </c>
      <c r="H283" s="146">
        <f t="shared" si="129"/>
        <v>198.50660199999999</v>
      </c>
      <c r="I283" s="146">
        <f t="shared" si="129"/>
        <v>125.90585799999999</v>
      </c>
      <c r="J283" s="146">
        <f t="shared" si="129"/>
        <v>40.992549000000004</v>
      </c>
      <c r="K283" s="146">
        <f t="shared" si="129"/>
        <v>95.875370000000032</v>
      </c>
      <c r="L283" s="146">
        <f t="shared" si="129"/>
        <v>136.64308099999997</v>
      </c>
      <c r="M283" s="146">
        <f t="shared" si="129"/>
        <v>228.11651499999994</v>
      </c>
      <c r="N283" s="146">
        <f t="shared" si="129"/>
        <v>628.01599999999996</v>
      </c>
      <c r="O283" s="146">
        <f t="shared" si="129"/>
        <v>701.47900000000004</v>
      </c>
      <c r="P283" s="146">
        <f t="shared" si="129"/>
        <v>327.55100000000004</v>
      </c>
      <c r="Q283" s="146">
        <f t="shared" si="129"/>
        <v>800.75700000000006</v>
      </c>
      <c r="R283" s="146">
        <f t="shared" si="129"/>
        <v>502.89400000000001</v>
      </c>
      <c r="S283" s="146">
        <f t="shared" si="129"/>
        <v>194.87</v>
      </c>
      <c r="T283" s="146">
        <f t="shared" si="129"/>
        <v>1428.029</v>
      </c>
      <c r="U283" s="146">
        <f t="shared" si="129"/>
        <v>1053.912</v>
      </c>
      <c r="V283" s="146">
        <f t="shared" si="129"/>
        <v>1812.9549999999999</v>
      </c>
      <c r="W283" s="146">
        <f t="shared" si="129"/>
        <v>1415.8820000000001</v>
      </c>
      <c r="X283" s="146">
        <f>SUM(X271:X282)</f>
        <v>1611.9230000000002</v>
      </c>
      <c r="Y283" s="146">
        <f>SUM(Y271:Y282)</f>
        <v>2223.4710290000003</v>
      </c>
      <c r="Z283" s="146">
        <f t="shared" ref="Z283:AB283" si="130">SUM(Z271:Z282)</f>
        <v>2257.504508</v>
      </c>
      <c r="AA283" s="146">
        <f t="shared" si="130"/>
        <v>2769.9686479999996</v>
      </c>
      <c r="AB283" s="146">
        <f t="shared" si="130"/>
        <v>3347.9009639999999</v>
      </c>
      <c r="AC283" s="146">
        <f>SUM(AC271:AC282)</f>
        <v>3124.5777589999993</v>
      </c>
      <c r="AD283" s="253">
        <f>AD40</f>
        <v>3250</v>
      </c>
      <c r="AE283" s="253">
        <f>AE40</f>
        <v>3250</v>
      </c>
      <c r="AF283" s="146"/>
      <c r="AG283" s="146"/>
    </row>
    <row r="284" spans="1:33">
      <c r="A284" s="248"/>
      <c r="B284" s="248"/>
      <c r="C284" s="248"/>
      <c r="D284" s="248"/>
      <c r="E284" s="254"/>
      <c r="F284" s="254"/>
      <c r="G284" s="254"/>
      <c r="H284" s="254"/>
      <c r="I284" s="254"/>
      <c r="J284" s="254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  <c r="AD284" s="248"/>
      <c r="AE284" s="248"/>
    </row>
    <row r="285" spans="1:33" ht="15.75" thickBot="1">
      <c r="A285" s="235" t="s">
        <v>268</v>
      </c>
      <c r="D285" s="264"/>
      <c r="E285" s="264"/>
      <c r="F285" s="264"/>
      <c r="G285" s="264"/>
      <c r="H285" s="264"/>
      <c r="I285" s="264"/>
    </row>
    <row r="286" spans="1:33" ht="15.75" thickBot="1">
      <c r="A286" s="236"/>
      <c r="B286" s="237" t="str">
        <f>B$2</f>
        <v xml:space="preserve">93/94 </v>
      </c>
      <c r="C286" s="237" t="str">
        <f t="shared" ref="C286:AE286" si="131">C$2</f>
        <v xml:space="preserve">94/95 </v>
      </c>
      <c r="D286" s="237" t="str">
        <f t="shared" si="131"/>
        <v xml:space="preserve">95/96 </v>
      </c>
      <c r="E286" s="237" t="str">
        <f t="shared" si="131"/>
        <v xml:space="preserve">96/97 </v>
      </c>
      <c r="F286" s="237" t="str">
        <f t="shared" si="131"/>
        <v xml:space="preserve">97/98 </v>
      </c>
      <c r="G286" s="237" t="str">
        <f t="shared" si="131"/>
        <v xml:space="preserve">98/99 </v>
      </c>
      <c r="H286" s="237" t="str">
        <f t="shared" si="131"/>
        <v xml:space="preserve">99/00 </v>
      </c>
      <c r="I286" s="237" t="str">
        <f t="shared" si="131"/>
        <v xml:space="preserve">00/01 </v>
      </c>
      <c r="J286" s="237" t="str">
        <f t="shared" si="131"/>
        <v xml:space="preserve">01/02 </v>
      </c>
      <c r="K286" s="237" t="str">
        <f t="shared" si="131"/>
        <v xml:space="preserve">02/03 </v>
      </c>
      <c r="L286" s="237" t="str">
        <f t="shared" si="131"/>
        <v xml:space="preserve">03/04 </v>
      </c>
      <c r="M286" s="237" t="str">
        <f t="shared" si="131"/>
        <v xml:space="preserve">04/05 </v>
      </c>
      <c r="N286" s="237" t="str">
        <f t="shared" si="131"/>
        <v xml:space="preserve">05/06 </v>
      </c>
      <c r="O286" s="237" t="str">
        <f t="shared" si="131"/>
        <v xml:space="preserve">06/07 </v>
      </c>
      <c r="P286" s="237" t="str">
        <f t="shared" si="131"/>
        <v xml:space="preserve">07/08 </v>
      </c>
      <c r="Q286" s="237" t="str">
        <f t="shared" si="131"/>
        <v xml:space="preserve">08/09 </v>
      </c>
      <c r="R286" s="237" t="str">
        <f t="shared" si="131"/>
        <v xml:space="preserve">09/10 </v>
      </c>
      <c r="S286" s="237" t="str">
        <f t="shared" si="131"/>
        <v xml:space="preserve">10/11 </v>
      </c>
      <c r="T286" s="237" t="str">
        <f t="shared" si="131"/>
        <v xml:space="preserve">11/12 </v>
      </c>
      <c r="U286" s="237" t="str">
        <f t="shared" si="131"/>
        <v xml:space="preserve">12/13 </v>
      </c>
      <c r="V286" s="237" t="str">
        <f t="shared" si="131"/>
        <v xml:space="preserve">13/14 </v>
      </c>
      <c r="W286" s="237" t="str">
        <f t="shared" si="131"/>
        <v xml:space="preserve">14/15 </v>
      </c>
      <c r="X286" s="237" t="str">
        <f t="shared" si="131"/>
        <v xml:space="preserve">15/16 </v>
      </c>
      <c r="Y286" s="237" t="str">
        <f t="shared" si="131"/>
        <v xml:space="preserve">16/17 </v>
      </c>
      <c r="Z286" s="237" t="str">
        <f t="shared" si="131"/>
        <v xml:space="preserve">17/18 </v>
      </c>
      <c r="AA286" s="237" t="str">
        <f t="shared" si="131"/>
        <v xml:space="preserve">18/19 </v>
      </c>
      <c r="AB286" s="237" t="str">
        <f t="shared" si="131"/>
        <v xml:space="preserve">19/20 </v>
      </c>
      <c r="AC286" s="237" t="str">
        <f t="shared" si="131"/>
        <v xml:space="preserve">20/21 </v>
      </c>
      <c r="AD286" s="237" t="str">
        <f t="shared" si="131"/>
        <v xml:space="preserve">21/22 </v>
      </c>
      <c r="AE286" s="237" t="str">
        <f t="shared" si="131"/>
        <v xml:space="preserve">22/23 </v>
      </c>
      <c r="AF286" s="269"/>
      <c r="AG286" s="269"/>
    </row>
    <row r="287" spans="1:33">
      <c r="A287" s="240" t="s">
        <v>239</v>
      </c>
      <c r="B287" s="290">
        <f t="shared" ref="B287:Q298" si="132">B$299/12</f>
        <v>69.166666666666671</v>
      </c>
      <c r="C287" s="290">
        <f t="shared" si="132"/>
        <v>69.25</v>
      </c>
      <c r="D287" s="290">
        <f t="shared" si="132"/>
        <v>75.75</v>
      </c>
      <c r="E287" s="290">
        <f t="shared" si="132"/>
        <v>79.583333333333329</v>
      </c>
      <c r="F287" s="290">
        <f t="shared" si="132"/>
        <v>80</v>
      </c>
      <c r="G287" s="290">
        <f t="shared" si="132"/>
        <v>83.75</v>
      </c>
      <c r="H287" s="290">
        <f t="shared" si="132"/>
        <v>98.75</v>
      </c>
      <c r="I287" s="290">
        <f t="shared" si="132"/>
        <v>104.16666666666667</v>
      </c>
      <c r="J287" s="290">
        <f t="shared" si="132"/>
        <v>91.25</v>
      </c>
      <c r="K287" s="290">
        <f t="shared" si="132"/>
        <v>110</v>
      </c>
      <c r="L287" s="290">
        <f t="shared" si="132"/>
        <v>126.58333333333333</v>
      </c>
      <c r="M287" s="290">
        <f t="shared" si="132"/>
        <v>132.5</v>
      </c>
      <c r="N287" s="290">
        <f t="shared" si="132"/>
        <v>133.83333333333334</v>
      </c>
      <c r="O287" s="290">
        <f t="shared" si="132"/>
        <v>140.41666666666666</v>
      </c>
      <c r="P287" s="290">
        <f t="shared" si="132"/>
        <v>140.41666666666666</v>
      </c>
      <c r="Q287" s="290">
        <f t="shared" si="132"/>
        <v>142.91666666666666</v>
      </c>
      <c r="R287" s="290">
        <f t="shared" ref="R287:AR298" si="133">R$299/12</f>
        <v>154.16666666666666</v>
      </c>
      <c r="S287" s="290">
        <f t="shared" si="133"/>
        <v>159.16666666666666</v>
      </c>
      <c r="T287" s="290">
        <f t="shared" si="133"/>
        <v>159.16666666666666</v>
      </c>
      <c r="U287" s="290">
        <f t="shared" si="133"/>
        <v>156.66666666666666</v>
      </c>
      <c r="V287" s="290">
        <f t="shared" si="133"/>
        <v>157.5</v>
      </c>
      <c r="W287" s="290">
        <f t="shared" si="133"/>
        <v>162.5</v>
      </c>
      <c r="X287" s="290">
        <f t="shared" si="133"/>
        <v>160.83333333333334</v>
      </c>
      <c r="Y287" s="290">
        <f t="shared" si="133"/>
        <v>171.91666666666666</v>
      </c>
      <c r="Z287" s="290">
        <f t="shared" si="133"/>
        <v>168.58333333333334</v>
      </c>
      <c r="AA287" s="290">
        <f t="shared" si="133"/>
        <v>179.16666666666666</v>
      </c>
      <c r="AB287" s="290">
        <f t="shared" si="133"/>
        <v>173.75</v>
      </c>
      <c r="AC287" s="290">
        <f t="shared" si="133"/>
        <v>181.66666666666666</v>
      </c>
      <c r="AD287" s="290">
        <f t="shared" si="133"/>
        <v>166.66666666666666</v>
      </c>
      <c r="AE287" s="290">
        <f t="shared" si="133"/>
        <v>218.75</v>
      </c>
      <c r="AF287" s="146"/>
      <c r="AG287" s="146"/>
    </row>
    <row r="288" spans="1:33">
      <c r="A288" s="240" t="s">
        <v>240</v>
      </c>
      <c r="B288" s="290">
        <f t="shared" si="132"/>
        <v>69.166666666666671</v>
      </c>
      <c r="C288" s="290">
        <f t="shared" si="132"/>
        <v>69.25</v>
      </c>
      <c r="D288" s="290">
        <f t="shared" si="132"/>
        <v>75.75</v>
      </c>
      <c r="E288" s="290">
        <f t="shared" si="132"/>
        <v>79.583333333333329</v>
      </c>
      <c r="F288" s="290">
        <f t="shared" si="132"/>
        <v>80</v>
      </c>
      <c r="G288" s="290">
        <f t="shared" si="132"/>
        <v>83.75</v>
      </c>
      <c r="H288" s="290">
        <f t="shared" si="132"/>
        <v>98.75</v>
      </c>
      <c r="I288" s="290">
        <f t="shared" si="132"/>
        <v>104.16666666666667</v>
      </c>
      <c r="J288" s="290">
        <f t="shared" si="132"/>
        <v>91.25</v>
      </c>
      <c r="K288" s="290">
        <f t="shared" si="132"/>
        <v>110</v>
      </c>
      <c r="L288" s="290">
        <f t="shared" si="132"/>
        <v>126.58333333333333</v>
      </c>
      <c r="M288" s="290">
        <f t="shared" si="132"/>
        <v>132.5</v>
      </c>
      <c r="N288" s="290">
        <f t="shared" si="132"/>
        <v>133.83333333333334</v>
      </c>
      <c r="O288" s="290">
        <f t="shared" si="132"/>
        <v>140.41666666666666</v>
      </c>
      <c r="P288" s="290">
        <f t="shared" si="132"/>
        <v>140.41666666666666</v>
      </c>
      <c r="Q288" s="290">
        <f t="shared" si="132"/>
        <v>142.91666666666666</v>
      </c>
      <c r="R288" s="290">
        <f t="shared" si="133"/>
        <v>154.16666666666666</v>
      </c>
      <c r="S288" s="290">
        <f t="shared" si="133"/>
        <v>159.16666666666666</v>
      </c>
      <c r="T288" s="290">
        <f t="shared" si="133"/>
        <v>159.16666666666666</v>
      </c>
      <c r="U288" s="290">
        <f t="shared" si="133"/>
        <v>156.66666666666666</v>
      </c>
      <c r="V288" s="290">
        <f t="shared" si="133"/>
        <v>157.5</v>
      </c>
      <c r="W288" s="290">
        <f t="shared" si="133"/>
        <v>162.5</v>
      </c>
      <c r="X288" s="290">
        <f t="shared" si="133"/>
        <v>160.83333333333334</v>
      </c>
      <c r="Y288" s="290">
        <f t="shared" si="133"/>
        <v>171.91666666666666</v>
      </c>
      <c r="Z288" s="290">
        <f t="shared" si="133"/>
        <v>168.58333333333334</v>
      </c>
      <c r="AA288" s="290">
        <f t="shared" si="133"/>
        <v>179.16666666666666</v>
      </c>
      <c r="AB288" s="290">
        <f t="shared" si="133"/>
        <v>173.75</v>
      </c>
      <c r="AC288" s="290">
        <f t="shared" si="133"/>
        <v>181.66666666666666</v>
      </c>
      <c r="AD288" s="290">
        <f t="shared" si="133"/>
        <v>166.66666666666666</v>
      </c>
      <c r="AE288" s="290">
        <f t="shared" si="133"/>
        <v>218.75</v>
      </c>
      <c r="AF288" s="146"/>
      <c r="AG288" s="146"/>
    </row>
    <row r="289" spans="1:33">
      <c r="A289" s="240" t="s">
        <v>241</v>
      </c>
      <c r="B289" s="290">
        <f t="shared" si="132"/>
        <v>69.166666666666671</v>
      </c>
      <c r="C289" s="290">
        <f t="shared" si="132"/>
        <v>69.25</v>
      </c>
      <c r="D289" s="290">
        <f t="shared" si="132"/>
        <v>75.75</v>
      </c>
      <c r="E289" s="290">
        <f t="shared" si="132"/>
        <v>79.583333333333329</v>
      </c>
      <c r="F289" s="290">
        <f t="shared" si="132"/>
        <v>80</v>
      </c>
      <c r="G289" s="290">
        <f t="shared" si="132"/>
        <v>83.75</v>
      </c>
      <c r="H289" s="290">
        <f t="shared" si="132"/>
        <v>98.75</v>
      </c>
      <c r="I289" s="290">
        <f t="shared" si="132"/>
        <v>104.16666666666667</v>
      </c>
      <c r="J289" s="290">
        <f t="shared" si="132"/>
        <v>91.25</v>
      </c>
      <c r="K289" s="290">
        <f t="shared" si="132"/>
        <v>110</v>
      </c>
      <c r="L289" s="290">
        <f t="shared" si="132"/>
        <v>126.58333333333333</v>
      </c>
      <c r="M289" s="290">
        <f t="shared" si="132"/>
        <v>132.5</v>
      </c>
      <c r="N289" s="290">
        <f t="shared" si="132"/>
        <v>133.83333333333334</v>
      </c>
      <c r="O289" s="290">
        <f t="shared" si="132"/>
        <v>140.41666666666666</v>
      </c>
      <c r="P289" s="290">
        <f t="shared" si="132"/>
        <v>140.41666666666666</v>
      </c>
      <c r="Q289" s="290">
        <f t="shared" si="132"/>
        <v>142.91666666666666</v>
      </c>
      <c r="R289" s="290">
        <f t="shared" si="133"/>
        <v>154.16666666666666</v>
      </c>
      <c r="S289" s="290">
        <f t="shared" si="133"/>
        <v>159.16666666666666</v>
      </c>
      <c r="T289" s="290">
        <f t="shared" si="133"/>
        <v>159.16666666666666</v>
      </c>
      <c r="U289" s="290">
        <f t="shared" si="133"/>
        <v>156.66666666666666</v>
      </c>
      <c r="V289" s="290">
        <f t="shared" si="133"/>
        <v>157.5</v>
      </c>
      <c r="W289" s="290">
        <f t="shared" si="133"/>
        <v>162.5</v>
      </c>
      <c r="X289" s="290">
        <f t="shared" si="133"/>
        <v>160.83333333333334</v>
      </c>
      <c r="Y289" s="290">
        <f t="shared" si="133"/>
        <v>171.91666666666666</v>
      </c>
      <c r="Z289" s="290">
        <f t="shared" si="133"/>
        <v>168.58333333333334</v>
      </c>
      <c r="AA289" s="290">
        <f t="shared" si="133"/>
        <v>179.16666666666666</v>
      </c>
      <c r="AB289" s="290">
        <f t="shared" si="133"/>
        <v>173.75</v>
      </c>
      <c r="AC289" s="290">
        <f t="shared" si="133"/>
        <v>181.66666666666666</v>
      </c>
      <c r="AD289" s="290">
        <f t="shared" si="133"/>
        <v>166.66666666666666</v>
      </c>
      <c r="AE289" s="290">
        <f t="shared" si="133"/>
        <v>218.75</v>
      </c>
      <c r="AF289" s="146"/>
      <c r="AG289" s="146"/>
    </row>
    <row r="290" spans="1:33">
      <c r="A290" s="240" t="s">
        <v>231</v>
      </c>
      <c r="B290" s="290">
        <f t="shared" si="132"/>
        <v>69.166666666666671</v>
      </c>
      <c r="C290" s="290">
        <f t="shared" si="132"/>
        <v>69.25</v>
      </c>
      <c r="D290" s="290">
        <f t="shared" si="132"/>
        <v>75.75</v>
      </c>
      <c r="E290" s="290">
        <f t="shared" si="132"/>
        <v>79.583333333333329</v>
      </c>
      <c r="F290" s="290">
        <f t="shared" si="132"/>
        <v>80</v>
      </c>
      <c r="G290" s="290">
        <f t="shared" si="132"/>
        <v>83.75</v>
      </c>
      <c r="H290" s="290">
        <f t="shared" si="132"/>
        <v>98.75</v>
      </c>
      <c r="I290" s="290">
        <f t="shared" si="132"/>
        <v>104.16666666666667</v>
      </c>
      <c r="J290" s="290">
        <f t="shared" si="132"/>
        <v>91.25</v>
      </c>
      <c r="K290" s="290">
        <f t="shared" si="132"/>
        <v>110</v>
      </c>
      <c r="L290" s="290">
        <f t="shared" si="132"/>
        <v>126.58333333333333</v>
      </c>
      <c r="M290" s="290">
        <f t="shared" si="132"/>
        <v>132.5</v>
      </c>
      <c r="N290" s="290">
        <f t="shared" si="132"/>
        <v>133.83333333333334</v>
      </c>
      <c r="O290" s="290">
        <f t="shared" si="132"/>
        <v>140.41666666666666</v>
      </c>
      <c r="P290" s="290">
        <f t="shared" si="132"/>
        <v>140.41666666666666</v>
      </c>
      <c r="Q290" s="290">
        <f t="shared" si="132"/>
        <v>142.91666666666666</v>
      </c>
      <c r="R290" s="290">
        <f t="shared" si="133"/>
        <v>154.16666666666666</v>
      </c>
      <c r="S290" s="290">
        <f t="shared" si="133"/>
        <v>159.16666666666666</v>
      </c>
      <c r="T290" s="290">
        <f t="shared" si="133"/>
        <v>159.16666666666666</v>
      </c>
      <c r="U290" s="290">
        <f t="shared" si="133"/>
        <v>156.66666666666666</v>
      </c>
      <c r="V290" s="290">
        <f t="shared" si="133"/>
        <v>157.5</v>
      </c>
      <c r="W290" s="290">
        <f t="shared" si="133"/>
        <v>162.5</v>
      </c>
      <c r="X290" s="290">
        <f t="shared" si="133"/>
        <v>160.83333333333334</v>
      </c>
      <c r="Y290" s="290">
        <f t="shared" si="133"/>
        <v>171.91666666666666</v>
      </c>
      <c r="Z290" s="290">
        <f t="shared" si="133"/>
        <v>168.58333333333334</v>
      </c>
      <c r="AA290" s="290">
        <f t="shared" si="133"/>
        <v>179.16666666666666</v>
      </c>
      <c r="AB290" s="290">
        <f t="shared" si="133"/>
        <v>173.75</v>
      </c>
      <c r="AC290" s="290">
        <f t="shared" si="133"/>
        <v>181.66666666666666</v>
      </c>
      <c r="AD290" s="290">
        <f t="shared" si="133"/>
        <v>166.66666666666666</v>
      </c>
      <c r="AE290" s="290">
        <f t="shared" si="133"/>
        <v>218.75</v>
      </c>
      <c r="AF290" s="146"/>
      <c r="AG290" s="146"/>
    </row>
    <row r="291" spans="1:33">
      <c r="A291" s="240" t="s">
        <v>232</v>
      </c>
      <c r="B291" s="290">
        <f t="shared" si="132"/>
        <v>69.166666666666671</v>
      </c>
      <c r="C291" s="290">
        <f t="shared" si="132"/>
        <v>69.25</v>
      </c>
      <c r="D291" s="290">
        <f t="shared" si="132"/>
        <v>75.75</v>
      </c>
      <c r="E291" s="290">
        <f t="shared" si="132"/>
        <v>79.583333333333329</v>
      </c>
      <c r="F291" s="290">
        <f t="shared" si="132"/>
        <v>80</v>
      </c>
      <c r="G291" s="290">
        <f t="shared" si="132"/>
        <v>83.75</v>
      </c>
      <c r="H291" s="290">
        <f t="shared" si="132"/>
        <v>98.75</v>
      </c>
      <c r="I291" s="290">
        <f t="shared" si="132"/>
        <v>104.16666666666667</v>
      </c>
      <c r="J291" s="290">
        <f t="shared" si="132"/>
        <v>91.25</v>
      </c>
      <c r="K291" s="290">
        <f t="shared" si="132"/>
        <v>110</v>
      </c>
      <c r="L291" s="290">
        <f t="shared" si="132"/>
        <v>126.58333333333333</v>
      </c>
      <c r="M291" s="290">
        <f t="shared" si="132"/>
        <v>132.5</v>
      </c>
      <c r="N291" s="290">
        <f t="shared" si="132"/>
        <v>133.83333333333334</v>
      </c>
      <c r="O291" s="290">
        <f t="shared" si="132"/>
        <v>140.41666666666666</v>
      </c>
      <c r="P291" s="290">
        <f t="shared" si="132"/>
        <v>140.41666666666666</v>
      </c>
      <c r="Q291" s="290">
        <f t="shared" si="132"/>
        <v>142.91666666666666</v>
      </c>
      <c r="R291" s="290">
        <f t="shared" si="133"/>
        <v>154.16666666666666</v>
      </c>
      <c r="S291" s="290">
        <f t="shared" si="133"/>
        <v>159.16666666666666</v>
      </c>
      <c r="T291" s="290">
        <f t="shared" si="133"/>
        <v>159.16666666666666</v>
      </c>
      <c r="U291" s="290">
        <f t="shared" si="133"/>
        <v>156.66666666666666</v>
      </c>
      <c r="V291" s="290">
        <f t="shared" si="133"/>
        <v>157.5</v>
      </c>
      <c r="W291" s="290">
        <f t="shared" si="133"/>
        <v>162.5</v>
      </c>
      <c r="X291" s="290">
        <f t="shared" si="133"/>
        <v>160.83333333333334</v>
      </c>
      <c r="Y291" s="290">
        <f t="shared" si="133"/>
        <v>171.91666666666666</v>
      </c>
      <c r="Z291" s="290">
        <f t="shared" si="133"/>
        <v>168.58333333333334</v>
      </c>
      <c r="AA291" s="290">
        <f t="shared" si="133"/>
        <v>179.16666666666666</v>
      </c>
      <c r="AB291" s="290">
        <f t="shared" si="133"/>
        <v>173.75</v>
      </c>
      <c r="AC291" s="290">
        <f t="shared" si="133"/>
        <v>181.66666666666666</v>
      </c>
      <c r="AD291" s="290">
        <f t="shared" si="133"/>
        <v>166.66666666666666</v>
      </c>
      <c r="AE291" s="290">
        <f t="shared" si="133"/>
        <v>218.75</v>
      </c>
      <c r="AF291" s="146"/>
      <c r="AG291" s="146"/>
    </row>
    <row r="292" spans="1:33">
      <c r="A292" s="240" t="s">
        <v>233</v>
      </c>
      <c r="B292" s="290">
        <f t="shared" si="132"/>
        <v>69.166666666666671</v>
      </c>
      <c r="C292" s="290">
        <f t="shared" si="132"/>
        <v>69.25</v>
      </c>
      <c r="D292" s="290">
        <f t="shared" si="132"/>
        <v>75.75</v>
      </c>
      <c r="E292" s="290">
        <f t="shared" si="132"/>
        <v>79.583333333333329</v>
      </c>
      <c r="F292" s="290">
        <f t="shared" si="132"/>
        <v>80</v>
      </c>
      <c r="G292" s="290">
        <f t="shared" si="132"/>
        <v>83.75</v>
      </c>
      <c r="H292" s="290">
        <f t="shared" si="132"/>
        <v>98.75</v>
      </c>
      <c r="I292" s="290">
        <f t="shared" si="132"/>
        <v>104.16666666666667</v>
      </c>
      <c r="J292" s="290">
        <f t="shared" si="132"/>
        <v>91.25</v>
      </c>
      <c r="K292" s="290">
        <f t="shared" si="132"/>
        <v>110</v>
      </c>
      <c r="L292" s="290">
        <f t="shared" si="132"/>
        <v>126.58333333333333</v>
      </c>
      <c r="M292" s="290">
        <f t="shared" si="132"/>
        <v>132.5</v>
      </c>
      <c r="N292" s="290">
        <f t="shared" si="132"/>
        <v>133.83333333333334</v>
      </c>
      <c r="O292" s="290">
        <f t="shared" si="132"/>
        <v>140.41666666666666</v>
      </c>
      <c r="P292" s="290">
        <f t="shared" si="132"/>
        <v>140.41666666666666</v>
      </c>
      <c r="Q292" s="290">
        <f t="shared" si="132"/>
        <v>142.91666666666666</v>
      </c>
      <c r="R292" s="290">
        <f t="shared" si="133"/>
        <v>154.16666666666666</v>
      </c>
      <c r="S292" s="290">
        <f t="shared" si="133"/>
        <v>159.16666666666666</v>
      </c>
      <c r="T292" s="290">
        <f t="shared" si="133"/>
        <v>159.16666666666666</v>
      </c>
      <c r="U292" s="290">
        <f t="shared" si="133"/>
        <v>156.66666666666666</v>
      </c>
      <c r="V292" s="290">
        <f t="shared" si="133"/>
        <v>157.5</v>
      </c>
      <c r="W292" s="290">
        <f t="shared" si="133"/>
        <v>162.5</v>
      </c>
      <c r="X292" s="290">
        <f t="shared" si="133"/>
        <v>160.83333333333334</v>
      </c>
      <c r="Y292" s="290">
        <f t="shared" si="133"/>
        <v>171.91666666666666</v>
      </c>
      <c r="Z292" s="290">
        <f t="shared" si="133"/>
        <v>168.58333333333334</v>
      </c>
      <c r="AA292" s="290">
        <f t="shared" si="133"/>
        <v>179.16666666666666</v>
      </c>
      <c r="AB292" s="290">
        <f t="shared" si="133"/>
        <v>173.75</v>
      </c>
      <c r="AC292" s="290">
        <f t="shared" si="133"/>
        <v>181.66666666666666</v>
      </c>
      <c r="AD292" s="290">
        <f t="shared" si="133"/>
        <v>166.66666666666666</v>
      </c>
      <c r="AE292" s="290">
        <f t="shared" si="133"/>
        <v>218.75</v>
      </c>
      <c r="AF292" s="146"/>
      <c r="AG292" s="146"/>
    </row>
    <row r="293" spans="1:33">
      <c r="A293" s="240" t="s">
        <v>234</v>
      </c>
      <c r="B293" s="290">
        <f t="shared" si="132"/>
        <v>69.166666666666671</v>
      </c>
      <c r="C293" s="290">
        <f t="shared" si="132"/>
        <v>69.25</v>
      </c>
      <c r="D293" s="290">
        <f t="shared" si="132"/>
        <v>75.75</v>
      </c>
      <c r="E293" s="290">
        <f t="shared" si="132"/>
        <v>79.583333333333329</v>
      </c>
      <c r="F293" s="290">
        <f t="shared" si="132"/>
        <v>80</v>
      </c>
      <c r="G293" s="290">
        <f t="shared" si="132"/>
        <v>83.75</v>
      </c>
      <c r="H293" s="290">
        <f t="shared" si="132"/>
        <v>98.75</v>
      </c>
      <c r="I293" s="290">
        <f t="shared" si="132"/>
        <v>104.16666666666667</v>
      </c>
      <c r="J293" s="290">
        <f t="shared" si="132"/>
        <v>91.25</v>
      </c>
      <c r="K293" s="290">
        <f t="shared" si="132"/>
        <v>110</v>
      </c>
      <c r="L293" s="290">
        <f t="shared" si="132"/>
        <v>126.58333333333333</v>
      </c>
      <c r="M293" s="290">
        <f t="shared" si="132"/>
        <v>132.5</v>
      </c>
      <c r="N293" s="290">
        <f t="shared" si="132"/>
        <v>133.83333333333334</v>
      </c>
      <c r="O293" s="290">
        <f t="shared" si="132"/>
        <v>140.41666666666666</v>
      </c>
      <c r="P293" s="290">
        <f t="shared" si="132"/>
        <v>140.41666666666666</v>
      </c>
      <c r="Q293" s="290">
        <f t="shared" si="132"/>
        <v>142.91666666666666</v>
      </c>
      <c r="R293" s="290">
        <f t="shared" si="133"/>
        <v>154.16666666666666</v>
      </c>
      <c r="S293" s="290">
        <f t="shared" si="133"/>
        <v>159.16666666666666</v>
      </c>
      <c r="T293" s="290">
        <f t="shared" si="133"/>
        <v>159.16666666666666</v>
      </c>
      <c r="U293" s="290">
        <f t="shared" si="133"/>
        <v>156.66666666666666</v>
      </c>
      <c r="V293" s="290">
        <f t="shared" si="133"/>
        <v>157.5</v>
      </c>
      <c r="W293" s="290">
        <f t="shared" si="133"/>
        <v>162.5</v>
      </c>
      <c r="X293" s="290">
        <f t="shared" si="133"/>
        <v>160.83333333333334</v>
      </c>
      <c r="Y293" s="290">
        <f t="shared" si="133"/>
        <v>171.91666666666666</v>
      </c>
      <c r="Z293" s="290">
        <f t="shared" si="133"/>
        <v>168.58333333333334</v>
      </c>
      <c r="AA293" s="290">
        <f t="shared" si="133"/>
        <v>179.16666666666666</v>
      </c>
      <c r="AB293" s="290">
        <f t="shared" si="133"/>
        <v>173.75</v>
      </c>
      <c r="AC293" s="290">
        <f t="shared" si="133"/>
        <v>181.66666666666666</v>
      </c>
      <c r="AD293" s="290">
        <f t="shared" si="133"/>
        <v>166.66666666666666</v>
      </c>
      <c r="AE293" s="290">
        <f t="shared" si="133"/>
        <v>218.75</v>
      </c>
      <c r="AF293" s="146"/>
      <c r="AG293" s="146"/>
    </row>
    <row r="294" spans="1:33">
      <c r="A294" s="240" t="s">
        <v>46</v>
      </c>
      <c r="B294" s="290">
        <f t="shared" si="132"/>
        <v>69.166666666666671</v>
      </c>
      <c r="C294" s="290">
        <f t="shared" si="132"/>
        <v>69.25</v>
      </c>
      <c r="D294" s="290">
        <f t="shared" si="132"/>
        <v>75.75</v>
      </c>
      <c r="E294" s="290">
        <f t="shared" si="132"/>
        <v>79.583333333333329</v>
      </c>
      <c r="F294" s="290">
        <f t="shared" si="132"/>
        <v>80</v>
      </c>
      <c r="G294" s="290">
        <f t="shared" si="132"/>
        <v>83.75</v>
      </c>
      <c r="H294" s="290">
        <f t="shared" si="132"/>
        <v>98.75</v>
      </c>
      <c r="I294" s="290">
        <f t="shared" si="132"/>
        <v>104.16666666666667</v>
      </c>
      <c r="J294" s="290">
        <f t="shared" si="132"/>
        <v>91.25</v>
      </c>
      <c r="K294" s="290">
        <f t="shared" si="132"/>
        <v>110</v>
      </c>
      <c r="L294" s="290">
        <f t="shared" si="132"/>
        <v>126.58333333333333</v>
      </c>
      <c r="M294" s="290">
        <f t="shared" si="132"/>
        <v>132.5</v>
      </c>
      <c r="N294" s="290">
        <f t="shared" si="132"/>
        <v>133.83333333333334</v>
      </c>
      <c r="O294" s="290">
        <f t="shared" si="132"/>
        <v>140.41666666666666</v>
      </c>
      <c r="P294" s="290">
        <f t="shared" si="132"/>
        <v>140.41666666666666</v>
      </c>
      <c r="Q294" s="290">
        <f t="shared" si="132"/>
        <v>142.91666666666666</v>
      </c>
      <c r="R294" s="290">
        <f t="shared" si="133"/>
        <v>154.16666666666666</v>
      </c>
      <c r="S294" s="290">
        <f t="shared" si="133"/>
        <v>159.16666666666666</v>
      </c>
      <c r="T294" s="290">
        <f t="shared" si="133"/>
        <v>159.16666666666666</v>
      </c>
      <c r="U294" s="290">
        <f t="shared" si="133"/>
        <v>156.66666666666666</v>
      </c>
      <c r="V294" s="290">
        <f t="shared" si="133"/>
        <v>157.5</v>
      </c>
      <c r="W294" s="290">
        <f t="shared" si="133"/>
        <v>162.5</v>
      </c>
      <c r="X294" s="290">
        <f t="shared" si="133"/>
        <v>160.83333333333334</v>
      </c>
      <c r="Y294" s="290">
        <f t="shared" si="133"/>
        <v>171.91666666666666</v>
      </c>
      <c r="Z294" s="290">
        <f t="shared" si="133"/>
        <v>168.58333333333334</v>
      </c>
      <c r="AA294" s="290">
        <f t="shared" si="133"/>
        <v>179.16666666666666</v>
      </c>
      <c r="AB294" s="290">
        <f t="shared" si="133"/>
        <v>173.75</v>
      </c>
      <c r="AC294" s="290">
        <f t="shared" si="133"/>
        <v>181.66666666666666</v>
      </c>
      <c r="AD294" s="290">
        <f t="shared" si="133"/>
        <v>166.66666666666666</v>
      </c>
      <c r="AE294" s="290">
        <f t="shared" si="133"/>
        <v>218.75</v>
      </c>
      <c r="AF294" s="146"/>
      <c r="AG294" s="146"/>
    </row>
    <row r="295" spans="1:33">
      <c r="A295" s="240" t="s">
        <v>235</v>
      </c>
      <c r="B295" s="290">
        <f t="shared" si="132"/>
        <v>69.166666666666671</v>
      </c>
      <c r="C295" s="290">
        <f t="shared" si="132"/>
        <v>69.25</v>
      </c>
      <c r="D295" s="290">
        <f t="shared" si="132"/>
        <v>75.75</v>
      </c>
      <c r="E295" s="290">
        <f t="shared" si="132"/>
        <v>79.583333333333329</v>
      </c>
      <c r="F295" s="290">
        <f t="shared" si="132"/>
        <v>80</v>
      </c>
      <c r="G295" s="290">
        <f t="shared" si="132"/>
        <v>83.75</v>
      </c>
      <c r="H295" s="290">
        <f t="shared" si="132"/>
        <v>98.75</v>
      </c>
      <c r="I295" s="290">
        <f t="shared" si="132"/>
        <v>104.16666666666667</v>
      </c>
      <c r="J295" s="290">
        <f t="shared" si="132"/>
        <v>91.25</v>
      </c>
      <c r="K295" s="290">
        <f t="shared" si="132"/>
        <v>110</v>
      </c>
      <c r="L295" s="290">
        <f t="shared" si="132"/>
        <v>126.58333333333333</v>
      </c>
      <c r="M295" s="290">
        <f t="shared" si="132"/>
        <v>132.5</v>
      </c>
      <c r="N295" s="290">
        <f t="shared" si="132"/>
        <v>133.83333333333334</v>
      </c>
      <c r="O295" s="290">
        <f t="shared" si="132"/>
        <v>140.41666666666666</v>
      </c>
      <c r="P295" s="290">
        <f t="shared" si="132"/>
        <v>140.41666666666666</v>
      </c>
      <c r="Q295" s="290">
        <f t="shared" si="132"/>
        <v>142.91666666666666</v>
      </c>
      <c r="R295" s="290">
        <f t="shared" si="133"/>
        <v>154.16666666666666</v>
      </c>
      <c r="S295" s="290">
        <f t="shared" si="133"/>
        <v>159.16666666666666</v>
      </c>
      <c r="T295" s="290">
        <f t="shared" si="133"/>
        <v>159.16666666666666</v>
      </c>
      <c r="U295" s="290">
        <f t="shared" si="133"/>
        <v>156.66666666666666</v>
      </c>
      <c r="V295" s="290">
        <f t="shared" si="133"/>
        <v>157.5</v>
      </c>
      <c r="W295" s="290">
        <f t="shared" si="133"/>
        <v>162.5</v>
      </c>
      <c r="X295" s="290">
        <f t="shared" si="133"/>
        <v>160.83333333333334</v>
      </c>
      <c r="Y295" s="290">
        <f t="shared" si="133"/>
        <v>171.91666666666666</v>
      </c>
      <c r="Z295" s="290">
        <f t="shared" si="133"/>
        <v>168.58333333333334</v>
      </c>
      <c r="AA295" s="290">
        <f t="shared" si="133"/>
        <v>179.16666666666666</v>
      </c>
      <c r="AB295" s="290">
        <f t="shared" si="133"/>
        <v>173.75</v>
      </c>
      <c r="AC295" s="290">
        <f t="shared" si="133"/>
        <v>181.66666666666666</v>
      </c>
      <c r="AD295" s="290">
        <f t="shared" si="133"/>
        <v>166.66666666666666</v>
      </c>
      <c r="AE295" s="290">
        <f t="shared" si="133"/>
        <v>218.75</v>
      </c>
      <c r="AF295" s="146"/>
      <c r="AG295" s="146"/>
    </row>
    <row r="296" spans="1:33">
      <c r="A296" s="240" t="s">
        <v>236</v>
      </c>
      <c r="B296" s="290">
        <f t="shared" si="132"/>
        <v>69.166666666666671</v>
      </c>
      <c r="C296" s="290">
        <f t="shared" si="132"/>
        <v>69.25</v>
      </c>
      <c r="D296" s="290">
        <f t="shared" si="132"/>
        <v>75.75</v>
      </c>
      <c r="E296" s="290">
        <f t="shared" si="132"/>
        <v>79.583333333333329</v>
      </c>
      <c r="F296" s="290">
        <f t="shared" si="132"/>
        <v>80</v>
      </c>
      <c r="G296" s="290">
        <f t="shared" si="132"/>
        <v>83.75</v>
      </c>
      <c r="H296" s="290">
        <f t="shared" si="132"/>
        <v>98.75</v>
      </c>
      <c r="I296" s="290">
        <f t="shared" si="132"/>
        <v>104.16666666666667</v>
      </c>
      <c r="J296" s="290">
        <f t="shared" si="132"/>
        <v>91.25</v>
      </c>
      <c r="K296" s="290">
        <f t="shared" si="132"/>
        <v>110</v>
      </c>
      <c r="L296" s="290">
        <f t="shared" si="132"/>
        <v>126.58333333333333</v>
      </c>
      <c r="M296" s="290">
        <f t="shared" si="132"/>
        <v>132.5</v>
      </c>
      <c r="N296" s="290">
        <f t="shared" si="132"/>
        <v>133.83333333333334</v>
      </c>
      <c r="O296" s="290">
        <f t="shared" si="132"/>
        <v>140.41666666666666</v>
      </c>
      <c r="P296" s="290">
        <f t="shared" si="132"/>
        <v>140.41666666666666</v>
      </c>
      <c r="Q296" s="290">
        <f t="shared" si="132"/>
        <v>142.91666666666666</v>
      </c>
      <c r="R296" s="290">
        <f t="shared" si="133"/>
        <v>154.16666666666666</v>
      </c>
      <c r="S296" s="290">
        <f t="shared" si="133"/>
        <v>159.16666666666666</v>
      </c>
      <c r="T296" s="290">
        <f t="shared" si="133"/>
        <v>159.16666666666666</v>
      </c>
      <c r="U296" s="290">
        <f t="shared" si="133"/>
        <v>156.66666666666666</v>
      </c>
      <c r="V296" s="290">
        <f t="shared" si="133"/>
        <v>157.5</v>
      </c>
      <c r="W296" s="290">
        <f t="shared" si="133"/>
        <v>162.5</v>
      </c>
      <c r="X296" s="290">
        <f t="shared" si="133"/>
        <v>160.83333333333334</v>
      </c>
      <c r="Y296" s="290">
        <f t="shared" si="133"/>
        <v>171.91666666666666</v>
      </c>
      <c r="Z296" s="290">
        <f t="shared" si="133"/>
        <v>168.58333333333334</v>
      </c>
      <c r="AA296" s="290">
        <f t="shared" si="133"/>
        <v>179.16666666666666</v>
      </c>
      <c r="AB296" s="290">
        <f t="shared" si="133"/>
        <v>173.75</v>
      </c>
      <c r="AC296" s="290">
        <f t="shared" si="133"/>
        <v>181.66666666666666</v>
      </c>
      <c r="AD296" s="290">
        <f t="shared" si="133"/>
        <v>166.66666666666666</v>
      </c>
      <c r="AE296" s="290">
        <f t="shared" si="133"/>
        <v>218.75</v>
      </c>
      <c r="AF296" s="146"/>
      <c r="AG296" s="146"/>
    </row>
    <row r="297" spans="1:33">
      <c r="A297" s="240" t="s">
        <v>237</v>
      </c>
      <c r="B297" s="290">
        <f t="shared" si="132"/>
        <v>69.166666666666671</v>
      </c>
      <c r="C297" s="290">
        <f t="shared" si="132"/>
        <v>69.25</v>
      </c>
      <c r="D297" s="290">
        <f t="shared" si="132"/>
        <v>75.75</v>
      </c>
      <c r="E297" s="290">
        <f t="shared" si="132"/>
        <v>79.583333333333329</v>
      </c>
      <c r="F297" s="290">
        <f t="shared" si="132"/>
        <v>80</v>
      </c>
      <c r="G297" s="290">
        <f t="shared" si="132"/>
        <v>83.75</v>
      </c>
      <c r="H297" s="290">
        <f t="shared" si="132"/>
        <v>98.75</v>
      </c>
      <c r="I297" s="290">
        <f t="shared" si="132"/>
        <v>104.16666666666667</v>
      </c>
      <c r="J297" s="290">
        <f t="shared" si="132"/>
        <v>91.25</v>
      </c>
      <c r="K297" s="290">
        <f t="shared" si="132"/>
        <v>110</v>
      </c>
      <c r="L297" s="290">
        <f t="shared" si="132"/>
        <v>126.58333333333333</v>
      </c>
      <c r="M297" s="290">
        <f t="shared" si="132"/>
        <v>132.5</v>
      </c>
      <c r="N297" s="290">
        <f t="shared" si="132"/>
        <v>133.83333333333334</v>
      </c>
      <c r="O297" s="290">
        <f t="shared" si="132"/>
        <v>140.41666666666666</v>
      </c>
      <c r="P297" s="290">
        <f t="shared" si="132"/>
        <v>140.41666666666666</v>
      </c>
      <c r="Q297" s="290">
        <f t="shared" si="132"/>
        <v>142.91666666666666</v>
      </c>
      <c r="R297" s="290">
        <f t="shared" si="133"/>
        <v>154.16666666666666</v>
      </c>
      <c r="S297" s="290">
        <f t="shared" si="133"/>
        <v>159.16666666666666</v>
      </c>
      <c r="T297" s="290">
        <f t="shared" si="133"/>
        <v>159.16666666666666</v>
      </c>
      <c r="U297" s="290">
        <f t="shared" si="133"/>
        <v>156.66666666666666</v>
      </c>
      <c r="V297" s="290">
        <f t="shared" si="133"/>
        <v>157.5</v>
      </c>
      <c r="W297" s="290">
        <f t="shared" si="133"/>
        <v>162.5</v>
      </c>
      <c r="X297" s="290">
        <f t="shared" si="133"/>
        <v>160.83333333333334</v>
      </c>
      <c r="Y297" s="290">
        <f t="shared" si="133"/>
        <v>171.91666666666666</v>
      </c>
      <c r="Z297" s="290">
        <f t="shared" si="133"/>
        <v>168.58333333333334</v>
      </c>
      <c r="AA297" s="290">
        <f t="shared" si="133"/>
        <v>179.16666666666666</v>
      </c>
      <c r="AB297" s="290">
        <f t="shared" si="133"/>
        <v>173.75</v>
      </c>
      <c r="AC297" s="290">
        <f t="shared" si="133"/>
        <v>181.66666666666666</v>
      </c>
      <c r="AD297" s="290">
        <f t="shared" si="133"/>
        <v>166.66666666666666</v>
      </c>
      <c r="AE297" s="290">
        <f t="shared" si="133"/>
        <v>218.75</v>
      </c>
      <c r="AF297" s="146"/>
      <c r="AG297" s="146"/>
    </row>
    <row r="298" spans="1:33">
      <c r="A298" s="240" t="s">
        <v>238</v>
      </c>
      <c r="B298" s="290">
        <f t="shared" si="132"/>
        <v>69.166666666666671</v>
      </c>
      <c r="C298" s="290">
        <f t="shared" si="132"/>
        <v>69.25</v>
      </c>
      <c r="D298" s="290">
        <f t="shared" si="132"/>
        <v>75.75</v>
      </c>
      <c r="E298" s="290">
        <f t="shared" si="132"/>
        <v>79.583333333333329</v>
      </c>
      <c r="F298" s="290">
        <f t="shared" si="132"/>
        <v>80</v>
      </c>
      <c r="G298" s="290">
        <f t="shared" si="132"/>
        <v>83.75</v>
      </c>
      <c r="H298" s="290">
        <f t="shared" si="132"/>
        <v>98.75</v>
      </c>
      <c r="I298" s="290">
        <f t="shared" si="132"/>
        <v>104.16666666666667</v>
      </c>
      <c r="J298" s="290">
        <f t="shared" si="132"/>
        <v>91.25</v>
      </c>
      <c r="K298" s="290">
        <f t="shared" si="132"/>
        <v>110</v>
      </c>
      <c r="L298" s="290">
        <f t="shared" si="132"/>
        <v>126.58333333333333</v>
      </c>
      <c r="M298" s="290">
        <f t="shared" si="132"/>
        <v>132.5</v>
      </c>
      <c r="N298" s="290">
        <f t="shared" si="132"/>
        <v>133.83333333333334</v>
      </c>
      <c r="O298" s="290">
        <f t="shared" si="132"/>
        <v>140.41666666666666</v>
      </c>
      <c r="P298" s="290">
        <f t="shared" si="132"/>
        <v>140.41666666666666</v>
      </c>
      <c r="Q298" s="290">
        <f t="shared" si="132"/>
        <v>142.91666666666666</v>
      </c>
      <c r="R298" s="290">
        <f t="shared" si="133"/>
        <v>154.16666666666666</v>
      </c>
      <c r="S298" s="290">
        <f t="shared" si="133"/>
        <v>159.16666666666666</v>
      </c>
      <c r="T298" s="290">
        <f t="shared" si="133"/>
        <v>159.16666666666666</v>
      </c>
      <c r="U298" s="290">
        <f t="shared" si="133"/>
        <v>156.66666666666666</v>
      </c>
      <c r="V298" s="290">
        <f t="shared" si="133"/>
        <v>157.5</v>
      </c>
      <c r="W298" s="290">
        <f t="shared" si="133"/>
        <v>162.5</v>
      </c>
      <c r="X298" s="290">
        <f t="shared" si="133"/>
        <v>160.83333333333334</v>
      </c>
      <c r="Y298" s="290">
        <f t="shared" si="133"/>
        <v>171.91666666666666</v>
      </c>
      <c r="Z298" s="290">
        <f t="shared" si="133"/>
        <v>168.58333333333334</v>
      </c>
      <c r="AA298" s="290">
        <f t="shared" si="133"/>
        <v>179.16666666666666</v>
      </c>
      <c r="AB298" s="290">
        <f t="shared" si="133"/>
        <v>173.75</v>
      </c>
      <c r="AC298" s="290">
        <f t="shared" si="133"/>
        <v>181.66666666666666</v>
      </c>
      <c r="AD298" s="290">
        <f t="shared" si="133"/>
        <v>166.66666666666666</v>
      </c>
      <c r="AE298" s="290">
        <f t="shared" si="133"/>
        <v>218.75</v>
      </c>
      <c r="AF298" s="146"/>
      <c r="AG298" s="146"/>
    </row>
    <row r="299" spans="1:33" ht="15.75" thickBot="1">
      <c r="A299" s="240" t="s">
        <v>242</v>
      </c>
      <c r="B299" s="146">
        <f>B36</f>
        <v>830</v>
      </c>
      <c r="C299" s="146">
        <f t="shared" ref="C299:AE299" si="134">C36</f>
        <v>831</v>
      </c>
      <c r="D299" s="146">
        <f t="shared" si="134"/>
        <v>909</v>
      </c>
      <c r="E299" s="146">
        <f t="shared" si="134"/>
        <v>955</v>
      </c>
      <c r="F299" s="146">
        <f t="shared" si="134"/>
        <v>960</v>
      </c>
      <c r="G299" s="146">
        <f t="shared" si="134"/>
        <v>1005</v>
      </c>
      <c r="H299" s="146">
        <f t="shared" si="134"/>
        <v>1185</v>
      </c>
      <c r="I299" s="146">
        <f t="shared" si="134"/>
        <v>1250</v>
      </c>
      <c r="J299" s="146">
        <f t="shared" si="134"/>
        <v>1095</v>
      </c>
      <c r="K299" s="146">
        <f t="shared" si="134"/>
        <v>1320</v>
      </c>
      <c r="L299" s="146">
        <f t="shared" si="134"/>
        <v>1519</v>
      </c>
      <c r="M299" s="146">
        <f t="shared" si="134"/>
        <v>1590</v>
      </c>
      <c r="N299" s="146">
        <f t="shared" si="134"/>
        <v>1606</v>
      </c>
      <c r="O299" s="146">
        <f t="shared" si="134"/>
        <v>1685</v>
      </c>
      <c r="P299" s="146">
        <f t="shared" si="134"/>
        <v>1685</v>
      </c>
      <c r="Q299" s="146">
        <f t="shared" si="134"/>
        <v>1715</v>
      </c>
      <c r="R299" s="146">
        <f t="shared" si="134"/>
        <v>1850</v>
      </c>
      <c r="S299" s="146">
        <f t="shared" si="134"/>
        <v>1910</v>
      </c>
      <c r="T299" s="146">
        <f t="shared" si="134"/>
        <v>1910</v>
      </c>
      <c r="U299" s="146">
        <f t="shared" si="134"/>
        <v>1880</v>
      </c>
      <c r="V299" s="146">
        <f t="shared" si="134"/>
        <v>1890</v>
      </c>
      <c r="W299" s="146">
        <f t="shared" si="134"/>
        <v>1950</v>
      </c>
      <c r="X299" s="146">
        <f t="shared" si="134"/>
        <v>1930</v>
      </c>
      <c r="Y299" s="146">
        <f t="shared" si="134"/>
        <v>2063</v>
      </c>
      <c r="Z299" s="146">
        <f t="shared" si="134"/>
        <v>2023</v>
      </c>
      <c r="AA299" s="146">
        <f t="shared" si="134"/>
        <v>2150</v>
      </c>
      <c r="AB299" s="146">
        <f t="shared" si="134"/>
        <v>2085</v>
      </c>
      <c r="AC299" s="146">
        <f t="shared" si="134"/>
        <v>2180</v>
      </c>
      <c r="AD299" s="146">
        <f t="shared" si="134"/>
        <v>2000</v>
      </c>
      <c r="AE299" s="146">
        <f t="shared" si="134"/>
        <v>2625</v>
      </c>
      <c r="AF299" s="146"/>
      <c r="AG299" s="146"/>
    </row>
    <row r="300" spans="1:33">
      <c r="A300" s="248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  <c r="AD300" s="254"/>
      <c r="AE300" s="254"/>
    </row>
    <row r="301" spans="1:33" ht="15.75" thickBot="1">
      <c r="A301" s="235" t="s">
        <v>269</v>
      </c>
    </row>
    <row r="302" spans="1:33" ht="15.75" thickBot="1">
      <c r="A302" s="236"/>
      <c r="B302" s="237" t="str">
        <f>B$2</f>
        <v xml:space="preserve">93/94 </v>
      </c>
      <c r="C302" s="237" t="str">
        <f t="shared" ref="C302:AE302" si="135">C$2</f>
        <v xml:space="preserve">94/95 </v>
      </c>
      <c r="D302" s="237" t="str">
        <f t="shared" si="135"/>
        <v xml:space="preserve">95/96 </v>
      </c>
      <c r="E302" s="237" t="str">
        <f t="shared" si="135"/>
        <v xml:space="preserve">96/97 </v>
      </c>
      <c r="F302" s="237" t="str">
        <f t="shared" si="135"/>
        <v xml:space="preserve">97/98 </v>
      </c>
      <c r="G302" s="237" t="str">
        <f t="shared" si="135"/>
        <v xml:space="preserve">98/99 </v>
      </c>
      <c r="H302" s="237" t="str">
        <f t="shared" si="135"/>
        <v xml:space="preserve">99/00 </v>
      </c>
      <c r="I302" s="237" t="str">
        <f t="shared" si="135"/>
        <v xml:space="preserve">00/01 </v>
      </c>
      <c r="J302" s="237" t="str">
        <f t="shared" si="135"/>
        <v xml:space="preserve">01/02 </v>
      </c>
      <c r="K302" s="237" t="str">
        <f t="shared" si="135"/>
        <v xml:space="preserve">02/03 </v>
      </c>
      <c r="L302" s="237" t="str">
        <f t="shared" si="135"/>
        <v xml:space="preserve">03/04 </v>
      </c>
      <c r="M302" s="237" t="str">
        <f t="shared" si="135"/>
        <v xml:space="preserve">04/05 </v>
      </c>
      <c r="N302" s="237" t="str">
        <f t="shared" si="135"/>
        <v xml:space="preserve">05/06 </v>
      </c>
      <c r="O302" s="237" t="str">
        <f t="shared" si="135"/>
        <v xml:space="preserve">06/07 </v>
      </c>
      <c r="P302" s="237" t="str">
        <f t="shared" si="135"/>
        <v xml:space="preserve">07/08 </v>
      </c>
      <c r="Q302" s="237" t="str">
        <f t="shared" si="135"/>
        <v xml:space="preserve">08/09 </v>
      </c>
      <c r="R302" s="237" t="str">
        <f t="shared" si="135"/>
        <v xml:space="preserve">09/10 </v>
      </c>
      <c r="S302" s="237" t="str">
        <f t="shared" si="135"/>
        <v xml:space="preserve">10/11 </v>
      </c>
      <c r="T302" s="237" t="str">
        <f t="shared" si="135"/>
        <v xml:space="preserve">11/12 </v>
      </c>
      <c r="U302" s="237" t="str">
        <f t="shared" si="135"/>
        <v xml:space="preserve">12/13 </v>
      </c>
      <c r="V302" s="237" t="str">
        <f t="shared" si="135"/>
        <v xml:space="preserve">13/14 </v>
      </c>
      <c r="W302" s="237" t="str">
        <f t="shared" si="135"/>
        <v xml:space="preserve">14/15 </v>
      </c>
      <c r="X302" s="237" t="str">
        <f t="shared" si="135"/>
        <v xml:space="preserve">15/16 </v>
      </c>
      <c r="Y302" s="237" t="str">
        <f t="shared" si="135"/>
        <v xml:space="preserve">16/17 </v>
      </c>
      <c r="Z302" s="237" t="str">
        <f t="shared" si="135"/>
        <v xml:space="preserve">17/18 </v>
      </c>
      <c r="AA302" s="237" t="str">
        <f t="shared" si="135"/>
        <v xml:space="preserve">18/19 </v>
      </c>
      <c r="AB302" s="237" t="str">
        <f t="shared" si="135"/>
        <v xml:space="preserve">19/20 </v>
      </c>
      <c r="AC302" s="237" t="str">
        <f t="shared" si="135"/>
        <v xml:space="preserve">20/21 </v>
      </c>
      <c r="AD302" s="237" t="str">
        <f t="shared" si="135"/>
        <v xml:space="preserve">21/22 </v>
      </c>
      <c r="AE302" s="237" t="str">
        <f t="shared" si="135"/>
        <v xml:space="preserve">22/23 </v>
      </c>
      <c r="AF302" s="269"/>
      <c r="AG302" s="269"/>
    </row>
    <row r="303" spans="1:33">
      <c r="A303" s="240" t="s">
        <v>239</v>
      </c>
      <c r="B303" s="290">
        <f>(B$314-B$32)/13+B32</f>
        <v>29.692307692307693</v>
      </c>
      <c r="C303" s="290">
        <f>(C$314-B$314)/13+B314</f>
        <v>26.307692307692307</v>
      </c>
      <c r="D303" s="290">
        <f t="shared" ref="D303:AC303" si="136">(D$314-C$314)/13+C314</f>
        <v>45.846153846153847</v>
      </c>
      <c r="E303" s="290">
        <f t="shared" si="136"/>
        <v>228.30769230769232</v>
      </c>
      <c r="F303" s="290">
        <f t="shared" si="136"/>
        <v>131.69230769230768</v>
      </c>
      <c r="G303" s="290">
        <f t="shared" si="136"/>
        <v>76.15384615384616</v>
      </c>
      <c r="H303" s="290">
        <f t="shared" si="136"/>
        <v>33.846153846153847</v>
      </c>
      <c r="I303" s="290">
        <f t="shared" si="136"/>
        <v>76.230769230769226</v>
      </c>
      <c r="J303" s="290">
        <f t="shared" si="136"/>
        <v>30.384615384615383</v>
      </c>
      <c r="K303" s="290">
        <f t="shared" si="136"/>
        <v>23.615384615384617</v>
      </c>
      <c r="L303" s="290">
        <f t="shared" si="136"/>
        <v>31.846153846153847</v>
      </c>
      <c r="M303" s="290">
        <f t="shared" si="136"/>
        <v>42.846153846153847</v>
      </c>
      <c r="N303" s="290">
        <f t="shared" si="136"/>
        <v>55.769230769230766</v>
      </c>
      <c r="O303" s="290">
        <f t="shared" si="136"/>
        <v>91.461538461538467</v>
      </c>
      <c r="P303" s="290">
        <f t="shared" si="136"/>
        <v>130.15384615384616</v>
      </c>
      <c r="Q303" s="290">
        <f t="shared" si="136"/>
        <v>233.46153846153845</v>
      </c>
      <c r="R303" s="290">
        <f t="shared" si="136"/>
        <v>159.23076923076923</v>
      </c>
      <c r="S303" s="290">
        <f t="shared" si="136"/>
        <v>206.84615384615384</v>
      </c>
      <c r="T303" s="290">
        <f t="shared" si="136"/>
        <v>167.53846153846155</v>
      </c>
      <c r="U303" s="290">
        <f t="shared" si="136"/>
        <v>151.61538461538461</v>
      </c>
      <c r="V303" s="290">
        <f t="shared" si="136"/>
        <v>164.46153846153845</v>
      </c>
      <c r="W303" s="290">
        <f t="shared" si="136"/>
        <v>83.15384615384616</v>
      </c>
      <c r="X303" s="290">
        <f t="shared" si="136"/>
        <v>53.846153846153847</v>
      </c>
      <c r="Y303" s="290">
        <f t="shared" si="136"/>
        <v>120.30769230769231</v>
      </c>
      <c r="Z303" s="290">
        <f t="shared" si="136"/>
        <v>211.46153846153845</v>
      </c>
      <c r="AA303" s="290">
        <f t="shared" si="136"/>
        <v>120.07692307692308</v>
      </c>
      <c r="AB303" s="290">
        <f t="shared" si="136"/>
        <v>262.92307692307691</v>
      </c>
      <c r="AC303" s="290">
        <f t="shared" si="136"/>
        <v>394.92307692307691</v>
      </c>
      <c r="AD303" s="252">
        <f>(AD$314-AD$314)/13+AC314</f>
        <v>550</v>
      </c>
      <c r="AE303" s="252">
        <f>(AE$314-AE$314)/13+AD314</f>
        <v>793.30000000000018</v>
      </c>
    </row>
    <row r="304" spans="1:33">
      <c r="A304" s="240" t="s">
        <v>240</v>
      </c>
      <c r="B304" s="290">
        <f t="shared" ref="B304:B313" si="137">(B$314-B$32)/13+B303</f>
        <v>29.384615384615387</v>
      </c>
      <c r="C304" s="290">
        <f>(C$314-B$314)/13+C303</f>
        <v>26.615384615384613</v>
      </c>
      <c r="D304" s="290">
        <f t="shared" ref="D304:AC313" si="138">(D$314-C$314)/13+D303</f>
        <v>61.692307692307693</v>
      </c>
      <c r="E304" s="290">
        <f t="shared" si="138"/>
        <v>220.61538461538464</v>
      </c>
      <c r="F304" s="290">
        <f t="shared" si="138"/>
        <v>127.38461538461537</v>
      </c>
      <c r="G304" s="290">
        <f t="shared" si="138"/>
        <v>72.307692307692321</v>
      </c>
      <c r="H304" s="290">
        <f t="shared" si="138"/>
        <v>37.692307692307693</v>
      </c>
      <c r="I304" s="290">
        <f t="shared" si="138"/>
        <v>72.461538461538453</v>
      </c>
      <c r="J304" s="290">
        <f t="shared" si="138"/>
        <v>29.769230769230766</v>
      </c>
      <c r="K304" s="290">
        <f t="shared" si="138"/>
        <v>24.230769230769234</v>
      </c>
      <c r="L304" s="290">
        <f t="shared" si="138"/>
        <v>32.692307692307693</v>
      </c>
      <c r="M304" s="290">
        <f t="shared" si="138"/>
        <v>43.692307692307693</v>
      </c>
      <c r="N304" s="290">
        <f t="shared" si="138"/>
        <v>58.538461538461533</v>
      </c>
      <c r="O304" s="290">
        <f t="shared" si="138"/>
        <v>93.923076923076934</v>
      </c>
      <c r="P304" s="290">
        <f t="shared" si="138"/>
        <v>139.30769230769232</v>
      </c>
      <c r="Q304" s="290">
        <f t="shared" si="138"/>
        <v>226.92307692307691</v>
      </c>
      <c r="R304" s="290">
        <f t="shared" si="138"/>
        <v>163.46153846153845</v>
      </c>
      <c r="S304" s="290">
        <f t="shared" si="138"/>
        <v>203.69230769230768</v>
      </c>
      <c r="T304" s="290">
        <f t="shared" si="138"/>
        <v>166.07692307692309</v>
      </c>
      <c r="U304" s="290">
        <f t="shared" si="138"/>
        <v>153.23076923076923</v>
      </c>
      <c r="V304" s="290">
        <f t="shared" si="138"/>
        <v>157.92307692307691</v>
      </c>
      <c r="W304" s="290">
        <f t="shared" si="138"/>
        <v>80.307692307692321</v>
      </c>
      <c r="X304" s="290">
        <f t="shared" si="138"/>
        <v>58.692307692307693</v>
      </c>
      <c r="Y304" s="290">
        <f t="shared" si="138"/>
        <v>128.61538461538461</v>
      </c>
      <c r="Z304" s="290">
        <f t="shared" si="138"/>
        <v>202.92307692307691</v>
      </c>
      <c r="AA304" s="290">
        <f t="shared" si="138"/>
        <v>131.15384615384616</v>
      </c>
      <c r="AB304" s="290">
        <f t="shared" si="138"/>
        <v>272.84615384615381</v>
      </c>
      <c r="AC304" s="290">
        <f t="shared" si="138"/>
        <v>407.84615384615381</v>
      </c>
      <c r="AD304" s="252">
        <f t="shared" ref="AD304:AE313" si="139">(AD$314-AD$32)/13+AD303</f>
        <v>568.71538461538466</v>
      </c>
      <c r="AE304" s="252">
        <f t="shared" si="139"/>
        <v>763.91538461538482</v>
      </c>
    </row>
    <row r="305" spans="1:44">
      <c r="A305" s="240" t="s">
        <v>241</v>
      </c>
      <c r="B305" s="290">
        <f t="shared" si="137"/>
        <v>29.07692307692308</v>
      </c>
      <c r="C305" s="290">
        <f t="shared" ref="C305:C313" si="140">(C$314-B$314)/13+C304</f>
        <v>26.92307692307692</v>
      </c>
      <c r="D305" s="290">
        <f t="shared" si="138"/>
        <v>77.538461538461547</v>
      </c>
      <c r="E305" s="290">
        <f t="shared" si="138"/>
        <v>212.92307692307696</v>
      </c>
      <c r="F305" s="290">
        <f t="shared" si="138"/>
        <v>123.07692307692307</v>
      </c>
      <c r="G305" s="290">
        <f t="shared" si="138"/>
        <v>68.461538461538481</v>
      </c>
      <c r="H305" s="290">
        <f t="shared" si="138"/>
        <v>41.53846153846154</v>
      </c>
      <c r="I305" s="290">
        <f t="shared" si="138"/>
        <v>68.692307692307679</v>
      </c>
      <c r="J305" s="290">
        <f t="shared" si="138"/>
        <v>29.15384615384615</v>
      </c>
      <c r="K305" s="290">
        <f t="shared" si="138"/>
        <v>24.84615384615385</v>
      </c>
      <c r="L305" s="290">
        <f t="shared" si="138"/>
        <v>33.53846153846154</v>
      </c>
      <c r="M305" s="290">
        <f t="shared" si="138"/>
        <v>44.53846153846154</v>
      </c>
      <c r="N305" s="290">
        <f t="shared" si="138"/>
        <v>61.307692307692299</v>
      </c>
      <c r="O305" s="290">
        <f t="shared" si="138"/>
        <v>96.384615384615401</v>
      </c>
      <c r="P305" s="290">
        <f t="shared" si="138"/>
        <v>148.46153846153848</v>
      </c>
      <c r="Q305" s="290">
        <f t="shared" si="138"/>
        <v>220.38461538461536</v>
      </c>
      <c r="R305" s="290">
        <f t="shared" si="138"/>
        <v>167.69230769230768</v>
      </c>
      <c r="S305" s="290">
        <f t="shared" si="138"/>
        <v>200.53846153846152</v>
      </c>
      <c r="T305" s="290">
        <f t="shared" si="138"/>
        <v>164.61538461538464</v>
      </c>
      <c r="U305" s="290">
        <f t="shared" si="138"/>
        <v>154.84615384615384</v>
      </c>
      <c r="V305" s="290">
        <f t="shared" si="138"/>
        <v>151.38461538461536</v>
      </c>
      <c r="W305" s="290">
        <f t="shared" si="138"/>
        <v>77.461538461538481</v>
      </c>
      <c r="X305" s="290">
        <f t="shared" si="138"/>
        <v>63.53846153846154</v>
      </c>
      <c r="Y305" s="290">
        <f t="shared" si="138"/>
        <v>136.92307692307693</v>
      </c>
      <c r="Z305" s="290">
        <f t="shared" si="138"/>
        <v>194.38461538461536</v>
      </c>
      <c r="AA305" s="290">
        <f t="shared" si="138"/>
        <v>142.23076923076923</v>
      </c>
      <c r="AB305" s="290">
        <f t="shared" si="138"/>
        <v>282.76923076923072</v>
      </c>
      <c r="AC305" s="290">
        <f t="shared" si="138"/>
        <v>420.76923076923072</v>
      </c>
      <c r="AD305" s="252">
        <f t="shared" si="139"/>
        <v>587.43076923076933</v>
      </c>
      <c r="AE305" s="252">
        <f t="shared" si="139"/>
        <v>734.53076923076947</v>
      </c>
      <c r="AR305" s="163"/>
    </row>
    <row r="306" spans="1:44">
      <c r="A306" s="240" t="s">
        <v>231</v>
      </c>
      <c r="B306" s="290">
        <f t="shared" si="137"/>
        <v>28.769230769230774</v>
      </c>
      <c r="C306" s="290">
        <f t="shared" si="140"/>
        <v>27.230769230769226</v>
      </c>
      <c r="D306" s="290">
        <f t="shared" si="138"/>
        <v>93.384615384615387</v>
      </c>
      <c r="E306" s="290">
        <f t="shared" si="138"/>
        <v>205.23076923076928</v>
      </c>
      <c r="F306" s="290">
        <f t="shared" si="138"/>
        <v>118.76923076923076</v>
      </c>
      <c r="G306" s="290">
        <f t="shared" si="138"/>
        <v>64.615384615384642</v>
      </c>
      <c r="H306" s="290">
        <f t="shared" si="138"/>
        <v>45.384615384615387</v>
      </c>
      <c r="I306" s="290">
        <f t="shared" si="138"/>
        <v>64.923076923076906</v>
      </c>
      <c r="J306" s="290">
        <f t="shared" si="138"/>
        <v>28.538461538461533</v>
      </c>
      <c r="K306" s="290">
        <f t="shared" si="138"/>
        <v>25.461538461538467</v>
      </c>
      <c r="L306" s="290">
        <f t="shared" si="138"/>
        <v>34.384615384615387</v>
      </c>
      <c r="M306" s="290">
        <f t="shared" si="138"/>
        <v>45.384615384615387</v>
      </c>
      <c r="N306" s="290">
        <f t="shared" si="138"/>
        <v>64.076923076923066</v>
      </c>
      <c r="O306" s="290">
        <f t="shared" si="138"/>
        <v>98.846153846153868</v>
      </c>
      <c r="P306" s="290">
        <f t="shared" si="138"/>
        <v>157.61538461538464</v>
      </c>
      <c r="Q306" s="290">
        <f t="shared" si="138"/>
        <v>213.84615384615381</v>
      </c>
      <c r="R306" s="290">
        <f t="shared" si="138"/>
        <v>171.92307692307691</v>
      </c>
      <c r="S306" s="290">
        <f t="shared" si="138"/>
        <v>197.38461538461536</v>
      </c>
      <c r="T306" s="290">
        <f t="shared" si="138"/>
        <v>163.15384615384619</v>
      </c>
      <c r="U306" s="290">
        <f t="shared" si="138"/>
        <v>156.46153846153845</v>
      </c>
      <c r="V306" s="290">
        <f t="shared" si="138"/>
        <v>144.84615384615381</v>
      </c>
      <c r="W306" s="290">
        <f t="shared" si="138"/>
        <v>74.615384615384642</v>
      </c>
      <c r="X306" s="290">
        <f t="shared" si="138"/>
        <v>68.384615384615387</v>
      </c>
      <c r="Y306" s="290">
        <f t="shared" si="138"/>
        <v>145.23076923076925</v>
      </c>
      <c r="Z306" s="290">
        <f t="shared" si="138"/>
        <v>185.84615384615381</v>
      </c>
      <c r="AA306" s="290">
        <f t="shared" si="138"/>
        <v>153.30769230769229</v>
      </c>
      <c r="AB306" s="290">
        <f t="shared" si="138"/>
        <v>292.69230769230762</v>
      </c>
      <c r="AC306" s="290">
        <f t="shared" si="138"/>
        <v>433.69230769230762</v>
      </c>
      <c r="AD306" s="252">
        <f t="shared" si="139"/>
        <v>606.14615384615399</v>
      </c>
      <c r="AE306" s="252">
        <f t="shared" si="139"/>
        <v>705.14615384615411</v>
      </c>
    </row>
    <row r="307" spans="1:44">
      <c r="A307" s="240" t="s">
        <v>232</v>
      </c>
      <c r="B307" s="290">
        <f t="shared" si="137"/>
        <v>28.461538461538467</v>
      </c>
      <c r="C307" s="290">
        <f t="shared" si="140"/>
        <v>27.538461538461533</v>
      </c>
      <c r="D307" s="290">
        <f t="shared" si="138"/>
        <v>109.23076923076923</v>
      </c>
      <c r="E307" s="290">
        <f t="shared" si="138"/>
        <v>197.5384615384616</v>
      </c>
      <c r="F307" s="290">
        <f t="shared" si="138"/>
        <v>114.46153846153845</v>
      </c>
      <c r="G307" s="290">
        <f t="shared" si="138"/>
        <v>60.769230769230795</v>
      </c>
      <c r="H307" s="290">
        <f t="shared" si="138"/>
        <v>49.230769230769234</v>
      </c>
      <c r="I307" s="290">
        <f t="shared" si="138"/>
        <v>61.153846153846139</v>
      </c>
      <c r="J307" s="290">
        <f t="shared" si="138"/>
        <v>27.923076923076916</v>
      </c>
      <c r="K307" s="290">
        <f t="shared" si="138"/>
        <v>26.076923076923084</v>
      </c>
      <c r="L307" s="290">
        <f t="shared" si="138"/>
        <v>35.230769230769234</v>
      </c>
      <c r="M307" s="290">
        <f t="shared" si="138"/>
        <v>46.230769230769234</v>
      </c>
      <c r="N307" s="290">
        <f t="shared" si="138"/>
        <v>66.84615384615384</v>
      </c>
      <c r="O307" s="290">
        <f t="shared" si="138"/>
        <v>101.30769230769234</v>
      </c>
      <c r="P307" s="290">
        <f t="shared" si="138"/>
        <v>166.7692307692308</v>
      </c>
      <c r="Q307" s="290">
        <f t="shared" si="138"/>
        <v>207.30769230769226</v>
      </c>
      <c r="R307" s="290">
        <f t="shared" si="138"/>
        <v>176.15384615384613</v>
      </c>
      <c r="S307" s="290">
        <f t="shared" si="138"/>
        <v>194.2307692307692</v>
      </c>
      <c r="T307" s="290">
        <f t="shared" si="138"/>
        <v>161.69230769230774</v>
      </c>
      <c r="U307" s="290">
        <f t="shared" si="138"/>
        <v>158.07692307692307</v>
      </c>
      <c r="V307" s="290">
        <f t="shared" si="138"/>
        <v>138.30769230769226</v>
      </c>
      <c r="W307" s="290">
        <f t="shared" si="138"/>
        <v>71.769230769230802</v>
      </c>
      <c r="X307" s="290">
        <f t="shared" si="138"/>
        <v>73.230769230769226</v>
      </c>
      <c r="Y307" s="290">
        <f t="shared" si="138"/>
        <v>153.53846153846158</v>
      </c>
      <c r="Z307" s="290">
        <f t="shared" si="138"/>
        <v>177.30769230769226</v>
      </c>
      <c r="AA307" s="290">
        <f t="shared" si="138"/>
        <v>164.38461538461536</v>
      </c>
      <c r="AB307" s="290">
        <f t="shared" si="138"/>
        <v>302.61538461538453</v>
      </c>
      <c r="AC307" s="290">
        <f t="shared" si="138"/>
        <v>446.61538461538453</v>
      </c>
      <c r="AD307" s="252">
        <f t="shared" si="139"/>
        <v>624.86153846153866</v>
      </c>
      <c r="AE307" s="252">
        <f t="shared" si="139"/>
        <v>675.76153846153875</v>
      </c>
    </row>
    <row r="308" spans="1:44">
      <c r="A308" s="240" t="s">
        <v>233</v>
      </c>
      <c r="B308" s="290">
        <f t="shared" si="137"/>
        <v>28.15384615384616</v>
      </c>
      <c r="C308" s="290">
        <f t="shared" si="140"/>
        <v>27.84615384615384</v>
      </c>
      <c r="D308" s="290">
        <f t="shared" si="138"/>
        <v>125.07692307692307</v>
      </c>
      <c r="E308" s="290">
        <f t="shared" si="138"/>
        <v>189.84615384615392</v>
      </c>
      <c r="F308" s="290">
        <f t="shared" si="138"/>
        <v>110.15384615384615</v>
      </c>
      <c r="G308" s="290">
        <f t="shared" si="138"/>
        <v>56.923076923076948</v>
      </c>
      <c r="H308" s="290">
        <f t="shared" si="138"/>
        <v>53.07692307692308</v>
      </c>
      <c r="I308" s="290">
        <f t="shared" si="138"/>
        <v>57.384615384615373</v>
      </c>
      <c r="J308" s="290">
        <f t="shared" si="138"/>
        <v>27.307692307692299</v>
      </c>
      <c r="K308" s="290">
        <f t="shared" si="138"/>
        <v>26.692307692307701</v>
      </c>
      <c r="L308" s="290">
        <f t="shared" si="138"/>
        <v>36.07692307692308</v>
      </c>
      <c r="M308" s="290">
        <f t="shared" si="138"/>
        <v>47.07692307692308</v>
      </c>
      <c r="N308" s="290">
        <f t="shared" si="138"/>
        <v>69.615384615384613</v>
      </c>
      <c r="O308" s="290">
        <f t="shared" si="138"/>
        <v>103.7692307692308</v>
      </c>
      <c r="P308" s="290">
        <f t="shared" si="138"/>
        <v>175.92307692307696</v>
      </c>
      <c r="Q308" s="290">
        <f t="shared" si="138"/>
        <v>200.76923076923072</v>
      </c>
      <c r="R308" s="290">
        <f t="shared" si="138"/>
        <v>180.38461538461536</v>
      </c>
      <c r="S308" s="290">
        <f t="shared" si="138"/>
        <v>191.07692307692304</v>
      </c>
      <c r="T308" s="290">
        <f t="shared" si="138"/>
        <v>160.23076923076928</v>
      </c>
      <c r="U308" s="290">
        <f t="shared" si="138"/>
        <v>159.69230769230768</v>
      </c>
      <c r="V308" s="290">
        <f t="shared" si="138"/>
        <v>131.76923076923072</v>
      </c>
      <c r="W308" s="290">
        <f t="shared" si="138"/>
        <v>68.923076923076962</v>
      </c>
      <c r="X308" s="290">
        <f t="shared" si="138"/>
        <v>78.076923076923066</v>
      </c>
      <c r="Y308" s="290">
        <f t="shared" si="138"/>
        <v>161.8461538461539</v>
      </c>
      <c r="Z308" s="290">
        <f t="shared" si="138"/>
        <v>168.76923076923072</v>
      </c>
      <c r="AA308" s="290">
        <f t="shared" si="138"/>
        <v>175.46153846153842</v>
      </c>
      <c r="AB308" s="290">
        <f t="shared" si="138"/>
        <v>312.53846153846143</v>
      </c>
      <c r="AC308" s="290">
        <f t="shared" si="138"/>
        <v>459.53846153846143</v>
      </c>
      <c r="AD308" s="252">
        <f t="shared" si="139"/>
        <v>643.57692307692332</v>
      </c>
      <c r="AE308" s="252">
        <f t="shared" si="139"/>
        <v>646.37692307692339</v>
      </c>
    </row>
    <row r="309" spans="1:44">
      <c r="A309" s="240" t="s">
        <v>234</v>
      </c>
      <c r="B309" s="290">
        <f t="shared" si="137"/>
        <v>27.846153846153854</v>
      </c>
      <c r="C309" s="290">
        <f t="shared" si="140"/>
        <v>28.153846153846146</v>
      </c>
      <c r="D309" s="290">
        <f t="shared" si="138"/>
        <v>140.92307692307691</v>
      </c>
      <c r="E309" s="290">
        <f t="shared" si="138"/>
        <v>182.15384615384625</v>
      </c>
      <c r="F309" s="290">
        <f t="shared" si="138"/>
        <v>105.84615384615384</v>
      </c>
      <c r="G309" s="290">
        <f t="shared" si="138"/>
        <v>53.076923076923102</v>
      </c>
      <c r="H309" s="290">
        <f t="shared" si="138"/>
        <v>56.923076923076927</v>
      </c>
      <c r="I309" s="290">
        <f t="shared" si="138"/>
        <v>53.615384615384606</v>
      </c>
      <c r="J309" s="290">
        <f t="shared" si="138"/>
        <v>26.692307692307683</v>
      </c>
      <c r="K309" s="290">
        <f t="shared" si="138"/>
        <v>27.307692307692317</v>
      </c>
      <c r="L309" s="290">
        <f t="shared" si="138"/>
        <v>36.923076923076927</v>
      </c>
      <c r="M309" s="290">
        <f t="shared" si="138"/>
        <v>47.923076923076927</v>
      </c>
      <c r="N309" s="290">
        <f t="shared" si="138"/>
        <v>72.384615384615387</v>
      </c>
      <c r="O309" s="290">
        <f t="shared" si="138"/>
        <v>106.23076923076927</v>
      </c>
      <c r="P309" s="290">
        <f t="shared" si="138"/>
        <v>185.07692307692312</v>
      </c>
      <c r="Q309" s="290">
        <f t="shared" si="138"/>
        <v>194.23076923076917</v>
      </c>
      <c r="R309" s="290">
        <f t="shared" si="138"/>
        <v>184.61538461538458</v>
      </c>
      <c r="S309" s="290">
        <f t="shared" si="138"/>
        <v>187.92307692307688</v>
      </c>
      <c r="T309" s="290">
        <f t="shared" si="138"/>
        <v>158.76923076923083</v>
      </c>
      <c r="U309" s="290">
        <f t="shared" si="138"/>
        <v>161.30769230769229</v>
      </c>
      <c r="V309" s="290">
        <f t="shared" si="138"/>
        <v>125.23076923076918</v>
      </c>
      <c r="W309" s="290">
        <f t="shared" si="138"/>
        <v>66.076923076923123</v>
      </c>
      <c r="X309" s="290">
        <f t="shared" si="138"/>
        <v>82.923076923076906</v>
      </c>
      <c r="Y309" s="290">
        <f t="shared" si="138"/>
        <v>170.15384615384622</v>
      </c>
      <c r="Z309" s="290">
        <f t="shared" si="138"/>
        <v>160.23076923076917</v>
      </c>
      <c r="AA309" s="290">
        <f t="shared" si="138"/>
        <v>186.53846153846149</v>
      </c>
      <c r="AB309" s="290">
        <f t="shared" si="138"/>
        <v>322.46153846153834</v>
      </c>
      <c r="AC309" s="252">
        <f t="shared" ref="AC309:AC313" si="141">(AC$314-AC$32)/13+AC308</f>
        <v>472.46153846153834</v>
      </c>
      <c r="AD309" s="252">
        <f t="shared" si="139"/>
        <v>662.29230769230799</v>
      </c>
      <c r="AE309" s="252">
        <f t="shared" si="139"/>
        <v>616.99230769230803</v>
      </c>
    </row>
    <row r="310" spans="1:44">
      <c r="A310" s="240" t="s">
        <v>46</v>
      </c>
      <c r="B310" s="290">
        <f t="shared" si="137"/>
        <v>27.538461538461547</v>
      </c>
      <c r="C310" s="290">
        <f t="shared" si="140"/>
        <v>28.461538461538453</v>
      </c>
      <c r="D310" s="290">
        <f t="shared" si="138"/>
        <v>156.76923076923075</v>
      </c>
      <c r="E310" s="290">
        <f t="shared" si="138"/>
        <v>174.46153846153857</v>
      </c>
      <c r="F310" s="290">
        <f t="shared" si="138"/>
        <v>101.53846153846153</v>
      </c>
      <c r="G310" s="290">
        <f t="shared" si="138"/>
        <v>49.230769230769255</v>
      </c>
      <c r="H310" s="290">
        <f t="shared" si="138"/>
        <v>60.769230769230774</v>
      </c>
      <c r="I310" s="290">
        <f t="shared" si="138"/>
        <v>49.84615384615384</v>
      </c>
      <c r="J310" s="290">
        <f t="shared" si="138"/>
        <v>26.076923076923066</v>
      </c>
      <c r="K310" s="290">
        <f t="shared" si="138"/>
        <v>27.923076923076934</v>
      </c>
      <c r="L310" s="290">
        <f t="shared" si="138"/>
        <v>37.769230769230774</v>
      </c>
      <c r="M310" s="290">
        <f t="shared" si="138"/>
        <v>48.769230769230774</v>
      </c>
      <c r="N310" s="290">
        <f t="shared" si="138"/>
        <v>75.15384615384616</v>
      </c>
      <c r="O310" s="290">
        <f t="shared" si="138"/>
        <v>108.69230769230774</v>
      </c>
      <c r="P310" s="290">
        <f t="shared" si="138"/>
        <v>194.23076923076928</v>
      </c>
      <c r="Q310" s="290">
        <f t="shared" si="138"/>
        <v>187.69230769230762</v>
      </c>
      <c r="R310" s="290">
        <f t="shared" si="138"/>
        <v>188.84615384615381</v>
      </c>
      <c r="S310" s="290">
        <f t="shared" si="138"/>
        <v>184.76923076923072</v>
      </c>
      <c r="T310" s="290">
        <f t="shared" si="138"/>
        <v>157.30769230769238</v>
      </c>
      <c r="U310" s="290">
        <f t="shared" si="138"/>
        <v>162.92307692307691</v>
      </c>
      <c r="V310" s="290">
        <f t="shared" si="138"/>
        <v>118.69230769230765</v>
      </c>
      <c r="W310" s="290">
        <f t="shared" si="138"/>
        <v>63.230769230769276</v>
      </c>
      <c r="X310" s="290">
        <f t="shared" si="138"/>
        <v>87.769230769230745</v>
      </c>
      <c r="Y310" s="290">
        <f t="shared" si="138"/>
        <v>178.46153846153854</v>
      </c>
      <c r="Z310" s="290">
        <f t="shared" si="138"/>
        <v>151.69230769230762</v>
      </c>
      <c r="AA310" s="290">
        <f t="shared" si="138"/>
        <v>197.61538461538456</v>
      </c>
      <c r="AB310" s="290">
        <f t="shared" si="138"/>
        <v>332.38461538461524</v>
      </c>
      <c r="AC310" s="252">
        <f t="shared" si="141"/>
        <v>485.38461538461524</v>
      </c>
      <c r="AD310" s="252">
        <f t="shared" si="139"/>
        <v>681.00769230769265</v>
      </c>
      <c r="AE310" s="252">
        <f t="shared" si="139"/>
        <v>587.60769230769267</v>
      </c>
    </row>
    <row r="311" spans="1:44">
      <c r="A311" s="240" t="s">
        <v>235</v>
      </c>
      <c r="B311" s="290">
        <f t="shared" si="137"/>
        <v>27.230769230769241</v>
      </c>
      <c r="C311" s="290">
        <f t="shared" si="140"/>
        <v>28.769230769230759</v>
      </c>
      <c r="D311" s="290">
        <f t="shared" si="138"/>
        <v>172.61538461538458</v>
      </c>
      <c r="E311" s="290">
        <f t="shared" si="138"/>
        <v>166.76923076923089</v>
      </c>
      <c r="F311" s="290">
        <f t="shared" si="138"/>
        <v>97.230769230769226</v>
      </c>
      <c r="G311" s="290">
        <f t="shared" si="138"/>
        <v>45.384615384615408</v>
      </c>
      <c r="H311" s="290">
        <f t="shared" si="138"/>
        <v>64.615384615384613</v>
      </c>
      <c r="I311" s="290">
        <f t="shared" si="138"/>
        <v>46.076923076923073</v>
      </c>
      <c r="J311" s="290">
        <f t="shared" si="138"/>
        <v>25.461538461538449</v>
      </c>
      <c r="K311" s="290">
        <f t="shared" si="138"/>
        <v>28.538461538461551</v>
      </c>
      <c r="L311" s="290">
        <f t="shared" si="138"/>
        <v>38.61538461538462</v>
      </c>
      <c r="M311" s="290">
        <f t="shared" si="138"/>
        <v>49.61538461538462</v>
      </c>
      <c r="N311" s="290">
        <f t="shared" si="138"/>
        <v>77.923076923076934</v>
      </c>
      <c r="O311" s="290">
        <f t="shared" si="138"/>
        <v>111.1538461538462</v>
      </c>
      <c r="P311" s="290">
        <f t="shared" si="138"/>
        <v>203.38461538461544</v>
      </c>
      <c r="Q311" s="290">
        <f t="shared" si="138"/>
        <v>181.15384615384608</v>
      </c>
      <c r="R311" s="290">
        <f t="shared" si="138"/>
        <v>193.07692307692304</v>
      </c>
      <c r="S311" s="290">
        <f t="shared" si="138"/>
        <v>181.61538461538456</v>
      </c>
      <c r="T311" s="290">
        <f t="shared" si="138"/>
        <v>155.84615384615392</v>
      </c>
      <c r="U311" s="290">
        <f t="shared" si="138"/>
        <v>164.53846153846152</v>
      </c>
      <c r="V311" s="290">
        <f t="shared" si="138"/>
        <v>112.15384615384612</v>
      </c>
      <c r="W311" s="290">
        <f t="shared" si="138"/>
        <v>60.384615384615429</v>
      </c>
      <c r="X311" s="290">
        <f t="shared" si="138"/>
        <v>92.615384615384585</v>
      </c>
      <c r="Y311" s="290">
        <f t="shared" si="138"/>
        <v>186.76923076923086</v>
      </c>
      <c r="Z311" s="290">
        <f t="shared" si="138"/>
        <v>143.15384615384608</v>
      </c>
      <c r="AA311" s="290">
        <f t="shared" si="138"/>
        <v>208.69230769230762</v>
      </c>
      <c r="AB311" s="290">
        <f t="shared" si="138"/>
        <v>342.30769230769215</v>
      </c>
      <c r="AC311" s="252">
        <f t="shared" si="141"/>
        <v>498.30769230769215</v>
      </c>
      <c r="AD311" s="252">
        <f t="shared" si="139"/>
        <v>699.72307692307731</v>
      </c>
      <c r="AE311" s="252">
        <f t="shared" si="139"/>
        <v>558.22307692307731</v>
      </c>
    </row>
    <row r="312" spans="1:44">
      <c r="A312" s="240" t="s">
        <v>236</v>
      </c>
      <c r="B312" s="290">
        <f t="shared" si="137"/>
        <v>26.923076923076934</v>
      </c>
      <c r="C312" s="290">
        <f t="shared" si="140"/>
        <v>29.076923076923066</v>
      </c>
      <c r="D312" s="290">
        <f t="shared" si="138"/>
        <v>188.46153846153842</v>
      </c>
      <c r="E312" s="290">
        <f t="shared" si="138"/>
        <v>159.07692307692321</v>
      </c>
      <c r="F312" s="290">
        <f t="shared" si="138"/>
        <v>92.92307692307692</v>
      </c>
      <c r="G312" s="290">
        <f t="shared" si="138"/>
        <v>41.538461538461561</v>
      </c>
      <c r="H312" s="290">
        <f t="shared" si="138"/>
        <v>68.461538461538453</v>
      </c>
      <c r="I312" s="290">
        <f t="shared" si="138"/>
        <v>42.307692307692307</v>
      </c>
      <c r="J312" s="290">
        <f t="shared" si="138"/>
        <v>24.846153846153832</v>
      </c>
      <c r="K312" s="290">
        <f t="shared" si="138"/>
        <v>29.153846153846168</v>
      </c>
      <c r="L312" s="290">
        <f t="shared" si="138"/>
        <v>39.461538461538467</v>
      </c>
      <c r="M312" s="290">
        <f t="shared" si="138"/>
        <v>50.461538461538467</v>
      </c>
      <c r="N312" s="290">
        <f t="shared" si="138"/>
        <v>80.692307692307708</v>
      </c>
      <c r="O312" s="290">
        <f t="shared" si="138"/>
        <v>113.61538461538467</v>
      </c>
      <c r="P312" s="290">
        <f t="shared" si="138"/>
        <v>212.5384615384616</v>
      </c>
      <c r="Q312" s="290">
        <f t="shared" si="138"/>
        <v>174.61538461538453</v>
      </c>
      <c r="R312" s="290">
        <f t="shared" si="138"/>
        <v>197.30769230769226</v>
      </c>
      <c r="S312" s="290">
        <f t="shared" si="138"/>
        <v>178.4615384615384</v>
      </c>
      <c r="T312" s="290">
        <f t="shared" si="138"/>
        <v>154.38461538461547</v>
      </c>
      <c r="U312" s="290">
        <f t="shared" si="138"/>
        <v>166.15384615384613</v>
      </c>
      <c r="V312" s="290">
        <f t="shared" si="138"/>
        <v>105.61538461538458</v>
      </c>
      <c r="W312" s="290">
        <f t="shared" si="138"/>
        <v>57.538461538461583</v>
      </c>
      <c r="X312" s="290">
        <f t="shared" si="138"/>
        <v>97.461538461538424</v>
      </c>
      <c r="Y312" s="290">
        <f t="shared" si="138"/>
        <v>195.07692307692318</v>
      </c>
      <c r="Z312" s="290">
        <f t="shared" si="138"/>
        <v>134.61538461538453</v>
      </c>
      <c r="AA312" s="290">
        <f t="shared" si="138"/>
        <v>219.76923076923069</v>
      </c>
      <c r="AB312" s="290">
        <f t="shared" si="138"/>
        <v>352.23076923076906</v>
      </c>
      <c r="AC312" s="252">
        <f t="shared" si="141"/>
        <v>511.23076923076906</v>
      </c>
      <c r="AD312" s="252">
        <f t="shared" si="139"/>
        <v>718.43846153846198</v>
      </c>
      <c r="AE312" s="252">
        <f t="shared" si="139"/>
        <v>528.83846153846196</v>
      </c>
    </row>
    <row r="313" spans="1:44">
      <c r="A313" s="240" t="s">
        <v>237</v>
      </c>
      <c r="B313" s="290">
        <f t="shared" si="137"/>
        <v>26.615384615384627</v>
      </c>
      <c r="C313" s="290">
        <f t="shared" si="140"/>
        <v>29.384615384615373</v>
      </c>
      <c r="D313" s="290">
        <f t="shared" si="138"/>
        <v>204.30769230769226</v>
      </c>
      <c r="E313" s="290">
        <f t="shared" si="138"/>
        <v>151.38461538461553</v>
      </c>
      <c r="F313" s="290">
        <f t="shared" si="138"/>
        <v>88.615384615384613</v>
      </c>
      <c r="G313" s="290">
        <f t="shared" si="138"/>
        <v>37.692307692307715</v>
      </c>
      <c r="H313" s="290">
        <f t="shared" si="138"/>
        <v>72.307692307692292</v>
      </c>
      <c r="I313" s="290">
        <f t="shared" si="138"/>
        <v>38.53846153846154</v>
      </c>
      <c r="J313" s="290">
        <f t="shared" si="138"/>
        <v>24.230769230769216</v>
      </c>
      <c r="K313" s="290">
        <f t="shared" si="138"/>
        <v>29.769230769230784</v>
      </c>
      <c r="L313" s="290">
        <f t="shared" si="138"/>
        <v>40.307692307692314</v>
      </c>
      <c r="M313" s="290">
        <f t="shared" si="138"/>
        <v>51.307692307692314</v>
      </c>
      <c r="N313" s="290">
        <f t="shared" si="138"/>
        <v>83.461538461538481</v>
      </c>
      <c r="O313" s="290">
        <f t="shared" si="138"/>
        <v>116.07692307692314</v>
      </c>
      <c r="P313" s="290">
        <f t="shared" si="138"/>
        <v>221.69230769230776</v>
      </c>
      <c r="Q313" s="290">
        <f t="shared" si="138"/>
        <v>168.07692307692298</v>
      </c>
      <c r="R313" s="290">
        <f t="shared" si="138"/>
        <v>201.53846153846149</v>
      </c>
      <c r="S313" s="290">
        <f t="shared" si="138"/>
        <v>175.30769230769224</v>
      </c>
      <c r="T313" s="290">
        <f t="shared" si="138"/>
        <v>152.92307692307702</v>
      </c>
      <c r="U313" s="290">
        <f t="shared" si="138"/>
        <v>167.76923076923075</v>
      </c>
      <c r="V313" s="290">
        <f t="shared" si="138"/>
        <v>99.076923076923052</v>
      </c>
      <c r="W313" s="290">
        <f t="shared" si="138"/>
        <v>54.692307692307736</v>
      </c>
      <c r="X313" s="290">
        <f t="shared" si="138"/>
        <v>102.30769230769226</v>
      </c>
      <c r="Y313" s="290">
        <f t="shared" si="138"/>
        <v>203.3846153846155</v>
      </c>
      <c r="Z313" s="290">
        <f t="shared" si="138"/>
        <v>126.07692307692299</v>
      </c>
      <c r="AA313" s="290">
        <f t="shared" si="138"/>
        <v>230.84615384615375</v>
      </c>
      <c r="AB313" s="290">
        <f t="shared" si="138"/>
        <v>362.15384615384596</v>
      </c>
      <c r="AC313" s="252">
        <f t="shared" si="141"/>
        <v>524.15384615384596</v>
      </c>
      <c r="AD313" s="252">
        <f t="shared" si="139"/>
        <v>737.15384615384664</v>
      </c>
      <c r="AE313" s="252">
        <f t="shared" si="139"/>
        <v>499.4538461538466</v>
      </c>
    </row>
    <row r="314" spans="1:44" ht="15.75" thickBot="1">
      <c r="A314" s="240" t="s">
        <v>238</v>
      </c>
      <c r="B314" s="146">
        <f>B42</f>
        <v>26</v>
      </c>
      <c r="C314" s="146">
        <f t="shared" ref="C314:AE314" si="142">C42</f>
        <v>30</v>
      </c>
      <c r="D314" s="146">
        <f t="shared" si="142"/>
        <v>236</v>
      </c>
      <c r="E314" s="146">
        <f t="shared" si="142"/>
        <v>136</v>
      </c>
      <c r="F314" s="146">
        <f t="shared" si="142"/>
        <v>80</v>
      </c>
      <c r="G314" s="146">
        <f t="shared" si="142"/>
        <v>30</v>
      </c>
      <c r="H314" s="146">
        <f t="shared" si="142"/>
        <v>80</v>
      </c>
      <c r="I314" s="146">
        <f t="shared" si="142"/>
        <v>31</v>
      </c>
      <c r="J314" s="146">
        <f t="shared" si="142"/>
        <v>23</v>
      </c>
      <c r="K314" s="146">
        <f t="shared" si="142"/>
        <v>31</v>
      </c>
      <c r="L314" s="146">
        <f t="shared" si="142"/>
        <v>42</v>
      </c>
      <c r="M314" s="146">
        <f t="shared" si="142"/>
        <v>53</v>
      </c>
      <c r="N314" s="146">
        <f t="shared" si="142"/>
        <v>89</v>
      </c>
      <c r="O314" s="146">
        <f t="shared" si="142"/>
        <v>121</v>
      </c>
      <c r="P314" s="146">
        <f t="shared" si="142"/>
        <v>240</v>
      </c>
      <c r="Q314" s="146">
        <f t="shared" si="142"/>
        <v>155</v>
      </c>
      <c r="R314" s="146">
        <f t="shared" si="142"/>
        <v>210</v>
      </c>
      <c r="S314" s="146">
        <f t="shared" si="142"/>
        <v>169</v>
      </c>
      <c r="T314" s="146">
        <f t="shared" si="142"/>
        <v>150</v>
      </c>
      <c r="U314" s="146">
        <f t="shared" si="142"/>
        <v>171</v>
      </c>
      <c r="V314" s="146">
        <f t="shared" si="142"/>
        <v>86</v>
      </c>
      <c r="W314" s="146">
        <f t="shared" si="142"/>
        <v>49</v>
      </c>
      <c r="X314" s="146">
        <f t="shared" si="142"/>
        <v>112</v>
      </c>
      <c r="Y314" s="146">
        <f t="shared" si="142"/>
        <v>220</v>
      </c>
      <c r="Z314" s="253">
        <f t="shared" si="142"/>
        <v>109</v>
      </c>
      <c r="AA314" s="253">
        <f t="shared" si="142"/>
        <v>253</v>
      </c>
      <c r="AB314" s="253">
        <f t="shared" si="142"/>
        <v>382</v>
      </c>
      <c r="AC314" s="253">
        <f t="shared" si="142"/>
        <v>550</v>
      </c>
      <c r="AD314" s="253">
        <f t="shared" si="142"/>
        <v>793.30000000000018</v>
      </c>
      <c r="AE314" s="253">
        <f t="shared" si="142"/>
        <v>411.30000000000018</v>
      </c>
    </row>
    <row r="315" spans="1:44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  <c r="AE315" s="248"/>
    </row>
    <row r="316" spans="1:44" ht="15.75" thickBot="1">
      <c r="A316" s="235" t="s">
        <v>270</v>
      </c>
    </row>
    <row r="317" spans="1:44" ht="15.75" thickBot="1">
      <c r="A317" s="236"/>
      <c r="B317" s="237" t="str">
        <f>B$2</f>
        <v xml:space="preserve">93/94 </v>
      </c>
      <c r="C317" s="237" t="str">
        <f t="shared" ref="C317:AE317" si="143">C$2</f>
        <v xml:space="preserve">94/95 </v>
      </c>
      <c r="D317" s="237" t="str">
        <f t="shared" si="143"/>
        <v xml:space="preserve">95/96 </v>
      </c>
      <c r="E317" s="237" t="str">
        <f t="shared" si="143"/>
        <v xml:space="preserve">96/97 </v>
      </c>
      <c r="F317" s="237" t="str">
        <f t="shared" si="143"/>
        <v xml:space="preserve">97/98 </v>
      </c>
      <c r="G317" s="237" t="str">
        <f t="shared" si="143"/>
        <v xml:space="preserve">98/99 </v>
      </c>
      <c r="H317" s="237" t="str">
        <f t="shared" si="143"/>
        <v xml:space="preserve">99/00 </v>
      </c>
      <c r="I317" s="237" t="str">
        <f t="shared" si="143"/>
        <v xml:space="preserve">00/01 </v>
      </c>
      <c r="J317" s="237" t="str">
        <f t="shared" si="143"/>
        <v xml:space="preserve">01/02 </v>
      </c>
      <c r="K317" s="237" t="str">
        <f t="shared" si="143"/>
        <v xml:space="preserve">02/03 </v>
      </c>
      <c r="L317" s="237" t="str">
        <f t="shared" si="143"/>
        <v xml:space="preserve">03/04 </v>
      </c>
      <c r="M317" s="237" t="str">
        <f t="shared" si="143"/>
        <v xml:space="preserve">04/05 </v>
      </c>
      <c r="N317" s="237" t="str">
        <f t="shared" si="143"/>
        <v xml:space="preserve">05/06 </v>
      </c>
      <c r="O317" s="237" t="str">
        <f t="shared" si="143"/>
        <v xml:space="preserve">06/07 </v>
      </c>
      <c r="P317" s="237" t="str">
        <f t="shared" si="143"/>
        <v xml:space="preserve">07/08 </v>
      </c>
      <c r="Q317" s="237" t="str">
        <f t="shared" si="143"/>
        <v xml:space="preserve">08/09 </v>
      </c>
      <c r="R317" s="237" t="str">
        <f t="shared" si="143"/>
        <v xml:space="preserve">09/10 </v>
      </c>
      <c r="S317" s="237" t="str">
        <f t="shared" si="143"/>
        <v xml:space="preserve">10/11 </v>
      </c>
      <c r="T317" s="237" t="str">
        <f t="shared" si="143"/>
        <v xml:space="preserve">11/12 </v>
      </c>
      <c r="U317" s="237" t="str">
        <f t="shared" si="143"/>
        <v xml:space="preserve">12/13 </v>
      </c>
      <c r="V317" s="237" t="str">
        <f t="shared" si="143"/>
        <v xml:space="preserve">13/14 </v>
      </c>
      <c r="W317" s="237" t="str">
        <f t="shared" si="143"/>
        <v xml:space="preserve">14/15 </v>
      </c>
      <c r="X317" s="237" t="str">
        <f t="shared" si="143"/>
        <v xml:space="preserve">15/16 </v>
      </c>
      <c r="Y317" s="237" t="str">
        <f t="shared" si="143"/>
        <v xml:space="preserve">16/17 </v>
      </c>
      <c r="Z317" s="237" t="str">
        <f t="shared" si="143"/>
        <v xml:space="preserve">17/18 </v>
      </c>
      <c r="AA317" s="237" t="str">
        <f t="shared" si="143"/>
        <v xml:space="preserve">18/19 </v>
      </c>
      <c r="AB317" s="237" t="str">
        <f t="shared" si="143"/>
        <v xml:space="preserve">19/20 </v>
      </c>
      <c r="AC317" s="237" t="str">
        <f t="shared" si="143"/>
        <v xml:space="preserve">20/21 </v>
      </c>
      <c r="AD317" s="237" t="str">
        <f t="shared" si="143"/>
        <v xml:space="preserve">21/22 </v>
      </c>
      <c r="AE317" s="237" t="str">
        <f t="shared" si="143"/>
        <v xml:space="preserve">22/23 </v>
      </c>
      <c r="AF317" s="269"/>
      <c r="AG317" s="269"/>
    </row>
    <row r="318" spans="1:44">
      <c r="A318" s="240" t="s">
        <v>239</v>
      </c>
      <c r="AD318">
        <v>967</v>
      </c>
      <c r="AE318" s="389">
        <v>1350</v>
      </c>
    </row>
    <row r="319" spans="1:44">
      <c r="A319" s="240" t="s">
        <v>240</v>
      </c>
      <c r="AD319" s="389">
        <v>1115</v>
      </c>
      <c r="AE319" s="389">
        <v>1315</v>
      </c>
    </row>
    <row r="320" spans="1:44">
      <c r="A320" s="240" t="s">
        <v>241</v>
      </c>
      <c r="AD320" s="389">
        <v>1175</v>
      </c>
      <c r="AE320" s="389">
        <v>1295</v>
      </c>
    </row>
    <row r="321" spans="1:31">
      <c r="A321" s="240" t="s">
        <v>231</v>
      </c>
      <c r="AC321">
        <v>723</v>
      </c>
      <c r="AD321" s="389">
        <v>1270</v>
      </c>
      <c r="AE321" s="389">
        <v>1390</v>
      </c>
    </row>
    <row r="322" spans="1:31">
      <c r="A322" s="240" t="s">
        <v>232</v>
      </c>
      <c r="AC322">
        <v>658</v>
      </c>
      <c r="AD322" s="389">
        <v>1465</v>
      </c>
      <c r="AE322" s="389">
        <v>1520</v>
      </c>
    </row>
    <row r="323" spans="1:31">
      <c r="A323" s="240" t="s">
        <v>233</v>
      </c>
      <c r="AC323">
        <v>650</v>
      </c>
      <c r="AD323" s="389">
        <v>1490</v>
      </c>
    </row>
    <row r="324" spans="1:31">
      <c r="A324" s="240" t="s">
        <v>234</v>
      </c>
      <c r="AC324">
        <v>687</v>
      </c>
      <c r="AD324" s="389">
        <v>1515</v>
      </c>
    </row>
    <row r="325" spans="1:31">
      <c r="A325" s="240" t="s">
        <v>46</v>
      </c>
      <c r="AC325">
        <v>740</v>
      </c>
      <c r="AD325" s="389">
        <v>1480</v>
      </c>
    </row>
    <row r="326" spans="1:31">
      <c r="A326" s="240" t="s">
        <v>235</v>
      </c>
      <c r="AC326">
        <v>768</v>
      </c>
      <c r="AD326" s="389">
        <v>1135</v>
      </c>
    </row>
    <row r="327" spans="1:31">
      <c r="A327" s="240" t="s">
        <v>236</v>
      </c>
      <c r="AC327">
        <v>795</v>
      </c>
      <c r="AD327" s="389">
        <v>1250</v>
      </c>
    </row>
    <row r="328" spans="1:31">
      <c r="A328" s="240" t="s">
        <v>237</v>
      </c>
      <c r="AC328">
        <v>855</v>
      </c>
      <c r="AD328" s="389">
        <v>1200</v>
      </c>
    </row>
    <row r="329" spans="1:31">
      <c r="A329" s="240" t="s">
        <v>238</v>
      </c>
      <c r="AC329">
        <v>895</v>
      </c>
      <c r="AD329" s="389">
        <v>1300</v>
      </c>
    </row>
    <row r="330" spans="1:31" ht="15.75" thickBot="1">
      <c r="A330" s="240" t="s">
        <v>255</v>
      </c>
      <c r="AC330">
        <f>AVERAGE(AC318:AC329)</f>
        <v>752.33333333333337</v>
      </c>
      <c r="AD330">
        <f>AVERAGE(AD318:AD329)</f>
        <v>1280.1666666666667</v>
      </c>
    </row>
    <row r="331" spans="1:31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  <c r="AD331" s="248"/>
      <c r="AE331" s="248"/>
    </row>
  </sheetData>
  <hyperlinks>
    <hyperlink ref="AY1" r:id="rId1" xr:uid="{8DAA0D6F-DDFD-4CDC-A1B5-C5091939E21A}"/>
    <hyperlink ref="AY2" r:id="rId2" xr:uid="{D7498AAD-3AFB-488D-92F1-9373F73F586A}"/>
    <hyperlink ref="AO1" r:id="rId3" xr:uid="{F1FF89CE-15B3-4AB9-9CF9-9E173D1FCA53}"/>
  </hyperlinks>
  <pageMargins left="0.25" right="0.25" top="0.75" bottom="0.75" header="0.3" footer="0.3"/>
  <pageSetup orientation="portrait" r:id="rId4"/>
  <headerFooter>
    <oddHeader>&amp;L&amp;G</oddHeader>
    <oddFooter>&amp;L&amp;D&amp;C&amp;P</oddFooter>
  </headerFooter>
  <drawing r:id="rId5"/>
  <legacyDrawingHF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9509-1C6B-403B-9E93-D5B22C57CA1B}">
  <dimension ref="A1:BM331"/>
  <sheetViews>
    <sheetView zoomScaleNormal="100" workbookViewId="0">
      <pane xSplit="1" ySplit="2" topLeftCell="Z301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2" customWidth="1"/>
    <col min="2" max="25" width="0" hidden="1" customWidth="1"/>
    <col min="30" max="31" width="8.85546875" customWidth="1"/>
    <col min="32" max="33" width="11" customWidth="1"/>
    <col min="34" max="34" width="12.140625" bestFit="1" customWidth="1"/>
    <col min="35" max="35" width="9.28515625" style="393" bestFit="1" customWidth="1"/>
    <col min="36" max="36" width="9.28515625" bestFit="1" customWidth="1"/>
    <col min="37" max="54" width="8.85546875" customWidth="1"/>
    <col min="59" max="82" width="0" hidden="1" customWidth="1"/>
    <col min="87" max="110" width="0" hidden="1" customWidth="1"/>
    <col min="115" max="138" width="0" hidden="1" customWidth="1"/>
  </cols>
  <sheetData>
    <row r="1" spans="1:65" ht="18.75" thickBot="1">
      <c r="A1" s="199" t="s">
        <v>400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300"/>
      <c r="AG1" s="300"/>
      <c r="AH1" s="390"/>
      <c r="AI1" s="391"/>
      <c r="AJ1" s="300"/>
      <c r="AK1" s="300"/>
      <c r="AL1" s="302"/>
      <c r="AN1" s="300"/>
      <c r="AO1" s="303"/>
      <c r="AQ1" s="303"/>
      <c r="AR1" s="300"/>
      <c r="AS1" s="300"/>
      <c r="AT1" s="300"/>
    </row>
    <row r="2" spans="1:65" ht="15.75" thickBot="1">
      <c r="A2" s="202"/>
      <c r="B2" s="203" t="s">
        <v>272</v>
      </c>
      <c r="C2" s="204" t="s">
        <v>273</v>
      </c>
      <c r="D2" s="203" t="s">
        <v>274</v>
      </c>
      <c r="E2" s="204" t="s">
        <v>275</v>
      </c>
      <c r="F2" s="203" t="s">
        <v>276</v>
      </c>
      <c r="G2" s="204" t="s">
        <v>277</v>
      </c>
      <c r="H2" s="203" t="s">
        <v>278</v>
      </c>
      <c r="I2" s="204" t="s">
        <v>279</v>
      </c>
      <c r="J2" s="203" t="s">
        <v>280</v>
      </c>
      <c r="K2" s="204" t="s">
        <v>281</v>
      </c>
      <c r="L2" s="203" t="s">
        <v>282</v>
      </c>
      <c r="M2" s="204" t="s">
        <v>283</v>
      </c>
      <c r="N2" s="203" t="s">
        <v>284</v>
      </c>
      <c r="O2" s="204" t="s">
        <v>285</v>
      </c>
      <c r="P2" s="203" t="s">
        <v>286</v>
      </c>
      <c r="Q2" s="204" t="s">
        <v>287</v>
      </c>
      <c r="R2" s="203" t="s">
        <v>288</v>
      </c>
      <c r="S2" s="204" t="s">
        <v>289</v>
      </c>
      <c r="T2" s="203" t="s">
        <v>290</v>
      </c>
      <c r="U2" s="204" t="s">
        <v>291</v>
      </c>
      <c r="V2" s="203" t="s">
        <v>292</v>
      </c>
      <c r="W2" s="204" t="s">
        <v>293</v>
      </c>
      <c r="X2" s="203" t="s">
        <v>294</v>
      </c>
      <c r="Y2" s="204" t="s">
        <v>295</v>
      </c>
      <c r="Z2" s="203" t="s">
        <v>296</v>
      </c>
      <c r="AA2" s="204" t="s">
        <v>297</v>
      </c>
      <c r="AB2" s="204" t="s">
        <v>298</v>
      </c>
      <c r="AC2" s="204" t="s">
        <v>299</v>
      </c>
      <c r="AD2" s="204" t="s">
        <v>373</v>
      </c>
      <c r="AE2" s="204" t="s">
        <v>374</v>
      </c>
      <c r="AF2" s="392"/>
      <c r="AG2" s="392"/>
      <c r="AH2" s="201" t="s">
        <v>327</v>
      </c>
      <c r="AI2" s="201" t="s">
        <v>328</v>
      </c>
      <c r="AJ2" s="201" t="s">
        <v>329</v>
      </c>
      <c r="AK2" s="302"/>
      <c r="AO2" s="302"/>
      <c r="AQ2" s="302"/>
      <c r="AR2" s="302"/>
      <c r="AS2" s="302"/>
      <c r="AT2" s="302"/>
    </row>
    <row r="3" spans="1:65" ht="16.5">
      <c r="A3" s="3" t="s">
        <v>401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F3" s="377"/>
      <c r="AG3" s="377"/>
      <c r="AH3" s="379"/>
      <c r="AJ3" s="391"/>
      <c r="AK3" s="379"/>
      <c r="AL3" s="379"/>
      <c r="AM3" s="379"/>
      <c r="AN3" s="379"/>
      <c r="AO3" s="379"/>
      <c r="AP3" s="379"/>
      <c r="AQ3" s="379"/>
      <c r="AR3" s="379"/>
      <c r="AS3" s="379"/>
      <c r="AT3" s="379"/>
      <c r="AU3" s="379"/>
      <c r="AV3" s="379"/>
      <c r="AW3" s="379"/>
      <c r="AX3" s="379"/>
      <c r="AY3" s="379"/>
      <c r="AZ3" s="379"/>
      <c r="BA3" s="379"/>
      <c r="BB3" s="379"/>
      <c r="BC3" s="379"/>
      <c r="BD3" s="379"/>
      <c r="BE3" s="379"/>
      <c r="BF3" s="379"/>
      <c r="BG3" s="379"/>
      <c r="BH3" s="379"/>
      <c r="BI3" s="379"/>
      <c r="BJ3" s="379"/>
      <c r="BK3" s="379"/>
      <c r="BL3" s="379"/>
      <c r="BM3" s="379"/>
    </row>
    <row r="4" spans="1:65" ht="16.5">
      <c r="A4" s="3" t="s">
        <v>213</v>
      </c>
      <c r="B4" s="207">
        <f>B5/0.97</f>
        <v>2759.7938144329896</v>
      </c>
      <c r="C4" s="207">
        <f t="shared" ref="C4:AB4" si="0">C5/0.97</f>
        <v>2030.9278350515465</v>
      </c>
      <c r="D4" s="207">
        <f t="shared" si="0"/>
        <v>2237.1134020618556</v>
      </c>
      <c r="E4" s="207">
        <f t="shared" si="0"/>
        <v>2056.7010309278353</v>
      </c>
      <c r="F4" s="207">
        <f t="shared" si="0"/>
        <v>2164.9484536082473</v>
      </c>
      <c r="G4" s="207">
        <f t="shared" si="0"/>
        <v>2268.0412371134021</v>
      </c>
      <c r="H4" s="207">
        <f t="shared" si="0"/>
        <v>2371.1340206185569</v>
      </c>
      <c r="I4" s="207">
        <f t="shared" si="0"/>
        <v>2268.0412371134021</v>
      </c>
      <c r="J4" s="207">
        <f t="shared" si="0"/>
        <v>2474.2268041237112</v>
      </c>
      <c r="K4" s="207">
        <f t="shared" si="0"/>
        <v>2783.5051546391755</v>
      </c>
      <c r="L4" s="207">
        <f t="shared" si="0"/>
        <v>2886.5979381443299</v>
      </c>
      <c r="M4" s="207">
        <f t="shared" si="0"/>
        <v>2227.8350515463917</v>
      </c>
      <c r="N4" s="207">
        <f t="shared" si="0"/>
        <v>2412.3711340206187</v>
      </c>
      <c r="O4" s="207">
        <f t="shared" si="0"/>
        <v>2231.9587628865979</v>
      </c>
      <c r="P4" s="207">
        <f t="shared" si="0"/>
        <v>1971.1340206185569</v>
      </c>
      <c r="Q4" s="207">
        <f t="shared" si="0"/>
        <v>1869.0721649484537</v>
      </c>
      <c r="R4" s="207">
        <f t="shared" si="0"/>
        <v>1522.680412371134</v>
      </c>
      <c r="S4" s="207">
        <f t="shared" si="0"/>
        <v>957.73195876288662</v>
      </c>
      <c r="T4" s="207">
        <f t="shared" si="0"/>
        <v>754.63917525773195</v>
      </c>
      <c r="U4" s="207">
        <f t="shared" si="0"/>
        <v>856.70103092783506</v>
      </c>
      <c r="V4" s="207">
        <f t="shared" si="0"/>
        <v>692.78350515463922</v>
      </c>
      <c r="W4" s="207">
        <f t="shared" si="0"/>
        <v>608.24742268041234</v>
      </c>
      <c r="X4" s="207">
        <f t="shared" si="0"/>
        <v>502.06185567010311</v>
      </c>
      <c r="Y4" s="207">
        <f t="shared" si="0"/>
        <v>402.06185567010311</v>
      </c>
      <c r="Z4" s="207">
        <f t="shared" si="0"/>
        <v>292.78350515463916</v>
      </c>
      <c r="AA4" s="207">
        <f t="shared" si="0"/>
        <v>271.13402061855669</v>
      </c>
      <c r="AB4" s="207">
        <f t="shared" si="0"/>
        <v>235.05154639175259</v>
      </c>
      <c r="AC4" s="207">
        <f>MROUND(AC5/(SUM(E5:AB5)/SUM(E4:AB4)),5)</f>
        <v>255</v>
      </c>
      <c r="AD4" s="208">
        <f t="shared" ref="AD4:AF4" si="1">MROUND(AD5/(SUM(F5:AC5)/SUM(F4:AC4)),5)</f>
        <v>260</v>
      </c>
      <c r="AE4" s="208">
        <f>MROUND(AE5/(SUM(G5:AD5)/SUM(G4:AD4)),5)</f>
        <v>260</v>
      </c>
      <c r="AF4" s="394">
        <f t="shared" si="1"/>
        <v>260</v>
      </c>
      <c r="AG4" s="394"/>
      <c r="AH4" s="146"/>
      <c r="AJ4" s="395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6"/>
    </row>
    <row r="5" spans="1:65" ht="16.5">
      <c r="A5" s="3" t="s">
        <v>2</v>
      </c>
      <c r="B5" s="207">
        <v>2677</v>
      </c>
      <c r="C5" s="207">
        <v>1970</v>
      </c>
      <c r="D5" s="207">
        <v>2170</v>
      </c>
      <c r="E5" s="207">
        <v>1995</v>
      </c>
      <c r="F5" s="207">
        <v>2100</v>
      </c>
      <c r="G5" s="207">
        <v>2200</v>
      </c>
      <c r="H5" s="207">
        <v>2300</v>
      </c>
      <c r="I5" s="207">
        <v>2200</v>
      </c>
      <c r="J5" s="207">
        <v>2400</v>
      </c>
      <c r="K5" s="207">
        <v>2700</v>
      </c>
      <c r="L5" s="207">
        <v>2800</v>
      </c>
      <c r="M5" s="207">
        <v>2161</v>
      </c>
      <c r="N5" s="207">
        <v>2340</v>
      </c>
      <c r="O5" s="207">
        <v>2165</v>
      </c>
      <c r="P5" s="207">
        <v>1912</v>
      </c>
      <c r="Q5" s="207">
        <v>1813</v>
      </c>
      <c r="R5" s="207">
        <v>1477</v>
      </c>
      <c r="S5" s="207">
        <v>929</v>
      </c>
      <c r="T5" s="207">
        <v>732</v>
      </c>
      <c r="U5" s="207">
        <v>831</v>
      </c>
      <c r="V5" s="207">
        <v>672</v>
      </c>
      <c r="W5" s="207">
        <v>590</v>
      </c>
      <c r="X5" s="207">
        <v>487</v>
      </c>
      <c r="Y5" s="207">
        <v>390</v>
      </c>
      <c r="Z5" s="207">
        <v>284</v>
      </c>
      <c r="AA5" s="210">
        <v>263</v>
      </c>
      <c r="AB5" s="210">
        <v>228</v>
      </c>
      <c r="AC5" s="210">
        <v>245</v>
      </c>
      <c r="AD5" s="211">
        <v>250</v>
      </c>
      <c r="AE5" s="211">
        <f>MROUND(IF(FORECAST(AE45,F5:AD5,F45:AD45)&lt;0,0,FORECAST(AE45,F5:AD5,F45:AD45)),5)+250</f>
        <v>250</v>
      </c>
      <c r="AF5" s="396">
        <f>MROUND(IF(FORECAST(AF45,G5:AE5,G45:AE45)&lt;0,0,FORECAST(AF45,G5:AE5,G45:AE45)),5)+250</f>
        <v>250</v>
      </c>
      <c r="AG5" s="396"/>
      <c r="AH5" s="223">
        <v>228</v>
      </c>
      <c r="AI5" s="223">
        <v>226</v>
      </c>
      <c r="AJ5" s="223">
        <v>250</v>
      </c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</row>
    <row r="6" spans="1:65" s="219" customFormat="1">
      <c r="A6" s="214" t="s">
        <v>214</v>
      </c>
      <c r="B6" s="215">
        <f>B5/B4</f>
        <v>0.97</v>
      </c>
      <c r="C6" s="215">
        <f t="shared" ref="C6:AE6" si="2">C5/C4</f>
        <v>0.97</v>
      </c>
      <c r="D6" s="215">
        <f t="shared" si="2"/>
        <v>0.97000000000000008</v>
      </c>
      <c r="E6" s="215">
        <f t="shared" si="2"/>
        <v>0.96999999999999986</v>
      </c>
      <c r="F6" s="215">
        <f t="shared" si="2"/>
        <v>0.97000000000000008</v>
      </c>
      <c r="G6" s="215">
        <f t="shared" si="2"/>
        <v>0.97</v>
      </c>
      <c r="H6" s="215">
        <f t="shared" si="2"/>
        <v>0.97</v>
      </c>
      <c r="I6" s="215">
        <f t="shared" si="2"/>
        <v>0.97</v>
      </c>
      <c r="J6" s="215">
        <f t="shared" si="2"/>
        <v>0.97000000000000008</v>
      </c>
      <c r="K6" s="215">
        <f t="shared" si="2"/>
        <v>0.96999999999999986</v>
      </c>
      <c r="L6" s="215">
        <f t="shared" si="2"/>
        <v>0.97</v>
      </c>
      <c r="M6" s="215">
        <f t="shared" si="2"/>
        <v>0.97</v>
      </c>
      <c r="N6" s="215">
        <f t="shared" si="2"/>
        <v>0.97</v>
      </c>
      <c r="O6" s="215">
        <f t="shared" si="2"/>
        <v>0.97</v>
      </c>
      <c r="P6" s="215">
        <f t="shared" si="2"/>
        <v>0.97</v>
      </c>
      <c r="Q6" s="215">
        <f t="shared" si="2"/>
        <v>0.97</v>
      </c>
      <c r="R6" s="215">
        <f t="shared" si="2"/>
        <v>0.97</v>
      </c>
      <c r="S6" s="215">
        <f t="shared" si="2"/>
        <v>0.97</v>
      </c>
      <c r="T6" s="215">
        <f t="shared" si="2"/>
        <v>0.97</v>
      </c>
      <c r="U6" s="215">
        <f t="shared" si="2"/>
        <v>0.97</v>
      </c>
      <c r="V6" s="215">
        <f t="shared" si="2"/>
        <v>0.97</v>
      </c>
      <c r="W6" s="215">
        <f t="shared" si="2"/>
        <v>0.97000000000000008</v>
      </c>
      <c r="X6" s="215">
        <f t="shared" si="2"/>
        <v>0.97</v>
      </c>
      <c r="Y6" s="215">
        <f t="shared" si="2"/>
        <v>0.97</v>
      </c>
      <c r="Z6" s="215">
        <f t="shared" si="2"/>
        <v>0.97000000000000008</v>
      </c>
      <c r="AA6" s="215">
        <f t="shared" si="2"/>
        <v>0.97000000000000008</v>
      </c>
      <c r="AB6" s="215">
        <f t="shared" si="2"/>
        <v>0.97</v>
      </c>
      <c r="AC6" s="215">
        <f t="shared" si="2"/>
        <v>0.96078431372549022</v>
      </c>
      <c r="AD6" s="216">
        <f t="shared" si="2"/>
        <v>0.96153846153846156</v>
      </c>
      <c r="AE6" s="216">
        <f t="shared" si="2"/>
        <v>0.96153846153846156</v>
      </c>
      <c r="AF6" s="324"/>
      <c r="AG6" s="324"/>
      <c r="AH6" s="397"/>
      <c r="AI6" s="218"/>
      <c r="AJ6" s="395"/>
      <c r="AK6" s="325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  <c r="BM6" s="325"/>
    </row>
    <row r="7" spans="1:65">
      <c r="A7" s="3" t="s">
        <v>215</v>
      </c>
      <c r="B7" s="23">
        <f t="shared" ref="B7:Z7" si="3">B9/B5</f>
        <v>0.52297347777362724</v>
      </c>
      <c r="C7" s="23">
        <f t="shared" si="3"/>
        <v>0.6111675126903553</v>
      </c>
      <c r="D7" s="23">
        <f t="shared" si="3"/>
        <v>0.64516129032258063</v>
      </c>
      <c r="E7" s="23">
        <f t="shared" si="3"/>
        <v>0.65914786967418548</v>
      </c>
      <c r="F7" s="23">
        <f t="shared" si="3"/>
        <v>0.54761904761904767</v>
      </c>
      <c r="G7" s="23">
        <f t="shared" si="3"/>
        <v>0.54545454545454541</v>
      </c>
      <c r="H7" s="23">
        <f t="shared" si="3"/>
        <v>0.56521739130434778</v>
      </c>
      <c r="I7" s="23">
        <f t="shared" si="3"/>
        <v>0.56818181818181823</v>
      </c>
      <c r="J7" s="23">
        <f t="shared" si="3"/>
        <v>0.60416666666666663</v>
      </c>
      <c r="K7" s="23">
        <f t="shared" si="3"/>
        <v>0.60185185185185186</v>
      </c>
      <c r="L7" s="23">
        <f t="shared" si="3"/>
        <v>0.6071428571428571</v>
      </c>
      <c r="M7" s="23">
        <f t="shared" si="3"/>
        <v>0.73114298935677924</v>
      </c>
      <c r="N7" s="23">
        <f t="shared" si="3"/>
        <v>0.69230769230769229</v>
      </c>
      <c r="O7" s="23">
        <f t="shared" si="3"/>
        <v>0.73903002309468824</v>
      </c>
      <c r="P7" s="23">
        <f t="shared" si="3"/>
        <v>0.7635983263598326</v>
      </c>
      <c r="Q7" s="23">
        <f t="shared" si="3"/>
        <v>0.63430777716492004</v>
      </c>
      <c r="R7" s="23">
        <f t="shared" si="3"/>
        <v>0.6702775897088693</v>
      </c>
      <c r="S7" s="23">
        <f t="shared" si="3"/>
        <v>0.70505920344456408</v>
      </c>
      <c r="T7" s="23">
        <f t="shared" si="3"/>
        <v>0.84699453551912574</v>
      </c>
      <c r="U7" s="23">
        <f t="shared" si="3"/>
        <v>0.74007220216606495</v>
      </c>
      <c r="V7" s="23">
        <f t="shared" si="3"/>
        <v>0.86309523809523814</v>
      </c>
      <c r="W7" s="23">
        <f t="shared" si="3"/>
        <v>0.64915254237288134</v>
      </c>
      <c r="X7" s="23">
        <f t="shared" si="3"/>
        <v>0.66324435318275154</v>
      </c>
      <c r="Y7" s="23">
        <f t="shared" si="3"/>
        <v>0.81538461538461537</v>
      </c>
      <c r="Z7" s="23">
        <f t="shared" si="3"/>
        <v>0.8098591549295775</v>
      </c>
      <c r="AA7" s="23">
        <f>FORECAST(AA45,B7:Z7,B45:Z45)</f>
        <v>0.79930123578148482</v>
      </c>
      <c r="AB7" s="23">
        <f>FORECAST(AB45,C7:AA7,C45:AA45)</f>
        <v>0.80624094078845587</v>
      </c>
      <c r="AC7" s="23">
        <f>FORECAST(AC45,D7:AB7,D45:AB45)</f>
        <v>0.81946518415896463</v>
      </c>
      <c r="AD7" s="220">
        <f t="shared" ref="AD7:AE7" si="4">FORECAST(AD45,E7:AC7,E45:AC45)</f>
        <v>0.8359140121746762</v>
      </c>
      <c r="AE7" s="220">
        <f t="shared" si="4"/>
        <v>0.85451040587618721</v>
      </c>
      <c r="AF7" s="315"/>
      <c r="AG7" s="315"/>
      <c r="AH7" s="226"/>
      <c r="AJ7" s="395"/>
    </row>
    <row r="8" spans="1:65">
      <c r="A8" s="221" t="s">
        <v>333</v>
      </c>
      <c r="B8" s="13">
        <v>0</v>
      </c>
      <c r="C8" s="13">
        <f>B17</f>
        <v>0</v>
      </c>
      <c r="D8" s="13">
        <f t="shared" ref="D8:AE8" si="5">C17</f>
        <v>0</v>
      </c>
      <c r="E8" s="13">
        <f t="shared" si="5"/>
        <v>0</v>
      </c>
      <c r="F8" s="13">
        <f t="shared" si="5"/>
        <v>0</v>
      </c>
      <c r="G8" s="13">
        <f t="shared" si="5"/>
        <v>0</v>
      </c>
      <c r="H8" s="13">
        <f t="shared" si="5"/>
        <v>0</v>
      </c>
      <c r="I8" s="13">
        <f t="shared" si="5"/>
        <v>0</v>
      </c>
      <c r="J8" s="13">
        <f t="shared" si="5"/>
        <v>0</v>
      </c>
      <c r="K8" s="13">
        <f t="shared" si="5"/>
        <v>0</v>
      </c>
      <c r="L8" s="13">
        <f t="shared" si="5"/>
        <v>0</v>
      </c>
      <c r="M8" s="13">
        <f t="shared" si="5"/>
        <v>0</v>
      </c>
      <c r="N8" s="13">
        <f t="shared" si="5"/>
        <v>0</v>
      </c>
      <c r="O8" s="13">
        <f t="shared" si="5"/>
        <v>0</v>
      </c>
      <c r="P8" s="13">
        <f t="shared" si="5"/>
        <v>0</v>
      </c>
      <c r="Q8" s="13">
        <f t="shared" si="5"/>
        <v>0</v>
      </c>
      <c r="R8" s="13">
        <f t="shared" si="5"/>
        <v>0</v>
      </c>
      <c r="S8" s="13">
        <f t="shared" si="5"/>
        <v>0</v>
      </c>
      <c r="T8" s="13">
        <f t="shared" si="5"/>
        <v>0</v>
      </c>
      <c r="U8" s="13">
        <f t="shared" si="5"/>
        <v>0</v>
      </c>
      <c r="V8" s="13">
        <f t="shared" si="5"/>
        <v>0</v>
      </c>
      <c r="W8" s="13">
        <f t="shared" si="5"/>
        <v>0</v>
      </c>
      <c r="X8" s="13">
        <f t="shared" si="5"/>
        <v>0</v>
      </c>
      <c r="Y8" s="13">
        <f t="shared" si="5"/>
        <v>0</v>
      </c>
      <c r="Z8" s="13">
        <f t="shared" si="5"/>
        <v>0</v>
      </c>
      <c r="AA8" s="13">
        <f t="shared" si="5"/>
        <v>0</v>
      </c>
      <c r="AB8" s="13">
        <f t="shared" si="5"/>
        <v>0</v>
      </c>
      <c r="AC8" s="13">
        <f t="shared" si="5"/>
        <v>0</v>
      </c>
      <c r="AD8" s="222">
        <f t="shared" si="5"/>
        <v>0</v>
      </c>
      <c r="AE8" s="222">
        <f t="shared" si="5"/>
        <v>0</v>
      </c>
      <c r="AF8" s="315"/>
      <c r="AG8" s="315"/>
      <c r="AH8" s="223">
        <v>0</v>
      </c>
      <c r="AI8" s="223">
        <v>0</v>
      </c>
      <c r="AJ8" s="223">
        <v>0</v>
      </c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6"/>
    </row>
    <row r="9" spans="1:65">
      <c r="A9" s="3" t="s">
        <v>5</v>
      </c>
      <c r="B9" s="6">
        <v>1400</v>
      </c>
      <c r="C9" s="6">
        <v>1204</v>
      </c>
      <c r="D9" s="6">
        <v>1400</v>
      </c>
      <c r="E9" s="6">
        <v>1315</v>
      </c>
      <c r="F9" s="6">
        <v>1150</v>
      </c>
      <c r="G9" s="6">
        <v>1200</v>
      </c>
      <c r="H9" s="6">
        <v>1300</v>
      </c>
      <c r="I9" s="6">
        <v>1250</v>
      </c>
      <c r="J9" s="6">
        <v>1450</v>
      </c>
      <c r="K9" s="6">
        <v>1625</v>
      </c>
      <c r="L9" s="6">
        <v>1700</v>
      </c>
      <c r="M9" s="6">
        <v>1580</v>
      </c>
      <c r="N9" s="6">
        <v>1620</v>
      </c>
      <c r="O9" s="6">
        <v>1600</v>
      </c>
      <c r="P9" s="6">
        <v>1460</v>
      </c>
      <c r="Q9" s="6">
        <v>1150</v>
      </c>
      <c r="R9" s="6">
        <v>990</v>
      </c>
      <c r="S9" s="6">
        <v>655</v>
      </c>
      <c r="T9" s="6">
        <v>620</v>
      </c>
      <c r="U9" s="6">
        <v>615</v>
      </c>
      <c r="V9" s="6">
        <v>580</v>
      </c>
      <c r="W9" s="6">
        <v>383</v>
      </c>
      <c r="X9" s="6">
        <v>323</v>
      </c>
      <c r="Y9" s="6">
        <v>318</v>
      </c>
      <c r="Z9" s="6">
        <v>230</v>
      </c>
      <c r="AA9" s="6">
        <v>172</v>
      </c>
      <c r="AB9" s="6">
        <v>140</v>
      </c>
      <c r="AC9" s="6">
        <v>185</v>
      </c>
      <c r="AD9" s="224">
        <v>188</v>
      </c>
      <c r="AE9" s="224">
        <f t="shared" ref="AE9" si="6">MROUND(AE5*AE7,5)</f>
        <v>215</v>
      </c>
      <c r="AH9" s="223">
        <v>140</v>
      </c>
      <c r="AI9" s="223">
        <v>185</v>
      </c>
      <c r="AJ9" s="223">
        <v>190</v>
      </c>
    </row>
    <row r="10" spans="1:65">
      <c r="A10" s="3" t="s">
        <v>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f>H60</f>
        <v>0</v>
      </c>
      <c r="I10" s="6">
        <f>I60</f>
        <v>0</v>
      </c>
      <c r="J10" s="6">
        <f>J60</f>
        <v>0</v>
      </c>
      <c r="K10" s="6">
        <f t="shared" ref="K10:AB10" si="7">K60</f>
        <v>0</v>
      </c>
      <c r="L10" s="6">
        <f t="shared" si="7"/>
        <v>5.0000000000000001E-3</v>
      </c>
      <c r="M10" s="6">
        <f t="shared" si="7"/>
        <v>0</v>
      </c>
      <c r="N10" s="6">
        <f t="shared" si="7"/>
        <v>0</v>
      </c>
      <c r="O10" s="6">
        <f t="shared" si="7"/>
        <v>4.8449999999999998</v>
      </c>
      <c r="P10" s="6">
        <f t="shared" si="7"/>
        <v>2.5999999999999999E-2</v>
      </c>
      <c r="Q10" s="6">
        <f t="shared" si="7"/>
        <v>0.38900000000000001</v>
      </c>
      <c r="R10" s="6">
        <f t="shared" si="7"/>
        <v>0.127</v>
      </c>
      <c r="S10" s="6">
        <f t="shared" si="7"/>
        <v>3.0000000000000001E-3</v>
      </c>
      <c r="T10" s="6">
        <f t="shared" si="7"/>
        <v>0.21200000000000002</v>
      </c>
      <c r="U10" s="6">
        <f t="shared" si="7"/>
        <v>1.8010000000000002</v>
      </c>
      <c r="V10" s="6">
        <f t="shared" si="7"/>
        <v>1.117</v>
      </c>
      <c r="W10" s="6">
        <f t="shared" si="7"/>
        <v>1.6279999999999999</v>
      </c>
      <c r="X10" s="6">
        <f t="shared" si="7"/>
        <v>1.6390000000000002</v>
      </c>
      <c r="Y10" s="6">
        <f t="shared" si="7"/>
        <v>2.3469999999999995</v>
      </c>
      <c r="Z10" s="6">
        <f t="shared" si="7"/>
        <v>1.5921620000000001</v>
      </c>
      <c r="AA10" s="6">
        <f t="shared" si="7"/>
        <v>2.5797879999999997</v>
      </c>
      <c r="AB10" s="6">
        <f t="shared" si="7"/>
        <v>2.85724</v>
      </c>
      <c r="AC10" s="6">
        <v>3</v>
      </c>
      <c r="AD10" s="224">
        <v>3</v>
      </c>
      <c r="AE10" s="224">
        <v>3</v>
      </c>
      <c r="AH10" s="223">
        <v>3</v>
      </c>
      <c r="AI10" s="223">
        <v>3</v>
      </c>
      <c r="AJ10" s="223">
        <v>3</v>
      </c>
    </row>
    <row r="11" spans="1:65">
      <c r="A11" s="221" t="s">
        <v>7</v>
      </c>
      <c r="B11" s="13">
        <f>SUM(B8:B10)</f>
        <v>1400</v>
      </c>
      <c r="C11" s="13">
        <f t="shared" ref="C11:Z11" si="8">SUM(C8:C10)</f>
        <v>1204</v>
      </c>
      <c r="D11" s="13">
        <f t="shared" si="8"/>
        <v>1400</v>
      </c>
      <c r="E11" s="13">
        <f t="shared" si="8"/>
        <v>1315</v>
      </c>
      <c r="F11" s="13">
        <f t="shared" si="8"/>
        <v>1150</v>
      </c>
      <c r="G11" s="13">
        <f t="shared" si="8"/>
        <v>1200</v>
      </c>
      <c r="H11" s="13">
        <f t="shared" si="8"/>
        <v>1300</v>
      </c>
      <c r="I11" s="13">
        <f t="shared" si="8"/>
        <v>1250</v>
      </c>
      <c r="J11" s="13">
        <f t="shared" si="8"/>
        <v>1450</v>
      </c>
      <c r="K11" s="13">
        <f t="shared" si="8"/>
        <v>1625</v>
      </c>
      <c r="L11" s="13">
        <f t="shared" si="8"/>
        <v>1700.0050000000001</v>
      </c>
      <c r="M11" s="13">
        <f t="shared" si="8"/>
        <v>1580</v>
      </c>
      <c r="N11" s="13">
        <f t="shared" si="8"/>
        <v>1620</v>
      </c>
      <c r="O11" s="13">
        <f t="shared" si="8"/>
        <v>1604.845</v>
      </c>
      <c r="P11" s="13">
        <f t="shared" si="8"/>
        <v>1460.0260000000001</v>
      </c>
      <c r="Q11" s="13">
        <f t="shared" si="8"/>
        <v>1150.3889999999999</v>
      </c>
      <c r="R11" s="13">
        <f t="shared" si="8"/>
        <v>990.12699999999995</v>
      </c>
      <c r="S11" s="13">
        <f t="shared" si="8"/>
        <v>655.00300000000004</v>
      </c>
      <c r="T11" s="13">
        <f t="shared" si="8"/>
        <v>620.21199999999999</v>
      </c>
      <c r="U11" s="13">
        <f t="shared" si="8"/>
        <v>616.80100000000004</v>
      </c>
      <c r="V11" s="13">
        <f t="shared" si="8"/>
        <v>581.11699999999996</v>
      </c>
      <c r="W11" s="13">
        <f t="shared" si="8"/>
        <v>384.62799999999999</v>
      </c>
      <c r="X11" s="13">
        <f t="shared" si="8"/>
        <v>324.63900000000001</v>
      </c>
      <c r="Y11" s="13">
        <f t="shared" si="8"/>
        <v>320.34699999999998</v>
      </c>
      <c r="Z11" s="13">
        <f t="shared" si="8"/>
        <v>231.592162</v>
      </c>
      <c r="AA11" s="13">
        <f>SUM(AA8:AA10)</f>
        <v>174.57978800000001</v>
      </c>
      <c r="AB11" s="13">
        <f>SUM(AB8:AB10)</f>
        <v>142.85723999999999</v>
      </c>
      <c r="AC11" s="222">
        <f>SUM(AC8:AC10)</f>
        <v>188</v>
      </c>
      <c r="AD11" s="222">
        <f t="shared" ref="AD11:AE11" si="9">SUM(AD8:AD10)</f>
        <v>191</v>
      </c>
      <c r="AE11" s="222">
        <f t="shared" si="9"/>
        <v>218</v>
      </c>
      <c r="AH11" s="223">
        <v>143</v>
      </c>
      <c r="AI11" s="223">
        <v>188</v>
      </c>
      <c r="AJ11" s="223">
        <v>193</v>
      </c>
    </row>
    <row r="12" spans="1:65">
      <c r="A12" s="3" t="s">
        <v>8</v>
      </c>
      <c r="B12" s="6">
        <f>B92</f>
        <v>1310</v>
      </c>
      <c r="C12" s="6">
        <f t="shared" ref="C12:AB12" si="10">C92</f>
        <v>1120</v>
      </c>
      <c r="D12" s="6">
        <f t="shared" si="10"/>
        <v>1300.0000000000005</v>
      </c>
      <c r="E12" s="6">
        <f t="shared" si="10"/>
        <v>1215</v>
      </c>
      <c r="F12" s="6">
        <f t="shared" si="10"/>
        <v>1050</v>
      </c>
      <c r="G12" s="6">
        <f t="shared" si="10"/>
        <v>1100.2397435897437</v>
      </c>
      <c r="H12" s="6">
        <f t="shared" si="10"/>
        <v>1201.3440000000003</v>
      </c>
      <c r="I12" s="6">
        <f t="shared" si="10"/>
        <v>1149.5067401960787</v>
      </c>
      <c r="J12" s="6">
        <f t="shared" si="10"/>
        <v>1332.9415425531915</v>
      </c>
      <c r="K12" s="6">
        <f t="shared" si="10"/>
        <v>1501.7988721804509</v>
      </c>
      <c r="L12" s="6">
        <f t="shared" si="10"/>
        <v>1540.6785971223019</v>
      </c>
      <c r="M12" s="6">
        <f t="shared" si="10"/>
        <v>1477.4926153846154</v>
      </c>
      <c r="N12" s="6">
        <f t="shared" si="10"/>
        <v>1535.4981992687385</v>
      </c>
      <c r="O12" s="6">
        <f t="shared" si="10"/>
        <v>1503.2458166666663</v>
      </c>
      <c r="P12" s="6">
        <f t="shared" si="10"/>
        <v>1377.9781122448976</v>
      </c>
      <c r="Q12" s="6">
        <f t="shared" si="10"/>
        <v>1050.1135883905017</v>
      </c>
      <c r="R12" s="6">
        <f t="shared" si="10"/>
        <v>890.62105919003113</v>
      </c>
      <c r="S12" s="6">
        <f t="shared" si="10"/>
        <v>549.92537688442223</v>
      </c>
      <c r="T12" s="6">
        <f t="shared" si="10"/>
        <v>540.86400000000026</v>
      </c>
      <c r="U12" s="6">
        <f t="shared" si="10"/>
        <v>536.47748704663195</v>
      </c>
      <c r="V12" s="6">
        <f t="shared" si="10"/>
        <v>495.240586592179</v>
      </c>
      <c r="W12" s="6">
        <f t="shared" si="10"/>
        <v>322.51683471074233</v>
      </c>
      <c r="X12" s="6">
        <f t="shared" si="10"/>
        <v>278.9680000000003</v>
      </c>
      <c r="Y12" s="6">
        <f t="shared" si="10"/>
        <v>278.10496533333185</v>
      </c>
      <c r="Z12" s="6">
        <f t="shared" si="10"/>
        <v>245.07089066666742</v>
      </c>
      <c r="AA12" s="6">
        <f t="shared" si="10"/>
        <v>156.78222474137903</v>
      </c>
      <c r="AB12" s="6">
        <f t="shared" si="10"/>
        <v>119.43726933333335</v>
      </c>
      <c r="AC12" s="224">
        <v>165</v>
      </c>
      <c r="AD12" s="224">
        <v>170</v>
      </c>
      <c r="AE12" s="224">
        <v>175</v>
      </c>
      <c r="AF12" s="377"/>
      <c r="AG12" s="377"/>
      <c r="AH12" s="223">
        <v>120</v>
      </c>
      <c r="AI12" s="223">
        <v>165</v>
      </c>
      <c r="AJ12" s="223">
        <v>160</v>
      </c>
    </row>
    <row r="13" spans="1:65">
      <c r="A13" s="3" t="s">
        <v>9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2</v>
      </c>
      <c r="H13" s="6">
        <f t="shared" ref="H13:AB13" si="11">H76</f>
        <v>1.5579999999999998</v>
      </c>
      <c r="I13" s="6">
        <f t="shared" si="11"/>
        <v>1.115</v>
      </c>
      <c r="J13" s="6">
        <f t="shared" si="11"/>
        <v>1.1689999999999998</v>
      </c>
      <c r="K13" s="6">
        <f t="shared" si="11"/>
        <v>1.706</v>
      </c>
      <c r="L13" s="6">
        <f t="shared" si="11"/>
        <v>1.002</v>
      </c>
      <c r="M13" s="6">
        <f t="shared" si="11"/>
        <v>2.9620000000000002</v>
      </c>
      <c r="N13" s="6">
        <f t="shared" si="11"/>
        <v>1.1929999999999998</v>
      </c>
      <c r="O13" s="6">
        <f t="shared" si="11"/>
        <v>3.556</v>
      </c>
      <c r="P13" s="6">
        <f t="shared" si="11"/>
        <v>3.617</v>
      </c>
      <c r="Q13" s="6">
        <f t="shared" si="11"/>
        <v>5.2610000000000001</v>
      </c>
      <c r="R13" s="6">
        <f t="shared" si="11"/>
        <v>4.0289999999999999</v>
      </c>
      <c r="S13" s="6">
        <f t="shared" si="11"/>
        <v>4.8430000000000009</v>
      </c>
      <c r="T13" s="6">
        <f t="shared" si="11"/>
        <v>4.1749999999999998</v>
      </c>
      <c r="U13" s="6">
        <f t="shared" si="11"/>
        <v>4.2469999999999999</v>
      </c>
      <c r="V13" s="6">
        <f t="shared" si="11"/>
        <v>3.7059999999999995</v>
      </c>
      <c r="W13" s="6">
        <f t="shared" si="11"/>
        <v>5.8120000000000012</v>
      </c>
      <c r="X13" s="6">
        <f t="shared" si="11"/>
        <v>2.8600000000000003</v>
      </c>
      <c r="Y13" s="6">
        <f t="shared" si="11"/>
        <v>4.9317100000000007</v>
      </c>
      <c r="Z13" s="6">
        <f t="shared" si="11"/>
        <v>2.6565089999999998</v>
      </c>
      <c r="AA13" s="6">
        <f t="shared" si="11"/>
        <v>2.1025519999999998</v>
      </c>
      <c r="AB13" s="6">
        <f t="shared" si="11"/>
        <v>0.96484400000000003</v>
      </c>
      <c r="AC13" s="224">
        <v>5</v>
      </c>
      <c r="AD13" s="224">
        <v>2</v>
      </c>
      <c r="AE13" s="224">
        <v>5</v>
      </c>
      <c r="AH13" s="223">
        <v>1</v>
      </c>
      <c r="AI13" s="223">
        <v>1</v>
      </c>
      <c r="AJ13" s="223">
        <v>2</v>
      </c>
    </row>
    <row r="14" spans="1:65">
      <c r="A14" s="3" t="s">
        <v>10</v>
      </c>
      <c r="B14" s="6">
        <f>ROUND(C4*0.007,0)</f>
        <v>14</v>
      </c>
      <c r="C14" s="6">
        <f t="shared" ref="C14:AE14" si="12">ROUND(D4*0.007,0)</f>
        <v>16</v>
      </c>
      <c r="D14" s="6">
        <f t="shared" si="12"/>
        <v>14</v>
      </c>
      <c r="E14" s="6">
        <f t="shared" si="12"/>
        <v>15</v>
      </c>
      <c r="F14" s="6">
        <f t="shared" si="12"/>
        <v>16</v>
      </c>
      <c r="G14" s="6">
        <f t="shared" si="12"/>
        <v>17</v>
      </c>
      <c r="H14" s="6">
        <f t="shared" si="12"/>
        <v>16</v>
      </c>
      <c r="I14" s="6">
        <f t="shared" si="12"/>
        <v>17</v>
      </c>
      <c r="J14" s="6">
        <f t="shared" si="12"/>
        <v>19</v>
      </c>
      <c r="K14" s="6">
        <f t="shared" si="12"/>
        <v>20</v>
      </c>
      <c r="L14" s="6">
        <f t="shared" si="12"/>
        <v>16</v>
      </c>
      <c r="M14" s="6">
        <f t="shared" si="12"/>
        <v>17</v>
      </c>
      <c r="N14" s="6">
        <f t="shared" si="12"/>
        <v>16</v>
      </c>
      <c r="O14" s="6">
        <f t="shared" si="12"/>
        <v>14</v>
      </c>
      <c r="P14" s="6">
        <f t="shared" si="12"/>
        <v>13</v>
      </c>
      <c r="Q14" s="6">
        <f t="shared" si="12"/>
        <v>11</v>
      </c>
      <c r="R14" s="6">
        <f t="shared" si="12"/>
        <v>7</v>
      </c>
      <c r="S14" s="6">
        <f t="shared" si="12"/>
        <v>5</v>
      </c>
      <c r="T14" s="6">
        <f t="shared" si="12"/>
        <v>6</v>
      </c>
      <c r="U14" s="6">
        <f t="shared" si="12"/>
        <v>5</v>
      </c>
      <c r="V14" s="6">
        <f t="shared" si="12"/>
        <v>4</v>
      </c>
      <c r="W14" s="6">
        <f t="shared" si="12"/>
        <v>4</v>
      </c>
      <c r="X14" s="6">
        <f t="shared" si="12"/>
        <v>3</v>
      </c>
      <c r="Y14" s="6">
        <f t="shared" si="12"/>
        <v>2</v>
      </c>
      <c r="Z14" s="6">
        <f t="shared" si="12"/>
        <v>2</v>
      </c>
      <c r="AA14" s="6">
        <f t="shared" si="12"/>
        <v>2</v>
      </c>
      <c r="AB14" s="6">
        <f t="shared" si="12"/>
        <v>2</v>
      </c>
      <c r="AC14" s="224">
        <f t="shared" si="12"/>
        <v>2</v>
      </c>
      <c r="AD14" s="224">
        <f t="shared" si="12"/>
        <v>2</v>
      </c>
      <c r="AE14" s="224">
        <f t="shared" si="12"/>
        <v>2</v>
      </c>
      <c r="AH14" s="226"/>
      <c r="AJ14" s="393" t="s">
        <v>218</v>
      </c>
    </row>
    <row r="15" spans="1:65">
      <c r="A15" s="3" t="s">
        <v>11</v>
      </c>
      <c r="B15" s="6">
        <f>B16-SUM(B12:B14)</f>
        <v>76</v>
      </c>
      <c r="C15" s="6">
        <f t="shared" ref="C15:AC15" si="13">C16-SUM(C12:C14)</f>
        <v>68</v>
      </c>
      <c r="D15" s="6">
        <f t="shared" si="13"/>
        <v>85.999999999999545</v>
      </c>
      <c r="E15" s="6">
        <f t="shared" si="13"/>
        <v>85</v>
      </c>
      <c r="F15" s="6">
        <f t="shared" si="13"/>
        <v>84</v>
      </c>
      <c r="G15" s="6">
        <f t="shared" si="13"/>
        <v>80.760256410256261</v>
      </c>
      <c r="H15" s="6">
        <f t="shared" si="13"/>
        <v>81.097999999999729</v>
      </c>
      <c r="I15" s="6">
        <f t="shared" si="13"/>
        <v>82.37825980392131</v>
      </c>
      <c r="J15" s="6">
        <f t="shared" si="13"/>
        <v>96.889457446808365</v>
      </c>
      <c r="K15" s="6">
        <f t="shared" si="13"/>
        <v>101.49512781954923</v>
      </c>
      <c r="L15" s="6">
        <f t="shared" si="13"/>
        <v>142.32440287769828</v>
      </c>
      <c r="M15" s="6">
        <f t="shared" si="13"/>
        <v>82.545384615384592</v>
      </c>
      <c r="N15" s="6">
        <f t="shared" si="13"/>
        <v>67.308800731261499</v>
      </c>
      <c r="O15" s="6">
        <f t="shared" si="13"/>
        <v>84.043183333333673</v>
      </c>
      <c r="P15" s="6">
        <f t="shared" si="13"/>
        <v>65.430887755102503</v>
      </c>
      <c r="Q15" s="6">
        <f t="shared" si="13"/>
        <v>84.014411609498211</v>
      </c>
      <c r="R15" s="6">
        <f t="shared" si="13"/>
        <v>88.476940809968823</v>
      </c>
      <c r="S15" s="6">
        <f t="shared" si="13"/>
        <v>95.234623115577847</v>
      </c>
      <c r="T15" s="6">
        <f t="shared" si="13"/>
        <v>69.172999999999774</v>
      </c>
      <c r="U15" s="6">
        <f t="shared" si="13"/>
        <v>71.076512953368137</v>
      </c>
      <c r="V15" s="6">
        <f t="shared" si="13"/>
        <v>78.170413407820945</v>
      </c>
      <c r="W15" s="6">
        <f t="shared" si="13"/>
        <v>52.299165289257644</v>
      </c>
      <c r="X15" s="6">
        <f t="shared" si="13"/>
        <v>39.810999999999694</v>
      </c>
      <c r="Y15" s="6">
        <f t="shared" si="13"/>
        <v>35.310324666668123</v>
      </c>
      <c r="Z15" s="6">
        <f t="shared" si="13"/>
        <v>-18.135237666667422</v>
      </c>
      <c r="AA15" s="6">
        <f t="shared" si="13"/>
        <v>13.69501125862098</v>
      </c>
      <c r="AB15" s="6">
        <f t="shared" si="13"/>
        <v>20.455126666666644</v>
      </c>
      <c r="AC15" s="224">
        <f t="shared" si="13"/>
        <v>16</v>
      </c>
      <c r="AD15" s="224">
        <f t="shared" ref="AD15:AE15" si="14">AD16-SUM(AD12:AD14)</f>
        <v>17</v>
      </c>
      <c r="AE15" s="224">
        <f t="shared" si="14"/>
        <v>36</v>
      </c>
      <c r="AH15" s="226"/>
      <c r="AJ15" s="393" t="s">
        <v>218</v>
      </c>
    </row>
    <row r="16" spans="1:65">
      <c r="A16" s="221" t="s">
        <v>12</v>
      </c>
      <c r="B16" s="13">
        <f t="shared" ref="B16:AE16" si="15">B11-B17</f>
        <v>1400</v>
      </c>
      <c r="C16" s="13">
        <f t="shared" si="15"/>
        <v>1204</v>
      </c>
      <c r="D16" s="13">
        <f t="shared" si="15"/>
        <v>1400</v>
      </c>
      <c r="E16" s="13">
        <f t="shared" si="15"/>
        <v>1315</v>
      </c>
      <c r="F16" s="13">
        <f t="shared" si="15"/>
        <v>1150</v>
      </c>
      <c r="G16" s="13">
        <f t="shared" si="15"/>
        <v>1200</v>
      </c>
      <c r="H16" s="13">
        <f t="shared" si="15"/>
        <v>1300</v>
      </c>
      <c r="I16" s="13">
        <f t="shared" si="15"/>
        <v>1250</v>
      </c>
      <c r="J16" s="13">
        <f t="shared" si="15"/>
        <v>1450</v>
      </c>
      <c r="K16" s="13">
        <f t="shared" si="15"/>
        <v>1625</v>
      </c>
      <c r="L16" s="13">
        <f t="shared" si="15"/>
        <v>1700.0050000000001</v>
      </c>
      <c r="M16" s="13">
        <f t="shared" si="15"/>
        <v>1580</v>
      </c>
      <c r="N16" s="13">
        <f t="shared" si="15"/>
        <v>1620</v>
      </c>
      <c r="O16" s="13">
        <f t="shared" si="15"/>
        <v>1604.845</v>
      </c>
      <c r="P16" s="13">
        <f t="shared" si="15"/>
        <v>1460.0260000000001</v>
      </c>
      <c r="Q16" s="13">
        <f t="shared" si="15"/>
        <v>1150.3889999999999</v>
      </c>
      <c r="R16" s="13">
        <f t="shared" si="15"/>
        <v>990.12699999999995</v>
      </c>
      <c r="S16" s="13">
        <f t="shared" si="15"/>
        <v>655.00300000000004</v>
      </c>
      <c r="T16" s="13">
        <f t="shared" si="15"/>
        <v>620.21199999999999</v>
      </c>
      <c r="U16" s="13">
        <f t="shared" si="15"/>
        <v>616.80100000000004</v>
      </c>
      <c r="V16" s="13">
        <f t="shared" si="15"/>
        <v>581.11699999999996</v>
      </c>
      <c r="W16" s="13">
        <f t="shared" si="15"/>
        <v>384.62799999999999</v>
      </c>
      <c r="X16" s="13">
        <f t="shared" si="15"/>
        <v>324.63900000000001</v>
      </c>
      <c r="Y16" s="13">
        <f t="shared" si="15"/>
        <v>320.34699999999998</v>
      </c>
      <c r="Z16" s="13">
        <f t="shared" si="15"/>
        <v>231.592162</v>
      </c>
      <c r="AA16" s="13">
        <f t="shared" si="15"/>
        <v>174.57978800000001</v>
      </c>
      <c r="AB16" s="13">
        <f t="shared" si="15"/>
        <v>142.85723999999999</v>
      </c>
      <c r="AC16" s="222">
        <f t="shared" si="15"/>
        <v>188</v>
      </c>
      <c r="AD16" s="222">
        <f t="shared" si="15"/>
        <v>191</v>
      </c>
      <c r="AE16" s="222">
        <f t="shared" si="15"/>
        <v>218</v>
      </c>
      <c r="AH16" s="226"/>
      <c r="AJ16" s="393" t="s">
        <v>218</v>
      </c>
    </row>
    <row r="17" spans="1:36">
      <c r="A17" s="3" t="s">
        <v>338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224">
        <v>0</v>
      </c>
      <c r="AD17" s="224">
        <v>0</v>
      </c>
      <c r="AE17" s="224">
        <v>0</v>
      </c>
      <c r="AH17" s="223">
        <v>0</v>
      </c>
      <c r="AI17" s="223">
        <v>0</v>
      </c>
      <c r="AJ17" s="223">
        <v>0</v>
      </c>
    </row>
    <row r="18" spans="1:36">
      <c r="A18" s="221" t="s">
        <v>221</v>
      </c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8"/>
      <c r="AD18" s="228"/>
      <c r="AE18" s="228"/>
      <c r="AH18" s="226"/>
      <c r="AJ18" s="393"/>
    </row>
    <row r="19" spans="1:36" ht="15.75" thickBot="1">
      <c r="A19" s="3" t="s">
        <v>222</v>
      </c>
      <c r="AH19" s="226"/>
      <c r="AJ19" s="393"/>
    </row>
    <row r="20" spans="1:36" ht="16.5">
      <c r="A20" s="229" t="s">
        <v>402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H20" s="226"/>
      <c r="AJ20" s="393"/>
    </row>
    <row r="21" spans="1:36">
      <c r="A21" s="3" t="s">
        <v>224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224"/>
      <c r="AD21" s="224"/>
      <c r="AE21" s="224"/>
      <c r="AH21" s="226"/>
      <c r="AJ21" s="393"/>
    </row>
    <row r="22" spans="1:36">
      <c r="A22" s="221" t="s">
        <v>333</v>
      </c>
      <c r="B22" s="13">
        <v>0</v>
      </c>
      <c r="C22" s="13">
        <f>B29</f>
        <v>0</v>
      </c>
      <c r="D22" s="13">
        <f t="shared" ref="D22:AE22" si="16">C29</f>
        <v>0</v>
      </c>
      <c r="E22" s="13">
        <f t="shared" si="16"/>
        <v>0</v>
      </c>
      <c r="F22" s="13">
        <f t="shared" si="16"/>
        <v>0</v>
      </c>
      <c r="G22" s="13">
        <f t="shared" si="16"/>
        <v>0</v>
      </c>
      <c r="H22" s="13">
        <f t="shared" si="16"/>
        <v>0</v>
      </c>
      <c r="I22" s="13">
        <f t="shared" si="16"/>
        <v>0</v>
      </c>
      <c r="J22" s="13">
        <f t="shared" si="16"/>
        <v>0</v>
      </c>
      <c r="K22" s="13">
        <f t="shared" si="16"/>
        <v>0</v>
      </c>
      <c r="L22" s="13">
        <f t="shared" si="16"/>
        <v>0</v>
      </c>
      <c r="M22" s="13">
        <f t="shared" si="16"/>
        <v>0</v>
      </c>
      <c r="N22" s="13">
        <f t="shared" si="16"/>
        <v>0</v>
      </c>
      <c r="O22" s="13">
        <f t="shared" si="16"/>
        <v>0</v>
      </c>
      <c r="P22" s="13">
        <f t="shared" si="16"/>
        <v>0</v>
      </c>
      <c r="Q22" s="13">
        <f t="shared" si="16"/>
        <v>0</v>
      </c>
      <c r="R22" s="13">
        <f t="shared" si="16"/>
        <v>0</v>
      </c>
      <c r="S22" s="13">
        <f t="shared" si="16"/>
        <v>0</v>
      </c>
      <c r="T22" s="13">
        <f t="shared" si="16"/>
        <v>0</v>
      </c>
      <c r="U22" s="13">
        <f t="shared" si="16"/>
        <v>0</v>
      </c>
      <c r="V22" s="13">
        <f t="shared" si="16"/>
        <v>0</v>
      </c>
      <c r="W22" s="13">
        <f t="shared" si="16"/>
        <v>0</v>
      </c>
      <c r="X22" s="13">
        <f t="shared" si="16"/>
        <v>0</v>
      </c>
      <c r="Y22" s="13">
        <f t="shared" si="16"/>
        <v>0</v>
      </c>
      <c r="Z22" s="13">
        <f t="shared" si="16"/>
        <v>0</v>
      </c>
      <c r="AA22" s="13">
        <f t="shared" si="16"/>
        <v>0</v>
      </c>
      <c r="AB22" s="13">
        <f t="shared" si="16"/>
        <v>0</v>
      </c>
      <c r="AC22" s="13">
        <f t="shared" si="16"/>
        <v>0</v>
      </c>
      <c r="AD22" s="222">
        <f t="shared" si="16"/>
        <v>0</v>
      </c>
      <c r="AE22" s="222">
        <f t="shared" si="16"/>
        <v>0</v>
      </c>
      <c r="AH22" s="223">
        <v>0</v>
      </c>
      <c r="AI22" s="223">
        <v>0</v>
      </c>
      <c r="AJ22" s="223">
        <v>0</v>
      </c>
    </row>
    <row r="23" spans="1:36">
      <c r="A23" s="3" t="s">
        <v>5</v>
      </c>
      <c r="B23" s="6">
        <f>B108</f>
        <v>589.99999999999977</v>
      </c>
      <c r="C23" s="6">
        <f t="shared" ref="C23:Z23" si="17">C108</f>
        <v>500</v>
      </c>
      <c r="D23" s="6">
        <f t="shared" si="17"/>
        <v>585.00000000000011</v>
      </c>
      <c r="E23" s="6">
        <f t="shared" si="17"/>
        <v>545.00000000000011</v>
      </c>
      <c r="F23" s="6">
        <f t="shared" si="17"/>
        <v>469.99999999999994</v>
      </c>
      <c r="G23" s="6">
        <f t="shared" si="17"/>
        <v>490.10679487179493</v>
      </c>
      <c r="H23" s="6">
        <f t="shared" si="17"/>
        <v>538.60255999999993</v>
      </c>
      <c r="I23" s="6">
        <f t="shared" si="17"/>
        <v>514.77910539215691</v>
      </c>
      <c r="J23" s="6">
        <f t="shared" si="17"/>
        <v>593.53623404255313</v>
      </c>
      <c r="K23" s="6">
        <f t="shared" si="17"/>
        <v>673.80709398496242</v>
      </c>
      <c r="L23" s="6">
        <f t="shared" si="17"/>
        <v>742.32696043165447</v>
      </c>
      <c r="M23" s="6">
        <f t="shared" si="17"/>
        <v>711.7190037523452</v>
      </c>
      <c r="N23" s="6">
        <f t="shared" si="17"/>
        <v>738.86348994515515</v>
      </c>
      <c r="O23" s="6">
        <f t="shared" si="17"/>
        <v>724.0081722222219</v>
      </c>
      <c r="P23" s="6">
        <f t="shared" si="17"/>
        <v>663.09484693877539</v>
      </c>
      <c r="Q23" s="6">
        <f t="shared" si="17"/>
        <v>506.05473878627987</v>
      </c>
      <c r="R23" s="6">
        <f t="shared" si="17"/>
        <v>429.29936448598136</v>
      </c>
      <c r="S23" s="6">
        <f t="shared" si="17"/>
        <v>264.96404522613068</v>
      </c>
      <c r="T23" s="6">
        <f t="shared" si="17"/>
        <v>260.41600000000011</v>
      </c>
      <c r="U23" s="6">
        <f t="shared" si="17"/>
        <v>258.71250777202067</v>
      </c>
      <c r="V23" s="6">
        <f t="shared" si="17"/>
        <v>238.11567597765372</v>
      </c>
      <c r="W23" s="6">
        <f t="shared" si="17"/>
        <v>155.76664462809845</v>
      </c>
      <c r="X23" s="6">
        <f t="shared" si="17"/>
        <v>134.50242857142871</v>
      </c>
      <c r="Y23" s="6">
        <f t="shared" si="17"/>
        <v>134.08632257142784</v>
      </c>
      <c r="Z23" s="6">
        <f t="shared" si="17"/>
        <v>118.85938197333368</v>
      </c>
      <c r="AA23" s="6">
        <f>AA124*AA92</f>
        <v>75.862366810344696</v>
      </c>
      <c r="AB23" s="6">
        <f>AB124*AB92</f>
        <v>73.65298275555557</v>
      </c>
      <c r="AC23" s="224">
        <f>AC124*AC92</f>
        <v>80</v>
      </c>
      <c r="AD23" s="224">
        <f t="shared" ref="AD23:AE23" si="18">AD124*AD92</f>
        <v>80.952380952380949</v>
      </c>
      <c r="AE23" s="224">
        <f t="shared" si="18"/>
        <v>87.647905389787979</v>
      </c>
      <c r="AH23" s="223">
        <v>58</v>
      </c>
      <c r="AI23" s="223">
        <v>80</v>
      </c>
      <c r="AJ23" s="223">
        <v>78</v>
      </c>
    </row>
    <row r="24" spans="1:36">
      <c r="A24" s="3" t="s">
        <v>6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f t="shared" ref="H24:AB24" si="19">H140</f>
        <v>0</v>
      </c>
      <c r="I24" s="6">
        <f t="shared" si="19"/>
        <v>0</v>
      </c>
      <c r="J24" s="6">
        <f t="shared" si="19"/>
        <v>0</v>
      </c>
      <c r="K24" s="6">
        <f t="shared" si="19"/>
        <v>0</v>
      </c>
      <c r="L24" s="6">
        <f t="shared" si="19"/>
        <v>0.504</v>
      </c>
      <c r="M24" s="6">
        <f t="shared" si="19"/>
        <v>0.20600000000000002</v>
      </c>
      <c r="N24" s="6">
        <f t="shared" si="19"/>
        <v>6.9000000000000006E-2</v>
      </c>
      <c r="O24" s="6">
        <f t="shared" si="19"/>
        <v>3.4000000000000002E-2</v>
      </c>
      <c r="P24" s="6">
        <f t="shared" si="19"/>
        <v>0</v>
      </c>
      <c r="Q24" s="6">
        <f t="shared" si="19"/>
        <v>0.192</v>
      </c>
      <c r="R24" s="6">
        <f t="shared" si="19"/>
        <v>9.363999999999999</v>
      </c>
      <c r="S24" s="6">
        <f t="shared" si="19"/>
        <v>0.42299999999999999</v>
      </c>
      <c r="T24" s="6">
        <f t="shared" si="19"/>
        <v>23.987000000000002</v>
      </c>
      <c r="U24" s="6">
        <f t="shared" si="19"/>
        <v>96.754999999999995</v>
      </c>
      <c r="V24" s="6">
        <f t="shared" si="19"/>
        <v>40.966000000000001</v>
      </c>
      <c r="W24" s="6">
        <f t="shared" si="19"/>
        <v>31.835000000000001</v>
      </c>
      <c r="X24" s="6">
        <f t="shared" si="19"/>
        <v>184.29499999999999</v>
      </c>
      <c r="Y24" s="6">
        <f t="shared" si="19"/>
        <v>305.52999999999992</v>
      </c>
      <c r="Z24" s="6">
        <f t="shared" si="19"/>
        <v>122.529</v>
      </c>
      <c r="AA24" s="6">
        <f t="shared" si="19"/>
        <v>156.28900000000002</v>
      </c>
      <c r="AB24" s="6">
        <f t="shared" si="19"/>
        <v>341.41699999999997</v>
      </c>
      <c r="AC24" s="224">
        <f>325-175</f>
        <v>150</v>
      </c>
      <c r="AD24" s="224">
        <v>270</v>
      </c>
      <c r="AE24" s="224">
        <v>150</v>
      </c>
      <c r="AH24" s="223">
        <v>341</v>
      </c>
      <c r="AI24" s="223">
        <v>104</v>
      </c>
      <c r="AJ24" s="223">
        <v>200</v>
      </c>
    </row>
    <row r="25" spans="1:36">
      <c r="A25" s="221" t="s">
        <v>7</v>
      </c>
      <c r="B25" s="13">
        <f>SUM(B22:B24)</f>
        <v>589.99999999999977</v>
      </c>
      <c r="C25" s="13">
        <f t="shared" ref="C25:AE25" si="20">SUM(C22:C24)</f>
        <v>500</v>
      </c>
      <c r="D25" s="13">
        <f t="shared" si="20"/>
        <v>585.00000000000011</v>
      </c>
      <c r="E25" s="13">
        <f t="shared" si="20"/>
        <v>545.00000000000011</v>
      </c>
      <c r="F25" s="13">
        <f t="shared" si="20"/>
        <v>469.99999999999994</v>
      </c>
      <c r="G25" s="13">
        <f t="shared" si="20"/>
        <v>490.10679487179493</v>
      </c>
      <c r="H25" s="13">
        <f t="shared" si="20"/>
        <v>538.60255999999993</v>
      </c>
      <c r="I25" s="13">
        <f t="shared" si="20"/>
        <v>514.77910539215691</v>
      </c>
      <c r="J25" s="13">
        <f t="shared" si="20"/>
        <v>593.53623404255313</v>
      </c>
      <c r="K25" s="13">
        <f t="shared" si="20"/>
        <v>673.80709398496242</v>
      </c>
      <c r="L25" s="13">
        <f t="shared" si="20"/>
        <v>742.83096043165449</v>
      </c>
      <c r="M25" s="13">
        <f t="shared" si="20"/>
        <v>711.92500375234522</v>
      </c>
      <c r="N25" s="13">
        <f t="shared" si="20"/>
        <v>738.93248994515511</v>
      </c>
      <c r="O25" s="13">
        <f t="shared" si="20"/>
        <v>724.04217222222189</v>
      </c>
      <c r="P25" s="13">
        <f t="shared" si="20"/>
        <v>663.09484693877539</v>
      </c>
      <c r="Q25" s="13">
        <f t="shared" si="20"/>
        <v>506.24673878627988</v>
      </c>
      <c r="R25" s="13">
        <f t="shared" si="20"/>
        <v>438.66336448598133</v>
      </c>
      <c r="S25" s="13">
        <f t="shared" si="20"/>
        <v>265.38704522613068</v>
      </c>
      <c r="T25" s="13">
        <f t="shared" si="20"/>
        <v>284.40300000000013</v>
      </c>
      <c r="U25" s="13">
        <f t="shared" si="20"/>
        <v>355.46750777202067</v>
      </c>
      <c r="V25" s="13">
        <f t="shared" si="20"/>
        <v>279.08167597765373</v>
      </c>
      <c r="W25" s="13">
        <f t="shared" si="20"/>
        <v>187.60164462809846</v>
      </c>
      <c r="X25" s="13">
        <f t="shared" si="20"/>
        <v>318.79742857142867</v>
      </c>
      <c r="Y25" s="13">
        <f t="shared" si="20"/>
        <v>439.61632257142776</v>
      </c>
      <c r="Z25" s="13">
        <f t="shared" si="20"/>
        <v>241.38838197333368</v>
      </c>
      <c r="AA25" s="13">
        <f t="shared" si="20"/>
        <v>232.15136681034471</v>
      </c>
      <c r="AB25" s="13">
        <f t="shared" si="20"/>
        <v>415.06998275555554</v>
      </c>
      <c r="AC25" s="222">
        <f t="shared" si="20"/>
        <v>230</v>
      </c>
      <c r="AD25" s="222">
        <f t="shared" si="20"/>
        <v>350.95238095238096</v>
      </c>
      <c r="AE25" s="222">
        <f t="shared" si="20"/>
        <v>237.64790538978798</v>
      </c>
      <c r="AH25" s="223">
        <v>399</v>
      </c>
      <c r="AI25" s="223">
        <v>184</v>
      </c>
      <c r="AJ25" s="223">
        <v>278</v>
      </c>
    </row>
    <row r="26" spans="1:36">
      <c r="A26" s="3" t="s">
        <v>24</v>
      </c>
      <c r="B26" s="6">
        <f>B28-B27</f>
        <v>369.99999999999977</v>
      </c>
      <c r="C26" s="6">
        <f t="shared" ref="C26:AE26" si="21">C28-C27</f>
        <v>415</v>
      </c>
      <c r="D26" s="6">
        <f t="shared" si="21"/>
        <v>520.00000000000011</v>
      </c>
      <c r="E26" s="6">
        <f t="shared" si="21"/>
        <v>523.00000000000011</v>
      </c>
      <c r="F26" s="6">
        <f t="shared" si="21"/>
        <v>459.99999999999994</v>
      </c>
      <c r="G26" s="6">
        <f t="shared" si="21"/>
        <v>487.10679487179493</v>
      </c>
      <c r="H26" s="6">
        <f t="shared" si="21"/>
        <v>537.18355999999994</v>
      </c>
      <c r="I26" s="6">
        <f t="shared" si="21"/>
        <v>512.20310539215689</v>
      </c>
      <c r="J26" s="6">
        <f t="shared" si="21"/>
        <v>591.19423404255315</v>
      </c>
      <c r="K26" s="6">
        <f t="shared" si="21"/>
        <v>667.70809398496237</v>
      </c>
      <c r="L26" s="6">
        <f t="shared" si="21"/>
        <v>733.43896043165444</v>
      </c>
      <c r="M26" s="6">
        <f t="shared" si="21"/>
        <v>686.65700375234519</v>
      </c>
      <c r="N26" s="6">
        <f t="shared" si="21"/>
        <v>710.55248994515512</v>
      </c>
      <c r="O26" s="6">
        <f t="shared" si="21"/>
        <v>589.24717222222193</v>
      </c>
      <c r="P26" s="6">
        <f t="shared" si="21"/>
        <v>653.06484693877542</v>
      </c>
      <c r="Q26" s="6">
        <f t="shared" si="21"/>
        <v>491.59273878627988</v>
      </c>
      <c r="R26" s="6">
        <f t="shared" si="21"/>
        <v>433.12036448598133</v>
      </c>
      <c r="S26" s="6">
        <f t="shared" si="21"/>
        <v>261.60204522613066</v>
      </c>
      <c r="T26" s="6">
        <f t="shared" si="21"/>
        <v>278.41100000000012</v>
      </c>
      <c r="U26" s="6">
        <f t="shared" si="21"/>
        <v>348.66850777202069</v>
      </c>
      <c r="V26" s="6">
        <f t="shared" si="21"/>
        <v>271.26667597765373</v>
      </c>
      <c r="W26" s="6">
        <f t="shared" si="21"/>
        <v>183.43364462809845</v>
      </c>
      <c r="X26" s="6">
        <f t="shared" si="21"/>
        <v>314.70842857142867</v>
      </c>
      <c r="Y26" s="6">
        <f t="shared" si="21"/>
        <v>437.40132257142778</v>
      </c>
      <c r="Z26" s="6">
        <f t="shared" si="21"/>
        <v>239.84238197333369</v>
      </c>
      <c r="AA26" s="6">
        <f t="shared" si="21"/>
        <v>230.8223668103447</v>
      </c>
      <c r="AB26" s="6">
        <f t="shared" si="21"/>
        <v>414.27198275555554</v>
      </c>
      <c r="AC26" s="224">
        <f t="shared" si="21"/>
        <v>229</v>
      </c>
      <c r="AD26" s="224">
        <f t="shared" si="21"/>
        <v>349.95238095238096</v>
      </c>
      <c r="AE26" s="224">
        <f t="shared" si="21"/>
        <v>236.64790538978798</v>
      </c>
      <c r="AH26" s="223">
        <v>398</v>
      </c>
      <c r="AI26" s="223">
        <v>183</v>
      </c>
      <c r="AJ26" s="223">
        <v>277</v>
      </c>
    </row>
    <row r="27" spans="1:36">
      <c r="A27" s="3" t="s">
        <v>9</v>
      </c>
      <c r="B27" s="6">
        <v>220</v>
      </c>
      <c r="C27" s="6">
        <v>85</v>
      </c>
      <c r="D27" s="6">
        <v>65</v>
      </c>
      <c r="E27" s="6">
        <v>22</v>
      </c>
      <c r="F27" s="6">
        <v>10</v>
      </c>
      <c r="G27" s="6">
        <v>3</v>
      </c>
      <c r="H27" s="6">
        <f t="shared" ref="H27:AB27" si="22">H156</f>
        <v>1.419</v>
      </c>
      <c r="I27" s="6">
        <f t="shared" si="22"/>
        <v>2.5760000000000001</v>
      </c>
      <c r="J27" s="6">
        <f t="shared" si="22"/>
        <v>2.3420000000000001</v>
      </c>
      <c r="K27" s="6">
        <f t="shared" si="22"/>
        <v>6.0990000000000002</v>
      </c>
      <c r="L27" s="6">
        <f t="shared" si="22"/>
        <v>9.3919999999999995</v>
      </c>
      <c r="M27" s="6">
        <f t="shared" si="22"/>
        <v>25.268000000000001</v>
      </c>
      <c r="N27" s="6">
        <f t="shared" si="22"/>
        <v>28.380000000000003</v>
      </c>
      <c r="O27" s="6">
        <f t="shared" si="22"/>
        <v>134.79499999999999</v>
      </c>
      <c r="P27" s="6">
        <f t="shared" si="22"/>
        <v>10.029999999999998</v>
      </c>
      <c r="Q27" s="6">
        <f t="shared" si="22"/>
        <v>14.654</v>
      </c>
      <c r="R27" s="6">
        <f t="shared" si="22"/>
        <v>5.5430000000000001</v>
      </c>
      <c r="S27" s="6">
        <f t="shared" si="22"/>
        <v>3.7849999999999997</v>
      </c>
      <c r="T27" s="6">
        <f t="shared" si="22"/>
        <v>5.9920000000000009</v>
      </c>
      <c r="U27" s="6">
        <f t="shared" si="22"/>
        <v>6.7990000000000004</v>
      </c>
      <c r="V27" s="6">
        <f t="shared" si="22"/>
        <v>7.8149999999999995</v>
      </c>
      <c r="W27" s="6">
        <f t="shared" si="22"/>
        <v>4.1680000000000001</v>
      </c>
      <c r="X27" s="6">
        <f t="shared" si="22"/>
        <v>4.0889999999999995</v>
      </c>
      <c r="Y27" s="6">
        <f t="shared" si="22"/>
        <v>2.2150000000000003</v>
      </c>
      <c r="Z27" s="6">
        <f t="shared" si="22"/>
        <v>1.5459999999999998</v>
      </c>
      <c r="AA27" s="6">
        <f t="shared" si="22"/>
        <v>1.329</v>
      </c>
      <c r="AB27" s="6">
        <f t="shared" si="22"/>
        <v>0.79800000000000004</v>
      </c>
      <c r="AC27" s="224">
        <f>3-2</f>
        <v>1</v>
      </c>
      <c r="AD27" s="224">
        <v>1</v>
      </c>
      <c r="AE27" s="224">
        <v>1</v>
      </c>
      <c r="AH27" s="223">
        <v>1</v>
      </c>
      <c r="AI27" s="223">
        <v>1</v>
      </c>
      <c r="AJ27" s="223">
        <v>1</v>
      </c>
    </row>
    <row r="28" spans="1:36">
      <c r="A28" s="221" t="s">
        <v>12</v>
      </c>
      <c r="B28" s="13">
        <f>B25-B29</f>
        <v>589.99999999999977</v>
      </c>
      <c r="C28" s="13">
        <f t="shared" ref="C28:AE28" si="23">C25-C29</f>
        <v>500</v>
      </c>
      <c r="D28" s="13">
        <f t="shared" si="23"/>
        <v>585.00000000000011</v>
      </c>
      <c r="E28" s="13">
        <f t="shared" si="23"/>
        <v>545.00000000000011</v>
      </c>
      <c r="F28" s="13">
        <f t="shared" si="23"/>
        <v>469.99999999999994</v>
      </c>
      <c r="G28" s="13">
        <f t="shared" si="23"/>
        <v>490.10679487179493</v>
      </c>
      <c r="H28" s="13">
        <f t="shared" si="23"/>
        <v>538.60255999999993</v>
      </c>
      <c r="I28" s="13">
        <f t="shared" si="23"/>
        <v>514.77910539215691</v>
      </c>
      <c r="J28" s="13">
        <f t="shared" si="23"/>
        <v>593.53623404255313</v>
      </c>
      <c r="K28" s="13">
        <f t="shared" si="23"/>
        <v>673.80709398496242</v>
      </c>
      <c r="L28" s="13">
        <f t="shared" si="23"/>
        <v>742.83096043165449</v>
      </c>
      <c r="M28" s="13">
        <f t="shared" si="23"/>
        <v>711.92500375234522</v>
      </c>
      <c r="N28" s="13">
        <f t="shared" si="23"/>
        <v>738.93248994515511</v>
      </c>
      <c r="O28" s="13">
        <f t="shared" si="23"/>
        <v>724.04217222222189</v>
      </c>
      <c r="P28" s="13">
        <f t="shared" si="23"/>
        <v>663.09484693877539</v>
      </c>
      <c r="Q28" s="13">
        <f t="shared" si="23"/>
        <v>506.24673878627988</v>
      </c>
      <c r="R28" s="13">
        <f t="shared" si="23"/>
        <v>438.66336448598133</v>
      </c>
      <c r="S28" s="13">
        <f t="shared" si="23"/>
        <v>265.38704522613068</v>
      </c>
      <c r="T28" s="13">
        <f t="shared" si="23"/>
        <v>284.40300000000013</v>
      </c>
      <c r="U28" s="13">
        <f t="shared" si="23"/>
        <v>355.46750777202067</v>
      </c>
      <c r="V28" s="13">
        <f t="shared" si="23"/>
        <v>279.08167597765373</v>
      </c>
      <c r="W28" s="13">
        <f t="shared" si="23"/>
        <v>187.60164462809846</v>
      </c>
      <c r="X28" s="13">
        <f t="shared" si="23"/>
        <v>318.79742857142867</v>
      </c>
      <c r="Y28" s="13">
        <f t="shared" si="23"/>
        <v>439.61632257142776</v>
      </c>
      <c r="Z28" s="13">
        <f t="shared" si="23"/>
        <v>241.38838197333368</v>
      </c>
      <c r="AA28" s="13">
        <f t="shared" si="23"/>
        <v>232.15136681034471</v>
      </c>
      <c r="AB28" s="13">
        <f t="shared" si="23"/>
        <v>415.06998275555554</v>
      </c>
      <c r="AC28" s="222">
        <f t="shared" si="23"/>
        <v>230</v>
      </c>
      <c r="AD28" s="222">
        <f t="shared" si="23"/>
        <v>350.95238095238096</v>
      </c>
      <c r="AE28" s="222">
        <f t="shared" si="23"/>
        <v>237.64790538978798</v>
      </c>
      <c r="AH28" s="226"/>
      <c r="AJ28" s="393" t="s">
        <v>218</v>
      </c>
    </row>
    <row r="29" spans="1:36">
      <c r="A29" s="3" t="s">
        <v>338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224">
        <v>0</v>
      </c>
      <c r="AD29" s="224">
        <v>0</v>
      </c>
      <c r="AE29" s="224">
        <v>0</v>
      </c>
      <c r="AH29" s="223">
        <v>0</v>
      </c>
      <c r="AI29" s="223">
        <v>0</v>
      </c>
      <c r="AJ29" s="223">
        <v>0</v>
      </c>
    </row>
    <row r="30" spans="1:36" ht="15.75" thickBot="1">
      <c r="A30" s="3" t="s">
        <v>225</v>
      </c>
      <c r="AH30" s="226"/>
      <c r="AJ30" s="393"/>
    </row>
    <row r="31" spans="1:36">
      <c r="A31" s="229" t="s">
        <v>403</v>
      </c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H31" s="226"/>
      <c r="AJ31" s="393"/>
    </row>
    <row r="32" spans="1:36">
      <c r="A32" s="221" t="s">
        <v>316</v>
      </c>
      <c r="B32" s="13">
        <v>0</v>
      </c>
      <c r="C32" s="13">
        <f>B42</f>
        <v>0</v>
      </c>
      <c r="D32" s="13">
        <f t="shared" ref="D32:AE32" si="24">C42</f>
        <v>0</v>
      </c>
      <c r="E32" s="13">
        <f t="shared" si="24"/>
        <v>0</v>
      </c>
      <c r="F32" s="13">
        <f t="shared" si="24"/>
        <v>0</v>
      </c>
      <c r="G32" s="13">
        <f t="shared" si="24"/>
        <v>0</v>
      </c>
      <c r="H32" s="13">
        <f t="shared" si="24"/>
        <v>70</v>
      </c>
      <c r="I32" s="13">
        <f t="shared" si="24"/>
        <v>98</v>
      </c>
      <c r="J32" s="13">
        <f t="shared" si="24"/>
        <v>71</v>
      </c>
      <c r="K32" s="13">
        <f t="shared" si="24"/>
        <v>52</v>
      </c>
      <c r="L32" s="13">
        <f t="shared" si="24"/>
        <v>56</v>
      </c>
      <c r="M32" s="13">
        <f t="shared" si="24"/>
        <v>69</v>
      </c>
      <c r="N32" s="13">
        <f t="shared" si="24"/>
        <v>31</v>
      </c>
      <c r="O32" s="13">
        <f t="shared" si="24"/>
        <v>50</v>
      </c>
      <c r="P32" s="13">
        <f t="shared" si="24"/>
        <v>141</v>
      </c>
      <c r="Q32" s="13">
        <f t="shared" si="24"/>
        <v>34</v>
      </c>
      <c r="R32" s="13">
        <f t="shared" si="24"/>
        <v>167</v>
      </c>
      <c r="S32" s="13">
        <f t="shared" si="24"/>
        <v>205</v>
      </c>
      <c r="T32" s="13">
        <f t="shared" si="24"/>
        <v>138</v>
      </c>
      <c r="U32" s="13">
        <f t="shared" si="24"/>
        <v>204</v>
      </c>
      <c r="V32" s="13">
        <f t="shared" si="24"/>
        <v>150</v>
      </c>
      <c r="W32" s="13">
        <f t="shared" si="24"/>
        <v>343</v>
      </c>
      <c r="X32" s="13">
        <f t="shared" si="24"/>
        <v>335</v>
      </c>
      <c r="Y32" s="13">
        <f t="shared" si="24"/>
        <v>264</v>
      </c>
      <c r="Z32" s="13">
        <f t="shared" si="24"/>
        <v>516</v>
      </c>
      <c r="AA32" s="13">
        <f t="shared" si="24"/>
        <v>563</v>
      </c>
      <c r="AB32" s="13">
        <f t="shared" si="24"/>
        <v>395</v>
      </c>
      <c r="AC32" s="13">
        <f t="shared" si="24"/>
        <v>250</v>
      </c>
      <c r="AD32" s="222">
        <f t="shared" si="24"/>
        <v>105</v>
      </c>
      <c r="AE32" s="222">
        <f t="shared" si="24"/>
        <v>110</v>
      </c>
      <c r="AH32" s="223">
        <v>395</v>
      </c>
      <c r="AI32" s="223">
        <v>390</v>
      </c>
      <c r="AJ32" s="223">
        <v>106</v>
      </c>
    </row>
    <row r="33" spans="1:36">
      <c r="A33" s="3" t="s">
        <v>5</v>
      </c>
      <c r="B33" s="6">
        <f>B219</f>
        <v>470.00000000000006</v>
      </c>
      <c r="C33" s="6">
        <f>C219</f>
        <v>399.99999999999994</v>
      </c>
      <c r="D33" s="6">
        <f t="shared" ref="D33:AB33" si="25">D219</f>
        <v>455</v>
      </c>
      <c r="E33" s="6">
        <f t="shared" si="25"/>
        <v>425.00000000000006</v>
      </c>
      <c r="F33" s="6">
        <f t="shared" si="25"/>
        <v>369.99999999999989</v>
      </c>
      <c r="G33" s="6">
        <f t="shared" si="25"/>
        <v>390.08500000000009</v>
      </c>
      <c r="H33" s="6">
        <f t="shared" si="25"/>
        <v>425.476</v>
      </c>
      <c r="I33" s="6">
        <f t="shared" si="25"/>
        <v>407.82499999999999</v>
      </c>
      <c r="J33" s="6">
        <f t="shared" si="25"/>
        <v>472.81700000000001</v>
      </c>
      <c r="K33" s="6">
        <f t="shared" si="25"/>
        <v>532.63800000000003</v>
      </c>
      <c r="L33" s="6">
        <f t="shared" si="25"/>
        <v>556.24499999999989</v>
      </c>
      <c r="M33" s="6">
        <f t="shared" si="25"/>
        <v>533.5390000000001</v>
      </c>
      <c r="N33" s="6">
        <f t="shared" si="25"/>
        <v>554.40099999999995</v>
      </c>
      <c r="O33" s="6">
        <f t="shared" si="25"/>
        <v>542.25299999999993</v>
      </c>
      <c r="P33" s="6">
        <f t="shared" si="25"/>
        <v>497.57499999999987</v>
      </c>
      <c r="Q33" s="6">
        <f t="shared" si="25"/>
        <v>379.04100000000017</v>
      </c>
      <c r="R33" s="6">
        <f t="shared" si="25"/>
        <v>321.22399999999993</v>
      </c>
      <c r="S33" s="6">
        <f t="shared" si="25"/>
        <v>198.97300000000004</v>
      </c>
      <c r="T33" s="6">
        <f t="shared" si="25"/>
        <v>195.3120000000001</v>
      </c>
      <c r="U33" s="6">
        <f t="shared" si="25"/>
        <v>193.53299999999996</v>
      </c>
      <c r="V33" s="6">
        <f t="shared" si="25"/>
        <v>179.08700000000007</v>
      </c>
      <c r="W33" s="6">
        <f t="shared" si="25"/>
        <v>120.81899999999945</v>
      </c>
      <c r="X33" s="6">
        <f t="shared" si="25"/>
        <v>104.61300000000011</v>
      </c>
      <c r="Y33" s="6">
        <f t="shared" si="25"/>
        <v>104.28936199999947</v>
      </c>
      <c r="Z33" s="6">
        <f t="shared" si="25"/>
        <v>91.901584000000298</v>
      </c>
      <c r="AA33" s="6">
        <f t="shared" si="25"/>
        <v>58.666896999999892</v>
      </c>
      <c r="AB33" s="6">
        <f t="shared" si="25"/>
        <v>44.788975999999991</v>
      </c>
      <c r="AC33" s="224">
        <f>AC235*AC92</f>
        <v>61.999999999999993</v>
      </c>
      <c r="AD33" s="224">
        <f t="shared" ref="AD33:AE33" si="26">AD235*AD92</f>
        <v>62.738095238095241</v>
      </c>
      <c r="AE33" s="224">
        <f t="shared" si="26"/>
        <v>65.883349177905203</v>
      </c>
      <c r="AH33" s="223">
        <v>45</v>
      </c>
      <c r="AI33" s="223">
        <v>62</v>
      </c>
      <c r="AJ33" s="223">
        <v>60</v>
      </c>
    </row>
    <row r="34" spans="1:36">
      <c r="A34" s="3" t="s">
        <v>6</v>
      </c>
      <c r="B34" s="6">
        <v>0</v>
      </c>
      <c r="C34" s="6">
        <v>70</v>
      </c>
      <c r="D34" s="6">
        <v>80</v>
      </c>
      <c r="E34" s="6">
        <v>420</v>
      </c>
      <c r="F34" s="6">
        <v>125</v>
      </c>
      <c r="G34" s="6">
        <v>550</v>
      </c>
      <c r="H34" s="6">
        <f>H267</f>
        <v>502.59200000000004</v>
      </c>
      <c r="I34" s="6">
        <f>I267</f>
        <v>365.48599999999999</v>
      </c>
      <c r="J34" s="6">
        <f t="shared" ref="J34:AB34" si="27">J267</f>
        <v>20.536000000000001</v>
      </c>
      <c r="K34" s="6">
        <f t="shared" si="27"/>
        <v>71.62299999999999</v>
      </c>
      <c r="L34" s="6">
        <f t="shared" si="27"/>
        <v>106.90299999999999</v>
      </c>
      <c r="M34" s="6">
        <f t="shared" si="27"/>
        <v>9.168000000000001</v>
      </c>
      <c r="N34" s="6">
        <f t="shared" si="27"/>
        <v>92.12700000000001</v>
      </c>
      <c r="O34" s="6">
        <f t="shared" si="27"/>
        <v>201.22800000000001</v>
      </c>
      <c r="P34" s="6">
        <f t="shared" si="27"/>
        <v>22.702999999999999</v>
      </c>
      <c r="Q34" s="6">
        <f t="shared" si="27"/>
        <v>554.81899999999996</v>
      </c>
      <c r="R34" s="6">
        <f t="shared" si="27"/>
        <v>567.95399999999995</v>
      </c>
      <c r="S34" s="6">
        <f t="shared" si="27"/>
        <v>635.43500000000006</v>
      </c>
      <c r="T34" s="6">
        <f t="shared" si="27"/>
        <v>1072.079</v>
      </c>
      <c r="U34" s="6">
        <f t="shared" si="27"/>
        <v>953.64800000000014</v>
      </c>
      <c r="V34" s="6">
        <f t="shared" si="27"/>
        <v>1515.7619999999999</v>
      </c>
      <c r="W34" s="6">
        <f t="shared" si="27"/>
        <v>1574.6899999999996</v>
      </c>
      <c r="X34" s="6">
        <f t="shared" si="27"/>
        <v>1492.174</v>
      </c>
      <c r="Y34" s="6">
        <f t="shared" si="27"/>
        <v>2150.9761250000001</v>
      </c>
      <c r="Z34" s="6">
        <f t="shared" si="27"/>
        <v>2458.931705</v>
      </c>
      <c r="AA34" s="6">
        <f t="shared" si="27"/>
        <v>2327.8161049999999</v>
      </c>
      <c r="AB34" s="6">
        <f t="shared" si="27"/>
        <v>2513.8495830000002</v>
      </c>
      <c r="AC34" s="224">
        <v>2407</v>
      </c>
      <c r="AD34" s="224">
        <v>2411</v>
      </c>
      <c r="AE34" s="224">
        <v>2413</v>
      </c>
      <c r="AH34" s="212">
        <v>2514</v>
      </c>
      <c r="AI34" s="212">
        <v>1958</v>
      </c>
      <c r="AJ34" s="212">
        <v>2100</v>
      </c>
    </row>
    <row r="35" spans="1:36">
      <c r="A35" s="221" t="s">
        <v>7</v>
      </c>
      <c r="B35" s="13">
        <f>SUM(B32:B34)</f>
        <v>470.00000000000006</v>
      </c>
      <c r="C35" s="13">
        <f t="shared" ref="C35:AE35" si="28">SUM(C32:C34)</f>
        <v>469.99999999999994</v>
      </c>
      <c r="D35" s="13">
        <f t="shared" si="28"/>
        <v>535</v>
      </c>
      <c r="E35" s="13">
        <f t="shared" si="28"/>
        <v>845</v>
      </c>
      <c r="F35" s="13">
        <f t="shared" si="28"/>
        <v>494.99999999999989</v>
      </c>
      <c r="G35" s="13">
        <f t="shared" si="28"/>
        <v>940.08500000000004</v>
      </c>
      <c r="H35" s="13">
        <f t="shared" si="28"/>
        <v>998.06799999999998</v>
      </c>
      <c r="I35" s="13">
        <f t="shared" si="28"/>
        <v>871.31099999999992</v>
      </c>
      <c r="J35" s="13">
        <f t="shared" si="28"/>
        <v>564.35300000000007</v>
      </c>
      <c r="K35" s="13">
        <f t="shared" si="28"/>
        <v>656.26099999999997</v>
      </c>
      <c r="L35" s="13">
        <f t="shared" si="28"/>
        <v>719.14799999999991</v>
      </c>
      <c r="M35" s="13">
        <f t="shared" si="28"/>
        <v>611.70700000000011</v>
      </c>
      <c r="N35" s="13">
        <f t="shared" si="28"/>
        <v>677.52800000000002</v>
      </c>
      <c r="O35" s="13">
        <f t="shared" si="28"/>
        <v>793.48099999999999</v>
      </c>
      <c r="P35" s="13">
        <f t="shared" si="28"/>
        <v>661.27799999999979</v>
      </c>
      <c r="Q35" s="13">
        <f t="shared" si="28"/>
        <v>967.86000000000013</v>
      </c>
      <c r="R35" s="13">
        <f t="shared" si="28"/>
        <v>1056.1779999999999</v>
      </c>
      <c r="S35" s="13">
        <f t="shared" si="28"/>
        <v>1039.4080000000001</v>
      </c>
      <c r="T35" s="13">
        <f t="shared" si="28"/>
        <v>1405.3910000000001</v>
      </c>
      <c r="U35" s="13">
        <f t="shared" si="28"/>
        <v>1351.181</v>
      </c>
      <c r="V35" s="13">
        <f t="shared" si="28"/>
        <v>1844.8490000000002</v>
      </c>
      <c r="W35" s="13">
        <f t="shared" si="28"/>
        <v>2038.5089999999991</v>
      </c>
      <c r="X35" s="13">
        <f t="shared" si="28"/>
        <v>1931.787</v>
      </c>
      <c r="Y35" s="13">
        <f t="shared" si="28"/>
        <v>2519.2654869999997</v>
      </c>
      <c r="Z35" s="13">
        <f t="shared" si="28"/>
        <v>3066.8332890000001</v>
      </c>
      <c r="AA35" s="13">
        <f t="shared" si="28"/>
        <v>2949.4830019999999</v>
      </c>
      <c r="AB35" s="13">
        <f t="shared" si="28"/>
        <v>2953.638559</v>
      </c>
      <c r="AC35" s="222">
        <f t="shared" si="28"/>
        <v>2719</v>
      </c>
      <c r="AD35" s="222">
        <f t="shared" si="28"/>
        <v>2578.7380952380954</v>
      </c>
      <c r="AE35" s="222">
        <f t="shared" si="28"/>
        <v>2588.8833491779051</v>
      </c>
      <c r="AH35" s="212">
        <v>2954</v>
      </c>
      <c r="AI35" s="212">
        <v>2410</v>
      </c>
      <c r="AJ35" s="212">
        <v>2266</v>
      </c>
    </row>
    <row r="36" spans="1:36">
      <c r="A36" s="3" t="s">
        <v>24</v>
      </c>
      <c r="B36" s="6">
        <f>SUM(B37:B39)</f>
        <v>470</v>
      </c>
      <c r="C36" s="6">
        <f t="shared" ref="C36:AB36" si="29">SUM(C37:C39)</f>
        <v>470</v>
      </c>
      <c r="D36" s="6">
        <f t="shared" si="29"/>
        <v>535</v>
      </c>
      <c r="E36" s="6">
        <f t="shared" si="29"/>
        <v>845</v>
      </c>
      <c r="F36" s="6">
        <f t="shared" si="29"/>
        <v>495</v>
      </c>
      <c r="G36" s="6">
        <f t="shared" si="29"/>
        <v>870</v>
      </c>
      <c r="H36" s="6">
        <f t="shared" si="29"/>
        <v>900</v>
      </c>
      <c r="I36" s="6">
        <f t="shared" si="29"/>
        <v>800</v>
      </c>
      <c r="J36" s="6">
        <f t="shared" si="29"/>
        <v>510</v>
      </c>
      <c r="K36" s="6">
        <f t="shared" si="29"/>
        <v>600</v>
      </c>
      <c r="L36" s="6">
        <f t="shared" si="29"/>
        <v>650</v>
      </c>
      <c r="M36" s="6">
        <f t="shared" si="29"/>
        <v>580</v>
      </c>
      <c r="N36" s="6">
        <f t="shared" si="29"/>
        <v>620</v>
      </c>
      <c r="O36" s="6">
        <f t="shared" si="29"/>
        <v>650</v>
      </c>
      <c r="P36" s="6">
        <f t="shared" si="29"/>
        <v>620</v>
      </c>
      <c r="Q36" s="6">
        <f t="shared" si="29"/>
        <v>800</v>
      </c>
      <c r="R36" s="6">
        <f t="shared" si="29"/>
        <v>850</v>
      </c>
      <c r="S36" s="6">
        <f t="shared" si="29"/>
        <v>900</v>
      </c>
      <c r="T36" s="6">
        <f t="shared" si="29"/>
        <v>1200</v>
      </c>
      <c r="U36" s="6">
        <f t="shared" si="29"/>
        <v>1200</v>
      </c>
      <c r="V36" s="6">
        <f t="shared" si="29"/>
        <v>1500</v>
      </c>
      <c r="W36" s="6">
        <f t="shared" si="29"/>
        <v>1700</v>
      </c>
      <c r="X36" s="6">
        <f t="shared" si="29"/>
        <v>1665</v>
      </c>
      <c r="Y36" s="6">
        <f t="shared" si="29"/>
        <v>2000</v>
      </c>
      <c r="Z36" s="6">
        <f t="shared" si="29"/>
        <v>2500</v>
      </c>
      <c r="AA36" s="6">
        <f t="shared" si="29"/>
        <v>2550</v>
      </c>
      <c r="AB36" s="6">
        <f t="shared" si="29"/>
        <v>2700</v>
      </c>
      <c r="AC36" s="224">
        <f>SUM(AC37:AC39)</f>
        <v>2610</v>
      </c>
      <c r="AD36" s="224">
        <f t="shared" ref="AD36:AE36" si="30">SUM(AD37:AD39)</f>
        <v>2465</v>
      </c>
      <c r="AE36" s="224">
        <f t="shared" si="30"/>
        <v>2465</v>
      </c>
      <c r="AH36" s="212">
        <v>2560</v>
      </c>
      <c r="AI36" s="212">
        <v>2300</v>
      </c>
      <c r="AJ36" s="212">
        <v>2200</v>
      </c>
    </row>
    <row r="37" spans="1:36">
      <c r="A37" s="3" t="s">
        <v>30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224">
        <v>0</v>
      </c>
      <c r="AD37" s="224">
        <v>0</v>
      </c>
      <c r="AE37" s="224">
        <v>0</v>
      </c>
      <c r="AH37" s="223">
        <v>0</v>
      </c>
      <c r="AI37" s="223">
        <v>0</v>
      </c>
      <c r="AJ37" s="223">
        <v>0</v>
      </c>
    </row>
    <row r="38" spans="1:36">
      <c r="A38" s="3" t="s">
        <v>31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224">
        <v>0</v>
      </c>
      <c r="AD38" s="224">
        <v>0</v>
      </c>
      <c r="AE38" s="224">
        <v>0</v>
      </c>
      <c r="AH38" s="223">
        <v>0</v>
      </c>
      <c r="AI38" s="223">
        <v>0</v>
      </c>
      <c r="AJ38" s="223">
        <v>0</v>
      </c>
    </row>
    <row r="39" spans="1:36">
      <c r="A39" s="3" t="s">
        <v>32</v>
      </c>
      <c r="B39" s="6">
        <v>470</v>
      </c>
      <c r="C39" s="6">
        <v>470</v>
      </c>
      <c r="D39" s="6">
        <v>535</v>
      </c>
      <c r="E39" s="6">
        <v>845</v>
      </c>
      <c r="F39" s="6">
        <v>495</v>
      </c>
      <c r="G39" s="6">
        <v>870</v>
      </c>
      <c r="H39" s="6">
        <v>900</v>
      </c>
      <c r="I39" s="6">
        <v>800</v>
      </c>
      <c r="J39" s="6">
        <v>510</v>
      </c>
      <c r="K39" s="6">
        <v>600</v>
      </c>
      <c r="L39" s="6">
        <v>650</v>
      </c>
      <c r="M39" s="6">
        <v>580</v>
      </c>
      <c r="N39" s="6">
        <v>620</v>
      </c>
      <c r="O39" s="6">
        <v>650</v>
      </c>
      <c r="P39" s="6">
        <v>620</v>
      </c>
      <c r="Q39" s="6">
        <v>800</v>
      </c>
      <c r="R39" s="6">
        <v>850</v>
      </c>
      <c r="S39" s="6">
        <v>900</v>
      </c>
      <c r="T39" s="6">
        <v>1200</v>
      </c>
      <c r="U39" s="6">
        <v>1200</v>
      </c>
      <c r="V39" s="6">
        <v>1500</v>
      </c>
      <c r="W39" s="6">
        <v>1700</v>
      </c>
      <c r="X39" s="6">
        <v>1665</v>
      </c>
      <c r="Y39" s="6">
        <v>2000</v>
      </c>
      <c r="Z39" s="6">
        <v>2500</v>
      </c>
      <c r="AA39" s="6">
        <v>2550</v>
      </c>
      <c r="AB39" s="6">
        <v>2700</v>
      </c>
      <c r="AC39" s="224">
        <v>2610</v>
      </c>
      <c r="AD39" s="224">
        <v>2465</v>
      </c>
      <c r="AE39" s="224">
        <v>2465</v>
      </c>
      <c r="AH39" s="212">
        <v>2560</v>
      </c>
      <c r="AI39" s="212">
        <v>2300</v>
      </c>
      <c r="AJ39" s="212">
        <v>2200</v>
      </c>
    </row>
    <row r="40" spans="1:36">
      <c r="A40" s="3" t="s">
        <v>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f t="shared" ref="H40:AB40" si="31">H283</f>
        <v>6.8000000000000005E-2</v>
      </c>
      <c r="I40" s="6">
        <f t="shared" si="31"/>
        <v>0.31100000000000005</v>
      </c>
      <c r="J40" s="6">
        <f t="shared" si="31"/>
        <v>2.3530000000000002</v>
      </c>
      <c r="K40" s="6">
        <f t="shared" si="31"/>
        <v>0.26100000000000001</v>
      </c>
      <c r="L40" s="6">
        <f t="shared" si="31"/>
        <v>0.14800000000000002</v>
      </c>
      <c r="M40" s="6">
        <f t="shared" si="31"/>
        <v>0.70700000000000007</v>
      </c>
      <c r="N40" s="6">
        <f t="shared" si="31"/>
        <v>7.5280000000000005</v>
      </c>
      <c r="O40" s="6">
        <f t="shared" si="31"/>
        <v>2.4810000000000003</v>
      </c>
      <c r="P40" s="6">
        <f t="shared" si="31"/>
        <v>7.2779999999999996</v>
      </c>
      <c r="Q40" s="6">
        <f t="shared" si="31"/>
        <v>0.85999999999999988</v>
      </c>
      <c r="R40" s="6">
        <f t="shared" si="31"/>
        <v>1.1779999999999999</v>
      </c>
      <c r="S40" s="6">
        <f t="shared" si="31"/>
        <v>1.4080000000000001</v>
      </c>
      <c r="T40" s="6">
        <f t="shared" si="31"/>
        <v>1.3909999999999998</v>
      </c>
      <c r="U40" s="6">
        <f t="shared" si="31"/>
        <v>1.1809999999999998</v>
      </c>
      <c r="V40" s="6">
        <f t="shared" si="31"/>
        <v>1.8490000000000004</v>
      </c>
      <c r="W40" s="6">
        <f t="shared" si="31"/>
        <v>3.5090000000000008</v>
      </c>
      <c r="X40" s="6">
        <f t="shared" si="31"/>
        <v>2.7870000000000004</v>
      </c>
      <c r="Y40" s="6">
        <f t="shared" si="31"/>
        <v>3.2654869999999998</v>
      </c>
      <c r="Z40" s="6">
        <f t="shared" si="31"/>
        <v>3.8332890000000002</v>
      </c>
      <c r="AA40" s="6">
        <f t="shared" si="31"/>
        <v>4.4830020000000008</v>
      </c>
      <c r="AB40" s="6">
        <f t="shared" si="31"/>
        <v>3.6385589999999999</v>
      </c>
      <c r="AC40" s="224">
        <f>AC41-AC36</f>
        <v>4</v>
      </c>
      <c r="AD40" s="224">
        <v>6.4</v>
      </c>
      <c r="AE40" s="224">
        <f t="shared" ref="AE40" si="32">AE41-AE36</f>
        <v>3.8833491779050746</v>
      </c>
      <c r="AH40" s="223">
        <v>4</v>
      </c>
      <c r="AI40" s="223">
        <v>4</v>
      </c>
      <c r="AJ40" s="223">
        <v>6</v>
      </c>
    </row>
    <row r="41" spans="1:36">
      <c r="A41" s="221" t="s">
        <v>12</v>
      </c>
      <c r="B41" s="13">
        <f>B35-B42</f>
        <v>470.00000000000006</v>
      </c>
      <c r="C41" s="13">
        <f t="shared" ref="C41:AE41" si="33">C35-C42</f>
        <v>469.99999999999994</v>
      </c>
      <c r="D41" s="13">
        <f t="shared" si="33"/>
        <v>535</v>
      </c>
      <c r="E41" s="13">
        <f t="shared" si="33"/>
        <v>845</v>
      </c>
      <c r="F41" s="13">
        <f t="shared" si="33"/>
        <v>494.99999999999989</v>
      </c>
      <c r="G41" s="13">
        <f t="shared" si="33"/>
        <v>870.08500000000004</v>
      </c>
      <c r="H41" s="13">
        <f t="shared" si="33"/>
        <v>900.06799999999998</v>
      </c>
      <c r="I41" s="13">
        <f t="shared" si="33"/>
        <v>800.31099999999992</v>
      </c>
      <c r="J41" s="13">
        <f t="shared" si="33"/>
        <v>512.35300000000007</v>
      </c>
      <c r="K41" s="13">
        <f t="shared" si="33"/>
        <v>600.26099999999997</v>
      </c>
      <c r="L41" s="13">
        <f t="shared" si="33"/>
        <v>650.14799999999991</v>
      </c>
      <c r="M41" s="13">
        <f t="shared" si="33"/>
        <v>580.70700000000011</v>
      </c>
      <c r="N41" s="13">
        <f t="shared" si="33"/>
        <v>627.52800000000002</v>
      </c>
      <c r="O41" s="13">
        <f t="shared" si="33"/>
        <v>652.48099999999999</v>
      </c>
      <c r="P41" s="13">
        <f t="shared" si="33"/>
        <v>627.27799999999979</v>
      </c>
      <c r="Q41" s="13">
        <f t="shared" si="33"/>
        <v>800.86000000000013</v>
      </c>
      <c r="R41" s="13">
        <f t="shared" si="33"/>
        <v>851.17799999999988</v>
      </c>
      <c r="S41" s="13">
        <f t="shared" si="33"/>
        <v>901.40800000000013</v>
      </c>
      <c r="T41" s="13">
        <f t="shared" si="33"/>
        <v>1201.3910000000001</v>
      </c>
      <c r="U41" s="13">
        <f t="shared" si="33"/>
        <v>1201.181</v>
      </c>
      <c r="V41" s="13">
        <f t="shared" si="33"/>
        <v>1501.8490000000002</v>
      </c>
      <c r="W41" s="13">
        <f t="shared" si="33"/>
        <v>1703.5089999999991</v>
      </c>
      <c r="X41" s="13">
        <f t="shared" si="33"/>
        <v>1667.787</v>
      </c>
      <c r="Y41" s="13">
        <f t="shared" si="33"/>
        <v>2003.2654869999997</v>
      </c>
      <c r="Z41" s="13">
        <f t="shared" si="33"/>
        <v>2503.8332890000001</v>
      </c>
      <c r="AA41" s="13">
        <f t="shared" si="33"/>
        <v>2554.4830019999999</v>
      </c>
      <c r="AB41" s="13">
        <f t="shared" si="33"/>
        <v>2703.638559</v>
      </c>
      <c r="AC41" s="222">
        <f t="shared" si="33"/>
        <v>2614</v>
      </c>
      <c r="AD41" s="222">
        <f t="shared" si="33"/>
        <v>2468.7380952380954</v>
      </c>
      <c r="AE41" s="222">
        <f t="shared" si="33"/>
        <v>2468.8833491779051</v>
      </c>
      <c r="AH41" s="226"/>
      <c r="AJ41" s="393" t="s">
        <v>218</v>
      </c>
    </row>
    <row r="42" spans="1:36">
      <c r="A42" s="3" t="s">
        <v>317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70</v>
      </c>
      <c r="H42" s="6">
        <v>98</v>
      </c>
      <c r="I42" s="6">
        <v>71</v>
      </c>
      <c r="J42" s="6">
        <v>52</v>
      </c>
      <c r="K42" s="6">
        <v>56</v>
      </c>
      <c r="L42" s="6">
        <v>69</v>
      </c>
      <c r="M42" s="6">
        <v>31</v>
      </c>
      <c r="N42" s="6">
        <v>50</v>
      </c>
      <c r="O42" s="6">
        <v>141</v>
      </c>
      <c r="P42" s="6">
        <v>34</v>
      </c>
      <c r="Q42" s="6">
        <v>167</v>
      </c>
      <c r="R42" s="6">
        <v>205</v>
      </c>
      <c r="S42" s="6">
        <v>138</v>
      </c>
      <c r="T42" s="6">
        <v>204</v>
      </c>
      <c r="U42" s="6">
        <v>150</v>
      </c>
      <c r="V42" s="6">
        <v>343</v>
      </c>
      <c r="W42" s="6">
        <v>335</v>
      </c>
      <c r="X42" s="6">
        <v>264</v>
      </c>
      <c r="Y42" s="6">
        <v>516</v>
      </c>
      <c r="Z42" s="6">
        <v>563</v>
      </c>
      <c r="AA42" s="6">
        <v>395</v>
      </c>
      <c r="AB42" s="6">
        <v>250</v>
      </c>
      <c r="AC42" s="224">
        <v>105</v>
      </c>
      <c r="AD42" s="224">
        <v>110</v>
      </c>
      <c r="AE42" s="224">
        <v>120</v>
      </c>
      <c r="AH42" s="223">
        <v>390</v>
      </c>
      <c r="AI42" s="223">
        <v>106</v>
      </c>
      <c r="AJ42" s="223">
        <v>60</v>
      </c>
    </row>
    <row r="43" spans="1:36" ht="15.75" thickBot="1">
      <c r="A43" s="3" t="s">
        <v>225</v>
      </c>
    </row>
    <row r="44" spans="1:36">
      <c r="A44" s="25" t="s">
        <v>319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</row>
    <row r="45" spans="1:36">
      <c r="A45" s="234"/>
      <c r="B45" s="234">
        <v>1993</v>
      </c>
      <c r="C45" s="234">
        <v>1994</v>
      </c>
      <c r="D45" s="234">
        <v>1995</v>
      </c>
      <c r="E45" s="234">
        <v>1996</v>
      </c>
      <c r="F45" s="234">
        <v>1997</v>
      </c>
      <c r="G45" s="234">
        <v>1998</v>
      </c>
      <c r="H45" s="234">
        <v>1999</v>
      </c>
      <c r="I45" s="234">
        <v>2000</v>
      </c>
      <c r="J45" s="234">
        <v>2001</v>
      </c>
      <c r="K45" s="234">
        <v>2002</v>
      </c>
      <c r="L45" s="234">
        <v>2003</v>
      </c>
      <c r="M45" s="234">
        <v>2004</v>
      </c>
      <c r="N45" s="234">
        <v>2005</v>
      </c>
      <c r="O45" s="234">
        <v>2006</v>
      </c>
      <c r="P45" s="234">
        <v>2007</v>
      </c>
      <c r="Q45" s="234">
        <v>2008</v>
      </c>
      <c r="R45" s="234">
        <v>2009</v>
      </c>
      <c r="S45" s="234">
        <v>2010</v>
      </c>
      <c r="T45" s="234">
        <v>2011</v>
      </c>
      <c r="U45" s="234">
        <v>2012</v>
      </c>
      <c r="V45" s="234">
        <v>2013</v>
      </c>
      <c r="W45" s="234">
        <v>2014</v>
      </c>
      <c r="X45" s="234">
        <v>2015</v>
      </c>
      <c r="Y45" s="234">
        <v>2016</v>
      </c>
      <c r="Z45" s="234">
        <v>2017</v>
      </c>
      <c r="AA45" s="234">
        <v>2018</v>
      </c>
      <c r="AB45" s="234">
        <v>2019</v>
      </c>
      <c r="AC45" s="234">
        <v>2020</v>
      </c>
      <c r="AD45" s="234">
        <v>2021</v>
      </c>
      <c r="AE45" s="234">
        <v>2022</v>
      </c>
      <c r="AF45" s="234">
        <v>2023</v>
      </c>
      <c r="AG45" s="234"/>
    </row>
    <row r="46" spans="1:36" ht="15.75" thickBot="1">
      <c r="A46" s="235" t="s">
        <v>228</v>
      </c>
    </row>
    <row r="47" spans="1:36" ht="15.75" thickBot="1">
      <c r="A47" s="236"/>
      <c r="B47" s="237" t="str">
        <f>B$2</f>
        <v xml:space="preserve">93/94 </v>
      </c>
      <c r="C47" s="237" t="str">
        <f t="shared" ref="C47:AE47" si="34">C$2</f>
        <v xml:space="preserve">94/95 </v>
      </c>
      <c r="D47" s="237" t="str">
        <f t="shared" si="34"/>
        <v xml:space="preserve">95/96 </v>
      </c>
      <c r="E47" s="237" t="str">
        <f t="shared" si="34"/>
        <v xml:space="preserve">96/97 </v>
      </c>
      <c r="F47" s="237" t="str">
        <f t="shared" si="34"/>
        <v xml:space="preserve">97/98 </v>
      </c>
      <c r="G47" s="237" t="str">
        <f t="shared" si="34"/>
        <v xml:space="preserve">98/99 </v>
      </c>
      <c r="H47" s="237" t="str">
        <f t="shared" si="34"/>
        <v xml:space="preserve">99/00 </v>
      </c>
      <c r="I47" s="237" t="str">
        <f t="shared" si="34"/>
        <v xml:space="preserve">00/01 </v>
      </c>
      <c r="J47" s="237" t="str">
        <f t="shared" si="34"/>
        <v xml:space="preserve">01/02 </v>
      </c>
      <c r="K47" s="237" t="str">
        <f t="shared" si="34"/>
        <v xml:space="preserve">02/03 </v>
      </c>
      <c r="L47" s="237" t="str">
        <f t="shared" si="34"/>
        <v xml:space="preserve">03/04 </v>
      </c>
      <c r="M47" s="237" t="str">
        <f t="shared" si="34"/>
        <v xml:space="preserve">04/05 </v>
      </c>
      <c r="N47" s="237" t="str">
        <f t="shared" si="34"/>
        <v xml:space="preserve">05/06 </v>
      </c>
      <c r="O47" s="237" t="str">
        <f t="shared" si="34"/>
        <v xml:space="preserve">06/07 </v>
      </c>
      <c r="P47" s="237" t="str">
        <f t="shared" si="34"/>
        <v xml:space="preserve">07/08 </v>
      </c>
      <c r="Q47" s="237" t="str">
        <f t="shared" si="34"/>
        <v xml:space="preserve">08/09 </v>
      </c>
      <c r="R47" s="237" t="str">
        <f t="shared" si="34"/>
        <v xml:space="preserve">09/10 </v>
      </c>
      <c r="S47" s="237" t="str">
        <f t="shared" si="34"/>
        <v xml:space="preserve">10/11 </v>
      </c>
      <c r="T47" s="237" t="str">
        <f t="shared" si="34"/>
        <v xml:space="preserve">11/12 </v>
      </c>
      <c r="U47" s="237" t="str">
        <f t="shared" si="34"/>
        <v xml:space="preserve">12/13 </v>
      </c>
      <c r="V47" s="237" t="str">
        <f t="shared" si="34"/>
        <v xml:space="preserve">13/14 </v>
      </c>
      <c r="W47" s="237" t="str">
        <f t="shared" si="34"/>
        <v xml:space="preserve">14/15 </v>
      </c>
      <c r="X47" s="237" t="str">
        <f t="shared" si="34"/>
        <v xml:space="preserve">15/16 </v>
      </c>
      <c r="Y47" s="237" t="str">
        <f t="shared" si="34"/>
        <v xml:space="preserve">16/17 </v>
      </c>
      <c r="Z47" s="237" t="str">
        <f t="shared" si="34"/>
        <v xml:space="preserve">17/18 </v>
      </c>
      <c r="AA47" s="237" t="str">
        <f t="shared" si="34"/>
        <v xml:space="preserve">18/19 </v>
      </c>
      <c r="AB47" s="237" t="str">
        <f t="shared" si="34"/>
        <v xml:space="preserve">19/20 </v>
      </c>
      <c r="AC47" s="237" t="str">
        <f t="shared" si="34"/>
        <v xml:space="preserve">20/21 </v>
      </c>
      <c r="AD47" s="237" t="str">
        <f t="shared" si="34"/>
        <v xml:space="preserve">21/22 </v>
      </c>
      <c r="AE47" s="237" t="str">
        <f t="shared" si="34"/>
        <v xml:space="preserve">22/23 </v>
      </c>
    </row>
    <row r="48" spans="1:36">
      <c r="A48" s="240" t="s">
        <v>238</v>
      </c>
      <c r="B48" s="241">
        <f t="shared" ref="B48:F59" si="35">(SUM(K48:O48)/SUM(K$60:O$60))*B$60</f>
        <v>0</v>
      </c>
      <c r="C48" s="241">
        <f t="shared" si="35"/>
        <v>0</v>
      </c>
      <c r="D48" s="241">
        <f t="shared" si="35"/>
        <v>0</v>
      </c>
      <c r="E48" s="241">
        <f t="shared" si="35"/>
        <v>0</v>
      </c>
      <c r="F48" s="241">
        <f t="shared" si="35"/>
        <v>0</v>
      </c>
      <c r="G48" s="241">
        <v>0</v>
      </c>
      <c r="H48" s="242">
        <f>'[2]India Sunflower Imports'!CY$290</f>
        <v>0</v>
      </c>
      <c r="I48" s="242">
        <f>'[2]India Sunflower Imports'!DK$290</f>
        <v>0</v>
      </c>
      <c r="J48" s="242">
        <f>'[2]India Sunflower Imports'!DW$290</f>
        <v>0</v>
      </c>
      <c r="K48" s="242">
        <f>'[2]India Sunflower Imports'!EI$290</f>
        <v>0</v>
      </c>
      <c r="L48" s="242">
        <f>'[2]India Sunflower Imports'!EU$290</f>
        <v>0</v>
      </c>
      <c r="M48" s="242">
        <f>'[2]India Sunflower Imports'!FG$290</f>
        <v>0</v>
      </c>
      <c r="N48" s="242">
        <f>'[2]India Sunflower Imports'!FS$290</f>
        <v>0</v>
      </c>
      <c r="O48" s="242">
        <f>'[2]India Sunflower Imports'!GE$290</f>
        <v>0</v>
      </c>
      <c r="P48" s="242">
        <f>'[2]India Sunflower Imports'!GQ$290</f>
        <v>0</v>
      </c>
      <c r="Q48" s="242">
        <f>'[2]India Sunflower Imports'!HC$290</f>
        <v>1.2E-2</v>
      </c>
      <c r="R48" s="242">
        <f>'[2]India Sunflower Imports'!HO$290</f>
        <v>0.126</v>
      </c>
      <c r="S48" s="242">
        <f>'[2]India Sunflower Imports'!IA$290</f>
        <v>3.0000000000000001E-3</v>
      </c>
      <c r="T48" s="242">
        <f>'[2]India Sunflower Imports'!IM$290</f>
        <v>0</v>
      </c>
      <c r="U48" s="242">
        <f>'[2]India Sunflower Imports'!IY$290</f>
        <v>0.15</v>
      </c>
      <c r="V48" s="242">
        <f>'[2]India Sunflower Imports'!JK$290</f>
        <v>0.22700000000000001</v>
      </c>
      <c r="W48" s="242">
        <f>'[2]India Sunflower Imports'!JW$290</f>
        <v>0.13500000000000001</v>
      </c>
      <c r="X48" s="242">
        <f>'[2]India Sunflower Imports'!KI$290</f>
        <v>0</v>
      </c>
      <c r="Y48" s="242">
        <f>'[2]India Sunflower Imports'!KU$290</f>
        <v>0.13300000000000001</v>
      </c>
      <c r="Z48" s="242">
        <f>'[2]India Sunflower Imports'!LG$290</f>
        <v>7.0999999999999994E-2</v>
      </c>
      <c r="AA48" s="242">
        <f>'[2]India Sunflower Imports'!LS$290</f>
        <v>8.5000000000000006E-2</v>
      </c>
      <c r="AB48" s="242">
        <f>'[2]India Sunflower Imports'!ME$290</f>
        <v>6.7250000000000004E-2</v>
      </c>
      <c r="AC48" s="242">
        <f>'[2]India Sunflower Imports'!MQ$290</f>
        <v>0.4</v>
      </c>
      <c r="AD48" s="242">
        <f>'[2]India Sunflower Imports'!NC$290</f>
        <v>0.19600000000000001</v>
      </c>
      <c r="AE48" s="243">
        <f t="shared" ref="AE48:AE54" si="36">(SUM(Y48:AC48)/SUM(Y$60:AC$60))*AE$60</f>
        <v>0.17691174437436252</v>
      </c>
    </row>
    <row r="49" spans="1:31">
      <c r="A49" s="240" t="s">
        <v>239</v>
      </c>
      <c r="B49" s="241">
        <f t="shared" si="35"/>
        <v>0</v>
      </c>
      <c r="C49" s="241">
        <f t="shared" si="35"/>
        <v>0</v>
      </c>
      <c r="D49" s="241">
        <f t="shared" si="35"/>
        <v>0</v>
      </c>
      <c r="E49" s="241">
        <f t="shared" si="35"/>
        <v>0</v>
      </c>
      <c r="F49" s="241">
        <f t="shared" si="35"/>
        <v>0</v>
      </c>
      <c r="G49" s="241">
        <v>0</v>
      </c>
      <c r="H49" s="242">
        <f>'[2]India Sunflower Imports'!CZ$290</f>
        <v>0</v>
      </c>
      <c r="I49" s="242">
        <f>'[2]India Sunflower Imports'!DL$290</f>
        <v>0</v>
      </c>
      <c r="J49" s="242">
        <f>'[2]India Sunflower Imports'!DX$290</f>
        <v>0</v>
      </c>
      <c r="K49" s="242">
        <f>'[2]India Sunflower Imports'!EJ$290</f>
        <v>0</v>
      </c>
      <c r="L49" s="242">
        <f>'[2]India Sunflower Imports'!EV$290</f>
        <v>0</v>
      </c>
      <c r="M49" s="242">
        <f>'[2]India Sunflower Imports'!FH$290</f>
        <v>0</v>
      </c>
      <c r="N49" s="242">
        <f>'[2]India Sunflower Imports'!FT$290</f>
        <v>0</v>
      </c>
      <c r="O49" s="242">
        <f>'[2]India Sunflower Imports'!GF$290</f>
        <v>0</v>
      </c>
      <c r="P49" s="242">
        <f>'[2]India Sunflower Imports'!GR$290</f>
        <v>0</v>
      </c>
      <c r="Q49" s="242">
        <f>'[2]India Sunflower Imports'!HD$290</f>
        <v>0.05</v>
      </c>
      <c r="R49" s="242">
        <f>'[2]India Sunflower Imports'!HP$290</f>
        <v>0</v>
      </c>
      <c r="S49" s="242">
        <f>'[2]India Sunflower Imports'!IB$290</f>
        <v>0</v>
      </c>
      <c r="T49" s="242">
        <f>'[2]India Sunflower Imports'!IN$290</f>
        <v>0</v>
      </c>
      <c r="U49" s="242">
        <f>'[2]India Sunflower Imports'!IZ$290</f>
        <v>0.27500000000000002</v>
      </c>
      <c r="V49" s="242">
        <f>'[2]India Sunflower Imports'!JL$290</f>
        <v>0.154</v>
      </c>
      <c r="W49" s="242">
        <f>'[2]India Sunflower Imports'!JX$290</f>
        <v>0.127</v>
      </c>
      <c r="X49" s="242">
        <f>'[2]India Sunflower Imports'!KJ$290</f>
        <v>0.36399999999999999</v>
      </c>
      <c r="Y49" s="242">
        <f>'[2]India Sunflower Imports'!KV$290</f>
        <v>0.219</v>
      </c>
      <c r="Z49" s="242">
        <f>'[2]India Sunflower Imports'!LH$290</f>
        <v>9.0999999999999998E-2</v>
      </c>
      <c r="AA49" s="242">
        <f>'[2]India Sunflower Imports'!LT$290</f>
        <v>0.20238900000000001</v>
      </c>
      <c r="AB49" s="242">
        <f>'[2]India Sunflower Imports'!MF$290</f>
        <v>0.18922</v>
      </c>
      <c r="AC49" s="242">
        <f>'[2]India Sunflower Imports'!MR$290</f>
        <v>0.38500099999999998</v>
      </c>
      <c r="AD49" s="242">
        <f>'[2]India Sunflower Imports'!ND$290</f>
        <v>0.30399999999999999</v>
      </c>
      <c r="AE49" s="243">
        <f t="shared" si="36"/>
        <v>0.25419381230363769</v>
      </c>
    </row>
    <row r="50" spans="1:31">
      <c r="A50" s="240" t="s">
        <v>240</v>
      </c>
      <c r="B50" s="241">
        <f t="shared" si="35"/>
        <v>0</v>
      </c>
      <c r="C50" s="241">
        <f t="shared" si="35"/>
        <v>0</v>
      </c>
      <c r="D50" s="241">
        <f t="shared" si="35"/>
        <v>0</v>
      </c>
      <c r="E50" s="241">
        <f t="shared" si="35"/>
        <v>0</v>
      </c>
      <c r="F50" s="241">
        <f t="shared" si="35"/>
        <v>0</v>
      </c>
      <c r="G50" s="241">
        <v>0</v>
      </c>
      <c r="H50" s="242">
        <f>'[2]India Sunflower Imports'!DA$290</f>
        <v>0</v>
      </c>
      <c r="I50" s="242">
        <f>'[2]India Sunflower Imports'!DM$290</f>
        <v>0</v>
      </c>
      <c r="J50" s="242">
        <f>'[2]India Sunflower Imports'!DY$290</f>
        <v>0</v>
      </c>
      <c r="K50" s="242">
        <f>'[2]India Sunflower Imports'!EK$290</f>
        <v>0</v>
      </c>
      <c r="L50" s="242">
        <f>'[2]India Sunflower Imports'!EW$290</f>
        <v>0</v>
      </c>
      <c r="M50" s="242">
        <f>'[2]India Sunflower Imports'!FI$290</f>
        <v>0</v>
      </c>
      <c r="N50" s="242">
        <f>'[2]India Sunflower Imports'!FU$290</f>
        <v>0</v>
      </c>
      <c r="O50" s="242">
        <f>'[2]India Sunflower Imports'!GG$290</f>
        <v>0</v>
      </c>
      <c r="P50" s="242">
        <f>'[2]India Sunflower Imports'!GS$290</f>
        <v>2.5999999999999999E-2</v>
      </c>
      <c r="Q50" s="242">
        <f>'[2]India Sunflower Imports'!HE$290</f>
        <v>1E-3</v>
      </c>
      <c r="R50" s="242">
        <f>'[2]India Sunflower Imports'!HQ$290</f>
        <v>0</v>
      </c>
      <c r="S50" s="242">
        <f>'[2]India Sunflower Imports'!IC$290</f>
        <v>0</v>
      </c>
      <c r="T50" s="242">
        <f>'[2]India Sunflower Imports'!IO$290</f>
        <v>0</v>
      </c>
      <c r="U50" s="242">
        <f>'[2]India Sunflower Imports'!JA$290</f>
        <v>0.128</v>
      </c>
      <c r="V50" s="242">
        <f>'[2]India Sunflower Imports'!JM$290</f>
        <v>5.2999999999999999E-2</v>
      </c>
      <c r="W50" s="242">
        <f>'[2]India Sunflower Imports'!JY$290</f>
        <v>0.111</v>
      </c>
      <c r="X50" s="242">
        <f>'[2]India Sunflower Imports'!KK$290</f>
        <v>0.36899999999999999</v>
      </c>
      <c r="Y50" s="242">
        <f>'[2]India Sunflower Imports'!KW$290</f>
        <v>0.60099999999999998</v>
      </c>
      <c r="Z50" s="242">
        <f>'[2]India Sunflower Imports'!LI$290</f>
        <v>5.1999999999999998E-2</v>
      </c>
      <c r="AA50" s="242">
        <f>'[2]India Sunflower Imports'!LU$290</f>
        <v>0.11</v>
      </c>
      <c r="AB50" s="242">
        <f>'[2]India Sunflower Imports'!MG$290</f>
        <v>0.15037500000000001</v>
      </c>
      <c r="AC50" s="242">
        <f>'[2]India Sunflower Imports'!MS$290</f>
        <v>0.157</v>
      </c>
      <c r="AD50" s="242">
        <f>'[2]India Sunflower Imports'!NE$290</f>
        <v>6.9000000000000006E-2</v>
      </c>
      <c r="AE50" s="243">
        <f t="shared" si="36"/>
        <v>0.25039591191366384</v>
      </c>
    </row>
    <row r="51" spans="1:31">
      <c r="A51" s="240" t="s">
        <v>241</v>
      </c>
      <c r="B51" s="241">
        <f t="shared" si="35"/>
        <v>0</v>
      </c>
      <c r="C51" s="241">
        <f t="shared" si="35"/>
        <v>0</v>
      </c>
      <c r="D51" s="241">
        <f t="shared" si="35"/>
        <v>0</v>
      </c>
      <c r="E51" s="241">
        <f t="shared" si="35"/>
        <v>0</v>
      </c>
      <c r="F51" s="241">
        <f t="shared" si="35"/>
        <v>0</v>
      </c>
      <c r="G51" s="241">
        <v>0</v>
      </c>
      <c r="H51" s="242">
        <f>'[2]India Sunflower Imports'!DB$290</f>
        <v>0</v>
      </c>
      <c r="I51" s="242">
        <f>'[2]India Sunflower Imports'!DN$290</f>
        <v>0</v>
      </c>
      <c r="J51" s="242">
        <f>'[2]India Sunflower Imports'!DZ$290</f>
        <v>0</v>
      </c>
      <c r="K51" s="242">
        <f>'[2]India Sunflower Imports'!EL$290</f>
        <v>0</v>
      </c>
      <c r="L51" s="242">
        <f>'[2]India Sunflower Imports'!EX$290</f>
        <v>0</v>
      </c>
      <c r="M51" s="242">
        <f>'[2]India Sunflower Imports'!FJ$290</f>
        <v>0</v>
      </c>
      <c r="N51" s="242">
        <f>'[2]India Sunflower Imports'!FV$290</f>
        <v>0</v>
      </c>
      <c r="O51" s="242">
        <f>'[2]India Sunflower Imports'!GH$290</f>
        <v>0</v>
      </c>
      <c r="P51" s="242">
        <f>'[2]India Sunflower Imports'!GT$290</f>
        <v>0</v>
      </c>
      <c r="Q51" s="242">
        <f>'[2]India Sunflower Imports'!HF$290</f>
        <v>0.1</v>
      </c>
      <c r="R51" s="242">
        <f>'[2]India Sunflower Imports'!HR$290</f>
        <v>1E-3</v>
      </c>
      <c r="S51" s="242">
        <f>'[2]India Sunflower Imports'!ID$290</f>
        <v>0</v>
      </c>
      <c r="T51" s="242">
        <f>'[2]India Sunflower Imports'!IP$290</f>
        <v>0</v>
      </c>
      <c r="U51" s="242">
        <f>'[2]India Sunflower Imports'!JB$290</f>
        <v>0.497</v>
      </c>
      <c r="V51" s="242">
        <f>'[2]India Sunflower Imports'!JN$290</f>
        <v>0</v>
      </c>
      <c r="W51" s="242">
        <f>'[2]India Sunflower Imports'!JZ$290</f>
        <v>0.24099999999999999</v>
      </c>
      <c r="X51" s="242">
        <f>'[2]India Sunflower Imports'!KL$290</f>
        <v>0.22900000000000001</v>
      </c>
      <c r="Y51" s="242">
        <f>'[2]India Sunflower Imports'!KX$290</f>
        <v>9.2999999999999999E-2</v>
      </c>
      <c r="Z51" s="242">
        <f>'[2]India Sunflower Imports'!LJ$290</f>
        <v>8.5000000000000006E-2</v>
      </c>
      <c r="AA51" s="242">
        <f>'[2]India Sunflower Imports'!LV$290</f>
        <v>0.244195</v>
      </c>
      <c r="AB51" s="242">
        <f>'[2]India Sunflower Imports'!MH$290</f>
        <v>0.21199999999999999</v>
      </c>
      <c r="AC51" s="242">
        <f>'[2]India Sunflower Imports'!MT$290</f>
        <v>0.314</v>
      </c>
      <c r="AD51" s="242">
        <f>'[2]India Sunflower Imports'!NF$290</f>
        <v>7.5999999999999998E-2</v>
      </c>
      <c r="AE51" s="243">
        <f t="shared" si="36"/>
        <v>0.2218139920093205</v>
      </c>
    </row>
    <row r="52" spans="1:31">
      <c r="A52" s="240" t="s">
        <v>231</v>
      </c>
      <c r="B52" s="241">
        <f t="shared" si="35"/>
        <v>0</v>
      </c>
      <c r="C52" s="241">
        <f t="shared" si="35"/>
        <v>0</v>
      </c>
      <c r="D52" s="241">
        <f t="shared" si="35"/>
        <v>0</v>
      </c>
      <c r="E52" s="241">
        <f t="shared" si="35"/>
        <v>0</v>
      </c>
      <c r="F52" s="241">
        <f t="shared" si="35"/>
        <v>0</v>
      </c>
      <c r="G52" s="242">
        <f>'[2]India Sunflower Imports'!CQ$290</f>
        <v>0</v>
      </c>
      <c r="H52" s="242">
        <f>'[2]India Sunflower Imports'!DC$290</f>
        <v>0</v>
      </c>
      <c r="I52" s="242">
        <f>'[2]India Sunflower Imports'!DO$290</f>
        <v>0</v>
      </c>
      <c r="J52" s="242">
        <f>'[2]India Sunflower Imports'!EA$290</f>
        <v>0</v>
      </c>
      <c r="K52" s="242">
        <f>'[2]India Sunflower Imports'!EM$290</f>
        <v>0</v>
      </c>
      <c r="L52" s="242">
        <f>'[2]India Sunflower Imports'!EY$290</f>
        <v>0</v>
      </c>
      <c r="M52" s="242">
        <f>'[2]India Sunflower Imports'!FK$290</f>
        <v>0</v>
      </c>
      <c r="N52" s="242">
        <f>'[2]India Sunflower Imports'!FW$290</f>
        <v>0</v>
      </c>
      <c r="O52" s="242">
        <f>'[2]India Sunflower Imports'!GI$290</f>
        <v>0</v>
      </c>
      <c r="P52" s="242">
        <f>'[2]India Sunflower Imports'!GU$290</f>
        <v>0</v>
      </c>
      <c r="Q52" s="242">
        <f>'[2]India Sunflower Imports'!HG$290</f>
        <v>0</v>
      </c>
      <c r="R52" s="242">
        <f>'[2]India Sunflower Imports'!HS$290</f>
        <v>0</v>
      </c>
      <c r="S52" s="242">
        <f>'[2]India Sunflower Imports'!IE$290</f>
        <v>0</v>
      </c>
      <c r="T52" s="242">
        <f>'[2]India Sunflower Imports'!IQ$290</f>
        <v>0</v>
      </c>
      <c r="U52" s="242">
        <f>'[2]India Sunflower Imports'!JC$290</f>
        <v>0</v>
      </c>
      <c r="V52" s="242">
        <f>'[2]India Sunflower Imports'!JO$290</f>
        <v>0</v>
      </c>
      <c r="W52" s="242">
        <f>'[2]India Sunflower Imports'!KA$290</f>
        <v>0</v>
      </c>
      <c r="X52" s="242">
        <f>'[2]India Sunflower Imports'!KM$290</f>
        <v>0</v>
      </c>
      <c r="Y52" s="242">
        <f>'[2]India Sunflower Imports'!KY$290</f>
        <v>0.29799999999999999</v>
      </c>
      <c r="Z52" s="242">
        <f>'[2]India Sunflower Imports'!LK$290</f>
        <v>6.3E-2</v>
      </c>
      <c r="AA52" s="242">
        <f>'[2]India Sunflower Imports'!LW$290</f>
        <v>0.17699999999999999</v>
      </c>
      <c r="AB52" s="242">
        <f>'[2]India Sunflower Imports'!MI$290</f>
        <v>0.04</v>
      </c>
      <c r="AC52" s="242">
        <f>'[2]India Sunflower Imports'!MU$290</f>
        <v>0.221</v>
      </c>
      <c r="AD52" s="242">
        <f>'[2]India Sunflower Imports'!NG$290</f>
        <v>0.36299999999999999</v>
      </c>
      <c r="AE52" s="243">
        <f t="shared" si="36"/>
        <v>0.18691237521337606</v>
      </c>
    </row>
    <row r="53" spans="1:31">
      <c r="A53" s="240" t="s">
        <v>232</v>
      </c>
      <c r="B53" s="241">
        <f t="shared" si="35"/>
        <v>0</v>
      </c>
      <c r="C53" s="241">
        <f t="shared" si="35"/>
        <v>0</v>
      </c>
      <c r="D53" s="241">
        <f t="shared" si="35"/>
        <v>0</v>
      </c>
      <c r="E53" s="241">
        <f t="shared" si="35"/>
        <v>0</v>
      </c>
      <c r="F53" s="241">
        <f t="shared" si="35"/>
        <v>0</v>
      </c>
      <c r="G53" s="242">
        <f>'[2]India Sunflower Imports'!CR$290</f>
        <v>0</v>
      </c>
      <c r="H53" s="242">
        <f>'[2]India Sunflower Imports'!DD$290</f>
        <v>0</v>
      </c>
      <c r="I53" s="242">
        <f>'[2]India Sunflower Imports'!DP$290</f>
        <v>0</v>
      </c>
      <c r="J53" s="242">
        <f>'[2]India Sunflower Imports'!EB$290</f>
        <v>0</v>
      </c>
      <c r="K53" s="242">
        <f>'[2]India Sunflower Imports'!EN$290</f>
        <v>0</v>
      </c>
      <c r="L53" s="242">
        <f>'[2]India Sunflower Imports'!EZ$290</f>
        <v>0</v>
      </c>
      <c r="M53" s="242">
        <f>'[2]India Sunflower Imports'!FL$290</f>
        <v>0</v>
      </c>
      <c r="N53" s="242">
        <f>'[2]India Sunflower Imports'!FX$290</f>
        <v>0</v>
      </c>
      <c r="O53" s="242">
        <f>'[2]India Sunflower Imports'!GJ$290</f>
        <v>0.57399999999999995</v>
      </c>
      <c r="P53" s="242">
        <f>'[2]India Sunflower Imports'!GV$290</f>
        <v>0</v>
      </c>
      <c r="Q53" s="242">
        <f>'[2]India Sunflower Imports'!HH$290</f>
        <v>1E-3</v>
      </c>
      <c r="R53" s="242">
        <f>'[2]India Sunflower Imports'!HT$290</f>
        <v>0</v>
      </c>
      <c r="S53" s="242">
        <f>'[2]India Sunflower Imports'!IF$290</f>
        <v>0</v>
      </c>
      <c r="T53" s="242">
        <f>'[2]India Sunflower Imports'!IR$290</f>
        <v>3.0000000000000001E-3</v>
      </c>
      <c r="U53" s="242">
        <f>'[2]India Sunflower Imports'!JD$290</f>
        <v>0.1</v>
      </c>
      <c r="V53" s="242">
        <f>'[2]India Sunflower Imports'!JP$290</f>
        <v>5.1999999999999998E-2</v>
      </c>
      <c r="W53" s="242">
        <f>'[2]India Sunflower Imports'!KB$290</f>
        <v>0</v>
      </c>
      <c r="X53" s="242">
        <f>'[2]India Sunflower Imports'!KN$290</f>
        <v>7.0000000000000001E-3</v>
      </c>
      <c r="Y53" s="242">
        <f>'[2]India Sunflower Imports'!KZ$290</f>
        <v>0.184</v>
      </c>
      <c r="Z53" s="242">
        <f>'[2]India Sunflower Imports'!LL$290</f>
        <v>7.8E-2</v>
      </c>
      <c r="AA53" s="242">
        <f>'[2]India Sunflower Imports'!LX$290</f>
        <v>0.213285</v>
      </c>
      <c r="AB53" s="242">
        <f>'[2]India Sunflower Imports'!MJ$290</f>
        <v>0.46536</v>
      </c>
      <c r="AC53" s="242">
        <f>'[2]India Sunflower Imports'!MV$290</f>
        <v>0.13600000000000001</v>
      </c>
      <c r="AD53" s="242">
        <f>'[2]India Sunflower Imports'!NH$290</f>
        <v>0.375</v>
      </c>
      <c r="AE53" s="243">
        <f t="shared" si="36"/>
        <v>0.25186267110338584</v>
      </c>
    </row>
    <row r="54" spans="1:31">
      <c r="A54" s="240" t="s">
        <v>233</v>
      </c>
      <c r="B54" s="241">
        <f t="shared" si="35"/>
        <v>0</v>
      </c>
      <c r="C54" s="241">
        <f t="shared" si="35"/>
        <v>0</v>
      </c>
      <c r="D54" s="241">
        <f t="shared" si="35"/>
        <v>0</v>
      </c>
      <c r="E54" s="241">
        <f t="shared" si="35"/>
        <v>0</v>
      </c>
      <c r="F54" s="241">
        <f t="shared" si="35"/>
        <v>0</v>
      </c>
      <c r="G54" s="242">
        <f>'[2]India Sunflower Imports'!CS$290</f>
        <v>1E-3</v>
      </c>
      <c r="H54" s="242">
        <f>'[2]India Sunflower Imports'!DE$290</f>
        <v>0</v>
      </c>
      <c r="I54" s="242">
        <f>'[2]India Sunflower Imports'!DQ$290</f>
        <v>0</v>
      </c>
      <c r="J54" s="242">
        <f>'[2]India Sunflower Imports'!EC$290</f>
        <v>0</v>
      </c>
      <c r="K54" s="242">
        <f>'[2]India Sunflower Imports'!EO$290</f>
        <v>0</v>
      </c>
      <c r="L54" s="242">
        <f>'[2]India Sunflower Imports'!FA$290</f>
        <v>0</v>
      </c>
      <c r="M54" s="242">
        <f>'[2]India Sunflower Imports'!FM$290</f>
        <v>0</v>
      </c>
      <c r="N54" s="242">
        <f>'[2]India Sunflower Imports'!FY$290</f>
        <v>0</v>
      </c>
      <c r="O54" s="242">
        <f>'[2]India Sunflower Imports'!GK$290</f>
        <v>2.3E-2</v>
      </c>
      <c r="P54" s="242">
        <f>'[2]India Sunflower Imports'!GW$290</f>
        <v>0</v>
      </c>
      <c r="Q54" s="242">
        <f>'[2]India Sunflower Imports'!HI$290</f>
        <v>7.4999999999999997E-2</v>
      </c>
      <c r="R54" s="242">
        <f>'[2]India Sunflower Imports'!HU$290</f>
        <v>0</v>
      </c>
      <c r="S54" s="242">
        <f>'[2]India Sunflower Imports'!IG$290</f>
        <v>0</v>
      </c>
      <c r="T54" s="242">
        <f>'[2]India Sunflower Imports'!IS$290</f>
        <v>0</v>
      </c>
      <c r="U54" s="242">
        <f>'[2]India Sunflower Imports'!JE$290</f>
        <v>0.05</v>
      </c>
      <c r="V54" s="242">
        <f>'[2]India Sunflower Imports'!JQ$290</f>
        <v>0</v>
      </c>
      <c r="W54" s="242">
        <f>'[2]India Sunflower Imports'!KC$290</f>
        <v>0</v>
      </c>
      <c r="X54" s="242">
        <f>'[2]India Sunflower Imports'!KO$290</f>
        <v>0</v>
      </c>
      <c r="Y54" s="242">
        <f>'[2]India Sunflower Imports'!LA$290</f>
        <v>0.34399999999999997</v>
      </c>
      <c r="Z54" s="242">
        <f>'[2]India Sunflower Imports'!LM$290</f>
        <v>0.11700000000000001</v>
      </c>
      <c r="AA54" s="242">
        <f>'[2]India Sunflower Imports'!LY$290</f>
        <v>0.2</v>
      </c>
      <c r="AB54" s="242">
        <f>'[2]India Sunflower Imports'!MK$290</f>
        <v>0.44956000000000002</v>
      </c>
      <c r="AC54" s="242">
        <f>'[2]India Sunflower Imports'!MW$290</f>
        <v>0.06</v>
      </c>
      <c r="AD54" s="243">
        <f>(SUM(X54:AB54)/SUM(X$60:AB$60))*AD$60-0.1</f>
        <v>0.2024623270229565</v>
      </c>
      <c r="AE54" s="243">
        <f t="shared" si="36"/>
        <v>0.27383247800972399</v>
      </c>
    </row>
    <row r="55" spans="1:31">
      <c r="A55" s="240" t="s">
        <v>234</v>
      </c>
      <c r="B55" s="241">
        <f t="shared" si="35"/>
        <v>0</v>
      </c>
      <c r="C55" s="241">
        <f t="shared" si="35"/>
        <v>0</v>
      </c>
      <c r="D55" s="241">
        <f t="shared" si="35"/>
        <v>0</v>
      </c>
      <c r="E55" s="241">
        <f t="shared" si="35"/>
        <v>0</v>
      </c>
      <c r="F55" s="241">
        <f t="shared" si="35"/>
        <v>0</v>
      </c>
      <c r="G55" s="242">
        <f>'[2]India Sunflower Imports'!CT$290</f>
        <v>0</v>
      </c>
      <c r="H55" s="242">
        <f>'[2]India Sunflower Imports'!DF$290</f>
        <v>0</v>
      </c>
      <c r="I55" s="242">
        <f>'[2]India Sunflower Imports'!DR$290</f>
        <v>0</v>
      </c>
      <c r="J55" s="242">
        <f>'[2]India Sunflower Imports'!ED$290</f>
        <v>0</v>
      </c>
      <c r="K55" s="242">
        <f>'[2]India Sunflower Imports'!EP$290</f>
        <v>0</v>
      </c>
      <c r="L55" s="242">
        <f>'[2]India Sunflower Imports'!FB$290</f>
        <v>0</v>
      </c>
      <c r="M55" s="242">
        <f>'[2]India Sunflower Imports'!FN$290</f>
        <v>0</v>
      </c>
      <c r="N55" s="242">
        <f>'[2]India Sunflower Imports'!FZ$290</f>
        <v>0</v>
      </c>
      <c r="O55" s="242">
        <f>'[2]India Sunflower Imports'!GL$290</f>
        <v>0.36399999999999999</v>
      </c>
      <c r="P55" s="242">
        <f>'[2]India Sunflower Imports'!GX$290</f>
        <v>0</v>
      </c>
      <c r="Q55" s="242">
        <f>'[2]India Sunflower Imports'!HJ$290</f>
        <v>0</v>
      </c>
      <c r="R55" s="242">
        <f>'[2]India Sunflower Imports'!HV$290</f>
        <v>0</v>
      </c>
      <c r="S55" s="242">
        <f>'[2]India Sunflower Imports'!IH$290</f>
        <v>0</v>
      </c>
      <c r="T55" s="242">
        <f>'[2]India Sunflower Imports'!IT$290</f>
        <v>0</v>
      </c>
      <c r="U55" s="242">
        <f>'[2]India Sunflower Imports'!JF$290</f>
        <v>0</v>
      </c>
      <c r="V55" s="242">
        <f>'[2]India Sunflower Imports'!JR$290</f>
        <v>0</v>
      </c>
      <c r="W55" s="242">
        <f>'[2]India Sunflower Imports'!KD$290</f>
        <v>0.52</v>
      </c>
      <c r="X55" s="242">
        <f>'[2]India Sunflower Imports'!KP$290</f>
        <v>4.2999999999999997E-2</v>
      </c>
      <c r="Y55" s="242">
        <f>'[2]India Sunflower Imports'!LB$290</f>
        <v>0.20200000000000001</v>
      </c>
      <c r="Z55" s="242">
        <f>'[2]India Sunflower Imports'!LN$290</f>
        <v>0.16162000000000001</v>
      </c>
      <c r="AA55" s="242">
        <f>'[2]India Sunflower Imports'!LZ$290</f>
        <v>0.47506599999999999</v>
      </c>
      <c r="AB55" s="242">
        <f>'[2]India Sunflower Imports'!ML$290</f>
        <v>0.161</v>
      </c>
      <c r="AC55" s="242">
        <f>'[2]India Sunflower Imports'!MX$290</f>
        <v>0.38800000000000001</v>
      </c>
      <c r="AD55" s="243">
        <f t="shared" ref="AD55:AD58" si="37">(SUM(X55:AB55)/SUM(X$60:AB$60))*AD$60</f>
        <v>0.2839767629972792</v>
      </c>
      <c r="AE55" s="243">
        <f t="shared" ref="AE55:AE58" si="38">(SUM(Y55:AC55)/SUM(Y$60:AC$60))*AE$60</f>
        <v>0.3246253896249674</v>
      </c>
    </row>
    <row r="56" spans="1:31">
      <c r="A56" s="240" t="s">
        <v>46</v>
      </c>
      <c r="B56" s="241">
        <f t="shared" si="35"/>
        <v>0</v>
      </c>
      <c r="C56" s="241">
        <f t="shared" si="35"/>
        <v>0</v>
      </c>
      <c r="D56" s="241">
        <f t="shared" si="35"/>
        <v>0</v>
      </c>
      <c r="E56" s="241">
        <f t="shared" si="35"/>
        <v>0</v>
      </c>
      <c r="F56" s="241">
        <f t="shared" si="35"/>
        <v>0</v>
      </c>
      <c r="G56" s="242">
        <f>'[2]India Sunflower Imports'!CU$290</f>
        <v>0</v>
      </c>
      <c r="H56" s="242">
        <f>'[2]India Sunflower Imports'!DG$290</f>
        <v>0</v>
      </c>
      <c r="I56" s="242">
        <f>'[2]India Sunflower Imports'!DS$290</f>
        <v>0</v>
      </c>
      <c r="J56" s="242">
        <f>'[2]India Sunflower Imports'!EE$290</f>
        <v>0</v>
      </c>
      <c r="K56" s="242">
        <f>'[2]India Sunflower Imports'!EQ$290</f>
        <v>0</v>
      </c>
      <c r="L56" s="242">
        <f>'[2]India Sunflower Imports'!FC$290</f>
        <v>0</v>
      </c>
      <c r="M56" s="242">
        <f>'[2]India Sunflower Imports'!FO$290</f>
        <v>0</v>
      </c>
      <c r="N56" s="242">
        <f>'[2]India Sunflower Imports'!GA$290</f>
        <v>0</v>
      </c>
      <c r="O56" s="242">
        <f>'[2]India Sunflower Imports'!GM$290</f>
        <v>1.579</v>
      </c>
      <c r="P56" s="242">
        <f>'[2]India Sunflower Imports'!GY$290</f>
        <v>0</v>
      </c>
      <c r="Q56" s="242">
        <f>'[2]India Sunflower Imports'!HK$290</f>
        <v>0</v>
      </c>
      <c r="R56" s="242">
        <f>'[2]India Sunflower Imports'!HW$290</f>
        <v>0</v>
      </c>
      <c r="S56" s="242">
        <f>'[2]India Sunflower Imports'!II$290</f>
        <v>0</v>
      </c>
      <c r="T56" s="242">
        <f>'[2]India Sunflower Imports'!IU$290</f>
        <v>0</v>
      </c>
      <c r="U56" s="242">
        <f>'[2]India Sunflower Imports'!JG$290</f>
        <v>0.156</v>
      </c>
      <c r="V56" s="242">
        <f>'[2]India Sunflower Imports'!JS$290</f>
        <v>0.126</v>
      </c>
      <c r="W56" s="242">
        <f>'[2]India Sunflower Imports'!KE$290</f>
        <v>0.22900000000000001</v>
      </c>
      <c r="X56" s="242">
        <f>'[2]India Sunflower Imports'!KQ$290</f>
        <v>0.318</v>
      </c>
      <c r="Y56" s="242">
        <f>'[2]India Sunflower Imports'!LC$290</f>
        <v>5.7000000000000002E-2</v>
      </c>
      <c r="Z56" s="242">
        <f>'[2]India Sunflower Imports'!LO$290</f>
        <v>7.0000000000000001E-3</v>
      </c>
      <c r="AA56" s="242">
        <f>'[2]India Sunflower Imports'!MA$290</f>
        <v>0.107365</v>
      </c>
      <c r="AB56" s="242">
        <f>'[2]India Sunflower Imports'!MM$290</f>
        <v>0.35773500000000003</v>
      </c>
      <c r="AC56" s="242">
        <f>'[2]India Sunflower Imports'!MY$290</f>
        <v>0.218</v>
      </c>
      <c r="AD56" s="243">
        <f t="shared" si="37"/>
        <v>0.23070868500679514</v>
      </c>
      <c r="AE56" s="243">
        <f t="shared" si="38"/>
        <v>0.17477125847548591</v>
      </c>
    </row>
    <row r="57" spans="1:31">
      <c r="A57" s="240" t="s">
        <v>235</v>
      </c>
      <c r="B57" s="241">
        <f t="shared" si="35"/>
        <v>0</v>
      </c>
      <c r="C57" s="241">
        <f t="shared" si="35"/>
        <v>0</v>
      </c>
      <c r="D57" s="241">
        <f t="shared" si="35"/>
        <v>0</v>
      </c>
      <c r="E57" s="241">
        <f t="shared" si="35"/>
        <v>0</v>
      </c>
      <c r="F57" s="241">
        <f t="shared" si="35"/>
        <v>0</v>
      </c>
      <c r="G57" s="242">
        <f>'[2]India Sunflower Imports'!CV$290</f>
        <v>0</v>
      </c>
      <c r="H57" s="242">
        <f>'[2]India Sunflower Imports'!DH$290</f>
        <v>0</v>
      </c>
      <c r="I57" s="242">
        <f>'[2]India Sunflower Imports'!DT$290</f>
        <v>0</v>
      </c>
      <c r="J57" s="242">
        <f>'[2]India Sunflower Imports'!EF$290</f>
        <v>0</v>
      </c>
      <c r="K57" s="242">
        <f>'[2]India Sunflower Imports'!ER$290</f>
        <v>0</v>
      </c>
      <c r="L57" s="242">
        <f>'[2]India Sunflower Imports'!FD$290</f>
        <v>0</v>
      </c>
      <c r="M57" s="242">
        <f>'[2]India Sunflower Imports'!FP$290</f>
        <v>0</v>
      </c>
      <c r="N57" s="242">
        <f>'[2]India Sunflower Imports'!GB$290</f>
        <v>0</v>
      </c>
      <c r="O57" s="242">
        <f>'[2]India Sunflower Imports'!GN$290</f>
        <v>0.20699999999999999</v>
      </c>
      <c r="P57" s="242">
        <f>'[2]India Sunflower Imports'!GZ$290</f>
        <v>0</v>
      </c>
      <c r="Q57" s="242">
        <f>'[2]India Sunflower Imports'!HL$290</f>
        <v>0</v>
      </c>
      <c r="R57" s="242">
        <f>'[2]India Sunflower Imports'!HX$290</f>
        <v>0</v>
      </c>
      <c r="S57" s="242">
        <f>'[2]India Sunflower Imports'!IJ$290</f>
        <v>0</v>
      </c>
      <c r="T57" s="242">
        <f>'[2]India Sunflower Imports'!IV$290</f>
        <v>0</v>
      </c>
      <c r="U57" s="242">
        <f>'[2]India Sunflower Imports'!JH$290</f>
        <v>0</v>
      </c>
      <c r="V57" s="242">
        <f>'[2]India Sunflower Imports'!JT$290</f>
        <v>0.378</v>
      </c>
      <c r="W57" s="242">
        <f>'[2]India Sunflower Imports'!KF$290</f>
        <v>0</v>
      </c>
      <c r="X57" s="242">
        <f>'[2]India Sunflower Imports'!KR$290</f>
        <v>0.20899999999999999</v>
      </c>
      <c r="Y57" s="242">
        <f>'[2]India Sunflower Imports'!LD$290</f>
        <v>0.108</v>
      </c>
      <c r="Z57" s="242">
        <f>'[2]India Sunflower Imports'!LP$290</f>
        <v>0.57299999999999995</v>
      </c>
      <c r="AA57" s="242">
        <f>'[2]India Sunflower Imports'!MB$290</f>
        <v>0.31500499999999998</v>
      </c>
      <c r="AB57" s="242">
        <f>'[2]India Sunflower Imports'!MN$290</f>
        <v>0.11600000000000001</v>
      </c>
      <c r="AC57" s="242">
        <f>'[2]India Sunflower Imports'!MZ$290</f>
        <v>0.48699999999999999</v>
      </c>
      <c r="AD57" s="243">
        <f t="shared" si="37"/>
        <v>0.35977727120458203</v>
      </c>
      <c r="AE57" s="243">
        <f t="shared" si="38"/>
        <v>0.37405985297630084</v>
      </c>
    </row>
    <row r="58" spans="1:31">
      <c r="A58" s="240" t="s">
        <v>236</v>
      </c>
      <c r="B58" s="241">
        <f t="shared" si="35"/>
        <v>0</v>
      </c>
      <c r="C58" s="241">
        <f t="shared" si="35"/>
        <v>0</v>
      </c>
      <c r="D58" s="241">
        <f t="shared" si="35"/>
        <v>0</v>
      </c>
      <c r="E58" s="241">
        <f t="shared" si="35"/>
        <v>0</v>
      </c>
      <c r="F58" s="241">
        <f t="shared" si="35"/>
        <v>0</v>
      </c>
      <c r="G58" s="242">
        <f>'[2]India Sunflower Imports'!CW$290</f>
        <v>0</v>
      </c>
      <c r="H58" s="242">
        <f>'[2]India Sunflower Imports'!DI$290</f>
        <v>0</v>
      </c>
      <c r="I58" s="242">
        <f>'[2]India Sunflower Imports'!DU$290</f>
        <v>0</v>
      </c>
      <c r="J58" s="242">
        <f>'[2]India Sunflower Imports'!EG$290</f>
        <v>0</v>
      </c>
      <c r="K58" s="242">
        <f>'[2]India Sunflower Imports'!ES$290</f>
        <v>0</v>
      </c>
      <c r="L58" s="242">
        <f>'[2]India Sunflower Imports'!FE$290</f>
        <v>5.0000000000000001E-3</v>
      </c>
      <c r="M58" s="242">
        <f>'[2]India Sunflower Imports'!FQ$290</f>
        <v>0</v>
      </c>
      <c r="N58" s="242">
        <f>'[2]India Sunflower Imports'!GC$290</f>
        <v>0</v>
      </c>
      <c r="O58" s="242">
        <f>'[2]India Sunflower Imports'!GO$290</f>
        <v>2.0979999999999999</v>
      </c>
      <c r="P58" s="242">
        <f>'[2]India Sunflower Imports'!HA$290</f>
        <v>0</v>
      </c>
      <c r="Q58" s="242">
        <f>'[2]India Sunflower Imports'!HM$290</f>
        <v>0</v>
      </c>
      <c r="R58" s="242">
        <f>'[2]India Sunflower Imports'!HY$290</f>
        <v>0</v>
      </c>
      <c r="S58" s="242">
        <f>'[2]India Sunflower Imports'!IK$290</f>
        <v>0</v>
      </c>
      <c r="T58" s="242">
        <f>'[2]India Sunflower Imports'!IW$290</f>
        <v>0.109</v>
      </c>
      <c r="U58" s="242">
        <f>'[2]India Sunflower Imports'!JI$290</f>
        <v>0.193</v>
      </c>
      <c r="V58" s="242">
        <f>'[2]India Sunflower Imports'!JU$290</f>
        <v>0</v>
      </c>
      <c r="W58" s="242">
        <f>'[2]India Sunflower Imports'!KG$290</f>
        <v>0.26</v>
      </c>
      <c r="X58" s="242">
        <f>'[2]India Sunflower Imports'!KS$290</f>
        <v>0</v>
      </c>
      <c r="Y58" s="242">
        <f>'[2]India Sunflower Imports'!LE$290</f>
        <v>4.2000000000000003E-2</v>
      </c>
      <c r="Z58" s="242">
        <f>'[2]India Sunflower Imports'!LQ$290</f>
        <v>0.02</v>
      </c>
      <c r="AA58" s="242">
        <f>'[2]India Sunflower Imports'!MC$290</f>
        <v>0.27448299999999998</v>
      </c>
      <c r="AB58" s="242">
        <f>'[2]India Sunflower Imports'!MO$290</f>
        <v>0.54574</v>
      </c>
      <c r="AC58" s="242">
        <f>'[2]India Sunflower Imports'!NA$290</f>
        <v>0.28000000000000003</v>
      </c>
      <c r="AD58" s="243">
        <f t="shared" si="37"/>
        <v>0.24027447551971409</v>
      </c>
      <c r="AE58" s="243">
        <f t="shared" si="38"/>
        <v>0.2718821795464525</v>
      </c>
    </row>
    <row r="59" spans="1:31">
      <c r="A59" s="240" t="s">
        <v>237</v>
      </c>
      <c r="B59" s="241">
        <f t="shared" si="35"/>
        <v>0</v>
      </c>
      <c r="C59" s="241">
        <f t="shared" si="35"/>
        <v>0</v>
      </c>
      <c r="D59" s="241">
        <f t="shared" si="35"/>
        <v>0</v>
      </c>
      <c r="E59" s="241">
        <f t="shared" si="35"/>
        <v>0</v>
      </c>
      <c r="F59" s="241">
        <f t="shared" si="35"/>
        <v>0</v>
      </c>
      <c r="G59" s="242">
        <f>'[2]India Sunflower Imports'!CX$290</f>
        <v>0</v>
      </c>
      <c r="H59" s="242">
        <f>'[2]India Sunflower Imports'!DJ$290</f>
        <v>0</v>
      </c>
      <c r="I59" s="242">
        <f>'[2]India Sunflower Imports'!DV$290</f>
        <v>0</v>
      </c>
      <c r="J59" s="242">
        <f>'[2]India Sunflower Imports'!EH$290</f>
        <v>0</v>
      </c>
      <c r="K59" s="242">
        <f>'[2]India Sunflower Imports'!ET$290</f>
        <v>0</v>
      </c>
      <c r="L59" s="242">
        <f>'[2]India Sunflower Imports'!FF$290</f>
        <v>0</v>
      </c>
      <c r="M59" s="242">
        <f>'[2]India Sunflower Imports'!FR$290</f>
        <v>0</v>
      </c>
      <c r="N59" s="242">
        <f>'[2]India Sunflower Imports'!GD$290</f>
        <v>0</v>
      </c>
      <c r="O59" s="242">
        <f>'[2]India Sunflower Imports'!GP$290</f>
        <v>0</v>
      </c>
      <c r="P59" s="242">
        <f>'[2]India Sunflower Imports'!HB$290</f>
        <v>0</v>
      </c>
      <c r="Q59" s="242">
        <f>'[2]India Sunflower Imports'!HN$290</f>
        <v>0.15</v>
      </c>
      <c r="R59" s="242">
        <f>'[2]India Sunflower Imports'!HZ$290</f>
        <v>0</v>
      </c>
      <c r="S59" s="242">
        <f>'[2]India Sunflower Imports'!IL$290</f>
        <v>0</v>
      </c>
      <c r="T59" s="242">
        <f>'[2]India Sunflower Imports'!IX$290</f>
        <v>0.1</v>
      </c>
      <c r="U59" s="242">
        <f>'[2]India Sunflower Imports'!JJ$290</f>
        <v>0.252</v>
      </c>
      <c r="V59" s="242">
        <f>'[2]India Sunflower Imports'!JV$290</f>
        <v>0.127</v>
      </c>
      <c r="W59" s="242">
        <f>'[2]India Sunflower Imports'!KH$290</f>
        <v>5.0000000000000001E-3</v>
      </c>
      <c r="X59" s="242">
        <f>'[2]India Sunflower Imports'!KT$290</f>
        <v>0.1</v>
      </c>
      <c r="Y59" s="242">
        <f>'[2]India Sunflower Imports'!LF$290</f>
        <v>6.6000000000000003E-2</v>
      </c>
      <c r="Z59" s="242">
        <f>'[2]India Sunflower Imports'!LR$290</f>
        <v>0.27354200000000001</v>
      </c>
      <c r="AA59" s="242">
        <f>'[2]India Sunflower Imports'!MD$290</f>
        <v>0.17599999999999999</v>
      </c>
      <c r="AB59" s="242">
        <f>'[2]India Sunflower Imports'!MP$290</f>
        <v>0.10299999999999999</v>
      </c>
      <c r="AC59" s="242">
        <f>'[2]India Sunflower Imports'!NB$290</f>
        <v>0.40200000000000002</v>
      </c>
      <c r="AD59" s="243">
        <f t="shared" ref="AD59:AE59" si="39">AD60-SUM(AD48:AD58)</f>
        <v>0.29980047824867295</v>
      </c>
      <c r="AE59" s="243">
        <f t="shared" si="39"/>
        <v>0.23873833444932258</v>
      </c>
    </row>
    <row r="60" spans="1:31" ht="15.75" thickBot="1">
      <c r="A60" s="240" t="s">
        <v>242</v>
      </c>
      <c r="B60" s="245">
        <f t="shared" ref="B60:G60" si="40">B10</f>
        <v>0</v>
      </c>
      <c r="C60" s="245">
        <f t="shared" si="40"/>
        <v>0</v>
      </c>
      <c r="D60" s="245">
        <f t="shared" si="40"/>
        <v>0</v>
      </c>
      <c r="E60" s="245">
        <f t="shared" si="40"/>
        <v>0</v>
      </c>
      <c r="F60" s="245">
        <f t="shared" si="40"/>
        <v>0</v>
      </c>
      <c r="G60" s="245">
        <f t="shared" si="40"/>
        <v>0</v>
      </c>
      <c r="H60" s="245">
        <f>SUM(H48:H59)</f>
        <v>0</v>
      </c>
      <c r="I60" s="245">
        <f>SUM(I48:I59)</f>
        <v>0</v>
      </c>
      <c r="J60" s="245">
        <f>SUM(J48:J59)</f>
        <v>0</v>
      </c>
      <c r="K60" s="245">
        <f>SUM(K48:K59)</f>
        <v>0</v>
      </c>
      <c r="L60" s="245">
        <f t="shared" ref="L60:AB60" si="41">SUM(L48:L59)</f>
        <v>5.0000000000000001E-3</v>
      </c>
      <c r="M60" s="245">
        <f t="shared" si="41"/>
        <v>0</v>
      </c>
      <c r="N60" s="245">
        <f t="shared" si="41"/>
        <v>0</v>
      </c>
      <c r="O60" s="245">
        <f t="shared" si="41"/>
        <v>4.8449999999999998</v>
      </c>
      <c r="P60" s="245">
        <f t="shared" si="41"/>
        <v>2.5999999999999999E-2</v>
      </c>
      <c r="Q60" s="245">
        <f t="shared" si="41"/>
        <v>0.38900000000000001</v>
      </c>
      <c r="R60" s="245">
        <f t="shared" si="41"/>
        <v>0.127</v>
      </c>
      <c r="S60" s="245">
        <f t="shared" si="41"/>
        <v>3.0000000000000001E-3</v>
      </c>
      <c r="T60" s="245">
        <f t="shared" si="41"/>
        <v>0.21200000000000002</v>
      </c>
      <c r="U60" s="245">
        <f t="shared" si="41"/>
        <v>1.8010000000000002</v>
      </c>
      <c r="V60" s="245">
        <f t="shared" si="41"/>
        <v>1.117</v>
      </c>
      <c r="W60" s="245">
        <f t="shared" si="41"/>
        <v>1.6279999999999999</v>
      </c>
      <c r="X60" s="245">
        <f t="shared" si="41"/>
        <v>1.6390000000000002</v>
      </c>
      <c r="Y60" s="245">
        <f t="shared" si="41"/>
        <v>2.3469999999999995</v>
      </c>
      <c r="Z60" s="245">
        <f t="shared" si="41"/>
        <v>1.5921620000000001</v>
      </c>
      <c r="AA60" s="245">
        <f t="shared" si="41"/>
        <v>2.5797879999999997</v>
      </c>
      <c r="AB60" s="245">
        <f t="shared" si="41"/>
        <v>2.85724</v>
      </c>
      <c r="AC60" s="245">
        <f>SUM(AC48:AC59)</f>
        <v>3.4480010000000005</v>
      </c>
      <c r="AD60" s="247">
        <f t="shared" ref="AD60:AE60" si="42">AD10</f>
        <v>3</v>
      </c>
      <c r="AE60" s="247">
        <f t="shared" si="42"/>
        <v>3</v>
      </c>
    </row>
    <row r="61" spans="1:31">
      <c r="A61" s="248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</row>
    <row r="62" spans="1:31" ht="15.75" thickBot="1">
      <c r="A62" s="235" t="s">
        <v>243</v>
      </c>
      <c r="J62" s="355"/>
    </row>
    <row r="63" spans="1:31" ht="15.75" thickBot="1">
      <c r="A63" s="236"/>
      <c r="B63" s="237" t="str">
        <f>B$2</f>
        <v xml:space="preserve">93/94 </v>
      </c>
      <c r="C63" s="237" t="str">
        <f t="shared" ref="C63:AE63" si="43">C$2</f>
        <v xml:space="preserve">94/95 </v>
      </c>
      <c r="D63" s="237" t="str">
        <f t="shared" si="43"/>
        <v xml:space="preserve">95/96 </v>
      </c>
      <c r="E63" s="237" t="str">
        <f t="shared" si="43"/>
        <v xml:space="preserve">96/97 </v>
      </c>
      <c r="F63" s="237" t="str">
        <f t="shared" si="43"/>
        <v xml:space="preserve">97/98 </v>
      </c>
      <c r="G63" s="237" t="str">
        <f t="shared" si="43"/>
        <v xml:space="preserve">98/99 </v>
      </c>
      <c r="H63" s="237" t="str">
        <f t="shared" si="43"/>
        <v xml:space="preserve">99/00 </v>
      </c>
      <c r="I63" s="237" t="str">
        <f t="shared" si="43"/>
        <v xml:space="preserve">00/01 </v>
      </c>
      <c r="J63" s="237" t="str">
        <f t="shared" si="43"/>
        <v xml:space="preserve">01/02 </v>
      </c>
      <c r="K63" s="237" t="str">
        <f t="shared" si="43"/>
        <v xml:space="preserve">02/03 </v>
      </c>
      <c r="L63" s="237" t="str">
        <f t="shared" si="43"/>
        <v xml:space="preserve">03/04 </v>
      </c>
      <c r="M63" s="237" t="str">
        <f t="shared" si="43"/>
        <v xml:space="preserve">04/05 </v>
      </c>
      <c r="N63" s="237" t="str">
        <f t="shared" si="43"/>
        <v xml:space="preserve">05/06 </v>
      </c>
      <c r="O63" s="237" t="str">
        <f t="shared" si="43"/>
        <v xml:space="preserve">06/07 </v>
      </c>
      <c r="P63" s="237" t="str">
        <f t="shared" si="43"/>
        <v xml:space="preserve">07/08 </v>
      </c>
      <c r="Q63" s="237" t="str">
        <f t="shared" si="43"/>
        <v xml:space="preserve">08/09 </v>
      </c>
      <c r="R63" s="237" t="str">
        <f t="shared" si="43"/>
        <v xml:space="preserve">09/10 </v>
      </c>
      <c r="S63" s="237" t="str">
        <f t="shared" si="43"/>
        <v xml:space="preserve">10/11 </v>
      </c>
      <c r="T63" s="237" t="str">
        <f t="shared" si="43"/>
        <v xml:space="preserve">11/12 </v>
      </c>
      <c r="U63" s="237" t="str">
        <f t="shared" si="43"/>
        <v xml:space="preserve">12/13 </v>
      </c>
      <c r="V63" s="237" t="str">
        <f t="shared" si="43"/>
        <v xml:space="preserve">13/14 </v>
      </c>
      <c r="W63" s="237" t="str">
        <f t="shared" si="43"/>
        <v xml:space="preserve">14/15 </v>
      </c>
      <c r="X63" s="237" t="str">
        <f t="shared" si="43"/>
        <v xml:space="preserve">15/16 </v>
      </c>
      <c r="Y63" s="237" t="str">
        <f t="shared" si="43"/>
        <v xml:space="preserve">16/17 </v>
      </c>
      <c r="Z63" s="237" t="str">
        <f t="shared" si="43"/>
        <v xml:space="preserve">17/18 </v>
      </c>
      <c r="AA63" s="237" t="str">
        <f t="shared" si="43"/>
        <v xml:space="preserve">18/19 </v>
      </c>
      <c r="AB63" s="237" t="str">
        <f t="shared" si="43"/>
        <v xml:space="preserve">19/20 </v>
      </c>
      <c r="AC63" s="237" t="str">
        <f t="shared" si="43"/>
        <v xml:space="preserve">20/21 </v>
      </c>
      <c r="AD63" s="237" t="str">
        <f t="shared" si="43"/>
        <v xml:space="preserve">21/22 </v>
      </c>
      <c r="AE63" s="237" t="str">
        <f t="shared" si="43"/>
        <v xml:space="preserve">22/23 </v>
      </c>
    </row>
    <row r="64" spans="1:31">
      <c r="A64" s="240" t="s">
        <v>238</v>
      </c>
      <c r="B64" s="241">
        <f>(SUM(K64:O64)/SUM(K$76:O$76))*B$76</f>
        <v>0</v>
      </c>
      <c r="C64" s="241">
        <f>(SUM(L64:P64)/SUM(L$76:P$76))*C$76</f>
        <v>0</v>
      </c>
      <c r="D64" s="241">
        <f>(SUM(M64:Q64)/SUM(M$76:Q$76))*D$76</f>
        <v>0</v>
      </c>
      <c r="E64" s="241">
        <f>(SUM(N64:R64)/SUM(N$76:R$76))*E$76</f>
        <v>0</v>
      </c>
      <c r="F64" s="241">
        <f>(SUM(O64:S64)/SUM(O$76:S$76))*F$76</f>
        <v>0</v>
      </c>
      <c r="G64" s="241">
        <v>6.1347480106100791E-2</v>
      </c>
      <c r="H64" s="242">
        <f>'[2]India Sunflower Exports'!CY$290</f>
        <v>0.17299999999999999</v>
      </c>
      <c r="I64" s="242">
        <f>'[2]India Sunflower Exports'!DK$290</f>
        <v>1.7999999999999999E-2</v>
      </c>
      <c r="J64" s="242">
        <f>'[2]India Sunflower Exports'!DW$290</f>
        <v>0</v>
      </c>
      <c r="K64" s="242">
        <f>'[2]India Sunflower Exports'!EI$290</f>
        <v>0.02</v>
      </c>
      <c r="L64" s="242">
        <f>'[2]India Sunflower Exports'!EU$290</f>
        <v>3.4000000000000002E-2</v>
      </c>
      <c r="M64" s="242">
        <f>'[2]India Sunflower Exports'!FG$290</f>
        <v>0.19500000000000001</v>
      </c>
      <c r="N64" s="242">
        <f>'[2]India Sunflower Exports'!FS$290</f>
        <v>0.19</v>
      </c>
      <c r="O64" s="242">
        <f>'[2]India Sunflower Exports'!GE$290</f>
        <v>9.1999999999999998E-2</v>
      </c>
      <c r="P64" s="242">
        <f>'[2]India Sunflower Exports'!GQ$290</f>
        <v>3.6999999999999998E-2</v>
      </c>
      <c r="Q64" s="242">
        <f>'[2]India Sunflower Exports'!HC$290</f>
        <v>0.121</v>
      </c>
      <c r="R64" s="242">
        <f>'[2]India Sunflower Exports'!HO$290</f>
        <v>0.38600000000000001</v>
      </c>
      <c r="S64" s="242">
        <f>'[2]India Sunflower Exports'!IA$290</f>
        <v>0.29599999999999999</v>
      </c>
      <c r="T64" s="242">
        <f>'[2]India Sunflower Exports'!IM$290</f>
        <v>0.67500000000000004</v>
      </c>
      <c r="U64" s="242">
        <f>'[2]India Sunflower Exports'!IY$290</f>
        <v>0.37</v>
      </c>
      <c r="V64" s="242">
        <f>'[2]India Sunflower Exports'!JK$290</f>
        <v>0.32200000000000001</v>
      </c>
      <c r="W64" s="242">
        <f>'[2]India Sunflower Exports'!JW$290</f>
        <v>0.66700000000000004</v>
      </c>
      <c r="X64" s="242">
        <f>'[2]India Sunflower Exports'!KI$290</f>
        <v>0.219</v>
      </c>
      <c r="Y64" s="242">
        <f>'[2]India Sunflower Exports'!KU$290</f>
        <v>0.16400000000000001</v>
      </c>
      <c r="Z64" s="242">
        <f>'[2]India Sunflower Exports'!LG$290</f>
        <v>0.23402600000000001</v>
      </c>
      <c r="AA64" s="242">
        <f>'[2]India Sunflower Exports'!LS$290</f>
        <v>3.5357E-2</v>
      </c>
      <c r="AB64" s="242">
        <f>'[2]India Sunflower Exports'!ME$290</f>
        <v>7.7350000000000002E-2</v>
      </c>
      <c r="AC64" s="242">
        <f>'[2]India Sunflower Exports'!MQ$290</f>
        <v>6.4889000000000002E-2</v>
      </c>
      <c r="AD64" s="242">
        <f>'[2]India Sunflower Exports'!NC$290</f>
        <v>0.125</v>
      </c>
      <c r="AE64" s="243">
        <f t="shared" ref="AE64:AE74" si="44">(SUM(Y64:AC64)/SUM(Y$76:AC$76))*AE$76</f>
        <v>0.24318123652172197</v>
      </c>
    </row>
    <row r="65" spans="1:33">
      <c r="A65" s="240" t="s">
        <v>239</v>
      </c>
      <c r="B65" s="241">
        <f t="shared" ref="B65:B74" si="45">(SUM(K65:O65)/SUM(K$76:O$76))*B$76</f>
        <v>0</v>
      </c>
      <c r="C65" s="241">
        <f t="shared" ref="C65:F75" si="46">(SUM(L65:P65)/SUM(L$76:P$76))*C$76</f>
        <v>0</v>
      </c>
      <c r="D65" s="241">
        <f t="shared" si="46"/>
        <v>0</v>
      </c>
      <c r="E65" s="241">
        <f t="shared" si="46"/>
        <v>0</v>
      </c>
      <c r="F65" s="241">
        <f t="shared" si="46"/>
        <v>0</v>
      </c>
      <c r="G65" s="241">
        <v>0.12595013262599469</v>
      </c>
      <c r="H65" s="242">
        <f>'[2]India Sunflower Exports'!CZ$290</f>
        <v>0.30199999999999999</v>
      </c>
      <c r="I65" s="242">
        <f>'[2]India Sunflower Exports'!DL$290</f>
        <v>9.2999999999999999E-2</v>
      </c>
      <c r="J65" s="242">
        <f>'[2]India Sunflower Exports'!DX$290</f>
        <v>0</v>
      </c>
      <c r="K65" s="242">
        <f>'[2]India Sunflower Exports'!EJ$290</f>
        <v>0.108</v>
      </c>
      <c r="L65" s="242">
        <f>'[2]India Sunflower Exports'!EV$290</f>
        <v>0</v>
      </c>
      <c r="M65" s="242">
        <f>'[2]India Sunflower Exports'!FH$290</f>
        <v>0.313</v>
      </c>
      <c r="N65" s="242">
        <f>'[2]India Sunflower Exports'!FT$290</f>
        <v>2.5000000000000001E-2</v>
      </c>
      <c r="O65" s="242">
        <f>'[2]India Sunflower Exports'!GF$290</f>
        <v>0.28000000000000003</v>
      </c>
      <c r="P65" s="242">
        <f>'[2]India Sunflower Exports'!GR$290</f>
        <v>0.439</v>
      </c>
      <c r="Q65" s="242">
        <f>'[2]India Sunflower Exports'!HD$290</f>
        <v>0.65900000000000003</v>
      </c>
      <c r="R65" s="242">
        <f>'[2]India Sunflower Exports'!HP$290</f>
        <v>0.25900000000000001</v>
      </c>
      <c r="S65" s="242">
        <f>'[2]India Sunflower Exports'!IB$290</f>
        <v>0.378</v>
      </c>
      <c r="T65" s="242">
        <f>'[2]India Sunflower Exports'!IN$290</f>
        <v>0.57599999999999996</v>
      </c>
      <c r="U65" s="242">
        <f>'[2]India Sunflower Exports'!IZ$290</f>
        <v>0.312</v>
      </c>
      <c r="V65" s="242">
        <f>'[2]India Sunflower Exports'!JL$290</f>
        <v>0.52500000000000002</v>
      </c>
      <c r="W65" s="242">
        <f>'[2]India Sunflower Exports'!JX$290</f>
        <v>0.91100000000000003</v>
      </c>
      <c r="X65" s="242">
        <f>'[2]India Sunflower Exports'!KJ$290</f>
        <v>0.214</v>
      </c>
      <c r="Y65" s="242">
        <f>'[2]India Sunflower Exports'!KV$290</f>
        <v>0.11600000000000001</v>
      </c>
      <c r="Z65" s="242">
        <f>'[2]India Sunflower Exports'!LH$290</f>
        <v>0.1164</v>
      </c>
      <c r="AA65" s="242">
        <f>'[2]India Sunflower Exports'!LT$290</f>
        <v>0.25536999999999999</v>
      </c>
      <c r="AB65" s="242">
        <f>'[2]India Sunflower Exports'!MF$290</f>
        <v>5.1099999999999995E-4</v>
      </c>
      <c r="AC65" s="242">
        <f>'[2]India Sunflower Exports'!MR$290</f>
        <v>7.9459000000000002E-2</v>
      </c>
      <c r="AD65" s="242">
        <f>'[2]India Sunflower Exports'!ND$290</f>
        <v>0.21299999999999999</v>
      </c>
      <c r="AE65" s="243">
        <f t="shared" si="44"/>
        <v>0.23985135248972833</v>
      </c>
    </row>
    <row r="66" spans="1:33">
      <c r="A66" s="240" t="s">
        <v>240</v>
      </c>
      <c r="B66" s="241">
        <f t="shared" si="45"/>
        <v>0</v>
      </c>
      <c r="C66" s="241">
        <f t="shared" si="46"/>
        <v>0</v>
      </c>
      <c r="D66" s="241">
        <f t="shared" si="46"/>
        <v>0</v>
      </c>
      <c r="E66" s="241">
        <f t="shared" si="46"/>
        <v>0</v>
      </c>
      <c r="F66" s="241">
        <f t="shared" si="46"/>
        <v>0</v>
      </c>
      <c r="G66" s="241">
        <v>0.12519893899204246</v>
      </c>
      <c r="H66" s="242">
        <f>'[2]India Sunflower Exports'!DA$290</f>
        <v>0.109</v>
      </c>
      <c r="I66" s="242">
        <f>'[2]India Sunflower Exports'!DM$290</f>
        <v>0.15</v>
      </c>
      <c r="J66" s="242">
        <f>'[2]India Sunflower Exports'!DY$290</f>
        <v>1.7999999999999999E-2</v>
      </c>
      <c r="K66" s="242">
        <f>'[2]India Sunflower Exports'!EK$290</f>
        <v>0.184</v>
      </c>
      <c r="L66" s="242">
        <f>'[2]India Sunflower Exports'!EW$290</f>
        <v>3.9E-2</v>
      </c>
      <c r="M66" s="242">
        <f>'[2]India Sunflower Exports'!FI$290</f>
        <v>0</v>
      </c>
      <c r="N66" s="242">
        <f>'[2]India Sunflower Exports'!FU$290</f>
        <v>0.16600000000000001</v>
      </c>
      <c r="O66" s="242">
        <f>'[2]India Sunflower Exports'!GG$290</f>
        <v>0.77600000000000002</v>
      </c>
      <c r="P66" s="242">
        <f>'[2]India Sunflower Exports'!GS$290</f>
        <v>0.30599999999999999</v>
      </c>
      <c r="Q66" s="242">
        <f>'[2]India Sunflower Exports'!HE$290</f>
        <v>0.25</v>
      </c>
      <c r="R66" s="242">
        <f>'[2]India Sunflower Exports'!HQ$290</f>
        <v>0.26600000000000001</v>
      </c>
      <c r="S66" s="242">
        <f>'[2]India Sunflower Exports'!IC$290</f>
        <v>0.215</v>
      </c>
      <c r="T66" s="242">
        <f>'[2]India Sunflower Exports'!IO$290</f>
        <v>0.4</v>
      </c>
      <c r="U66" s="242">
        <f>'[2]India Sunflower Exports'!JA$290</f>
        <v>0.34899999999999998</v>
      </c>
      <c r="V66" s="242">
        <f>'[2]India Sunflower Exports'!JM$290</f>
        <v>0.27200000000000002</v>
      </c>
      <c r="W66" s="242">
        <f>'[2]India Sunflower Exports'!JY$290</f>
        <v>0.64400000000000002</v>
      </c>
      <c r="X66" s="242">
        <f>'[2]India Sunflower Exports'!KK$290</f>
        <v>0.26400000000000001</v>
      </c>
      <c r="Y66" s="242">
        <f>'[2]India Sunflower Exports'!KW$290</f>
        <v>0.19800000000000001</v>
      </c>
      <c r="Z66" s="242">
        <f>'[2]India Sunflower Exports'!LI$290</f>
        <v>0.44805</v>
      </c>
      <c r="AA66" s="242">
        <f>'[2]India Sunflower Exports'!LU$290</f>
        <v>0.43089899999999998</v>
      </c>
      <c r="AB66" s="242">
        <f>'[2]India Sunflower Exports'!MG$290</f>
        <v>2.9250000000000001E-3</v>
      </c>
      <c r="AC66" s="242">
        <f>'[2]India Sunflower Exports'!MS$290</f>
        <v>0.103031</v>
      </c>
      <c r="AD66" s="242">
        <f>'[2]India Sunflower Exports'!NE$290</f>
        <v>0.13400000000000001</v>
      </c>
      <c r="AE66" s="243">
        <f t="shared" si="44"/>
        <v>0.49973819726787294</v>
      </c>
    </row>
    <row r="67" spans="1:33">
      <c r="A67" s="240" t="s">
        <v>241</v>
      </c>
      <c r="B67" s="241">
        <f t="shared" si="45"/>
        <v>0</v>
      </c>
      <c r="C67" s="241">
        <f t="shared" si="46"/>
        <v>0</v>
      </c>
      <c r="D67" s="241">
        <f t="shared" si="46"/>
        <v>0</v>
      </c>
      <c r="E67" s="241">
        <f t="shared" si="46"/>
        <v>0</v>
      </c>
      <c r="F67" s="241">
        <f t="shared" si="46"/>
        <v>0</v>
      </c>
      <c r="G67" s="241">
        <v>0.15950344827586205</v>
      </c>
      <c r="H67" s="242">
        <f>'[2]India Sunflower Exports'!DB$290</f>
        <v>0.123</v>
      </c>
      <c r="I67" s="242">
        <f>'[2]India Sunflower Exports'!DN$290</f>
        <v>0.17599999999999999</v>
      </c>
      <c r="J67" s="242">
        <f>'[2]India Sunflower Exports'!DZ$290</f>
        <v>3.5999999999999997E-2</v>
      </c>
      <c r="K67" s="242">
        <f>'[2]India Sunflower Exports'!EL$290</f>
        <v>0.216</v>
      </c>
      <c r="L67" s="242">
        <f>'[2]India Sunflower Exports'!EX$290</f>
        <v>8.5999999999999993E-2</v>
      </c>
      <c r="M67" s="242">
        <f>'[2]India Sunflower Exports'!FJ$290</f>
        <v>0.311</v>
      </c>
      <c r="N67" s="242">
        <f>'[2]India Sunflower Exports'!FV$290</f>
        <v>0.17799999999999999</v>
      </c>
      <c r="O67" s="242">
        <f>'[2]India Sunflower Exports'!GH$290</f>
        <v>0.14000000000000001</v>
      </c>
      <c r="P67" s="242">
        <f>'[2]India Sunflower Exports'!GT$290</f>
        <v>0.17599999999999999</v>
      </c>
      <c r="Q67" s="242">
        <f>'[2]India Sunflower Exports'!HF$290</f>
        <v>7.8E-2</v>
      </c>
      <c r="R67" s="242">
        <f>'[2]India Sunflower Exports'!HR$290</f>
        <v>0.32300000000000001</v>
      </c>
      <c r="S67" s="242">
        <f>'[2]India Sunflower Exports'!ID$290</f>
        <v>0.32300000000000001</v>
      </c>
      <c r="T67" s="242">
        <f>'[2]India Sunflower Exports'!IP$290</f>
        <v>0.47199999999999998</v>
      </c>
      <c r="U67" s="242">
        <f>'[2]India Sunflower Exports'!JB$290</f>
        <v>0.50800000000000001</v>
      </c>
      <c r="V67" s="242">
        <f>'[2]India Sunflower Exports'!JN$290</f>
        <v>0.38100000000000001</v>
      </c>
      <c r="W67" s="242">
        <f>'[2]India Sunflower Exports'!JZ$290</f>
        <v>0.66200000000000003</v>
      </c>
      <c r="X67" s="242">
        <f>'[2]India Sunflower Exports'!KL$290</f>
        <v>0.502</v>
      </c>
      <c r="Y67" s="242">
        <f>'[2]India Sunflower Exports'!KX$290</f>
        <v>0.45500000000000002</v>
      </c>
      <c r="Z67" s="242">
        <f>'[2]India Sunflower Exports'!LJ$290</f>
        <v>0.35704999999999998</v>
      </c>
      <c r="AA67" s="242">
        <f>'[2]India Sunflower Exports'!LV$290</f>
        <v>0.25106600000000001</v>
      </c>
      <c r="AB67" s="242">
        <f>'[2]India Sunflower Exports'!MH$290</f>
        <v>0.12046</v>
      </c>
      <c r="AC67" s="242">
        <f>'[2]India Sunflower Exports'!MT$290</f>
        <v>9.4253000000000003E-2</v>
      </c>
      <c r="AD67" s="242">
        <f>'[2]India Sunflower Exports'!NF$290</f>
        <v>0.154</v>
      </c>
      <c r="AE67" s="243">
        <f t="shared" si="44"/>
        <v>0.5398404443946121</v>
      </c>
    </row>
    <row r="68" spans="1:33">
      <c r="A68" s="240" t="s">
        <v>231</v>
      </c>
      <c r="B68" s="241">
        <f t="shared" si="45"/>
        <v>0</v>
      </c>
      <c r="C68" s="241">
        <f t="shared" si="46"/>
        <v>0</v>
      </c>
      <c r="D68" s="241">
        <f t="shared" si="46"/>
        <v>0</v>
      </c>
      <c r="E68" s="241">
        <f t="shared" si="46"/>
        <v>0</v>
      </c>
      <c r="F68" s="241">
        <f t="shared" si="46"/>
        <v>0</v>
      </c>
      <c r="G68" s="242">
        <f>'[2]India Sunflower Exports'!CQ$290</f>
        <v>0.20699999999999999</v>
      </c>
      <c r="H68" s="242">
        <f>'[2]India Sunflower Exports'!DC$290</f>
        <v>0.151</v>
      </c>
      <c r="I68" s="242">
        <f>'[2]India Sunflower Exports'!DO$290</f>
        <v>3.6999999999999998E-2</v>
      </c>
      <c r="J68" s="242">
        <f>'[2]India Sunflower Exports'!EA$290</f>
        <v>0.25700000000000001</v>
      </c>
      <c r="K68" s="242">
        <f>'[2]India Sunflower Exports'!EM$290</f>
        <v>0.222</v>
      </c>
      <c r="L68" s="242">
        <f>'[2]India Sunflower Exports'!EY$290</f>
        <v>0.16600000000000001</v>
      </c>
      <c r="M68" s="242">
        <f>'[2]India Sunflower Exports'!FK$290</f>
        <v>0.61199999999999999</v>
      </c>
      <c r="N68" s="242">
        <f>'[2]India Sunflower Exports'!FW$290</f>
        <v>0.221</v>
      </c>
      <c r="O68" s="242">
        <f>'[2]India Sunflower Exports'!GI$290</f>
        <v>0.34499999999999997</v>
      </c>
      <c r="P68" s="242">
        <f>'[2]India Sunflower Exports'!GU$290</f>
        <v>0.14799999999999999</v>
      </c>
      <c r="Q68" s="242">
        <f>'[2]India Sunflower Exports'!HG$290</f>
        <v>0.221</v>
      </c>
      <c r="R68" s="242">
        <f>'[2]India Sunflower Exports'!HS$290</f>
        <v>0.38</v>
      </c>
      <c r="S68" s="242">
        <f>'[2]India Sunflower Exports'!IE$290</f>
        <v>0.35099999999999998</v>
      </c>
      <c r="T68" s="242">
        <f>'[2]India Sunflower Exports'!IQ$290</f>
        <v>0.49</v>
      </c>
      <c r="U68" s="242">
        <f>'[2]India Sunflower Exports'!JC$290</f>
        <v>0.436</v>
      </c>
      <c r="V68" s="242">
        <f>'[2]India Sunflower Exports'!JO$290</f>
        <v>0.26200000000000001</v>
      </c>
      <c r="W68" s="242">
        <f>'[2]India Sunflower Exports'!KA$290</f>
        <v>0.65600000000000003</v>
      </c>
      <c r="X68" s="242">
        <f>'[2]India Sunflower Exports'!KM$290</f>
        <v>0.249</v>
      </c>
      <c r="Y68" s="242">
        <f>'[2]India Sunflower Exports'!KY$290</f>
        <v>8.2000000000000003E-2</v>
      </c>
      <c r="Z68" s="242">
        <f>'[2]India Sunflower Exports'!LK$290</f>
        <v>0.22900000000000001</v>
      </c>
      <c r="AA68" s="242">
        <f>'[2]India Sunflower Exports'!LW$290</f>
        <v>0.21234500000000001</v>
      </c>
      <c r="AB68" s="242">
        <f>'[2]India Sunflower Exports'!MI$290</f>
        <v>9.8099000000000006E-2</v>
      </c>
      <c r="AC68" s="242">
        <f>'[2]India Sunflower Exports'!MU$290</f>
        <v>5.8000000000000003E-2</v>
      </c>
      <c r="AD68" s="242">
        <f>'[2]India Sunflower Exports'!NG$290</f>
        <v>9.0999999999999998E-2</v>
      </c>
      <c r="AE68" s="243">
        <f t="shared" si="44"/>
        <v>0.28704259404134114</v>
      </c>
    </row>
    <row r="69" spans="1:33">
      <c r="A69" s="240" t="s">
        <v>232</v>
      </c>
      <c r="B69" s="241">
        <f t="shared" si="45"/>
        <v>0</v>
      </c>
      <c r="C69" s="241">
        <f t="shared" si="46"/>
        <v>0</v>
      </c>
      <c r="D69" s="241">
        <f t="shared" si="46"/>
        <v>0</v>
      </c>
      <c r="E69" s="241">
        <f t="shared" si="46"/>
        <v>0</v>
      </c>
      <c r="F69" s="241">
        <f t="shared" si="46"/>
        <v>0</v>
      </c>
      <c r="G69" s="242">
        <f>'[2]India Sunflower Exports'!CR$290</f>
        <v>0.34</v>
      </c>
      <c r="H69" s="242">
        <f>'[2]India Sunflower Exports'!DD$290</f>
        <v>0.128</v>
      </c>
      <c r="I69" s="242">
        <f>'[2]India Sunflower Exports'!DP$290</f>
        <v>8.3000000000000004E-2</v>
      </c>
      <c r="J69" s="242">
        <f>'[2]India Sunflower Exports'!EB$290</f>
        <v>0.185</v>
      </c>
      <c r="K69" s="242">
        <f>'[2]India Sunflower Exports'!EN$290</f>
        <v>0.26</v>
      </c>
      <c r="L69" s="242">
        <f>'[2]India Sunflower Exports'!EZ$290</f>
        <v>5.2999999999999999E-2</v>
      </c>
      <c r="M69" s="242">
        <f>'[2]India Sunflower Exports'!FL$290</f>
        <v>0.52900000000000003</v>
      </c>
      <c r="N69" s="242">
        <f>'[2]India Sunflower Exports'!FX$290</f>
        <v>5.1999999999999998E-2</v>
      </c>
      <c r="O69" s="242">
        <f>'[2]India Sunflower Exports'!GJ$290</f>
        <v>0.443</v>
      </c>
      <c r="P69" s="242">
        <f>'[2]India Sunflower Exports'!GV$290</f>
        <v>0.14299999999999999</v>
      </c>
      <c r="Q69" s="242">
        <f>'[2]India Sunflower Exports'!HH$290</f>
        <v>0.78900000000000003</v>
      </c>
      <c r="R69" s="242">
        <f>'[2]India Sunflower Exports'!HT$290</f>
        <v>0.48199999999999998</v>
      </c>
      <c r="S69" s="242">
        <f>'[2]India Sunflower Exports'!IF$290</f>
        <v>0.61299999999999999</v>
      </c>
      <c r="T69" s="242">
        <f>'[2]India Sunflower Exports'!IR$290</f>
        <v>7.4999999999999997E-2</v>
      </c>
      <c r="U69" s="242">
        <f>'[2]India Sunflower Exports'!JD$290</f>
        <v>0.52700000000000002</v>
      </c>
      <c r="V69" s="242">
        <f>'[2]India Sunflower Exports'!JP$290</f>
        <v>0.67</v>
      </c>
      <c r="W69" s="242">
        <f>'[2]India Sunflower Exports'!KB$290</f>
        <v>0.49</v>
      </c>
      <c r="X69" s="242">
        <f>'[2]India Sunflower Exports'!KN$290</f>
        <v>0.22700000000000001</v>
      </c>
      <c r="Y69" s="242">
        <f>'[2]India Sunflower Exports'!KZ$290</f>
        <v>0.23699999999999999</v>
      </c>
      <c r="Z69" s="242">
        <f>'[2]India Sunflower Exports'!LL$290</f>
        <v>0.29707499999999998</v>
      </c>
      <c r="AA69" s="242">
        <f>'[2]India Sunflower Exports'!LX$290</f>
        <v>8.9609999999999995E-2</v>
      </c>
      <c r="AB69" s="242">
        <f>'[2]India Sunflower Exports'!MJ$290</f>
        <v>0.10507</v>
      </c>
      <c r="AC69" s="242">
        <f>'[2]India Sunflower Exports'!MV$290</f>
        <v>4.3999999999999997E-2</v>
      </c>
      <c r="AD69" s="242">
        <f>'[2]India Sunflower Exports'!NH$290</f>
        <v>2.7E-2</v>
      </c>
      <c r="AE69" s="243">
        <f t="shared" si="44"/>
        <v>0.3264634020734844</v>
      </c>
    </row>
    <row r="70" spans="1:33">
      <c r="A70" s="240" t="s">
        <v>233</v>
      </c>
      <c r="B70" s="241">
        <f t="shared" si="45"/>
        <v>0</v>
      </c>
      <c r="C70" s="241">
        <f t="shared" si="46"/>
        <v>0</v>
      </c>
      <c r="D70" s="241">
        <f t="shared" si="46"/>
        <v>0</v>
      </c>
      <c r="E70" s="241">
        <f t="shared" si="46"/>
        <v>0</v>
      </c>
      <c r="F70" s="241">
        <f t="shared" si="46"/>
        <v>0</v>
      </c>
      <c r="G70" s="242">
        <f>'[2]India Sunflower Exports'!CS$290</f>
        <v>0.186</v>
      </c>
      <c r="H70" s="242">
        <f>'[2]India Sunflower Exports'!DE$290</f>
        <v>0.27300000000000002</v>
      </c>
      <c r="I70" s="242">
        <f>'[2]India Sunflower Exports'!DQ$290</f>
        <v>0.153</v>
      </c>
      <c r="J70" s="242">
        <f>'[2]India Sunflower Exports'!EC$290</f>
        <v>0.20799999999999999</v>
      </c>
      <c r="K70" s="242">
        <f>'[2]India Sunflower Exports'!EO$290</f>
        <v>0.111</v>
      </c>
      <c r="L70" s="242">
        <f>'[2]India Sunflower Exports'!FA$290</f>
        <v>0.14599999999999999</v>
      </c>
      <c r="M70" s="242">
        <f>'[2]India Sunflower Exports'!FM$290</f>
        <v>0.223</v>
      </c>
      <c r="N70" s="242">
        <f>'[2]India Sunflower Exports'!FY$290</f>
        <v>7.8E-2</v>
      </c>
      <c r="O70" s="242">
        <f>'[2]India Sunflower Exports'!GK$290</f>
        <v>0.45</v>
      </c>
      <c r="P70" s="242">
        <f>'[2]India Sunflower Exports'!GW$290</f>
        <v>0.105</v>
      </c>
      <c r="Q70" s="242">
        <f>'[2]India Sunflower Exports'!HI$290</f>
        <v>1.4039999999999999</v>
      </c>
      <c r="R70" s="242">
        <f>'[2]India Sunflower Exports'!HU$290</f>
        <v>0.32700000000000001</v>
      </c>
      <c r="S70" s="242">
        <f>'[2]India Sunflower Exports'!IG$290</f>
        <v>0.57299999999999995</v>
      </c>
      <c r="T70" s="242">
        <f>'[2]India Sunflower Exports'!IS$290</f>
        <v>0.111</v>
      </c>
      <c r="U70" s="242">
        <f>'[2]India Sunflower Exports'!JE$290</f>
        <v>0.80900000000000005</v>
      </c>
      <c r="V70" s="242">
        <f>'[2]India Sunflower Exports'!JQ$290</f>
        <v>0.36499999999999999</v>
      </c>
      <c r="W70" s="242">
        <f>'[2]India Sunflower Exports'!KC$290</f>
        <v>0.42399999999999999</v>
      </c>
      <c r="X70" s="242">
        <f>'[2]India Sunflower Exports'!KO$290</f>
        <v>0.193</v>
      </c>
      <c r="Y70" s="242">
        <f>'[2]India Sunflower Exports'!LA$290</f>
        <v>0.16900000000000001</v>
      </c>
      <c r="Z70" s="242">
        <f>'[2]India Sunflower Exports'!LM$290</f>
        <v>0.189415</v>
      </c>
      <c r="AA70" s="242">
        <f>'[2]India Sunflower Exports'!LY$290</f>
        <v>0.10829999999999999</v>
      </c>
      <c r="AB70" s="242">
        <f>'[2]India Sunflower Exports'!MK$290</f>
        <v>5.4100000000000003E-4</v>
      </c>
      <c r="AC70" s="242">
        <f>'[2]India Sunflower Exports'!MW$290</f>
        <v>0.129</v>
      </c>
      <c r="AD70" s="243">
        <f t="shared" ref="AD70:AD74" si="47">(SUM(X70:AB70)/SUM(X$76:AB$76))*AD$76</f>
        <v>9.7702694254016551E-2</v>
      </c>
      <c r="AE70" s="243">
        <f t="shared" si="44"/>
        <v>0.25189841834310689</v>
      </c>
    </row>
    <row r="71" spans="1:33">
      <c r="A71" s="240" t="s">
        <v>234</v>
      </c>
      <c r="B71" s="241">
        <f t="shared" si="45"/>
        <v>0</v>
      </c>
      <c r="C71" s="241">
        <f t="shared" si="46"/>
        <v>0</v>
      </c>
      <c r="D71" s="241">
        <f t="shared" si="46"/>
        <v>0</v>
      </c>
      <c r="E71" s="241">
        <f t="shared" si="46"/>
        <v>0</v>
      </c>
      <c r="F71" s="241">
        <f t="shared" si="46"/>
        <v>0</v>
      </c>
      <c r="G71" s="242">
        <f>'[2]India Sunflower Exports'!CT$290</f>
        <v>0.219</v>
      </c>
      <c r="H71" s="242">
        <f>'[2]India Sunflower Exports'!DF$290</f>
        <v>7.2999999999999995E-2</v>
      </c>
      <c r="I71" s="242">
        <f>'[2]India Sunflower Exports'!DR$290</f>
        <v>0.185</v>
      </c>
      <c r="J71" s="242">
        <f>'[2]India Sunflower Exports'!ED$290</f>
        <v>0.159</v>
      </c>
      <c r="K71" s="242">
        <f>'[2]India Sunflower Exports'!EP$290</f>
        <v>0.155</v>
      </c>
      <c r="L71" s="242">
        <f>'[2]India Sunflower Exports'!FB$290</f>
        <v>0.157</v>
      </c>
      <c r="M71" s="242">
        <f>'[2]India Sunflower Exports'!FN$290</f>
        <v>0.24</v>
      </c>
      <c r="N71" s="242">
        <f>'[2]India Sunflower Exports'!FZ$290</f>
        <v>3.3000000000000002E-2</v>
      </c>
      <c r="O71" s="242">
        <f>'[2]India Sunflower Exports'!GL$290</f>
        <v>0.28799999999999998</v>
      </c>
      <c r="P71" s="242">
        <f>'[2]India Sunflower Exports'!GX$290</f>
        <v>0.34699999999999998</v>
      </c>
      <c r="Q71" s="242">
        <f>'[2]India Sunflower Exports'!HJ$290</f>
        <v>0.35</v>
      </c>
      <c r="R71" s="242">
        <f>'[2]India Sunflower Exports'!HV$290</f>
        <v>0.377</v>
      </c>
      <c r="S71" s="242">
        <f>'[2]India Sunflower Exports'!IH$290</f>
        <v>0.51900000000000002</v>
      </c>
      <c r="T71" s="242">
        <f>'[2]India Sunflower Exports'!IT$290</f>
        <v>0.13600000000000001</v>
      </c>
      <c r="U71" s="242">
        <f>'[2]India Sunflower Exports'!JF$290</f>
        <v>0.22500000000000001</v>
      </c>
      <c r="V71" s="242">
        <f>'[2]India Sunflower Exports'!JR$290</f>
        <v>0.16800000000000001</v>
      </c>
      <c r="W71" s="242">
        <f>'[2]India Sunflower Exports'!KD$290</f>
        <v>0.23100000000000001</v>
      </c>
      <c r="X71" s="242">
        <f>'[2]India Sunflower Exports'!KP$290</f>
        <v>0.13500000000000001</v>
      </c>
      <c r="Y71" s="242">
        <f>'[2]India Sunflower Exports'!LB$290</f>
        <v>0.42699999999999999</v>
      </c>
      <c r="Z71" s="242">
        <f>'[2]India Sunflower Exports'!LN$290</f>
        <v>5.7070000000000003E-2</v>
      </c>
      <c r="AA71" s="242">
        <f>'[2]India Sunflower Exports'!LZ$290</f>
        <v>0.24221899999999999</v>
      </c>
      <c r="AB71" s="242">
        <f>'[2]India Sunflower Exports'!ML$290</f>
        <v>0.05</v>
      </c>
      <c r="AC71" s="242">
        <f>'[2]India Sunflower Exports'!MX$290</f>
        <v>0.11700000000000001</v>
      </c>
      <c r="AD71" s="243">
        <f t="shared" si="47"/>
        <v>0.13484980150736758</v>
      </c>
      <c r="AE71" s="243">
        <f t="shared" si="44"/>
        <v>0.37738502626941373</v>
      </c>
    </row>
    <row r="72" spans="1:33">
      <c r="A72" s="240" t="s">
        <v>46</v>
      </c>
      <c r="B72" s="241">
        <f t="shared" si="45"/>
        <v>0</v>
      </c>
      <c r="C72" s="241">
        <f t="shared" si="46"/>
        <v>0</v>
      </c>
      <c r="D72" s="241">
        <f t="shared" si="46"/>
        <v>0</v>
      </c>
      <c r="E72" s="241">
        <f t="shared" si="46"/>
        <v>0</v>
      </c>
      <c r="F72" s="241">
        <f t="shared" si="46"/>
        <v>0</v>
      </c>
      <c r="G72" s="242">
        <f>'[2]India Sunflower Exports'!CU$290</f>
        <v>0.108</v>
      </c>
      <c r="H72" s="242">
        <f>'[2]India Sunflower Exports'!DG$290</f>
        <v>8.6999999999999994E-2</v>
      </c>
      <c r="I72" s="242">
        <f>'[2]India Sunflower Exports'!DS$290</f>
        <v>3.7999999999999999E-2</v>
      </c>
      <c r="J72" s="242">
        <f>'[2]India Sunflower Exports'!EE$290</f>
        <v>0.111</v>
      </c>
      <c r="K72" s="242">
        <f>'[2]India Sunflower Exports'!EQ$290</f>
        <v>0.33100000000000002</v>
      </c>
      <c r="L72" s="242">
        <f>'[2]India Sunflower Exports'!FC$290</f>
        <v>0.14399999999999999</v>
      </c>
      <c r="M72" s="242">
        <f>'[2]India Sunflower Exports'!FO$290</f>
        <v>0.106</v>
      </c>
      <c r="N72" s="242">
        <f>'[2]India Sunflower Exports'!GA$290</f>
        <v>0.02</v>
      </c>
      <c r="O72" s="242">
        <f>'[2]India Sunflower Exports'!GM$290</f>
        <v>0.24199999999999999</v>
      </c>
      <c r="P72" s="242">
        <f>'[2]India Sunflower Exports'!GY$290</f>
        <v>0.45600000000000002</v>
      </c>
      <c r="Q72" s="242">
        <f>'[2]India Sunflower Exports'!HK$290</f>
        <v>0.52300000000000002</v>
      </c>
      <c r="R72" s="242">
        <f>'[2]India Sunflower Exports'!HW$290</f>
        <v>0.46400000000000002</v>
      </c>
      <c r="S72" s="242">
        <f>'[2]India Sunflower Exports'!II$290</f>
        <v>0.23200000000000001</v>
      </c>
      <c r="T72" s="242">
        <f>'[2]India Sunflower Exports'!IU$290</f>
        <v>0.14599999999999999</v>
      </c>
      <c r="U72" s="242">
        <f>'[2]India Sunflower Exports'!JG$290</f>
        <v>0.224</v>
      </c>
      <c r="V72" s="242">
        <f>'[2]India Sunflower Exports'!JS$290</f>
        <v>0.27600000000000002</v>
      </c>
      <c r="W72" s="242">
        <f>'[2]India Sunflower Exports'!KE$290</f>
        <v>0.35699999999999998</v>
      </c>
      <c r="X72" s="242">
        <f>'[2]India Sunflower Exports'!KQ$290</f>
        <v>0.17</v>
      </c>
      <c r="Y72" s="242">
        <f>'[2]India Sunflower Exports'!LC$290</f>
        <v>0.51800000000000002</v>
      </c>
      <c r="Z72" s="242">
        <f>'[2]India Sunflower Exports'!LO$290</f>
        <v>0.30855399999999999</v>
      </c>
      <c r="AA72" s="242">
        <f>'[2]India Sunflower Exports'!MA$290</f>
        <v>0.171484</v>
      </c>
      <c r="AB72" s="242">
        <f>'[2]India Sunflower Exports'!MM$290</f>
        <v>7.3832999999999996E-2</v>
      </c>
      <c r="AC72" s="242">
        <f>'[2]India Sunflower Exports'!MY$290</f>
        <v>0.13</v>
      </c>
      <c r="AD72" s="243">
        <f t="shared" si="47"/>
        <v>0.18376833018697264</v>
      </c>
      <c r="AE72" s="243">
        <f t="shared" si="44"/>
        <v>0.50775070431567682</v>
      </c>
    </row>
    <row r="73" spans="1:33">
      <c r="A73" s="240" t="s">
        <v>235</v>
      </c>
      <c r="B73" s="241">
        <f t="shared" si="45"/>
        <v>0</v>
      </c>
      <c r="C73" s="241">
        <f t="shared" si="46"/>
        <v>0</v>
      </c>
      <c r="D73" s="241">
        <f t="shared" si="46"/>
        <v>0</v>
      </c>
      <c r="E73" s="241">
        <f t="shared" si="46"/>
        <v>0</v>
      </c>
      <c r="F73" s="241">
        <f t="shared" si="46"/>
        <v>0</v>
      </c>
      <c r="G73" s="242">
        <f>'[2]India Sunflower Exports'!CV$290</f>
        <v>8.8999999999999996E-2</v>
      </c>
      <c r="H73" s="242">
        <f>'[2]India Sunflower Exports'!DH$290</f>
        <v>0.109</v>
      </c>
      <c r="I73" s="242">
        <f>'[2]India Sunflower Exports'!DT$290</f>
        <v>0.14499999999999999</v>
      </c>
      <c r="J73" s="242">
        <f>'[2]India Sunflower Exports'!EF$290</f>
        <v>0.14000000000000001</v>
      </c>
      <c r="K73" s="242">
        <f>'[2]India Sunflower Exports'!ER$290</f>
        <v>4.4999999999999998E-2</v>
      </c>
      <c r="L73" s="242">
        <f>'[2]India Sunflower Exports'!FD$290</f>
        <v>7.1999999999999995E-2</v>
      </c>
      <c r="M73" s="242">
        <f>'[2]India Sunflower Exports'!FP$290</f>
        <v>0.192</v>
      </c>
      <c r="N73" s="242">
        <f>'[2]India Sunflower Exports'!GB$290</f>
        <v>5.6000000000000001E-2</v>
      </c>
      <c r="O73" s="242">
        <f>'[2]India Sunflower Exports'!GN$290</f>
        <v>0.34599999999999997</v>
      </c>
      <c r="P73" s="242">
        <f>'[2]India Sunflower Exports'!GZ$290</f>
        <v>0.80500000000000005</v>
      </c>
      <c r="Q73" s="242">
        <f>'[2]India Sunflower Exports'!HL$290</f>
        <v>0.49099999999999999</v>
      </c>
      <c r="R73" s="242">
        <f>'[2]India Sunflower Exports'!HX$290</f>
        <v>0.36799999999999999</v>
      </c>
      <c r="S73" s="242">
        <f>'[2]India Sunflower Exports'!IJ$290</f>
        <v>0.68300000000000005</v>
      </c>
      <c r="T73" s="242">
        <f>'[2]India Sunflower Exports'!IV$290</f>
        <v>0.66</v>
      </c>
      <c r="U73" s="242">
        <f>'[2]India Sunflower Exports'!JH$290</f>
        <v>0.25</v>
      </c>
      <c r="V73" s="242">
        <f>'[2]India Sunflower Exports'!JT$290</f>
        <v>9.4E-2</v>
      </c>
      <c r="W73" s="242">
        <f>'[2]India Sunflower Exports'!KF$290</f>
        <v>0.40500000000000003</v>
      </c>
      <c r="X73" s="242">
        <f>'[2]India Sunflower Exports'!KR$290</f>
        <v>0.53500000000000003</v>
      </c>
      <c r="Y73" s="242">
        <f>'[2]India Sunflower Exports'!LD$290</f>
        <v>2.0350000000000001</v>
      </c>
      <c r="Z73" s="242">
        <f>'[2]India Sunflower Exports'!LP$290</f>
        <v>0.29484700000000003</v>
      </c>
      <c r="AA73" s="242">
        <f>'[2]India Sunflower Exports'!MB$290</f>
        <v>6.5402000000000002E-2</v>
      </c>
      <c r="AB73" s="242">
        <f>'[2]India Sunflower Exports'!MN$290</f>
        <v>0.27246900000000002</v>
      </c>
      <c r="AC73" s="242">
        <f>'[2]India Sunflower Exports'!MZ$290</f>
        <v>4.1000000000000002E-2</v>
      </c>
      <c r="AD73" s="243">
        <f>(SUM(X73:AB73)/SUM(X$76:AB$76))*AD$76-0.2</f>
        <v>0.27392856336911048</v>
      </c>
      <c r="AE73" s="243">
        <f t="shared" si="44"/>
        <v>1.144343671069983</v>
      </c>
    </row>
    <row r="74" spans="1:33">
      <c r="A74" s="240" t="s">
        <v>236</v>
      </c>
      <c r="B74" s="241">
        <f t="shared" si="45"/>
        <v>0</v>
      </c>
      <c r="C74" s="241">
        <f t="shared" si="46"/>
        <v>0</v>
      </c>
      <c r="D74" s="241">
        <f t="shared" si="46"/>
        <v>0</v>
      </c>
      <c r="E74" s="241">
        <f t="shared" si="46"/>
        <v>0</v>
      </c>
      <c r="F74" s="241">
        <f t="shared" si="46"/>
        <v>0</v>
      </c>
      <c r="G74" s="242">
        <f>'[2]India Sunflower Exports'!CW$290</f>
        <v>0.309</v>
      </c>
      <c r="H74" s="242">
        <f>'[2]India Sunflower Exports'!DI$290</f>
        <v>0.03</v>
      </c>
      <c r="I74" s="242">
        <f>'[2]India Sunflower Exports'!DU$290</f>
        <v>3.6999999999999998E-2</v>
      </c>
      <c r="J74" s="242">
        <f>'[2]India Sunflower Exports'!EG$290</f>
        <v>5.5E-2</v>
      </c>
      <c r="K74" s="242">
        <f>'[2]India Sunflower Exports'!ES$290</f>
        <v>5.3999999999999999E-2</v>
      </c>
      <c r="L74" s="242">
        <f>'[2]India Sunflower Exports'!FE$290</f>
        <v>0.105</v>
      </c>
      <c r="M74" s="242">
        <f>'[2]India Sunflower Exports'!FQ$290</f>
        <v>0.24099999999999999</v>
      </c>
      <c r="N74" s="242">
        <f>'[2]India Sunflower Exports'!GC$290</f>
        <v>0.17399999999999999</v>
      </c>
      <c r="O74" s="242">
        <f>'[2]India Sunflower Exports'!GO$290</f>
        <v>0.154</v>
      </c>
      <c r="P74" s="242">
        <f>'[2]India Sunflower Exports'!HA$290</f>
        <v>0.65500000000000003</v>
      </c>
      <c r="Q74" s="242">
        <f>'[2]India Sunflower Exports'!HM$290</f>
        <v>0.375</v>
      </c>
      <c r="R74" s="242">
        <f>'[2]India Sunflower Exports'!HY$290</f>
        <v>0.39700000000000002</v>
      </c>
      <c r="S74" s="242">
        <f>'[2]India Sunflower Exports'!IK$290</f>
        <v>0.66</v>
      </c>
      <c r="T74" s="242">
        <f>'[2]India Sunflower Exports'!IW$290</f>
        <v>0.434</v>
      </c>
      <c r="U74" s="242">
        <f>'[2]India Sunflower Exports'!JI$290</f>
        <v>0.23699999999999999</v>
      </c>
      <c r="V74" s="242">
        <f>'[2]India Sunflower Exports'!JU$290</f>
        <v>0.371</v>
      </c>
      <c r="W74" s="242">
        <f>'[2]India Sunflower Exports'!KG$290</f>
        <v>0.36499999999999999</v>
      </c>
      <c r="X74" s="242">
        <f>'[2]India Sunflower Exports'!KS$290</f>
        <v>0.152</v>
      </c>
      <c r="Y74" s="242">
        <f>'[2]India Sunflower Exports'!LE$290</f>
        <v>0.53071000000000002</v>
      </c>
      <c r="Z74" s="242">
        <f>'[2]India Sunflower Exports'!LQ$290</f>
        <v>0.12502199999999999</v>
      </c>
      <c r="AA74" s="242">
        <f>'[2]India Sunflower Exports'!MC$290</f>
        <v>0.24049999999999999</v>
      </c>
      <c r="AB74" s="242">
        <f>'[2]India Sunflower Exports'!MO$290</f>
        <v>0.16358600000000001</v>
      </c>
      <c r="AC74" s="242">
        <f>'[2]India Sunflower Exports'!NA$290</f>
        <v>0.14499999999999999</v>
      </c>
      <c r="AD74" s="243">
        <f t="shared" si="47"/>
        <v>0.17932117776364598</v>
      </c>
      <c r="AE74" s="243">
        <f t="shared" si="44"/>
        <v>0.50899571424238133</v>
      </c>
    </row>
    <row r="75" spans="1:33">
      <c r="A75" s="240" t="s">
        <v>237</v>
      </c>
      <c r="B75" s="241">
        <f>(SUM(K75:O75)/SUM(K$76:O$76))*B$76</f>
        <v>0</v>
      </c>
      <c r="C75" s="241">
        <f t="shared" si="46"/>
        <v>0</v>
      </c>
      <c r="D75" s="241">
        <f t="shared" si="46"/>
        <v>0</v>
      </c>
      <c r="E75" s="241">
        <f t="shared" si="46"/>
        <v>0</v>
      </c>
      <c r="F75" s="241">
        <f t="shared" si="46"/>
        <v>0</v>
      </c>
      <c r="G75" s="242">
        <f>'[2]India Sunflower Exports'!CX$290</f>
        <v>7.0000000000000007E-2</v>
      </c>
      <c r="H75" s="242">
        <f>'[2]India Sunflower Exports'!DJ$290</f>
        <v>0.126</v>
      </c>
      <c r="I75" s="242">
        <f>'[2]India Sunflower Exports'!DV$290</f>
        <v>1.9E-2</v>
      </c>
      <c r="J75" s="242">
        <f>'[2]India Sunflower Exports'!EH$290</f>
        <v>0.105</v>
      </c>
      <c r="K75" s="242">
        <f>'[2]India Sunflower Exports'!ET$290</f>
        <v>0.105</v>
      </c>
      <c r="L75" s="242">
        <f>'[2]India Sunflower Exports'!FF$290</f>
        <v>0.61199999999999999</v>
      </c>
      <c r="M75" s="242">
        <f>'[2]India Sunflower Exports'!FR$290</f>
        <v>7.6999999999999999E-2</v>
      </c>
      <c r="N75" s="242">
        <f>'[2]India Sunflower Exports'!GD$290</f>
        <v>6.4000000000000001E-2</v>
      </c>
      <c r="O75" s="242">
        <f>'[2]India Sunflower Exports'!GP$290</f>
        <v>0.16700000000000001</v>
      </c>
      <c r="P75" s="242">
        <f>'[2]India Sunflower Exports'!HB$290</f>
        <v>0.219</v>
      </c>
      <c r="Q75" s="242">
        <f>'[2]India Sunflower Exports'!HN$290</f>
        <v>0.41499999999999998</v>
      </c>
      <c r="R75" s="242">
        <f>'[2]India Sunflower Exports'!HZ$290</f>
        <v>0.20699999999999999</v>
      </c>
      <c r="S75" s="242">
        <f>'[2]India Sunflower Exports'!IL$290</f>
        <v>0.28899999999999998</v>
      </c>
      <c r="T75" s="242">
        <f>'[2]India Sunflower Exports'!IX$290</f>
        <v>0.52200000000000002</v>
      </c>
      <c r="U75" s="242">
        <f>'[2]India Sunflower Exports'!JJ$290</f>
        <v>0.35399999999999998</v>
      </c>
      <c r="V75" s="242">
        <f>'[2]India Sunflower Exports'!JV$290</f>
        <v>0.11600000000000001</v>
      </c>
      <c r="W75" s="242">
        <f>'[2]India Sunflower Exports'!KH$290</f>
        <v>1.0629999999999999</v>
      </c>
      <c r="X75" s="242">
        <f>'[2]India Sunflower Exports'!KT$290</f>
        <v>0.24299999999999999</v>
      </c>
      <c r="Y75" s="242">
        <f>'[2]India Sunflower Exports'!LF$290</f>
        <v>0.230127</v>
      </c>
      <c r="Z75" s="242">
        <f>'[2]India Sunflower Exports'!LR$290</f>
        <v>0.15121000000000001</v>
      </c>
      <c r="AA75" s="242">
        <f>'[2]India Sunflower Exports'!MD$290</f>
        <v>7.6109999999999997E-2</v>
      </c>
      <c r="AB75" s="242">
        <f>'[2]India Sunflower Exports'!MP$290</f>
        <v>0.20300000000000001</v>
      </c>
      <c r="AC75" s="242">
        <f>'[2]India Sunflower Exports'!NB$290</f>
        <v>0.17399999999999999</v>
      </c>
      <c r="AD75" s="243">
        <f t="shared" ref="AD75:AE75" si="48">AD76-SUM(AD64:AD74)</f>
        <v>0.38642943291888665</v>
      </c>
      <c r="AE75" s="243">
        <f t="shared" si="48"/>
        <v>7.3509238970677515E-2</v>
      </c>
    </row>
    <row r="76" spans="1:33" ht="15.75" thickBot="1">
      <c r="A76" s="240" t="s">
        <v>242</v>
      </c>
      <c r="B76" s="245">
        <f t="shared" ref="B76:G76" si="49">B13</f>
        <v>0</v>
      </c>
      <c r="C76" s="245">
        <f t="shared" si="49"/>
        <v>0</v>
      </c>
      <c r="D76" s="245">
        <f t="shared" si="49"/>
        <v>0</v>
      </c>
      <c r="E76" s="245">
        <f t="shared" si="49"/>
        <v>0</v>
      </c>
      <c r="F76" s="245">
        <f t="shared" si="49"/>
        <v>0</v>
      </c>
      <c r="G76" s="245">
        <f t="shared" si="49"/>
        <v>2</v>
      </c>
      <c r="H76" s="245">
        <f t="shared" ref="H76:AB76" si="50">SUM(H64:H74)</f>
        <v>1.5579999999999998</v>
      </c>
      <c r="I76" s="245">
        <f t="shared" si="50"/>
        <v>1.115</v>
      </c>
      <c r="J76" s="245">
        <f t="shared" si="50"/>
        <v>1.1689999999999998</v>
      </c>
      <c r="K76" s="245">
        <f t="shared" si="50"/>
        <v>1.706</v>
      </c>
      <c r="L76" s="245">
        <f t="shared" si="50"/>
        <v>1.002</v>
      </c>
      <c r="M76" s="245">
        <f t="shared" si="50"/>
        <v>2.9620000000000002</v>
      </c>
      <c r="N76" s="245">
        <f t="shared" si="50"/>
        <v>1.1929999999999998</v>
      </c>
      <c r="O76" s="245">
        <f t="shared" si="50"/>
        <v>3.556</v>
      </c>
      <c r="P76" s="245">
        <f t="shared" si="50"/>
        <v>3.617</v>
      </c>
      <c r="Q76" s="245">
        <f t="shared" si="50"/>
        <v>5.2610000000000001</v>
      </c>
      <c r="R76" s="245">
        <f t="shared" si="50"/>
        <v>4.0289999999999999</v>
      </c>
      <c r="S76" s="245">
        <f t="shared" si="50"/>
        <v>4.8430000000000009</v>
      </c>
      <c r="T76" s="245">
        <f t="shared" si="50"/>
        <v>4.1749999999999998</v>
      </c>
      <c r="U76" s="245">
        <f t="shared" si="50"/>
        <v>4.2469999999999999</v>
      </c>
      <c r="V76" s="245">
        <f t="shared" si="50"/>
        <v>3.7059999999999995</v>
      </c>
      <c r="W76" s="245">
        <f t="shared" si="50"/>
        <v>5.8120000000000012</v>
      </c>
      <c r="X76" s="245">
        <f t="shared" si="50"/>
        <v>2.8600000000000003</v>
      </c>
      <c r="Y76" s="245">
        <f t="shared" si="50"/>
        <v>4.9317100000000007</v>
      </c>
      <c r="Z76" s="245">
        <f t="shared" si="50"/>
        <v>2.6565089999999998</v>
      </c>
      <c r="AA76" s="245">
        <f t="shared" si="50"/>
        <v>2.1025519999999998</v>
      </c>
      <c r="AB76" s="245">
        <f t="shared" si="50"/>
        <v>0.96484400000000003</v>
      </c>
      <c r="AC76" s="245">
        <f>SUM(AC64:AC75)</f>
        <v>1.179632</v>
      </c>
      <c r="AD76" s="247">
        <f t="shared" ref="AD76:AE76" si="51">AD13</f>
        <v>2</v>
      </c>
      <c r="AE76" s="247">
        <f t="shared" si="51"/>
        <v>5</v>
      </c>
    </row>
    <row r="77" spans="1:33">
      <c r="A77" s="248"/>
      <c r="B77" s="248"/>
      <c r="C77" s="248"/>
      <c r="D77" s="248"/>
      <c r="E77" s="248"/>
      <c r="F77" s="248"/>
      <c r="G77" s="263"/>
      <c r="H77" s="263"/>
      <c r="I77" s="263"/>
      <c r="J77" s="263"/>
      <c r="K77" s="263"/>
      <c r="L77" s="263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</row>
    <row r="78" spans="1:33" ht="15.75" thickBot="1">
      <c r="A78" s="235" t="s">
        <v>244</v>
      </c>
    </row>
    <row r="79" spans="1:33" ht="15.75" thickBot="1">
      <c r="A79" s="236"/>
      <c r="B79" s="237" t="str">
        <f>B$2</f>
        <v xml:space="preserve">93/94 </v>
      </c>
      <c r="C79" s="237" t="str">
        <f t="shared" ref="C79:AE79" si="52">C$2</f>
        <v xml:space="preserve">94/95 </v>
      </c>
      <c r="D79" s="237" t="str">
        <f t="shared" si="52"/>
        <v xml:space="preserve">95/96 </v>
      </c>
      <c r="E79" s="237" t="str">
        <f t="shared" si="52"/>
        <v xml:space="preserve">96/97 </v>
      </c>
      <c r="F79" s="237" t="str">
        <f t="shared" si="52"/>
        <v xml:space="preserve">97/98 </v>
      </c>
      <c r="G79" s="237" t="str">
        <f t="shared" si="52"/>
        <v xml:space="preserve">98/99 </v>
      </c>
      <c r="H79" s="237" t="str">
        <f t="shared" si="52"/>
        <v xml:space="preserve">99/00 </v>
      </c>
      <c r="I79" s="237" t="str">
        <f t="shared" si="52"/>
        <v xml:space="preserve">00/01 </v>
      </c>
      <c r="J79" s="237" t="str">
        <f t="shared" si="52"/>
        <v xml:space="preserve">01/02 </v>
      </c>
      <c r="K79" s="237" t="str">
        <f t="shared" si="52"/>
        <v xml:space="preserve">02/03 </v>
      </c>
      <c r="L79" s="237" t="str">
        <f t="shared" si="52"/>
        <v xml:space="preserve">03/04 </v>
      </c>
      <c r="M79" s="237" t="str">
        <f t="shared" si="52"/>
        <v xml:space="preserve">04/05 </v>
      </c>
      <c r="N79" s="237" t="str">
        <f t="shared" si="52"/>
        <v xml:space="preserve">05/06 </v>
      </c>
      <c r="O79" s="237" t="str">
        <f t="shared" si="52"/>
        <v xml:space="preserve">06/07 </v>
      </c>
      <c r="P79" s="237" t="str">
        <f t="shared" si="52"/>
        <v xml:space="preserve">07/08 </v>
      </c>
      <c r="Q79" s="237" t="str">
        <f t="shared" si="52"/>
        <v xml:space="preserve">08/09 </v>
      </c>
      <c r="R79" s="237" t="str">
        <f t="shared" si="52"/>
        <v xml:space="preserve">09/10 </v>
      </c>
      <c r="S79" s="237" t="str">
        <f t="shared" si="52"/>
        <v xml:space="preserve">10/11 </v>
      </c>
      <c r="T79" s="237" t="str">
        <f t="shared" si="52"/>
        <v xml:space="preserve">11/12 </v>
      </c>
      <c r="U79" s="237" t="str">
        <f t="shared" si="52"/>
        <v xml:space="preserve">12/13 </v>
      </c>
      <c r="V79" s="237" t="str">
        <f t="shared" si="52"/>
        <v xml:space="preserve">13/14 </v>
      </c>
      <c r="W79" s="237" t="str">
        <f t="shared" si="52"/>
        <v xml:space="preserve">14/15 </v>
      </c>
      <c r="X79" s="237" t="str">
        <f t="shared" si="52"/>
        <v xml:space="preserve">15/16 </v>
      </c>
      <c r="Y79" s="237" t="str">
        <f t="shared" si="52"/>
        <v xml:space="preserve">16/17 </v>
      </c>
      <c r="Z79" s="237" t="str">
        <f t="shared" si="52"/>
        <v xml:space="preserve">17/18 </v>
      </c>
      <c r="AA79" s="237" t="str">
        <f t="shared" si="52"/>
        <v xml:space="preserve">18/19 </v>
      </c>
      <c r="AB79" s="237" t="str">
        <f t="shared" si="52"/>
        <v xml:space="preserve">19/20 </v>
      </c>
      <c r="AC79" s="237" t="str">
        <f t="shared" si="52"/>
        <v xml:space="preserve">20/21 </v>
      </c>
      <c r="AD79" s="237" t="str">
        <f t="shared" si="52"/>
        <v xml:space="preserve">21/22 </v>
      </c>
      <c r="AE79" s="237" t="str">
        <f t="shared" si="52"/>
        <v xml:space="preserve">22/23 </v>
      </c>
    </row>
    <row r="80" spans="1:33">
      <c r="A80" s="240" t="s">
        <v>238</v>
      </c>
      <c r="B80" s="290">
        <f t="shared" ref="B80:AC89" si="53">B207/B$235</f>
        <v>109.16666666666666</v>
      </c>
      <c r="C80" s="290">
        <f t="shared" si="53"/>
        <v>96.505022805689961</v>
      </c>
      <c r="D80" s="290">
        <f t="shared" si="53"/>
        <v>120.01405636995295</v>
      </c>
      <c r="E80" s="290">
        <f t="shared" si="53"/>
        <v>153.64463094365783</v>
      </c>
      <c r="F80" s="290">
        <f t="shared" si="53"/>
        <v>102.45742227653245</v>
      </c>
      <c r="G80" s="290">
        <f t="shared" si="53"/>
        <v>-162.61399873873438</v>
      </c>
      <c r="H80" s="290">
        <f t="shared" si="53"/>
        <v>59.683330316742122</v>
      </c>
      <c r="I80" s="290">
        <f t="shared" si="53"/>
        <v>36.370845902463536</v>
      </c>
      <c r="J80" s="290">
        <f t="shared" si="53"/>
        <v>87.96720540098201</v>
      </c>
      <c r="K80" s="290">
        <f t="shared" si="53"/>
        <v>141.84781665702718</v>
      </c>
      <c r="L80" s="290">
        <f t="shared" si="53"/>
        <v>121.09681055155873</v>
      </c>
      <c r="M80" s="290">
        <f t="shared" si="53"/>
        <v>118.91701775147928</v>
      </c>
      <c r="N80" s="290">
        <f t="shared" si="53"/>
        <v>139.22823723808185</v>
      </c>
      <c r="O80" s="290">
        <f t="shared" si="53"/>
        <v>145.99538703703701</v>
      </c>
      <c r="P80" s="290">
        <f t="shared" si="53"/>
        <v>127.3223180010466</v>
      </c>
      <c r="Q80" s="290">
        <f t="shared" si="53"/>
        <v>183.18603612746094</v>
      </c>
      <c r="R80" s="290">
        <f t="shared" si="53"/>
        <v>118.02733684799117</v>
      </c>
      <c r="S80" s="290">
        <f t="shared" si="53"/>
        <v>117.54841515268642</v>
      </c>
      <c r="T80" s="290">
        <f t="shared" si="53"/>
        <v>161.54563313609461</v>
      </c>
      <c r="U80" s="290">
        <f t="shared" si="53"/>
        <v>37.422706257472989</v>
      </c>
      <c r="V80" s="290">
        <f t="shared" si="53"/>
        <v>104.65006231198947</v>
      </c>
      <c r="W80" s="290">
        <f t="shared" si="53"/>
        <v>79.226513244331215</v>
      </c>
      <c r="X80" s="290">
        <f t="shared" si="53"/>
        <v>80.526564102564109</v>
      </c>
      <c r="Y80" s="290">
        <f t="shared" si="53"/>
        <v>239.99541880341863</v>
      </c>
      <c r="Z80" s="290">
        <f t="shared" si="53"/>
        <v>289.63930119658136</v>
      </c>
      <c r="AA80" s="290">
        <f t="shared" si="53"/>
        <v>127.16331236074265</v>
      </c>
      <c r="AB80" s="290">
        <f t="shared" si="53"/>
        <v>84.369578256410179</v>
      </c>
      <c r="AC80" s="290">
        <f t="shared" si="53"/>
        <v>118.00164176799012</v>
      </c>
      <c r="AD80" s="252">
        <f t="shared" ref="AD80:AD82" si="54">(SUM(X80:AB80)/SUM(X$92:AB$92))*AD$92</f>
        <v>129.53705232348068</v>
      </c>
      <c r="AE80" s="252">
        <f t="shared" ref="AE80:AE82" si="55">(SUM(Y80:AC80)/SUM(Y$92:AC$92))*AE$92</f>
        <v>155.90558286676938</v>
      </c>
      <c r="AF80" s="252">
        <v>125</v>
      </c>
      <c r="AG80" s="252"/>
    </row>
    <row r="81" spans="1:31">
      <c r="A81" s="240" t="s">
        <v>239</v>
      </c>
      <c r="B81" s="290">
        <f t="shared" si="53"/>
        <v>109.16666666666666</v>
      </c>
      <c r="C81" s="290">
        <f t="shared" si="53"/>
        <v>95.770695787600445</v>
      </c>
      <c r="D81" s="290">
        <f t="shared" si="53"/>
        <v>120.03873043288642</v>
      </c>
      <c r="E81" s="290">
        <f t="shared" si="53"/>
        <v>155.99875821372476</v>
      </c>
      <c r="F81" s="290">
        <f t="shared" si="53"/>
        <v>101.01426388020377</v>
      </c>
      <c r="G81" s="290">
        <f t="shared" si="53"/>
        <v>-74.908117272018558</v>
      </c>
      <c r="H81" s="290">
        <f t="shared" si="53"/>
        <v>103.10074208144795</v>
      </c>
      <c r="I81" s="290">
        <f t="shared" si="53"/>
        <v>63.288738059326278</v>
      </c>
      <c r="J81" s="290">
        <f t="shared" si="53"/>
        <v>95.691673486088376</v>
      </c>
      <c r="K81" s="290">
        <f t="shared" si="53"/>
        <v>141.87319259687681</v>
      </c>
      <c r="L81" s="290">
        <f t="shared" si="53"/>
        <v>126.84965227817743</v>
      </c>
      <c r="M81" s="290">
        <f t="shared" si="53"/>
        <v>120.27947928994087</v>
      </c>
      <c r="N81" s="290">
        <f t="shared" si="53"/>
        <v>122.43029391084235</v>
      </c>
      <c r="O81" s="290">
        <f t="shared" si="53"/>
        <v>141.41844814814812</v>
      </c>
      <c r="P81" s="290">
        <f t="shared" si="53"/>
        <v>122.87191187859754</v>
      </c>
      <c r="Q81" s="290">
        <f t="shared" si="53"/>
        <v>193.58907042825248</v>
      </c>
      <c r="R81" s="290">
        <f t="shared" si="53"/>
        <v>126.9883337327262</v>
      </c>
      <c r="S81" s="290">
        <f t="shared" si="53"/>
        <v>70.488867413993063</v>
      </c>
      <c r="T81" s="290">
        <f t="shared" si="53"/>
        <v>80.415479289940762</v>
      </c>
      <c r="U81" s="290">
        <f t="shared" si="53"/>
        <v>115.40796532483061</v>
      </c>
      <c r="V81" s="290">
        <f t="shared" si="53"/>
        <v>36.533637730984104</v>
      </c>
      <c r="W81" s="290">
        <f t="shared" si="53"/>
        <v>-163.26907353252824</v>
      </c>
      <c r="X81" s="290">
        <f t="shared" si="53"/>
        <v>-110.16410256410261</v>
      </c>
      <c r="Y81" s="290">
        <f t="shared" si="53"/>
        <v>85.243418803418535</v>
      </c>
      <c r="Z81" s="290">
        <f t="shared" si="53"/>
        <v>32.630813196581279</v>
      </c>
      <c r="AA81" s="290">
        <f t="shared" si="53"/>
        <v>81.719420895225369</v>
      </c>
      <c r="AB81" s="290">
        <f t="shared" si="53"/>
        <v>-77.095579076922903</v>
      </c>
      <c r="AC81" s="290">
        <f t="shared" si="53"/>
        <v>-60.085759038461489</v>
      </c>
      <c r="AD81" s="252">
        <f t="shared" si="54"/>
        <v>1.9444050218033428</v>
      </c>
      <c r="AE81" s="252">
        <f t="shared" si="55"/>
        <v>11.325391692966994</v>
      </c>
    </row>
    <row r="82" spans="1:31">
      <c r="A82" s="240" t="s">
        <v>240</v>
      </c>
      <c r="B82" s="290">
        <f t="shared" si="53"/>
        <v>109.16666666666666</v>
      </c>
      <c r="C82" s="290">
        <f t="shared" si="53"/>
        <v>95.845988119288435</v>
      </c>
      <c r="D82" s="290">
        <f t="shared" si="53"/>
        <v>112.88481054404957</v>
      </c>
      <c r="E82" s="290">
        <f t="shared" si="53"/>
        <v>135.05111456494075</v>
      </c>
      <c r="F82" s="290">
        <f t="shared" si="53"/>
        <v>95.695301740163501</v>
      </c>
      <c r="G82" s="290">
        <f t="shared" si="53"/>
        <v>9.8188615728830371</v>
      </c>
      <c r="H82" s="290">
        <f t="shared" si="53"/>
        <v>174.44285972850685</v>
      </c>
      <c r="I82" s="290">
        <f t="shared" si="53"/>
        <v>62.3529537456008</v>
      </c>
      <c r="J82" s="290">
        <f t="shared" si="53"/>
        <v>114.76039689034373</v>
      </c>
      <c r="K82" s="290">
        <f t="shared" si="53"/>
        <v>133.37225274725276</v>
      </c>
      <c r="L82" s="290">
        <f t="shared" si="53"/>
        <v>131.60260191846521</v>
      </c>
      <c r="M82" s="290">
        <f t="shared" si="53"/>
        <v>123.42255621301777</v>
      </c>
      <c r="N82" s="290">
        <f t="shared" si="53"/>
        <v>139.04267051047671</v>
      </c>
      <c r="O82" s="290">
        <f t="shared" si="53"/>
        <v>117.31952037037036</v>
      </c>
      <c r="P82" s="290">
        <f t="shared" si="53"/>
        <v>121.60907106227104</v>
      </c>
      <c r="Q82" s="290">
        <f t="shared" si="53"/>
        <v>121.6709965496245</v>
      </c>
      <c r="R82" s="290">
        <f t="shared" si="53"/>
        <v>136.97518731528089</v>
      </c>
      <c r="S82" s="290">
        <f t="shared" si="53"/>
        <v>74.366505604947889</v>
      </c>
      <c r="T82" s="290">
        <f t="shared" si="53"/>
        <v>99.019171597633047</v>
      </c>
      <c r="U82" s="290">
        <f t="shared" si="53"/>
        <v>108.10646273415715</v>
      </c>
      <c r="V82" s="290">
        <f t="shared" si="53"/>
        <v>119.28712935109587</v>
      </c>
      <c r="W82" s="290">
        <f t="shared" si="53"/>
        <v>10.496918203008866</v>
      </c>
      <c r="X82" s="290">
        <f t="shared" si="53"/>
        <v>63.726564102564225</v>
      </c>
      <c r="Y82" s="290">
        <f t="shared" si="53"/>
        <v>5.3714188034185399</v>
      </c>
      <c r="Z82" s="290">
        <f t="shared" si="53"/>
        <v>-86.244981470085506</v>
      </c>
      <c r="AA82" s="290">
        <f t="shared" si="53"/>
        <v>26.787554515914955</v>
      </c>
      <c r="AB82" s="290">
        <f t="shared" si="53"/>
        <v>46.020026256410347</v>
      </c>
      <c r="AC82" s="290">
        <f t="shared" si="53"/>
        <v>-46.895318393300094</v>
      </c>
      <c r="AD82" s="252">
        <f t="shared" si="54"/>
        <v>8.7746852438394356</v>
      </c>
      <c r="AE82" s="252">
        <f t="shared" si="55"/>
        <v>-9.9733242695458699</v>
      </c>
    </row>
    <row r="83" spans="1:31">
      <c r="A83" s="240" t="s">
        <v>241</v>
      </c>
      <c r="B83" s="290">
        <f t="shared" si="53"/>
        <v>109.16666666666666</v>
      </c>
      <c r="C83" s="290">
        <f t="shared" si="53"/>
        <v>81.491913294409756</v>
      </c>
      <c r="D83" s="290">
        <f t="shared" si="53"/>
        <v>93.9538305535783</v>
      </c>
      <c r="E83" s="290">
        <f t="shared" si="53"/>
        <v>47.639640209145298</v>
      </c>
      <c r="F83" s="290">
        <f t="shared" si="53"/>
        <v>72.37354708044515</v>
      </c>
      <c r="G83" s="290">
        <f t="shared" si="53"/>
        <v>144.16378698224858</v>
      </c>
      <c r="H83" s="290">
        <f t="shared" si="53"/>
        <v>164.15391855203623</v>
      </c>
      <c r="I83" s="290">
        <f t="shared" si="53"/>
        <v>28.647806686777358</v>
      </c>
      <c r="J83" s="290">
        <f t="shared" si="53"/>
        <v>112.79545008183308</v>
      </c>
      <c r="K83" s="290">
        <f t="shared" si="53"/>
        <v>133.32432041642565</v>
      </c>
      <c r="L83" s="290">
        <f t="shared" si="53"/>
        <v>108.87652278177454</v>
      </c>
      <c r="M83" s="290">
        <f t="shared" si="53"/>
        <v>123.86009467455624</v>
      </c>
      <c r="N83" s="290">
        <f t="shared" si="53"/>
        <v>60.030019687807567</v>
      </c>
      <c r="O83" s="290">
        <f t="shared" si="53"/>
        <v>130.91449814814808</v>
      </c>
      <c r="P83" s="290">
        <f t="shared" si="53"/>
        <v>121.91093432757719</v>
      </c>
      <c r="Q83" s="290">
        <f t="shared" si="53"/>
        <v>-15.097736959610254</v>
      </c>
      <c r="R83" s="290">
        <f t="shared" si="53"/>
        <v>48.773691988177895</v>
      </c>
      <c r="S83" s="290">
        <f t="shared" si="53"/>
        <v>-74.954348666409004</v>
      </c>
      <c r="T83" s="290">
        <f t="shared" si="53"/>
        <v>60.064402366863952</v>
      </c>
      <c r="U83" s="290">
        <f t="shared" si="53"/>
        <v>-142.68656835392588</v>
      </c>
      <c r="V83" s="290">
        <f t="shared" si="53"/>
        <v>-19.506446067898537</v>
      </c>
      <c r="W83" s="290">
        <f t="shared" si="53"/>
        <v>-91.378883449883659</v>
      </c>
      <c r="X83" s="290">
        <f t="shared" si="53"/>
        <v>65.246564102564051</v>
      </c>
      <c r="Y83" s="290">
        <f t="shared" si="53"/>
        <v>46.531418803418696</v>
      </c>
      <c r="Z83" s="290">
        <f t="shared" si="53"/>
        <v>131.47737052991457</v>
      </c>
      <c r="AA83" s="290">
        <f t="shared" si="53"/>
        <v>-100.66204263925725</v>
      </c>
      <c r="AB83" s="290">
        <f t="shared" si="53"/>
        <v>-194.98648041025626</v>
      </c>
      <c r="AC83" s="290">
        <f t="shared" si="53"/>
        <v>-21.414993796526151</v>
      </c>
      <c r="AD83" s="252">
        <f t="shared" ref="AD83:AE90" si="56">(SUM(X83:AB83)/SUM(X$92:AB$92))*AD$92</f>
        <v>-8.2595897140770429</v>
      </c>
      <c r="AE83" s="252">
        <f t="shared" si="56"/>
        <v>-25.232989056654436</v>
      </c>
    </row>
    <row r="84" spans="1:31">
      <c r="A84" s="240" t="s">
        <v>231</v>
      </c>
      <c r="B84" s="290">
        <f t="shared" si="53"/>
        <v>109.16666666666666</v>
      </c>
      <c r="C84" s="290">
        <f t="shared" si="53"/>
        <v>80.476827521411423</v>
      </c>
      <c r="D84" s="290">
        <f t="shared" si="53"/>
        <v>95.197143598446957</v>
      </c>
      <c r="E84" s="290">
        <f t="shared" si="53"/>
        <v>62.365244536547188</v>
      </c>
      <c r="F84" s="290">
        <f t="shared" si="53"/>
        <v>83.061759990159686</v>
      </c>
      <c r="G84" s="290">
        <f t="shared" si="53"/>
        <v>181.33814595660755</v>
      </c>
      <c r="H84" s="290">
        <f t="shared" si="53"/>
        <v>95.680506787330344</v>
      </c>
      <c r="I84" s="290">
        <f t="shared" si="53"/>
        <v>45.463738059326282</v>
      </c>
      <c r="J84" s="290">
        <f t="shared" si="53"/>
        <v>115.70199263502458</v>
      </c>
      <c r="K84" s="290">
        <f t="shared" si="53"/>
        <v>132.57995951417001</v>
      </c>
      <c r="L84" s="290">
        <f t="shared" si="53"/>
        <v>114.07817745803354</v>
      </c>
      <c r="M84" s="290">
        <f t="shared" si="53"/>
        <v>120.18532544378697</v>
      </c>
      <c r="N84" s="290">
        <f t="shared" si="53"/>
        <v>108.54602517226832</v>
      </c>
      <c r="O84" s="290">
        <f t="shared" si="53"/>
        <v>75.647475925925917</v>
      </c>
      <c r="P84" s="290">
        <f t="shared" si="53"/>
        <v>120.99426698063837</v>
      </c>
      <c r="Q84" s="290">
        <f t="shared" si="53"/>
        <v>9.4622894256140064</v>
      </c>
      <c r="R84" s="290">
        <f t="shared" si="53"/>
        <v>80.97450195702541</v>
      </c>
      <c r="S84" s="290">
        <f t="shared" si="53"/>
        <v>89.747158871279467</v>
      </c>
      <c r="T84" s="290">
        <f t="shared" si="53"/>
        <v>107.13301775147937</v>
      </c>
      <c r="U84" s="290">
        <f t="shared" si="53"/>
        <v>49.444960143483321</v>
      </c>
      <c r="V84" s="290">
        <f t="shared" si="53"/>
        <v>168.70693382036964</v>
      </c>
      <c r="W84" s="290">
        <f t="shared" si="53"/>
        <v>151.96290993854606</v>
      </c>
      <c r="X84" s="290">
        <f t="shared" si="53"/>
        <v>57.254564102564167</v>
      </c>
      <c r="Y84" s="290">
        <f t="shared" si="53"/>
        <v>-64.940581196581505</v>
      </c>
      <c r="Z84" s="290">
        <f t="shared" si="53"/>
        <v>-1.4840348034185809</v>
      </c>
      <c r="AA84" s="290">
        <f t="shared" si="53"/>
        <v>81.73588830901852</v>
      </c>
      <c r="AB84" s="290">
        <f t="shared" si="53"/>
        <v>-53.267261743589792</v>
      </c>
      <c r="AC84" s="290">
        <f t="shared" si="53"/>
        <v>259.53210297766742</v>
      </c>
      <c r="AD84" s="252">
        <f t="shared" si="56"/>
        <v>3.0423490313645019</v>
      </c>
      <c r="AE84" s="252">
        <f t="shared" si="56"/>
        <v>40.207389912278039</v>
      </c>
    </row>
    <row r="85" spans="1:31">
      <c r="A85" s="240" t="s">
        <v>232</v>
      </c>
      <c r="B85" s="290">
        <f t="shared" si="53"/>
        <v>109.16666666666666</v>
      </c>
      <c r="C85" s="290">
        <f t="shared" si="53"/>
        <v>84.157080408859386</v>
      </c>
      <c r="D85" s="290">
        <f t="shared" si="53"/>
        <v>101.66148836003788</v>
      </c>
      <c r="E85" s="290">
        <f t="shared" si="53"/>
        <v>71.828485671803762</v>
      </c>
      <c r="F85" s="290">
        <f t="shared" si="53"/>
        <v>82.996617423658734</v>
      </c>
      <c r="G85" s="290">
        <f t="shared" si="53"/>
        <v>204.24071005917165</v>
      </c>
      <c r="H85" s="290">
        <f t="shared" si="53"/>
        <v>76.60191855203621</v>
      </c>
      <c r="I85" s="290">
        <f t="shared" si="53"/>
        <v>145.09376256913021</v>
      </c>
      <c r="J85" s="290">
        <f t="shared" si="53"/>
        <v>115.70481178396075</v>
      </c>
      <c r="K85" s="290">
        <f t="shared" si="53"/>
        <v>62.646688837478308</v>
      </c>
      <c r="L85" s="290">
        <f t="shared" si="53"/>
        <v>99.190587529976014</v>
      </c>
      <c r="M85" s="290">
        <f t="shared" si="53"/>
        <v>123.05147928994089</v>
      </c>
      <c r="N85" s="290">
        <f t="shared" si="53"/>
        <v>132.63092462382227</v>
      </c>
      <c r="O85" s="290">
        <f t="shared" si="53"/>
        <v>88.649198148148102</v>
      </c>
      <c r="P85" s="290">
        <f t="shared" si="53"/>
        <v>120.37115473574043</v>
      </c>
      <c r="Q85" s="290">
        <f t="shared" si="53"/>
        <v>41.261497868885719</v>
      </c>
      <c r="R85" s="290">
        <f t="shared" si="53"/>
        <v>46.536215352663987</v>
      </c>
      <c r="S85" s="290">
        <f t="shared" si="53"/>
        <v>77.906957866254288</v>
      </c>
      <c r="T85" s="290">
        <f t="shared" si="53"/>
        <v>10.977017751479261</v>
      </c>
      <c r="U85" s="290">
        <f t="shared" si="53"/>
        <v>-18.145221203666807</v>
      </c>
      <c r="V85" s="290">
        <f t="shared" si="53"/>
        <v>105.21143102707359</v>
      </c>
      <c r="W85" s="290">
        <f t="shared" si="53"/>
        <v>-20.636544606908519</v>
      </c>
      <c r="X85" s="290">
        <f t="shared" si="53"/>
        <v>-97.500102564102534</v>
      </c>
      <c r="Y85" s="290">
        <f t="shared" si="53"/>
        <v>-102.72458119658147</v>
      </c>
      <c r="Z85" s="290">
        <f t="shared" si="53"/>
        <v>26.974410529914469</v>
      </c>
      <c r="AA85" s="290">
        <f t="shared" si="53"/>
        <v>-337.45796117373987</v>
      </c>
      <c r="AB85" s="290">
        <f t="shared" si="53"/>
        <v>-169.13384574358966</v>
      </c>
      <c r="AC85" s="290">
        <f t="shared" si="53"/>
        <v>147.43589330024813</v>
      </c>
      <c r="AD85" s="252">
        <f t="shared" si="56"/>
        <v>-107.17459344029972</v>
      </c>
      <c r="AE85" s="252">
        <f t="shared" si="56"/>
        <v>-78.918427742066399</v>
      </c>
    </row>
    <row r="86" spans="1:31">
      <c r="A86" s="240" t="s">
        <v>233</v>
      </c>
      <c r="B86" s="290">
        <f t="shared" si="53"/>
        <v>109.16666666666666</v>
      </c>
      <c r="C86" s="290">
        <f t="shared" si="53"/>
        <v>104.09367341696574</v>
      </c>
      <c r="D86" s="290">
        <f t="shared" si="53"/>
        <v>108.06375837382777</v>
      </c>
      <c r="E86" s="290">
        <f t="shared" si="53"/>
        <v>92.565835073137592</v>
      </c>
      <c r="F86" s="290">
        <f t="shared" si="53"/>
        <v>80.759936665063023</v>
      </c>
      <c r="G86" s="290">
        <f t="shared" si="53"/>
        <v>91.764299802761386</v>
      </c>
      <c r="H86" s="290">
        <f t="shared" si="53"/>
        <v>98.893683257918596</v>
      </c>
      <c r="I86" s="290">
        <f t="shared" si="53"/>
        <v>153.3579782554047</v>
      </c>
      <c r="J86" s="290">
        <f t="shared" si="53"/>
        <v>115.79502454991817</v>
      </c>
      <c r="K86" s="290">
        <f t="shared" si="53"/>
        <v>141.84781665702718</v>
      </c>
      <c r="L86" s="290">
        <f t="shared" si="53"/>
        <v>152.93824940047958</v>
      </c>
      <c r="M86" s="290">
        <f t="shared" si="53"/>
        <v>125.98963313609467</v>
      </c>
      <c r="N86" s="290">
        <f t="shared" si="53"/>
        <v>130.74479116861201</v>
      </c>
      <c r="O86" s="290">
        <f t="shared" si="53"/>
        <v>159.27433148148145</v>
      </c>
      <c r="P86" s="290">
        <f t="shared" si="53"/>
        <v>120.29638126635271</v>
      </c>
      <c r="Q86" s="290">
        <f t="shared" si="53"/>
        <v>41.253186523239322</v>
      </c>
      <c r="R86" s="290">
        <f t="shared" si="53"/>
        <v>49.583287003754378</v>
      </c>
      <c r="S86" s="290">
        <f t="shared" si="53"/>
        <v>-30.791283339775806</v>
      </c>
      <c r="T86" s="290">
        <f t="shared" si="53"/>
        <v>-85.087597633136113</v>
      </c>
      <c r="U86" s="290">
        <f t="shared" si="53"/>
        <v>41.655581905141503</v>
      </c>
      <c r="V86" s="290">
        <f t="shared" si="53"/>
        <v>18.633442200257893</v>
      </c>
      <c r="W86" s="290">
        <f t="shared" si="53"/>
        <v>-6.7849165077349083</v>
      </c>
      <c r="X86" s="290">
        <f t="shared" si="53"/>
        <v>143.53723076923083</v>
      </c>
      <c r="Y86" s="290">
        <f t="shared" si="53"/>
        <v>-140.08191452991454</v>
      </c>
      <c r="Z86" s="290">
        <f t="shared" si="53"/>
        <v>-202.32637347008526</v>
      </c>
      <c r="AA86" s="290">
        <f t="shared" si="53"/>
        <v>-130.5879968633952</v>
      </c>
      <c r="AB86" s="290">
        <f t="shared" si="53"/>
        <v>-46.216019076922898</v>
      </c>
      <c r="AC86" s="290">
        <f t="shared" si="53"/>
        <v>107.47928039702229</v>
      </c>
      <c r="AD86" s="252">
        <f t="shared" si="56"/>
        <v>-59.223788006760508</v>
      </c>
      <c r="AE86" s="252">
        <f t="shared" si="56"/>
        <v>-74.713424442055583</v>
      </c>
    </row>
    <row r="87" spans="1:31">
      <c r="A87" s="240" t="s">
        <v>234</v>
      </c>
      <c r="B87" s="290">
        <f t="shared" si="53"/>
        <v>109.16666666666666</v>
      </c>
      <c r="C87" s="290">
        <f t="shared" si="53"/>
        <v>105.31876129581674</v>
      </c>
      <c r="D87" s="290">
        <f t="shared" si="53"/>
        <v>112.32873508362263</v>
      </c>
      <c r="E87" s="290">
        <f t="shared" si="53"/>
        <v>102.27441949708603</v>
      </c>
      <c r="F87" s="290">
        <f t="shared" si="53"/>
        <v>88.206948965165836</v>
      </c>
      <c r="G87" s="290">
        <f t="shared" si="53"/>
        <v>151.81019723865882</v>
      </c>
      <c r="H87" s="290">
        <f t="shared" si="53"/>
        <v>34.503095022624457</v>
      </c>
      <c r="I87" s="290">
        <f t="shared" si="53"/>
        <v>142.70356649069888</v>
      </c>
      <c r="J87" s="290">
        <f t="shared" si="53"/>
        <v>115.80066284779051</v>
      </c>
      <c r="K87" s="290">
        <f t="shared" si="53"/>
        <v>136.76980913823019</v>
      </c>
      <c r="L87" s="290">
        <f t="shared" si="53"/>
        <v>152.67235011990408</v>
      </c>
      <c r="M87" s="290">
        <f t="shared" si="53"/>
        <v>125.85947928994086</v>
      </c>
      <c r="N87" s="290">
        <f t="shared" si="53"/>
        <v>142.4022591759246</v>
      </c>
      <c r="O87" s="290">
        <f t="shared" si="53"/>
        <v>157.15635370370364</v>
      </c>
      <c r="P87" s="290">
        <f t="shared" si="53"/>
        <v>112.02422004186289</v>
      </c>
      <c r="Q87" s="290">
        <f t="shared" si="53"/>
        <v>79.044875177592928</v>
      </c>
      <c r="R87" s="290">
        <f t="shared" si="53"/>
        <v>36.516090742071995</v>
      </c>
      <c r="S87" s="290">
        <f t="shared" si="53"/>
        <v>70.298163896405086</v>
      </c>
      <c r="T87" s="290">
        <f t="shared" si="53"/>
        <v>-85.320213017751428</v>
      </c>
      <c r="U87" s="290">
        <f t="shared" si="53"/>
        <v>126.55980470306893</v>
      </c>
      <c r="V87" s="290">
        <f t="shared" si="53"/>
        <v>-193.1933734422002</v>
      </c>
      <c r="W87" s="290">
        <f t="shared" si="53"/>
        <v>-9.2781561771563137</v>
      </c>
      <c r="X87" s="290">
        <f t="shared" si="53"/>
        <v>-33.385435897435855</v>
      </c>
      <c r="Y87" s="290">
        <f t="shared" si="53"/>
        <v>40.336232136751882</v>
      </c>
      <c r="Z87" s="290">
        <f t="shared" si="53"/>
        <v>-183.61379213675204</v>
      </c>
      <c r="AA87" s="290">
        <f t="shared" si="53"/>
        <v>173.79654555039801</v>
      </c>
      <c r="AB87" s="290">
        <f t="shared" si="53"/>
        <v>116.07661825641041</v>
      </c>
      <c r="AC87" s="252">
        <f t="shared" ref="AC87:AC90" si="57">(SUM(W87:AA87)/SUM(W$92:AA$92))*AC$92</f>
        <v>-1.5637529009905635</v>
      </c>
      <c r="AD87" s="252">
        <f t="shared" si="56"/>
        <v>17.847164912698407</v>
      </c>
      <c r="AE87" s="252">
        <f t="shared" si="56"/>
        <v>26.317602948367451</v>
      </c>
    </row>
    <row r="88" spans="1:31">
      <c r="A88" s="240" t="s">
        <v>46</v>
      </c>
      <c r="B88" s="290">
        <f t="shared" si="53"/>
        <v>109.16666666666666</v>
      </c>
      <c r="C88" s="290">
        <f t="shared" si="53"/>
        <v>88.768508940617252</v>
      </c>
      <c r="D88" s="290">
        <f t="shared" si="53"/>
        <v>94.101355477222626</v>
      </c>
      <c r="E88" s="290">
        <f t="shared" si="53"/>
        <v>68.900221726158676</v>
      </c>
      <c r="F88" s="290">
        <f t="shared" si="53"/>
        <v>84.952505086540199</v>
      </c>
      <c r="G88" s="290">
        <f t="shared" si="53"/>
        <v>102.30737672583831</v>
      </c>
      <c r="H88" s="290">
        <f t="shared" si="53"/>
        <v>131.9487420814479</v>
      </c>
      <c r="I88" s="290">
        <f t="shared" si="53"/>
        <v>144.63996354952238</v>
      </c>
      <c r="J88" s="290">
        <f t="shared" si="53"/>
        <v>115.69635433715226</v>
      </c>
      <c r="K88" s="290">
        <f t="shared" si="53"/>
        <v>139.2622903412377</v>
      </c>
      <c r="L88" s="290">
        <f t="shared" si="53"/>
        <v>152.79422062350119</v>
      </c>
      <c r="M88" s="290">
        <f t="shared" si="53"/>
        <v>125.79024852071005</v>
      </c>
      <c r="N88" s="290">
        <f t="shared" si="53"/>
        <v>127.34642736605258</v>
      </c>
      <c r="O88" s="290">
        <f t="shared" si="53"/>
        <v>66.476964814814835</v>
      </c>
      <c r="P88" s="290">
        <f t="shared" si="53"/>
        <v>120.32684453165882</v>
      </c>
      <c r="Q88" s="290">
        <f t="shared" si="53"/>
        <v>-13.964623503145896</v>
      </c>
      <c r="R88" s="290">
        <f t="shared" si="53"/>
        <v>119.99587267353628</v>
      </c>
      <c r="S88" s="290">
        <f t="shared" si="53"/>
        <v>112.12856590645531</v>
      </c>
      <c r="T88" s="290">
        <f t="shared" si="53"/>
        <v>7.6234792899410007</v>
      </c>
      <c r="U88" s="290">
        <f t="shared" si="53"/>
        <v>-70.48651654045446</v>
      </c>
      <c r="V88" s="290">
        <f t="shared" si="53"/>
        <v>-15.604518693596779</v>
      </c>
      <c r="W88" s="290">
        <f t="shared" si="53"/>
        <v>72.494232252595708</v>
      </c>
      <c r="X88" s="290">
        <f t="shared" si="53"/>
        <v>19.259897435897528</v>
      </c>
      <c r="Y88" s="290">
        <f t="shared" si="53"/>
        <v>56.494688136751996</v>
      </c>
      <c r="Z88" s="290">
        <f t="shared" si="53"/>
        <v>-61.243146803418618</v>
      </c>
      <c r="AA88" s="290">
        <f t="shared" si="53"/>
        <v>97.904993912466878</v>
      </c>
      <c r="AB88" s="290">
        <f t="shared" si="53"/>
        <v>-48.309195076923366</v>
      </c>
      <c r="AC88" s="252">
        <f t="shared" si="57"/>
        <v>23.80930070801768</v>
      </c>
      <c r="AD88" s="252">
        <f t="shared" si="56"/>
        <v>10.106269275617159</v>
      </c>
      <c r="AE88" s="252">
        <f t="shared" si="56"/>
        <v>12.458492414470637</v>
      </c>
    </row>
    <row r="89" spans="1:31">
      <c r="A89" s="240" t="s">
        <v>235</v>
      </c>
      <c r="B89" s="290">
        <f t="shared" si="53"/>
        <v>109.16666666666666</v>
      </c>
      <c r="C89" s="290">
        <f t="shared" si="53"/>
        <v>102.76108985974095</v>
      </c>
      <c r="D89" s="290">
        <f t="shared" si="53"/>
        <v>117.45262891048051</v>
      </c>
      <c r="E89" s="290">
        <f t="shared" si="53"/>
        <v>121.90855860028854</v>
      </c>
      <c r="F89" s="290">
        <f t="shared" si="53"/>
        <v>84.544469230435368</v>
      </c>
      <c r="G89" s="290">
        <f t="shared" ref="C89:AC91" si="58">G216/G$235</f>
        <v>71.335325443786999</v>
      </c>
      <c r="H89" s="290">
        <f t="shared" si="58"/>
        <v>75.449918552036252</v>
      </c>
      <c r="I89" s="290">
        <f t="shared" si="58"/>
        <v>141.56202237305172</v>
      </c>
      <c r="J89" s="290">
        <f t="shared" si="58"/>
        <v>115.78656710310968</v>
      </c>
      <c r="K89" s="290">
        <f t="shared" si="58"/>
        <v>134.52262868710238</v>
      </c>
      <c r="L89" s="290">
        <f t="shared" si="58"/>
        <v>152.82745803357312</v>
      </c>
      <c r="M89" s="290">
        <f t="shared" si="58"/>
        <v>126.5628639053255</v>
      </c>
      <c r="N89" s="290">
        <f t="shared" si="58"/>
        <v>140.1117564336943</v>
      </c>
      <c r="O89" s="290">
        <f t="shared" si="58"/>
        <v>137.42090370370366</v>
      </c>
      <c r="P89" s="290">
        <f t="shared" si="58"/>
        <v>120.29361187859759</v>
      </c>
      <c r="Q89" s="290">
        <f t="shared" si="58"/>
        <v>149.52508625938705</v>
      </c>
      <c r="R89" s="290">
        <f t="shared" si="58"/>
        <v>47.165592299704414</v>
      </c>
      <c r="S89" s="290">
        <f t="shared" si="58"/>
        <v>-55.729223038268259</v>
      </c>
      <c r="T89" s="290">
        <f t="shared" si="58"/>
        <v>12.17332544378692</v>
      </c>
      <c r="U89" s="290">
        <f t="shared" si="58"/>
        <v>87.917835791151774</v>
      </c>
      <c r="V89" s="290">
        <f t="shared" si="58"/>
        <v>4.2314310270734605</v>
      </c>
      <c r="W89" s="290">
        <f t="shared" si="58"/>
        <v>19.821207459207351</v>
      </c>
      <c r="X89" s="290">
        <f t="shared" si="58"/>
        <v>-13.286769230769096</v>
      </c>
      <c r="Y89" s="290">
        <f t="shared" si="58"/>
        <v>-2.3171491965813402</v>
      </c>
      <c r="Z89" s="290">
        <f t="shared" si="58"/>
        <v>114.4209891965814</v>
      </c>
      <c r="AA89" s="290">
        <f t="shared" si="58"/>
        <v>-17.362185828912224</v>
      </c>
      <c r="AB89" s="290">
        <f t="shared" si="58"/>
        <v>-76.045469743589663</v>
      </c>
      <c r="AC89" s="252">
        <f t="shared" si="57"/>
        <v>13.040421110000015</v>
      </c>
      <c r="AD89" s="252">
        <f t="shared" si="56"/>
        <v>0.85277433008107351</v>
      </c>
      <c r="AE89" s="252">
        <f t="shared" si="56"/>
        <v>5.7589514182455597</v>
      </c>
    </row>
    <row r="90" spans="1:31">
      <c r="A90" s="240" t="s">
        <v>236</v>
      </c>
      <c r="B90" s="290">
        <f t="shared" ref="B90:B91" si="59">B217/B$235</f>
        <v>109.16666666666666</v>
      </c>
      <c r="C90" s="290">
        <f t="shared" si="58"/>
        <v>88.958100474626775</v>
      </c>
      <c r="D90" s="290">
        <f t="shared" si="58"/>
        <v>112.78533511138096</v>
      </c>
      <c r="E90" s="290">
        <f t="shared" si="58"/>
        <v>102.45884421409586</v>
      </c>
      <c r="F90" s="290">
        <f t="shared" si="58"/>
        <v>85.426041435335563</v>
      </c>
      <c r="G90" s="290">
        <f t="shared" si="58"/>
        <v>199.19481262327417</v>
      </c>
      <c r="H90" s="290">
        <f t="shared" si="58"/>
        <v>25.544036199095043</v>
      </c>
      <c r="I90" s="290">
        <f t="shared" si="58"/>
        <v>75.834448843640018</v>
      </c>
      <c r="J90" s="290">
        <f t="shared" si="58"/>
        <v>115.69353518821603</v>
      </c>
      <c r="K90" s="290">
        <f t="shared" si="58"/>
        <v>87.413606130711372</v>
      </c>
      <c r="L90" s="290">
        <f t="shared" si="58"/>
        <v>106.86565947242202</v>
      </c>
      <c r="M90" s="290">
        <f t="shared" si="58"/>
        <v>125.74317159763314</v>
      </c>
      <c r="N90" s="290">
        <f t="shared" si="58"/>
        <v>147.44025734777102</v>
      </c>
      <c r="O90" s="290">
        <f t="shared" si="58"/>
        <v>93.561575925925894</v>
      </c>
      <c r="P90" s="290">
        <f t="shared" si="58"/>
        <v>115.93459555206698</v>
      </c>
      <c r="Q90" s="290">
        <f t="shared" si="58"/>
        <v>138.09698599553488</v>
      </c>
      <c r="R90" s="290">
        <f t="shared" si="58"/>
        <v>32.321168623692074</v>
      </c>
      <c r="S90" s="290">
        <f t="shared" si="58"/>
        <v>32.256957866254375</v>
      </c>
      <c r="T90" s="290">
        <f t="shared" si="58"/>
        <v>127.63363313609459</v>
      </c>
      <c r="U90" s="290">
        <f t="shared" si="58"/>
        <v>69.353612993224459</v>
      </c>
      <c r="V90" s="290">
        <f t="shared" si="58"/>
        <v>44.284950580146187</v>
      </c>
      <c r="W90" s="290">
        <f t="shared" si="58"/>
        <v>137.24638927738911</v>
      </c>
      <c r="X90" s="290">
        <f t="shared" si="58"/>
        <v>34.614564102564145</v>
      </c>
      <c r="Y90" s="290">
        <f t="shared" si="58"/>
        <v>93.510213470085247</v>
      </c>
      <c r="Z90" s="290">
        <f t="shared" si="58"/>
        <v>30.86561586324812</v>
      </c>
      <c r="AA90" s="290">
        <f t="shared" si="58"/>
        <v>-83.982019622015869</v>
      </c>
      <c r="AB90" s="290">
        <f t="shared" si="58"/>
        <v>175.98544492307701</v>
      </c>
      <c r="AC90" s="252">
        <f t="shared" si="57"/>
        <v>27.330156878430387</v>
      </c>
      <c r="AD90" s="252">
        <f t="shared" si="56"/>
        <v>39.568248663427546</v>
      </c>
      <c r="AE90" s="252">
        <f t="shared" si="56"/>
        <v>44.223716976072446</v>
      </c>
    </row>
    <row r="91" spans="1:31">
      <c r="A91" s="240" t="s">
        <v>237</v>
      </c>
      <c r="B91" s="290">
        <f t="shared" si="59"/>
        <v>109.16666666666666</v>
      </c>
      <c r="C91" s="290">
        <f t="shared" si="58"/>
        <v>95.852338074972977</v>
      </c>
      <c r="D91" s="290">
        <f t="shared" si="58"/>
        <v>111.51812718451357</v>
      </c>
      <c r="E91" s="290">
        <f t="shared" si="58"/>
        <v>100.36424674941385</v>
      </c>
      <c r="F91" s="290">
        <f t="shared" si="58"/>
        <v>88.511186226296644</v>
      </c>
      <c r="G91" s="290">
        <f t="shared" si="58"/>
        <v>181.78834319526626</v>
      </c>
      <c r="H91" s="290">
        <f t="shared" si="58"/>
        <v>161.34124886877808</v>
      </c>
      <c r="I91" s="290">
        <f t="shared" si="58"/>
        <v>110.19091566113639</v>
      </c>
      <c r="J91" s="290">
        <f t="shared" si="58"/>
        <v>111.54786824877255</v>
      </c>
      <c r="K91" s="290">
        <f t="shared" si="58"/>
        <v>116.33849045691154</v>
      </c>
      <c r="L91" s="290">
        <f t="shared" si="58"/>
        <v>120.88630695443641</v>
      </c>
      <c r="M91" s="290">
        <f t="shared" si="58"/>
        <v>117.83126627218928</v>
      </c>
      <c r="N91" s="290">
        <f t="shared" si="58"/>
        <v>145.54453663338489</v>
      </c>
      <c r="O91" s="290">
        <f t="shared" si="58"/>
        <v>189.41115925925919</v>
      </c>
      <c r="P91" s="290">
        <f t="shared" si="58"/>
        <v>54.022801988487565</v>
      </c>
      <c r="Q91" s="290">
        <f t="shared" si="58"/>
        <v>122.08592449766608</v>
      </c>
      <c r="R91" s="290">
        <f t="shared" si="58"/>
        <v>46.763780653406471</v>
      </c>
      <c r="S91" s="290">
        <f t="shared" si="58"/>
        <v>66.658639350599387</v>
      </c>
      <c r="T91" s="290">
        <f t="shared" si="58"/>
        <v>44.686650887574309</v>
      </c>
      <c r="U91" s="290">
        <f t="shared" si="58"/>
        <v>131.9268632921484</v>
      </c>
      <c r="V91" s="290">
        <f t="shared" si="58"/>
        <v>122.00590674688426</v>
      </c>
      <c r="W91" s="290">
        <f t="shared" si="58"/>
        <v>142.61623860987567</v>
      </c>
      <c r="X91" s="290">
        <f t="shared" si="58"/>
        <v>69.138461538461343</v>
      </c>
      <c r="Y91" s="290">
        <f t="shared" si="58"/>
        <v>20.68638249572723</v>
      </c>
      <c r="Z91" s="290">
        <f t="shared" si="58"/>
        <v>153.97471883760622</v>
      </c>
      <c r="AA91" s="290">
        <f t="shared" si="58"/>
        <v>237.72671532493305</v>
      </c>
      <c r="AB91" s="290">
        <f t="shared" si="58"/>
        <v>362.03945251281993</v>
      </c>
      <c r="AC91" s="252">
        <f>AC92-SUM(AC80:AC90)</f>
        <v>-401.66897301009772</v>
      </c>
      <c r="AD91" s="252">
        <f t="shared" ref="AD91:AE91" si="60">AD92-SUM(AD80:AD90)</f>
        <v>132.98502235882515</v>
      </c>
      <c r="AE91" s="252">
        <f t="shared" si="60"/>
        <v>67.641037281151796</v>
      </c>
    </row>
    <row r="92" spans="1:31" ht="15.75" thickBot="1">
      <c r="A92" s="240" t="s">
        <v>242</v>
      </c>
      <c r="B92" s="146">
        <f>SUM(B80:B91)</f>
        <v>1310</v>
      </c>
      <c r="C92" s="146">
        <f t="shared" ref="C92:AB92" si="61">SUM(C80:C91)</f>
        <v>1120</v>
      </c>
      <c r="D92" s="146">
        <f t="shared" si="61"/>
        <v>1300.0000000000005</v>
      </c>
      <c r="E92" s="146">
        <f t="shared" si="61"/>
        <v>1215</v>
      </c>
      <c r="F92" s="146">
        <f t="shared" si="61"/>
        <v>1050</v>
      </c>
      <c r="G92" s="146">
        <f t="shared" si="61"/>
        <v>1100.2397435897437</v>
      </c>
      <c r="H92" s="146">
        <f t="shared" si="61"/>
        <v>1201.3440000000003</v>
      </c>
      <c r="I92" s="146">
        <f t="shared" si="61"/>
        <v>1149.5067401960787</v>
      </c>
      <c r="J92" s="146">
        <f t="shared" si="61"/>
        <v>1332.9415425531915</v>
      </c>
      <c r="K92" s="146">
        <f t="shared" si="61"/>
        <v>1501.7988721804509</v>
      </c>
      <c r="L92" s="146">
        <f t="shared" si="61"/>
        <v>1540.6785971223019</v>
      </c>
      <c r="M92" s="146">
        <f t="shared" si="61"/>
        <v>1477.4926153846154</v>
      </c>
      <c r="N92" s="146">
        <f t="shared" si="61"/>
        <v>1535.4981992687385</v>
      </c>
      <c r="O92" s="146">
        <f t="shared" si="61"/>
        <v>1503.2458166666663</v>
      </c>
      <c r="P92" s="146">
        <f t="shared" si="61"/>
        <v>1377.9781122448976</v>
      </c>
      <c r="Q92" s="146">
        <f t="shared" si="61"/>
        <v>1050.1135883905017</v>
      </c>
      <c r="R92" s="146">
        <f t="shared" si="61"/>
        <v>890.62105919003113</v>
      </c>
      <c r="S92" s="146">
        <f t="shared" si="61"/>
        <v>549.92537688442223</v>
      </c>
      <c r="T92" s="146">
        <f t="shared" si="61"/>
        <v>540.86400000000026</v>
      </c>
      <c r="U92" s="146">
        <f t="shared" si="61"/>
        <v>536.47748704663195</v>
      </c>
      <c r="V92" s="146">
        <f t="shared" si="61"/>
        <v>495.240586592179</v>
      </c>
      <c r="W92" s="146">
        <f t="shared" si="61"/>
        <v>322.51683471074233</v>
      </c>
      <c r="X92" s="146">
        <f t="shared" si="61"/>
        <v>278.9680000000003</v>
      </c>
      <c r="Y92" s="146">
        <f t="shared" si="61"/>
        <v>278.10496533333185</v>
      </c>
      <c r="Z92" s="146">
        <f t="shared" si="61"/>
        <v>245.07089066666742</v>
      </c>
      <c r="AA92" s="146">
        <f t="shared" si="61"/>
        <v>156.78222474137903</v>
      </c>
      <c r="AB92" s="146">
        <f t="shared" si="61"/>
        <v>119.43726933333335</v>
      </c>
      <c r="AC92" s="253">
        <f>AC12</f>
        <v>165</v>
      </c>
      <c r="AD92" s="253">
        <f t="shared" ref="AD92:AE92" si="62">AD12</f>
        <v>170</v>
      </c>
      <c r="AE92" s="253">
        <f t="shared" si="62"/>
        <v>175</v>
      </c>
    </row>
    <row r="93" spans="1:31">
      <c r="A93" s="248"/>
      <c r="B93" s="254">
        <f t="shared" ref="B93:AC93" si="63">SUM(B80:B91)-B12</f>
        <v>0</v>
      </c>
      <c r="C93" s="254">
        <f t="shared" si="63"/>
        <v>0</v>
      </c>
      <c r="D93" s="254">
        <f t="shared" si="63"/>
        <v>0</v>
      </c>
      <c r="E93" s="254">
        <f t="shared" si="63"/>
        <v>0</v>
      </c>
      <c r="F93" s="254">
        <f t="shared" si="63"/>
        <v>0</v>
      </c>
      <c r="G93" s="254">
        <f t="shared" si="63"/>
        <v>0</v>
      </c>
      <c r="H93" s="254">
        <f t="shared" si="63"/>
        <v>0</v>
      </c>
      <c r="I93" s="254">
        <f t="shared" si="63"/>
        <v>0</v>
      </c>
      <c r="J93" s="254">
        <f t="shared" si="63"/>
        <v>0</v>
      </c>
      <c r="K93" s="254">
        <f t="shared" si="63"/>
        <v>0</v>
      </c>
      <c r="L93" s="254">
        <f t="shared" si="63"/>
        <v>0</v>
      </c>
      <c r="M93" s="254">
        <f t="shared" si="63"/>
        <v>0</v>
      </c>
      <c r="N93" s="254">
        <f t="shared" si="63"/>
        <v>0</v>
      </c>
      <c r="O93" s="254">
        <f t="shared" si="63"/>
        <v>0</v>
      </c>
      <c r="P93" s="254">
        <f t="shared" si="63"/>
        <v>0</v>
      </c>
      <c r="Q93" s="254">
        <f t="shared" si="63"/>
        <v>0</v>
      </c>
      <c r="R93" s="254">
        <f t="shared" si="63"/>
        <v>0</v>
      </c>
      <c r="S93" s="254">
        <f t="shared" si="63"/>
        <v>0</v>
      </c>
      <c r="T93" s="254">
        <f t="shared" si="63"/>
        <v>0</v>
      </c>
      <c r="U93" s="254">
        <f t="shared" si="63"/>
        <v>0</v>
      </c>
      <c r="V93" s="254">
        <f t="shared" si="63"/>
        <v>0</v>
      </c>
      <c r="W93" s="254">
        <f t="shared" si="63"/>
        <v>0</v>
      </c>
      <c r="X93" s="254">
        <f t="shared" si="63"/>
        <v>0</v>
      </c>
      <c r="Y93" s="254">
        <f t="shared" si="63"/>
        <v>0</v>
      </c>
      <c r="Z93" s="254">
        <f>SUM(Z80:Z91)-Z12</f>
        <v>0</v>
      </c>
      <c r="AA93" s="254">
        <f t="shared" si="63"/>
        <v>0</v>
      </c>
      <c r="AB93" s="254">
        <f t="shared" si="63"/>
        <v>0</v>
      </c>
      <c r="AC93" s="254">
        <f t="shared" si="63"/>
        <v>0</v>
      </c>
      <c r="AD93" s="254">
        <f t="shared" ref="AD93:AE93" si="64">SUM(AD80:AD91)-AD12</f>
        <v>0</v>
      </c>
      <c r="AE93" s="254">
        <f t="shared" si="64"/>
        <v>0</v>
      </c>
    </row>
    <row r="94" spans="1:31" ht="15.75" thickBot="1">
      <c r="A94" s="235" t="s">
        <v>252</v>
      </c>
    </row>
    <row r="95" spans="1:31" ht="15.75" thickBot="1">
      <c r="A95" s="236"/>
      <c r="B95" s="237" t="str">
        <f>B$2</f>
        <v xml:space="preserve">93/94 </v>
      </c>
      <c r="C95" s="237" t="str">
        <f t="shared" ref="C95:AE95" si="65">C$2</f>
        <v xml:space="preserve">94/95 </v>
      </c>
      <c r="D95" s="237" t="str">
        <f t="shared" si="65"/>
        <v xml:space="preserve">95/96 </v>
      </c>
      <c r="E95" s="237" t="str">
        <f t="shared" si="65"/>
        <v xml:space="preserve">96/97 </v>
      </c>
      <c r="F95" s="237" t="str">
        <f t="shared" si="65"/>
        <v xml:space="preserve">97/98 </v>
      </c>
      <c r="G95" s="237" t="str">
        <f t="shared" si="65"/>
        <v xml:space="preserve">98/99 </v>
      </c>
      <c r="H95" s="237" t="str">
        <f t="shared" si="65"/>
        <v xml:space="preserve">99/00 </v>
      </c>
      <c r="I95" s="237" t="str">
        <f t="shared" si="65"/>
        <v xml:space="preserve">00/01 </v>
      </c>
      <c r="J95" s="237" t="str">
        <f t="shared" si="65"/>
        <v xml:space="preserve">01/02 </v>
      </c>
      <c r="K95" s="237" t="str">
        <f t="shared" si="65"/>
        <v xml:space="preserve">02/03 </v>
      </c>
      <c r="L95" s="237" t="str">
        <f t="shared" si="65"/>
        <v xml:space="preserve">03/04 </v>
      </c>
      <c r="M95" s="237" t="str">
        <f t="shared" si="65"/>
        <v xml:space="preserve">04/05 </v>
      </c>
      <c r="N95" s="237" t="str">
        <f t="shared" si="65"/>
        <v xml:space="preserve">05/06 </v>
      </c>
      <c r="O95" s="237" t="str">
        <f t="shared" si="65"/>
        <v xml:space="preserve">06/07 </v>
      </c>
      <c r="P95" s="237" t="str">
        <f t="shared" si="65"/>
        <v xml:space="preserve">07/08 </v>
      </c>
      <c r="Q95" s="237" t="str">
        <f t="shared" si="65"/>
        <v xml:space="preserve">08/09 </v>
      </c>
      <c r="R95" s="237" t="str">
        <f t="shared" si="65"/>
        <v xml:space="preserve">09/10 </v>
      </c>
      <c r="S95" s="237" t="str">
        <f t="shared" si="65"/>
        <v xml:space="preserve">10/11 </v>
      </c>
      <c r="T95" s="237" t="str">
        <f t="shared" si="65"/>
        <v xml:space="preserve">11/12 </v>
      </c>
      <c r="U95" s="237" t="str">
        <f t="shared" si="65"/>
        <v xml:space="preserve">12/13 </v>
      </c>
      <c r="V95" s="237" t="str">
        <f t="shared" si="65"/>
        <v xml:space="preserve">13/14 </v>
      </c>
      <c r="W95" s="237" t="str">
        <f t="shared" si="65"/>
        <v xml:space="preserve">14/15 </v>
      </c>
      <c r="X95" s="237" t="str">
        <f t="shared" si="65"/>
        <v xml:space="preserve">15/16 </v>
      </c>
      <c r="Y95" s="237" t="str">
        <f t="shared" si="65"/>
        <v xml:space="preserve">16/17 </v>
      </c>
      <c r="Z95" s="237" t="str">
        <f t="shared" si="65"/>
        <v xml:space="preserve">17/18 </v>
      </c>
      <c r="AA95" s="237" t="str">
        <f t="shared" si="65"/>
        <v xml:space="preserve">18/19 </v>
      </c>
      <c r="AB95" s="237" t="str">
        <f t="shared" si="65"/>
        <v xml:space="preserve">19/20 </v>
      </c>
      <c r="AC95" s="237" t="str">
        <f t="shared" si="65"/>
        <v xml:space="preserve">20/21 </v>
      </c>
      <c r="AD95" s="237" t="str">
        <f t="shared" si="65"/>
        <v xml:space="preserve">21/22 </v>
      </c>
      <c r="AE95" s="237" t="str">
        <f t="shared" si="65"/>
        <v xml:space="preserve">22/23 </v>
      </c>
    </row>
    <row r="96" spans="1:31">
      <c r="A96" s="240" t="s">
        <v>239</v>
      </c>
      <c r="B96" s="290">
        <f>B$124*B80</f>
        <v>49.166666666666657</v>
      </c>
      <c r="C96" s="290">
        <f t="shared" ref="C96:AE104" si="66">C$124*C80</f>
        <v>43.082599466825876</v>
      </c>
      <c r="D96" s="290">
        <f t="shared" si="66"/>
        <v>54.006325366478833</v>
      </c>
      <c r="E96" s="290">
        <f t="shared" si="66"/>
        <v>68.918785073492614</v>
      </c>
      <c r="F96" s="290">
        <f t="shared" si="66"/>
        <v>45.861893780924056</v>
      </c>
      <c r="G96" s="290">
        <f t="shared" si="66"/>
        <v>-72.437144892708943</v>
      </c>
      <c r="H96" s="290">
        <f t="shared" si="66"/>
        <v>26.758026425339384</v>
      </c>
      <c r="I96" s="290">
        <f t="shared" si="66"/>
        <v>16.287813599798888</v>
      </c>
      <c r="J96" s="290">
        <f t="shared" si="66"/>
        <v>39.170302782324065</v>
      </c>
      <c r="K96" s="290">
        <f t="shared" si="66"/>
        <v>63.642387073452859</v>
      </c>
      <c r="L96" s="290">
        <f t="shared" si="66"/>
        <v>58.346645083932842</v>
      </c>
      <c r="M96" s="290">
        <f t="shared" si="66"/>
        <v>57.283197575407698</v>
      </c>
      <c r="N96" s="290">
        <f t="shared" si="66"/>
        <v>66.994973562086912</v>
      </c>
      <c r="O96" s="290">
        <f t="shared" si="66"/>
        <v>70.315747530864186</v>
      </c>
      <c r="P96" s="290">
        <f t="shared" si="66"/>
        <v>61.268587807430677</v>
      </c>
      <c r="Q96" s="290">
        <f t="shared" si="66"/>
        <v>88.278223124281169</v>
      </c>
      <c r="R96" s="290">
        <f t="shared" si="66"/>
        <v>56.891828660436197</v>
      </c>
      <c r="S96" s="290">
        <f t="shared" si="66"/>
        <v>56.636963664476184</v>
      </c>
      <c r="T96" s="290">
        <f t="shared" si="66"/>
        <v>77.781230769230731</v>
      </c>
      <c r="U96" s="290">
        <f t="shared" si="66"/>
        <v>18.046837783977629</v>
      </c>
      <c r="V96" s="290">
        <f t="shared" si="66"/>
        <v>50.316595616673723</v>
      </c>
      <c r="W96" s="290">
        <f t="shared" si="66"/>
        <v>38.264198347107339</v>
      </c>
      <c r="X96" s="290">
        <f t="shared" si="66"/>
        <v>38.825307692307696</v>
      </c>
      <c r="Y96" s="290">
        <f t="shared" si="66"/>
        <v>115.71207692307684</v>
      </c>
      <c r="Z96" s="290">
        <f t="shared" si="66"/>
        <v>140.47506108034196</v>
      </c>
      <c r="AA96" s="290">
        <f t="shared" si="66"/>
        <v>61.530635013262575</v>
      </c>
      <c r="AB96" s="290">
        <f t="shared" si="66"/>
        <v>52.027906591452947</v>
      </c>
      <c r="AC96" s="290">
        <f t="shared" si="66"/>
        <v>57.2129172208437</v>
      </c>
      <c r="AD96" s="252">
        <f t="shared" si="66"/>
        <v>61.684310630228893</v>
      </c>
      <c r="AE96" s="252">
        <f t="shared" si="66"/>
        <v>78.084558724836299</v>
      </c>
    </row>
    <row r="97" spans="1:31">
      <c r="A97" s="240" t="s">
        <v>240</v>
      </c>
      <c r="B97" s="290">
        <f t="shared" ref="B97:B107" si="67">B$124*B81</f>
        <v>49.166666666666657</v>
      </c>
      <c r="C97" s="290">
        <f t="shared" si="66"/>
        <v>42.75477490517877</v>
      </c>
      <c r="D97" s="290">
        <f t="shared" si="66"/>
        <v>54.017428694798895</v>
      </c>
      <c r="E97" s="290">
        <f t="shared" si="66"/>
        <v>69.974751626732512</v>
      </c>
      <c r="F97" s="290">
        <f t="shared" si="66"/>
        <v>45.215908593995977</v>
      </c>
      <c r="G97" s="290">
        <f t="shared" si="66"/>
        <v>-33.368161330262808</v>
      </c>
      <c r="H97" s="290">
        <f t="shared" si="66"/>
        <v>46.223499366515824</v>
      </c>
      <c r="I97" s="290">
        <f t="shared" si="66"/>
        <v>28.342347913524378</v>
      </c>
      <c r="J97" s="290">
        <f t="shared" si="66"/>
        <v>42.609877250409163</v>
      </c>
      <c r="K97" s="290">
        <f t="shared" si="66"/>
        <v>63.653772411798727</v>
      </c>
      <c r="L97" s="290">
        <f t="shared" si="66"/>
        <v>61.118468824940031</v>
      </c>
      <c r="M97" s="290">
        <f t="shared" si="66"/>
        <v>57.939505267715418</v>
      </c>
      <c r="N97" s="290">
        <f t="shared" si="66"/>
        <v>58.912002812543939</v>
      </c>
      <c r="O97" s="290">
        <f t="shared" si="66"/>
        <v>68.111356790123438</v>
      </c>
      <c r="P97" s="290">
        <f t="shared" si="66"/>
        <v>59.127014338042891</v>
      </c>
      <c r="Q97" s="290">
        <f t="shared" si="66"/>
        <v>93.291494892091194</v>
      </c>
      <c r="R97" s="290">
        <f t="shared" si="66"/>
        <v>61.211230529594992</v>
      </c>
      <c r="S97" s="290">
        <f t="shared" si="66"/>
        <v>33.962817935833023</v>
      </c>
      <c r="T97" s="290">
        <f t="shared" si="66"/>
        <v>38.718564102564066</v>
      </c>
      <c r="U97" s="290">
        <f t="shared" si="66"/>
        <v>55.654682343563174</v>
      </c>
      <c r="V97" s="290">
        <f t="shared" si="66"/>
        <v>17.565668242372155</v>
      </c>
      <c r="W97" s="290">
        <f t="shared" si="66"/>
        <v>-78.854413223140583</v>
      </c>
      <c r="X97" s="290">
        <f t="shared" si="66"/>
        <v>-53.114835164835185</v>
      </c>
      <c r="Y97" s="290">
        <f t="shared" si="66"/>
        <v>41.099505494505365</v>
      </c>
      <c r="Z97" s="290">
        <f t="shared" si="66"/>
        <v>15.825944400341919</v>
      </c>
      <c r="AA97" s="290">
        <f t="shared" si="66"/>
        <v>39.541655271883243</v>
      </c>
      <c r="AB97" s="290">
        <f t="shared" si="66"/>
        <v>-47.542273764102461</v>
      </c>
      <c r="AC97" s="290">
        <f t="shared" si="66"/>
        <v>-29.13248923076921</v>
      </c>
      <c r="AD97" s="252">
        <f t="shared" si="66"/>
        <v>0.92590715323968698</v>
      </c>
      <c r="AE97" s="252">
        <f t="shared" si="66"/>
        <v>5.6722677691854955</v>
      </c>
    </row>
    <row r="98" spans="1:31">
      <c r="A98" s="240" t="s">
        <v>241</v>
      </c>
      <c r="B98" s="290">
        <f t="shared" si="67"/>
        <v>49.166666666666657</v>
      </c>
      <c r="C98" s="290">
        <f t="shared" si="66"/>
        <v>42.78838755325377</v>
      </c>
      <c r="D98" s="290">
        <f t="shared" si="66"/>
        <v>50.798164744822309</v>
      </c>
      <c r="E98" s="290">
        <f t="shared" si="66"/>
        <v>60.578483487977536</v>
      </c>
      <c r="F98" s="290">
        <f t="shared" si="66"/>
        <v>42.835039826549377</v>
      </c>
      <c r="G98" s="290">
        <f t="shared" si="66"/>
        <v>4.373856518829716</v>
      </c>
      <c r="H98" s="290">
        <f t="shared" si="66"/>
        <v>78.208548778280559</v>
      </c>
      <c r="I98" s="290">
        <f t="shared" si="66"/>
        <v>27.923279286073402</v>
      </c>
      <c r="J98" s="290">
        <f t="shared" si="66"/>
        <v>51.100855973813438</v>
      </c>
      <c r="K98" s="290">
        <f t="shared" si="66"/>
        <v>59.839684065934073</v>
      </c>
      <c r="L98" s="290">
        <f t="shared" si="66"/>
        <v>63.408526378896873</v>
      </c>
      <c r="M98" s="290">
        <f t="shared" si="66"/>
        <v>59.45354841968539</v>
      </c>
      <c r="N98" s="290">
        <f t="shared" si="66"/>
        <v>66.905681057516517</v>
      </c>
      <c r="O98" s="290">
        <f t="shared" si="66"/>
        <v>56.504591975308635</v>
      </c>
      <c r="P98" s="290">
        <f t="shared" si="66"/>
        <v>58.519324542124536</v>
      </c>
      <c r="Q98" s="290">
        <f t="shared" si="66"/>
        <v>58.633832622961904</v>
      </c>
      <c r="R98" s="290">
        <f t="shared" si="66"/>
        <v>66.025118380062366</v>
      </c>
      <c r="S98" s="290">
        <f t="shared" si="66"/>
        <v>35.831134518747618</v>
      </c>
      <c r="T98" s="290">
        <f t="shared" si="66"/>
        <v>47.67589743589739</v>
      </c>
      <c r="U98" s="290">
        <f t="shared" si="66"/>
        <v>52.133583897967377</v>
      </c>
      <c r="V98" s="290">
        <f t="shared" si="66"/>
        <v>57.354215728405691</v>
      </c>
      <c r="W98" s="290">
        <f t="shared" si="66"/>
        <v>5.069719008264344</v>
      </c>
      <c r="X98" s="290">
        <f t="shared" si="66"/>
        <v>30.725307692307751</v>
      </c>
      <c r="Y98" s="290">
        <f t="shared" si="66"/>
        <v>2.5897912087910817</v>
      </c>
      <c r="Z98" s="290">
        <f t="shared" si="66"/>
        <v>-41.828816012991467</v>
      </c>
      <c r="AA98" s="290">
        <f t="shared" si="66"/>
        <v>12.961719927055624</v>
      </c>
      <c r="AB98" s="290">
        <f t="shared" si="66"/>
        <v>28.379016191453047</v>
      </c>
      <c r="AC98" s="290">
        <f t="shared" si="66"/>
        <v>-22.737124069478835</v>
      </c>
      <c r="AD98" s="252">
        <f t="shared" si="66"/>
        <v>4.1784215446854454</v>
      </c>
      <c r="AE98" s="252">
        <f t="shared" si="66"/>
        <v>-4.995091325707615</v>
      </c>
    </row>
    <row r="99" spans="1:31">
      <c r="A99" s="240" t="s">
        <v>231</v>
      </c>
      <c r="B99" s="290">
        <f t="shared" si="67"/>
        <v>49.166666666666657</v>
      </c>
      <c r="C99" s="290">
        <f t="shared" si="66"/>
        <v>36.380318435004355</v>
      </c>
      <c r="D99" s="290">
        <f t="shared" si="66"/>
        <v>42.279223749110237</v>
      </c>
      <c r="E99" s="290">
        <f t="shared" si="66"/>
        <v>21.369221328382046</v>
      </c>
      <c r="F99" s="290">
        <f t="shared" si="66"/>
        <v>32.395778216961162</v>
      </c>
      <c r="G99" s="290">
        <f t="shared" si="66"/>
        <v>64.21841420118345</v>
      </c>
      <c r="H99" s="290">
        <f t="shared" si="66"/>
        <v>73.595673484162901</v>
      </c>
      <c r="I99" s="290">
        <f t="shared" si="66"/>
        <v>12.829235168426383</v>
      </c>
      <c r="J99" s="290">
        <f t="shared" si="66"/>
        <v>50.225898527004922</v>
      </c>
      <c r="K99" s="290">
        <f t="shared" si="66"/>
        <v>59.818178426836305</v>
      </c>
      <c r="L99" s="290">
        <f t="shared" si="66"/>
        <v>52.45868824940046</v>
      </c>
      <c r="M99" s="290">
        <f t="shared" si="66"/>
        <v>59.664313898109405</v>
      </c>
      <c r="N99" s="290">
        <f t="shared" si="66"/>
        <v>28.885732245816314</v>
      </c>
      <c r="O99" s="290">
        <f t="shared" si="66"/>
        <v>63.052340123456759</v>
      </c>
      <c r="P99" s="290">
        <f t="shared" si="66"/>
        <v>58.664583725798018</v>
      </c>
      <c r="Q99" s="290">
        <f t="shared" si="66"/>
        <v>-7.2756713348217028</v>
      </c>
      <c r="R99" s="290">
        <f t="shared" si="66"/>
        <v>23.510015576323951</v>
      </c>
      <c r="S99" s="290">
        <f t="shared" si="66"/>
        <v>-36.11436799381525</v>
      </c>
      <c r="T99" s="290">
        <f t="shared" si="66"/>
        <v>28.919897435897457</v>
      </c>
      <c r="U99" s="290">
        <f t="shared" si="66"/>
        <v>-68.809597449182945</v>
      </c>
      <c r="V99" s="290">
        <f t="shared" si="66"/>
        <v>-9.3788568972926303</v>
      </c>
      <c r="W99" s="290">
        <f t="shared" si="66"/>
        <v>-44.133454545454647</v>
      </c>
      <c r="X99" s="290">
        <f t="shared" si="66"/>
        <v>31.458164835164812</v>
      </c>
      <c r="Y99" s="290">
        <f t="shared" si="66"/>
        <v>22.434791208791157</v>
      </c>
      <c r="Z99" s="290">
        <f t="shared" si="66"/>
        <v>63.766524707008564</v>
      </c>
      <c r="AA99" s="290">
        <f t="shared" si="66"/>
        <v>-48.707439986737384</v>
      </c>
      <c r="AB99" s="290">
        <f t="shared" si="66"/>
        <v>-120.24166291965804</v>
      </c>
      <c r="AC99" s="290">
        <f t="shared" si="66"/>
        <v>-10.383027295285407</v>
      </c>
      <c r="AD99" s="252">
        <f t="shared" si="66"/>
        <v>-3.9331379590843061</v>
      </c>
      <c r="AE99" s="252">
        <f t="shared" si="66"/>
        <v>-12.637820785938304</v>
      </c>
    </row>
    <row r="100" spans="1:31">
      <c r="A100" s="240" t="s">
        <v>232</v>
      </c>
      <c r="B100" s="290">
        <f t="shared" si="67"/>
        <v>49.166666666666657</v>
      </c>
      <c r="C100" s="290">
        <f t="shared" si="66"/>
        <v>35.927155143487241</v>
      </c>
      <c r="D100" s="290">
        <f t="shared" si="66"/>
        <v>42.838714619301129</v>
      </c>
      <c r="E100" s="290">
        <f t="shared" si="66"/>
        <v>27.974533557545858</v>
      </c>
      <c r="F100" s="290">
        <f t="shared" si="66"/>
        <v>37.180025900357194</v>
      </c>
      <c r="G100" s="290">
        <f t="shared" si="66"/>
        <v>80.777901380670627</v>
      </c>
      <c r="H100" s="290">
        <f t="shared" si="66"/>
        <v>42.896760542986435</v>
      </c>
      <c r="I100" s="290">
        <f t="shared" si="66"/>
        <v>20.35984791352438</v>
      </c>
      <c r="J100" s="290">
        <f t="shared" si="66"/>
        <v>51.520132569558115</v>
      </c>
      <c r="K100" s="290">
        <f t="shared" si="66"/>
        <v>59.484208502024281</v>
      </c>
      <c r="L100" s="290">
        <f t="shared" si="66"/>
        <v>54.964940047961612</v>
      </c>
      <c r="M100" s="290">
        <f t="shared" si="66"/>
        <v>57.894150671092497</v>
      </c>
      <c r="N100" s="290">
        <f t="shared" si="66"/>
        <v>52.231057657150892</v>
      </c>
      <c r="O100" s="290">
        <f t="shared" si="66"/>
        <v>36.434088271604935</v>
      </c>
      <c r="P100" s="290">
        <f t="shared" si="66"/>
        <v>58.223475562532691</v>
      </c>
      <c r="Q100" s="290">
        <f t="shared" si="66"/>
        <v>4.5599223327244642</v>
      </c>
      <c r="R100" s="290">
        <f t="shared" si="66"/>
        <v>39.03152959501562</v>
      </c>
      <c r="S100" s="290">
        <f t="shared" si="66"/>
        <v>43.241812910707381</v>
      </c>
      <c r="T100" s="290">
        <f t="shared" si="66"/>
        <v>51.582564102564142</v>
      </c>
      <c r="U100" s="290">
        <f t="shared" si="66"/>
        <v>23.844485452371398</v>
      </c>
      <c r="V100" s="290">
        <f t="shared" si="66"/>
        <v>81.115657069187819</v>
      </c>
      <c r="W100" s="290">
        <f t="shared" si="66"/>
        <v>73.393851239669303</v>
      </c>
      <c r="X100" s="290">
        <f t="shared" si="66"/>
        <v>27.604879120879154</v>
      </c>
      <c r="Y100" s="290">
        <f t="shared" si="66"/>
        <v>-31.310637362637511</v>
      </c>
      <c r="Z100" s="290">
        <f t="shared" si="66"/>
        <v>-0.71975687965801172</v>
      </c>
      <c r="AA100" s="290">
        <f t="shared" si="66"/>
        <v>39.549623375331542</v>
      </c>
      <c r="AB100" s="290">
        <f t="shared" si="66"/>
        <v>-32.848144741880375</v>
      </c>
      <c r="AC100" s="290">
        <f t="shared" si="66"/>
        <v>125.833746898263</v>
      </c>
      <c r="AD100" s="252">
        <f t="shared" si="66"/>
        <v>1.448737633983096</v>
      </c>
      <c r="AE100" s="252">
        <f t="shared" si="66"/>
        <v>20.137677182866636</v>
      </c>
    </row>
    <row r="101" spans="1:31">
      <c r="A101" s="240" t="s">
        <v>233</v>
      </c>
      <c r="B101" s="290">
        <f t="shared" si="67"/>
        <v>49.166666666666657</v>
      </c>
      <c r="C101" s="290">
        <f t="shared" si="66"/>
        <v>37.57012518252651</v>
      </c>
      <c r="D101" s="290">
        <f t="shared" si="66"/>
        <v>45.747669762017047</v>
      </c>
      <c r="E101" s="290">
        <f t="shared" si="66"/>
        <v>32.219361885706213</v>
      </c>
      <c r="F101" s="290">
        <f t="shared" si="66"/>
        <v>37.15086684678058</v>
      </c>
      <c r="G101" s="290">
        <f t="shared" si="66"/>
        <v>90.979952662721914</v>
      </c>
      <c r="H101" s="290">
        <f t="shared" si="66"/>
        <v>34.343193484162896</v>
      </c>
      <c r="I101" s="290">
        <f t="shared" si="66"/>
        <v>64.976771933132227</v>
      </c>
      <c r="J101" s="290">
        <f t="shared" si="66"/>
        <v>51.521387888707054</v>
      </c>
      <c r="K101" s="290">
        <f t="shared" si="66"/>
        <v>28.107481058415267</v>
      </c>
      <c r="L101" s="290">
        <f t="shared" si="66"/>
        <v>47.791828537170261</v>
      </c>
      <c r="M101" s="290">
        <f t="shared" si="66"/>
        <v>59.274797950642252</v>
      </c>
      <c r="N101" s="290">
        <f t="shared" si="66"/>
        <v>63.820425116017446</v>
      </c>
      <c r="O101" s="290">
        <f t="shared" si="66"/>
        <v>42.696106790123437</v>
      </c>
      <c r="P101" s="290">
        <f t="shared" si="66"/>
        <v>57.923628623757189</v>
      </c>
      <c r="Q101" s="290">
        <f t="shared" si="66"/>
        <v>19.884112306339212</v>
      </c>
      <c r="R101" s="290">
        <f t="shared" si="66"/>
        <v>22.431501557632416</v>
      </c>
      <c r="S101" s="290">
        <f t="shared" si="66"/>
        <v>37.536988790104338</v>
      </c>
      <c r="T101" s="290">
        <f t="shared" si="66"/>
        <v>5.285230769230755</v>
      </c>
      <c r="U101" s="290">
        <f t="shared" si="66"/>
        <v>-8.7504057393383849</v>
      </c>
      <c r="V101" s="290">
        <f t="shared" si="66"/>
        <v>50.586506231199017</v>
      </c>
      <c r="W101" s="290">
        <f t="shared" si="66"/>
        <v>-9.966876033057984</v>
      </c>
      <c r="X101" s="290">
        <f t="shared" si="66"/>
        <v>-47.00897802197801</v>
      </c>
      <c r="Y101" s="290">
        <f t="shared" si="66"/>
        <v>-49.527923076923209</v>
      </c>
      <c r="Z101" s="290">
        <f t="shared" si="66"/>
        <v>13.082589107008516</v>
      </c>
      <c r="AA101" s="290">
        <f t="shared" si="66"/>
        <v>-163.286110245358</v>
      </c>
      <c r="AB101" s="290">
        <f t="shared" si="66"/>
        <v>-104.29920487521363</v>
      </c>
      <c r="AC101" s="290">
        <f t="shared" si="66"/>
        <v>71.484069478908182</v>
      </c>
      <c r="AD101" s="252">
        <f t="shared" si="66"/>
        <v>-51.035520685857009</v>
      </c>
      <c r="AE101" s="252">
        <f t="shared" si="66"/>
        <v>-39.525913647128313</v>
      </c>
    </row>
    <row r="102" spans="1:31">
      <c r="A102" s="240" t="s">
        <v>234</v>
      </c>
      <c r="B102" s="290">
        <f t="shared" si="67"/>
        <v>49.166666666666657</v>
      </c>
      <c r="C102" s="290">
        <f t="shared" si="66"/>
        <v>46.470389918288284</v>
      </c>
      <c r="D102" s="290">
        <f t="shared" si="66"/>
        <v>48.628691268222497</v>
      </c>
      <c r="E102" s="290">
        <f t="shared" si="66"/>
        <v>41.521300506057607</v>
      </c>
      <c r="F102" s="290">
        <f t="shared" si="66"/>
        <v>36.149685935790117</v>
      </c>
      <c r="G102" s="290">
        <f t="shared" si="66"/>
        <v>40.876824457593706</v>
      </c>
      <c r="H102" s="290">
        <f t="shared" si="66"/>
        <v>44.337334660633502</v>
      </c>
      <c r="I102" s="290">
        <f t="shared" si="66"/>
        <v>68.677703305681234</v>
      </c>
      <c r="J102" s="290">
        <f t="shared" si="66"/>
        <v>51.561558101472997</v>
      </c>
      <c r="K102" s="290">
        <f t="shared" si="66"/>
        <v>63.642387073452859</v>
      </c>
      <c r="L102" s="290">
        <f t="shared" si="66"/>
        <v>73.688429256594702</v>
      </c>
      <c r="M102" s="290">
        <f t="shared" si="66"/>
        <v>60.690128157021206</v>
      </c>
      <c r="N102" s="290">
        <f t="shared" si="66"/>
        <v>62.912840106876665</v>
      </c>
      <c r="O102" s="290">
        <f t="shared" si="66"/>
        <v>76.711284567901231</v>
      </c>
      <c r="P102" s="290">
        <f t="shared" si="66"/>
        <v>57.887646991104141</v>
      </c>
      <c r="Q102" s="290">
        <f t="shared" si="66"/>
        <v>19.880107029294376</v>
      </c>
      <c r="R102" s="290">
        <f t="shared" si="66"/>
        <v>23.900258566978234</v>
      </c>
      <c r="S102" s="290">
        <f t="shared" si="66"/>
        <v>-14.835800154619252</v>
      </c>
      <c r="T102" s="290">
        <f t="shared" si="66"/>
        <v>-40.968102564102573</v>
      </c>
      <c r="U102" s="290">
        <f t="shared" si="66"/>
        <v>20.088112395376651</v>
      </c>
      <c r="V102" s="290">
        <f t="shared" si="66"/>
        <v>8.9591095831542997</v>
      </c>
      <c r="W102" s="290">
        <f t="shared" si="66"/>
        <v>-3.2769256198348167</v>
      </c>
      <c r="X102" s="290">
        <f t="shared" si="66"/>
        <v>69.205450549450575</v>
      </c>
      <c r="Y102" s="290">
        <f t="shared" si="66"/>
        <v>-67.539494505494517</v>
      </c>
      <c r="Z102" s="290">
        <f t="shared" si="66"/>
        <v>-98.12829113299135</v>
      </c>
      <c r="AA102" s="290">
        <f t="shared" si="66"/>
        <v>-63.187740417771877</v>
      </c>
      <c r="AB102" s="290">
        <f t="shared" si="66"/>
        <v>-28.499878430769122</v>
      </c>
      <c r="AC102" s="252">
        <f t="shared" si="66"/>
        <v>52.111166253101722</v>
      </c>
      <c r="AD102" s="252">
        <f t="shared" si="66"/>
        <v>-28.201803812743098</v>
      </c>
      <c r="AE102" s="252">
        <f t="shared" si="66"/>
        <v>-37.419858039110629</v>
      </c>
    </row>
    <row r="103" spans="1:31">
      <c r="A103" s="240" t="s">
        <v>46</v>
      </c>
      <c r="B103" s="290">
        <f t="shared" si="67"/>
        <v>49.166666666666657</v>
      </c>
      <c r="C103" s="290">
        <f t="shared" si="66"/>
        <v>47.017304149918189</v>
      </c>
      <c r="D103" s="290">
        <f t="shared" si="66"/>
        <v>50.547930787630186</v>
      </c>
      <c r="E103" s="290">
        <f t="shared" si="66"/>
        <v>45.87617993902213</v>
      </c>
      <c r="F103" s="290">
        <f t="shared" si="66"/>
        <v>39.483110489169469</v>
      </c>
      <c r="G103" s="290">
        <f t="shared" si="66"/>
        <v>67.624542406311647</v>
      </c>
      <c r="H103" s="290">
        <f t="shared" si="66"/>
        <v>15.468887601809964</v>
      </c>
      <c r="I103" s="290">
        <f t="shared" si="66"/>
        <v>63.906379776269503</v>
      </c>
      <c r="J103" s="290">
        <f t="shared" si="66"/>
        <v>51.564068739770867</v>
      </c>
      <c r="K103" s="290">
        <f t="shared" si="66"/>
        <v>61.364054366685941</v>
      </c>
      <c r="L103" s="290">
        <f t="shared" si="66"/>
        <v>73.560314148681059</v>
      </c>
      <c r="M103" s="290">
        <f t="shared" si="66"/>
        <v>60.627432096983711</v>
      </c>
      <c r="N103" s="290">
        <f t="shared" si="66"/>
        <v>68.522275207425096</v>
      </c>
      <c r="O103" s="290">
        <f t="shared" si="66"/>
        <v>75.691203086419733</v>
      </c>
      <c r="P103" s="290">
        <f t="shared" si="66"/>
        <v>53.907012297226579</v>
      </c>
      <c r="Q103" s="290">
        <f t="shared" si="66"/>
        <v>38.09210175224954</v>
      </c>
      <c r="R103" s="290">
        <f t="shared" si="66"/>
        <v>17.601576323987512</v>
      </c>
      <c r="S103" s="290">
        <f t="shared" si="66"/>
        <v>33.870933513722449</v>
      </c>
      <c r="T103" s="290">
        <f t="shared" si="66"/>
        <v>-41.080102564102539</v>
      </c>
      <c r="U103" s="290">
        <f t="shared" si="66"/>
        <v>61.032578716620158</v>
      </c>
      <c r="V103" s="290">
        <f t="shared" si="66"/>
        <v>-92.888935109583116</v>
      </c>
      <c r="W103" s="290">
        <f t="shared" si="66"/>
        <v>-4.481090909090975</v>
      </c>
      <c r="X103" s="290">
        <f t="shared" si="66"/>
        <v>-16.096549450549432</v>
      </c>
      <c r="Y103" s="290">
        <f t="shared" si="66"/>
        <v>19.447826208791085</v>
      </c>
      <c r="Z103" s="290">
        <f t="shared" si="66"/>
        <v>-89.052689186324741</v>
      </c>
      <c r="AA103" s="290">
        <f t="shared" si="66"/>
        <v>84.095102685676451</v>
      </c>
      <c r="AB103" s="290">
        <f t="shared" si="66"/>
        <v>71.580581258119764</v>
      </c>
      <c r="AC103" s="252">
        <f t="shared" si="66"/>
        <v>-0.7581832247226975</v>
      </c>
      <c r="AD103" s="252">
        <f t="shared" si="66"/>
        <v>8.4986499584278121</v>
      </c>
      <c r="AE103" s="252">
        <f t="shared" si="66"/>
        <v>13.181044418882946</v>
      </c>
    </row>
    <row r="104" spans="1:31">
      <c r="A104" s="240" t="s">
        <v>235</v>
      </c>
      <c r="B104" s="290">
        <f t="shared" si="67"/>
        <v>49.166666666666657</v>
      </c>
      <c r="C104" s="290">
        <f t="shared" si="66"/>
        <v>39.628798634204131</v>
      </c>
      <c r="D104" s="290">
        <f t="shared" si="66"/>
        <v>42.345609964750182</v>
      </c>
      <c r="E104" s="290">
        <f t="shared" si="66"/>
        <v>30.90586077428517</v>
      </c>
      <c r="F104" s="290">
        <f t="shared" si="66"/>
        <v>38.026359419689427</v>
      </c>
      <c r="G104" s="290">
        <f t="shared" si="66"/>
        <v>45.573285996055247</v>
      </c>
      <c r="H104" s="290">
        <f t="shared" si="66"/>
        <v>59.157019366515804</v>
      </c>
      <c r="I104" s="290">
        <f t="shared" si="66"/>
        <v>64.773548893916541</v>
      </c>
      <c r="J104" s="290">
        <f t="shared" si="66"/>
        <v>51.517621931260251</v>
      </c>
      <c r="K104" s="290">
        <f t="shared" si="66"/>
        <v>62.482347599768644</v>
      </c>
      <c r="L104" s="290">
        <f t="shared" si="66"/>
        <v>73.619033573141479</v>
      </c>
      <c r="M104" s="290">
        <f t="shared" si="66"/>
        <v>60.594083128878623</v>
      </c>
      <c r="N104" s="290">
        <f t="shared" si="66"/>
        <v>61.277587821684705</v>
      </c>
      <c r="O104" s="290">
        <f t="shared" si="66"/>
        <v>32.017295679012356</v>
      </c>
      <c r="P104" s="290">
        <f t="shared" si="66"/>
        <v>57.902306174777607</v>
      </c>
      <c r="Q104" s="290">
        <f t="shared" si="66"/>
        <v>-6.7296185643731645</v>
      </c>
      <c r="R104" s="290">
        <f t="shared" si="66"/>
        <v>57.840707165109066</v>
      </c>
      <c r="S104" s="290">
        <f t="shared" si="66"/>
        <v>54.025581754928467</v>
      </c>
      <c r="T104" s="290">
        <f t="shared" si="66"/>
        <v>3.6705641025641853</v>
      </c>
      <c r="U104" s="290">
        <f t="shared" si="66"/>
        <v>-33.991628537265889</v>
      </c>
      <c r="V104" s="290">
        <f t="shared" si="66"/>
        <v>-7.5027786850020872</v>
      </c>
      <c r="W104" s="290">
        <f t="shared" si="66"/>
        <v>35.01269421487595</v>
      </c>
      <c r="X104" s="290">
        <f t="shared" si="66"/>
        <v>9.2860219780220223</v>
      </c>
      <c r="Y104" s="290">
        <f t="shared" si="66"/>
        <v>27.238510351648284</v>
      </c>
      <c r="Z104" s="290">
        <f t="shared" ref="C104:AE107" si="68">Z$124*Z88</f>
        <v>-29.70292619965803</v>
      </c>
      <c r="AA104" s="290">
        <f t="shared" si="68"/>
        <v>47.373384151193655</v>
      </c>
      <c r="AB104" s="290">
        <f t="shared" si="68"/>
        <v>-29.790670297436076</v>
      </c>
      <c r="AC104" s="252">
        <f t="shared" si="68"/>
        <v>11.54390337358433</v>
      </c>
      <c r="AD104" s="252">
        <f t="shared" si="68"/>
        <v>4.8125091788653132</v>
      </c>
      <c r="AE104" s="252">
        <f t="shared" si="68"/>
        <v>6.239775796816649</v>
      </c>
    </row>
    <row r="105" spans="1:31">
      <c r="A105" s="240" t="s">
        <v>236</v>
      </c>
      <c r="B105" s="290">
        <f t="shared" si="67"/>
        <v>49.166666666666657</v>
      </c>
      <c r="C105" s="290">
        <f t="shared" si="68"/>
        <v>45.875486544527213</v>
      </c>
      <c r="D105" s="290">
        <f t="shared" si="68"/>
        <v>52.853683009716235</v>
      </c>
      <c r="E105" s="290">
        <f t="shared" si="68"/>
        <v>54.68326291124054</v>
      </c>
      <c r="F105" s="290">
        <f t="shared" si="68"/>
        <v>37.843714798385356</v>
      </c>
      <c r="G105" s="290">
        <f t="shared" si="68"/>
        <v>31.776644970414207</v>
      </c>
      <c r="H105" s="290">
        <f t="shared" si="68"/>
        <v>33.826713484162916</v>
      </c>
      <c r="I105" s="290">
        <f t="shared" si="68"/>
        <v>63.395166540975339</v>
      </c>
      <c r="J105" s="290">
        <f t="shared" si="68"/>
        <v>51.557792144026195</v>
      </c>
      <c r="K105" s="290">
        <f t="shared" si="68"/>
        <v>60.355819404279934</v>
      </c>
      <c r="L105" s="290">
        <f t="shared" si="68"/>
        <v>73.63504796163069</v>
      </c>
      <c r="M105" s="290">
        <f t="shared" si="68"/>
        <v>60.966257612931187</v>
      </c>
      <c r="N105" s="290">
        <f t="shared" si="68"/>
        <v>67.420112501757842</v>
      </c>
      <c r="O105" s="290">
        <f t="shared" si="68"/>
        <v>66.186019753086399</v>
      </c>
      <c r="P105" s="290">
        <f t="shared" si="68"/>
        <v>57.886314338042908</v>
      </c>
      <c r="Q105" s="290">
        <f t="shared" si="68"/>
        <v>72.056851092618899</v>
      </c>
      <c r="R105" s="290">
        <f t="shared" si="68"/>
        <v>22.734875389408085</v>
      </c>
      <c r="S105" s="290">
        <f t="shared" si="68"/>
        <v>-26.851352918438344</v>
      </c>
      <c r="T105" s="290">
        <f t="shared" si="68"/>
        <v>5.8612307692307395</v>
      </c>
      <c r="U105" s="290">
        <f t="shared" si="68"/>
        <v>42.397760063770392</v>
      </c>
      <c r="V105" s="290">
        <f t="shared" si="68"/>
        <v>2.0345062311989568</v>
      </c>
      <c r="W105" s="290">
        <f t="shared" si="68"/>
        <v>9.5730909090908565</v>
      </c>
      <c r="X105" s="290">
        <f t="shared" si="68"/>
        <v>-6.406120879120814</v>
      </c>
      <c r="Y105" s="290">
        <f t="shared" si="68"/>
        <v>-1.1171969340660033</v>
      </c>
      <c r="Z105" s="290">
        <f t="shared" si="68"/>
        <v>55.494179760341979</v>
      </c>
      <c r="AA105" s="290">
        <f t="shared" si="68"/>
        <v>-8.4010576591510766</v>
      </c>
      <c r="AB105" s="290">
        <f t="shared" si="68"/>
        <v>-46.894706341880294</v>
      </c>
      <c r="AC105" s="252">
        <f t="shared" si="68"/>
        <v>6.322628416969704</v>
      </c>
      <c r="AD105" s="252">
        <f t="shared" si="68"/>
        <v>0.4060830143243207</v>
      </c>
      <c r="AE105" s="252">
        <f t="shared" si="68"/>
        <v>2.8843430231472693</v>
      </c>
    </row>
    <row r="106" spans="1:31">
      <c r="A106" s="240" t="s">
        <v>237</v>
      </c>
      <c r="B106" s="290">
        <f t="shared" si="67"/>
        <v>49.166666666666657</v>
      </c>
      <c r="C106" s="290">
        <f t="shared" si="68"/>
        <v>39.713437711886954</v>
      </c>
      <c r="D106" s="290">
        <f t="shared" si="68"/>
        <v>50.753400800121433</v>
      </c>
      <c r="E106" s="290">
        <f t="shared" si="68"/>
        <v>45.958905429368102</v>
      </c>
      <c r="F106" s="290">
        <f t="shared" si="68"/>
        <v>38.238323309150203</v>
      </c>
      <c r="G106" s="290">
        <f t="shared" si="68"/>
        <v>88.732234714003951</v>
      </c>
      <c r="H106" s="290">
        <f t="shared" si="68"/>
        <v>11.452242895927609</v>
      </c>
      <c r="I106" s="290">
        <f t="shared" si="68"/>
        <v>33.960644482151835</v>
      </c>
      <c r="J106" s="290">
        <f t="shared" si="68"/>
        <v>51.516366612111291</v>
      </c>
      <c r="K106" s="290">
        <f t="shared" si="68"/>
        <v>39.219571283979171</v>
      </c>
      <c r="L106" s="290">
        <f t="shared" si="68"/>
        <v>51.489817745803336</v>
      </c>
      <c r="M106" s="290">
        <f t="shared" si="68"/>
        <v>60.57140583056718</v>
      </c>
      <c r="N106" s="290">
        <f t="shared" si="68"/>
        <v>70.946500070313576</v>
      </c>
      <c r="O106" s="290">
        <f t="shared" si="68"/>
        <v>45.062054938271594</v>
      </c>
      <c r="P106" s="290">
        <f t="shared" si="68"/>
        <v>55.788718419675561</v>
      </c>
      <c r="Q106" s="290">
        <f t="shared" si="68"/>
        <v>66.549595155943479</v>
      </c>
      <c r="R106" s="290">
        <f t="shared" si="68"/>
        <v>15.579529595015618</v>
      </c>
      <c r="S106" s="290">
        <f t="shared" si="68"/>
        <v>15.54198879010438</v>
      </c>
      <c r="T106" s="290">
        <f t="shared" si="68"/>
        <v>61.453230769230721</v>
      </c>
      <c r="U106" s="290">
        <f t="shared" si="68"/>
        <v>33.445293742526935</v>
      </c>
      <c r="V106" s="290">
        <f t="shared" si="68"/>
        <v>21.292562097120793</v>
      </c>
      <c r="W106" s="290">
        <f t="shared" si="68"/>
        <v>66.286181818181745</v>
      </c>
      <c r="X106" s="290">
        <f t="shared" si="68"/>
        <v>16.689164835164856</v>
      </c>
      <c r="Y106" s="290">
        <f t="shared" si="68"/>
        <v>45.085281494505388</v>
      </c>
      <c r="Z106" s="290">
        <f t="shared" si="68"/>
        <v>14.969823693675337</v>
      </c>
      <c r="AA106" s="290">
        <f t="shared" si="68"/>
        <v>-40.636461107427031</v>
      </c>
      <c r="AB106" s="290">
        <f t="shared" si="68"/>
        <v>108.52435770256416</v>
      </c>
      <c r="AC106" s="252">
        <f t="shared" si="68"/>
        <v>13.25098515317837</v>
      </c>
      <c r="AD106" s="252">
        <f t="shared" si="68"/>
        <v>18.842023173060735</v>
      </c>
      <c r="AE106" s="252">
        <f t="shared" si="68"/>
        <v>22.149235208591762</v>
      </c>
    </row>
    <row r="107" spans="1:31">
      <c r="A107" s="240" t="s">
        <v>238</v>
      </c>
      <c r="B107" s="290">
        <f t="shared" si="67"/>
        <v>49.166666666666657</v>
      </c>
      <c r="C107" s="290">
        <f t="shared" si="68"/>
        <v>42.79122235489865</v>
      </c>
      <c r="D107" s="290">
        <f t="shared" si="68"/>
        <v>50.18315723303111</v>
      </c>
      <c r="E107" s="290">
        <f t="shared" si="68"/>
        <v>45.019353480189757</v>
      </c>
      <c r="F107" s="290">
        <f t="shared" si="68"/>
        <v>39.619292882247073</v>
      </c>
      <c r="G107" s="290">
        <f t="shared" si="68"/>
        <v>80.97844378698224</v>
      </c>
      <c r="H107" s="290">
        <f t="shared" si="68"/>
        <v>72.334659909502165</v>
      </c>
      <c r="I107" s="290">
        <f t="shared" si="68"/>
        <v>49.346366578682819</v>
      </c>
      <c r="J107" s="290">
        <f t="shared" si="68"/>
        <v>49.670371522094946</v>
      </c>
      <c r="K107" s="290">
        <f t="shared" si="68"/>
        <v>52.19720271833431</v>
      </c>
      <c r="L107" s="290">
        <f t="shared" si="68"/>
        <v>58.245220623501176</v>
      </c>
      <c r="M107" s="290">
        <f t="shared" si="68"/>
        <v>56.760183143310691</v>
      </c>
      <c r="N107" s="290">
        <f t="shared" si="68"/>
        <v>70.034301785965397</v>
      </c>
      <c r="O107" s="290">
        <f t="shared" si="68"/>
        <v>91.226082716049348</v>
      </c>
      <c r="P107" s="290">
        <f t="shared" si="68"/>
        <v>25.996234118262624</v>
      </c>
      <c r="Q107" s="290">
        <f t="shared" si="68"/>
        <v>58.83378837697051</v>
      </c>
      <c r="R107" s="290">
        <f t="shared" si="68"/>
        <v>22.541193146417278</v>
      </c>
      <c r="S107" s="290">
        <f t="shared" si="68"/>
        <v>32.117344414379701</v>
      </c>
      <c r="T107" s="290">
        <f t="shared" si="68"/>
        <v>21.515794871795038</v>
      </c>
      <c r="U107" s="290">
        <f t="shared" si="68"/>
        <v>63.620805101634183</v>
      </c>
      <c r="V107" s="290">
        <f t="shared" si="68"/>
        <v>58.661425870219098</v>
      </c>
      <c r="W107" s="290">
        <f t="shared" si="68"/>
        <v>68.879669421487947</v>
      </c>
      <c r="X107" s="290">
        <f t="shared" si="68"/>
        <v>33.33461538461529</v>
      </c>
      <c r="Y107" s="290">
        <f t="shared" si="68"/>
        <v>9.9737915604399152</v>
      </c>
      <c r="Z107" s="290">
        <f t="shared" si="68"/>
        <v>74.677738636239013</v>
      </c>
      <c r="AA107" s="290">
        <f t="shared" si="68"/>
        <v>115.02905580238696</v>
      </c>
      <c r="AB107" s="290">
        <f t="shared" si="68"/>
        <v>223.25766238290564</v>
      </c>
      <c r="AC107" s="252">
        <f t="shared" si="68"/>
        <v>-194.74859297459284</v>
      </c>
      <c r="AD107" s="252">
        <f t="shared" si="68"/>
        <v>63.326201123250065</v>
      </c>
      <c r="AE107" s="252">
        <f t="shared" si="68"/>
        <v>33.877687063345796</v>
      </c>
    </row>
    <row r="108" spans="1:31" ht="15.75" thickBot="1">
      <c r="A108" s="240" t="s">
        <v>242</v>
      </c>
      <c r="B108" s="290">
        <f>SUM(B96:B107)</f>
        <v>589.99999999999977</v>
      </c>
      <c r="C108" s="290">
        <f t="shared" ref="C108:AB108" si="69">SUM(C96:C107)</f>
        <v>500</v>
      </c>
      <c r="D108" s="290">
        <f t="shared" si="69"/>
        <v>585.00000000000011</v>
      </c>
      <c r="E108" s="290">
        <f t="shared" si="69"/>
        <v>545.00000000000011</v>
      </c>
      <c r="F108" s="290">
        <f t="shared" si="69"/>
        <v>469.99999999999994</v>
      </c>
      <c r="G108" s="290">
        <f t="shared" si="69"/>
        <v>490.10679487179493</v>
      </c>
      <c r="H108" s="290">
        <f t="shared" si="69"/>
        <v>538.60255999999993</v>
      </c>
      <c r="I108" s="290">
        <f t="shared" si="69"/>
        <v>514.77910539215691</v>
      </c>
      <c r="J108" s="290">
        <f t="shared" si="69"/>
        <v>593.53623404255313</v>
      </c>
      <c r="K108" s="290">
        <f t="shared" si="69"/>
        <v>673.80709398496242</v>
      </c>
      <c r="L108" s="290">
        <f t="shared" si="69"/>
        <v>742.32696043165447</v>
      </c>
      <c r="M108" s="290">
        <f t="shared" si="69"/>
        <v>711.7190037523452</v>
      </c>
      <c r="N108" s="290">
        <f t="shared" si="69"/>
        <v>738.86348994515515</v>
      </c>
      <c r="O108" s="290">
        <f t="shared" si="69"/>
        <v>724.0081722222219</v>
      </c>
      <c r="P108" s="290">
        <f t="shared" si="69"/>
        <v>663.09484693877539</v>
      </c>
      <c r="Q108" s="290">
        <f t="shared" si="69"/>
        <v>506.05473878627987</v>
      </c>
      <c r="R108" s="290">
        <f t="shared" si="69"/>
        <v>429.29936448598136</v>
      </c>
      <c r="S108" s="290">
        <f t="shared" si="69"/>
        <v>264.96404522613068</v>
      </c>
      <c r="T108" s="290">
        <f t="shared" si="69"/>
        <v>260.41600000000011</v>
      </c>
      <c r="U108" s="290">
        <f t="shared" si="69"/>
        <v>258.71250777202067</v>
      </c>
      <c r="V108" s="290">
        <f t="shared" si="69"/>
        <v>238.11567597765372</v>
      </c>
      <c r="W108" s="290">
        <f t="shared" si="69"/>
        <v>155.76664462809845</v>
      </c>
      <c r="X108" s="290">
        <f t="shared" si="69"/>
        <v>134.50242857142871</v>
      </c>
      <c r="Y108" s="290">
        <f t="shared" si="69"/>
        <v>134.08632257142784</v>
      </c>
      <c r="Z108" s="290">
        <f t="shared" si="69"/>
        <v>118.85938197333368</v>
      </c>
      <c r="AA108" s="290">
        <f t="shared" si="69"/>
        <v>75.862366810344682</v>
      </c>
      <c r="AB108" s="290">
        <f t="shared" si="69"/>
        <v>73.652982755555541</v>
      </c>
      <c r="AC108" s="253">
        <f>SUM(AC96:AC107)</f>
        <v>80</v>
      </c>
      <c r="AD108" s="253">
        <f t="shared" ref="AD108:AE108" si="70">SUM(AD96:AD107)</f>
        <v>80.952380952380949</v>
      </c>
      <c r="AE108" s="253">
        <f t="shared" si="70"/>
        <v>87.647905389787994</v>
      </c>
    </row>
    <row r="109" spans="1:31">
      <c r="A109" s="248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48"/>
      <c r="AA109" s="248"/>
      <c r="AB109" s="248"/>
      <c r="AC109" s="254"/>
      <c r="AD109" s="254"/>
      <c r="AE109" s="254"/>
    </row>
    <row r="110" spans="1:31" ht="15.75" thickBot="1">
      <c r="A110" s="235" t="s">
        <v>254</v>
      </c>
    </row>
    <row r="111" spans="1:31" ht="15.75" thickBot="1">
      <c r="A111" s="236"/>
      <c r="B111" s="237" t="str">
        <f>B$2</f>
        <v xml:space="preserve">93/94 </v>
      </c>
      <c r="C111" s="237" t="str">
        <f t="shared" ref="C111:AE111" si="71">C$2</f>
        <v xml:space="preserve">94/95 </v>
      </c>
      <c r="D111" s="237" t="str">
        <f t="shared" si="71"/>
        <v xml:space="preserve">95/96 </v>
      </c>
      <c r="E111" s="237" t="str">
        <f t="shared" si="71"/>
        <v xml:space="preserve">96/97 </v>
      </c>
      <c r="F111" s="237" t="str">
        <f t="shared" si="71"/>
        <v xml:space="preserve">97/98 </v>
      </c>
      <c r="G111" s="237" t="str">
        <f t="shared" si="71"/>
        <v xml:space="preserve">98/99 </v>
      </c>
      <c r="H111" s="237" t="str">
        <f t="shared" si="71"/>
        <v xml:space="preserve">99/00 </v>
      </c>
      <c r="I111" s="237" t="str">
        <f t="shared" si="71"/>
        <v xml:space="preserve">00/01 </v>
      </c>
      <c r="J111" s="237" t="str">
        <f t="shared" si="71"/>
        <v xml:space="preserve">01/02 </v>
      </c>
      <c r="K111" s="237" t="str">
        <f t="shared" si="71"/>
        <v xml:space="preserve">02/03 </v>
      </c>
      <c r="L111" s="237" t="str">
        <f t="shared" si="71"/>
        <v xml:space="preserve">03/04 </v>
      </c>
      <c r="M111" s="237" t="str">
        <f t="shared" si="71"/>
        <v xml:space="preserve">04/05 </v>
      </c>
      <c r="N111" s="237" t="str">
        <f t="shared" si="71"/>
        <v xml:space="preserve">05/06 </v>
      </c>
      <c r="O111" s="237" t="str">
        <f t="shared" si="71"/>
        <v xml:space="preserve">06/07 </v>
      </c>
      <c r="P111" s="237" t="str">
        <f t="shared" si="71"/>
        <v xml:space="preserve">07/08 </v>
      </c>
      <c r="Q111" s="237" t="str">
        <f t="shared" si="71"/>
        <v xml:space="preserve">08/09 </v>
      </c>
      <c r="R111" s="237" t="str">
        <f t="shared" si="71"/>
        <v xml:space="preserve">09/10 </v>
      </c>
      <c r="S111" s="237" t="str">
        <f t="shared" si="71"/>
        <v xml:space="preserve">10/11 </v>
      </c>
      <c r="T111" s="237" t="str">
        <f t="shared" si="71"/>
        <v xml:space="preserve">11/12 </v>
      </c>
      <c r="U111" s="237" t="str">
        <f t="shared" si="71"/>
        <v xml:space="preserve">12/13 </v>
      </c>
      <c r="V111" s="237" t="str">
        <f t="shared" si="71"/>
        <v xml:space="preserve">13/14 </v>
      </c>
      <c r="W111" s="237" t="str">
        <f t="shared" si="71"/>
        <v xml:space="preserve">14/15 </v>
      </c>
      <c r="X111" s="237" t="str">
        <f t="shared" si="71"/>
        <v xml:space="preserve">15/16 </v>
      </c>
      <c r="Y111" s="237" t="str">
        <f t="shared" si="71"/>
        <v xml:space="preserve">16/17 </v>
      </c>
      <c r="Z111" s="237" t="str">
        <f t="shared" si="71"/>
        <v xml:space="preserve">17/18 </v>
      </c>
      <c r="AA111" s="237" t="str">
        <f t="shared" si="71"/>
        <v xml:space="preserve">18/19 </v>
      </c>
      <c r="AB111" s="237" t="str">
        <f t="shared" si="71"/>
        <v xml:space="preserve">19/20 </v>
      </c>
      <c r="AC111" s="237" t="str">
        <f t="shared" si="71"/>
        <v xml:space="preserve">20/21 </v>
      </c>
      <c r="AD111" s="237" t="str">
        <f t="shared" si="71"/>
        <v xml:space="preserve">21/22 </v>
      </c>
      <c r="AE111" s="237" t="str">
        <f t="shared" si="71"/>
        <v xml:space="preserve">22/23 </v>
      </c>
    </row>
    <row r="112" spans="1:31">
      <c r="A112" s="240" t="s">
        <v>239</v>
      </c>
      <c r="B112" s="298">
        <f t="shared" ref="B112:AE120" si="72">B96/B80</f>
        <v>0.45038167938931295</v>
      </c>
      <c r="C112" s="298">
        <f t="shared" si="72"/>
        <v>0.44642857142857145</v>
      </c>
      <c r="D112" s="298">
        <f t="shared" si="72"/>
        <v>0.45</v>
      </c>
      <c r="E112" s="298">
        <f t="shared" si="72"/>
        <v>0.44855967078189307</v>
      </c>
      <c r="F112" s="298">
        <f t="shared" si="72"/>
        <v>0.44761904761904769</v>
      </c>
      <c r="G112" s="298">
        <f t="shared" si="72"/>
        <v>0.44545454545454538</v>
      </c>
      <c r="H112" s="298">
        <f t="shared" si="72"/>
        <v>0.44833333333333331</v>
      </c>
      <c r="I112" s="298">
        <f t="shared" si="72"/>
        <v>0.44782608695652176</v>
      </c>
      <c r="J112" s="298">
        <f t="shared" si="72"/>
        <v>0.44528301886792454</v>
      </c>
      <c r="K112" s="298">
        <f t="shared" si="72"/>
        <v>0.44866666666666666</v>
      </c>
      <c r="L112" s="298">
        <f t="shared" si="72"/>
        <v>0.48181818181818181</v>
      </c>
      <c r="M112" s="298">
        <f t="shared" si="72"/>
        <v>0.48170731707317072</v>
      </c>
      <c r="N112" s="298">
        <f t="shared" si="72"/>
        <v>0.48118811881188123</v>
      </c>
      <c r="O112" s="298">
        <f t="shared" si="72"/>
        <v>0.4816299265197061</v>
      </c>
      <c r="P112" s="298">
        <f t="shared" si="72"/>
        <v>0.48120854826823878</v>
      </c>
      <c r="Q112" s="298">
        <f t="shared" si="72"/>
        <v>0.48190476190476189</v>
      </c>
      <c r="R112" s="298">
        <f t="shared" si="72"/>
        <v>0.48202247191011238</v>
      </c>
      <c r="S112" s="298">
        <f t="shared" si="72"/>
        <v>0.48181818181818181</v>
      </c>
      <c r="T112" s="298">
        <f t="shared" si="72"/>
        <v>0.48148148148148145</v>
      </c>
      <c r="U112" s="298">
        <f t="shared" si="72"/>
        <v>0.48224299065420567</v>
      </c>
      <c r="V112" s="298">
        <f t="shared" si="72"/>
        <v>0.4808080808080808</v>
      </c>
      <c r="W112" s="298">
        <f t="shared" si="72"/>
        <v>0.48297213622291024</v>
      </c>
      <c r="X112" s="298">
        <f t="shared" si="72"/>
        <v>0.48214285714285715</v>
      </c>
      <c r="Y112" s="298">
        <f t="shared" si="72"/>
        <v>0.48214285714285715</v>
      </c>
      <c r="Z112" s="298">
        <f t="shared" si="72"/>
        <v>0.48499999999999999</v>
      </c>
      <c r="AA112" s="298">
        <f t="shared" si="72"/>
        <v>0.4838709677419355</v>
      </c>
      <c r="AB112" s="298">
        <f t="shared" si="72"/>
        <v>0.6166666666666667</v>
      </c>
      <c r="AC112" s="298">
        <f t="shared" si="72"/>
        <v>0.48484848484848486</v>
      </c>
      <c r="AD112" s="259">
        <f t="shared" si="72"/>
        <v>0.47619047619047616</v>
      </c>
      <c r="AE112" s="259">
        <f t="shared" si="72"/>
        <v>0.50084517365593129</v>
      </c>
    </row>
    <row r="113" spans="1:31">
      <c r="A113" s="240" t="s">
        <v>240</v>
      </c>
      <c r="B113" s="298">
        <f t="shared" si="72"/>
        <v>0.45038167938931295</v>
      </c>
      <c r="C113" s="298">
        <f t="shared" si="72"/>
        <v>0.44642857142857145</v>
      </c>
      <c r="D113" s="298">
        <f t="shared" si="72"/>
        <v>0.45</v>
      </c>
      <c r="E113" s="298">
        <f t="shared" si="72"/>
        <v>0.44855967078189307</v>
      </c>
      <c r="F113" s="298">
        <f t="shared" si="72"/>
        <v>0.44761904761904764</v>
      </c>
      <c r="G113" s="298">
        <f t="shared" si="72"/>
        <v>0.44545454545454538</v>
      </c>
      <c r="H113" s="298">
        <f t="shared" si="72"/>
        <v>0.44833333333333331</v>
      </c>
      <c r="I113" s="298">
        <f t="shared" si="72"/>
        <v>0.44782608695652176</v>
      </c>
      <c r="J113" s="298">
        <f t="shared" si="72"/>
        <v>0.44528301886792454</v>
      </c>
      <c r="K113" s="298">
        <f t="shared" si="72"/>
        <v>0.44866666666666666</v>
      </c>
      <c r="L113" s="298">
        <f t="shared" si="72"/>
        <v>0.48181818181818181</v>
      </c>
      <c r="M113" s="298">
        <f t="shared" si="72"/>
        <v>0.48170731707317072</v>
      </c>
      <c r="N113" s="298">
        <f t="shared" si="72"/>
        <v>0.48118811881188117</v>
      </c>
      <c r="O113" s="298">
        <f t="shared" si="72"/>
        <v>0.48162992651970604</v>
      </c>
      <c r="P113" s="298">
        <f t="shared" si="72"/>
        <v>0.48120854826823878</v>
      </c>
      <c r="Q113" s="298">
        <f t="shared" si="72"/>
        <v>0.48190476190476189</v>
      </c>
      <c r="R113" s="298">
        <f t="shared" si="72"/>
        <v>0.48202247191011238</v>
      </c>
      <c r="S113" s="298">
        <f t="shared" si="72"/>
        <v>0.48181818181818187</v>
      </c>
      <c r="T113" s="298">
        <f t="shared" si="72"/>
        <v>0.4814814814814814</v>
      </c>
      <c r="U113" s="298">
        <f t="shared" si="72"/>
        <v>0.48224299065420562</v>
      </c>
      <c r="V113" s="298">
        <f t="shared" si="72"/>
        <v>0.4808080808080808</v>
      </c>
      <c r="W113" s="298">
        <f t="shared" si="72"/>
        <v>0.4829721362229103</v>
      </c>
      <c r="X113" s="298">
        <f t="shared" si="72"/>
        <v>0.48214285714285715</v>
      </c>
      <c r="Y113" s="298">
        <f t="shared" si="72"/>
        <v>0.48214285714285715</v>
      </c>
      <c r="Z113" s="298">
        <f t="shared" si="72"/>
        <v>0.48499999999999999</v>
      </c>
      <c r="AA113" s="298">
        <f t="shared" si="72"/>
        <v>0.4838709677419355</v>
      </c>
      <c r="AB113" s="298">
        <f t="shared" si="72"/>
        <v>0.6166666666666667</v>
      </c>
      <c r="AC113" s="298">
        <f t="shared" si="72"/>
        <v>0.48484848484848492</v>
      </c>
      <c r="AD113" s="259">
        <f t="shared" si="72"/>
        <v>0.47619047619047616</v>
      </c>
      <c r="AE113" s="259">
        <f t="shared" si="72"/>
        <v>0.50084517365593129</v>
      </c>
    </row>
    <row r="114" spans="1:31">
      <c r="A114" s="240" t="s">
        <v>241</v>
      </c>
      <c r="B114" s="298">
        <f t="shared" si="72"/>
        <v>0.45038167938931295</v>
      </c>
      <c r="C114" s="298">
        <f t="shared" si="72"/>
        <v>0.44642857142857145</v>
      </c>
      <c r="D114" s="298">
        <f t="shared" si="72"/>
        <v>0.45</v>
      </c>
      <c r="E114" s="298">
        <f t="shared" si="72"/>
        <v>0.44855967078189302</v>
      </c>
      <c r="F114" s="298">
        <f t="shared" si="72"/>
        <v>0.44761904761904764</v>
      </c>
      <c r="G114" s="298">
        <f t="shared" si="72"/>
        <v>0.44545454545454538</v>
      </c>
      <c r="H114" s="298">
        <f t="shared" si="72"/>
        <v>0.44833333333333325</v>
      </c>
      <c r="I114" s="298">
        <f t="shared" si="72"/>
        <v>0.44782608695652176</v>
      </c>
      <c r="J114" s="298">
        <f t="shared" si="72"/>
        <v>0.44528301886792454</v>
      </c>
      <c r="K114" s="298">
        <f t="shared" si="72"/>
        <v>0.44866666666666666</v>
      </c>
      <c r="L114" s="298">
        <f t="shared" si="72"/>
        <v>0.48181818181818181</v>
      </c>
      <c r="M114" s="298">
        <f t="shared" si="72"/>
        <v>0.48170731707317072</v>
      </c>
      <c r="N114" s="298">
        <f t="shared" si="72"/>
        <v>0.48118811881188117</v>
      </c>
      <c r="O114" s="298">
        <f t="shared" si="72"/>
        <v>0.4816299265197061</v>
      </c>
      <c r="P114" s="298">
        <f t="shared" si="72"/>
        <v>0.48120854826823878</v>
      </c>
      <c r="Q114" s="298">
        <f t="shared" si="72"/>
        <v>0.48190476190476189</v>
      </c>
      <c r="R114" s="298">
        <f t="shared" si="72"/>
        <v>0.48202247191011238</v>
      </c>
      <c r="S114" s="298">
        <f t="shared" si="72"/>
        <v>0.48181818181818181</v>
      </c>
      <c r="T114" s="298">
        <f t="shared" si="72"/>
        <v>0.48148148148148145</v>
      </c>
      <c r="U114" s="298">
        <f t="shared" si="72"/>
        <v>0.48224299065420567</v>
      </c>
      <c r="V114" s="298">
        <f t="shared" si="72"/>
        <v>0.4808080808080808</v>
      </c>
      <c r="W114" s="298">
        <f t="shared" si="72"/>
        <v>0.48297213622291024</v>
      </c>
      <c r="X114" s="298">
        <f t="shared" si="72"/>
        <v>0.48214285714285715</v>
      </c>
      <c r="Y114" s="298">
        <f t="shared" si="72"/>
        <v>0.48214285714285715</v>
      </c>
      <c r="Z114" s="298">
        <f t="shared" si="72"/>
        <v>0.48499999999999999</v>
      </c>
      <c r="AA114" s="298">
        <f t="shared" si="72"/>
        <v>0.4838709677419355</v>
      </c>
      <c r="AB114" s="298">
        <f t="shared" si="72"/>
        <v>0.6166666666666667</v>
      </c>
      <c r="AC114" s="298">
        <f t="shared" si="72"/>
        <v>0.48484848484848486</v>
      </c>
      <c r="AD114" s="259">
        <f t="shared" si="72"/>
        <v>0.47619047619047616</v>
      </c>
      <c r="AE114" s="259">
        <f t="shared" si="72"/>
        <v>0.50084517365593129</v>
      </c>
    </row>
    <row r="115" spans="1:31">
      <c r="A115" s="240" t="s">
        <v>231</v>
      </c>
      <c r="B115" s="298">
        <f t="shared" si="72"/>
        <v>0.45038167938931295</v>
      </c>
      <c r="C115" s="298">
        <f t="shared" si="72"/>
        <v>0.44642857142857145</v>
      </c>
      <c r="D115" s="298">
        <f t="shared" si="72"/>
        <v>0.45</v>
      </c>
      <c r="E115" s="298">
        <f t="shared" si="72"/>
        <v>0.44855967078189296</v>
      </c>
      <c r="F115" s="298">
        <f t="shared" si="72"/>
        <v>0.44761904761904764</v>
      </c>
      <c r="G115" s="298">
        <f t="shared" si="72"/>
        <v>0.44545454545454538</v>
      </c>
      <c r="H115" s="298">
        <f t="shared" si="72"/>
        <v>0.44833333333333331</v>
      </c>
      <c r="I115" s="298">
        <f t="shared" si="72"/>
        <v>0.44782608695652176</v>
      </c>
      <c r="J115" s="298">
        <f t="shared" si="72"/>
        <v>0.44528301886792454</v>
      </c>
      <c r="K115" s="298">
        <f t="shared" si="72"/>
        <v>0.44866666666666666</v>
      </c>
      <c r="L115" s="298">
        <f t="shared" si="72"/>
        <v>0.48181818181818181</v>
      </c>
      <c r="M115" s="298">
        <f t="shared" si="72"/>
        <v>0.48170731707317072</v>
      </c>
      <c r="N115" s="298">
        <f t="shared" si="72"/>
        <v>0.48118811881188117</v>
      </c>
      <c r="O115" s="298">
        <f t="shared" si="72"/>
        <v>0.4816299265197061</v>
      </c>
      <c r="P115" s="298">
        <f t="shared" si="72"/>
        <v>0.48120854826823878</v>
      </c>
      <c r="Q115" s="298">
        <f t="shared" si="72"/>
        <v>0.48190476190476189</v>
      </c>
      <c r="R115" s="298">
        <f t="shared" si="72"/>
        <v>0.48202247191011238</v>
      </c>
      <c r="S115" s="298">
        <f t="shared" si="72"/>
        <v>0.48181818181818187</v>
      </c>
      <c r="T115" s="298">
        <f t="shared" si="72"/>
        <v>0.48148148148148145</v>
      </c>
      <c r="U115" s="298">
        <f t="shared" si="72"/>
        <v>0.48224299065420562</v>
      </c>
      <c r="V115" s="298">
        <f t="shared" si="72"/>
        <v>0.48080808080808085</v>
      </c>
      <c r="W115" s="298">
        <f t="shared" si="72"/>
        <v>0.48297213622291024</v>
      </c>
      <c r="X115" s="298">
        <f t="shared" si="72"/>
        <v>0.48214285714285715</v>
      </c>
      <c r="Y115" s="298">
        <f t="shared" si="72"/>
        <v>0.48214285714285715</v>
      </c>
      <c r="Z115" s="298">
        <f t="shared" si="72"/>
        <v>0.48499999999999999</v>
      </c>
      <c r="AA115" s="298">
        <f t="shared" si="72"/>
        <v>0.48387096774193555</v>
      </c>
      <c r="AB115" s="298">
        <f t="shared" si="72"/>
        <v>0.6166666666666667</v>
      </c>
      <c r="AC115" s="298">
        <f t="shared" si="72"/>
        <v>0.48484848484848486</v>
      </c>
      <c r="AD115" s="259">
        <f t="shared" si="72"/>
        <v>0.47619047619047616</v>
      </c>
      <c r="AE115" s="259">
        <f t="shared" si="72"/>
        <v>0.50084517365593129</v>
      </c>
    </row>
    <row r="116" spans="1:31">
      <c r="A116" s="240" t="s">
        <v>232</v>
      </c>
      <c r="B116" s="298">
        <f t="shared" si="72"/>
        <v>0.45038167938931295</v>
      </c>
      <c r="C116" s="298">
        <f t="shared" si="72"/>
        <v>0.4464285714285714</v>
      </c>
      <c r="D116" s="298">
        <f t="shared" si="72"/>
        <v>0.45</v>
      </c>
      <c r="E116" s="298">
        <f t="shared" si="72"/>
        <v>0.44855967078189302</v>
      </c>
      <c r="F116" s="298">
        <f t="shared" si="72"/>
        <v>0.44761904761904764</v>
      </c>
      <c r="G116" s="298">
        <f t="shared" si="72"/>
        <v>0.44545454545454544</v>
      </c>
      <c r="H116" s="298">
        <f t="shared" si="72"/>
        <v>0.44833333333333331</v>
      </c>
      <c r="I116" s="298">
        <f t="shared" si="72"/>
        <v>0.44782608695652176</v>
      </c>
      <c r="J116" s="298">
        <f t="shared" si="72"/>
        <v>0.44528301886792454</v>
      </c>
      <c r="K116" s="298">
        <f t="shared" si="72"/>
        <v>0.44866666666666666</v>
      </c>
      <c r="L116" s="298">
        <f t="shared" si="72"/>
        <v>0.48181818181818181</v>
      </c>
      <c r="M116" s="298">
        <f t="shared" si="72"/>
        <v>0.48170731707317072</v>
      </c>
      <c r="N116" s="298">
        <f t="shared" si="72"/>
        <v>0.48118811881188117</v>
      </c>
      <c r="O116" s="298">
        <f t="shared" si="72"/>
        <v>0.4816299265197061</v>
      </c>
      <c r="P116" s="298">
        <f t="shared" si="72"/>
        <v>0.48120854826823878</v>
      </c>
      <c r="Q116" s="298">
        <f t="shared" si="72"/>
        <v>0.48190476190476195</v>
      </c>
      <c r="R116" s="298">
        <f t="shared" si="72"/>
        <v>0.48202247191011238</v>
      </c>
      <c r="S116" s="298">
        <f t="shared" si="72"/>
        <v>0.48181818181818181</v>
      </c>
      <c r="T116" s="298">
        <f t="shared" si="72"/>
        <v>0.48148148148148145</v>
      </c>
      <c r="U116" s="298">
        <f t="shared" si="72"/>
        <v>0.48224299065420562</v>
      </c>
      <c r="V116" s="298">
        <f t="shared" si="72"/>
        <v>0.48080808080808074</v>
      </c>
      <c r="W116" s="298">
        <f t="shared" si="72"/>
        <v>0.48297213622291019</v>
      </c>
      <c r="X116" s="298">
        <f t="shared" si="72"/>
        <v>0.48214285714285721</v>
      </c>
      <c r="Y116" s="298">
        <f t="shared" si="72"/>
        <v>0.48214285714285715</v>
      </c>
      <c r="Z116" s="298">
        <f t="shared" si="72"/>
        <v>0.48499999999999999</v>
      </c>
      <c r="AA116" s="298">
        <f t="shared" si="72"/>
        <v>0.4838709677419355</v>
      </c>
      <c r="AB116" s="298">
        <f t="shared" si="72"/>
        <v>0.6166666666666667</v>
      </c>
      <c r="AC116" s="298">
        <f t="shared" si="72"/>
        <v>0.48484848484848486</v>
      </c>
      <c r="AD116" s="259">
        <f t="shared" si="72"/>
        <v>0.47619047619047616</v>
      </c>
      <c r="AE116" s="259">
        <f t="shared" si="72"/>
        <v>0.50084517365593129</v>
      </c>
    </row>
    <row r="117" spans="1:31">
      <c r="A117" s="240" t="s">
        <v>233</v>
      </c>
      <c r="B117" s="298">
        <f t="shared" si="72"/>
        <v>0.45038167938931295</v>
      </c>
      <c r="C117" s="298">
        <f t="shared" si="72"/>
        <v>0.4464285714285714</v>
      </c>
      <c r="D117" s="298">
        <f t="shared" si="72"/>
        <v>0.45</v>
      </c>
      <c r="E117" s="298">
        <f t="shared" si="72"/>
        <v>0.44855967078189302</v>
      </c>
      <c r="F117" s="298">
        <f t="shared" si="72"/>
        <v>0.44761904761904769</v>
      </c>
      <c r="G117" s="298">
        <f t="shared" si="72"/>
        <v>0.44545454545454544</v>
      </c>
      <c r="H117" s="298">
        <f t="shared" si="72"/>
        <v>0.44833333333333325</v>
      </c>
      <c r="I117" s="298">
        <f t="shared" si="72"/>
        <v>0.44782608695652176</v>
      </c>
      <c r="J117" s="298">
        <f t="shared" si="72"/>
        <v>0.44528301886792454</v>
      </c>
      <c r="K117" s="298">
        <f t="shared" si="72"/>
        <v>0.44866666666666666</v>
      </c>
      <c r="L117" s="298">
        <f t="shared" si="72"/>
        <v>0.48181818181818181</v>
      </c>
      <c r="M117" s="298">
        <f t="shared" si="72"/>
        <v>0.48170731707317072</v>
      </c>
      <c r="N117" s="298">
        <f t="shared" si="72"/>
        <v>0.48118811881188117</v>
      </c>
      <c r="O117" s="298">
        <f t="shared" si="72"/>
        <v>0.4816299265197061</v>
      </c>
      <c r="P117" s="298">
        <f t="shared" si="72"/>
        <v>0.48120854826823878</v>
      </c>
      <c r="Q117" s="298">
        <f t="shared" si="72"/>
        <v>0.48190476190476189</v>
      </c>
      <c r="R117" s="298">
        <f t="shared" si="72"/>
        <v>0.48202247191011233</v>
      </c>
      <c r="S117" s="298">
        <f t="shared" si="72"/>
        <v>0.48181818181818181</v>
      </c>
      <c r="T117" s="298">
        <f t="shared" si="72"/>
        <v>0.48148148148148145</v>
      </c>
      <c r="U117" s="298">
        <f t="shared" si="72"/>
        <v>0.48224299065420556</v>
      </c>
      <c r="V117" s="298">
        <f t="shared" si="72"/>
        <v>0.4808080808080808</v>
      </c>
      <c r="W117" s="298">
        <f t="shared" si="72"/>
        <v>0.48297213622291019</v>
      </c>
      <c r="X117" s="298">
        <f t="shared" si="72"/>
        <v>0.48214285714285715</v>
      </c>
      <c r="Y117" s="298">
        <f t="shared" si="72"/>
        <v>0.48214285714285715</v>
      </c>
      <c r="Z117" s="298">
        <f t="shared" si="72"/>
        <v>0.48499999999999999</v>
      </c>
      <c r="AA117" s="298">
        <f t="shared" si="72"/>
        <v>0.4838709677419355</v>
      </c>
      <c r="AB117" s="298">
        <f t="shared" si="72"/>
        <v>0.6166666666666667</v>
      </c>
      <c r="AC117" s="298">
        <f t="shared" si="72"/>
        <v>0.48484848484848486</v>
      </c>
      <c r="AD117" s="259">
        <f t="shared" si="72"/>
        <v>0.47619047619047622</v>
      </c>
      <c r="AE117" s="259">
        <f t="shared" si="72"/>
        <v>0.50084517365593129</v>
      </c>
    </row>
    <row r="118" spans="1:31">
      <c r="A118" s="240" t="s">
        <v>234</v>
      </c>
      <c r="B118" s="298">
        <f t="shared" si="72"/>
        <v>0.45038167938931295</v>
      </c>
      <c r="C118" s="298">
        <f t="shared" si="72"/>
        <v>0.44642857142857151</v>
      </c>
      <c r="D118" s="298">
        <f t="shared" si="72"/>
        <v>0.45</v>
      </c>
      <c r="E118" s="298">
        <f t="shared" si="72"/>
        <v>0.44855967078189302</v>
      </c>
      <c r="F118" s="298">
        <f t="shared" si="72"/>
        <v>0.44761904761904764</v>
      </c>
      <c r="G118" s="298">
        <f t="shared" si="72"/>
        <v>0.44545454545454544</v>
      </c>
      <c r="H118" s="298">
        <f t="shared" si="72"/>
        <v>0.44833333333333331</v>
      </c>
      <c r="I118" s="298">
        <f t="shared" si="72"/>
        <v>0.44782608695652171</v>
      </c>
      <c r="J118" s="298">
        <f t="shared" si="72"/>
        <v>0.44528301886792454</v>
      </c>
      <c r="K118" s="298">
        <f t="shared" si="72"/>
        <v>0.44866666666666666</v>
      </c>
      <c r="L118" s="298">
        <f t="shared" si="72"/>
        <v>0.48181818181818181</v>
      </c>
      <c r="M118" s="298">
        <f t="shared" si="72"/>
        <v>0.48170731707317072</v>
      </c>
      <c r="N118" s="298">
        <f t="shared" si="72"/>
        <v>0.48118811881188117</v>
      </c>
      <c r="O118" s="298">
        <f t="shared" si="72"/>
        <v>0.48162992651970615</v>
      </c>
      <c r="P118" s="298">
        <f t="shared" si="72"/>
        <v>0.48120854826823878</v>
      </c>
      <c r="Q118" s="298">
        <f t="shared" si="72"/>
        <v>0.48190476190476184</v>
      </c>
      <c r="R118" s="298">
        <f t="shared" si="72"/>
        <v>0.48202247191011238</v>
      </c>
      <c r="S118" s="298">
        <f t="shared" si="72"/>
        <v>0.48181818181818181</v>
      </c>
      <c r="T118" s="298">
        <f t="shared" si="72"/>
        <v>0.48148148148148145</v>
      </c>
      <c r="U118" s="298">
        <f t="shared" si="72"/>
        <v>0.48224299065420562</v>
      </c>
      <c r="V118" s="298">
        <f t="shared" si="72"/>
        <v>0.4808080808080808</v>
      </c>
      <c r="W118" s="298">
        <f t="shared" si="72"/>
        <v>0.48297213622291024</v>
      </c>
      <c r="X118" s="298">
        <f t="shared" si="72"/>
        <v>0.4821428571428571</v>
      </c>
      <c r="Y118" s="298">
        <f t="shared" si="72"/>
        <v>0.48214285714285721</v>
      </c>
      <c r="Z118" s="298">
        <f t="shared" si="72"/>
        <v>0.48499999999999999</v>
      </c>
      <c r="AA118" s="298">
        <f t="shared" si="72"/>
        <v>0.4838709677419355</v>
      </c>
      <c r="AB118" s="298">
        <f t="shared" si="72"/>
        <v>0.6166666666666667</v>
      </c>
      <c r="AC118" s="259">
        <f t="shared" si="72"/>
        <v>0.48484848484848486</v>
      </c>
      <c r="AD118" s="259">
        <f t="shared" si="72"/>
        <v>0.47619047619047616</v>
      </c>
      <c r="AE118" s="259">
        <f t="shared" si="72"/>
        <v>0.50084517365593129</v>
      </c>
    </row>
    <row r="119" spans="1:31">
      <c r="A119" s="240" t="s">
        <v>46</v>
      </c>
      <c r="B119" s="298">
        <f t="shared" si="72"/>
        <v>0.45038167938931295</v>
      </c>
      <c r="C119" s="298">
        <f t="shared" si="72"/>
        <v>0.44642857142857145</v>
      </c>
      <c r="D119" s="298">
        <f t="shared" si="72"/>
        <v>0.45</v>
      </c>
      <c r="E119" s="298">
        <f t="shared" si="72"/>
        <v>0.44855967078189302</v>
      </c>
      <c r="F119" s="298">
        <f t="shared" si="72"/>
        <v>0.44761904761904764</v>
      </c>
      <c r="G119" s="298">
        <f t="shared" si="72"/>
        <v>0.44545454545454538</v>
      </c>
      <c r="H119" s="298">
        <f t="shared" si="72"/>
        <v>0.44833333333333331</v>
      </c>
      <c r="I119" s="298">
        <f t="shared" si="72"/>
        <v>0.44782608695652176</v>
      </c>
      <c r="J119" s="298">
        <f t="shared" si="72"/>
        <v>0.44528301886792454</v>
      </c>
      <c r="K119" s="298">
        <f t="shared" si="72"/>
        <v>0.44866666666666666</v>
      </c>
      <c r="L119" s="298">
        <f t="shared" si="72"/>
        <v>0.48181818181818181</v>
      </c>
      <c r="M119" s="298">
        <f t="shared" si="72"/>
        <v>0.48170731707317077</v>
      </c>
      <c r="N119" s="298">
        <f t="shared" si="72"/>
        <v>0.48118811881188112</v>
      </c>
      <c r="O119" s="298">
        <f t="shared" si="72"/>
        <v>0.48162992651970615</v>
      </c>
      <c r="P119" s="298">
        <f t="shared" si="72"/>
        <v>0.48120854826823878</v>
      </c>
      <c r="Q119" s="298">
        <f t="shared" si="72"/>
        <v>0.48190476190476184</v>
      </c>
      <c r="R119" s="298">
        <f t="shared" si="72"/>
        <v>0.48202247191011233</v>
      </c>
      <c r="S119" s="298">
        <f t="shared" si="72"/>
        <v>0.48181818181818181</v>
      </c>
      <c r="T119" s="298">
        <f t="shared" si="72"/>
        <v>0.48148148148148145</v>
      </c>
      <c r="U119" s="298">
        <f t="shared" si="72"/>
        <v>0.48224299065420562</v>
      </c>
      <c r="V119" s="298">
        <f t="shared" si="72"/>
        <v>0.48080808080808074</v>
      </c>
      <c r="W119" s="298">
        <f t="shared" si="72"/>
        <v>0.48297213622291019</v>
      </c>
      <c r="X119" s="298">
        <f t="shared" si="72"/>
        <v>0.48214285714285721</v>
      </c>
      <c r="Y119" s="298">
        <f t="shared" si="72"/>
        <v>0.4821428571428571</v>
      </c>
      <c r="Z119" s="298">
        <f t="shared" si="72"/>
        <v>0.48499999999999999</v>
      </c>
      <c r="AA119" s="298">
        <f t="shared" si="72"/>
        <v>0.48387096774193544</v>
      </c>
      <c r="AB119" s="298">
        <f t="shared" si="72"/>
        <v>0.6166666666666667</v>
      </c>
      <c r="AC119" s="259">
        <f t="shared" si="72"/>
        <v>0.48484848484848486</v>
      </c>
      <c r="AD119" s="259">
        <f t="shared" si="72"/>
        <v>0.47619047619047616</v>
      </c>
      <c r="AE119" s="259">
        <f t="shared" si="72"/>
        <v>0.50084517365593129</v>
      </c>
    </row>
    <row r="120" spans="1:31">
      <c r="A120" s="240" t="s">
        <v>235</v>
      </c>
      <c r="B120" s="298">
        <f t="shared" si="72"/>
        <v>0.45038167938931295</v>
      </c>
      <c r="C120" s="298">
        <f t="shared" si="72"/>
        <v>0.44642857142857145</v>
      </c>
      <c r="D120" s="298">
        <f t="shared" si="72"/>
        <v>0.45</v>
      </c>
      <c r="E120" s="298">
        <f t="shared" si="72"/>
        <v>0.44855967078189302</v>
      </c>
      <c r="F120" s="298">
        <f t="shared" si="72"/>
        <v>0.44761904761904769</v>
      </c>
      <c r="G120" s="298">
        <f t="shared" si="72"/>
        <v>0.44545454545454544</v>
      </c>
      <c r="H120" s="298">
        <f t="shared" si="72"/>
        <v>0.44833333333333331</v>
      </c>
      <c r="I120" s="298">
        <f t="shared" si="72"/>
        <v>0.44782608695652171</v>
      </c>
      <c r="J120" s="298">
        <f t="shared" si="72"/>
        <v>0.44528301886792454</v>
      </c>
      <c r="K120" s="298">
        <f t="shared" si="72"/>
        <v>0.44866666666666666</v>
      </c>
      <c r="L120" s="298">
        <f t="shared" si="72"/>
        <v>0.48181818181818181</v>
      </c>
      <c r="M120" s="298">
        <f t="shared" si="72"/>
        <v>0.48170731707317072</v>
      </c>
      <c r="N120" s="298">
        <f t="shared" si="72"/>
        <v>0.48118811881188117</v>
      </c>
      <c r="O120" s="298">
        <f t="shared" si="72"/>
        <v>0.4816299265197061</v>
      </c>
      <c r="P120" s="298">
        <f t="shared" si="72"/>
        <v>0.48120854826823878</v>
      </c>
      <c r="Q120" s="298">
        <f t="shared" ref="C120:AQ123" si="73">Q104/Q88</f>
        <v>0.48190476190476184</v>
      </c>
      <c r="R120" s="298">
        <f t="shared" si="73"/>
        <v>0.48202247191011238</v>
      </c>
      <c r="S120" s="298">
        <f t="shared" si="73"/>
        <v>0.48181818181818181</v>
      </c>
      <c r="T120" s="298">
        <f t="shared" si="73"/>
        <v>0.48148148148148145</v>
      </c>
      <c r="U120" s="298">
        <f t="shared" si="73"/>
        <v>0.48224299065420562</v>
      </c>
      <c r="V120" s="298">
        <f t="shared" si="73"/>
        <v>0.4808080808080808</v>
      </c>
      <c r="W120" s="298">
        <f t="shared" si="73"/>
        <v>0.4829721362229103</v>
      </c>
      <c r="X120" s="298">
        <f t="shared" si="73"/>
        <v>0.48214285714285715</v>
      </c>
      <c r="Y120" s="298">
        <f t="shared" si="73"/>
        <v>0.48214285714285715</v>
      </c>
      <c r="Z120" s="298">
        <f t="shared" si="73"/>
        <v>0.48499999999999999</v>
      </c>
      <c r="AA120" s="298">
        <f t="shared" si="73"/>
        <v>0.4838709677419355</v>
      </c>
      <c r="AB120" s="298">
        <f t="shared" si="73"/>
        <v>0.6166666666666667</v>
      </c>
      <c r="AC120" s="259">
        <f t="shared" si="73"/>
        <v>0.48484848484848486</v>
      </c>
      <c r="AD120" s="259">
        <f t="shared" si="73"/>
        <v>0.47619047619047616</v>
      </c>
      <c r="AE120" s="259">
        <f t="shared" si="73"/>
        <v>0.50084517365593129</v>
      </c>
    </row>
    <row r="121" spans="1:31">
      <c r="A121" s="240" t="s">
        <v>236</v>
      </c>
      <c r="B121" s="298">
        <f t="shared" ref="B121:B123" si="74">B105/B89</f>
        <v>0.45038167938931295</v>
      </c>
      <c r="C121" s="298">
        <f t="shared" si="73"/>
        <v>0.44642857142857145</v>
      </c>
      <c r="D121" s="298">
        <f t="shared" si="73"/>
        <v>0.45</v>
      </c>
      <c r="E121" s="298">
        <f t="shared" si="73"/>
        <v>0.44855967078189302</v>
      </c>
      <c r="F121" s="298">
        <f t="shared" si="73"/>
        <v>0.44761904761904764</v>
      </c>
      <c r="G121" s="298">
        <f t="shared" si="73"/>
        <v>0.44545454545454544</v>
      </c>
      <c r="H121" s="298">
        <f t="shared" si="73"/>
        <v>0.44833333333333331</v>
      </c>
      <c r="I121" s="298">
        <f t="shared" si="73"/>
        <v>0.44782608695652176</v>
      </c>
      <c r="J121" s="298">
        <f t="shared" si="73"/>
        <v>0.44528301886792454</v>
      </c>
      <c r="K121" s="298">
        <f t="shared" si="73"/>
        <v>0.44866666666666666</v>
      </c>
      <c r="L121" s="298">
        <f t="shared" si="73"/>
        <v>0.48181818181818187</v>
      </c>
      <c r="M121" s="298">
        <f t="shared" si="73"/>
        <v>0.48170731707317072</v>
      </c>
      <c r="N121" s="298">
        <f t="shared" si="73"/>
        <v>0.48118811881188112</v>
      </c>
      <c r="O121" s="298">
        <f t="shared" si="73"/>
        <v>0.4816299265197061</v>
      </c>
      <c r="P121" s="298">
        <f t="shared" si="73"/>
        <v>0.48120854826823878</v>
      </c>
      <c r="Q121" s="298">
        <f t="shared" si="73"/>
        <v>0.48190476190476189</v>
      </c>
      <c r="R121" s="298">
        <f t="shared" si="73"/>
        <v>0.48202247191011238</v>
      </c>
      <c r="S121" s="298">
        <f t="shared" si="73"/>
        <v>0.48181818181818187</v>
      </c>
      <c r="T121" s="298">
        <f t="shared" si="73"/>
        <v>0.48148148148148151</v>
      </c>
      <c r="U121" s="298">
        <f t="shared" si="73"/>
        <v>0.48224299065420567</v>
      </c>
      <c r="V121" s="298">
        <f t="shared" si="73"/>
        <v>0.4808080808080808</v>
      </c>
      <c r="W121" s="298">
        <f t="shared" si="73"/>
        <v>0.48297213622291019</v>
      </c>
      <c r="X121" s="298">
        <f t="shared" si="73"/>
        <v>0.48214285714285715</v>
      </c>
      <c r="Y121" s="298">
        <f t="shared" si="73"/>
        <v>0.48214285714285715</v>
      </c>
      <c r="Z121" s="298">
        <f t="shared" si="73"/>
        <v>0.48499999999999999</v>
      </c>
      <c r="AA121" s="298">
        <f t="shared" si="73"/>
        <v>0.4838709677419355</v>
      </c>
      <c r="AB121" s="298">
        <f t="shared" si="73"/>
        <v>0.6166666666666667</v>
      </c>
      <c r="AC121" s="259">
        <f t="shared" si="73"/>
        <v>0.48484848484848486</v>
      </c>
      <c r="AD121" s="259">
        <f t="shared" si="73"/>
        <v>0.47619047619047616</v>
      </c>
      <c r="AE121" s="259">
        <f t="shared" si="73"/>
        <v>0.50084517365593129</v>
      </c>
    </row>
    <row r="122" spans="1:31">
      <c r="A122" s="240" t="s">
        <v>237</v>
      </c>
      <c r="B122" s="298">
        <f t="shared" si="74"/>
        <v>0.45038167938931295</v>
      </c>
      <c r="C122" s="298">
        <f t="shared" si="73"/>
        <v>0.44642857142857145</v>
      </c>
      <c r="D122" s="298">
        <f t="shared" si="73"/>
        <v>0.45</v>
      </c>
      <c r="E122" s="298">
        <f t="shared" si="73"/>
        <v>0.44855967078189302</v>
      </c>
      <c r="F122" s="298">
        <f t="shared" si="73"/>
        <v>0.44761904761904758</v>
      </c>
      <c r="G122" s="298">
        <f t="shared" si="73"/>
        <v>0.44545454545454544</v>
      </c>
      <c r="H122" s="298">
        <f t="shared" si="73"/>
        <v>0.44833333333333325</v>
      </c>
      <c r="I122" s="298">
        <f t="shared" si="73"/>
        <v>0.44782608695652176</v>
      </c>
      <c r="J122" s="298">
        <f t="shared" si="73"/>
        <v>0.44528301886792454</v>
      </c>
      <c r="K122" s="298">
        <f t="shared" si="73"/>
        <v>0.44866666666666671</v>
      </c>
      <c r="L122" s="298">
        <f t="shared" si="73"/>
        <v>0.48181818181818181</v>
      </c>
      <c r="M122" s="298">
        <f t="shared" si="73"/>
        <v>0.48170731707317072</v>
      </c>
      <c r="N122" s="298">
        <f t="shared" si="73"/>
        <v>0.48118811881188117</v>
      </c>
      <c r="O122" s="298">
        <f t="shared" si="73"/>
        <v>0.4816299265197061</v>
      </c>
      <c r="P122" s="298">
        <f t="shared" si="73"/>
        <v>0.48120854826823878</v>
      </c>
      <c r="Q122" s="298">
        <f t="shared" si="73"/>
        <v>0.48190476190476195</v>
      </c>
      <c r="R122" s="298">
        <f t="shared" si="73"/>
        <v>0.48202247191011238</v>
      </c>
      <c r="S122" s="298">
        <f t="shared" si="73"/>
        <v>0.48181818181818181</v>
      </c>
      <c r="T122" s="298">
        <f t="shared" si="73"/>
        <v>0.48148148148148145</v>
      </c>
      <c r="U122" s="298">
        <f t="shared" si="73"/>
        <v>0.48224299065420562</v>
      </c>
      <c r="V122" s="298">
        <f t="shared" si="73"/>
        <v>0.4808080808080808</v>
      </c>
      <c r="W122" s="298">
        <f t="shared" si="73"/>
        <v>0.48297213622291024</v>
      </c>
      <c r="X122" s="298">
        <f t="shared" si="73"/>
        <v>0.48214285714285715</v>
      </c>
      <c r="Y122" s="298">
        <f t="shared" si="73"/>
        <v>0.48214285714285715</v>
      </c>
      <c r="Z122" s="298">
        <f t="shared" si="73"/>
        <v>0.48499999999999999</v>
      </c>
      <c r="AA122" s="298">
        <f t="shared" si="73"/>
        <v>0.48387096774193544</v>
      </c>
      <c r="AB122" s="298">
        <f t="shared" si="73"/>
        <v>0.6166666666666667</v>
      </c>
      <c r="AC122" s="259">
        <f t="shared" si="73"/>
        <v>0.48484848484848486</v>
      </c>
      <c r="AD122" s="259">
        <f t="shared" si="73"/>
        <v>0.47619047619047616</v>
      </c>
      <c r="AE122" s="259">
        <f t="shared" si="73"/>
        <v>0.50084517365593129</v>
      </c>
    </row>
    <row r="123" spans="1:31">
      <c r="A123" s="240" t="s">
        <v>238</v>
      </c>
      <c r="B123" s="298">
        <f t="shared" si="74"/>
        <v>0.45038167938931295</v>
      </c>
      <c r="C123" s="298">
        <f t="shared" si="73"/>
        <v>0.44642857142857145</v>
      </c>
      <c r="D123" s="298">
        <f t="shared" si="73"/>
        <v>0.45</v>
      </c>
      <c r="E123" s="298">
        <f t="shared" si="73"/>
        <v>0.44855967078189307</v>
      </c>
      <c r="F123" s="298">
        <f t="shared" si="73"/>
        <v>0.44761904761904764</v>
      </c>
      <c r="G123" s="298">
        <f t="shared" si="73"/>
        <v>0.44545454545454544</v>
      </c>
      <c r="H123" s="298">
        <f t="shared" si="73"/>
        <v>0.44833333333333331</v>
      </c>
      <c r="I123" s="298">
        <f t="shared" si="73"/>
        <v>0.44782608695652176</v>
      </c>
      <c r="J123" s="298">
        <f t="shared" si="73"/>
        <v>0.44528301886792454</v>
      </c>
      <c r="K123" s="298">
        <f t="shared" si="73"/>
        <v>0.44866666666666666</v>
      </c>
      <c r="L123" s="298">
        <f t="shared" si="73"/>
        <v>0.48181818181818181</v>
      </c>
      <c r="M123" s="298">
        <f t="shared" si="73"/>
        <v>0.48170731707317072</v>
      </c>
      <c r="N123" s="298">
        <f t="shared" si="73"/>
        <v>0.48118811881188112</v>
      </c>
      <c r="O123" s="298">
        <f t="shared" si="73"/>
        <v>0.48162992651970604</v>
      </c>
      <c r="P123" s="298">
        <f t="shared" si="73"/>
        <v>0.48120854826823878</v>
      </c>
      <c r="Q123" s="298">
        <f t="shared" si="73"/>
        <v>0.48190476190476189</v>
      </c>
      <c r="R123" s="298">
        <f t="shared" si="73"/>
        <v>0.48202247191011238</v>
      </c>
      <c r="S123" s="298">
        <f t="shared" si="73"/>
        <v>0.48181818181818176</v>
      </c>
      <c r="T123" s="298">
        <f t="shared" si="73"/>
        <v>0.48148148148148145</v>
      </c>
      <c r="U123" s="298">
        <f t="shared" si="73"/>
        <v>0.48224299065420562</v>
      </c>
      <c r="V123" s="298">
        <f t="shared" si="73"/>
        <v>0.4808080808080808</v>
      </c>
      <c r="W123" s="298">
        <f t="shared" si="73"/>
        <v>0.4829721362229103</v>
      </c>
      <c r="X123" s="298">
        <f t="shared" si="73"/>
        <v>0.48214285714285715</v>
      </c>
      <c r="Y123" s="298">
        <f t="shared" si="73"/>
        <v>0.48214285714285721</v>
      </c>
      <c r="Z123" s="298">
        <f t="shared" si="73"/>
        <v>0.48499999999999999</v>
      </c>
      <c r="AA123" s="298">
        <f t="shared" si="73"/>
        <v>0.4838709677419355</v>
      </c>
      <c r="AB123" s="298">
        <f t="shared" si="73"/>
        <v>0.6166666666666667</v>
      </c>
      <c r="AC123" s="259">
        <f t="shared" si="73"/>
        <v>0.48484848484848486</v>
      </c>
      <c r="AD123" s="259">
        <f t="shared" si="73"/>
        <v>0.47619047619047616</v>
      </c>
      <c r="AE123" s="259">
        <f t="shared" si="73"/>
        <v>0.50084517365593129</v>
      </c>
    </row>
    <row r="124" spans="1:31" ht="15.75" thickBot="1">
      <c r="A124" s="240" t="s">
        <v>255</v>
      </c>
      <c r="B124" s="258">
        <v>0.45038167938931295</v>
      </c>
      <c r="C124" s="258">
        <v>0.44642857142857145</v>
      </c>
      <c r="D124" s="258">
        <v>0.45</v>
      </c>
      <c r="E124" s="258">
        <v>0.44855967078189302</v>
      </c>
      <c r="F124" s="258">
        <v>0.44761904761904764</v>
      </c>
      <c r="G124" s="258">
        <v>0.44545454545454544</v>
      </c>
      <c r="H124" s="258">
        <v>0.44833333333333331</v>
      </c>
      <c r="I124" s="258">
        <v>0.44782608695652176</v>
      </c>
      <c r="J124" s="258">
        <v>0.44528301886792454</v>
      </c>
      <c r="K124" s="258">
        <v>0.44866666666666666</v>
      </c>
      <c r="L124" s="258">
        <v>0.48181818181818181</v>
      </c>
      <c r="M124" s="258">
        <v>0.48170731707317072</v>
      </c>
      <c r="N124" s="258">
        <v>0.48118811881188117</v>
      </c>
      <c r="O124" s="258">
        <v>0.4816299265197061</v>
      </c>
      <c r="P124" s="258">
        <v>0.48120854826823878</v>
      </c>
      <c r="Q124" s="258">
        <v>0.48190476190476189</v>
      </c>
      <c r="R124" s="258">
        <v>0.48202247191011238</v>
      </c>
      <c r="S124" s="258">
        <v>0.48181818181818181</v>
      </c>
      <c r="T124" s="258">
        <v>0.48148148148148145</v>
      </c>
      <c r="U124" s="258">
        <v>0.48224299065420562</v>
      </c>
      <c r="V124" s="258">
        <v>0.4808080808080808</v>
      </c>
      <c r="W124" s="258">
        <v>0.48297213622291024</v>
      </c>
      <c r="X124" s="258">
        <v>0.48214285714285715</v>
      </c>
      <c r="Y124" s="258">
        <v>0.48214285714285715</v>
      </c>
      <c r="Z124" s="258">
        <v>0.48499999999999999</v>
      </c>
      <c r="AA124" s="258">
        <v>0.4838709677419355</v>
      </c>
      <c r="AB124" s="258">
        <v>0.6166666666666667</v>
      </c>
      <c r="AC124" s="259">
        <v>0.48484848484848486</v>
      </c>
      <c r="AD124" s="259">
        <v>0.47619047619047616</v>
      </c>
      <c r="AE124" s="259">
        <f t="shared" ref="AE124" si="75">FORECAST(AE45,L124:AD124,L45:AD45)-0.005</f>
        <v>0.50084517365593129</v>
      </c>
    </row>
    <row r="125" spans="1:31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  <c r="AE125" s="248"/>
    </row>
    <row r="126" spans="1:31" ht="15.75" thickBot="1">
      <c r="A126" s="235" t="s">
        <v>256</v>
      </c>
    </row>
    <row r="127" spans="1:31" ht="15.75" thickBot="1">
      <c r="A127" s="236"/>
      <c r="B127" s="237" t="str">
        <f>B$2</f>
        <v xml:space="preserve">93/94 </v>
      </c>
      <c r="C127" s="237" t="str">
        <f t="shared" ref="C127:AE127" si="76">C$2</f>
        <v xml:space="preserve">94/95 </v>
      </c>
      <c r="D127" s="237" t="str">
        <f t="shared" si="76"/>
        <v xml:space="preserve">95/96 </v>
      </c>
      <c r="E127" s="237" t="str">
        <f t="shared" si="76"/>
        <v xml:space="preserve">96/97 </v>
      </c>
      <c r="F127" s="237" t="str">
        <f t="shared" si="76"/>
        <v xml:space="preserve">97/98 </v>
      </c>
      <c r="G127" s="237" t="str">
        <f t="shared" si="76"/>
        <v xml:space="preserve">98/99 </v>
      </c>
      <c r="H127" s="237" t="str">
        <f t="shared" si="76"/>
        <v xml:space="preserve">99/00 </v>
      </c>
      <c r="I127" s="237" t="str">
        <f t="shared" si="76"/>
        <v xml:space="preserve">00/01 </v>
      </c>
      <c r="J127" s="237" t="str">
        <f t="shared" si="76"/>
        <v xml:space="preserve">01/02 </v>
      </c>
      <c r="K127" s="237" t="str">
        <f t="shared" si="76"/>
        <v xml:space="preserve">02/03 </v>
      </c>
      <c r="L127" s="237" t="str">
        <f t="shared" si="76"/>
        <v xml:space="preserve">03/04 </v>
      </c>
      <c r="M127" s="237" t="str">
        <f t="shared" si="76"/>
        <v xml:space="preserve">04/05 </v>
      </c>
      <c r="N127" s="237" t="str">
        <f t="shared" si="76"/>
        <v xml:space="preserve">05/06 </v>
      </c>
      <c r="O127" s="237" t="str">
        <f t="shared" si="76"/>
        <v xml:space="preserve">06/07 </v>
      </c>
      <c r="P127" s="237" t="str">
        <f t="shared" si="76"/>
        <v xml:space="preserve">07/08 </v>
      </c>
      <c r="Q127" s="237" t="str">
        <f t="shared" si="76"/>
        <v xml:space="preserve">08/09 </v>
      </c>
      <c r="R127" s="237" t="str">
        <f t="shared" si="76"/>
        <v xml:space="preserve">09/10 </v>
      </c>
      <c r="S127" s="237" t="str">
        <f t="shared" si="76"/>
        <v xml:space="preserve">10/11 </v>
      </c>
      <c r="T127" s="237" t="str">
        <f t="shared" si="76"/>
        <v xml:space="preserve">11/12 </v>
      </c>
      <c r="U127" s="237" t="str">
        <f t="shared" si="76"/>
        <v xml:space="preserve">12/13 </v>
      </c>
      <c r="V127" s="237" t="str">
        <f t="shared" si="76"/>
        <v xml:space="preserve">13/14 </v>
      </c>
      <c r="W127" s="237" t="str">
        <f t="shared" si="76"/>
        <v xml:space="preserve">14/15 </v>
      </c>
      <c r="X127" s="237" t="str">
        <f t="shared" si="76"/>
        <v xml:space="preserve">15/16 </v>
      </c>
      <c r="Y127" s="237" t="str">
        <f t="shared" si="76"/>
        <v xml:space="preserve">16/17 </v>
      </c>
      <c r="Z127" s="237" t="str">
        <f t="shared" si="76"/>
        <v xml:space="preserve">17/18 </v>
      </c>
      <c r="AA127" s="237" t="str">
        <f t="shared" si="76"/>
        <v xml:space="preserve">18/19 </v>
      </c>
      <c r="AB127" s="237" t="str">
        <f t="shared" si="76"/>
        <v xml:space="preserve">19/20 </v>
      </c>
      <c r="AC127" s="237" t="str">
        <f t="shared" si="76"/>
        <v xml:space="preserve">20/21 </v>
      </c>
      <c r="AD127" s="237" t="str">
        <f t="shared" si="76"/>
        <v xml:space="preserve">21/22 </v>
      </c>
      <c r="AE127" s="237" t="str">
        <f t="shared" si="76"/>
        <v xml:space="preserve">22/23 </v>
      </c>
    </row>
    <row r="128" spans="1:31">
      <c r="A128" s="240" t="s">
        <v>239</v>
      </c>
      <c r="B128" s="290">
        <f>(SUM(K128:O128)/SUM(K$140:O$140))*B$140</f>
        <v>0</v>
      </c>
      <c r="C128" s="290">
        <f t="shared" ref="C128:F139" si="77">(SUM(L128:P128)/SUM(L$140:P$140))*C$140</f>
        <v>0</v>
      </c>
      <c r="D128" s="290">
        <f t="shared" si="77"/>
        <v>0</v>
      </c>
      <c r="E128" s="290">
        <f t="shared" si="77"/>
        <v>0</v>
      </c>
      <c r="F128" s="290">
        <f t="shared" si="77"/>
        <v>0</v>
      </c>
      <c r="G128" s="290">
        <v>0</v>
      </c>
      <c r="H128" s="146">
        <f>'[2]India Sun Meal Imports'!CZ$290</f>
        <v>0</v>
      </c>
      <c r="I128" s="146">
        <f>'[2]India Sun Meal Imports'!DL$290</f>
        <v>0</v>
      </c>
      <c r="J128" s="146">
        <f>'[2]India Sun Meal Imports'!DX$290</f>
        <v>0</v>
      </c>
      <c r="K128" s="146">
        <f>'[2]India Sun Meal Imports'!EJ$290</f>
        <v>0</v>
      </c>
      <c r="L128" s="146">
        <f>'[2]India Sun Meal Imports'!EV$290</f>
        <v>0.2</v>
      </c>
      <c r="M128" s="146">
        <f>'[2]India Sun Meal Imports'!FH$290</f>
        <v>0</v>
      </c>
      <c r="N128" s="146">
        <f>'[2]India Sun Meal Imports'!FT$290</f>
        <v>6.9000000000000006E-2</v>
      </c>
      <c r="O128" s="146">
        <f>'[2]India Sun Meal Imports'!GF$290</f>
        <v>3.4000000000000002E-2</v>
      </c>
      <c r="P128" s="146">
        <f>'[2]India Sun Meal Imports'!GR$290</f>
        <v>0</v>
      </c>
      <c r="Q128" s="146">
        <f>'[2]India Sun Meal Imports'!HD$290</f>
        <v>0</v>
      </c>
      <c r="R128" s="146">
        <f>'[2]India Sun Meal Imports'!HP$290</f>
        <v>0.52500000000000002</v>
      </c>
      <c r="S128" s="146">
        <f>'[2]India Sun Meal Imports'!IB$290</f>
        <v>0.42299999999999999</v>
      </c>
      <c r="T128" s="146">
        <f>'[2]India Sun Meal Imports'!IN$290</f>
        <v>0</v>
      </c>
      <c r="U128" s="146">
        <f>'[2]India Sun Meal Imports'!IZ$290</f>
        <v>7.9939999999999998</v>
      </c>
      <c r="V128" s="146">
        <f>'[2]India Sun Meal Imports'!JL$290</f>
        <v>3.8010000000000002</v>
      </c>
      <c r="W128" s="146">
        <f>'[2]India Sun Meal Imports'!JX$290</f>
        <v>3.6469999999999998</v>
      </c>
      <c r="X128" s="146">
        <f>'[2]India Sun Meal Imports'!KJ$290</f>
        <v>0.85399999999999998</v>
      </c>
      <c r="Y128" s="146">
        <f>'[2]India Sun Meal Imports'!KV$290</f>
        <v>38.468000000000004</v>
      </c>
      <c r="Z128" s="146">
        <f>'[2]India Sun Meal Imports'!LH$290</f>
        <v>0.90500000000000003</v>
      </c>
      <c r="AA128" s="146">
        <f>'[2]India Sun Meal Imports'!LT$290</f>
        <v>0</v>
      </c>
      <c r="AB128" s="146">
        <f>'[2]India Sun Meal Imports'!MF$290</f>
        <v>1.2769999999999999</v>
      </c>
      <c r="AC128" s="146">
        <f>'[2]India Sun Meal Imports'!MR$290</f>
        <v>0.58799999999999997</v>
      </c>
      <c r="AD128" s="146">
        <f>'[2]India Sun Meal Imports'!ND$290</f>
        <v>65.19</v>
      </c>
      <c r="AE128" s="253">
        <f t="shared" ref="AE128:AE138" si="78">(SUM(Y128:AC128)/SUM(Y$140:AC$140))*AE$140</f>
        <v>6.0097466379345548</v>
      </c>
    </row>
    <row r="129" spans="1:35">
      <c r="A129" s="240" t="s">
        <v>240</v>
      </c>
      <c r="B129" s="290">
        <f t="shared" ref="B129:B139" si="79">(SUM(K129:O129)/SUM(K$140:O$140))*B$140</f>
        <v>0</v>
      </c>
      <c r="C129" s="290">
        <f t="shared" si="77"/>
        <v>0</v>
      </c>
      <c r="D129" s="290">
        <f t="shared" si="77"/>
        <v>0</v>
      </c>
      <c r="E129" s="290">
        <f t="shared" si="77"/>
        <v>0</v>
      </c>
      <c r="F129" s="290">
        <f t="shared" si="77"/>
        <v>0</v>
      </c>
      <c r="G129" s="290">
        <v>0</v>
      </c>
      <c r="H129" s="146">
        <f>'[2]India Sun Meal Imports'!DA$290</f>
        <v>0</v>
      </c>
      <c r="I129" s="146">
        <f>'[2]India Sun Meal Imports'!DM$290</f>
        <v>0</v>
      </c>
      <c r="J129" s="146">
        <f>'[2]India Sun Meal Imports'!DY$290</f>
        <v>0</v>
      </c>
      <c r="K129" s="146">
        <f>'[2]India Sun Meal Imports'!EK$290</f>
        <v>0</v>
      </c>
      <c r="L129" s="146">
        <f>'[2]India Sun Meal Imports'!EW$290</f>
        <v>0</v>
      </c>
      <c r="M129" s="146">
        <f>'[2]India Sun Meal Imports'!FI$290</f>
        <v>0</v>
      </c>
      <c r="N129" s="146">
        <f>'[2]India Sun Meal Imports'!FU$290</f>
        <v>0</v>
      </c>
      <c r="O129" s="146">
        <f>'[2]India Sun Meal Imports'!GG$290</f>
        <v>0</v>
      </c>
      <c r="P129" s="146">
        <f>'[2]India Sun Meal Imports'!GS$290</f>
        <v>0</v>
      </c>
      <c r="Q129" s="146">
        <f>'[2]India Sun Meal Imports'!HE$290</f>
        <v>0</v>
      </c>
      <c r="R129" s="146">
        <f>'[2]India Sun Meal Imports'!HQ$290</f>
        <v>0.52500000000000002</v>
      </c>
      <c r="S129" s="146">
        <f>'[2]India Sun Meal Imports'!IC$290</f>
        <v>0</v>
      </c>
      <c r="T129" s="146">
        <f>'[2]India Sun Meal Imports'!IO$290</f>
        <v>0</v>
      </c>
      <c r="U129" s="146">
        <f>'[2]India Sun Meal Imports'!JA$290</f>
        <v>7.9240000000000004</v>
      </c>
      <c r="V129" s="146">
        <f>'[2]India Sun Meal Imports'!JM$290</f>
        <v>1.5449999999999999</v>
      </c>
      <c r="W129" s="146">
        <f>'[2]India Sun Meal Imports'!JY$290</f>
        <v>5.8520000000000003</v>
      </c>
      <c r="X129" s="146">
        <f>'[2]India Sun Meal Imports'!KK$290</f>
        <v>0</v>
      </c>
      <c r="Y129" s="146">
        <f>'[2]India Sun Meal Imports'!KW$290</f>
        <v>11.016999999999999</v>
      </c>
      <c r="Z129" s="146">
        <f>'[2]India Sun Meal Imports'!LI$290</f>
        <v>0.54900000000000004</v>
      </c>
      <c r="AA129" s="146">
        <f>'[2]India Sun Meal Imports'!LU$290</f>
        <v>2.3839999999999999</v>
      </c>
      <c r="AB129" s="146">
        <f>'[2]India Sun Meal Imports'!MG$290</f>
        <v>53.67</v>
      </c>
      <c r="AC129" s="146">
        <f>'[2]India Sun Meal Imports'!MS$290</f>
        <v>0</v>
      </c>
      <c r="AD129" s="146">
        <f>'[2]India Sun Meal Imports'!NE$290</f>
        <v>29.486999999999998</v>
      </c>
      <c r="AE129" s="253">
        <f t="shared" si="78"/>
        <v>9.8544805193543468</v>
      </c>
    </row>
    <row r="130" spans="1:35">
      <c r="A130" s="240" t="s">
        <v>241</v>
      </c>
      <c r="B130" s="290">
        <f t="shared" si="79"/>
        <v>0</v>
      </c>
      <c r="C130" s="290">
        <f t="shared" si="77"/>
        <v>0</v>
      </c>
      <c r="D130" s="290">
        <f t="shared" si="77"/>
        <v>0</v>
      </c>
      <c r="E130" s="290">
        <f t="shared" si="77"/>
        <v>0</v>
      </c>
      <c r="F130" s="290">
        <f t="shared" si="77"/>
        <v>0</v>
      </c>
      <c r="G130" s="290">
        <v>0</v>
      </c>
      <c r="H130" s="146">
        <f>'[2]India Sun Meal Imports'!DB$290</f>
        <v>0</v>
      </c>
      <c r="I130" s="146">
        <f>'[2]India Sun Meal Imports'!DN$290</f>
        <v>0</v>
      </c>
      <c r="J130" s="146">
        <f>'[2]India Sun Meal Imports'!DZ$290</f>
        <v>0</v>
      </c>
      <c r="K130" s="146">
        <f>'[2]India Sun Meal Imports'!EL$290</f>
        <v>0</v>
      </c>
      <c r="L130" s="146">
        <f>'[2]India Sun Meal Imports'!EX$290</f>
        <v>0</v>
      </c>
      <c r="M130" s="146">
        <f>'[2]India Sun Meal Imports'!FJ$290</f>
        <v>0</v>
      </c>
      <c r="N130" s="146">
        <f>'[2]India Sun Meal Imports'!FV$290</f>
        <v>0</v>
      </c>
      <c r="O130" s="146">
        <f>'[2]India Sun Meal Imports'!GH$290</f>
        <v>0</v>
      </c>
      <c r="P130" s="146">
        <f>'[2]India Sun Meal Imports'!GT$290</f>
        <v>0</v>
      </c>
      <c r="Q130" s="146">
        <f>'[2]India Sun Meal Imports'!HF$290</f>
        <v>6.6000000000000003E-2</v>
      </c>
      <c r="R130" s="146">
        <f>'[2]India Sun Meal Imports'!HR$290</f>
        <v>0.52500000000000002</v>
      </c>
      <c r="S130" s="146">
        <f>'[2]India Sun Meal Imports'!ID$290</f>
        <v>0</v>
      </c>
      <c r="T130" s="146">
        <f>'[2]India Sun Meal Imports'!IP$290</f>
        <v>0</v>
      </c>
      <c r="U130" s="146">
        <f>'[2]India Sun Meal Imports'!JB$290</f>
        <v>9.8420000000000005</v>
      </c>
      <c r="V130" s="146">
        <f>'[2]India Sun Meal Imports'!JN$290</f>
        <v>1.2809999999999999</v>
      </c>
      <c r="W130" s="146">
        <f>'[2]India Sun Meal Imports'!JZ$290</f>
        <v>5.0759999999999996</v>
      </c>
      <c r="X130" s="146">
        <f>'[2]India Sun Meal Imports'!KL$290</f>
        <v>1.927</v>
      </c>
      <c r="Y130" s="146">
        <f>'[2]India Sun Meal Imports'!KX$290</f>
        <v>37.311</v>
      </c>
      <c r="Z130" s="146">
        <f>'[2]India Sun Meal Imports'!LJ$290</f>
        <v>0</v>
      </c>
      <c r="AA130" s="146">
        <f>'[2]India Sun Meal Imports'!LV$290</f>
        <v>0.437</v>
      </c>
      <c r="AB130" s="146">
        <f>'[2]India Sun Meal Imports'!MH$290</f>
        <v>2.722</v>
      </c>
      <c r="AC130" s="146">
        <f>'[2]India Sun Meal Imports'!MT$290</f>
        <v>0.53300000000000003</v>
      </c>
      <c r="AD130" s="146">
        <f>'[2]India Sun Meal Imports'!NF$290</f>
        <v>0</v>
      </c>
      <c r="AE130" s="253">
        <f t="shared" si="78"/>
        <v>5.9754993305987307</v>
      </c>
      <c r="AH130">
        <v>3.5483577464281204</v>
      </c>
      <c r="AI130" s="253"/>
    </row>
    <row r="131" spans="1:35">
      <c r="A131" s="240" t="s">
        <v>231</v>
      </c>
      <c r="B131" s="290">
        <f t="shared" si="79"/>
        <v>0</v>
      </c>
      <c r="C131" s="290">
        <f t="shared" si="77"/>
        <v>0</v>
      </c>
      <c r="D131" s="290">
        <f t="shared" si="77"/>
        <v>0</v>
      </c>
      <c r="E131" s="290">
        <f t="shared" si="77"/>
        <v>0</v>
      </c>
      <c r="F131" s="290">
        <f t="shared" si="77"/>
        <v>0</v>
      </c>
      <c r="G131" s="146">
        <f>'[2]India Sun Meal Imports'!CQ$290</f>
        <v>0</v>
      </c>
      <c r="H131" s="146">
        <f>'[2]India Sun Meal Imports'!DC$290</f>
        <v>0</v>
      </c>
      <c r="I131" s="146">
        <f>'[2]India Sun Meal Imports'!DO$290</f>
        <v>0</v>
      </c>
      <c r="J131" s="146">
        <f>'[2]India Sun Meal Imports'!EA$290</f>
        <v>0</v>
      </c>
      <c r="K131" s="146">
        <f>'[2]India Sun Meal Imports'!EM$290</f>
        <v>0</v>
      </c>
      <c r="L131" s="146">
        <f>'[2]India Sun Meal Imports'!EY$290</f>
        <v>0</v>
      </c>
      <c r="M131" s="146">
        <f>'[2]India Sun Meal Imports'!FK$290</f>
        <v>0.05</v>
      </c>
      <c r="N131" s="146">
        <f>'[2]India Sun Meal Imports'!FW$290</f>
        <v>0</v>
      </c>
      <c r="O131" s="146">
        <f>'[2]India Sun Meal Imports'!GI$290</f>
        <v>0</v>
      </c>
      <c r="P131" s="146">
        <f>'[2]India Sun Meal Imports'!GU$290</f>
        <v>0</v>
      </c>
      <c r="Q131" s="146">
        <f>'[2]India Sun Meal Imports'!HG$290</f>
        <v>0</v>
      </c>
      <c r="R131" s="146">
        <f>'[2]India Sun Meal Imports'!HS$290</f>
        <v>2.4929999999999999</v>
      </c>
      <c r="S131" s="146">
        <f>'[2]India Sun Meal Imports'!IE$290</f>
        <v>0</v>
      </c>
      <c r="T131" s="146">
        <f>'[2]India Sun Meal Imports'!IQ$290</f>
        <v>0</v>
      </c>
      <c r="U131" s="146">
        <f>'[2]India Sun Meal Imports'!JC$290</f>
        <v>6</v>
      </c>
      <c r="V131" s="146">
        <f>'[2]India Sun Meal Imports'!JO$290</f>
        <v>2.02</v>
      </c>
      <c r="W131" s="146">
        <f>'[2]India Sun Meal Imports'!KA$290</f>
        <v>2.3050000000000002</v>
      </c>
      <c r="X131" s="146">
        <f>'[2]India Sun Meal Imports'!KM$290</f>
        <v>5.9359999999999999</v>
      </c>
      <c r="Y131" s="146">
        <f>'[2]India Sun Meal Imports'!KY$290</f>
        <v>11.111000000000001</v>
      </c>
      <c r="Z131" s="146">
        <f>'[2]India Sun Meal Imports'!LK$290</f>
        <v>0.54700000000000004</v>
      </c>
      <c r="AA131" s="146">
        <f>'[2]India Sun Meal Imports'!LW$290</f>
        <v>2.09</v>
      </c>
      <c r="AB131" s="146">
        <f>'[2]India Sun Meal Imports'!MI$290</f>
        <v>36.686</v>
      </c>
      <c r="AC131" s="146">
        <f>'[2]India Sun Meal Imports'!MU$290</f>
        <v>0.76300000000000001</v>
      </c>
      <c r="AD131" s="146">
        <f>'[2]India Sun Meal Imports'!NG$290</f>
        <v>0</v>
      </c>
      <c r="AE131" s="253">
        <f t="shared" si="78"/>
        <v>7.4611038028598697</v>
      </c>
      <c r="AH131">
        <v>7.6952597156910443</v>
      </c>
      <c r="AI131" s="253"/>
    </row>
    <row r="132" spans="1:35">
      <c r="A132" s="240" t="s">
        <v>232</v>
      </c>
      <c r="B132" s="290">
        <f t="shared" si="79"/>
        <v>0</v>
      </c>
      <c r="C132" s="290">
        <f t="shared" si="77"/>
        <v>0</v>
      </c>
      <c r="D132" s="290">
        <f t="shared" si="77"/>
        <v>0</v>
      </c>
      <c r="E132" s="290">
        <f t="shared" si="77"/>
        <v>0</v>
      </c>
      <c r="F132" s="290">
        <f t="shared" si="77"/>
        <v>0</v>
      </c>
      <c r="G132" s="146">
        <f>'[2]India Sun Meal Imports'!CR$290</f>
        <v>0</v>
      </c>
      <c r="H132" s="146">
        <f>'[2]India Sun Meal Imports'!DD$290</f>
        <v>0</v>
      </c>
      <c r="I132" s="146">
        <f>'[2]India Sun Meal Imports'!DP$290</f>
        <v>0</v>
      </c>
      <c r="J132" s="146">
        <f>'[2]India Sun Meal Imports'!EB$290</f>
        <v>0</v>
      </c>
      <c r="K132" s="146">
        <f>'[2]India Sun Meal Imports'!EN$290</f>
        <v>0</v>
      </c>
      <c r="L132" s="146">
        <f>'[2]India Sun Meal Imports'!EZ$290</f>
        <v>0</v>
      </c>
      <c r="M132" s="146">
        <f>'[2]India Sun Meal Imports'!FL$290</f>
        <v>0</v>
      </c>
      <c r="N132" s="146">
        <f>'[2]India Sun Meal Imports'!FX$290</f>
        <v>0</v>
      </c>
      <c r="O132" s="146">
        <f>'[2]India Sun Meal Imports'!GJ$290</f>
        <v>0</v>
      </c>
      <c r="P132" s="146">
        <f>'[2]India Sun Meal Imports'!GV$290</f>
        <v>0</v>
      </c>
      <c r="Q132" s="146">
        <f>'[2]India Sun Meal Imports'!HH$290</f>
        <v>0</v>
      </c>
      <c r="R132" s="146">
        <f>'[2]India Sun Meal Imports'!HT$290</f>
        <v>0.56699999999999995</v>
      </c>
      <c r="S132" s="146">
        <f>'[2]India Sun Meal Imports'!IF$290</f>
        <v>0</v>
      </c>
      <c r="T132" s="146">
        <f>'[2]India Sun Meal Imports'!IR$290</f>
        <v>0</v>
      </c>
      <c r="U132" s="146">
        <f>'[2]India Sun Meal Imports'!JD$290</f>
        <v>8.4710000000000001</v>
      </c>
      <c r="V132" s="146">
        <f>'[2]India Sun Meal Imports'!JP$290</f>
        <v>3.766</v>
      </c>
      <c r="W132" s="146">
        <f>'[2]India Sun Meal Imports'!KB$290</f>
        <v>1.071</v>
      </c>
      <c r="X132" s="146">
        <f>'[2]India Sun Meal Imports'!KN$290</f>
        <v>10.994999999999999</v>
      </c>
      <c r="Y132" s="146">
        <f>'[2]India Sun Meal Imports'!KZ$290</f>
        <v>35.704999999999998</v>
      </c>
      <c r="Z132" s="146">
        <f>'[2]India Sun Meal Imports'!LL$290</f>
        <v>0</v>
      </c>
      <c r="AA132" s="146">
        <f>'[2]India Sun Meal Imports'!LX$290</f>
        <v>4.2629999999999999</v>
      </c>
      <c r="AB132" s="146">
        <f>'[2]India Sun Meal Imports'!MJ$290</f>
        <v>74.578999999999994</v>
      </c>
      <c r="AC132" s="146">
        <f>'[2]India Sun Meal Imports'!MV$290</f>
        <v>1.0529999999999999</v>
      </c>
      <c r="AD132" s="146">
        <f>'[2]India Sun Meal Imports'!NH$290</f>
        <v>30.687000000000001</v>
      </c>
      <c r="AE132" s="253">
        <f t="shared" si="78"/>
        <v>16.84676054477022</v>
      </c>
      <c r="AH132">
        <v>18.27369691728375</v>
      </c>
      <c r="AI132" s="253"/>
    </row>
    <row r="133" spans="1:35">
      <c r="A133" s="240" t="s">
        <v>233</v>
      </c>
      <c r="B133" s="290">
        <f t="shared" si="79"/>
        <v>0</v>
      </c>
      <c r="C133" s="290">
        <f t="shared" si="77"/>
        <v>0</v>
      </c>
      <c r="D133" s="290">
        <f t="shared" si="77"/>
        <v>0</v>
      </c>
      <c r="E133" s="290">
        <f t="shared" si="77"/>
        <v>0</v>
      </c>
      <c r="F133" s="290">
        <f t="shared" si="77"/>
        <v>0</v>
      </c>
      <c r="G133" s="146">
        <f>'[2]India Sun Meal Imports'!CS$290</f>
        <v>0</v>
      </c>
      <c r="H133" s="146">
        <f>'[2]India Sun Meal Imports'!DE$290</f>
        <v>0</v>
      </c>
      <c r="I133" s="146">
        <f>'[2]India Sun Meal Imports'!DQ$290</f>
        <v>0</v>
      </c>
      <c r="J133" s="146">
        <f>'[2]India Sun Meal Imports'!EC$290</f>
        <v>0</v>
      </c>
      <c r="K133" s="146">
        <f>'[2]India Sun Meal Imports'!EO$290</f>
        <v>0</v>
      </c>
      <c r="L133" s="146">
        <f>'[2]India Sun Meal Imports'!FA$290</f>
        <v>0</v>
      </c>
      <c r="M133" s="146">
        <f>'[2]India Sun Meal Imports'!FM$290</f>
        <v>0</v>
      </c>
      <c r="N133" s="146">
        <f>'[2]India Sun Meal Imports'!FY$290</f>
        <v>0</v>
      </c>
      <c r="O133" s="146">
        <f>'[2]India Sun Meal Imports'!GK$290</f>
        <v>0</v>
      </c>
      <c r="P133" s="146">
        <f>'[2]India Sun Meal Imports'!GW$290</f>
        <v>0</v>
      </c>
      <c r="Q133" s="146">
        <f>'[2]India Sun Meal Imports'!HI$290</f>
        <v>3.9E-2</v>
      </c>
      <c r="R133" s="146">
        <f>'[2]India Sun Meal Imports'!HU$290</f>
        <v>1.516</v>
      </c>
      <c r="S133" s="146">
        <f>'[2]India Sun Meal Imports'!IG$290</f>
        <v>0</v>
      </c>
      <c r="T133" s="146">
        <f>'[2]India Sun Meal Imports'!IS$290</f>
        <v>0.84599999999999997</v>
      </c>
      <c r="U133" s="146">
        <f>'[2]India Sun Meal Imports'!JE$290</f>
        <v>7.68</v>
      </c>
      <c r="V133" s="146">
        <f>'[2]India Sun Meal Imports'!JQ$290</f>
        <v>5.1749999999999998</v>
      </c>
      <c r="W133" s="146">
        <f>'[2]India Sun Meal Imports'!KC$290</f>
        <v>1.1180000000000001</v>
      </c>
      <c r="X133" s="146">
        <f>'[2]India Sun Meal Imports'!KO$290</f>
        <v>17.206</v>
      </c>
      <c r="Y133" s="146">
        <f>'[2]India Sun Meal Imports'!LA$290</f>
        <v>4.819</v>
      </c>
      <c r="Z133" s="146">
        <f>'[2]India Sun Meal Imports'!LM$290</f>
        <v>25.931000000000001</v>
      </c>
      <c r="AA133" s="146">
        <f>'[2]India Sun Meal Imports'!LY$290</f>
        <v>32.021000000000001</v>
      </c>
      <c r="AB133" s="146">
        <f>'[2]India Sun Meal Imports'!MK$290</f>
        <v>90.722999999999999</v>
      </c>
      <c r="AC133" s="146">
        <f>'[2]India Sun Meal Imports'!MW$290</f>
        <v>1.036</v>
      </c>
      <c r="AD133" s="253">
        <f>(SUM(X133:AB133)/SUM(X$140:AB$140))*AD$140-18</f>
        <v>23.519377330955088</v>
      </c>
      <c r="AE133" s="253">
        <f t="shared" si="78"/>
        <v>22.520154904700192</v>
      </c>
      <c r="AH133">
        <v>23.44386789903249</v>
      </c>
      <c r="AI133" s="253"/>
    </row>
    <row r="134" spans="1:35">
      <c r="A134" s="240" t="s">
        <v>234</v>
      </c>
      <c r="B134" s="290">
        <f t="shared" si="79"/>
        <v>0</v>
      </c>
      <c r="C134" s="290">
        <f t="shared" si="77"/>
        <v>0</v>
      </c>
      <c r="D134" s="290">
        <f t="shared" si="77"/>
        <v>0</v>
      </c>
      <c r="E134" s="290">
        <f t="shared" si="77"/>
        <v>0</v>
      </c>
      <c r="F134" s="290">
        <f t="shared" si="77"/>
        <v>0</v>
      </c>
      <c r="G134" s="146">
        <f>'[2]India Sun Meal Imports'!CT$290</f>
        <v>0</v>
      </c>
      <c r="H134" s="146">
        <f>'[2]India Sun Meal Imports'!DF$290</f>
        <v>0</v>
      </c>
      <c r="I134" s="146">
        <f>'[2]India Sun Meal Imports'!DR$290</f>
        <v>0</v>
      </c>
      <c r="J134" s="146">
        <f>'[2]India Sun Meal Imports'!ED$290</f>
        <v>0</v>
      </c>
      <c r="K134" s="146">
        <f>'[2]India Sun Meal Imports'!EP$290</f>
        <v>0</v>
      </c>
      <c r="L134" s="146">
        <f>'[2]India Sun Meal Imports'!FB$290</f>
        <v>5.0000000000000001E-3</v>
      </c>
      <c r="M134" s="146">
        <f>'[2]India Sun Meal Imports'!FN$290</f>
        <v>0</v>
      </c>
      <c r="N134" s="146">
        <f>'[2]India Sun Meal Imports'!FZ$290</f>
        <v>0</v>
      </c>
      <c r="O134" s="146">
        <f>'[2]India Sun Meal Imports'!GL$290</f>
        <v>0</v>
      </c>
      <c r="P134" s="146">
        <f>'[2]India Sun Meal Imports'!GX$290</f>
        <v>0</v>
      </c>
      <c r="Q134" s="146">
        <f>'[2]India Sun Meal Imports'!HJ$290</f>
        <v>0</v>
      </c>
      <c r="R134" s="146">
        <f>'[2]India Sun Meal Imports'!HV$290</f>
        <v>0</v>
      </c>
      <c r="S134" s="146">
        <f>'[2]India Sun Meal Imports'!IH$290</f>
        <v>0</v>
      </c>
      <c r="T134" s="146">
        <f>'[2]India Sun Meal Imports'!IT$290</f>
        <v>1.345</v>
      </c>
      <c r="U134" s="146">
        <f>'[2]India Sun Meal Imports'!JF$290</f>
        <v>8.5280000000000005</v>
      </c>
      <c r="V134" s="146">
        <f>'[2]India Sun Meal Imports'!JR$290</f>
        <v>1.6679999999999999</v>
      </c>
      <c r="W134" s="146">
        <f>'[2]India Sun Meal Imports'!KD$290</f>
        <v>1.9350000000000001</v>
      </c>
      <c r="X134" s="146">
        <f>'[2]India Sun Meal Imports'!KP$290</f>
        <v>19.411999999999999</v>
      </c>
      <c r="Y134" s="146">
        <f>'[2]India Sun Meal Imports'!LB$290</f>
        <v>33.024000000000001</v>
      </c>
      <c r="Z134" s="146">
        <f>'[2]India Sun Meal Imports'!LN$290</f>
        <v>29.692</v>
      </c>
      <c r="AA134" s="146">
        <f>'[2]India Sun Meal Imports'!LZ$290</f>
        <v>11.022</v>
      </c>
      <c r="AB134" s="146">
        <f>'[2]India Sun Meal Imports'!ML$290</f>
        <v>40.542000000000002</v>
      </c>
      <c r="AC134" s="146">
        <f>'[2]India Sun Meal Imports'!MX$290</f>
        <v>0</v>
      </c>
      <c r="AD134" s="253">
        <f>(SUM(X134:AB134)/SUM(X$140:AB$140))*AD$140-2</f>
        <v>30.517917950381062</v>
      </c>
      <c r="AE134" s="253">
        <f t="shared" si="78"/>
        <v>16.654392690798797</v>
      </c>
      <c r="AH134">
        <v>30.109183287389875</v>
      </c>
      <c r="AI134" s="253"/>
    </row>
    <row r="135" spans="1:35">
      <c r="A135" s="240" t="s">
        <v>46</v>
      </c>
      <c r="B135" s="290">
        <f t="shared" si="79"/>
        <v>0</v>
      </c>
      <c r="C135" s="290">
        <f t="shared" si="77"/>
        <v>0</v>
      </c>
      <c r="D135" s="290">
        <f t="shared" si="77"/>
        <v>0</v>
      </c>
      <c r="E135" s="290">
        <f t="shared" si="77"/>
        <v>0</v>
      </c>
      <c r="F135" s="290">
        <f t="shared" si="77"/>
        <v>0</v>
      </c>
      <c r="G135" s="146">
        <f>'[2]India Sun Meal Imports'!CU$290</f>
        <v>0</v>
      </c>
      <c r="H135" s="146">
        <f>'[2]India Sun Meal Imports'!DG$290</f>
        <v>0</v>
      </c>
      <c r="I135" s="146">
        <f>'[2]India Sun Meal Imports'!DS$290</f>
        <v>0</v>
      </c>
      <c r="J135" s="146">
        <f>'[2]India Sun Meal Imports'!EE$290</f>
        <v>0</v>
      </c>
      <c r="K135" s="146">
        <f>'[2]India Sun Meal Imports'!EQ$290</f>
        <v>0</v>
      </c>
      <c r="L135" s="146">
        <f>'[2]India Sun Meal Imports'!FC$290</f>
        <v>0</v>
      </c>
      <c r="M135" s="146">
        <f>'[2]India Sun Meal Imports'!FO$290</f>
        <v>7.8E-2</v>
      </c>
      <c r="N135" s="146">
        <f>'[2]India Sun Meal Imports'!GA$290</f>
        <v>0</v>
      </c>
      <c r="O135" s="146">
        <f>'[2]India Sun Meal Imports'!GM$290</f>
        <v>0</v>
      </c>
      <c r="P135" s="146">
        <f>'[2]India Sun Meal Imports'!GY$290</f>
        <v>0</v>
      </c>
      <c r="Q135" s="146">
        <f>'[2]India Sun Meal Imports'!HK$290</f>
        <v>0</v>
      </c>
      <c r="R135" s="146">
        <f>'[2]India Sun Meal Imports'!HW$290</f>
        <v>1.3120000000000001</v>
      </c>
      <c r="S135" s="146">
        <f>'[2]India Sun Meal Imports'!II$290</f>
        <v>0</v>
      </c>
      <c r="T135" s="146">
        <f>'[2]India Sun Meal Imports'!IU$290</f>
        <v>0.628</v>
      </c>
      <c r="U135" s="146">
        <f>'[2]India Sun Meal Imports'!JG$290</f>
        <v>7.3890000000000002</v>
      </c>
      <c r="V135" s="146">
        <f>'[2]India Sun Meal Imports'!JS$290</f>
        <v>3.0249999999999999</v>
      </c>
      <c r="W135" s="146">
        <f>'[2]India Sun Meal Imports'!KE$290</f>
        <v>1.383</v>
      </c>
      <c r="X135" s="146">
        <f>'[2]India Sun Meal Imports'!KQ$290</f>
        <v>22.173999999999999</v>
      </c>
      <c r="Y135" s="146">
        <f>'[2]India Sun Meal Imports'!LC$290</f>
        <v>38.292000000000002</v>
      </c>
      <c r="Z135" s="146">
        <f>'[2]India Sun Meal Imports'!LO$290</f>
        <v>13.548999999999999</v>
      </c>
      <c r="AA135" s="146">
        <f>'[2]India Sun Meal Imports'!MA$290</f>
        <v>25.24</v>
      </c>
      <c r="AB135" s="146">
        <f>'[2]India Sun Meal Imports'!MM$290</f>
        <v>3.3519999999999999</v>
      </c>
      <c r="AC135" s="146">
        <f>'[2]India Sun Meal Imports'!MY$290</f>
        <v>0</v>
      </c>
      <c r="AD135" s="253">
        <f>(SUM(X135:AB135)/SUM(X$140:AB$140))*AD$140-4</f>
        <v>20.957110426463437</v>
      </c>
      <c r="AE135" s="253">
        <f t="shared" si="78"/>
        <v>11.721760301881515</v>
      </c>
      <c r="AH135">
        <v>23.108435580058739</v>
      </c>
      <c r="AI135" s="253"/>
    </row>
    <row r="136" spans="1:35">
      <c r="A136" s="240" t="s">
        <v>235</v>
      </c>
      <c r="B136" s="290">
        <f t="shared" si="79"/>
        <v>0</v>
      </c>
      <c r="C136" s="290">
        <f t="shared" si="77"/>
        <v>0</v>
      </c>
      <c r="D136" s="290">
        <f t="shared" si="77"/>
        <v>0</v>
      </c>
      <c r="E136" s="290">
        <f t="shared" si="77"/>
        <v>0</v>
      </c>
      <c r="F136" s="290">
        <f t="shared" si="77"/>
        <v>0</v>
      </c>
      <c r="G136" s="146">
        <f>'[2]India Sun Meal Imports'!CV$290</f>
        <v>0</v>
      </c>
      <c r="H136" s="146">
        <f>'[2]India Sun Meal Imports'!DH$290</f>
        <v>0</v>
      </c>
      <c r="I136" s="146">
        <f>'[2]India Sun Meal Imports'!DT$290</f>
        <v>0</v>
      </c>
      <c r="J136" s="146">
        <f>'[2]India Sun Meal Imports'!EF$290</f>
        <v>0</v>
      </c>
      <c r="K136" s="146">
        <f>'[2]India Sun Meal Imports'!ER$290</f>
        <v>0</v>
      </c>
      <c r="L136" s="146">
        <f>'[2]India Sun Meal Imports'!FD$290</f>
        <v>0</v>
      </c>
      <c r="M136" s="146">
        <f>'[2]India Sun Meal Imports'!FP$290</f>
        <v>0</v>
      </c>
      <c r="N136" s="146">
        <f>'[2]India Sun Meal Imports'!GB$290</f>
        <v>0</v>
      </c>
      <c r="O136" s="146">
        <f>'[2]India Sun Meal Imports'!GN$290</f>
        <v>0</v>
      </c>
      <c r="P136" s="146">
        <f>'[2]India Sun Meal Imports'!GZ$290</f>
        <v>0</v>
      </c>
      <c r="Q136" s="146">
        <f>'[2]India Sun Meal Imports'!HL$290</f>
        <v>0</v>
      </c>
      <c r="R136" s="146">
        <f>'[2]India Sun Meal Imports'!HX$290</f>
        <v>0</v>
      </c>
      <c r="S136" s="146">
        <f>'[2]India Sun Meal Imports'!IJ$290</f>
        <v>0</v>
      </c>
      <c r="T136" s="146">
        <f>'[2]India Sun Meal Imports'!IV$290</f>
        <v>9.0999999999999998E-2</v>
      </c>
      <c r="U136" s="146">
        <f>'[2]India Sun Meal Imports'!JH$290</f>
        <v>7.0640000000000001</v>
      </c>
      <c r="V136" s="146">
        <f>'[2]India Sun Meal Imports'!JT$290</f>
        <v>1.901</v>
      </c>
      <c r="W136" s="146">
        <f>'[2]India Sun Meal Imports'!KF$290</f>
        <v>2.6110000000000002</v>
      </c>
      <c r="X136" s="146">
        <f>'[2]India Sun Meal Imports'!KR$290</f>
        <v>47.732999999999997</v>
      </c>
      <c r="Y136" s="146">
        <f>'[2]India Sun Meal Imports'!LD$290</f>
        <v>33.552999999999997</v>
      </c>
      <c r="Z136" s="146">
        <f>'[2]India Sun Meal Imports'!LP$290</f>
        <v>44.405000000000001</v>
      </c>
      <c r="AA136" s="146">
        <f>'[2]India Sun Meal Imports'!MB$290</f>
        <v>54.959000000000003</v>
      </c>
      <c r="AB136" s="146">
        <f>'[2]India Sun Meal Imports'!MN$290</f>
        <v>1.458</v>
      </c>
      <c r="AC136" s="146">
        <f>'[2]India Sun Meal Imports'!MZ$290</f>
        <v>52.037999999999997</v>
      </c>
      <c r="AD136" s="253">
        <f>(SUM(X136:AB136)/SUM(X$140:AB$140))*AD$140-7</f>
        <v>37.294146262364194</v>
      </c>
      <c r="AE136" s="253">
        <f t="shared" si="78"/>
        <v>27.166567244223625</v>
      </c>
      <c r="AH136">
        <v>41.013098391077961</v>
      </c>
      <c r="AI136" s="253"/>
    </row>
    <row r="137" spans="1:35">
      <c r="A137" s="240" t="s">
        <v>236</v>
      </c>
      <c r="B137" s="290">
        <f t="shared" si="79"/>
        <v>0</v>
      </c>
      <c r="C137" s="290">
        <f t="shared" si="77"/>
        <v>0</v>
      </c>
      <c r="D137" s="290">
        <f t="shared" si="77"/>
        <v>0</v>
      </c>
      <c r="E137" s="290">
        <f t="shared" si="77"/>
        <v>0</v>
      </c>
      <c r="F137" s="290">
        <f t="shared" si="77"/>
        <v>0</v>
      </c>
      <c r="G137" s="146">
        <f>'[2]India Sun Meal Imports'!CW$290</f>
        <v>0</v>
      </c>
      <c r="H137" s="146">
        <f>'[2]India Sun Meal Imports'!DI$290</f>
        <v>0</v>
      </c>
      <c r="I137" s="146">
        <f>'[2]India Sun Meal Imports'!DU$290</f>
        <v>0</v>
      </c>
      <c r="J137" s="146">
        <f>'[2]India Sun Meal Imports'!EG$290</f>
        <v>0</v>
      </c>
      <c r="K137" s="146">
        <f>'[2]India Sun Meal Imports'!ES$290</f>
        <v>0</v>
      </c>
      <c r="L137" s="146">
        <f>'[2]India Sun Meal Imports'!FE$290</f>
        <v>0</v>
      </c>
      <c r="M137" s="146">
        <f>'[2]India Sun Meal Imports'!FQ$290</f>
        <v>0</v>
      </c>
      <c r="N137" s="146">
        <f>'[2]India Sun Meal Imports'!GC$290</f>
        <v>0</v>
      </c>
      <c r="O137" s="146">
        <f>'[2]India Sun Meal Imports'!GO$290</f>
        <v>0</v>
      </c>
      <c r="P137" s="146">
        <f>'[2]India Sun Meal Imports'!HA$290</f>
        <v>0</v>
      </c>
      <c r="Q137" s="146">
        <f>'[2]India Sun Meal Imports'!HM$290</f>
        <v>0</v>
      </c>
      <c r="R137" s="146">
        <f>'[2]India Sun Meal Imports'!HY$290</f>
        <v>1.327</v>
      </c>
      <c r="S137" s="146">
        <f>'[2]India Sun Meal Imports'!IK$290</f>
        <v>0</v>
      </c>
      <c r="T137" s="146">
        <f>'[2]India Sun Meal Imports'!IW$290</f>
        <v>5.5129999999999999</v>
      </c>
      <c r="U137" s="146">
        <f>'[2]India Sun Meal Imports'!JI$290</f>
        <v>5.3579999999999997</v>
      </c>
      <c r="V137" s="146">
        <f>'[2]India Sun Meal Imports'!JU$290</f>
        <v>4.3620000000000001</v>
      </c>
      <c r="W137" s="146">
        <f>'[2]India Sun Meal Imports'!KG$290</f>
        <v>1.129</v>
      </c>
      <c r="X137" s="146">
        <f>'[2]India Sun Meal Imports'!KS$290</f>
        <v>41.725000000000001</v>
      </c>
      <c r="Y137" s="146">
        <f>'[2]India Sun Meal Imports'!LE$290</f>
        <v>2.64</v>
      </c>
      <c r="Z137" s="146">
        <f>'[2]India Sun Meal Imports'!LQ$290</f>
        <v>1.9790000000000001</v>
      </c>
      <c r="AA137" s="146">
        <f>'[2]India Sun Meal Imports'!MC$290</f>
        <v>13.972</v>
      </c>
      <c r="AB137" s="146">
        <f>'[2]India Sun Meal Imports'!MO$290</f>
        <v>3.3959999999999999</v>
      </c>
      <c r="AC137" s="146">
        <f>'[2]India Sun Meal Imports'!NA$290</f>
        <v>0.22700000000000001</v>
      </c>
      <c r="AD137" s="253">
        <f>(SUM(X137:AB137)/SUM(X$140:AB$140))*AD$140-1</f>
        <v>14.496675855359172</v>
      </c>
      <c r="AE137" s="253">
        <f t="shared" si="78"/>
        <v>3.2373178091827484</v>
      </c>
      <c r="AH137">
        <v>14.34877394014738</v>
      </c>
      <c r="AI137" s="253"/>
    </row>
    <row r="138" spans="1:35">
      <c r="A138" s="240" t="s">
        <v>237</v>
      </c>
      <c r="B138" s="290">
        <f t="shared" si="79"/>
        <v>0</v>
      </c>
      <c r="C138" s="290">
        <f t="shared" si="77"/>
        <v>0</v>
      </c>
      <c r="D138" s="290">
        <f t="shared" si="77"/>
        <v>0</v>
      </c>
      <c r="E138" s="290">
        <f t="shared" si="77"/>
        <v>0</v>
      </c>
      <c r="F138" s="290">
        <f t="shared" si="77"/>
        <v>0</v>
      </c>
      <c r="G138" s="146">
        <f>'[2]India Sun Meal Imports'!CX$290</f>
        <v>0</v>
      </c>
      <c r="H138" s="146">
        <f>'[2]India Sun Meal Imports'!DJ$290</f>
        <v>0</v>
      </c>
      <c r="I138" s="146">
        <f>'[2]India Sun Meal Imports'!DV$290</f>
        <v>0</v>
      </c>
      <c r="J138" s="146">
        <f>'[2]India Sun Meal Imports'!EH$290</f>
        <v>0</v>
      </c>
      <c r="K138" s="146">
        <f>'[2]India Sun Meal Imports'!ET$290</f>
        <v>0</v>
      </c>
      <c r="L138" s="146">
        <f>'[2]India Sun Meal Imports'!FF$290</f>
        <v>0.19900000000000001</v>
      </c>
      <c r="M138" s="146">
        <f>'[2]India Sun Meal Imports'!FR$290</f>
        <v>7.8E-2</v>
      </c>
      <c r="N138" s="146">
        <f>'[2]India Sun Meal Imports'!GD$290</f>
        <v>0</v>
      </c>
      <c r="O138" s="146">
        <f>'[2]India Sun Meal Imports'!GP$290</f>
        <v>0</v>
      </c>
      <c r="P138" s="146">
        <f>'[2]India Sun Meal Imports'!HB$290</f>
        <v>0</v>
      </c>
      <c r="Q138" s="146">
        <f>'[2]India Sun Meal Imports'!HN$290</f>
        <v>8.6999999999999994E-2</v>
      </c>
      <c r="R138" s="146">
        <f>'[2]India Sun Meal Imports'!HZ$290</f>
        <v>5.8999999999999997E-2</v>
      </c>
      <c r="S138" s="146">
        <f>'[2]India Sun Meal Imports'!IL$290</f>
        <v>0</v>
      </c>
      <c r="T138" s="146">
        <f>'[2]India Sun Meal Imports'!IX$290</f>
        <v>3.839</v>
      </c>
      <c r="U138" s="146">
        <f>'[2]India Sun Meal Imports'!JJ$290</f>
        <v>10.669</v>
      </c>
      <c r="V138" s="146">
        <f>'[2]India Sun Meal Imports'!JV$290</f>
        <v>3.9620000000000002</v>
      </c>
      <c r="W138" s="146">
        <f>'[2]India Sun Meal Imports'!KH$290</f>
        <v>2.8780000000000001</v>
      </c>
      <c r="X138" s="146">
        <f>'[2]India Sun Meal Imports'!KT$290</f>
        <v>10.51</v>
      </c>
      <c r="Y138" s="146">
        <f>'[2]India Sun Meal Imports'!LF$290</f>
        <v>29.850999999999999</v>
      </c>
      <c r="Z138" s="146">
        <f>'[2]India Sun Meal Imports'!LR$290</f>
        <v>2.8980000000000001</v>
      </c>
      <c r="AA138" s="146">
        <f>'[2]India Sun Meal Imports'!MD$290</f>
        <v>3.419</v>
      </c>
      <c r="AB138" s="146">
        <f>'[2]India Sun Meal Imports'!MP$290</f>
        <v>29.965</v>
      </c>
      <c r="AC138" s="146">
        <f>'[2]India Sun Meal Imports'!NB$290</f>
        <v>0.99299999999999999</v>
      </c>
      <c r="AD138" s="253">
        <f>(SUM(X138:AB138)/SUM(X$140:AB$140))*AD$140-1</f>
        <v>17.641884222474463</v>
      </c>
      <c r="AE138" s="253">
        <f t="shared" si="78"/>
        <v>9.7824883073377649</v>
      </c>
      <c r="AH138">
        <v>17.261003909698577</v>
      </c>
      <c r="AI138" s="253"/>
    </row>
    <row r="139" spans="1:35">
      <c r="A139" s="240" t="s">
        <v>238</v>
      </c>
      <c r="B139" s="290">
        <f t="shared" si="79"/>
        <v>0</v>
      </c>
      <c r="C139" s="290">
        <f t="shared" si="77"/>
        <v>0</v>
      </c>
      <c r="D139" s="290">
        <f t="shared" si="77"/>
        <v>0</v>
      </c>
      <c r="E139" s="290">
        <f t="shared" si="77"/>
        <v>0</v>
      </c>
      <c r="F139" s="290">
        <f t="shared" si="77"/>
        <v>0</v>
      </c>
      <c r="G139" s="146">
        <f>'[2]India Sun Meal Imports'!CY$290</f>
        <v>0</v>
      </c>
      <c r="H139" s="146">
        <f>'[2]India Sun Meal Imports'!DK$290</f>
        <v>0</v>
      </c>
      <c r="I139" s="146">
        <f>'[2]India Sun Meal Imports'!DW$290</f>
        <v>0</v>
      </c>
      <c r="J139" s="146">
        <f>'[2]India Sun Meal Imports'!EI$290</f>
        <v>0</v>
      </c>
      <c r="K139" s="146">
        <f>'[2]India Sun Meal Imports'!EU$290</f>
        <v>0</v>
      </c>
      <c r="L139" s="146">
        <f>'[2]India Sun Meal Imports'!FG$290</f>
        <v>0.1</v>
      </c>
      <c r="M139" s="146">
        <f>'[2]India Sun Meal Imports'!FS$290</f>
        <v>0</v>
      </c>
      <c r="N139" s="146">
        <f>'[2]India Sun Meal Imports'!GE$290</f>
        <v>0</v>
      </c>
      <c r="O139" s="146">
        <f>'[2]India Sun Meal Imports'!GQ$290</f>
        <v>0</v>
      </c>
      <c r="P139" s="146">
        <f>'[2]India Sun Meal Imports'!HC$290</f>
        <v>0</v>
      </c>
      <c r="Q139" s="146">
        <f>'[2]India Sun Meal Imports'!HO$290</f>
        <v>0</v>
      </c>
      <c r="R139" s="146">
        <f>'[2]India Sun Meal Imports'!IA$290</f>
        <v>0.51500000000000001</v>
      </c>
      <c r="S139" s="146">
        <f>'[2]India Sun Meal Imports'!IM$290</f>
        <v>0</v>
      </c>
      <c r="T139" s="146">
        <f>'[2]India Sun Meal Imports'!IY$290</f>
        <v>11.725</v>
      </c>
      <c r="U139" s="146">
        <f>'[2]India Sun Meal Imports'!JK$290</f>
        <v>9.8360000000000003</v>
      </c>
      <c r="V139" s="146">
        <f>'[2]India Sun Meal Imports'!JW$290</f>
        <v>8.4600000000000009</v>
      </c>
      <c r="W139" s="146">
        <f>'[2]India Sun Meal Imports'!KI$290</f>
        <v>2.83</v>
      </c>
      <c r="X139" s="146">
        <f>'[2]India Sun Meal Imports'!KU$290</f>
        <v>5.8230000000000004</v>
      </c>
      <c r="Y139" s="146">
        <f>'[2]India Sun Meal Imports'!LG$290</f>
        <v>29.739000000000001</v>
      </c>
      <c r="Z139" s="146">
        <f>'[2]India Sun Meal Imports'!LS$290</f>
        <v>2.0739999999999998</v>
      </c>
      <c r="AA139" s="146">
        <f>'[2]India Sun Meal Imports'!ME$290</f>
        <v>6.4820000000000002</v>
      </c>
      <c r="AB139" s="146">
        <f>'[2]India Sun Meal Imports'!MQ$290</f>
        <v>3.0470000000000002</v>
      </c>
      <c r="AC139" s="146">
        <f>'[2]India Sun Meal Imports'!NC$290</f>
        <v>46.281999999999996</v>
      </c>
      <c r="AD139" s="253">
        <f t="shared" ref="AD139:AE139" si="80">AD140-SUM(AD128:AD138)</f>
        <v>0.20888795200255572</v>
      </c>
      <c r="AE139" s="253">
        <f t="shared" si="80"/>
        <v>12.769727906357645</v>
      </c>
    </row>
    <row r="140" spans="1:35" ht="15.75" thickBot="1">
      <c r="A140" s="240" t="s">
        <v>242</v>
      </c>
      <c r="B140" s="146">
        <f t="shared" ref="B140:G140" si="81">B24</f>
        <v>0</v>
      </c>
      <c r="C140" s="146">
        <f t="shared" si="81"/>
        <v>0</v>
      </c>
      <c r="D140" s="146">
        <f t="shared" si="81"/>
        <v>0</v>
      </c>
      <c r="E140" s="146">
        <f t="shared" si="81"/>
        <v>0</v>
      </c>
      <c r="F140" s="146">
        <f t="shared" si="81"/>
        <v>0</v>
      </c>
      <c r="G140" s="146">
        <f t="shared" si="81"/>
        <v>0</v>
      </c>
      <c r="H140" s="146">
        <f t="shared" ref="H140:AB140" si="82">SUM(H128:H139)</f>
        <v>0</v>
      </c>
      <c r="I140" s="146">
        <f t="shared" si="82"/>
        <v>0</v>
      </c>
      <c r="J140" s="146">
        <f t="shared" si="82"/>
        <v>0</v>
      </c>
      <c r="K140" s="146">
        <f t="shared" si="82"/>
        <v>0</v>
      </c>
      <c r="L140" s="146">
        <f t="shared" si="82"/>
        <v>0.504</v>
      </c>
      <c r="M140" s="146">
        <f t="shared" si="82"/>
        <v>0.20600000000000002</v>
      </c>
      <c r="N140" s="146">
        <f t="shared" si="82"/>
        <v>6.9000000000000006E-2</v>
      </c>
      <c r="O140" s="146">
        <f t="shared" si="82"/>
        <v>3.4000000000000002E-2</v>
      </c>
      <c r="P140" s="146">
        <f t="shared" si="82"/>
        <v>0</v>
      </c>
      <c r="Q140" s="146">
        <f t="shared" si="82"/>
        <v>0.192</v>
      </c>
      <c r="R140" s="146">
        <f t="shared" si="82"/>
        <v>9.363999999999999</v>
      </c>
      <c r="S140" s="146">
        <f t="shared" si="82"/>
        <v>0.42299999999999999</v>
      </c>
      <c r="T140" s="146">
        <f t="shared" si="82"/>
        <v>23.987000000000002</v>
      </c>
      <c r="U140" s="146">
        <f t="shared" si="82"/>
        <v>96.754999999999995</v>
      </c>
      <c r="V140" s="146">
        <f t="shared" si="82"/>
        <v>40.966000000000001</v>
      </c>
      <c r="W140" s="146">
        <f t="shared" si="82"/>
        <v>31.835000000000001</v>
      </c>
      <c r="X140" s="146">
        <f t="shared" si="82"/>
        <v>184.29499999999999</v>
      </c>
      <c r="Y140" s="146">
        <f t="shared" si="82"/>
        <v>305.52999999999992</v>
      </c>
      <c r="Z140" s="146">
        <f t="shared" si="82"/>
        <v>122.529</v>
      </c>
      <c r="AA140" s="146">
        <f t="shared" si="82"/>
        <v>156.28900000000002</v>
      </c>
      <c r="AB140" s="146">
        <f t="shared" si="82"/>
        <v>341.41699999999997</v>
      </c>
      <c r="AC140" s="146">
        <f>SUM(AC128:AC139)</f>
        <v>103.51299999999999</v>
      </c>
      <c r="AD140" s="253">
        <f t="shared" ref="AD140:AE140" si="83">AD24</f>
        <v>270</v>
      </c>
      <c r="AE140" s="253">
        <f t="shared" si="83"/>
        <v>150</v>
      </c>
    </row>
    <row r="141" spans="1:35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  <c r="AE141" s="248"/>
    </row>
    <row r="142" spans="1:35" ht="15.75" thickBot="1">
      <c r="A142" s="235" t="s">
        <v>257</v>
      </c>
    </row>
    <row r="143" spans="1:35" ht="15.75" thickBot="1">
      <c r="A143" s="236"/>
      <c r="B143" s="237" t="str">
        <f>B$2</f>
        <v xml:space="preserve">93/94 </v>
      </c>
      <c r="C143" s="237" t="str">
        <f t="shared" ref="C143:AE143" si="84">C$2</f>
        <v xml:space="preserve">94/95 </v>
      </c>
      <c r="D143" s="237" t="str">
        <f t="shared" si="84"/>
        <v xml:space="preserve">95/96 </v>
      </c>
      <c r="E143" s="237" t="str">
        <f t="shared" si="84"/>
        <v xml:space="preserve">96/97 </v>
      </c>
      <c r="F143" s="237" t="str">
        <f t="shared" si="84"/>
        <v xml:space="preserve">97/98 </v>
      </c>
      <c r="G143" s="237" t="str">
        <f t="shared" si="84"/>
        <v xml:space="preserve">98/99 </v>
      </c>
      <c r="H143" s="237" t="str">
        <f t="shared" si="84"/>
        <v xml:space="preserve">99/00 </v>
      </c>
      <c r="I143" s="237" t="str">
        <f t="shared" si="84"/>
        <v xml:space="preserve">00/01 </v>
      </c>
      <c r="J143" s="237" t="str">
        <f t="shared" si="84"/>
        <v xml:space="preserve">01/02 </v>
      </c>
      <c r="K143" s="237" t="str">
        <f t="shared" si="84"/>
        <v xml:space="preserve">02/03 </v>
      </c>
      <c r="L143" s="237" t="str">
        <f t="shared" si="84"/>
        <v xml:space="preserve">03/04 </v>
      </c>
      <c r="M143" s="237" t="str">
        <f t="shared" si="84"/>
        <v xml:space="preserve">04/05 </v>
      </c>
      <c r="N143" s="237" t="str">
        <f t="shared" si="84"/>
        <v xml:space="preserve">05/06 </v>
      </c>
      <c r="O143" s="237" t="str">
        <f t="shared" si="84"/>
        <v xml:space="preserve">06/07 </v>
      </c>
      <c r="P143" s="237" t="str">
        <f t="shared" si="84"/>
        <v xml:space="preserve">07/08 </v>
      </c>
      <c r="Q143" s="237" t="str">
        <f t="shared" si="84"/>
        <v xml:space="preserve">08/09 </v>
      </c>
      <c r="R143" s="237" t="str">
        <f t="shared" si="84"/>
        <v xml:space="preserve">09/10 </v>
      </c>
      <c r="S143" s="237" t="str">
        <f t="shared" si="84"/>
        <v xml:space="preserve">10/11 </v>
      </c>
      <c r="T143" s="237" t="str">
        <f t="shared" si="84"/>
        <v xml:space="preserve">11/12 </v>
      </c>
      <c r="U143" s="237" t="str">
        <f t="shared" si="84"/>
        <v xml:space="preserve">12/13 </v>
      </c>
      <c r="V143" s="237" t="str">
        <f t="shared" si="84"/>
        <v xml:space="preserve">13/14 </v>
      </c>
      <c r="W143" s="237" t="str">
        <f t="shared" si="84"/>
        <v xml:space="preserve">14/15 </v>
      </c>
      <c r="X143" s="237" t="str">
        <f t="shared" si="84"/>
        <v xml:space="preserve">15/16 </v>
      </c>
      <c r="Y143" s="237" t="str">
        <f t="shared" si="84"/>
        <v xml:space="preserve">16/17 </v>
      </c>
      <c r="Z143" s="237" t="str">
        <f t="shared" si="84"/>
        <v xml:space="preserve">17/18 </v>
      </c>
      <c r="AA143" s="237" t="str">
        <f t="shared" si="84"/>
        <v xml:space="preserve">18/19 </v>
      </c>
      <c r="AB143" s="237" t="str">
        <f t="shared" si="84"/>
        <v xml:space="preserve">19/20 </v>
      </c>
      <c r="AC143" s="237" t="str">
        <f t="shared" si="84"/>
        <v xml:space="preserve">20/21 </v>
      </c>
      <c r="AD143" s="237" t="str">
        <f t="shared" si="84"/>
        <v xml:space="preserve">21/22 </v>
      </c>
      <c r="AE143" s="237" t="str">
        <f t="shared" si="84"/>
        <v xml:space="preserve">22/23 </v>
      </c>
    </row>
    <row r="144" spans="1:35">
      <c r="A144" s="240" t="s">
        <v>239</v>
      </c>
      <c r="B144" s="241">
        <f>(SUM(K144:O144)/SUM(K$156:O$156))*B$156</f>
        <v>6.4219796600861052</v>
      </c>
      <c r="C144" s="241">
        <f t="shared" ref="C144:F155" si="85">(SUM(L144:P144)/SUM(L$156:P$156))*C$156</f>
        <v>2.4649652418637098</v>
      </c>
      <c r="D144" s="241">
        <f t="shared" si="85"/>
        <v>1.634706067274442</v>
      </c>
      <c r="E144" s="241">
        <f t="shared" si="85"/>
        <v>0.58776020930497097</v>
      </c>
      <c r="F144" s="241">
        <f t="shared" si="85"/>
        <v>8.7259414597735882E-2</v>
      </c>
      <c r="G144" s="241">
        <v>3</v>
      </c>
      <c r="H144" s="242">
        <f>'[2]India Sun Meal Exports'!CZ$290</f>
        <v>0</v>
      </c>
      <c r="I144" s="242">
        <f>'[2]India Sun Meal Exports'!DL$290</f>
        <v>0</v>
      </c>
      <c r="J144" s="242">
        <f>'[2]India Sun Meal Exports'!DX$290</f>
        <v>0</v>
      </c>
      <c r="K144" s="242">
        <f>'[2]India Sun Meal Exports'!EJ$290</f>
        <v>0</v>
      </c>
      <c r="L144" s="242">
        <f>'[2]India Sun Meal Exports'!EV$290</f>
        <v>1.2</v>
      </c>
      <c r="M144" s="242">
        <f>'[2]India Sun Meal Exports'!FH$290</f>
        <v>0.41099999999999998</v>
      </c>
      <c r="N144" s="242">
        <f>'[2]India Sun Meal Exports'!FT$290</f>
        <v>4.2839999999999998</v>
      </c>
      <c r="O144" s="242">
        <f>'[2]India Sun Meal Exports'!GF$290</f>
        <v>5.8000000000000003E-2</v>
      </c>
      <c r="P144" s="242">
        <f>'[2]India Sun Meal Exports'!GR$290</f>
        <v>7.4999999999999997E-2</v>
      </c>
      <c r="Q144" s="242">
        <f>'[2]India Sun Meal Exports'!HD$290</f>
        <v>0.53200000000000003</v>
      </c>
      <c r="R144" s="242">
        <f>'[2]India Sun Meal Exports'!HP$290</f>
        <v>0.218</v>
      </c>
      <c r="S144" s="242">
        <f>'[2]India Sun Meal Exports'!IB$290</f>
        <v>0.59</v>
      </c>
      <c r="T144" s="242">
        <f>'[2]India Sun Meal Exports'!IN$290</f>
        <v>4.5999999999999999E-2</v>
      </c>
      <c r="U144" s="242">
        <f>'[2]India Sun Meal Exports'!IZ$290</f>
        <v>0.40799999999999997</v>
      </c>
      <c r="V144" s="242">
        <f>'[2]India Sun Meal Exports'!JL$290</f>
        <v>1.9990000000000001</v>
      </c>
      <c r="W144" s="242">
        <f>'[2]India Sun Meal Exports'!JX$290</f>
        <v>0.161</v>
      </c>
      <c r="X144" s="242">
        <f>'[2]India Sun Meal Exports'!KJ$290</f>
        <v>0.27800000000000002</v>
      </c>
      <c r="Y144" s="242">
        <f>'[2]India Sun Meal Exports'!KV$290</f>
        <v>0.109</v>
      </c>
      <c r="Z144" s="242">
        <f>'[2]India Sun Meal Exports'!LH$290</f>
        <v>0.16800000000000001</v>
      </c>
      <c r="AA144" s="242">
        <f>'[2]India Sun Meal Exports'!LT$290</f>
        <v>0.222</v>
      </c>
      <c r="AB144" s="242">
        <f>'[2]India Sun Meal Exports'!MF$290</f>
        <v>7.0999999999999994E-2</v>
      </c>
      <c r="AC144" s="242">
        <f>'[2]India Sun Meal Exports'!MR$290</f>
        <v>4.3999999999999997E-2</v>
      </c>
      <c r="AD144" s="242">
        <f>'[2]India Sun Meal Exports'!ND$290</f>
        <v>3.5000000000000003E-2</v>
      </c>
      <c r="AE144" s="243">
        <f t="shared" ref="AE144:AE154" si="86">(SUM(Y144:AC144)/SUM(Y$156:AC$156))*AE$156</f>
        <v>9.2316944820327776E-2</v>
      </c>
    </row>
    <row r="145" spans="1:31">
      <c r="A145" s="240" t="s">
        <v>240</v>
      </c>
      <c r="B145" s="241">
        <f t="shared" ref="B145:B155" si="87">(SUM(K145:O145)/SUM(K$156:O$156))*B$156</f>
        <v>7.5676444339835438</v>
      </c>
      <c r="C145" s="241">
        <f t="shared" si="85"/>
        <v>2.8681596228321271</v>
      </c>
      <c r="D145" s="241">
        <f t="shared" si="85"/>
        <v>2.2968230210156384</v>
      </c>
      <c r="E145" s="241">
        <f t="shared" si="85"/>
        <v>0.79979524513707201</v>
      </c>
      <c r="F145" s="241">
        <f t="shared" si="85"/>
        <v>9.0221377075595216E-2</v>
      </c>
      <c r="G145" s="241">
        <v>0</v>
      </c>
      <c r="H145" s="242">
        <f>'[2]India Sun Meal Exports'!DA$290</f>
        <v>0</v>
      </c>
      <c r="I145" s="242">
        <f>'[2]India Sun Meal Exports'!DM$290</f>
        <v>0</v>
      </c>
      <c r="J145" s="242">
        <f>'[2]India Sun Meal Exports'!DY$290</f>
        <v>0</v>
      </c>
      <c r="K145" s="242">
        <f>'[2]India Sun Meal Exports'!EK$290</f>
        <v>0.15</v>
      </c>
      <c r="L145" s="242">
        <f>'[2]India Sun Meal Exports'!EW$290</f>
        <v>7.0000000000000007E-2</v>
      </c>
      <c r="M145" s="242">
        <f>'[2]India Sun Meal Exports'!FI$290</f>
        <v>0.95699999999999996</v>
      </c>
      <c r="N145" s="242">
        <f>'[2]India Sun Meal Exports'!FU$290</f>
        <v>5.7930000000000001</v>
      </c>
      <c r="O145" s="242">
        <f>'[2]India Sun Meal Exports'!GG$290</f>
        <v>4.4999999999999998E-2</v>
      </c>
      <c r="P145" s="242">
        <f>'[2]India Sun Meal Exports'!GS$290</f>
        <v>0.14899999999999999</v>
      </c>
      <c r="Q145" s="242">
        <f>'[2]India Sun Meal Exports'!HE$290</f>
        <v>0.58699999999999997</v>
      </c>
      <c r="R145" s="242">
        <f>'[2]India Sun Meal Exports'!HQ$290</f>
        <v>0.45700000000000002</v>
      </c>
      <c r="S145" s="242">
        <f>'[2]India Sun Meal Exports'!IC$290</f>
        <v>0.28499999999999998</v>
      </c>
      <c r="T145" s="242">
        <f>'[2]India Sun Meal Exports'!IO$290</f>
        <v>0.35299999999999998</v>
      </c>
      <c r="U145" s="242">
        <f>'[2]India Sun Meal Exports'!JA$290</f>
        <v>0.187</v>
      </c>
      <c r="V145" s="242">
        <f>'[2]India Sun Meal Exports'!JM$290</f>
        <v>0.58799999999999997</v>
      </c>
      <c r="W145" s="242">
        <f>'[2]India Sun Meal Exports'!JY$290</f>
        <v>0.52500000000000002</v>
      </c>
      <c r="X145" s="242">
        <f>'[2]India Sun Meal Exports'!KK$290</f>
        <v>0.115</v>
      </c>
      <c r="Y145" s="242">
        <f>'[2]India Sun Meal Exports'!KW$290</f>
        <v>0.35199999999999998</v>
      </c>
      <c r="Z145" s="242">
        <f>'[2]India Sun Meal Exports'!LI$290</f>
        <v>0.26400000000000001</v>
      </c>
      <c r="AA145" s="242">
        <f>'[2]India Sun Meal Exports'!LU$290</f>
        <v>8.3000000000000004E-2</v>
      </c>
      <c r="AB145" s="242">
        <f>'[2]India Sun Meal Exports'!MG$290</f>
        <v>6.7000000000000004E-2</v>
      </c>
      <c r="AC145" s="242">
        <f>'[2]India Sun Meal Exports'!MS$290</f>
        <v>0.13900000000000001</v>
      </c>
      <c r="AD145" s="242">
        <f>'[2]India Sun Meal Exports'!NE$290</f>
        <v>0</v>
      </c>
      <c r="AE145" s="243">
        <f t="shared" si="86"/>
        <v>0.1360697639452714</v>
      </c>
    </row>
    <row r="146" spans="1:31">
      <c r="A146" s="240" t="s">
        <v>241</v>
      </c>
      <c r="B146" s="241">
        <f t="shared" si="87"/>
        <v>34.441142722645566</v>
      </c>
      <c r="C146" s="241">
        <f t="shared" si="85"/>
        <v>14.210761792509564</v>
      </c>
      <c r="D146" s="241">
        <f t="shared" si="85"/>
        <v>10.411186757191723</v>
      </c>
      <c r="E146" s="241">
        <f t="shared" si="85"/>
        <v>3.8555340689341375</v>
      </c>
      <c r="F146" s="241">
        <f t="shared" si="85"/>
        <v>1.6240440266102709</v>
      </c>
      <c r="G146" s="241">
        <v>0</v>
      </c>
      <c r="H146" s="242">
        <f>'[2]India Sun Meal Exports'!DB$290</f>
        <v>0</v>
      </c>
      <c r="I146" s="242">
        <f>'[2]India Sun Meal Exports'!DN$290</f>
        <v>0</v>
      </c>
      <c r="J146" s="242">
        <f>'[2]India Sun Meal Exports'!DZ$290</f>
        <v>0</v>
      </c>
      <c r="K146" s="242">
        <f>'[2]India Sun Meal Exports'!EL$290</f>
        <v>0</v>
      </c>
      <c r="L146" s="242">
        <f>'[2]India Sun Meal Exports'!EX$290</f>
        <v>1.198</v>
      </c>
      <c r="M146" s="242">
        <f>'[2]India Sun Meal Exports'!FJ$290</f>
        <v>0.29699999999999999</v>
      </c>
      <c r="N146" s="242">
        <f>'[2]India Sun Meal Exports'!FV$290</f>
        <v>6.66</v>
      </c>
      <c r="O146" s="242">
        <f>'[2]India Sun Meal Exports'!GH$290</f>
        <v>23.771000000000001</v>
      </c>
      <c r="P146" s="242">
        <f>'[2]India Sun Meal Exports'!GT$290</f>
        <v>2.8260000000000001</v>
      </c>
      <c r="Q146" s="242">
        <f>'[2]India Sun Meal Exports'!HF$290</f>
        <v>0.58299999999999996</v>
      </c>
      <c r="R146" s="242">
        <f>'[2]India Sun Meal Exports'!HR$290</f>
        <v>5.3999999999999999E-2</v>
      </c>
      <c r="S146" s="242">
        <f>'[2]India Sun Meal Exports'!ID$290</f>
        <v>0.18099999999999999</v>
      </c>
      <c r="T146" s="242">
        <f>'[2]India Sun Meal Exports'!IP$290</f>
        <v>3.1E-2</v>
      </c>
      <c r="U146" s="242">
        <f>'[2]India Sun Meal Exports'!JB$290</f>
        <v>0.35699999999999998</v>
      </c>
      <c r="V146" s="242">
        <f>'[2]India Sun Meal Exports'!JN$290</f>
        <v>0.48499999999999999</v>
      </c>
      <c r="W146" s="242">
        <f>'[2]India Sun Meal Exports'!JZ$290</f>
        <v>0.439</v>
      </c>
      <c r="X146" s="242">
        <f>'[2]India Sun Meal Exports'!KL$290</f>
        <v>0.53600000000000003</v>
      </c>
      <c r="Y146" s="242">
        <f>'[2]India Sun Meal Exports'!KX$290</f>
        <v>0.29099999999999998</v>
      </c>
      <c r="Z146" s="242">
        <f>'[2]India Sun Meal Exports'!LJ$290</f>
        <v>7.9000000000000001E-2</v>
      </c>
      <c r="AA146" s="242">
        <f>'[2]India Sun Meal Exports'!LV$290</f>
        <v>4.3999999999999997E-2</v>
      </c>
      <c r="AB146" s="242">
        <f>'[2]India Sun Meal Exports'!MH$290</f>
        <v>4.2000000000000003E-2</v>
      </c>
      <c r="AC146" s="242">
        <f>'[2]India Sun Meal Exports'!MT$290</f>
        <v>0.05</v>
      </c>
      <c r="AD146" s="242">
        <f>'[2]India Sun Meal Exports'!NF$290</f>
        <v>0</v>
      </c>
      <c r="AE146" s="243">
        <f t="shared" si="86"/>
        <v>7.6078785145090963E-2</v>
      </c>
    </row>
    <row r="147" spans="1:31">
      <c r="A147" s="240" t="s">
        <v>231</v>
      </c>
      <c r="B147" s="241">
        <f t="shared" si="87"/>
        <v>32.224249021742331</v>
      </c>
      <c r="C147" s="241">
        <f t="shared" si="85"/>
        <v>11.605946166983379</v>
      </c>
      <c r="D147" s="241">
        <f t="shared" si="85"/>
        <v>8.6941354216030824</v>
      </c>
      <c r="E147" s="241">
        <f t="shared" si="85"/>
        <v>2.7858036628369929</v>
      </c>
      <c r="F147" s="241">
        <f t="shared" si="85"/>
        <v>0.94060080446900929</v>
      </c>
      <c r="G147" s="242">
        <f>'[2]India Sun Meal Exports'!CQ$290</f>
        <v>0</v>
      </c>
      <c r="H147" s="242">
        <f>'[2]India Sun Meal Exports'!DC$290</f>
        <v>1.302</v>
      </c>
      <c r="I147" s="242">
        <f>'[2]India Sun Meal Exports'!DO$290</f>
        <v>0</v>
      </c>
      <c r="J147" s="242">
        <f>'[2]India Sun Meal Exports'!EA$290</f>
        <v>0</v>
      </c>
      <c r="K147" s="242">
        <f>'[2]India Sun Meal Exports'!EM$290</f>
        <v>2.3660000000000001</v>
      </c>
      <c r="L147" s="242">
        <f>'[2]India Sun Meal Exports'!EY$290</f>
        <v>0.40600000000000003</v>
      </c>
      <c r="M147" s="242">
        <f>'[2]India Sun Meal Exports'!FK$290</f>
        <v>4.1740000000000004</v>
      </c>
      <c r="N147" s="242">
        <f>'[2]India Sun Meal Exports'!FW$290</f>
        <v>8.7650000000000006</v>
      </c>
      <c r="O147" s="242">
        <f>'[2]India Sun Meal Exports'!GI$290</f>
        <v>14.16</v>
      </c>
      <c r="P147" s="242">
        <f>'[2]India Sun Meal Exports'!GU$290</f>
        <v>0.877</v>
      </c>
      <c r="Q147" s="242">
        <f>'[2]India Sun Meal Exports'!HG$290</f>
        <v>0.53100000000000003</v>
      </c>
      <c r="R147" s="242">
        <f>'[2]India Sun Meal Exports'!HS$290</f>
        <v>0.157</v>
      </c>
      <c r="S147" s="242">
        <f>'[2]India Sun Meal Exports'!IE$290</f>
        <v>0.153</v>
      </c>
      <c r="T147" s="242">
        <f>'[2]India Sun Meal Exports'!IQ$290</f>
        <v>0.96799999999999997</v>
      </c>
      <c r="U147" s="242">
        <f>'[2]India Sun Meal Exports'!JC$290</f>
        <v>0.47899999999999998</v>
      </c>
      <c r="V147" s="242">
        <f>'[2]India Sun Meal Exports'!JO$290</f>
        <v>0.153</v>
      </c>
      <c r="W147" s="242">
        <f>'[2]India Sun Meal Exports'!KA$290</f>
        <v>0.33700000000000002</v>
      </c>
      <c r="X147" s="242">
        <f>'[2]India Sun Meal Exports'!KM$290</f>
        <v>0.45600000000000002</v>
      </c>
      <c r="Y147" s="242">
        <f>'[2]India Sun Meal Exports'!KY$290</f>
        <v>4.5999999999999999E-2</v>
      </c>
      <c r="Z147" s="242">
        <f>'[2]India Sun Meal Exports'!LK$290</f>
        <v>0.153</v>
      </c>
      <c r="AA147" s="242">
        <f>'[2]India Sun Meal Exports'!LW$290</f>
        <v>0.124</v>
      </c>
      <c r="AB147" s="242">
        <f>'[2]India Sun Meal Exports'!MI$290</f>
        <v>0.11</v>
      </c>
      <c r="AC147" s="242">
        <f>'[2]India Sun Meal Exports'!MU$290</f>
        <v>8.4000000000000005E-2</v>
      </c>
      <c r="AD147" s="242">
        <f>'[2]India Sun Meal Exports'!NG$290</f>
        <v>0</v>
      </c>
      <c r="AE147" s="243">
        <f t="shared" si="86"/>
        <v>7.7732671778679902E-2</v>
      </c>
    </row>
    <row r="148" spans="1:31">
      <c r="A148" s="240" t="s">
        <v>232</v>
      </c>
      <c r="B148" s="241">
        <f t="shared" si="87"/>
        <v>17.79879765022017</v>
      </c>
      <c r="C148" s="241">
        <f t="shared" si="85"/>
        <v>6.9074639790248487</v>
      </c>
      <c r="D148" s="241">
        <f t="shared" si="85"/>
        <v>4.9681645216232573</v>
      </c>
      <c r="E148" s="241">
        <f t="shared" si="85"/>
        <v>1.5801387782959846</v>
      </c>
      <c r="F148" s="241">
        <f t="shared" si="85"/>
        <v>0.84184897545717896</v>
      </c>
      <c r="G148" s="242">
        <f>'[2]India Sun Meal Exports'!CR$290</f>
        <v>0</v>
      </c>
      <c r="H148" s="242">
        <f>'[2]India Sun Meal Exports'!DD$290</f>
        <v>0</v>
      </c>
      <c r="I148" s="242">
        <f>'[2]India Sun Meal Exports'!DP$290</f>
        <v>1.486</v>
      </c>
      <c r="J148" s="242">
        <f>'[2]India Sun Meal Exports'!EB$290</f>
        <v>0</v>
      </c>
      <c r="K148" s="242">
        <f>'[2]India Sun Meal Exports'!EN$290</f>
        <v>0.28499999999999998</v>
      </c>
      <c r="L148" s="242">
        <f>'[2]India Sun Meal Exports'!EZ$290</f>
        <v>0.65700000000000003</v>
      </c>
      <c r="M148" s="242">
        <f>'[2]India Sun Meal Exports'!FL$290</f>
        <v>2.5409999999999999</v>
      </c>
      <c r="N148" s="242">
        <f>'[2]India Sun Meal Exports'!FX$290</f>
        <v>4.5999999999999999E-2</v>
      </c>
      <c r="O148" s="242">
        <f>'[2]India Sun Meal Exports'!GJ$290</f>
        <v>12.97</v>
      </c>
      <c r="P148" s="242">
        <f>'[2]India Sun Meal Exports'!GV$290</f>
        <v>0.67800000000000005</v>
      </c>
      <c r="Q148" s="242">
        <f>'[2]India Sun Meal Exports'!HH$290</f>
        <v>5.5E-2</v>
      </c>
      <c r="R148" s="242">
        <f>'[2]India Sun Meal Exports'!HT$290</f>
        <v>0.14199999999999999</v>
      </c>
      <c r="S148" s="242">
        <f>'[2]India Sun Meal Exports'!IF$290</f>
        <v>0.36599999999999999</v>
      </c>
      <c r="T148" s="242">
        <f>'[2]India Sun Meal Exports'!IR$290</f>
        <v>0.31900000000000001</v>
      </c>
      <c r="U148" s="242">
        <f>'[2]India Sun Meal Exports'!JD$290</f>
        <v>2.0649999999999999</v>
      </c>
      <c r="V148" s="242">
        <f>'[2]India Sun Meal Exports'!JP$290</f>
        <v>0.44900000000000001</v>
      </c>
      <c r="W148" s="242">
        <f>'[2]India Sun Meal Exports'!KB$290</f>
        <v>0.44700000000000001</v>
      </c>
      <c r="X148" s="242">
        <f>'[2]India Sun Meal Exports'!KN$290</f>
        <v>1.276</v>
      </c>
      <c r="Y148" s="242">
        <f>'[2]India Sun Meal Exports'!KZ$290</f>
        <v>0.155</v>
      </c>
      <c r="Z148" s="242">
        <f>'[2]India Sun Meal Exports'!LL$290</f>
        <v>0.57099999999999995</v>
      </c>
      <c r="AA148" s="242">
        <f>'[2]India Sun Meal Exports'!LX$290</f>
        <v>0.05</v>
      </c>
      <c r="AB148" s="242">
        <f>'[2]India Sun Meal Exports'!MJ$290</f>
        <v>6.7000000000000004E-2</v>
      </c>
      <c r="AC148" s="242">
        <f>'[2]India Sun Meal Exports'!MV$290</f>
        <v>0.16</v>
      </c>
      <c r="AD148" s="242">
        <f>'[2]India Sun Meal Exports'!NH$290</f>
        <v>0</v>
      </c>
      <c r="AE148" s="243">
        <f t="shared" si="86"/>
        <v>0.15080439031724552</v>
      </c>
    </row>
    <row r="149" spans="1:31">
      <c r="A149" s="240" t="s">
        <v>233</v>
      </c>
      <c r="B149" s="241">
        <f t="shared" si="87"/>
        <v>52.684397893436113</v>
      </c>
      <c r="C149" s="241">
        <f t="shared" si="85"/>
        <v>20.047266254540208</v>
      </c>
      <c r="D149" s="241">
        <f t="shared" si="85"/>
        <v>14.840447245069843</v>
      </c>
      <c r="E149" s="241">
        <f t="shared" si="85"/>
        <v>5.5426003867591866</v>
      </c>
      <c r="F149" s="241">
        <f t="shared" si="85"/>
        <v>2.8811601414633281</v>
      </c>
      <c r="G149" s="242">
        <f>'[2]India Sun Meal Exports'!CS$290</f>
        <v>0</v>
      </c>
      <c r="H149" s="242">
        <f>'[2]India Sun Meal Exports'!DE$290</f>
        <v>0.106</v>
      </c>
      <c r="I149" s="242">
        <f>'[2]India Sun Meal Exports'!DQ$290</f>
        <v>1.0900000000000001</v>
      </c>
      <c r="J149" s="242">
        <f>'[2]India Sun Meal Exports'!EC$290</f>
        <v>0</v>
      </c>
      <c r="K149" s="242">
        <f>'[2]India Sun Meal Exports'!EO$290</f>
        <v>0.50800000000000001</v>
      </c>
      <c r="L149" s="242">
        <f>'[2]India Sun Meal Exports'!FA$290</f>
        <v>0.39600000000000002</v>
      </c>
      <c r="M149" s="242">
        <f>'[2]India Sun Meal Exports'!FM$290</f>
        <v>1.2749999999999999</v>
      </c>
      <c r="N149" s="242">
        <f>'[2]India Sun Meal Exports'!FY$290</f>
        <v>0.33200000000000002</v>
      </c>
      <c r="O149" s="242">
        <f>'[2]India Sun Meal Exports'!GK$290</f>
        <v>46.326000000000001</v>
      </c>
      <c r="P149" s="242">
        <f>'[2]India Sun Meal Exports'!GW$290</f>
        <v>0.69599999999999995</v>
      </c>
      <c r="Q149" s="242">
        <f>'[2]India Sun Meal Exports'!HI$290</f>
        <v>3.1E-2</v>
      </c>
      <c r="R149" s="242">
        <f>'[2]India Sun Meal Exports'!HU$290</f>
        <v>1.34</v>
      </c>
      <c r="S149" s="242">
        <f>'[2]India Sun Meal Exports'!IG$290</f>
        <v>0.24299999999999999</v>
      </c>
      <c r="T149" s="242">
        <f>'[2]India Sun Meal Exports'!IS$290</f>
        <v>7.0000000000000001E-3</v>
      </c>
      <c r="U149" s="242">
        <f>'[2]India Sun Meal Exports'!JE$290</f>
        <v>0.622</v>
      </c>
      <c r="V149" s="242">
        <f>'[2]India Sun Meal Exports'!JQ$290</f>
        <v>3.6999999999999998E-2</v>
      </c>
      <c r="W149" s="242">
        <f>'[2]India Sun Meal Exports'!KC$290</f>
        <v>0.25600000000000001</v>
      </c>
      <c r="X149" s="242">
        <f>'[2]India Sun Meal Exports'!KO$290</f>
        <v>0.23799999999999999</v>
      </c>
      <c r="Y149" s="242">
        <f>'[2]India Sun Meal Exports'!LA$290</f>
        <v>9.7000000000000003E-2</v>
      </c>
      <c r="Z149" s="242">
        <f>'[2]India Sun Meal Exports'!LM$290</f>
        <v>0.04</v>
      </c>
      <c r="AA149" s="242">
        <f>'[2]India Sun Meal Exports'!LY$290</f>
        <v>0.27700000000000002</v>
      </c>
      <c r="AB149" s="242">
        <f>'[2]India Sun Meal Exports'!MK$290</f>
        <v>0.20599999999999999</v>
      </c>
      <c r="AC149" s="242">
        <f>'[2]India Sun Meal Exports'!MW$290</f>
        <v>2.5999999999999999E-2</v>
      </c>
      <c r="AD149" s="243">
        <f t="shared" ref="AD149:AD154" si="88">(SUM(X149:AB149)/SUM(X$156:AB$156))*AD$156</f>
        <v>8.5997794928335161E-2</v>
      </c>
      <c r="AE149" s="243">
        <f t="shared" si="86"/>
        <v>9.7128251390768305E-2</v>
      </c>
    </row>
    <row r="150" spans="1:31">
      <c r="A150" s="240" t="s">
        <v>234</v>
      </c>
      <c r="B150" s="241">
        <f t="shared" si="87"/>
        <v>3.6505928388596303</v>
      </c>
      <c r="C150" s="241">
        <f t="shared" si="85"/>
        <v>1.4614774011978928</v>
      </c>
      <c r="D150" s="241">
        <f t="shared" si="85"/>
        <v>0.9207420927428247</v>
      </c>
      <c r="E150" s="241">
        <f t="shared" si="85"/>
        <v>0.12728927312023661</v>
      </c>
      <c r="F150" s="241">
        <f t="shared" si="85"/>
        <v>7.8906680410172556E-2</v>
      </c>
      <c r="G150" s="242">
        <f>'[2]India Sun Meal Exports'!CT$290</f>
        <v>1.012</v>
      </c>
      <c r="H150" s="242">
        <f>'[2]India Sun Meal Exports'!DF$290</f>
        <v>1.0999999999999999E-2</v>
      </c>
      <c r="I150" s="242">
        <f>'[2]India Sun Meal Exports'!DR$290</f>
        <v>0</v>
      </c>
      <c r="J150" s="242">
        <f>'[2]India Sun Meal Exports'!ED$290</f>
        <v>0</v>
      </c>
      <c r="K150" s="242">
        <f>'[2]India Sun Meal Exports'!EP$290</f>
        <v>0.2</v>
      </c>
      <c r="L150" s="242">
        <f>'[2]India Sun Meal Exports'!FB$290</f>
        <v>0.97099999999999997</v>
      </c>
      <c r="M150" s="242">
        <f>'[2]India Sun Meal Exports'!FN$290</f>
        <v>2.1419999999999999</v>
      </c>
      <c r="N150" s="242">
        <f>'[2]India Sun Meal Exports'!FZ$290</f>
        <v>0.05</v>
      </c>
      <c r="O150" s="242">
        <f>'[2]India Sun Meal Exports'!GL$290</f>
        <v>2.1000000000000001E-2</v>
      </c>
      <c r="P150" s="242">
        <f>'[2]India Sun Meal Exports'!GX$290</f>
        <v>0.39</v>
      </c>
      <c r="Q150" s="242">
        <f>'[2]India Sun Meal Exports'!HJ$290</f>
        <v>0.41599999999999998</v>
      </c>
      <c r="R150" s="242">
        <f>'[2]India Sun Meal Exports'!HV$290</f>
        <v>0.24199999999999999</v>
      </c>
      <c r="S150" s="242">
        <f>'[2]India Sun Meal Exports'!IH$290</f>
        <v>0.26300000000000001</v>
      </c>
      <c r="T150" s="242">
        <f>'[2]India Sun Meal Exports'!IT$290</f>
        <v>0.28899999999999998</v>
      </c>
      <c r="U150" s="242">
        <f>'[2]India Sun Meal Exports'!JF$290</f>
        <v>0.90900000000000003</v>
      </c>
      <c r="V150" s="242">
        <f>'[2]India Sun Meal Exports'!JR$290</f>
        <v>0.155</v>
      </c>
      <c r="W150" s="242">
        <f>'[2]India Sun Meal Exports'!KD$290</f>
        <v>0.29399999999999998</v>
      </c>
      <c r="X150" s="242">
        <f>'[2]India Sun Meal Exports'!KP$290</f>
        <v>0.127</v>
      </c>
      <c r="Y150" s="242">
        <f>'[2]India Sun Meal Exports'!LB$290</f>
        <v>4.2000000000000003E-2</v>
      </c>
      <c r="Z150" s="242">
        <f>'[2]India Sun Meal Exports'!LN$290</f>
        <v>2.1000000000000001E-2</v>
      </c>
      <c r="AA150" s="242">
        <f>'[2]India Sun Meal Exports'!LZ$290</f>
        <v>5.7000000000000002E-2</v>
      </c>
      <c r="AB150" s="242">
        <f>'[2]India Sun Meal Exports'!ML$290</f>
        <v>0</v>
      </c>
      <c r="AC150" s="242">
        <f>'[2]India Sun Meal Exports'!MX$290</f>
        <v>0</v>
      </c>
      <c r="AD150" s="243">
        <f t="shared" si="88"/>
        <v>2.47569409642177E-2</v>
      </c>
      <c r="AE150" s="243">
        <f t="shared" si="86"/>
        <v>1.8042399639152006E-2</v>
      </c>
    </row>
    <row r="151" spans="1:31">
      <c r="A151" s="240" t="s">
        <v>46</v>
      </c>
      <c r="B151" s="241">
        <f t="shared" si="87"/>
        <v>5.6420214383084719</v>
      </c>
      <c r="C151" s="241">
        <f t="shared" si="85"/>
        <v>2.0830346619199966</v>
      </c>
      <c r="D151" s="241">
        <f t="shared" si="85"/>
        <v>1.2382288494653422</v>
      </c>
      <c r="E151" s="241">
        <f t="shared" si="85"/>
        <v>0.17483790240018202</v>
      </c>
      <c r="F151" s="241">
        <f t="shared" si="85"/>
        <v>8.9036592084451499E-2</v>
      </c>
      <c r="G151" s="242">
        <f>'[2]India Sun Meal Exports'!CU$290</f>
        <v>0.79</v>
      </c>
      <c r="H151" s="242">
        <f>'[2]India Sun Meal Exports'!DG$290</f>
        <v>0</v>
      </c>
      <c r="I151" s="242">
        <f>'[2]India Sun Meal Exports'!DS$290</f>
        <v>0</v>
      </c>
      <c r="J151" s="242">
        <f>'[2]India Sun Meal Exports'!EE$290</f>
        <v>0</v>
      </c>
      <c r="K151" s="242">
        <f>'[2]India Sun Meal Exports'!EQ$290</f>
        <v>0.26200000000000001</v>
      </c>
      <c r="L151" s="242">
        <f>'[2]India Sun Meal Exports'!FC$290</f>
        <v>1.9930000000000001</v>
      </c>
      <c r="M151" s="242">
        <f>'[2]India Sun Meal Exports'!FO$290</f>
        <v>2.73</v>
      </c>
      <c r="N151" s="242">
        <f>'[2]India Sun Meal Exports'!GA$290</f>
        <v>0.152</v>
      </c>
      <c r="O151" s="242">
        <f>'[2]India Sun Meal Exports'!GM$290</f>
        <v>9.2999999999999999E-2</v>
      </c>
      <c r="P151" s="242">
        <f>'[2]India Sun Meal Exports'!GY$290</f>
        <v>0.126</v>
      </c>
      <c r="Q151" s="242">
        <f>'[2]India Sun Meal Exports'!HK$290</f>
        <v>0.95899999999999996</v>
      </c>
      <c r="R151" s="242">
        <f>'[2]India Sun Meal Exports'!HW$290</f>
        <v>0.20699999999999999</v>
      </c>
      <c r="S151" s="242">
        <f>'[2]India Sun Meal Exports'!II$290</f>
        <v>0.11799999999999999</v>
      </c>
      <c r="T151" s="242">
        <f>'[2]India Sun Meal Exports'!IU$290</f>
        <v>7.1999999999999995E-2</v>
      </c>
      <c r="U151" s="242">
        <f>'[2]India Sun Meal Exports'!JG$290</f>
        <v>0.44500000000000001</v>
      </c>
      <c r="V151" s="242">
        <f>'[2]India Sun Meal Exports'!JS$290</f>
        <v>4.3999999999999997E-2</v>
      </c>
      <c r="W151" s="242">
        <f>'[2]India Sun Meal Exports'!KE$290</f>
        <v>0.183</v>
      </c>
      <c r="X151" s="242">
        <f>'[2]India Sun Meal Exports'!KQ$290</f>
        <v>0.254</v>
      </c>
      <c r="Y151" s="242">
        <f>'[2]India Sun Meal Exports'!LC$290</f>
        <v>0.39800000000000002</v>
      </c>
      <c r="Z151" s="242">
        <f>'[2]India Sun Meal Exports'!LO$290</f>
        <v>8.8999999999999996E-2</v>
      </c>
      <c r="AA151" s="242">
        <f>'[2]India Sun Meal Exports'!MA$290</f>
        <v>2.4E-2</v>
      </c>
      <c r="AB151" s="242">
        <f>'[2]India Sun Meal Exports'!MM$290</f>
        <v>0</v>
      </c>
      <c r="AC151" s="242">
        <f>'[2]India Sun Meal Exports'!MY$290</f>
        <v>1E-3</v>
      </c>
      <c r="AD151" s="243">
        <f t="shared" si="88"/>
        <v>7.6676355617921216E-2</v>
      </c>
      <c r="AE151" s="243">
        <f t="shared" si="86"/>
        <v>7.6980905127048568E-2</v>
      </c>
    </row>
    <row r="152" spans="1:31">
      <c r="A152" s="240" t="s">
        <v>235</v>
      </c>
      <c r="B152" s="241">
        <f t="shared" si="87"/>
        <v>25.686839859954691</v>
      </c>
      <c r="C152" s="241">
        <f t="shared" si="85"/>
        <v>10.097034132730377</v>
      </c>
      <c r="D152" s="241">
        <f t="shared" si="85"/>
        <v>7.0926724441295574</v>
      </c>
      <c r="E152" s="241">
        <f t="shared" si="85"/>
        <v>2.5093845978841998</v>
      </c>
      <c r="F152" s="241">
        <f t="shared" si="85"/>
        <v>1.3100167647076246</v>
      </c>
      <c r="G152" s="242">
        <f>'[2]India Sun Meal Exports'!CV$290</f>
        <v>1.5</v>
      </c>
      <c r="H152" s="242">
        <f>'[2]India Sun Meal Exports'!DH$290</f>
        <v>0</v>
      </c>
      <c r="I152" s="242">
        <f>'[2]India Sun Meal Exports'!DT$290</f>
        <v>0</v>
      </c>
      <c r="J152" s="242">
        <f>'[2]India Sun Meal Exports'!EF$290</f>
        <v>0.5</v>
      </c>
      <c r="K152" s="242">
        <f>'[2]India Sun Meal Exports'!ER$290</f>
        <v>5.3999999999999999E-2</v>
      </c>
      <c r="L152" s="242">
        <f>'[2]India Sun Meal Exports'!FD$290</f>
        <v>1.7310000000000001</v>
      </c>
      <c r="M152" s="242">
        <f>'[2]India Sun Meal Exports'!FP$290</f>
        <v>1.55</v>
      </c>
      <c r="N152" s="242">
        <f>'[2]India Sun Meal Exports'!GB$290</f>
        <v>0.32300000000000001</v>
      </c>
      <c r="O152" s="242">
        <f>'[2]India Sun Meal Exports'!GN$290</f>
        <v>20.152999999999999</v>
      </c>
      <c r="P152" s="242">
        <f>'[2]India Sun Meal Exports'!GZ$290</f>
        <v>0.93500000000000005</v>
      </c>
      <c r="Q152" s="242">
        <f>'[2]India Sun Meal Exports'!HL$290</f>
        <v>0.29499999999999998</v>
      </c>
      <c r="R152" s="242">
        <f>'[2]India Sun Meal Exports'!HX$290</f>
        <v>0.35399999999999998</v>
      </c>
      <c r="S152" s="242">
        <f>'[2]India Sun Meal Exports'!IJ$290</f>
        <v>0.377</v>
      </c>
      <c r="T152" s="242">
        <f>'[2]India Sun Meal Exports'!IV$290</f>
        <v>0.46700000000000003</v>
      </c>
      <c r="U152" s="242">
        <f>'[2]India Sun Meal Exports'!JH$290</f>
        <v>0.68300000000000005</v>
      </c>
      <c r="V152" s="242">
        <f>'[2]India Sun Meal Exports'!JT$290</f>
        <v>0.45800000000000002</v>
      </c>
      <c r="W152" s="242">
        <f>'[2]India Sun Meal Exports'!KF$290</f>
        <v>0.60899999999999999</v>
      </c>
      <c r="X152" s="242">
        <f>'[2]India Sun Meal Exports'!KR$290</f>
        <v>0.29399999999999998</v>
      </c>
      <c r="Y152" s="242">
        <f>'[2]India Sun Meal Exports'!LD$290</f>
        <v>0.16800000000000001</v>
      </c>
      <c r="Z152" s="242">
        <f>'[2]India Sun Meal Exports'!LP$290</f>
        <v>0.02</v>
      </c>
      <c r="AA152" s="242">
        <f>'[2]India Sun Meal Exports'!MB$290</f>
        <v>8.8999999999999996E-2</v>
      </c>
      <c r="AB152" s="242">
        <f>'[2]India Sun Meal Exports'!MN$290</f>
        <v>0</v>
      </c>
      <c r="AC152" s="242">
        <f>'[2]India Sun Meal Exports'!MZ$290</f>
        <v>0.25900000000000001</v>
      </c>
      <c r="AD152" s="243">
        <f t="shared" si="88"/>
        <v>5.7231632755337269E-2</v>
      </c>
      <c r="AE152" s="243">
        <f t="shared" si="86"/>
        <v>8.0589385054878976E-2</v>
      </c>
    </row>
    <row r="153" spans="1:31">
      <c r="A153" s="240" t="s">
        <v>236</v>
      </c>
      <c r="B153" s="241">
        <f t="shared" si="87"/>
        <v>18.730863906950287</v>
      </c>
      <c r="C153" s="241">
        <f t="shared" si="85"/>
        <v>7.4353787313881625</v>
      </c>
      <c r="D153" s="241">
        <f t="shared" si="85"/>
        <v>5.5058486254674452</v>
      </c>
      <c r="E153" s="241">
        <f t="shared" si="85"/>
        <v>1.9485837788647484</v>
      </c>
      <c r="F153" s="241">
        <f t="shared" si="85"/>
        <v>0.99160579833774676</v>
      </c>
      <c r="G153" s="242">
        <f>'[2]India Sun Meal Exports'!CW$290</f>
        <v>0.14799999999999999</v>
      </c>
      <c r="H153" s="242">
        <f>'[2]India Sun Meal Exports'!DI$290</f>
        <v>0</v>
      </c>
      <c r="I153" s="242">
        <f>'[2]India Sun Meal Exports'!DU$290</f>
        <v>0</v>
      </c>
      <c r="J153" s="242">
        <f>'[2]India Sun Meal Exports'!EG$290</f>
        <v>0.34</v>
      </c>
      <c r="K153" s="242">
        <f>'[2]India Sun Meal Exports'!ES$290</f>
        <v>0.34100000000000003</v>
      </c>
      <c r="L153" s="242">
        <f>'[2]India Sun Meal Exports'!FE$290</f>
        <v>0.69599999999999995</v>
      </c>
      <c r="M153" s="242">
        <f>'[2]India Sun Meal Exports'!FQ$290</f>
        <v>1.151</v>
      </c>
      <c r="N153" s="242">
        <f>'[2]India Sun Meal Exports'!GC$290</f>
        <v>1.0449999999999999</v>
      </c>
      <c r="O153" s="242">
        <f>'[2]India Sun Meal Exports'!GO$290</f>
        <v>14.13</v>
      </c>
      <c r="P153" s="242">
        <f>'[2]India Sun Meal Exports'!HA$290</f>
        <v>1.161</v>
      </c>
      <c r="Q153" s="242">
        <f>'[2]India Sun Meal Exports'!HM$290</f>
        <v>0.56599999999999995</v>
      </c>
      <c r="R153" s="242">
        <f>'[2]India Sun Meal Exports'!HY$290</f>
        <v>0.22800000000000001</v>
      </c>
      <c r="S153" s="242">
        <f>'[2]India Sun Meal Exports'!IK$290</f>
        <v>0.65400000000000003</v>
      </c>
      <c r="T153" s="242">
        <f>'[2]India Sun Meal Exports'!IW$290</f>
        <v>0.57999999999999996</v>
      </c>
      <c r="U153" s="242">
        <f>'[2]India Sun Meal Exports'!JI$290</f>
        <v>0.22500000000000001</v>
      </c>
      <c r="V153" s="242">
        <f>'[2]India Sun Meal Exports'!JU$290</f>
        <v>0.88100000000000001</v>
      </c>
      <c r="W153" s="242">
        <f>'[2]India Sun Meal Exports'!KG$290</f>
        <v>0.49</v>
      </c>
      <c r="X153" s="242">
        <f>'[2]India Sun Meal Exports'!KS$290</f>
        <v>0.22900000000000001</v>
      </c>
      <c r="Y153" s="242">
        <f>'[2]India Sun Meal Exports'!LE$290</f>
        <v>0.248</v>
      </c>
      <c r="Z153" s="242">
        <f>'[2]India Sun Meal Exports'!LQ$290</f>
        <v>0.01</v>
      </c>
      <c r="AA153" s="242">
        <f>'[2]India Sun Meal Exports'!MC$290</f>
        <v>0.17699999999999999</v>
      </c>
      <c r="AB153" s="242">
        <f>'[2]India Sun Meal Exports'!MO$290</f>
        <v>0</v>
      </c>
      <c r="AC153" s="242">
        <f>'[2]India Sun Meal Exports'!NA$290</f>
        <v>0</v>
      </c>
      <c r="AD153" s="243">
        <f t="shared" si="88"/>
        <v>6.6553072065751215E-2</v>
      </c>
      <c r="AE153" s="243">
        <f t="shared" si="86"/>
        <v>6.5403698691926027E-2</v>
      </c>
    </row>
    <row r="154" spans="1:31">
      <c r="A154" s="240" t="s">
        <v>237</v>
      </c>
      <c r="B154" s="241">
        <f t="shared" si="87"/>
        <v>4.8243059028901509</v>
      </c>
      <c r="C154" s="241">
        <f t="shared" si="85"/>
        <v>1.8442258196425565</v>
      </c>
      <c r="D154" s="241">
        <f t="shared" si="85"/>
        <v>1.7768279007352428</v>
      </c>
      <c r="E154" s="241">
        <f t="shared" si="85"/>
        <v>0.44215675122284154</v>
      </c>
      <c r="F154" s="241">
        <f t="shared" si="85"/>
        <v>0.19999170650506201</v>
      </c>
      <c r="G154" s="242">
        <f>'[2]India Sun Meal Exports'!CX$290</f>
        <v>0</v>
      </c>
      <c r="H154" s="242">
        <f>'[2]India Sun Meal Exports'!DJ$290</f>
        <v>0</v>
      </c>
      <c r="I154" s="242">
        <f>'[2]India Sun Meal Exports'!DV$290</f>
        <v>0</v>
      </c>
      <c r="J154" s="242">
        <f>'[2]India Sun Meal Exports'!EH$290</f>
        <v>0.93700000000000006</v>
      </c>
      <c r="K154" s="242">
        <f>'[2]India Sun Meal Exports'!ET$290</f>
        <v>0.6</v>
      </c>
      <c r="L154" s="242">
        <f>'[2]India Sun Meal Exports'!FF$290</f>
        <v>2.5999999999999999E-2</v>
      </c>
      <c r="M154" s="242">
        <f>'[2]India Sun Meal Exports'!FR$290</f>
        <v>2.9790000000000001</v>
      </c>
      <c r="N154" s="242">
        <f>'[2]India Sun Meal Exports'!GD$290</f>
        <v>0.70799999999999996</v>
      </c>
      <c r="O154" s="242">
        <f>'[2]India Sun Meal Exports'!GP$290</f>
        <v>0.159</v>
      </c>
      <c r="P154" s="242">
        <f>'[2]India Sun Meal Exports'!HB$290</f>
        <v>0.63800000000000001</v>
      </c>
      <c r="Q154" s="242">
        <f>'[2]India Sun Meal Exports'!HN$290</f>
        <v>1.3420000000000001</v>
      </c>
      <c r="R154" s="242">
        <f>'[2]India Sun Meal Exports'!HZ$290</f>
        <v>1.04</v>
      </c>
      <c r="S154" s="242">
        <f>'[2]India Sun Meal Exports'!IL$290</f>
        <v>0.19700000000000001</v>
      </c>
      <c r="T154" s="242">
        <f>'[2]India Sun Meal Exports'!IX$290</f>
        <v>2.7160000000000002</v>
      </c>
      <c r="U154" s="242">
        <f>'[2]India Sun Meal Exports'!JJ$290</f>
        <v>0.222</v>
      </c>
      <c r="V154" s="242">
        <f>'[2]India Sun Meal Exports'!JV$290</f>
        <v>2.1230000000000002</v>
      </c>
      <c r="W154" s="242">
        <f>'[2]India Sun Meal Exports'!KH$290</f>
        <v>0.27200000000000002</v>
      </c>
      <c r="X154" s="242">
        <f>'[2]India Sun Meal Exports'!KT$290</f>
        <v>0.28399999999999997</v>
      </c>
      <c r="Y154" s="242">
        <f>'[2]India Sun Meal Exports'!LF$290</f>
        <v>0.16800000000000001</v>
      </c>
      <c r="Z154" s="242">
        <f>'[2]India Sun Meal Exports'!LR$290</f>
        <v>2.1999999999999999E-2</v>
      </c>
      <c r="AA154" s="242">
        <f>'[2]India Sun Meal Exports'!MD$290</f>
        <v>0.13300000000000001</v>
      </c>
      <c r="AB154" s="242">
        <f>'[2]India Sun Meal Exports'!MP$290</f>
        <v>0.11799999999999999</v>
      </c>
      <c r="AC154" s="242">
        <f>'[2]India Sun Meal Exports'!NB$290</f>
        <v>0</v>
      </c>
      <c r="AD154" s="243">
        <f t="shared" si="88"/>
        <v>7.2667134409141021E-2</v>
      </c>
      <c r="AE154" s="243">
        <f t="shared" si="86"/>
        <v>6.6305818673883632E-2</v>
      </c>
    </row>
    <row r="155" spans="1:31">
      <c r="A155" s="240" t="s">
        <v>238</v>
      </c>
      <c r="B155" s="241">
        <f t="shared" si="87"/>
        <v>10.327164670922947</v>
      </c>
      <c r="C155" s="241">
        <f t="shared" si="85"/>
        <v>3.9742861953671862</v>
      </c>
      <c r="D155" s="241">
        <f t="shared" si="85"/>
        <v>5.620217053681607</v>
      </c>
      <c r="E155" s="241">
        <f t="shared" si="85"/>
        <v>1.6461153452394495</v>
      </c>
      <c r="F155" s="241">
        <f t="shared" si="85"/>
        <v>0.86530771828182484</v>
      </c>
      <c r="G155" s="242">
        <f>'[2]India Sun Meal Exports'!CY$290</f>
        <v>1.1000000000000001</v>
      </c>
      <c r="H155" s="242">
        <f>'[2]India Sun Meal Exports'!DK$290</f>
        <v>0</v>
      </c>
      <c r="I155" s="242">
        <f>'[2]India Sun Meal Exports'!DW$290</f>
        <v>0</v>
      </c>
      <c r="J155" s="242">
        <f>'[2]India Sun Meal Exports'!EI$290</f>
        <v>0.56499999999999995</v>
      </c>
      <c r="K155" s="242">
        <f>'[2]India Sun Meal Exports'!EU$290</f>
        <v>1.333</v>
      </c>
      <c r="L155" s="242">
        <f>'[2]India Sun Meal Exports'!FG$290</f>
        <v>4.8000000000000001E-2</v>
      </c>
      <c r="M155" s="242">
        <f>'[2]India Sun Meal Exports'!FS$290</f>
        <v>5.0609999999999999</v>
      </c>
      <c r="N155" s="242">
        <f>'[2]India Sun Meal Exports'!GE$290</f>
        <v>0.222</v>
      </c>
      <c r="O155" s="242">
        <f>'[2]India Sun Meal Exports'!GQ$290</f>
        <v>2.9089999999999998</v>
      </c>
      <c r="P155" s="242">
        <f>'[2]India Sun Meal Exports'!HC$290</f>
        <v>1.4790000000000001</v>
      </c>
      <c r="Q155" s="242">
        <f>'[2]India Sun Meal Exports'!HO$290</f>
        <v>8.7569999999999997</v>
      </c>
      <c r="R155" s="242">
        <f>'[2]India Sun Meal Exports'!IA$290</f>
        <v>1.1040000000000001</v>
      </c>
      <c r="S155" s="242">
        <f>'[2]India Sun Meal Exports'!IM$290</f>
        <v>0.35799999999999998</v>
      </c>
      <c r="T155" s="242">
        <f>'[2]India Sun Meal Exports'!IY$290</f>
        <v>0.14399999999999999</v>
      </c>
      <c r="U155" s="242">
        <f>'[2]India Sun Meal Exports'!JK$290</f>
        <v>0.19700000000000001</v>
      </c>
      <c r="V155" s="242">
        <f>'[2]India Sun Meal Exports'!JW$290</f>
        <v>0.443</v>
      </c>
      <c r="W155" s="242">
        <f>'[2]India Sun Meal Exports'!KI$290</f>
        <v>0.155</v>
      </c>
      <c r="X155" s="242">
        <f>'[2]India Sun Meal Exports'!KU$290</f>
        <v>2E-3</v>
      </c>
      <c r="Y155" s="242">
        <f>'[2]India Sun Meal Exports'!LG$290</f>
        <v>0.14099999999999999</v>
      </c>
      <c r="Z155" s="242">
        <f>'[2]India Sun Meal Exports'!LS$290</f>
        <v>0.109</v>
      </c>
      <c r="AA155" s="242">
        <f>'[2]India Sun Meal Exports'!ME$290</f>
        <v>4.9000000000000002E-2</v>
      </c>
      <c r="AB155" s="242">
        <f>'[2]India Sun Meal Exports'!MQ$290</f>
        <v>0.11700000000000001</v>
      </c>
      <c r="AC155" s="242">
        <f>'[2]India Sun Meal Exports'!NC$290</f>
        <v>0</v>
      </c>
      <c r="AD155" s="243">
        <f t="shared" ref="AD155:AE155" si="89">AD156-SUM(AD144:AD154)</f>
        <v>0.5811170692592964</v>
      </c>
      <c r="AE155" s="243">
        <f t="shared" si="89"/>
        <v>6.2546985415726786E-2</v>
      </c>
    </row>
    <row r="156" spans="1:31" ht="15.75" thickBot="1">
      <c r="A156" s="240" t="s">
        <v>242</v>
      </c>
      <c r="B156" s="146">
        <f t="shared" ref="B156:G156" si="90">B27</f>
        <v>220</v>
      </c>
      <c r="C156" s="146">
        <f t="shared" si="90"/>
        <v>85</v>
      </c>
      <c r="D156" s="146">
        <f t="shared" si="90"/>
        <v>65</v>
      </c>
      <c r="E156" s="146">
        <f t="shared" si="90"/>
        <v>22</v>
      </c>
      <c r="F156" s="146">
        <f t="shared" si="90"/>
        <v>10</v>
      </c>
      <c r="G156" s="146">
        <f t="shared" si="90"/>
        <v>3</v>
      </c>
      <c r="H156" s="242">
        <f t="shared" ref="H156:AB156" si="91">SUM(H144:H155)</f>
        <v>1.419</v>
      </c>
      <c r="I156" s="242">
        <f t="shared" si="91"/>
        <v>2.5760000000000001</v>
      </c>
      <c r="J156" s="242">
        <f t="shared" si="91"/>
        <v>2.3420000000000001</v>
      </c>
      <c r="K156" s="242">
        <f t="shared" si="91"/>
        <v>6.0990000000000002</v>
      </c>
      <c r="L156" s="242">
        <f t="shared" si="91"/>
        <v>9.3919999999999995</v>
      </c>
      <c r="M156" s="242">
        <f t="shared" si="91"/>
        <v>25.268000000000001</v>
      </c>
      <c r="N156" s="242">
        <f t="shared" si="91"/>
        <v>28.380000000000003</v>
      </c>
      <c r="O156" s="242">
        <f t="shared" si="91"/>
        <v>134.79499999999999</v>
      </c>
      <c r="P156" s="242">
        <f t="shared" si="91"/>
        <v>10.029999999999998</v>
      </c>
      <c r="Q156" s="242">
        <f t="shared" si="91"/>
        <v>14.654</v>
      </c>
      <c r="R156" s="242">
        <f t="shared" si="91"/>
        <v>5.5430000000000001</v>
      </c>
      <c r="S156" s="242">
        <f t="shared" si="91"/>
        <v>3.7849999999999997</v>
      </c>
      <c r="T156" s="242">
        <f t="shared" si="91"/>
        <v>5.9920000000000009</v>
      </c>
      <c r="U156" s="242">
        <f t="shared" si="91"/>
        <v>6.7990000000000004</v>
      </c>
      <c r="V156" s="242">
        <f t="shared" si="91"/>
        <v>7.8149999999999995</v>
      </c>
      <c r="W156" s="242">
        <f t="shared" si="91"/>
        <v>4.1680000000000001</v>
      </c>
      <c r="X156" s="242">
        <f t="shared" si="91"/>
        <v>4.0889999999999995</v>
      </c>
      <c r="Y156" s="242">
        <f t="shared" si="91"/>
        <v>2.2150000000000003</v>
      </c>
      <c r="Z156" s="242">
        <f t="shared" si="91"/>
        <v>1.5459999999999998</v>
      </c>
      <c r="AA156" s="242">
        <f t="shared" si="91"/>
        <v>1.329</v>
      </c>
      <c r="AB156" s="242">
        <f t="shared" si="91"/>
        <v>0.79800000000000004</v>
      </c>
      <c r="AC156" s="242">
        <f>SUM(AC144:AC155)</f>
        <v>0.76300000000000001</v>
      </c>
      <c r="AD156" s="243">
        <f t="shared" ref="AD156:AE156" si="92">AD27</f>
        <v>1</v>
      </c>
      <c r="AE156" s="243">
        <f t="shared" si="92"/>
        <v>1</v>
      </c>
    </row>
    <row r="157" spans="1:31">
      <c r="A157" s="248"/>
      <c r="B157" s="248"/>
      <c r="C157" s="248"/>
      <c r="D157" s="248"/>
      <c r="E157" s="248"/>
      <c r="F157" s="263"/>
      <c r="G157" s="263"/>
      <c r="H157" s="263"/>
      <c r="I157" s="263"/>
      <c r="J157" s="263"/>
      <c r="K157" s="263"/>
      <c r="L157" s="263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  <c r="AE157" s="248"/>
    </row>
    <row r="158" spans="1:31" ht="15.75" thickBot="1">
      <c r="A158" s="235" t="s">
        <v>258</v>
      </c>
      <c r="D158" s="264"/>
      <c r="E158" s="264"/>
      <c r="F158" s="264"/>
      <c r="G158" s="264"/>
      <c r="H158" s="264"/>
      <c r="I158" s="264"/>
      <c r="J158" s="264"/>
    </row>
    <row r="159" spans="1:31" ht="15.75" thickBot="1">
      <c r="A159" s="236"/>
      <c r="B159" s="237" t="str">
        <f>B$2</f>
        <v xml:space="preserve">93/94 </v>
      </c>
      <c r="C159" s="237" t="str">
        <f t="shared" ref="C159:AE159" si="93">C$2</f>
        <v xml:space="preserve">94/95 </v>
      </c>
      <c r="D159" s="237" t="str">
        <f t="shared" si="93"/>
        <v xml:space="preserve">95/96 </v>
      </c>
      <c r="E159" s="237" t="str">
        <f t="shared" si="93"/>
        <v xml:space="preserve">96/97 </v>
      </c>
      <c r="F159" s="237" t="str">
        <f t="shared" si="93"/>
        <v xml:space="preserve">97/98 </v>
      </c>
      <c r="G159" s="237" t="str">
        <f t="shared" si="93"/>
        <v xml:space="preserve">98/99 </v>
      </c>
      <c r="H159" s="237" t="str">
        <f t="shared" si="93"/>
        <v xml:space="preserve">99/00 </v>
      </c>
      <c r="I159" s="237" t="str">
        <f t="shared" si="93"/>
        <v xml:space="preserve">00/01 </v>
      </c>
      <c r="J159" s="237" t="str">
        <f t="shared" si="93"/>
        <v xml:space="preserve">01/02 </v>
      </c>
      <c r="K159" s="237" t="str">
        <f t="shared" si="93"/>
        <v xml:space="preserve">02/03 </v>
      </c>
      <c r="L159" s="237" t="str">
        <f t="shared" si="93"/>
        <v xml:space="preserve">03/04 </v>
      </c>
      <c r="M159" s="237" t="str">
        <f t="shared" si="93"/>
        <v xml:space="preserve">04/05 </v>
      </c>
      <c r="N159" s="237" t="str">
        <f t="shared" si="93"/>
        <v xml:space="preserve">05/06 </v>
      </c>
      <c r="O159" s="237" t="str">
        <f t="shared" si="93"/>
        <v xml:space="preserve">06/07 </v>
      </c>
      <c r="P159" s="237" t="str">
        <f t="shared" si="93"/>
        <v xml:space="preserve">07/08 </v>
      </c>
      <c r="Q159" s="237" t="str">
        <f t="shared" si="93"/>
        <v xml:space="preserve">08/09 </v>
      </c>
      <c r="R159" s="237" t="str">
        <f t="shared" si="93"/>
        <v xml:space="preserve">09/10 </v>
      </c>
      <c r="S159" s="237" t="str">
        <f t="shared" si="93"/>
        <v xml:space="preserve">10/11 </v>
      </c>
      <c r="T159" s="237" t="str">
        <f t="shared" si="93"/>
        <v xml:space="preserve">11/12 </v>
      </c>
      <c r="U159" s="237" t="str">
        <f t="shared" si="93"/>
        <v xml:space="preserve">12/13 </v>
      </c>
      <c r="V159" s="237" t="str">
        <f t="shared" si="93"/>
        <v xml:space="preserve">13/14 </v>
      </c>
      <c r="W159" s="237" t="str">
        <f t="shared" si="93"/>
        <v xml:space="preserve">14/15 </v>
      </c>
      <c r="X159" s="237" t="str">
        <f t="shared" si="93"/>
        <v xml:space="preserve">15/16 </v>
      </c>
      <c r="Y159" s="237" t="str">
        <f t="shared" si="93"/>
        <v xml:space="preserve">16/17 </v>
      </c>
      <c r="Z159" s="237" t="str">
        <f t="shared" si="93"/>
        <v xml:space="preserve">17/18 </v>
      </c>
      <c r="AA159" s="237" t="str">
        <f t="shared" si="93"/>
        <v xml:space="preserve">18/19 </v>
      </c>
      <c r="AB159" s="237" t="str">
        <f t="shared" si="93"/>
        <v xml:space="preserve">19/20 </v>
      </c>
      <c r="AC159" s="237" t="str">
        <f t="shared" si="93"/>
        <v xml:space="preserve">20/21 </v>
      </c>
      <c r="AD159" s="237" t="str">
        <f t="shared" si="93"/>
        <v xml:space="preserve">21/22 </v>
      </c>
      <c r="AE159" s="237" t="str">
        <f t="shared" si="93"/>
        <v xml:space="preserve">22/23 </v>
      </c>
    </row>
    <row r="160" spans="1:31">
      <c r="A160" s="240" t="s">
        <v>239</v>
      </c>
      <c r="B160" s="290">
        <f t="shared" ref="B160:AC160" si="94">B22+B96+B131-B144-B176</f>
        <v>42.744687006580548</v>
      </c>
      <c r="C160" s="290">
        <f t="shared" si="94"/>
        <v>40.617634224962167</v>
      </c>
      <c r="D160" s="290">
        <f t="shared" si="94"/>
        <v>52.37161929920439</v>
      </c>
      <c r="E160" s="290">
        <f t="shared" si="94"/>
        <v>68.33102486418764</v>
      </c>
      <c r="F160" s="290">
        <f t="shared" si="94"/>
        <v>45.774634366326318</v>
      </c>
      <c r="G160" s="290">
        <f t="shared" si="94"/>
        <v>-75.437144892708943</v>
      </c>
      <c r="H160" s="290">
        <f t="shared" si="94"/>
        <v>26.758026425339384</v>
      </c>
      <c r="I160" s="290">
        <f t="shared" si="94"/>
        <v>16.287813599798888</v>
      </c>
      <c r="J160" s="290">
        <f t="shared" si="94"/>
        <v>39.170302782324065</v>
      </c>
      <c r="K160" s="290">
        <f t="shared" si="94"/>
        <v>63.642387073452859</v>
      </c>
      <c r="L160" s="290">
        <f t="shared" si="94"/>
        <v>57.146645083932839</v>
      </c>
      <c r="M160" s="290">
        <f t="shared" si="94"/>
        <v>56.922197575407694</v>
      </c>
      <c r="N160" s="290">
        <f t="shared" si="94"/>
        <v>62.710973562086913</v>
      </c>
      <c r="O160" s="290">
        <f t="shared" si="94"/>
        <v>70.257747530864179</v>
      </c>
      <c r="P160" s="290">
        <f t="shared" si="94"/>
        <v>61.193587807430674</v>
      </c>
      <c r="Q160" s="290">
        <f t="shared" si="94"/>
        <v>87.746223124281173</v>
      </c>
      <c r="R160" s="290">
        <f t="shared" si="94"/>
        <v>59.166828660436195</v>
      </c>
      <c r="S160" s="290">
        <f t="shared" si="94"/>
        <v>56.046963664476181</v>
      </c>
      <c r="T160" s="290">
        <f t="shared" si="94"/>
        <v>77.735230769230725</v>
      </c>
      <c r="U160" s="290">
        <f t="shared" si="94"/>
        <v>23.638837783977628</v>
      </c>
      <c r="V160" s="290">
        <f t="shared" si="94"/>
        <v>50.337595616673724</v>
      </c>
      <c r="W160" s="290">
        <f t="shared" si="94"/>
        <v>40.408198347107337</v>
      </c>
      <c r="X160" s="290">
        <f t="shared" si="94"/>
        <v>44.483307692307697</v>
      </c>
      <c r="Y160" s="290">
        <f t="shared" si="94"/>
        <v>126.71407692307685</v>
      </c>
      <c r="Z160" s="290">
        <f t="shared" si="94"/>
        <v>140.85406108034195</v>
      </c>
      <c r="AA160" s="290">
        <f t="shared" si="94"/>
        <v>63.39863501326257</v>
      </c>
      <c r="AB160" s="290">
        <f t="shared" si="94"/>
        <v>88.642906591452942</v>
      </c>
      <c r="AC160" s="290">
        <f t="shared" si="94"/>
        <v>57.931917220843701</v>
      </c>
      <c r="AD160" s="253">
        <f t="shared" ref="AD160:AE160" si="95">AD22+AD96+AD128-AD144-AD176</f>
        <v>126.83931063022889</v>
      </c>
      <c r="AE160" s="253">
        <f t="shared" si="95"/>
        <v>84.001988417950528</v>
      </c>
    </row>
    <row r="161" spans="1:31">
      <c r="A161" s="240" t="s">
        <v>240</v>
      </c>
      <c r="B161" s="290">
        <f t="shared" ref="B161:AC168" si="96">B176+B97+B132-B145-B177</f>
        <v>41.599022232683112</v>
      </c>
      <c r="C161" s="290">
        <f t="shared" si="96"/>
        <v>39.886615282346646</v>
      </c>
      <c r="D161" s="290">
        <f t="shared" si="96"/>
        <v>51.720605673783254</v>
      </c>
      <c r="E161" s="290">
        <f t="shared" si="96"/>
        <v>69.174956381595436</v>
      </c>
      <c r="F161" s="290">
        <f t="shared" si="96"/>
        <v>45.125687216920383</v>
      </c>
      <c r="G161" s="290">
        <f t="shared" si="96"/>
        <v>-33.368161330262808</v>
      </c>
      <c r="H161" s="290">
        <f t="shared" si="96"/>
        <v>46.223499366515824</v>
      </c>
      <c r="I161" s="290">
        <f t="shared" si="96"/>
        <v>28.342347913524378</v>
      </c>
      <c r="J161" s="290">
        <f t="shared" si="96"/>
        <v>42.609877250409163</v>
      </c>
      <c r="K161" s="290">
        <f t="shared" si="96"/>
        <v>63.503772411798728</v>
      </c>
      <c r="L161" s="290">
        <f t="shared" si="96"/>
        <v>61.048468824940031</v>
      </c>
      <c r="M161" s="290">
        <f t="shared" si="96"/>
        <v>56.982505267715418</v>
      </c>
      <c r="N161" s="290">
        <f t="shared" si="96"/>
        <v>53.11900281254394</v>
      </c>
      <c r="O161" s="290">
        <f t="shared" si="96"/>
        <v>68.066356790123436</v>
      </c>
      <c r="P161" s="290">
        <f t="shared" si="96"/>
        <v>58.97801433804289</v>
      </c>
      <c r="Q161" s="290">
        <f t="shared" si="96"/>
        <v>92.704494892091191</v>
      </c>
      <c r="R161" s="290">
        <f t="shared" si="96"/>
        <v>61.321230529594992</v>
      </c>
      <c r="S161" s="290">
        <f t="shared" si="96"/>
        <v>33.677817935833026</v>
      </c>
      <c r="T161" s="290">
        <f t="shared" si="96"/>
        <v>38.365564102564065</v>
      </c>
      <c r="U161" s="290">
        <f t="shared" si="96"/>
        <v>63.938682343563173</v>
      </c>
      <c r="V161" s="290">
        <f t="shared" si="96"/>
        <v>20.743668242372152</v>
      </c>
      <c r="W161" s="290">
        <f t="shared" si="96"/>
        <v>-78.30841322314059</v>
      </c>
      <c r="X161" s="290">
        <f t="shared" si="96"/>
        <v>-42.234835164835189</v>
      </c>
      <c r="Y161" s="290">
        <f t="shared" si="96"/>
        <v>76.45250549450536</v>
      </c>
      <c r="Z161" s="290">
        <f t="shared" si="96"/>
        <v>15.56194440034192</v>
      </c>
      <c r="AA161" s="290">
        <f t="shared" si="96"/>
        <v>43.721655271883243</v>
      </c>
      <c r="AB161" s="290">
        <f t="shared" si="96"/>
        <v>26.969726235897532</v>
      </c>
      <c r="AC161" s="290">
        <f t="shared" si="96"/>
        <v>-28.218489230769208</v>
      </c>
      <c r="AD161" s="253">
        <f t="shared" ref="AD161:AE171" si="97">AD176+AD97+AD129-AD145-AD177</f>
        <v>30.412907153239686</v>
      </c>
      <c r="AE161" s="253">
        <f t="shared" si="97"/>
        <v>15.390678524594572</v>
      </c>
    </row>
    <row r="162" spans="1:31">
      <c r="A162" s="240" t="s">
        <v>241</v>
      </c>
      <c r="B162" s="290">
        <f t="shared" si="96"/>
        <v>14.725523944021091</v>
      </c>
      <c r="C162" s="290">
        <f t="shared" si="96"/>
        <v>28.577625760744205</v>
      </c>
      <c r="D162" s="290">
        <f t="shared" si="96"/>
        <v>40.386977987630587</v>
      </c>
      <c r="E162" s="290">
        <f t="shared" si="96"/>
        <v>56.722949419043395</v>
      </c>
      <c r="F162" s="290">
        <f t="shared" si="96"/>
        <v>41.210995799939106</v>
      </c>
      <c r="G162" s="290">
        <f t="shared" si="96"/>
        <v>4.373856518829716</v>
      </c>
      <c r="H162" s="290">
        <f t="shared" si="96"/>
        <v>78.208548778280559</v>
      </c>
      <c r="I162" s="290">
        <f t="shared" si="96"/>
        <v>27.923279286073402</v>
      </c>
      <c r="J162" s="290">
        <f t="shared" si="96"/>
        <v>51.100855973813438</v>
      </c>
      <c r="K162" s="290">
        <f t="shared" si="96"/>
        <v>59.839684065934073</v>
      </c>
      <c r="L162" s="290">
        <f t="shared" si="96"/>
        <v>62.210526378896873</v>
      </c>
      <c r="M162" s="290">
        <f t="shared" si="96"/>
        <v>59.156548419685393</v>
      </c>
      <c r="N162" s="290">
        <f t="shared" si="96"/>
        <v>60.245681057516521</v>
      </c>
      <c r="O162" s="290">
        <f t="shared" si="96"/>
        <v>32.733591975308634</v>
      </c>
      <c r="P162" s="290">
        <f t="shared" si="96"/>
        <v>55.693324542124536</v>
      </c>
      <c r="Q162" s="290">
        <f t="shared" si="96"/>
        <v>58.089832622961907</v>
      </c>
      <c r="R162" s="290">
        <f t="shared" si="96"/>
        <v>67.48711838006237</v>
      </c>
      <c r="S162" s="290">
        <f t="shared" si="96"/>
        <v>35.65013451874762</v>
      </c>
      <c r="T162" s="290">
        <f t="shared" si="96"/>
        <v>48.490897435897388</v>
      </c>
      <c r="U162" s="290">
        <f t="shared" si="96"/>
        <v>59.456583897967377</v>
      </c>
      <c r="V162" s="290">
        <f t="shared" si="96"/>
        <v>62.044215728405689</v>
      </c>
      <c r="W162" s="290">
        <f t="shared" si="96"/>
        <v>5.7487190082643442</v>
      </c>
      <c r="X162" s="290">
        <f t="shared" si="96"/>
        <v>47.395307692307753</v>
      </c>
      <c r="Y162" s="290">
        <f t="shared" si="96"/>
        <v>7.1177912087910808</v>
      </c>
      <c r="Z162" s="290">
        <f t="shared" si="96"/>
        <v>-15.976816012991467</v>
      </c>
      <c r="AA162" s="290">
        <f t="shared" si="96"/>
        <v>44.938719927055629</v>
      </c>
      <c r="AB162" s="290">
        <f t="shared" si="96"/>
        <v>119.06001619145304</v>
      </c>
      <c r="AC162" s="290">
        <f t="shared" si="96"/>
        <v>-21.751124069478834</v>
      </c>
      <c r="AD162" s="253">
        <f t="shared" si="97"/>
        <v>4.1784215446854454</v>
      </c>
      <c r="AE162" s="253">
        <f t="shared" si="97"/>
        <v>0.90432921974602476</v>
      </c>
    </row>
    <row r="163" spans="1:31">
      <c r="A163" s="240" t="s">
        <v>231</v>
      </c>
      <c r="B163" s="290">
        <f t="shared" si="96"/>
        <v>16.942417644924326</v>
      </c>
      <c r="C163" s="290">
        <f t="shared" si="96"/>
        <v>24.774372268020976</v>
      </c>
      <c r="D163" s="290">
        <f t="shared" si="96"/>
        <v>33.585088327507151</v>
      </c>
      <c r="E163" s="290">
        <f t="shared" si="96"/>
        <v>18.583417665545053</v>
      </c>
      <c r="F163" s="290">
        <f t="shared" si="96"/>
        <v>31.455177412492151</v>
      </c>
      <c r="G163" s="290">
        <f t="shared" si="96"/>
        <v>64.21841420118345</v>
      </c>
      <c r="H163" s="290">
        <f t="shared" si="96"/>
        <v>72.293673484162895</v>
      </c>
      <c r="I163" s="290">
        <f t="shared" si="96"/>
        <v>12.829235168426383</v>
      </c>
      <c r="J163" s="290">
        <f t="shared" si="96"/>
        <v>50.225898527004922</v>
      </c>
      <c r="K163" s="290">
        <f t="shared" si="96"/>
        <v>57.452178426836305</v>
      </c>
      <c r="L163" s="290">
        <f t="shared" si="96"/>
        <v>52.057688249400464</v>
      </c>
      <c r="M163" s="290">
        <f t="shared" si="96"/>
        <v>55.490313898109406</v>
      </c>
      <c r="N163" s="290">
        <f t="shared" si="96"/>
        <v>20.120732245816313</v>
      </c>
      <c r="O163" s="290">
        <f t="shared" si="96"/>
        <v>48.892340123456762</v>
      </c>
      <c r="P163" s="290">
        <f t="shared" si="96"/>
        <v>57.787583725798015</v>
      </c>
      <c r="Q163" s="290">
        <f t="shared" si="96"/>
        <v>-7.8066713348217025</v>
      </c>
      <c r="R163" s="290">
        <f t="shared" si="96"/>
        <v>23.353015576323951</v>
      </c>
      <c r="S163" s="290">
        <f t="shared" si="96"/>
        <v>-36.267367993815249</v>
      </c>
      <c r="T163" s="290">
        <f t="shared" si="96"/>
        <v>29.296897435897456</v>
      </c>
      <c r="U163" s="290">
        <f t="shared" si="96"/>
        <v>-60.760597449182946</v>
      </c>
      <c r="V163" s="290">
        <f t="shared" si="96"/>
        <v>-7.8638568972926297</v>
      </c>
      <c r="W163" s="290">
        <f t="shared" si="96"/>
        <v>-42.535454545454648</v>
      </c>
      <c r="X163" s="290">
        <f t="shared" si="96"/>
        <v>50.414164835164812</v>
      </c>
      <c r="Y163" s="290">
        <f t="shared" si="96"/>
        <v>55.412791208791155</v>
      </c>
      <c r="Z163" s="290">
        <f t="shared" si="96"/>
        <v>93.305524707008558</v>
      </c>
      <c r="AA163" s="290">
        <f t="shared" si="96"/>
        <v>-37.809439986737388</v>
      </c>
      <c r="AB163" s="290">
        <f t="shared" si="96"/>
        <v>-79.809662919658038</v>
      </c>
      <c r="AC163" s="290">
        <f t="shared" si="96"/>
        <v>-10.467027295285407</v>
      </c>
      <c r="AD163" s="253">
        <f t="shared" si="97"/>
        <v>-3.9331379590843061</v>
      </c>
      <c r="AE163" s="253">
        <f t="shared" si="97"/>
        <v>-5.2544496548571145</v>
      </c>
    </row>
    <row r="164" spans="1:31">
      <c r="A164" s="240" t="s">
        <v>232</v>
      </c>
      <c r="B164" s="290">
        <f t="shared" si="96"/>
        <v>31.367869016446488</v>
      </c>
      <c r="C164" s="290">
        <f t="shared" si="96"/>
        <v>29.019691164462394</v>
      </c>
      <c r="D164" s="290">
        <f t="shared" si="96"/>
        <v>37.870550097677871</v>
      </c>
      <c r="E164" s="290">
        <f t="shared" si="96"/>
        <v>26.394394779249872</v>
      </c>
      <c r="F164" s="290">
        <f t="shared" si="96"/>
        <v>36.338176924900011</v>
      </c>
      <c r="G164" s="290">
        <f t="shared" si="96"/>
        <v>80.777901380670627</v>
      </c>
      <c r="H164" s="290">
        <f t="shared" si="96"/>
        <v>42.896760542986435</v>
      </c>
      <c r="I164" s="290">
        <f t="shared" si="96"/>
        <v>18.873847913524379</v>
      </c>
      <c r="J164" s="290">
        <f t="shared" si="96"/>
        <v>51.520132569558115</v>
      </c>
      <c r="K164" s="290">
        <f t="shared" si="96"/>
        <v>59.199208502024284</v>
      </c>
      <c r="L164" s="290">
        <f t="shared" si="96"/>
        <v>54.307940047961608</v>
      </c>
      <c r="M164" s="290">
        <f t="shared" si="96"/>
        <v>55.431150671092503</v>
      </c>
      <c r="N164" s="290">
        <f t="shared" si="96"/>
        <v>52.185057657150892</v>
      </c>
      <c r="O164" s="290">
        <f t="shared" si="96"/>
        <v>23.464088271604936</v>
      </c>
      <c r="P164" s="290">
        <f t="shared" si="96"/>
        <v>57.545475562532694</v>
      </c>
      <c r="Q164" s="290">
        <f t="shared" si="96"/>
        <v>4.5049223327244645</v>
      </c>
      <c r="R164" s="290">
        <f t="shared" si="96"/>
        <v>40.201529595015614</v>
      </c>
      <c r="S164" s="290">
        <f t="shared" si="96"/>
        <v>42.875812910707381</v>
      </c>
      <c r="T164" s="290">
        <f t="shared" si="96"/>
        <v>51.891564102564139</v>
      </c>
      <c r="U164" s="290">
        <f t="shared" si="96"/>
        <v>29.168485452371396</v>
      </c>
      <c r="V164" s="290">
        <f t="shared" si="96"/>
        <v>83.691657069187826</v>
      </c>
      <c r="W164" s="290">
        <f t="shared" si="96"/>
        <v>74.329851239669296</v>
      </c>
      <c r="X164" s="290">
        <f t="shared" si="96"/>
        <v>48.50287912087915</v>
      </c>
      <c r="Y164" s="290">
        <f t="shared" si="96"/>
        <v>6.8263626373624904</v>
      </c>
      <c r="Z164" s="290">
        <f t="shared" si="96"/>
        <v>12.258243120341987</v>
      </c>
      <c r="AA164" s="290">
        <f t="shared" si="96"/>
        <v>64.739623375331547</v>
      </c>
      <c r="AB164" s="290">
        <f t="shared" si="96"/>
        <v>-29.563144741880375</v>
      </c>
      <c r="AC164" s="290">
        <f t="shared" si="96"/>
        <v>125.673746898263</v>
      </c>
      <c r="AD164" s="253">
        <f t="shared" si="97"/>
        <v>32.135737633983098</v>
      </c>
      <c r="AE164" s="253">
        <f t="shared" si="97"/>
        <v>36.833633337319611</v>
      </c>
    </row>
    <row r="165" spans="1:31">
      <c r="A165" s="240" t="s">
        <v>233</v>
      </c>
      <c r="B165" s="290">
        <f t="shared" si="96"/>
        <v>-3.517731226769456</v>
      </c>
      <c r="C165" s="290">
        <f t="shared" si="96"/>
        <v>17.522858927986302</v>
      </c>
      <c r="D165" s="290">
        <f t="shared" si="96"/>
        <v>30.907222516947204</v>
      </c>
      <c r="E165" s="290">
        <f t="shared" si="96"/>
        <v>26.676761498947027</v>
      </c>
      <c r="F165" s="290">
        <f t="shared" si="96"/>
        <v>34.269706705317255</v>
      </c>
      <c r="G165" s="290">
        <f t="shared" si="96"/>
        <v>90.979952662721914</v>
      </c>
      <c r="H165" s="290">
        <f t="shared" si="96"/>
        <v>34.237193484162894</v>
      </c>
      <c r="I165" s="290">
        <f t="shared" si="96"/>
        <v>63.886771933132223</v>
      </c>
      <c r="J165" s="290">
        <f t="shared" si="96"/>
        <v>51.521387888707054</v>
      </c>
      <c r="K165" s="290">
        <f t="shared" si="96"/>
        <v>27.599481058415268</v>
      </c>
      <c r="L165" s="290">
        <f t="shared" si="96"/>
        <v>47.39582853717026</v>
      </c>
      <c r="M165" s="290">
        <f t="shared" si="96"/>
        <v>57.999797950642254</v>
      </c>
      <c r="N165" s="290">
        <f t="shared" si="96"/>
        <v>63.488425116017446</v>
      </c>
      <c r="O165" s="290">
        <f t="shared" si="96"/>
        <v>-3.6298932098765633</v>
      </c>
      <c r="P165" s="290">
        <f t="shared" si="96"/>
        <v>57.227628623757191</v>
      </c>
      <c r="Q165" s="290">
        <f t="shared" si="96"/>
        <v>19.853112306339213</v>
      </c>
      <c r="R165" s="290">
        <f t="shared" si="96"/>
        <v>21.091501557632416</v>
      </c>
      <c r="S165" s="290">
        <f t="shared" si="96"/>
        <v>37.293988790104336</v>
      </c>
      <c r="T165" s="290">
        <f t="shared" si="96"/>
        <v>5.3692307692307555</v>
      </c>
      <c r="U165" s="290">
        <f t="shared" si="96"/>
        <v>-2.3084057393383848</v>
      </c>
      <c r="V165" s="290">
        <f t="shared" si="96"/>
        <v>52.450506231199022</v>
      </c>
      <c r="W165" s="290">
        <f t="shared" si="96"/>
        <v>-7.6118760330579835</v>
      </c>
      <c r="X165" s="290">
        <f t="shared" si="96"/>
        <v>0.48602197802198743</v>
      </c>
      <c r="Y165" s="290">
        <f t="shared" si="96"/>
        <v>-16.071923076923213</v>
      </c>
      <c r="Z165" s="290">
        <f t="shared" si="96"/>
        <v>57.447589107008518</v>
      </c>
      <c r="AA165" s="290">
        <f t="shared" si="96"/>
        <v>-108.604110245358</v>
      </c>
      <c r="AB165" s="290">
        <f t="shared" si="96"/>
        <v>-103.04720487521364</v>
      </c>
      <c r="AC165" s="290">
        <f t="shared" si="96"/>
        <v>123.49606947890818</v>
      </c>
      <c r="AD165" s="253">
        <f t="shared" si="97"/>
        <v>-27.602141149830256</v>
      </c>
      <c r="AE165" s="253">
        <f t="shared" si="97"/>
        <v>-17.102886993818888</v>
      </c>
    </row>
    <row r="166" spans="1:31">
      <c r="A166" s="240" t="s">
        <v>234</v>
      </c>
      <c r="B166" s="290">
        <f t="shared" si="96"/>
        <v>45.516073827807027</v>
      </c>
      <c r="C166" s="290">
        <f t="shared" si="96"/>
        <v>45.008912517090394</v>
      </c>
      <c r="D166" s="290">
        <f t="shared" si="96"/>
        <v>47.707949175479669</v>
      </c>
      <c r="E166" s="290">
        <f t="shared" si="96"/>
        <v>41.394011232937373</v>
      </c>
      <c r="F166" s="290">
        <f t="shared" si="96"/>
        <v>36.070779255379946</v>
      </c>
      <c r="G166" s="290">
        <f t="shared" si="96"/>
        <v>39.864824457593706</v>
      </c>
      <c r="H166" s="290">
        <f t="shared" si="96"/>
        <v>44.326334660633499</v>
      </c>
      <c r="I166" s="290">
        <f t="shared" si="96"/>
        <v>68.677703305681234</v>
      </c>
      <c r="J166" s="290">
        <f t="shared" si="96"/>
        <v>51.561558101472997</v>
      </c>
      <c r="K166" s="290">
        <f t="shared" si="96"/>
        <v>63.442387073452856</v>
      </c>
      <c r="L166" s="290">
        <f t="shared" si="96"/>
        <v>72.717429256594698</v>
      </c>
      <c r="M166" s="290">
        <f t="shared" si="96"/>
        <v>58.548128157021203</v>
      </c>
      <c r="N166" s="290">
        <f t="shared" si="96"/>
        <v>62.862840106876668</v>
      </c>
      <c r="O166" s="290">
        <f t="shared" si="96"/>
        <v>76.69028456790123</v>
      </c>
      <c r="P166" s="290">
        <f t="shared" si="96"/>
        <v>57.497646991104141</v>
      </c>
      <c r="Q166" s="290">
        <f t="shared" si="96"/>
        <v>19.464107029294375</v>
      </c>
      <c r="R166" s="290">
        <f t="shared" si="96"/>
        <v>24.985258566978235</v>
      </c>
      <c r="S166" s="290">
        <f t="shared" si="96"/>
        <v>-15.098800154619251</v>
      </c>
      <c r="T166" s="290">
        <f t="shared" si="96"/>
        <v>-35.744102564102576</v>
      </c>
      <c r="U166" s="290">
        <f t="shared" si="96"/>
        <v>24.537112395376653</v>
      </c>
      <c r="V166" s="290">
        <f t="shared" si="96"/>
        <v>13.1661095831543</v>
      </c>
      <c r="W166" s="290">
        <f t="shared" si="96"/>
        <v>-2.4419256198348167</v>
      </c>
      <c r="X166" s="290">
        <f t="shared" si="96"/>
        <v>110.80345054945057</v>
      </c>
      <c r="Y166" s="290">
        <f t="shared" si="96"/>
        <v>-64.941494505494518</v>
      </c>
      <c r="Z166" s="290">
        <f t="shared" si="96"/>
        <v>-96.170291132991352</v>
      </c>
      <c r="AA166" s="290">
        <f t="shared" si="96"/>
        <v>-49.272740417771878</v>
      </c>
      <c r="AB166" s="290">
        <f t="shared" si="96"/>
        <v>-25.103878430769122</v>
      </c>
      <c r="AC166" s="253">
        <f t="shared" ref="AC166:AC171" si="98">AC181+AC102+AC134-AC150-AC182</f>
        <v>52.111166253101722</v>
      </c>
      <c r="AD166" s="253">
        <f t="shared" si="97"/>
        <v>2.2913571966737463</v>
      </c>
      <c r="AE166" s="253">
        <f t="shared" si="97"/>
        <v>-20.783507747950985</v>
      </c>
    </row>
    <row r="167" spans="1:31">
      <c r="A167" s="240" t="s">
        <v>46</v>
      </c>
      <c r="B167" s="290">
        <f t="shared" si="96"/>
        <v>43.524645228358182</v>
      </c>
      <c r="C167" s="290">
        <f t="shared" si="96"/>
        <v>44.934269487998193</v>
      </c>
      <c r="D167" s="290">
        <f t="shared" si="96"/>
        <v>49.309701938164842</v>
      </c>
      <c r="E167" s="290">
        <f t="shared" si="96"/>
        <v>45.701342036621945</v>
      </c>
      <c r="F167" s="290">
        <f t="shared" si="96"/>
        <v>39.394073897085015</v>
      </c>
      <c r="G167" s="290">
        <f t="shared" si="96"/>
        <v>66.834542406311641</v>
      </c>
      <c r="H167" s="290">
        <f t="shared" si="96"/>
        <v>15.468887601809964</v>
      </c>
      <c r="I167" s="290">
        <f t="shared" si="96"/>
        <v>63.906379776269503</v>
      </c>
      <c r="J167" s="290">
        <f t="shared" si="96"/>
        <v>51.564068739770867</v>
      </c>
      <c r="K167" s="290">
        <f t="shared" si="96"/>
        <v>61.102054366685941</v>
      </c>
      <c r="L167" s="290">
        <f t="shared" si="96"/>
        <v>71.766314148681062</v>
      </c>
      <c r="M167" s="290">
        <f t="shared" si="96"/>
        <v>57.975432096983717</v>
      </c>
      <c r="N167" s="290">
        <f t="shared" si="96"/>
        <v>68.370275207425095</v>
      </c>
      <c r="O167" s="290">
        <f t="shared" si="96"/>
        <v>75.59820308641973</v>
      </c>
      <c r="P167" s="290">
        <f t="shared" si="96"/>
        <v>53.781012297226582</v>
      </c>
      <c r="Q167" s="290">
        <f t="shared" si="96"/>
        <v>37.220101752249541</v>
      </c>
      <c r="R167" s="290">
        <f t="shared" si="96"/>
        <v>17.453576323987512</v>
      </c>
      <c r="S167" s="290">
        <f t="shared" si="96"/>
        <v>33.752933513722446</v>
      </c>
      <c r="T167" s="290">
        <f t="shared" si="96"/>
        <v>-37.313102564102543</v>
      </c>
      <c r="U167" s="290">
        <f t="shared" si="96"/>
        <v>71.256578716620169</v>
      </c>
      <c r="V167" s="290">
        <f t="shared" si="96"/>
        <v>-88.97093510958311</v>
      </c>
      <c r="W167" s="290">
        <f t="shared" si="96"/>
        <v>-1.7860909090909749</v>
      </c>
      <c r="X167" s="290">
        <f t="shared" si="96"/>
        <v>-5.8405494505494318</v>
      </c>
      <c r="Y167" s="290">
        <f t="shared" si="96"/>
        <v>48.900826208791081</v>
      </c>
      <c r="Z167" s="290">
        <f t="shared" si="96"/>
        <v>-86.243689186324744</v>
      </c>
      <c r="AA167" s="290">
        <f t="shared" si="96"/>
        <v>87.490102685676447</v>
      </c>
      <c r="AB167" s="290">
        <f t="shared" si="96"/>
        <v>101.54558125811977</v>
      </c>
      <c r="AC167" s="253">
        <f t="shared" si="98"/>
        <v>-0.7591832247226975</v>
      </c>
      <c r="AD167" s="253">
        <f t="shared" si="97"/>
        <v>29.379084029273329</v>
      </c>
      <c r="AE167" s="253">
        <f t="shared" si="97"/>
        <v>24.825823815637413</v>
      </c>
    </row>
    <row r="168" spans="1:31">
      <c r="A168" s="240" t="s">
        <v>235</v>
      </c>
      <c r="B168" s="290">
        <f t="shared" si="96"/>
        <v>23.479826806711966</v>
      </c>
      <c r="C168" s="290">
        <f t="shared" si="96"/>
        <v>29.531764501473752</v>
      </c>
      <c r="D168" s="290">
        <f t="shared" si="96"/>
        <v>35.252937520620627</v>
      </c>
      <c r="E168" s="290">
        <f t="shared" si="96"/>
        <v>28.39647617640097</v>
      </c>
      <c r="F168" s="290">
        <f t="shared" si="96"/>
        <v>36.716342654981801</v>
      </c>
      <c r="G168" s="290">
        <f t="shared" si="96"/>
        <v>44.073285996055247</v>
      </c>
      <c r="H168" s="290">
        <f t="shared" si="96"/>
        <v>59.157019366515804</v>
      </c>
      <c r="I168" s="290">
        <f t="shared" si="96"/>
        <v>64.773548893916541</v>
      </c>
      <c r="J168" s="290">
        <f t="shared" si="96"/>
        <v>51.017621931260251</v>
      </c>
      <c r="K168" s="290">
        <f t="shared" si="96"/>
        <v>62.428347599768642</v>
      </c>
      <c r="L168" s="290">
        <f t="shared" si="96"/>
        <v>71.988033573141479</v>
      </c>
      <c r="M168" s="290">
        <f t="shared" si="96"/>
        <v>59.044083128878626</v>
      </c>
      <c r="N168" s="290">
        <f t="shared" si="96"/>
        <v>60.954587821684704</v>
      </c>
      <c r="O168" s="290">
        <f t="shared" si="96"/>
        <v>11.864295679012358</v>
      </c>
      <c r="P168" s="290">
        <f t="shared" si="96"/>
        <v>56.967306174777605</v>
      </c>
      <c r="Q168" s="290">
        <f t="shared" si="96"/>
        <v>-7.0246185643731645</v>
      </c>
      <c r="R168" s="290">
        <f t="shared" si="96"/>
        <v>58.001707165109067</v>
      </c>
      <c r="S168" s="290">
        <f t="shared" si="96"/>
        <v>53.648581754928465</v>
      </c>
      <c r="T168" s="290">
        <f t="shared" si="96"/>
        <v>14.928564102564184</v>
      </c>
      <c r="U168" s="290">
        <f t="shared" si="96"/>
        <v>-24.83862853726589</v>
      </c>
      <c r="V168" s="290">
        <f t="shared" si="96"/>
        <v>0.49922131499791361</v>
      </c>
      <c r="W168" s="290">
        <f t="shared" si="96"/>
        <v>37.233694214875946</v>
      </c>
      <c r="X168" s="290">
        <f t="shared" si="96"/>
        <v>14.815021978022022</v>
      </c>
      <c r="Y168" s="290">
        <f t="shared" si="96"/>
        <v>56.809510351648285</v>
      </c>
      <c r="Z168" s="290">
        <f t="shared" si="96"/>
        <v>-27.648926199658032</v>
      </c>
      <c r="AA168" s="290">
        <f t="shared" si="96"/>
        <v>53.766384151193655</v>
      </c>
      <c r="AB168" s="290">
        <f t="shared" si="96"/>
        <v>-26.743670297436076</v>
      </c>
      <c r="AC168" s="253">
        <f t="shared" si="98"/>
        <v>63.322903373584325</v>
      </c>
      <c r="AD168" s="253">
        <f t="shared" si="97"/>
        <v>42.049423808474167</v>
      </c>
      <c r="AE168" s="253">
        <f t="shared" si="97"/>
        <v>33.325753655985395</v>
      </c>
    </row>
    <row r="169" spans="1:31">
      <c r="A169" s="240" t="s">
        <v>236</v>
      </c>
      <c r="B169" s="290">
        <f t="shared" ref="B169:AB171" si="99">B184+B105+C128-B153-B185</f>
        <v>30.435802759716371</v>
      </c>
      <c r="C169" s="290">
        <f t="shared" si="99"/>
        <v>38.440107813139051</v>
      </c>
      <c r="D169" s="290">
        <f t="shared" si="99"/>
        <v>47.347834384248792</v>
      </c>
      <c r="E169" s="290">
        <f t="shared" si="99"/>
        <v>52.734679132375788</v>
      </c>
      <c r="F169" s="290">
        <f t="shared" si="99"/>
        <v>36.852109000047612</v>
      </c>
      <c r="G169" s="290">
        <f t="shared" si="99"/>
        <v>31.628644970414207</v>
      </c>
      <c r="H169" s="290">
        <f t="shared" si="99"/>
        <v>33.826713484162916</v>
      </c>
      <c r="I169" s="290">
        <f t="shared" si="99"/>
        <v>63.395166540975339</v>
      </c>
      <c r="J169" s="290">
        <f t="shared" si="99"/>
        <v>51.217792144026191</v>
      </c>
      <c r="K169" s="290">
        <f t="shared" si="99"/>
        <v>60.214819404279936</v>
      </c>
      <c r="L169" s="290">
        <f t="shared" si="99"/>
        <v>72.939047961630692</v>
      </c>
      <c r="M169" s="290">
        <f t="shared" si="99"/>
        <v>59.884257612931187</v>
      </c>
      <c r="N169" s="290">
        <f t="shared" si="99"/>
        <v>66.409112501757846</v>
      </c>
      <c r="O169" s="290">
        <f t="shared" si="99"/>
        <v>52.056019753086396</v>
      </c>
      <c r="P169" s="290">
        <f t="shared" si="99"/>
        <v>56.725314338042907</v>
      </c>
      <c r="Q169" s="290">
        <f t="shared" si="99"/>
        <v>72.015851092618902</v>
      </c>
      <c r="R169" s="290">
        <f t="shared" si="99"/>
        <v>22.929875389408082</v>
      </c>
      <c r="S169" s="290">
        <f t="shared" si="99"/>
        <v>-27.505352918438344</v>
      </c>
      <c r="T169" s="290">
        <f t="shared" si="99"/>
        <v>13.27523076923074</v>
      </c>
      <c r="U169" s="290">
        <f t="shared" si="99"/>
        <v>45.973760063770392</v>
      </c>
      <c r="V169" s="290">
        <f t="shared" si="99"/>
        <v>4.8005062311989564</v>
      </c>
      <c r="W169" s="290">
        <f t="shared" si="99"/>
        <v>9.9370909090908555</v>
      </c>
      <c r="X169" s="290">
        <f t="shared" si="99"/>
        <v>31.832879120879191</v>
      </c>
      <c r="Y169" s="290">
        <f t="shared" si="99"/>
        <v>-0.46019693406600326</v>
      </c>
      <c r="Z169" s="290">
        <f t="shared" si="99"/>
        <v>55.484179760341981</v>
      </c>
      <c r="AA169" s="290">
        <f t="shared" si="99"/>
        <v>-7.3010576591510761</v>
      </c>
      <c r="AB169" s="290">
        <f t="shared" si="99"/>
        <v>-46.306706341880293</v>
      </c>
      <c r="AC169" s="253">
        <f t="shared" si="98"/>
        <v>6.5496284169697043</v>
      </c>
      <c r="AD169" s="253">
        <f t="shared" si="97"/>
        <v>14.83620579761774</v>
      </c>
      <c r="AE169" s="253">
        <f t="shared" si="97"/>
        <v>6.0562571336380913</v>
      </c>
    </row>
    <row r="170" spans="1:31">
      <c r="A170" s="240" t="s">
        <v>237</v>
      </c>
      <c r="B170" s="290">
        <f t="shared" si="99"/>
        <v>44.342360763776504</v>
      </c>
      <c r="C170" s="290">
        <f t="shared" si="99"/>
        <v>37.869211892244394</v>
      </c>
      <c r="D170" s="290">
        <f t="shared" si="99"/>
        <v>48.976572899386191</v>
      </c>
      <c r="E170" s="290">
        <f t="shared" si="99"/>
        <v>45.516748678145262</v>
      </c>
      <c r="F170" s="290">
        <f t="shared" si="99"/>
        <v>38.038331602645144</v>
      </c>
      <c r="G170" s="290">
        <f t="shared" si="99"/>
        <v>88.732234714003951</v>
      </c>
      <c r="H170" s="290">
        <f t="shared" si="99"/>
        <v>11.452242895927609</v>
      </c>
      <c r="I170" s="290">
        <f t="shared" si="99"/>
        <v>33.960644482151835</v>
      </c>
      <c r="J170" s="290">
        <f t="shared" si="99"/>
        <v>50.579366612111293</v>
      </c>
      <c r="K170" s="290">
        <f t="shared" si="99"/>
        <v>38.61957128397917</v>
      </c>
      <c r="L170" s="290">
        <f t="shared" si="99"/>
        <v>51.463817745803333</v>
      </c>
      <c r="M170" s="290">
        <f t="shared" si="99"/>
        <v>57.592405830567181</v>
      </c>
      <c r="N170" s="290">
        <f t="shared" si="99"/>
        <v>70.238500070313577</v>
      </c>
      <c r="O170" s="290">
        <f t="shared" si="99"/>
        <v>44.903054938271595</v>
      </c>
      <c r="P170" s="290">
        <f t="shared" si="99"/>
        <v>55.150718419675563</v>
      </c>
      <c r="Q170" s="290">
        <f t="shared" si="99"/>
        <v>65.732595155943486</v>
      </c>
      <c r="R170" s="290">
        <f t="shared" si="99"/>
        <v>14.539529595015619</v>
      </c>
      <c r="S170" s="290">
        <f t="shared" si="99"/>
        <v>15.344988790104381</v>
      </c>
      <c r="T170" s="290">
        <f t="shared" si="99"/>
        <v>66.661230769230727</v>
      </c>
      <c r="U170" s="290">
        <f t="shared" si="99"/>
        <v>34.768293742526936</v>
      </c>
      <c r="V170" s="290">
        <f t="shared" si="99"/>
        <v>25.021562097120793</v>
      </c>
      <c r="W170" s="290">
        <f t="shared" si="99"/>
        <v>66.01418181818174</v>
      </c>
      <c r="X170" s="290">
        <f t="shared" si="99"/>
        <v>27.422164835164857</v>
      </c>
      <c r="Y170" s="290">
        <f t="shared" si="99"/>
        <v>45.466281494505388</v>
      </c>
      <c r="Z170" s="290">
        <f t="shared" si="99"/>
        <v>17.331823693675339</v>
      </c>
      <c r="AA170" s="290">
        <f t="shared" si="99"/>
        <v>12.900538892572971</v>
      </c>
      <c r="AB170" s="290">
        <f t="shared" si="99"/>
        <v>108.40635770256416</v>
      </c>
      <c r="AC170" s="253">
        <f t="shared" si="98"/>
        <v>14.24398515317837</v>
      </c>
      <c r="AD170" s="253">
        <f t="shared" si="97"/>
        <v>36.411240261126053</v>
      </c>
      <c r="AE170" s="253">
        <f t="shared" si="97"/>
        <v>31.865417697255644</v>
      </c>
    </row>
    <row r="171" spans="1:31">
      <c r="A171" s="240" t="s">
        <v>238</v>
      </c>
      <c r="B171" s="290">
        <f t="shared" si="99"/>
        <v>38.83950199574371</v>
      </c>
      <c r="C171" s="290">
        <f t="shared" si="99"/>
        <v>38.816936159531465</v>
      </c>
      <c r="D171" s="290">
        <f t="shared" si="99"/>
        <v>44.562940179349503</v>
      </c>
      <c r="E171" s="290">
        <f t="shared" si="99"/>
        <v>43.373238134950306</v>
      </c>
      <c r="F171" s="290">
        <f t="shared" si="99"/>
        <v>38.753985163965247</v>
      </c>
      <c r="G171" s="290">
        <f t="shared" si="99"/>
        <v>79.878443786982245</v>
      </c>
      <c r="H171" s="290">
        <f t="shared" si="99"/>
        <v>72.334659909502165</v>
      </c>
      <c r="I171" s="290">
        <f t="shared" si="99"/>
        <v>49.346366578682819</v>
      </c>
      <c r="J171" s="290">
        <f t="shared" si="99"/>
        <v>49.105371522094948</v>
      </c>
      <c r="K171" s="290">
        <f t="shared" si="99"/>
        <v>50.864202718334312</v>
      </c>
      <c r="L171" s="290">
        <f t="shared" si="99"/>
        <v>58.197220623501174</v>
      </c>
      <c r="M171" s="290">
        <f t="shared" si="99"/>
        <v>51.699183143310691</v>
      </c>
      <c r="N171" s="290">
        <f t="shared" si="99"/>
        <v>69.812301785965403</v>
      </c>
      <c r="O171" s="290">
        <f t="shared" si="99"/>
        <v>88.317082716049342</v>
      </c>
      <c r="P171" s="290">
        <f t="shared" si="99"/>
        <v>24.583234118262624</v>
      </c>
      <c r="Q171" s="290">
        <f t="shared" si="99"/>
        <v>50.601788376970511</v>
      </c>
      <c r="R171" s="290">
        <f t="shared" si="99"/>
        <v>21.437193146417279</v>
      </c>
      <c r="S171" s="290">
        <f t="shared" si="99"/>
        <v>31.759344414379701</v>
      </c>
      <c r="T171" s="290">
        <f t="shared" si="99"/>
        <v>31.213794871795038</v>
      </c>
      <c r="U171" s="290">
        <f t="shared" si="99"/>
        <v>64.704805101634179</v>
      </c>
      <c r="V171" s="290">
        <f t="shared" si="99"/>
        <v>63.294425870219101</v>
      </c>
      <c r="W171" s="290">
        <f t="shared" si="99"/>
        <v>70.651669421487952</v>
      </c>
      <c r="X171" s="290">
        <f t="shared" si="99"/>
        <v>70.643615384615302</v>
      </c>
      <c r="Y171" s="290">
        <f t="shared" si="99"/>
        <v>9.8327915604399152</v>
      </c>
      <c r="Z171" s="290">
        <f t="shared" si="99"/>
        <v>75.005738636239016</v>
      </c>
      <c r="AA171" s="290">
        <f t="shared" si="99"/>
        <v>117.70205580238695</v>
      </c>
      <c r="AB171" s="290">
        <f t="shared" si="99"/>
        <v>223.67366238290563</v>
      </c>
      <c r="AC171" s="253">
        <f t="shared" si="98"/>
        <v>-148.46659297459286</v>
      </c>
      <c r="AD171" s="253">
        <f t="shared" si="97"/>
        <v>62.953972005993322</v>
      </c>
      <c r="AE171" s="253">
        <f t="shared" si="97"/>
        <v>46.584867984287712</v>
      </c>
    </row>
    <row r="172" spans="1:31" ht="15.75" thickBot="1">
      <c r="A172" s="240" t="s">
        <v>242</v>
      </c>
      <c r="B172" s="146">
        <f>SUM(B160:B171)</f>
        <v>369.99999999999989</v>
      </c>
      <c r="C172" s="146">
        <f t="shared" ref="C172:AE172" si="100">SUM(C160:C171)</f>
        <v>414.99999999999983</v>
      </c>
      <c r="D172" s="146">
        <f t="shared" si="100"/>
        <v>520.00000000000011</v>
      </c>
      <c r="E172" s="146">
        <f t="shared" si="100"/>
        <v>523</v>
      </c>
      <c r="F172" s="146">
        <f t="shared" si="100"/>
        <v>460</v>
      </c>
      <c r="G172" s="146">
        <f t="shared" si="100"/>
        <v>482.55679487179492</v>
      </c>
      <c r="H172" s="146">
        <f t="shared" si="100"/>
        <v>537.18355999999994</v>
      </c>
      <c r="I172" s="146">
        <f t="shared" si="100"/>
        <v>512.20310539215689</v>
      </c>
      <c r="J172" s="146">
        <f t="shared" si="100"/>
        <v>591.19423404255326</v>
      </c>
      <c r="K172" s="146">
        <f t="shared" si="100"/>
        <v>667.90809398496253</v>
      </c>
      <c r="L172" s="146">
        <f t="shared" si="100"/>
        <v>733.23896043165439</v>
      </c>
      <c r="M172" s="146">
        <f t="shared" si="100"/>
        <v>686.72600375234526</v>
      </c>
      <c r="N172" s="146">
        <f t="shared" si="100"/>
        <v>710.51748994515515</v>
      </c>
      <c r="O172" s="146">
        <f t="shared" si="100"/>
        <v>589.21317222222194</v>
      </c>
      <c r="P172" s="146">
        <f t="shared" si="100"/>
        <v>653.13084693877545</v>
      </c>
      <c r="Q172" s="146">
        <f t="shared" si="100"/>
        <v>493.10173878627995</v>
      </c>
      <c r="R172" s="146">
        <f t="shared" si="100"/>
        <v>431.96836448598128</v>
      </c>
      <c r="S172" s="146">
        <f t="shared" si="100"/>
        <v>261.17904522613071</v>
      </c>
      <c r="T172" s="146">
        <f t="shared" si="100"/>
        <v>304.17100000000011</v>
      </c>
      <c r="U172" s="146">
        <f t="shared" si="100"/>
        <v>329.53550777202065</v>
      </c>
      <c r="V172" s="146">
        <f t="shared" si="100"/>
        <v>279.21467597765377</v>
      </c>
      <c r="W172" s="146">
        <f t="shared" si="100"/>
        <v>171.63964462809847</v>
      </c>
      <c r="X172" s="146">
        <f t="shared" si="100"/>
        <v>398.72342857142871</v>
      </c>
      <c r="Y172" s="146">
        <f t="shared" si="100"/>
        <v>352.05932257142786</v>
      </c>
      <c r="Z172" s="146">
        <f t="shared" si="100"/>
        <v>241.20938197333371</v>
      </c>
      <c r="AA172" s="146">
        <f t="shared" si="100"/>
        <v>285.67036681034466</v>
      </c>
      <c r="AB172" s="146">
        <f t="shared" si="100"/>
        <v>357.72398275555554</v>
      </c>
      <c r="AC172" s="253">
        <f t="shared" si="100"/>
        <v>233.66700000000003</v>
      </c>
      <c r="AD172" s="253">
        <f t="shared" si="100"/>
        <v>349.95238095238085</v>
      </c>
      <c r="AE172" s="253">
        <f t="shared" si="100"/>
        <v>236.64790538978806</v>
      </c>
    </row>
    <row r="173" spans="1:31">
      <c r="A173" s="248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</row>
    <row r="174" spans="1:31" ht="15.75" thickBot="1">
      <c r="A174" s="235" t="s">
        <v>259</v>
      </c>
      <c r="Y174" s="146"/>
    </row>
    <row r="175" spans="1:31" ht="15.75" thickBot="1">
      <c r="A175" s="236"/>
      <c r="B175" s="237" t="str">
        <f>B$2</f>
        <v xml:space="preserve">93/94 </v>
      </c>
      <c r="C175" s="237" t="str">
        <f t="shared" ref="C175:AE175" si="101">C$2</f>
        <v xml:space="preserve">94/95 </v>
      </c>
      <c r="D175" s="237" t="str">
        <f t="shared" si="101"/>
        <v xml:space="preserve">95/96 </v>
      </c>
      <c r="E175" s="237" t="str">
        <f t="shared" si="101"/>
        <v xml:space="preserve">96/97 </v>
      </c>
      <c r="F175" s="237" t="str">
        <f t="shared" si="101"/>
        <v xml:space="preserve">97/98 </v>
      </c>
      <c r="G175" s="237" t="str">
        <f t="shared" si="101"/>
        <v xml:space="preserve">98/99 </v>
      </c>
      <c r="H175" s="237" t="str">
        <f t="shared" si="101"/>
        <v xml:space="preserve">99/00 </v>
      </c>
      <c r="I175" s="237" t="str">
        <f t="shared" si="101"/>
        <v xml:space="preserve">00/01 </v>
      </c>
      <c r="J175" s="237" t="str">
        <f t="shared" si="101"/>
        <v xml:space="preserve">01/02 </v>
      </c>
      <c r="K175" s="237" t="str">
        <f t="shared" si="101"/>
        <v xml:space="preserve">02/03 </v>
      </c>
      <c r="L175" s="237" t="str">
        <f t="shared" si="101"/>
        <v xml:space="preserve">03/04 </v>
      </c>
      <c r="M175" s="237" t="str">
        <f t="shared" si="101"/>
        <v xml:space="preserve">04/05 </v>
      </c>
      <c r="N175" s="237" t="str">
        <f t="shared" si="101"/>
        <v xml:space="preserve">05/06 </v>
      </c>
      <c r="O175" s="237" t="str">
        <f t="shared" si="101"/>
        <v xml:space="preserve">06/07 </v>
      </c>
      <c r="P175" s="237" t="str">
        <f t="shared" si="101"/>
        <v xml:space="preserve">07/08 </v>
      </c>
      <c r="Q175" s="237" t="str">
        <f t="shared" si="101"/>
        <v xml:space="preserve">08/09 </v>
      </c>
      <c r="R175" s="237" t="str">
        <f t="shared" si="101"/>
        <v xml:space="preserve">09/10 </v>
      </c>
      <c r="S175" s="237" t="str">
        <f t="shared" si="101"/>
        <v xml:space="preserve">10/11 </v>
      </c>
      <c r="T175" s="237" t="str">
        <f t="shared" si="101"/>
        <v xml:space="preserve">11/12 </v>
      </c>
      <c r="U175" s="237" t="str">
        <f t="shared" si="101"/>
        <v xml:space="preserve">12/13 </v>
      </c>
      <c r="V175" s="237" t="str">
        <f t="shared" si="101"/>
        <v xml:space="preserve">13/14 </v>
      </c>
      <c r="W175" s="237" t="str">
        <f t="shared" si="101"/>
        <v xml:space="preserve">14/15 </v>
      </c>
      <c r="X175" s="237" t="str">
        <f t="shared" si="101"/>
        <v xml:space="preserve">15/16 </v>
      </c>
      <c r="Y175" s="237" t="str">
        <f t="shared" si="101"/>
        <v xml:space="preserve">16/17 </v>
      </c>
      <c r="Z175" s="237" t="str">
        <f t="shared" si="101"/>
        <v xml:space="preserve">17/18 </v>
      </c>
      <c r="AA175" s="237" t="str">
        <f t="shared" si="101"/>
        <v xml:space="preserve">18/19 </v>
      </c>
      <c r="AB175" s="237" t="str">
        <f t="shared" si="101"/>
        <v xml:space="preserve">19/20 </v>
      </c>
      <c r="AC175" s="237" t="str">
        <f t="shared" si="101"/>
        <v xml:space="preserve">20/21 </v>
      </c>
      <c r="AD175" s="237" t="str">
        <f t="shared" si="101"/>
        <v xml:space="preserve">21/22 </v>
      </c>
      <c r="AE175" s="237" t="str">
        <f t="shared" si="101"/>
        <v xml:space="preserve">22/23 </v>
      </c>
    </row>
    <row r="176" spans="1:31">
      <c r="A176" s="240" t="s">
        <v>239</v>
      </c>
      <c r="B176" s="290">
        <f>(B$187-B$22)/13+B22</f>
        <v>0</v>
      </c>
      <c r="C176" s="290">
        <f>(C$187-B$187)/13+B187</f>
        <v>0</v>
      </c>
      <c r="D176" s="290">
        <f t="shared" ref="D176:AE176" si="102">(D$187-C$187)/13+C187</f>
        <v>0</v>
      </c>
      <c r="E176" s="290">
        <f t="shared" si="102"/>
        <v>0</v>
      </c>
      <c r="F176" s="290">
        <f t="shared" si="102"/>
        <v>0</v>
      </c>
      <c r="G176" s="290">
        <f t="shared" si="102"/>
        <v>0</v>
      </c>
      <c r="H176" s="290">
        <f t="shared" si="102"/>
        <v>0</v>
      </c>
      <c r="I176" s="290">
        <f t="shared" si="102"/>
        <v>0</v>
      </c>
      <c r="J176" s="290">
        <f t="shared" si="102"/>
        <v>0</v>
      </c>
      <c r="K176" s="290">
        <f t="shared" si="102"/>
        <v>0</v>
      </c>
      <c r="L176" s="290">
        <f t="shared" si="102"/>
        <v>0</v>
      </c>
      <c r="M176" s="290">
        <f t="shared" si="102"/>
        <v>0</v>
      </c>
      <c r="N176" s="290">
        <f t="shared" si="102"/>
        <v>0</v>
      </c>
      <c r="O176" s="290">
        <f t="shared" si="102"/>
        <v>0</v>
      </c>
      <c r="P176" s="290">
        <f t="shared" si="102"/>
        <v>0</v>
      </c>
      <c r="Q176" s="290">
        <f t="shared" si="102"/>
        <v>0</v>
      </c>
      <c r="R176" s="290">
        <f t="shared" si="102"/>
        <v>0</v>
      </c>
      <c r="S176" s="290">
        <f t="shared" si="102"/>
        <v>0</v>
      </c>
      <c r="T176" s="290">
        <f t="shared" si="102"/>
        <v>0</v>
      </c>
      <c r="U176" s="290">
        <f t="shared" si="102"/>
        <v>0</v>
      </c>
      <c r="V176" s="290">
        <f t="shared" si="102"/>
        <v>0</v>
      </c>
      <c r="W176" s="290">
        <f t="shared" si="102"/>
        <v>0</v>
      </c>
      <c r="X176" s="290">
        <f t="shared" si="102"/>
        <v>0</v>
      </c>
      <c r="Y176" s="290">
        <f t="shared" si="102"/>
        <v>0</v>
      </c>
      <c r="Z176" s="290">
        <f t="shared" si="102"/>
        <v>0</v>
      </c>
      <c r="AA176" s="290">
        <f t="shared" si="102"/>
        <v>0</v>
      </c>
      <c r="AB176" s="290">
        <f t="shared" si="102"/>
        <v>0</v>
      </c>
      <c r="AC176" s="290">
        <f t="shared" si="102"/>
        <v>0</v>
      </c>
      <c r="AD176" s="252">
        <f t="shared" si="102"/>
        <v>0</v>
      </c>
      <c r="AE176" s="252">
        <f t="shared" si="102"/>
        <v>0</v>
      </c>
    </row>
    <row r="177" spans="1:31">
      <c r="A177" s="240" t="s">
        <v>240</v>
      </c>
      <c r="B177" s="290">
        <f>(B$187-B$22)/13+B176</f>
        <v>0</v>
      </c>
      <c r="C177" s="290">
        <f>(C$187-B$187)/13+C176</f>
        <v>0</v>
      </c>
      <c r="D177" s="290">
        <f t="shared" ref="D177:AE186" si="103">(D$187-C$187)/13+D176</f>
        <v>0</v>
      </c>
      <c r="E177" s="290">
        <f t="shared" si="103"/>
        <v>0</v>
      </c>
      <c r="F177" s="290">
        <f t="shared" si="103"/>
        <v>0</v>
      </c>
      <c r="G177" s="290">
        <f t="shared" si="103"/>
        <v>0</v>
      </c>
      <c r="H177" s="290">
        <f t="shared" si="103"/>
        <v>0</v>
      </c>
      <c r="I177" s="290">
        <f t="shared" si="103"/>
        <v>0</v>
      </c>
      <c r="J177" s="290">
        <f t="shared" si="103"/>
        <v>0</v>
      </c>
      <c r="K177" s="290">
        <f t="shared" si="103"/>
        <v>0</v>
      </c>
      <c r="L177" s="290">
        <f t="shared" si="103"/>
        <v>0</v>
      </c>
      <c r="M177" s="290">
        <f t="shared" si="103"/>
        <v>0</v>
      </c>
      <c r="N177" s="290">
        <f t="shared" si="103"/>
        <v>0</v>
      </c>
      <c r="O177" s="290">
        <f t="shared" si="103"/>
        <v>0</v>
      </c>
      <c r="P177" s="290">
        <f t="shared" si="103"/>
        <v>0</v>
      </c>
      <c r="Q177" s="290">
        <f t="shared" si="103"/>
        <v>0</v>
      </c>
      <c r="R177" s="290">
        <f t="shared" si="103"/>
        <v>0</v>
      </c>
      <c r="S177" s="290">
        <f t="shared" si="103"/>
        <v>0</v>
      </c>
      <c r="T177" s="290">
        <f t="shared" si="103"/>
        <v>0</v>
      </c>
      <c r="U177" s="290">
        <f t="shared" si="103"/>
        <v>0</v>
      </c>
      <c r="V177" s="290">
        <f t="shared" si="103"/>
        <v>0</v>
      </c>
      <c r="W177" s="290">
        <f t="shared" si="103"/>
        <v>0</v>
      </c>
      <c r="X177" s="290">
        <f t="shared" si="103"/>
        <v>0</v>
      </c>
      <c r="Y177" s="290">
        <f t="shared" si="103"/>
        <v>0</v>
      </c>
      <c r="Z177" s="290">
        <f t="shared" si="103"/>
        <v>0</v>
      </c>
      <c r="AA177" s="290">
        <f t="shared" si="103"/>
        <v>0</v>
      </c>
      <c r="AB177" s="290">
        <f t="shared" si="103"/>
        <v>0</v>
      </c>
      <c r="AC177" s="290">
        <f t="shared" si="103"/>
        <v>0</v>
      </c>
      <c r="AD177" s="252">
        <f t="shared" si="103"/>
        <v>0</v>
      </c>
      <c r="AE177" s="252">
        <f t="shared" si="103"/>
        <v>0</v>
      </c>
    </row>
    <row r="178" spans="1:31">
      <c r="A178" s="240" t="s">
        <v>241</v>
      </c>
      <c r="B178" s="290">
        <f t="shared" ref="B178:B186" si="104">(B$187-B$22)/13+B177</f>
        <v>0</v>
      </c>
      <c r="C178" s="290">
        <f t="shared" ref="C178:C186" si="105">(C$187-B$187)/13+C177</f>
        <v>0</v>
      </c>
      <c r="D178" s="290">
        <f t="shared" si="103"/>
        <v>0</v>
      </c>
      <c r="E178" s="290">
        <f t="shared" si="103"/>
        <v>0</v>
      </c>
      <c r="F178" s="290">
        <f t="shared" si="103"/>
        <v>0</v>
      </c>
      <c r="G178" s="290">
        <f t="shared" si="103"/>
        <v>0</v>
      </c>
      <c r="H178" s="290">
        <f t="shared" si="103"/>
        <v>0</v>
      </c>
      <c r="I178" s="290">
        <f t="shared" si="103"/>
        <v>0</v>
      </c>
      <c r="J178" s="290">
        <f t="shared" si="103"/>
        <v>0</v>
      </c>
      <c r="K178" s="290">
        <f t="shared" si="103"/>
        <v>0</v>
      </c>
      <c r="L178" s="290">
        <f t="shared" si="103"/>
        <v>0</v>
      </c>
      <c r="M178" s="290">
        <f t="shared" si="103"/>
        <v>0</v>
      </c>
      <c r="N178" s="290">
        <f t="shared" si="103"/>
        <v>0</v>
      </c>
      <c r="O178" s="290">
        <f t="shared" si="103"/>
        <v>0</v>
      </c>
      <c r="P178" s="290">
        <f t="shared" si="103"/>
        <v>0</v>
      </c>
      <c r="Q178" s="290">
        <f t="shared" si="103"/>
        <v>0</v>
      </c>
      <c r="R178" s="290">
        <f t="shared" si="103"/>
        <v>0</v>
      </c>
      <c r="S178" s="290">
        <f t="shared" si="103"/>
        <v>0</v>
      </c>
      <c r="T178" s="290">
        <f t="shared" si="103"/>
        <v>0</v>
      </c>
      <c r="U178" s="290">
        <f t="shared" si="103"/>
        <v>0</v>
      </c>
      <c r="V178" s="290">
        <f t="shared" si="103"/>
        <v>0</v>
      </c>
      <c r="W178" s="290">
        <f t="shared" si="103"/>
        <v>0</v>
      </c>
      <c r="X178" s="290">
        <f t="shared" si="103"/>
        <v>0</v>
      </c>
      <c r="Y178" s="290">
        <f t="shared" si="103"/>
        <v>0</v>
      </c>
      <c r="Z178" s="290">
        <f t="shared" si="103"/>
        <v>0</v>
      </c>
      <c r="AA178" s="290">
        <f t="shared" si="103"/>
        <v>0</v>
      </c>
      <c r="AB178" s="290">
        <f t="shared" si="103"/>
        <v>0</v>
      </c>
      <c r="AC178" s="290">
        <f t="shared" si="103"/>
        <v>0</v>
      </c>
      <c r="AD178" s="252">
        <f t="shared" si="103"/>
        <v>0</v>
      </c>
      <c r="AE178" s="252">
        <f t="shared" si="103"/>
        <v>0</v>
      </c>
    </row>
    <row r="179" spans="1:31">
      <c r="A179" s="240" t="s">
        <v>231</v>
      </c>
      <c r="B179" s="290">
        <f t="shared" si="104"/>
        <v>0</v>
      </c>
      <c r="C179" s="290">
        <f t="shared" si="105"/>
        <v>0</v>
      </c>
      <c r="D179" s="290">
        <f t="shared" si="103"/>
        <v>0</v>
      </c>
      <c r="E179" s="290">
        <f t="shared" si="103"/>
        <v>0</v>
      </c>
      <c r="F179" s="290">
        <f t="shared" si="103"/>
        <v>0</v>
      </c>
      <c r="G179" s="290">
        <f t="shared" si="103"/>
        <v>0</v>
      </c>
      <c r="H179" s="290">
        <f t="shared" si="103"/>
        <v>0</v>
      </c>
      <c r="I179" s="290">
        <f t="shared" si="103"/>
        <v>0</v>
      </c>
      <c r="J179" s="290">
        <f t="shared" si="103"/>
        <v>0</v>
      </c>
      <c r="K179" s="290">
        <f t="shared" si="103"/>
        <v>0</v>
      </c>
      <c r="L179" s="290">
        <f t="shared" si="103"/>
        <v>0</v>
      </c>
      <c r="M179" s="290">
        <f t="shared" si="103"/>
        <v>0</v>
      </c>
      <c r="N179" s="290">
        <f t="shared" si="103"/>
        <v>0</v>
      </c>
      <c r="O179" s="290">
        <f t="shared" si="103"/>
        <v>0</v>
      </c>
      <c r="P179" s="290">
        <f t="shared" si="103"/>
        <v>0</v>
      </c>
      <c r="Q179" s="290">
        <f t="shared" si="103"/>
        <v>0</v>
      </c>
      <c r="R179" s="290">
        <f t="shared" si="103"/>
        <v>0</v>
      </c>
      <c r="S179" s="290">
        <f t="shared" si="103"/>
        <v>0</v>
      </c>
      <c r="T179" s="290">
        <f t="shared" si="103"/>
        <v>0</v>
      </c>
      <c r="U179" s="290">
        <f t="shared" si="103"/>
        <v>0</v>
      </c>
      <c r="V179" s="290">
        <f t="shared" si="103"/>
        <v>0</v>
      </c>
      <c r="W179" s="290">
        <f t="shared" si="103"/>
        <v>0</v>
      </c>
      <c r="X179" s="290">
        <f t="shared" si="103"/>
        <v>0</v>
      </c>
      <c r="Y179" s="290">
        <f t="shared" si="103"/>
        <v>0</v>
      </c>
      <c r="Z179" s="290">
        <f t="shared" si="103"/>
        <v>0</v>
      </c>
      <c r="AA179" s="290">
        <f t="shared" si="103"/>
        <v>0</v>
      </c>
      <c r="AB179" s="290">
        <f t="shared" si="103"/>
        <v>0</v>
      </c>
      <c r="AC179" s="290">
        <f t="shared" si="103"/>
        <v>0</v>
      </c>
      <c r="AD179" s="252">
        <f t="shared" si="103"/>
        <v>0</v>
      </c>
      <c r="AE179" s="252">
        <f t="shared" si="103"/>
        <v>0</v>
      </c>
    </row>
    <row r="180" spans="1:31">
      <c r="A180" s="240" t="s">
        <v>232</v>
      </c>
      <c r="B180" s="290">
        <f t="shared" si="104"/>
        <v>0</v>
      </c>
      <c r="C180" s="290">
        <f t="shared" si="105"/>
        <v>0</v>
      </c>
      <c r="D180" s="290">
        <f t="shared" si="103"/>
        <v>0</v>
      </c>
      <c r="E180" s="290">
        <f t="shared" si="103"/>
        <v>0</v>
      </c>
      <c r="F180" s="290">
        <f t="shared" si="103"/>
        <v>0</v>
      </c>
      <c r="G180" s="290">
        <f t="shared" si="103"/>
        <v>0</v>
      </c>
      <c r="H180" s="290">
        <f t="shared" si="103"/>
        <v>0</v>
      </c>
      <c r="I180" s="290">
        <f t="shared" si="103"/>
        <v>0</v>
      </c>
      <c r="J180" s="290">
        <f t="shared" si="103"/>
        <v>0</v>
      </c>
      <c r="K180" s="290">
        <f t="shared" si="103"/>
        <v>0</v>
      </c>
      <c r="L180" s="290">
        <f t="shared" si="103"/>
        <v>0</v>
      </c>
      <c r="M180" s="290">
        <f t="shared" si="103"/>
        <v>0</v>
      </c>
      <c r="N180" s="290">
        <f t="shared" si="103"/>
        <v>0</v>
      </c>
      <c r="O180" s="290">
        <f t="shared" si="103"/>
        <v>0</v>
      </c>
      <c r="P180" s="290">
        <f t="shared" si="103"/>
        <v>0</v>
      </c>
      <c r="Q180" s="290">
        <f t="shared" si="103"/>
        <v>0</v>
      </c>
      <c r="R180" s="290">
        <f t="shared" si="103"/>
        <v>0</v>
      </c>
      <c r="S180" s="290">
        <f t="shared" si="103"/>
        <v>0</v>
      </c>
      <c r="T180" s="290">
        <f t="shared" si="103"/>
        <v>0</v>
      </c>
      <c r="U180" s="290">
        <f t="shared" si="103"/>
        <v>0</v>
      </c>
      <c r="V180" s="290">
        <f t="shared" si="103"/>
        <v>0</v>
      </c>
      <c r="W180" s="290">
        <f t="shared" si="103"/>
        <v>0</v>
      </c>
      <c r="X180" s="290">
        <f t="shared" si="103"/>
        <v>0</v>
      </c>
      <c r="Y180" s="290">
        <f t="shared" si="103"/>
        <v>0</v>
      </c>
      <c r="Z180" s="290">
        <f t="shared" si="103"/>
        <v>0</v>
      </c>
      <c r="AA180" s="290">
        <f t="shared" si="103"/>
        <v>0</v>
      </c>
      <c r="AB180" s="290">
        <f t="shared" si="103"/>
        <v>0</v>
      </c>
      <c r="AC180" s="290">
        <f t="shared" si="103"/>
        <v>0</v>
      </c>
      <c r="AD180" s="252">
        <f t="shared" si="103"/>
        <v>0</v>
      </c>
      <c r="AE180" s="252">
        <f t="shared" si="103"/>
        <v>0</v>
      </c>
    </row>
    <row r="181" spans="1:31">
      <c r="A181" s="240" t="s">
        <v>233</v>
      </c>
      <c r="B181" s="290">
        <f t="shared" si="104"/>
        <v>0</v>
      </c>
      <c r="C181" s="290">
        <f t="shared" si="105"/>
        <v>0</v>
      </c>
      <c r="D181" s="290">
        <f t="shared" si="103"/>
        <v>0</v>
      </c>
      <c r="E181" s="290">
        <f t="shared" si="103"/>
        <v>0</v>
      </c>
      <c r="F181" s="290">
        <f t="shared" si="103"/>
        <v>0</v>
      </c>
      <c r="G181" s="290">
        <f t="shared" si="103"/>
        <v>0</v>
      </c>
      <c r="H181" s="290">
        <f t="shared" si="103"/>
        <v>0</v>
      </c>
      <c r="I181" s="290">
        <f t="shared" si="103"/>
        <v>0</v>
      </c>
      <c r="J181" s="290">
        <f t="shared" si="103"/>
        <v>0</v>
      </c>
      <c r="K181" s="290">
        <f t="shared" si="103"/>
        <v>0</v>
      </c>
      <c r="L181" s="290">
        <f t="shared" si="103"/>
        <v>0</v>
      </c>
      <c r="M181" s="290">
        <f t="shared" si="103"/>
        <v>0</v>
      </c>
      <c r="N181" s="290">
        <f t="shared" si="103"/>
        <v>0</v>
      </c>
      <c r="O181" s="290">
        <f t="shared" si="103"/>
        <v>0</v>
      </c>
      <c r="P181" s="290">
        <f t="shared" si="103"/>
        <v>0</v>
      </c>
      <c r="Q181" s="290">
        <f t="shared" si="103"/>
        <v>0</v>
      </c>
      <c r="R181" s="290">
        <f t="shared" si="103"/>
        <v>0</v>
      </c>
      <c r="S181" s="290">
        <f t="shared" si="103"/>
        <v>0</v>
      </c>
      <c r="T181" s="290">
        <f t="shared" si="103"/>
        <v>0</v>
      </c>
      <c r="U181" s="290">
        <f t="shared" si="103"/>
        <v>0</v>
      </c>
      <c r="V181" s="290">
        <f t="shared" si="103"/>
        <v>0</v>
      </c>
      <c r="W181" s="290">
        <f t="shared" si="103"/>
        <v>0</v>
      </c>
      <c r="X181" s="290">
        <f t="shared" si="103"/>
        <v>0</v>
      </c>
      <c r="Y181" s="290">
        <f t="shared" si="103"/>
        <v>0</v>
      </c>
      <c r="Z181" s="290">
        <f t="shared" si="103"/>
        <v>0</v>
      </c>
      <c r="AA181" s="290">
        <f t="shared" si="103"/>
        <v>0</v>
      </c>
      <c r="AB181" s="290">
        <f t="shared" si="103"/>
        <v>0</v>
      </c>
      <c r="AC181" s="290">
        <f t="shared" si="103"/>
        <v>0</v>
      </c>
      <c r="AD181" s="252">
        <f t="shared" si="103"/>
        <v>0</v>
      </c>
      <c r="AE181" s="252">
        <f t="shared" si="103"/>
        <v>0</v>
      </c>
    </row>
    <row r="182" spans="1:31">
      <c r="A182" s="240" t="s">
        <v>234</v>
      </c>
      <c r="B182" s="290">
        <f t="shared" si="104"/>
        <v>0</v>
      </c>
      <c r="C182" s="290">
        <f t="shared" si="105"/>
        <v>0</v>
      </c>
      <c r="D182" s="290">
        <f t="shared" si="103"/>
        <v>0</v>
      </c>
      <c r="E182" s="290">
        <f t="shared" si="103"/>
        <v>0</v>
      </c>
      <c r="F182" s="290">
        <f t="shared" si="103"/>
        <v>0</v>
      </c>
      <c r="G182" s="290">
        <f t="shared" si="103"/>
        <v>0</v>
      </c>
      <c r="H182" s="290">
        <f t="shared" si="103"/>
        <v>0</v>
      </c>
      <c r="I182" s="290">
        <f t="shared" si="103"/>
        <v>0</v>
      </c>
      <c r="J182" s="290">
        <f t="shared" si="103"/>
        <v>0</v>
      </c>
      <c r="K182" s="290">
        <f t="shared" si="103"/>
        <v>0</v>
      </c>
      <c r="L182" s="290">
        <f t="shared" si="103"/>
        <v>0</v>
      </c>
      <c r="M182" s="290">
        <f t="shared" si="103"/>
        <v>0</v>
      </c>
      <c r="N182" s="290">
        <f t="shared" si="103"/>
        <v>0</v>
      </c>
      <c r="O182" s="290">
        <f t="shared" si="103"/>
        <v>0</v>
      </c>
      <c r="P182" s="290">
        <f t="shared" si="103"/>
        <v>0</v>
      </c>
      <c r="Q182" s="290">
        <f t="shared" si="103"/>
        <v>0</v>
      </c>
      <c r="R182" s="290">
        <f t="shared" si="103"/>
        <v>0</v>
      </c>
      <c r="S182" s="290">
        <f t="shared" si="103"/>
        <v>0</v>
      </c>
      <c r="T182" s="290">
        <f t="shared" si="103"/>
        <v>0</v>
      </c>
      <c r="U182" s="290">
        <f t="shared" si="103"/>
        <v>0</v>
      </c>
      <c r="V182" s="290">
        <f t="shared" si="103"/>
        <v>0</v>
      </c>
      <c r="W182" s="290">
        <f t="shared" si="103"/>
        <v>0</v>
      </c>
      <c r="X182" s="290">
        <f t="shared" si="103"/>
        <v>0</v>
      </c>
      <c r="Y182" s="290">
        <f t="shared" si="103"/>
        <v>0</v>
      </c>
      <c r="Z182" s="290">
        <f t="shared" si="103"/>
        <v>0</v>
      </c>
      <c r="AA182" s="290">
        <f t="shared" si="103"/>
        <v>0</v>
      </c>
      <c r="AB182" s="290">
        <f t="shared" si="103"/>
        <v>0</v>
      </c>
      <c r="AC182" s="252">
        <f t="shared" si="103"/>
        <v>0</v>
      </c>
      <c r="AD182" s="252">
        <f t="shared" si="103"/>
        <v>0</v>
      </c>
      <c r="AE182" s="252">
        <f t="shared" si="103"/>
        <v>0</v>
      </c>
    </row>
    <row r="183" spans="1:31">
      <c r="A183" s="240" t="s">
        <v>46</v>
      </c>
      <c r="B183" s="290">
        <f t="shared" si="104"/>
        <v>0</v>
      </c>
      <c r="C183" s="290">
        <f t="shared" si="105"/>
        <v>0</v>
      </c>
      <c r="D183" s="290">
        <f t="shared" si="103"/>
        <v>0</v>
      </c>
      <c r="E183" s="290">
        <f t="shared" si="103"/>
        <v>0</v>
      </c>
      <c r="F183" s="290">
        <f t="shared" si="103"/>
        <v>0</v>
      </c>
      <c r="G183" s="290">
        <f t="shared" si="103"/>
        <v>0</v>
      </c>
      <c r="H183" s="290">
        <f t="shared" si="103"/>
        <v>0</v>
      </c>
      <c r="I183" s="290">
        <f t="shared" si="103"/>
        <v>0</v>
      </c>
      <c r="J183" s="290">
        <f t="shared" si="103"/>
        <v>0</v>
      </c>
      <c r="K183" s="290">
        <f t="shared" si="103"/>
        <v>0</v>
      </c>
      <c r="L183" s="290">
        <f t="shared" si="103"/>
        <v>0</v>
      </c>
      <c r="M183" s="290">
        <f t="shared" si="103"/>
        <v>0</v>
      </c>
      <c r="N183" s="290">
        <f t="shared" si="103"/>
        <v>0</v>
      </c>
      <c r="O183" s="290">
        <f t="shared" si="103"/>
        <v>0</v>
      </c>
      <c r="P183" s="290">
        <f t="shared" si="103"/>
        <v>0</v>
      </c>
      <c r="Q183" s="290">
        <f t="shared" si="103"/>
        <v>0</v>
      </c>
      <c r="R183" s="290">
        <f t="shared" si="103"/>
        <v>0</v>
      </c>
      <c r="S183" s="290">
        <f t="shared" si="103"/>
        <v>0</v>
      </c>
      <c r="T183" s="290">
        <f t="shared" si="103"/>
        <v>0</v>
      </c>
      <c r="U183" s="290">
        <f t="shared" si="103"/>
        <v>0</v>
      </c>
      <c r="V183" s="290">
        <f t="shared" si="103"/>
        <v>0</v>
      </c>
      <c r="W183" s="290">
        <f t="shared" si="103"/>
        <v>0</v>
      </c>
      <c r="X183" s="290">
        <f t="shared" si="103"/>
        <v>0</v>
      </c>
      <c r="Y183" s="290">
        <f t="shared" si="103"/>
        <v>0</v>
      </c>
      <c r="Z183" s="290">
        <f t="shared" si="103"/>
        <v>0</v>
      </c>
      <c r="AA183" s="290">
        <f t="shared" si="103"/>
        <v>0</v>
      </c>
      <c r="AB183" s="290">
        <f t="shared" si="103"/>
        <v>0</v>
      </c>
      <c r="AC183" s="252">
        <f t="shared" si="103"/>
        <v>0</v>
      </c>
      <c r="AD183" s="252">
        <f t="shared" si="103"/>
        <v>0</v>
      </c>
      <c r="AE183" s="252">
        <f t="shared" si="103"/>
        <v>0</v>
      </c>
    </row>
    <row r="184" spans="1:31">
      <c r="A184" s="240" t="s">
        <v>235</v>
      </c>
      <c r="B184" s="290">
        <f t="shared" si="104"/>
        <v>0</v>
      </c>
      <c r="C184" s="290">
        <f t="shared" si="105"/>
        <v>0</v>
      </c>
      <c r="D184" s="290">
        <f t="shared" si="103"/>
        <v>0</v>
      </c>
      <c r="E184" s="290">
        <f t="shared" si="103"/>
        <v>0</v>
      </c>
      <c r="F184" s="290">
        <f t="shared" si="103"/>
        <v>0</v>
      </c>
      <c r="G184" s="290">
        <f t="shared" si="103"/>
        <v>0</v>
      </c>
      <c r="H184" s="290">
        <f t="shared" si="103"/>
        <v>0</v>
      </c>
      <c r="I184" s="290">
        <f t="shared" si="103"/>
        <v>0</v>
      </c>
      <c r="J184" s="290">
        <f t="shared" si="103"/>
        <v>0</v>
      </c>
      <c r="K184" s="290">
        <f t="shared" si="103"/>
        <v>0</v>
      </c>
      <c r="L184" s="290">
        <f t="shared" si="103"/>
        <v>0</v>
      </c>
      <c r="M184" s="290">
        <f t="shared" si="103"/>
        <v>0</v>
      </c>
      <c r="N184" s="290">
        <f t="shared" si="103"/>
        <v>0</v>
      </c>
      <c r="O184" s="290">
        <f t="shared" si="103"/>
        <v>0</v>
      </c>
      <c r="P184" s="290">
        <f t="shared" si="103"/>
        <v>0</v>
      </c>
      <c r="Q184" s="290">
        <f t="shared" si="103"/>
        <v>0</v>
      </c>
      <c r="R184" s="290">
        <f t="shared" si="103"/>
        <v>0</v>
      </c>
      <c r="S184" s="290">
        <f t="shared" si="103"/>
        <v>0</v>
      </c>
      <c r="T184" s="290">
        <f t="shared" si="103"/>
        <v>0</v>
      </c>
      <c r="U184" s="290">
        <f t="shared" si="103"/>
        <v>0</v>
      </c>
      <c r="V184" s="290">
        <f t="shared" si="103"/>
        <v>0</v>
      </c>
      <c r="W184" s="290">
        <f t="shared" si="103"/>
        <v>0</v>
      </c>
      <c r="X184" s="290">
        <f t="shared" si="103"/>
        <v>0</v>
      </c>
      <c r="Y184" s="290">
        <f t="shared" si="103"/>
        <v>0</v>
      </c>
      <c r="Z184" s="290">
        <f t="shared" si="103"/>
        <v>0</v>
      </c>
      <c r="AA184" s="290">
        <f t="shared" si="103"/>
        <v>0</v>
      </c>
      <c r="AB184" s="290">
        <f t="shared" si="103"/>
        <v>0</v>
      </c>
      <c r="AC184" s="252">
        <f t="shared" si="103"/>
        <v>0</v>
      </c>
      <c r="AD184" s="252">
        <f t="shared" si="103"/>
        <v>0</v>
      </c>
      <c r="AE184" s="252">
        <f t="shared" si="103"/>
        <v>0</v>
      </c>
    </row>
    <row r="185" spans="1:31">
      <c r="A185" s="240" t="s">
        <v>236</v>
      </c>
      <c r="B185" s="290">
        <f t="shared" si="104"/>
        <v>0</v>
      </c>
      <c r="C185" s="290">
        <f t="shared" si="105"/>
        <v>0</v>
      </c>
      <c r="D185" s="290">
        <f t="shared" si="103"/>
        <v>0</v>
      </c>
      <c r="E185" s="290">
        <f t="shared" si="103"/>
        <v>0</v>
      </c>
      <c r="F185" s="290">
        <f t="shared" si="103"/>
        <v>0</v>
      </c>
      <c r="G185" s="290">
        <f t="shared" si="103"/>
        <v>0</v>
      </c>
      <c r="H185" s="290">
        <f t="shared" si="103"/>
        <v>0</v>
      </c>
      <c r="I185" s="290">
        <f t="shared" si="103"/>
        <v>0</v>
      </c>
      <c r="J185" s="290">
        <f t="shared" si="103"/>
        <v>0</v>
      </c>
      <c r="K185" s="290">
        <f t="shared" si="103"/>
        <v>0</v>
      </c>
      <c r="L185" s="290">
        <f t="shared" si="103"/>
        <v>0</v>
      </c>
      <c r="M185" s="290">
        <f t="shared" si="103"/>
        <v>0</v>
      </c>
      <c r="N185" s="290">
        <f t="shared" si="103"/>
        <v>0</v>
      </c>
      <c r="O185" s="290">
        <f t="shared" si="103"/>
        <v>0</v>
      </c>
      <c r="P185" s="290">
        <f t="shared" si="103"/>
        <v>0</v>
      </c>
      <c r="Q185" s="290">
        <f t="shared" si="103"/>
        <v>0</v>
      </c>
      <c r="R185" s="290">
        <f t="shared" si="103"/>
        <v>0</v>
      </c>
      <c r="S185" s="290">
        <f t="shared" si="103"/>
        <v>0</v>
      </c>
      <c r="T185" s="290">
        <f t="shared" si="103"/>
        <v>0</v>
      </c>
      <c r="U185" s="290">
        <f t="shared" si="103"/>
        <v>0</v>
      </c>
      <c r="V185" s="290">
        <f t="shared" si="103"/>
        <v>0</v>
      </c>
      <c r="W185" s="290">
        <f t="shared" si="103"/>
        <v>0</v>
      </c>
      <c r="X185" s="290">
        <f t="shared" si="103"/>
        <v>0</v>
      </c>
      <c r="Y185" s="290">
        <f t="shared" si="103"/>
        <v>0</v>
      </c>
      <c r="Z185" s="290">
        <f t="shared" si="103"/>
        <v>0</v>
      </c>
      <c r="AA185" s="290">
        <f t="shared" si="103"/>
        <v>0</v>
      </c>
      <c r="AB185" s="290">
        <f t="shared" si="103"/>
        <v>0</v>
      </c>
      <c r="AC185" s="252">
        <f t="shared" si="103"/>
        <v>0</v>
      </c>
      <c r="AD185" s="252">
        <f t="shared" si="103"/>
        <v>0</v>
      </c>
      <c r="AE185" s="252">
        <f t="shared" si="103"/>
        <v>0</v>
      </c>
    </row>
    <row r="186" spans="1:31">
      <c r="A186" s="240" t="s">
        <v>237</v>
      </c>
      <c r="B186" s="290">
        <f t="shared" si="104"/>
        <v>0</v>
      </c>
      <c r="C186" s="290">
        <f t="shared" si="105"/>
        <v>0</v>
      </c>
      <c r="D186" s="290">
        <f t="shared" si="103"/>
        <v>0</v>
      </c>
      <c r="E186" s="290">
        <f t="shared" si="103"/>
        <v>0</v>
      </c>
      <c r="F186" s="290">
        <f t="shared" si="103"/>
        <v>0</v>
      </c>
      <c r="G186" s="290">
        <f t="shared" ref="G186:X186" si="106">(G$187-F$187)/13+G185</f>
        <v>0</v>
      </c>
      <c r="H186" s="290">
        <f t="shared" si="106"/>
        <v>0</v>
      </c>
      <c r="I186" s="290">
        <f t="shared" si="106"/>
        <v>0</v>
      </c>
      <c r="J186" s="290">
        <f t="shared" si="106"/>
        <v>0</v>
      </c>
      <c r="K186" s="290">
        <f t="shared" si="106"/>
        <v>0</v>
      </c>
      <c r="L186" s="290">
        <f t="shared" si="106"/>
        <v>0</v>
      </c>
      <c r="M186" s="290">
        <f t="shared" si="106"/>
        <v>0</v>
      </c>
      <c r="N186" s="290">
        <f t="shared" si="106"/>
        <v>0</v>
      </c>
      <c r="O186" s="290">
        <f t="shared" si="106"/>
        <v>0</v>
      </c>
      <c r="P186" s="290">
        <f t="shared" si="106"/>
        <v>0</v>
      </c>
      <c r="Q186" s="290">
        <f t="shared" si="106"/>
        <v>0</v>
      </c>
      <c r="R186" s="290">
        <f t="shared" si="106"/>
        <v>0</v>
      </c>
      <c r="S186" s="290">
        <f t="shared" si="106"/>
        <v>0</v>
      </c>
      <c r="T186" s="290">
        <f t="shared" si="106"/>
        <v>0</v>
      </c>
      <c r="U186" s="290">
        <f t="shared" si="106"/>
        <v>0</v>
      </c>
      <c r="V186" s="290">
        <f t="shared" si="106"/>
        <v>0</v>
      </c>
      <c r="W186" s="290">
        <f t="shared" si="106"/>
        <v>0</v>
      </c>
      <c r="X186" s="290">
        <f t="shared" si="106"/>
        <v>0</v>
      </c>
      <c r="Y186" s="290">
        <f>(Y$187-X$187)/13+Y185</f>
        <v>0</v>
      </c>
      <c r="Z186" s="290">
        <f t="shared" ref="Z186:AB186" si="107">(Z$187-Y$187)/13+Z185</f>
        <v>0</v>
      </c>
      <c r="AA186" s="290">
        <f t="shared" si="107"/>
        <v>0</v>
      </c>
      <c r="AB186" s="290">
        <f t="shared" si="107"/>
        <v>0</v>
      </c>
      <c r="AC186" s="252">
        <f>(AC$187-AB$187)/13+AC185</f>
        <v>0</v>
      </c>
      <c r="AD186" s="252">
        <f t="shared" ref="AD186:AE186" si="108">(AD$187-AC$187)/13+AD185</f>
        <v>0</v>
      </c>
      <c r="AE186" s="252">
        <f t="shared" si="108"/>
        <v>0</v>
      </c>
    </row>
    <row r="187" spans="1:31" ht="15.75" thickBot="1">
      <c r="A187" s="240" t="s">
        <v>238</v>
      </c>
      <c r="B187" s="267">
        <f>B29</f>
        <v>0</v>
      </c>
      <c r="C187" s="267">
        <f t="shared" ref="C187:AE187" si="109">C29</f>
        <v>0</v>
      </c>
      <c r="D187" s="267">
        <f t="shared" si="109"/>
        <v>0</v>
      </c>
      <c r="E187" s="267">
        <f t="shared" si="109"/>
        <v>0</v>
      </c>
      <c r="F187" s="267">
        <f t="shared" si="109"/>
        <v>0</v>
      </c>
      <c r="G187" s="267">
        <f t="shared" si="109"/>
        <v>0</v>
      </c>
      <c r="H187" s="267">
        <f t="shared" si="109"/>
        <v>0</v>
      </c>
      <c r="I187" s="267">
        <f t="shared" si="109"/>
        <v>0</v>
      </c>
      <c r="J187" s="267">
        <f t="shared" si="109"/>
        <v>0</v>
      </c>
      <c r="K187" s="267">
        <f t="shared" si="109"/>
        <v>0</v>
      </c>
      <c r="L187" s="267">
        <f t="shared" si="109"/>
        <v>0</v>
      </c>
      <c r="M187" s="267">
        <f t="shared" si="109"/>
        <v>0</v>
      </c>
      <c r="N187" s="267">
        <f t="shared" si="109"/>
        <v>0</v>
      </c>
      <c r="O187" s="267">
        <f t="shared" si="109"/>
        <v>0</v>
      </c>
      <c r="P187" s="267">
        <f t="shared" si="109"/>
        <v>0</v>
      </c>
      <c r="Q187" s="267">
        <f t="shared" si="109"/>
        <v>0</v>
      </c>
      <c r="R187" s="267">
        <f t="shared" si="109"/>
        <v>0</v>
      </c>
      <c r="S187" s="267">
        <f t="shared" si="109"/>
        <v>0</v>
      </c>
      <c r="T187" s="267">
        <f t="shared" si="109"/>
        <v>0</v>
      </c>
      <c r="U187" s="267">
        <f t="shared" si="109"/>
        <v>0</v>
      </c>
      <c r="V187" s="267">
        <f t="shared" si="109"/>
        <v>0</v>
      </c>
      <c r="W187" s="267">
        <f t="shared" si="109"/>
        <v>0</v>
      </c>
      <c r="X187" s="267">
        <f t="shared" si="109"/>
        <v>0</v>
      </c>
      <c r="Y187" s="267">
        <f t="shared" si="109"/>
        <v>0</v>
      </c>
      <c r="Z187" s="268">
        <f t="shared" si="109"/>
        <v>0</v>
      </c>
      <c r="AA187" s="268">
        <f t="shared" si="109"/>
        <v>0</v>
      </c>
      <c r="AB187" s="268">
        <f t="shared" si="109"/>
        <v>0</v>
      </c>
      <c r="AC187" s="268">
        <f t="shared" si="109"/>
        <v>0</v>
      </c>
      <c r="AD187" s="268">
        <f t="shared" si="109"/>
        <v>0</v>
      </c>
      <c r="AE187" s="268">
        <f t="shared" si="109"/>
        <v>0</v>
      </c>
    </row>
    <row r="188" spans="1:31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  <c r="AD188" s="248"/>
      <c r="AE188" s="248"/>
    </row>
    <row r="189" spans="1:31" ht="15.75" thickBot="1">
      <c r="A189" s="235" t="s">
        <v>261</v>
      </c>
    </row>
    <row r="190" spans="1:31" ht="15.75" thickBot="1">
      <c r="A190" s="236"/>
      <c r="B190" s="237" t="str">
        <f>B$2</f>
        <v xml:space="preserve">93/94 </v>
      </c>
      <c r="C190" s="237" t="str">
        <f t="shared" ref="C190:AE190" si="110">C$2</f>
        <v xml:space="preserve">94/95 </v>
      </c>
      <c r="D190" s="237" t="str">
        <f t="shared" si="110"/>
        <v xml:space="preserve">95/96 </v>
      </c>
      <c r="E190" s="237" t="str">
        <f t="shared" si="110"/>
        <v xml:space="preserve">96/97 </v>
      </c>
      <c r="F190" s="237" t="str">
        <f t="shared" si="110"/>
        <v xml:space="preserve">97/98 </v>
      </c>
      <c r="G190" s="237" t="str">
        <f t="shared" si="110"/>
        <v xml:space="preserve">98/99 </v>
      </c>
      <c r="H190" s="237" t="str">
        <f t="shared" si="110"/>
        <v xml:space="preserve">99/00 </v>
      </c>
      <c r="I190" s="237" t="str">
        <f t="shared" si="110"/>
        <v xml:space="preserve">00/01 </v>
      </c>
      <c r="J190" s="237" t="str">
        <f t="shared" si="110"/>
        <v xml:space="preserve">01/02 </v>
      </c>
      <c r="K190" s="237" t="str">
        <f t="shared" si="110"/>
        <v xml:space="preserve">02/03 </v>
      </c>
      <c r="L190" s="237" t="str">
        <f t="shared" si="110"/>
        <v xml:space="preserve">03/04 </v>
      </c>
      <c r="M190" s="237" t="str">
        <f t="shared" si="110"/>
        <v xml:space="preserve">04/05 </v>
      </c>
      <c r="N190" s="237" t="str">
        <f t="shared" si="110"/>
        <v xml:space="preserve">05/06 </v>
      </c>
      <c r="O190" s="237" t="str">
        <f t="shared" si="110"/>
        <v xml:space="preserve">06/07 </v>
      </c>
      <c r="P190" s="237" t="str">
        <f t="shared" si="110"/>
        <v xml:space="preserve">07/08 </v>
      </c>
      <c r="Q190" s="237" t="str">
        <f t="shared" si="110"/>
        <v xml:space="preserve">08/09 </v>
      </c>
      <c r="R190" s="237" t="str">
        <f t="shared" si="110"/>
        <v xml:space="preserve">09/10 </v>
      </c>
      <c r="S190" s="237" t="str">
        <f t="shared" si="110"/>
        <v xml:space="preserve">10/11 </v>
      </c>
      <c r="T190" s="237" t="str">
        <f t="shared" si="110"/>
        <v xml:space="preserve">11/12 </v>
      </c>
      <c r="U190" s="237" t="str">
        <f t="shared" si="110"/>
        <v xml:space="preserve">12/13 </v>
      </c>
      <c r="V190" s="237" t="str">
        <f t="shared" si="110"/>
        <v xml:space="preserve">13/14 </v>
      </c>
      <c r="W190" s="237" t="str">
        <f t="shared" si="110"/>
        <v xml:space="preserve">14/15 </v>
      </c>
      <c r="X190" s="237" t="str">
        <f t="shared" si="110"/>
        <v xml:space="preserve">15/16 </v>
      </c>
      <c r="Y190" s="237" t="str">
        <f t="shared" si="110"/>
        <v xml:space="preserve">16/17 </v>
      </c>
      <c r="Z190" s="237" t="str">
        <f t="shared" si="110"/>
        <v xml:space="preserve">17/18 </v>
      </c>
      <c r="AA190" s="237" t="str">
        <f t="shared" si="110"/>
        <v xml:space="preserve">18/19 </v>
      </c>
      <c r="AB190" s="237" t="str">
        <f t="shared" si="110"/>
        <v xml:space="preserve">19/20 </v>
      </c>
      <c r="AC190" s="237" t="str">
        <f t="shared" si="110"/>
        <v xml:space="preserve">20/21 </v>
      </c>
      <c r="AD190" s="237" t="str">
        <f t="shared" si="110"/>
        <v xml:space="preserve">21/22 </v>
      </c>
      <c r="AE190" s="237" t="str">
        <f t="shared" si="110"/>
        <v xml:space="preserve">22/23 </v>
      </c>
    </row>
    <row r="191" spans="1:31">
      <c r="A191" s="240" t="s">
        <v>239</v>
      </c>
    </row>
    <row r="192" spans="1:31">
      <c r="A192" s="240" t="s">
        <v>240</v>
      </c>
    </row>
    <row r="193" spans="1:34">
      <c r="A193" s="240" t="s">
        <v>241</v>
      </c>
    </row>
    <row r="194" spans="1:34">
      <c r="A194" s="240" t="s">
        <v>231</v>
      </c>
    </row>
    <row r="195" spans="1:34">
      <c r="A195" s="240" t="s">
        <v>232</v>
      </c>
    </row>
    <row r="196" spans="1:34">
      <c r="A196" s="240" t="s">
        <v>233</v>
      </c>
    </row>
    <row r="197" spans="1:34">
      <c r="A197" s="240" t="s">
        <v>234</v>
      </c>
    </row>
    <row r="198" spans="1:34">
      <c r="A198" s="240" t="s">
        <v>46</v>
      </c>
      <c r="AH198" s="363"/>
    </row>
    <row r="199" spans="1:34">
      <c r="A199" s="240" t="s">
        <v>235</v>
      </c>
      <c r="AH199" s="364"/>
    </row>
    <row r="200" spans="1:34">
      <c r="A200" s="240" t="s">
        <v>236</v>
      </c>
      <c r="AH200" s="363"/>
    </row>
    <row r="201" spans="1:34">
      <c r="A201" s="240" t="s">
        <v>237</v>
      </c>
      <c r="AH201" s="363"/>
    </row>
    <row r="202" spans="1:34">
      <c r="A202" s="240" t="s">
        <v>238</v>
      </c>
      <c r="AH202" s="300"/>
    </row>
    <row r="203" spans="1:34" ht="15.75" thickBot="1">
      <c r="A203" s="240" t="s">
        <v>255</v>
      </c>
      <c r="AH203" s="300"/>
    </row>
    <row r="204" spans="1:34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  <c r="AD204" s="248"/>
      <c r="AE204" s="248"/>
      <c r="AH204" s="365"/>
    </row>
    <row r="205" spans="1:34" ht="15.75" thickBot="1">
      <c r="A205" s="235" t="s">
        <v>262</v>
      </c>
    </row>
    <row r="206" spans="1:34" ht="15.75" thickBot="1">
      <c r="A206" s="236"/>
      <c r="B206" s="237" t="str">
        <f>B$2</f>
        <v xml:space="preserve">93/94 </v>
      </c>
      <c r="C206" s="237" t="str">
        <f t="shared" ref="C206:AE206" si="111">C$2</f>
        <v xml:space="preserve">94/95 </v>
      </c>
      <c r="D206" s="237" t="str">
        <f t="shared" si="111"/>
        <v xml:space="preserve">95/96 </v>
      </c>
      <c r="E206" s="237" t="str">
        <f t="shared" si="111"/>
        <v xml:space="preserve">96/97 </v>
      </c>
      <c r="F206" s="237" t="str">
        <f t="shared" si="111"/>
        <v xml:space="preserve">97/98 </v>
      </c>
      <c r="G206" s="237" t="str">
        <f t="shared" si="111"/>
        <v xml:space="preserve">98/99 </v>
      </c>
      <c r="H206" s="237" t="str">
        <f t="shared" si="111"/>
        <v xml:space="preserve">99/00 </v>
      </c>
      <c r="I206" s="237" t="str">
        <f t="shared" si="111"/>
        <v xml:space="preserve">00/01 </v>
      </c>
      <c r="J206" s="237" t="str">
        <f t="shared" si="111"/>
        <v xml:space="preserve">01/02 </v>
      </c>
      <c r="K206" s="237" t="str">
        <f t="shared" si="111"/>
        <v xml:space="preserve">02/03 </v>
      </c>
      <c r="L206" s="237" t="str">
        <f t="shared" si="111"/>
        <v xml:space="preserve">03/04 </v>
      </c>
      <c r="M206" s="237" t="str">
        <f t="shared" si="111"/>
        <v xml:space="preserve">04/05 </v>
      </c>
      <c r="N206" s="237" t="str">
        <f t="shared" si="111"/>
        <v xml:space="preserve">05/06 </v>
      </c>
      <c r="O206" s="237" t="str">
        <f t="shared" si="111"/>
        <v xml:space="preserve">06/07 </v>
      </c>
      <c r="P206" s="237" t="str">
        <f t="shared" si="111"/>
        <v xml:space="preserve">07/08 </v>
      </c>
      <c r="Q206" s="237" t="str">
        <f t="shared" si="111"/>
        <v xml:space="preserve">08/09 </v>
      </c>
      <c r="R206" s="237" t="str">
        <f t="shared" si="111"/>
        <v xml:space="preserve">09/10 </v>
      </c>
      <c r="S206" s="237" t="str">
        <f t="shared" si="111"/>
        <v xml:space="preserve">10/11 </v>
      </c>
      <c r="T206" s="237" t="str">
        <f t="shared" si="111"/>
        <v xml:space="preserve">11/12 </v>
      </c>
      <c r="U206" s="237" t="str">
        <f t="shared" si="111"/>
        <v xml:space="preserve">12/13 </v>
      </c>
      <c r="V206" s="237" t="str">
        <f t="shared" si="111"/>
        <v xml:space="preserve">13/14 </v>
      </c>
      <c r="W206" s="237" t="str">
        <f t="shared" si="111"/>
        <v xml:space="preserve">14/15 </v>
      </c>
      <c r="X206" s="237" t="str">
        <f t="shared" si="111"/>
        <v xml:space="preserve">15/16 </v>
      </c>
      <c r="Y206" s="237" t="str">
        <f t="shared" si="111"/>
        <v xml:space="preserve">16/17 </v>
      </c>
      <c r="Z206" s="237" t="str">
        <f t="shared" si="111"/>
        <v xml:space="preserve">17/18 </v>
      </c>
      <c r="AA206" s="237" t="str">
        <f t="shared" si="111"/>
        <v xml:space="preserve">18/19 </v>
      </c>
      <c r="AB206" s="237" t="str">
        <f t="shared" si="111"/>
        <v xml:space="preserve">19/20 </v>
      </c>
      <c r="AC206" s="237" t="str">
        <f t="shared" si="111"/>
        <v xml:space="preserve">20/21 </v>
      </c>
      <c r="AD206" s="237" t="str">
        <f t="shared" si="111"/>
        <v xml:space="preserve">21/22 </v>
      </c>
      <c r="AE206" s="237" t="str">
        <f t="shared" si="111"/>
        <v xml:space="preserve">22/23 </v>
      </c>
    </row>
    <row r="207" spans="1:34">
      <c r="A207" s="240" t="s">
        <v>239</v>
      </c>
      <c r="B207" s="290">
        <f>B303+B287+B271-B255-B32</f>
        <v>39.166666666666664</v>
      </c>
      <c r="C207" s="290">
        <f>C303+C287+C271-C255-B314</f>
        <v>34.466079573460704</v>
      </c>
      <c r="D207" s="290">
        <f t="shared" ref="D207:Y207" si="112">D303+D287+D271-D255-C314</f>
        <v>42.004919729483532</v>
      </c>
      <c r="E207" s="290">
        <f t="shared" si="112"/>
        <v>53.744006708686896</v>
      </c>
      <c r="F207" s="290">
        <f t="shared" si="112"/>
        <v>36.104044040301915</v>
      </c>
      <c r="G207" s="290">
        <f t="shared" si="112"/>
        <v>-57.65405409827855</v>
      </c>
      <c r="H207" s="290">
        <f t="shared" si="112"/>
        <v>21.137846153846169</v>
      </c>
      <c r="I207" s="290">
        <f t="shared" si="112"/>
        <v>12.903743589743584</v>
      </c>
      <c r="J207" s="290">
        <f t="shared" si="112"/>
        <v>31.203461538461539</v>
      </c>
      <c r="K207" s="290">
        <f t="shared" si="112"/>
        <v>50.308692307692311</v>
      </c>
      <c r="L207" s="290">
        <f t="shared" si="112"/>
        <v>43.720666666666659</v>
      </c>
      <c r="M207" s="290">
        <f t="shared" si="112"/>
        <v>42.942256410256405</v>
      </c>
      <c r="N207" s="290">
        <f t="shared" si="112"/>
        <v>50.26920512820513</v>
      </c>
      <c r="O207" s="290">
        <f t="shared" si="112"/>
        <v>52.663666666666657</v>
      </c>
      <c r="P207" s="290">
        <f t="shared" si="112"/>
        <v>45.974897435897446</v>
      </c>
      <c r="Q207" s="290">
        <f t="shared" si="112"/>
        <v>66.121435897435902</v>
      </c>
      <c r="R207" s="290">
        <f t="shared" si="112"/>
        <v>42.569410256410293</v>
      </c>
      <c r="S207" s="290">
        <f t="shared" si="112"/>
        <v>42.531153846153813</v>
      </c>
      <c r="T207" s="290">
        <f t="shared" si="112"/>
        <v>58.335923076923052</v>
      </c>
      <c r="U207" s="290">
        <f t="shared" si="112"/>
        <v>13.500153846153808</v>
      </c>
      <c r="V207" s="290">
        <f t="shared" si="112"/>
        <v>37.843153846153768</v>
      </c>
      <c r="W207" s="290">
        <f t="shared" si="112"/>
        <v>29.679282051281973</v>
      </c>
      <c r="X207" s="290">
        <f t="shared" si="112"/>
        <v>30.197461538461539</v>
      </c>
      <c r="Y207" s="290">
        <f t="shared" si="112"/>
        <v>89.99828205128199</v>
      </c>
      <c r="Z207" s="290">
        <f>Z303+Z287+Z271-Z255-Y314</f>
        <v>108.61473794871802</v>
      </c>
      <c r="AA207" s="290">
        <f t="shared" ref="AA207:AC207" si="113">AA303+AA287+AA271-AA255-Z314</f>
        <v>47.58369107692306</v>
      </c>
      <c r="AB207" s="290">
        <f t="shared" si="113"/>
        <v>31.638591846153815</v>
      </c>
      <c r="AC207" s="290">
        <f t="shared" si="113"/>
        <v>44.340010846153859</v>
      </c>
      <c r="AD207" s="252">
        <f t="shared" ref="AD207:AE207" si="114">AD303-AC314+AD271-AD255+AD287</f>
        <v>64.821666666666658</v>
      </c>
      <c r="AE207" s="252">
        <f t="shared" si="114"/>
        <v>58.286212179744837</v>
      </c>
      <c r="AF207" s="240"/>
      <c r="AG207" s="240"/>
    </row>
    <row r="208" spans="1:34">
      <c r="A208" s="240" t="s">
        <v>240</v>
      </c>
      <c r="B208" s="290">
        <f t="shared" ref="B208:Y218" si="115">B304+B288+B272-B256-B303</f>
        <v>39.166666666666664</v>
      </c>
      <c r="C208" s="290">
        <f t="shared" si="115"/>
        <v>34.203819924143019</v>
      </c>
      <c r="D208" s="290">
        <f t="shared" si="115"/>
        <v>42.013555651510245</v>
      </c>
      <c r="E208" s="290">
        <f t="shared" si="115"/>
        <v>54.567466864883144</v>
      </c>
      <c r="F208" s="290">
        <f t="shared" si="115"/>
        <v>35.595502510167044</v>
      </c>
      <c r="G208" s="290">
        <f t="shared" si="115"/>
        <v>-26.558332487352033</v>
      </c>
      <c r="H208" s="290">
        <f t="shared" si="115"/>
        <v>36.51484615384615</v>
      </c>
      <c r="I208" s="290">
        <f t="shared" si="115"/>
        <v>22.453743589743581</v>
      </c>
      <c r="J208" s="290">
        <f t="shared" si="115"/>
        <v>33.943461538461534</v>
      </c>
      <c r="K208" s="290">
        <f t="shared" si="115"/>
        <v>50.317692307692312</v>
      </c>
      <c r="L208" s="290">
        <f t="shared" si="115"/>
        <v>45.797666666666657</v>
      </c>
      <c r="M208" s="290">
        <f t="shared" si="115"/>
        <v>43.434256410256424</v>
      </c>
      <c r="N208" s="290">
        <f t="shared" si="115"/>
        <v>44.204205128205125</v>
      </c>
      <c r="O208" s="290">
        <f t="shared" si="115"/>
        <v>51.012666666666661</v>
      </c>
      <c r="P208" s="290">
        <f t="shared" si="115"/>
        <v>44.367897435897419</v>
      </c>
      <c r="Q208" s="290">
        <f t="shared" si="115"/>
        <v>69.876435897435897</v>
      </c>
      <c r="R208" s="290">
        <f t="shared" si="115"/>
        <v>45.801410256410236</v>
      </c>
      <c r="S208" s="290">
        <f t="shared" si="115"/>
        <v>25.504153846153855</v>
      </c>
      <c r="T208" s="290">
        <f t="shared" si="115"/>
        <v>29.038923076923055</v>
      </c>
      <c r="U208" s="290">
        <f t="shared" si="115"/>
        <v>41.633153846153846</v>
      </c>
      <c r="V208" s="290">
        <f t="shared" si="115"/>
        <v>13.211153846153849</v>
      </c>
      <c r="W208" s="290">
        <f t="shared" si="115"/>
        <v>-61.162717948718011</v>
      </c>
      <c r="X208" s="290">
        <f t="shared" si="115"/>
        <v>-41.311538461538476</v>
      </c>
      <c r="Y208" s="290">
        <f t="shared" si="115"/>
        <v>31.966282051281951</v>
      </c>
      <c r="Z208" s="290">
        <f>Z304+Z288+Z272-Z256-Z303</f>
        <v>12.236554948717981</v>
      </c>
      <c r="AA208" s="290">
        <f t="shared" ref="AA208:AC218" si="116">AA304+AA288+AA272-AA256-AA303</f>
        <v>30.578880076923042</v>
      </c>
      <c r="AB208" s="290">
        <f t="shared" si="116"/>
        <v>-28.91084215384609</v>
      </c>
      <c r="AC208" s="290">
        <f t="shared" si="116"/>
        <v>-22.577679153846134</v>
      </c>
      <c r="AD208" s="252">
        <f t="shared" ref="AD208:AE218" si="117">AD304-AD303+AD272-AD256+AD288</f>
        <v>80.499282051282051</v>
      </c>
      <c r="AE208" s="252">
        <f t="shared" si="117"/>
        <v>-4.1549284171221075</v>
      </c>
      <c r="AF208" s="240"/>
      <c r="AG208" s="240"/>
    </row>
    <row r="209" spans="1:33">
      <c r="A209" s="240" t="s">
        <v>241</v>
      </c>
      <c r="B209" s="290">
        <f t="shared" si="115"/>
        <v>39.166666666666664</v>
      </c>
      <c r="C209" s="290">
        <f t="shared" si="115"/>
        <v>34.230710042603015</v>
      </c>
      <c r="D209" s="290">
        <f t="shared" si="115"/>
        <v>39.509683690417347</v>
      </c>
      <c r="E209" s="290">
        <f t="shared" si="115"/>
        <v>47.240101802551294</v>
      </c>
      <c r="F209" s="290">
        <f t="shared" si="115"/>
        <v>33.721201565581424</v>
      </c>
      <c r="G209" s="290">
        <f t="shared" si="115"/>
        <v>3.4812327394767131</v>
      </c>
      <c r="H209" s="290">
        <f t="shared" si="115"/>
        <v>61.781846153846175</v>
      </c>
      <c r="I209" s="290">
        <f t="shared" si="115"/>
        <v>22.121743589743588</v>
      </c>
      <c r="J209" s="290">
        <f t="shared" si="115"/>
        <v>40.707461538461544</v>
      </c>
      <c r="K209" s="290">
        <f t="shared" si="115"/>
        <v>47.302692307692311</v>
      </c>
      <c r="L209" s="290">
        <f t="shared" si="115"/>
        <v>47.513666666666666</v>
      </c>
      <c r="M209" s="290">
        <f t="shared" si="115"/>
        <v>44.569256410256415</v>
      </c>
      <c r="N209" s="290">
        <f t="shared" si="115"/>
        <v>50.202205128205122</v>
      </c>
      <c r="O209" s="290">
        <f t="shared" si="115"/>
        <v>42.319666666666663</v>
      </c>
      <c r="P209" s="290">
        <f t="shared" si="115"/>
        <v>43.91189743589743</v>
      </c>
      <c r="Q209" s="290">
        <f t="shared" si="115"/>
        <v>43.917435897435894</v>
      </c>
      <c r="R209" s="290">
        <f t="shared" si="115"/>
        <v>49.403410256410297</v>
      </c>
      <c r="S209" s="290">
        <f t="shared" si="115"/>
        <v>26.907153846153875</v>
      </c>
      <c r="T209" s="290">
        <f t="shared" si="115"/>
        <v>35.756923076923044</v>
      </c>
      <c r="U209" s="290">
        <f t="shared" si="115"/>
        <v>38.999153846153888</v>
      </c>
      <c r="V209" s="290">
        <f t="shared" si="115"/>
        <v>43.13615384615386</v>
      </c>
      <c r="W209" s="290">
        <f t="shared" si="115"/>
        <v>3.932282051281959</v>
      </c>
      <c r="X209" s="290">
        <f t="shared" si="115"/>
        <v>23.897461538461584</v>
      </c>
      <c r="Y209" s="290">
        <f t="shared" si="115"/>
        <v>2.0142820512819526</v>
      </c>
      <c r="Z209" s="290">
        <f>Z305+Z289+Z273-Z257-Z304</f>
        <v>-32.341868051282063</v>
      </c>
      <c r="AA209" s="290">
        <f t="shared" si="116"/>
        <v>10.023730076923016</v>
      </c>
      <c r="AB209" s="290">
        <f t="shared" si="116"/>
        <v>17.25750984615388</v>
      </c>
      <c r="AC209" s="290">
        <f t="shared" si="116"/>
        <v>-17.621271153846095</v>
      </c>
      <c r="AD209" s="252">
        <f t="shared" si="117"/>
        <v>-34.342717948717961</v>
      </c>
      <c r="AE209" s="252">
        <f t="shared" si="117"/>
        <v>-13.443333705201042</v>
      </c>
      <c r="AF209" s="240"/>
      <c r="AG209" s="240"/>
    </row>
    <row r="210" spans="1:33">
      <c r="A210" s="240" t="s">
        <v>231</v>
      </c>
      <c r="B210" s="290">
        <f t="shared" si="115"/>
        <v>39.166666666666664</v>
      </c>
      <c r="C210" s="290">
        <f t="shared" si="115"/>
        <v>29.104254748003484</v>
      </c>
      <c r="D210" s="290">
        <f t="shared" si="115"/>
        <v>32.883840693752404</v>
      </c>
      <c r="E210" s="290">
        <f t="shared" si="115"/>
        <v>16.664071678096093</v>
      </c>
      <c r="F210" s="290">
        <f t="shared" si="115"/>
        <v>25.503059447394961</v>
      </c>
      <c r="G210" s="290">
        <f t="shared" si="115"/>
        <v>51.112615384615403</v>
      </c>
      <c r="H210" s="290">
        <f t="shared" si="115"/>
        <v>58.137846153846169</v>
      </c>
      <c r="I210" s="290">
        <f t="shared" si="115"/>
        <v>10.163743589743618</v>
      </c>
      <c r="J210" s="290">
        <f t="shared" si="115"/>
        <v>40.010461538461541</v>
      </c>
      <c r="K210" s="290">
        <f t="shared" si="115"/>
        <v>47.285692307692301</v>
      </c>
      <c r="L210" s="290">
        <f t="shared" si="115"/>
        <v>39.308666666666653</v>
      </c>
      <c r="M210" s="290">
        <f t="shared" si="115"/>
        <v>44.727256410256416</v>
      </c>
      <c r="N210" s="290">
        <f t="shared" si="115"/>
        <v>21.674205128205109</v>
      </c>
      <c r="O210" s="290">
        <f t="shared" si="115"/>
        <v>47.223666666666645</v>
      </c>
      <c r="P210" s="290">
        <f t="shared" si="115"/>
        <v>44.020897435897439</v>
      </c>
      <c r="Q210" s="290">
        <f t="shared" si="115"/>
        <v>-5.4495641025640822</v>
      </c>
      <c r="R210" s="290">
        <f t="shared" si="115"/>
        <v>17.591410256410228</v>
      </c>
      <c r="S210" s="290">
        <f t="shared" si="115"/>
        <v>-27.119846153846169</v>
      </c>
      <c r="T210" s="290">
        <f t="shared" si="115"/>
        <v>21.689923076923094</v>
      </c>
      <c r="U210" s="290">
        <f t="shared" si="115"/>
        <v>-51.473846153846154</v>
      </c>
      <c r="V210" s="290">
        <f t="shared" si="115"/>
        <v>-7.0538461538461377</v>
      </c>
      <c r="W210" s="290">
        <f t="shared" si="115"/>
        <v>-34.231717948718028</v>
      </c>
      <c r="X210" s="290">
        <f t="shared" si="115"/>
        <v>24.467461538461521</v>
      </c>
      <c r="Y210" s="290">
        <f t="shared" si="115"/>
        <v>17.449282051282012</v>
      </c>
      <c r="Z210" s="290">
        <f>Z306+Z290+Z274-Z258-Z305</f>
        <v>49.304013948717966</v>
      </c>
      <c r="AA210" s="290">
        <f t="shared" si="116"/>
        <v>-37.667086923076909</v>
      </c>
      <c r="AB210" s="290">
        <f t="shared" si="116"/>
        <v>-73.119930153846099</v>
      </c>
      <c r="AC210" s="290">
        <f t="shared" si="116"/>
        <v>-8.0468461538461895</v>
      </c>
      <c r="AD210" s="252">
        <f t="shared" si="117"/>
        <v>-81.655717948717978</v>
      </c>
      <c r="AE210" s="252">
        <f t="shared" si="117"/>
        <v>-20.089026120638806</v>
      </c>
      <c r="AF210" s="240"/>
      <c r="AG210" s="240"/>
    </row>
    <row r="211" spans="1:33">
      <c r="A211" s="240" t="s">
        <v>232</v>
      </c>
      <c r="B211" s="290">
        <f t="shared" si="115"/>
        <v>39.166666666666664</v>
      </c>
      <c r="C211" s="290">
        <f t="shared" si="115"/>
        <v>28.741724114789797</v>
      </c>
      <c r="D211" s="290">
        <f t="shared" si="115"/>
        <v>33.319000259456431</v>
      </c>
      <c r="E211" s="290">
        <f t="shared" si="115"/>
        <v>21.815003232948605</v>
      </c>
      <c r="F211" s="290">
        <f t="shared" si="115"/>
        <v>29.269382091770559</v>
      </c>
      <c r="G211" s="290">
        <f t="shared" si="115"/>
        <v>64.292615384615402</v>
      </c>
      <c r="H211" s="290">
        <f t="shared" si="115"/>
        <v>33.886846153846164</v>
      </c>
      <c r="I211" s="290">
        <f t="shared" si="115"/>
        <v>16.129743589743583</v>
      </c>
      <c r="J211" s="290">
        <f t="shared" si="115"/>
        <v>41.041461538461547</v>
      </c>
      <c r="K211" s="290">
        <f t="shared" si="115"/>
        <v>47.021692307692305</v>
      </c>
      <c r="L211" s="290">
        <f t="shared" si="115"/>
        <v>41.186666666666653</v>
      </c>
      <c r="M211" s="290">
        <f t="shared" si="115"/>
        <v>43.400256410256404</v>
      </c>
      <c r="N211" s="290">
        <f t="shared" si="115"/>
        <v>39.191205128205127</v>
      </c>
      <c r="O211" s="290">
        <f t="shared" si="115"/>
        <v>27.287666666666667</v>
      </c>
      <c r="P211" s="290">
        <f t="shared" si="115"/>
        <v>43.689897435897421</v>
      </c>
      <c r="Q211" s="290">
        <f t="shared" si="115"/>
        <v>3.4154358974359127</v>
      </c>
      <c r="R211" s="290">
        <f t="shared" si="115"/>
        <v>29.205410256410289</v>
      </c>
      <c r="S211" s="290">
        <f t="shared" si="115"/>
        <v>32.472153846153844</v>
      </c>
      <c r="T211" s="290">
        <f t="shared" si="115"/>
        <v>38.686923076923108</v>
      </c>
      <c r="U211" s="290">
        <f t="shared" si="115"/>
        <v>17.837153846153797</v>
      </c>
      <c r="V211" s="290">
        <f t="shared" si="115"/>
        <v>61.007153846153869</v>
      </c>
      <c r="W211" s="290">
        <f t="shared" si="115"/>
        <v>56.927282051281964</v>
      </c>
      <c r="X211" s="290">
        <f t="shared" si="115"/>
        <v>21.470461538461564</v>
      </c>
      <c r="Y211" s="290">
        <f t="shared" si="115"/>
        <v>-24.352717948718066</v>
      </c>
      <c r="Z211" s="290">
        <f>Z307+Z291+Z275-Z259-Z306</f>
        <v>-0.55651305128196782</v>
      </c>
      <c r="AA211" s="290">
        <f t="shared" si="116"/>
        <v>30.58504207692306</v>
      </c>
      <c r="AB211" s="290">
        <f t="shared" si="116"/>
        <v>-19.975223153846173</v>
      </c>
      <c r="AC211" s="290">
        <f t="shared" si="116"/>
        <v>97.521153846153823</v>
      </c>
      <c r="AD211" s="252">
        <f t="shared" si="117"/>
        <v>61.73328205128206</v>
      </c>
      <c r="AE211" s="252">
        <f t="shared" si="117"/>
        <v>8.5234877063912506</v>
      </c>
      <c r="AF211" s="240"/>
      <c r="AG211" s="240"/>
    </row>
    <row r="212" spans="1:33">
      <c r="A212" s="240" t="s">
        <v>233</v>
      </c>
      <c r="B212" s="290">
        <f t="shared" si="115"/>
        <v>39.166666666666664</v>
      </c>
      <c r="C212" s="290">
        <f t="shared" si="115"/>
        <v>30.056100146021208</v>
      </c>
      <c r="D212" s="290">
        <f t="shared" si="115"/>
        <v>35.581520926013255</v>
      </c>
      <c r="E212" s="290">
        <f t="shared" si="115"/>
        <v>25.125190461330533</v>
      </c>
      <c r="F212" s="290">
        <f t="shared" si="115"/>
        <v>29.246427092146412</v>
      </c>
      <c r="G212" s="290">
        <f t="shared" si="115"/>
        <v>72.412615384615407</v>
      </c>
      <c r="H212" s="290">
        <f t="shared" si="115"/>
        <v>27.129846153846159</v>
      </c>
      <c r="I212" s="290">
        <f t="shared" si="115"/>
        <v>51.476743589743577</v>
      </c>
      <c r="J212" s="290">
        <f t="shared" si="115"/>
        <v>41.042461538461545</v>
      </c>
      <c r="K212" s="290">
        <f t="shared" si="115"/>
        <v>22.218692307692308</v>
      </c>
      <c r="L212" s="290">
        <f t="shared" si="115"/>
        <v>35.811666666666667</v>
      </c>
      <c r="M212" s="290">
        <f t="shared" si="115"/>
        <v>44.435256410256429</v>
      </c>
      <c r="N212" s="290">
        <f t="shared" si="115"/>
        <v>47.887205128205132</v>
      </c>
      <c r="O212" s="290">
        <f t="shared" si="115"/>
        <v>31.97766666666665</v>
      </c>
      <c r="P212" s="290">
        <f t="shared" si="115"/>
        <v>43.464897435897427</v>
      </c>
      <c r="Q212" s="290">
        <f t="shared" si="115"/>
        <v>14.893435897435893</v>
      </c>
      <c r="R212" s="290">
        <f t="shared" si="115"/>
        <v>16.784410256410268</v>
      </c>
      <c r="S212" s="290">
        <f t="shared" si="115"/>
        <v>28.188153846153824</v>
      </c>
      <c r="T212" s="290">
        <f t="shared" si="115"/>
        <v>3.9639230769230664</v>
      </c>
      <c r="U212" s="290">
        <f t="shared" si="115"/>
        <v>-6.5458461538461563</v>
      </c>
      <c r="V212" s="290">
        <f t="shared" si="115"/>
        <v>38.046153846153885</v>
      </c>
      <c r="W212" s="290">
        <f t="shared" si="115"/>
        <v>-7.730717948718052</v>
      </c>
      <c r="X212" s="290">
        <f t="shared" si="115"/>
        <v>-36.562538461538452</v>
      </c>
      <c r="Y212" s="290">
        <f t="shared" si="115"/>
        <v>-38.521717948718049</v>
      </c>
      <c r="Z212" s="290">
        <f>Z308+Z292+Z276-Z260-Z307</f>
        <v>10.115403948717926</v>
      </c>
      <c r="AA212" s="290">
        <f t="shared" si="116"/>
        <v>-126.27459192307685</v>
      </c>
      <c r="AB212" s="290">
        <f t="shared" si="116"/>
        <v>-63.425192153846126</v>
      </c>
      <c r="AC212" s="290">
        <f t="shared" si="116"/>
        <v>55.400153846153842</v>
      </c>
      <c r="AD212" s="252">
        <f t="shared" si="117"/>
        <v>-18.660884176505988</v>
      </c>
      <c r="AE212" s="252">
        <f t="shared" si="117"/>
        <v>-43.483450001795916</v>
      </c>
      <c r="AF212" s="240"/>
      <c r="AG212" s="240"/>
    </row>
    <row r="213" spans="1:33">
      <c r="A213" s="240" t="s">
        <v>234</v>
      </c>
      <c r="B213" s="290">
        <f t="shared" si="115"/>
        <v>39.166666666666664</v>
      </c>
      <c r="C213" s="290">
        <f t="shared" si="115"/>
        <v>37.176311934630625</v>
      </c>
      <c r="D213" s="290">
        <f t="shared" si="115"/>
        <v>37.822315430839716</v>
      </c>
      <c r="E213" s="290">
        <f t="shared" si="115"/>
        <v>32.378995807476116</v>
      </c>
      <c r="F213" s="290">
        <f t="shared" si="115"/>
        <v>28.458263396260303</v>
      </c>
      <c r="G213" s="290">
        <f t="shared" si="115"/>
        <v>32.5346153846154</v>
      </c>
      <c r="H213" s="290">
        <f t="shared" si="115"/>
        <v>35.02484615384617</v>
      </c>
      <c r="I213" s="290">
        <f t="shared" si="115"/>
        <v>54.40874358974358</v>
      </c>
      <c r="J213" s="290">
        <f t="shared" si="115"/>
        <v>41.074461538461534</v>
      </c>
      <c r="K213" s="290">
        <f t="shared" si="115"/>
        <v>50.308692307692311</v>
      </c>
      <c r="L213" s="290">
        <f t="shared" si="115"/>
        <v>55.216666666666654</v>
      </c>
      <c r="M213" s="290">
        <f t="shared" si="115"/>
        <v>45.496256410256407</v>
      </c>
      <c r="N213" s="290">
        <f t="shared" si="115"/>
        <v>47.206205128205127</v>
      </c>
      <c r="O213" s="290">
        <f t="shared" si="115"/>
        <v>57.453666666666663</v>
      </c>
      <c r="P213" s="290">
        <f t="shared" si="115"/>
        <v>43.43789743589744</v>
      </c>
      <c r="Q213" s="290">
        <f t="shared" si="115"/>
        <v>14.890435897435907</v>
      </c>
      <c r="R213" s="290">
        <f t="shared" si="115"/>
        <v>17.883410256410286</v>
      </c>
      <c r="S213" s="290">
        <f t="shared" si="115"/>
        <v>-11.140846153846155</v>
      </c>
      <c r="T213" s="290">
        <f t="shared" si="115"/>
        <v>-30.726076923076931</v>
      </c>
      <c r="U213" s="290">
        <f t="shared" si="115"/>
        <v>15.027153846153851</v>
      </c>
      <c r="V213" s="290">
        <f t="shared" si="115"/>
        <v>6.7381538461538639</v>
      </c>
      <c r="W213" s="290">
        <f t="shared" si="115"/>
        <v>-2.5417179487180306</v>
      </c>
      <c r="X213" s="290">
        <f t="shared" si="115"/>
        <v>53.826461538461558</v>
      </c>
      <c r="Y213" s="290">
        <f t="shared" si="115"/>
        <v>-52.53071794871795</v>
      </c>
      <c r="Z213" s="290">
        <f t="shared" ref="Z213:AV217" si="118">Z309+Z293+Z277-Z261-Z308</f>
        <v>-75.872390051281968</v>
      </c>
      <c r="AA213" s="290">
        <f t="shared" si="116"/>
        <v>-48.865185923076922</v>
      </c>
      <c r="AB213" s="290">
        <f t="shared" si="116"/>
        <v>-17.331007153846087</v>
      </c>
      <c r="AC213" s="252">
        <f t="shared" ref="AC213:AC218" si="119">AC309-AC308+AC277-AC261+AC293</f>
        <v>40.386153846153832</v>
      </c>
      <c r="AD213" s="252">
        <f t="shared" si="117"/>
        <v>-33.55912798596691</v>
      </c>
      <c r="AE213" s="252">
        <f t="shared" si="117"/>
        <v>-41.689602673968238</v>
      </c>
      <c r="AF213" s="240"/>
      <c r="AG213" s="240"/>
    </row>
    <row r="214" spans="1:33">
      <c r="A214" s="240" t="s">
        <v>46</v>
      </c>
      <c r="B214" s="290">
        <f t="shared" si="115"/>
        <v>39.166666666666664</v>
      </c>
      <c r="C214" s="290">
        <f t="shared" si="115"/>
        <v>37.613843319934553</v>
      </c>
      <c r="D214" s="290">
        <f t="shared" si="115"/>
        <v>39.315057279267918</v>
      </c>
      <c r="E214" s="290">
        <f t="shared" si="115"/>
        <v>35.775002704742029</v>
      </c>
      <c r="F214" s="290">
        <f t="shared" si="115"/>
        <v>31.082448682963204</v>
      </c>
      <c r="G214" s="290">
        <f t="shared" si="115"/>
        <v>53.823615384615401</v>
      </c>
      <c r="H214" s="290">
        <f t="shared" si="115"/>
        <v>12.219846153846163</v>
      </c>
      <c r="I214" s="290">
        <f t="shared" si="115"/>
        <v>50.628743589743593</v>
      </c>
      <c r="J214" s="290">
        <f t="shared" si="115"/>
        <v>41.076461538461537</v>
      </c>
      <c r="K214" s="290">
        <f t="shared" si="115"/>
        <v>48.507692307692309</v>
      </c>
      <c r="L214" s="290">
        <f t="shared" si="115"/>
        <v>55.120666666666665</v>
      </c>
      <c r="M214" s="290">
        <f t="shared" si="115"/>
        <v>45.449256410256424</v>
      </c>
      <c r="N214" s="290">
        <f t="shared" si="115"/>
        <v>51.415205128205123</v>
      </c>
      <c r="O214" s="290">
        <f t="shared" si="115"/>
        <v>56.689666666666653</v>
      </c>
      <c r="P214" s="290">
        <f t="shared" si="115"/>
        <v>40.450897435897431</v>
      </c>
      <c r="Q214" s="290">
        <f t="shared" si="115"/>
        <v>28.531435897435927</v>
      </c>
      <c r="R214" s="290">
        <f t="shared" si="115"/>
        <v>13.170410256410236</v>
      </c>
      <c r="S214" s="290">
        <f t="shared" si="115"/>
        <v>25.435153846153838</v>
      </c>
      <c r="T214" s="290">
        <f t="shared" si="115"/>
        <v>-30.810076923076906</v>
      </c>
      <c r="U214" s="290">
        <f t="shared" si="115"/>
        <v>45.656153846153842</v>
      </c>
      <c r="V214" s="290">
        <f t="shared" si="115"/>
        <v>-69.86184615384613</v>
      </c>
      <c r="W214" s="290">
        <f t="shared" si="115"/>
        <v>-3.4757179487179997</v>
      </c>
      <c r="X214" s="290">
        <f t="shared" si="115"/>
        <v>-12.519538461538446</v>
      </c>
      <c r="Y214" s="290">
        <f t="shared" si="115"/>
        <v>15.126087051281957</v>
      </c>
      <c r="Z214" s="290">
        <f t="shared" si="118"/>
        <v>-68.855172051282011</v>
      </c>
      <c r="AA214" s="290">
        <f t="shared" si="116"/>
        <v>65.03354607692313</v>
      </c>
      <c r="AB214" s="290">
        <f t="shared" si="116"/>
        <v>43.528731846153903</v>
      </c>
      <c r="AC214" s="252">
        <f t="shared" si="119"/>
        <v>48.068153846153848</v>
      </c>
      <c r="AD214" s="252">
        <f t="shared" si="117"/>
        <v>6.7400955667214077</v>
      </c>
      <c r="AE214" s="252">
        <f t="shared" si="117"/>
        <v>12.682439956758628</v>
      </c>
      <c r="AF214" s="240"/>
      <c r="AG214" s="240"/>
    </row>
    <row r="215" spans="1:33">
      <c r="A215" s="240" t="s">
        <v>235</v>
      </c>
      <c r="B215" s="290">
        <f t="shared" si="115"/>
        <v>39.166666666666664</v>
      </c>
      <c r="C215" s="290">
        <f t="shared" si="115"/>
        <v>31.703038907363307</v>
      </c>
      <c r="D215" s="290">
        <f t="shared" si="115"/>
        <v>32.935474417027919</v>
      </c>
      <c r="E215" s="290">
        <f t="shared" si="115"/>
        <v>24.100900603800362</v>
      </c>
      <c r="F215" s="290">
        <f t="shared" si="115"/>
        <v>29.935644649542741</v>
      </c>
      <c r="G215" s="290">
        <f t="shared" si="115"/>
        <v>36.272615384615399</v>
      </c>
      <c r="H215" s="290">
        <f t="shared" si="115"/>
        <v>46.731846153846135</v>
      </c>
      <c r="I215" s="290">
        <f t="shared" si="115"/>
        <v>51.31574358974359</v>
      </c>
      <c r="J215" s="290">
        <f t="shared" si="115"/>
        <v>41.039461538461552</v>
      </c>
      <c r="K215" s="290">
        <f t="shared" si="115"/>
        <v>49.39169230769231</v>
      </c>
      <c r="L215" s="290">
        <f t="shared" si="115"/>
        <v>55.164666666666662</v>
      </c>
      <c r="M215" s="290">
        <f t="shared" si="115"/>
        <v>45.424256410256405</v>
      </c>
      <c r="N215" s="290">
        <f t="shared" si="115"/>
        <v>45.979205128205123</v>
      </c>
      <c r="O215" s="290">
        <f t="shared" si="115"/>
        <v>23.979666666666674</v>
      </c>
      <c r="P215" s="290">
        <f t="shared" si="115"/>
        <v>43.448897435897436</v>
      </c>
      <c r="Q215" s="290">
        <f t="shared" si="115"/>
        <v>-5.0405641025640904</v>
      </c>
      <c r="R215" s="290">
        <f t="shared" si="115"/>
        <v>43.279410256410273</v>
      </c>
      <c r="S215" s="290">
        <f t="shared" si="115"/>
        <v>40.570153846153829</v>
      </c>
      <c r="T215" s="290">
        <f t="shared" si="115"/>
        <v>2.752923076923139</v>
      </c>
      <c r="U215" s="290">
        <f t="shared" si="115"/>
        <v>-25.42784615384619</v>
      </c>
      <c r="V215" s="290">
        <f t="shared" si="115"/>
        <v>-5.6428461538461079</v>
      </c>
      <c r="W215" s="290">
        <f t="shared" si="115"/>
        <v>27.157282051281982</v>
      </c>
      <c r="X215" s="290">
        <f t="shared" si="115"/>
        <v>7.2224615384615731</v>
      </c>
      <c r="Y215" s="290">
        <f t="shared" si="115"/>
        <v>21.185508051282</v>
      </c>
      <c r="Z215" s="290">
        <f t="shared" si="118"/>
        <v>-22.966180051281981</v>
      </c>
      <c r="AA215" s="290">
        <f t="shared" si="116"/>
        <v>36.63541707692309</v>
      </c>
      <c r="AB215" s="290">
        <f t="shared" si="116"/>
        <v>-18.115948153846261</v>
      </c>
      <c r="AC215" s="252">
        <f t="shared" si="119"/>
        <v>4.3141538461538289</v>
      </c>
      <c r="AD215" s="252">
        <f t="shared" si="117"/>
        <v>2.6816120035349797</v>
      </c>
      <c r="AE215" s="252">
        <f t="shared" si="117"/>
        <v>-4.6246830595603399</v>
      </c>
      <c r="AF215" s="240"/>
      <c r="AG215" s="240"/>
    </row>
    <row r="216" spans="1:33">
      <c r="A216" s="240" t="s">
        <v>236</v>
      </c>
      <c r="B216" s="290">
        <f t="shared" si="115"/>
        <v>39.166666666666664</v>
      </c>
      <c r="C216" s="290">
        <f t="shared" si="115"/>
        <v>36.70038923562177</v>
      </c>
      <c r="D216" s="290">
        <f t="shared" si="115"/>
        <v>41.108420118668178</v>
      </c>
      <c r="E216" s="290">
        <f t="shared" si="115"/>
        <v>42.642911444545376</v>
      </c>
      <c r="F216" s="290">
        <f t="shared" si="115"/>
        <v>29.791860585962944</v>
      </c>
      <c r="G216" s="290">
        <f t="shared" si="115"/>
        <v>25.29161538461539</v>
      </c>
      <c r="H216" s="290">
        <f t="shared" si="115"/>
        <v>26.721846153846172</v>
      </c>
      <c r="I216" s="290">
        <f t="shared" si="115"/>
        <v>50.223743589743563</v>
      </c>
      <c r="J216" s="290">
        <f t="shared" si="115"/>
        <v>41.071461538461541</v>
      </c>
      <c r="K216" s="290">
        <f t="shared" si="115"/>
        <v>47.710692307692312</v>
      </c>
      <c r="L216" s="290">
        <f t="shared" si="115"/>
        <v>55.176666666666662</v>
      </c>
      <c r="M216" s="290">
        <f t="shared" si="115"/>
        <v>45.703256410256429</v>
      </c>
      <c r="N216" s="290">
        <f t="shared" si="115"/>
        <v>50.588205128205139</v>
      </c>
      <c r="O216" s="290">
        <f t="shared" si="115"/>
        <v>49.570666666666654</v>
      </c>
      <c r="P216" s="290">
        <f t="shared" si="115"/>
        <v>43.436897435897436</v>
      </c>
      <c r="Q216" s="290">
        <f t="shared" si="115"/>
        <v>53.971435897435896</v>
      </c>
      <c r="R216" s="290">
        <f t="shared" si="115"/>
        <v>17.011410256410244</v>
      </c>
      <c r="S216" s="290">
        <f t="shared" si="115"/>
        <v>-20.163846153846151</v>
      </c>
      <c r="T216" s="290">
        <f t="shared" si="115"/>
        <v>4.3959230769230544</v>
      </c>
      <c r="U216" s="290">
        <f t="shared" si="115"/>
        <v>31.716153846153816</v>
      </c>
      <c r="V216" s="290">
        <f t="shared" si="115"/>
        <v>1.5301538461538371</v>
      </c>
      <c r="W216" s="290">
        <f t="shared" si="115"/>
        <v>7.4252820512820108</v>
      </c>
      <c r="X216" s="290">
        <f t="shared" si="115"/>
        <v>-4.982538461538411</v>
      </c>
      <c r="Y216" s="290">
        <f t="shared" si="115"/>
        <v>-0.86893094871800258</v>
      </c>
      <c r="Z216" s="290">
        <f t="shared" si="118"/>
        <v>42.907870948718028</v>
      </c>
      <c r="AA216" s="290">
        <f t="shared" si="116"/>
        <v>-6.4968179230768328</v>
      </c>
      <c r="AB216" s="290">
        <f t="shared" si="116"/>
        <v>-28.517051153846126</v>
      </c>
      <c r="AC216" s="252">
        <f t="shared" si="119"/>
        <v>136.69615384615383</v>
      </c>
      <c r="AD216" s="252">
        <f t="shared" si="117"/>
        <v>-2.0005804614117437</v>
      </c>
      <c r="AE216" s="252">
        <f t="shared" si="117"/>
        <v>21.322070259576691</v>
      </c>
      <c r="AF216" s="240"/>
      <c r="AG216" s="240"/>
    </row>
    <row r="217" spans="1:33">
      <c r="A217" s="240" t="s">
        <v>237</v>
      </c>
      <c r="B217" s="290">
        <f t="shared" si="115"/>
        <v>39.166666666666664</v>
      </c>
      <c r="C217" s="290">
        <f t="shared" si="115"/>
        <v>31.770750169509565</v>
      </c>
      <c r="D217" s="290">
        <f t="shared" si="115"/>
        <v>39.474867288983333</v>
      </c>
      <c r="E217" s="290">
        <f t="shared" si="115"/>
        <v>35.839513408222835</v>
      </c>
      <c r="F217" s="290">
        <f t="shared" si="115"/>
        <v>30.102509839118248</v>
      </c>
      <c r="G217" s="290">
        <f t="shared" si="115"/>
        <v>70.623615384615391</v>
      </c>
      <c r="H217" s="290">
        <f t="shared" si="115"/>
        <v>9.0468461538461611</v>
      </c>
      <c r="I217" s="290">
        <f t="shared" si="115"/>
        <v>26.904743589743589</v>
      </c>
      <c r="J217" s="290">
        <f t="shared" si="115"/>
        <v>41.038461538461533</v>
      </c>
      <c r="K217" s="290">
        <f t="shared" si="115"/>
        <v>31.0026923076923</v>
      </c>
      <c r="L217" s="290">
        <f t="shared" si="115"/>
        <v>38.582666666666654</v>
      </c>
      <c r="M217" s="290">
        <f t="shared" si="115"/>
        <v>45.407256410256409</v>
      </c>
      <c r="N217" s="290">
        <f t="shared" si="115"/>
        <v>53.234205128205119</v>
      </c>
      <c r="O217" s="290">
        <f t="shared" si="115"/>
        <v>33.749666666666656</v>
      </c>
      <c r="P217" s="290">
        <f t="shared" si="115"/>
        <v>41.862897435897438</v>
      </c>
      <c r="Q217" s="290">
        <f t="shared" si="115"/>
        <v>49.846435897435924</v>
      </c>
      <c r="R217" s="290">
        <f t="shared" si="115"/>
        <v>11.657410256410287</v>
      </c>
      <c r="S217" s="290">
        <f t="shared" si="115"/>
        <v>11.671153846153857</v>
      </c>
      <c r="T217" s="290">
        <f t="shared" si="115"/>
        <v>46.089923076923043</v>
      </c>
      <c r="U217" s="290">
        <f t="shared" si="115"/>
        <v>25.01915384615387</v>
      </c>
      <c r="V217" s="290">
        <f t="shared" si="115"/>
        <v>16.014153846153874</v>
      </c>
      <c r="W217" s="290">
        <f t="shared" si="115"/>
        <v>51.414282051281987</v>
      </c>
      <c r="X217" s="290">
        <f t="shared" si="115"/>
        <v>12.980461538461554</v>
      </c>
      <c r="Y217" s="290">
        <f t="shared" si="115"/>
        <v>35.066330051281966</v>
      </c>
      <c r="Z217" s="290">
        <f t="shared" si="118"/>
        <v>11.574605948718045</v>
      </c>
      <c r="AA217" s="290">
        <f t="shared" si="116"/>
        <v>-31.425529923076908</v>
      </c>
      <c r="AB217" s="290">
        <f t="shared" si="116"/>
        <v>65.994541846153879</v>
      </c>
      <c r="AC217" s="252">
        <f t="shared" si="119"/>
        <v>119.80115384615384</v>
      </c>
      <c r="AD217" s="252">
        <f t="shared" si="117"/>
        <v>18.406818477157799</v>
      </c>
      <c r="AE217" s="252">
        <f t="shared" si="117"/>
        <v>33.436380955373096</v>
      </c>
      <c r="AF217" s="240"/>
      <c r="AG217" s="240"/>
    </row>
    <row r="218" spans="1:33">
      <c r="A218" s="240" t="s">
        <v>238</v>
      </c>
      <c r="B218" s="290">
        <f t="shared" si="115"/>
        <v>39.166666666666664</v>
      </c>
      <c r="C218" s="290">
        <f t="shared" si="115"/>
        <v>34.23297788391892</v>
      </c>
      <c r="D218" s="290">
        <f t="shared" si="115"/>
        <v>39.03134451457975</v>
      </c>
      <c r="E218" s="290">
        <f t="shared" si="115"/>
        <v>35.10683528271678</v>
      </c>
      <c r="F218" s="290">
        <f t="shared" si="115"/>
        <v>31.189656098790248</v>
      </c>
      <c r="G218" s="290">
        <f t="shared" si="115"/>
        <v>64.452230769230766</v>
      </c>
      <c r="H218" s="290">
        <f t="shared" si="115"/>
        <v>57.141692307692239</v>
      </c>
      <c r="I218" s="290">
        <f t="shared" si="115"/>
        <v>39.093820512820557</v>
      </c>
      <c r="J218" s="290">
        <f t="shared" si="115"/>
        <v>39.567923076923087</v>
      </c>
      <c r="K218" s="290">
        <f t="shared" si="115"/>
        <v>41.261384615384628</v>
      </c>
      <c r="L218" s="290">
        <f t="shared" si="115"/>
        <v>43.644666666666652</v>
      </c>
      <c r="M218" s="290">
        <f t="shared" si="115"/>
        <v>42.550179487179463</v>
      </c>
      <c r="N218" s="290">
        <f t="shared" si="115"/>
        <v>52.549743589743592</v>
      </c>
      <c r="O218" s="290">
        <f t="shared" si="115"/>
        <v>68.324666666666644</v>
      </c>
      <c r="P218" s="290">
        <f t="shared" si="115"/>
        <v>19.507128205128154</v>
      </c>
      <c r="Q218" s="290">
        <f t="shared" ref="Q218:AM218" si="120">Q314+Q298+Q282-Q266-Q313</f>
        <v>44.067205128205188</v>
      </c>
      <c r="R218" s="290">
        <f t="shared" si="120"/>
        <v>16.866487179487052</v>
      </c>
      <c r="S218" s="290">
        <f t="shared" si="120"/>
        <v>24.118307692307781</v>
      </c>
      <c r="T218" s="290">
        <f t="shared" si="120"/>
        <v>16.136846153846278</v>
      </c>
      <c r="U218" s="290">
        <f t="shared" si="120"/>
        <v>47.592307692307742</v>
      </c>
      <c r="V218" s="290">
        <f t="shared" si="120"/>
        <v>44.119307692307643</v>
      </c>
      <c r="W218" s="290">
        <f t="shared" si="120"/>
        <v>53.425897435897696</v>
      </c>
      <c r="X218" s="290">
        <f t="shared" si="120"/>
        <v>25.926923076923003</v>
      </c>
      <c r="Y218" s="290">
        <f t="shared" si="120"/>
        <v>7.7573934358977112</v>
      </c>
      <c r="Z218" s="290">
        <f t="shared" si="120"/>
        <v>57.740519564102328</v>
      </c>
      <c r="AA218" s="290">
        <f t="shared" si="116"/>
        <v>88.95580315384592</v>
      </c>
      <c r="AB218" s="290">
        <f t="shared" si="116"/>
        <v>135.76479469230748</v>
      </c>
      <c r="AC218" s="252">
        <f t="shared" si="119"/>
        <v>12.757307692307762</v>
      </c>
      <c r="AD218" s="252">
        <f t="shared" si="117"/>
        <v>0.73627170467563019</v>
      </c>
      <c r="AE218" s="252">
        <f t="shared" si="117"/>
        <v>59.117782098346623</v>
      </c>
      <c r="AF218" s="240"/>
      <c r="AG218" s="240"/>
    </row>
    <row r="219" spans="1:33" ht="15.75" thickBot="1">
      <c r="A219" s="240" t="s">
        <v>242</v>
      </c>
      <c r="B219" s="146">
        <f t="shared" ref="B219:AB219" si="121">SUM(B207:B218)</f>
        <v>470.00000000000006</v>
      </c>
      <c r="C219" s="146">
        <f t="shared" si="121"/>
        <v>399.99999999999994</v>
      </c>
      <c r="D219" s="146">
        <f t="shared" si="121"/>
        <v>455</v>
      </c>
      <c r="E219" s="146">
        <f t="shared" si="121"/>
        <v>425.00000000000006</v>
      </c>
      <c r="F219" s="146">
        <f t="shared" si="121"/>
        <v>369.99999999999989</v>
      </c>
      <c r="G219" s="146">
        <f t="shared" si="121"/>
        <v>390.08500000000009</v>
      </c>
      <c r="H219" s="146">
        <f t="shared" si="121"/>
        <v>425.476</v>
      </c>
      <c r="I219" s="146">
        <f t="shared" si="121"/>
        <v>407.82499999999999</v>
      </c>
      <c r="J219" s="146">
        <f t="shared" si="121"/>
        <v>472.81700000000001</v>
      </c>
      <c r="K219" s="146">
        <f t="shared" si="121"/>
        <v>532.63800000000003</v>
      </c>
      <c r="L219" s="146">
        <f t="shared" si="121"/>
        <v>556.24499999999989</v>
      </c>
      <c r="M219" s="146">
        <f t="shared" si="121"/>
        <v>533.5390000000001</v>
      </c>
      <c r="N219" s="146">
        <f t="shared" si="121"/>
        <v>554.40099999999995</v>
      </c>
      <c r="O219" s="146">
        <f t="shared" si="121"/>
        <v>542.25299999999993</v>
      </c>
      <c r="P219" s="146">
        <f t="shared" si="121"/>
        <v>497.57499999999987</v>
      </c>
      <c r="Q219" s="146">
        <f t="shared" si="121"/>
        <v>379.04100000000017</v>
      </c>
      <c r="R219" s="146">
        <f t="shared" si="121"/>
        <v>321.22399999999993</v>
      </c>
      <c r="S219" s="146">
        <f t="shared" si="121"/>
        <v>198.97300000000004</v>
      </c>
      <c r="T219" s="146">
        <f t="shared" si="121"/>
        <v>195.3120000000001</v>
      </c>
      <c r="U219" s="146">
        <f t="shared" si="121"/>
        <v>193.53299999999996</v>
      </c>
      <c r="V219" s="146">
        <f t="shared" si="121"/>
        <v>179.08700000000007</v>
      </c>
      <c r="W219" s="146">
        <f t="shared" si="121"/>
        <v>120.81899999999945</v>
      </c>
      <c r="X219" s="146">
        <f t="shared" si="121"/>
        <v>104.61300000000011</v>
      </c>
      <c r="Y219" s="146">
        <f t="shared" si="121"/>
        <v>104.28936199999947</v>
      </c>
      <c r="Z219" s="146">
        <f t="shared" si="121"/>
        <v>91.901584000000298</v>
      </c>
      <c r="AA219" s="146">
        <f t="shared" si="121"/>
        <v>58.666896999999892</v>
      </c>
      <c r="AB219" s="146">
        <f t="shared" si="121"/>
        <v>44.788975999999991</v>
      </c>
      <c r="AC219" s="253">
        <f>AC33</f>
        <v>61.999999999999993</v>
      </c>
      <c r="AD219" s="253">
        <f t="shared" ref="AD219:AE219" si="122">AD33</f>
        <v>62.738095238095241</v>
      </c>
      <c r="AE219" s="253">
        <f t="shared" si="122"/>
        <v>65.883349177905203</v>
      </c>
      <c r="AF219" s="240"/>
      <c r="AG219" s="240"/>
    </row>
    <row r="220" spans="1:33">
      <c r="A220" s="248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</row>
    <row r="221" spans="1:33" ht="15.75" thickBot="1">
      <c r="A221" s="235" t="s">
        <v>263</v>
      </c>
    </row>
    <row r="222" spans="1:33" ht="15.75" thickBot="1">
      <c r="A222" s="236"/>
      <c r="B222" s="237" t="str">
        <f>B$2</f>
        <v xml:space="preserve">93/94 </v>
      </c>
      <c r="C222" s="237" t="str">
        <f t="shared" ref="C222:AE222" si="123">C$2</f>
        <v xml:space="preserve">94/95 </v>
      </c>
      <c r="D222" s="237" t="str">
        <f t="shared" si="123"/>
        <v xml:space="preserve">95/96 </v>
      </c>
      <c r="E222" s="237" t="str">
        <f t="shared" si="123"/>
        <v xml:space="preserve">96/97 </v>
      </c>
      <c r="F222" s="237" t="str">
        <f t="shared" si="123"/>
        <v xml:space="preserve">97/98 </v>
      </c>
      <c r="G222" s="237" t="str">
        <f t="shared" si="123"/>
        <v xml:space="preserve">98/99 </v>
      </c>
      <c r="H222" s="237" t="str">
        <f t="shared" si="123"/>
        <v xml:space="preserve">99/00 </v>
      </c>
      <c r="I222" s="237" t="str">
        <f t="shared" si="123"/>
        <v xml:space="preserve">00/01 </v>
      </c>
      <c r="J222" s="237" t="str">
        <f t="shared" si="123"/>
        <v xml:space="preserve">01/02 </v>
      </c>
      <c r="K222" s="237" t="str">
        <f t="shared" si="123"/>
        <v xml:space="preserve">02/03 </v>
      </c>
      <c r="L222" s="237" t="str">
        <f t="shared" si="123"/>
        <v xml:space="preserve">03/04 </v>
      </c>
      <c r="M222" s="237" t="str">
        <f t="shared" si="123"/>
        <v xml:space="preserve">04/05 </v>
      </c>
      <c r="N222" s="237" t="str">
        <f t="shared" si="123"/>
        <v xml:space="preserve">05/06 </v>
      </c>
      <c r="O222" s="237" t="str">
        <f t="shared" si="123"/>
        <v xml:space="preserve">06/07 </v>
      </c>
      <c r="P222" s="237" t="str">
        <f t="shared" si="123"/>
        <v xml:space="preserve">07/08 </v>
      </c>
      <c r="Q222" s="237" t="str">
        <f t="shared" si="123"/>
        <v xml:space="preserve">08/09 </v>
      </c>
      <c r="R222" s="237" t="str">
        <f t="shared" si="123"/>
        <v xml:space="preserve">09/10 </v>
      </c>
      <c r="S222" s="237" t="str">
        <f t="shared" si="123"/>
        <v xml:space="preserve">10/11 </v>
      </c>
      <c r="T222" s="237" t="str">
        <f t="shared" si="123"/>
        <v xml:space="preserve">11/12 </v>
      </c>
      <c r="U222" s="237" t="str">
        <f t="shared" si="123"/>
        <v xml:space="preserve">12/13 </v>
      </c>
      <c r="V222" s="237" t="str">
        <f t="shared" si="123"/>
        <v xml:space="preserve">13/14 </v>
      </c>
      <c r="W222" s="237" t="str">
        <f t="shared" si="123"/>
        <v xml:space="preserve">14/15 </v>
      </c>
      <c r="X222" s="237" t="str">
        <f t="shared" si="123"/>
        <v xml:space="preserve">15/16 </v>
      </c>
      <c r="Y222" s="237" t="str">
        <f t="shared" si="123"/>
        <v xml:space="preserve">16/17 </v>
      </c>
      <c r="Z222" s="237" t="str">
        <f t="shared" si="123"/>
        <v xml:space="preserve">17/18 </v>
      </c>
      <c r="AA222" s="237" t="str">
        <f t="shared" si="123"/>
        <v xml:space="preserve">18/19 </v>
      </c>
      <c r="AB222" s="237" t="str">
        <f t="shared" si="123"/>
        <v xml:space="preserve">19/20 </v>
      </c>
      <c r="AC222" s="237" t="str">
        <f t="shared" si="123"/>
        <v xml:space="preserve">20/21 </v>
      </c>
      <c r="AD222" s="237" t="str">
        <f t="shared" si="123"/>
        <v xml:space="preserve">21/22 </v>
      </c>
      <c r="AE222" s="237" t="str">
        <f t="shared" si="123"/>
        <v xml:space="preserve">22/23 </v>
      </c>
    </row>
    <row r="223" spans="1:33">
      <c r="A223" s="240" t="s">
        <v>239</v>
      </c>
      <c r="B223" s="298">
        <f t="shared" ref="B223:AE231" si="124">B207/B81</f>
        <v>0.35877862595419846</v>
      </c>
      <c r="C223" s="298">
        <f t="shared" si="124"/>
        <v>0.35988126942190463</v>
      </c>
      <c r="D223" s="298">
        <f t="shared" si="124"/>
        <v>0.34992805720290798</v>
      </c>
      <c r="E223" s="298">
        <f t="shared" si="124"/>
        <v>0.34451560591947394</v>
      </c>
      <c r="F223" s="298">
        <f t="shared" si="124"/>
        <v>0.35741530605141986</v>
      </c>
      <c r="G223" s="298">
        <f t="shared" si="124"/>
        <v>0.76966363857358422</v>
      </c>
      <c r="H223" s="298">
        <f t="shared" si="124"/>
        <v>0.20502128042053866</v>
      </c>
      <c r="I223" s="298">
        <f t="shared" si="124"/>
        <v>0.20388688391365514</v>
      </c>
      <c r="J223" s="298">
        <f t="shared" si="124"/>
        <v>0.32608335084659051</v>
      </c>
      <c r="K223" s="298">
        <f t="shared" si="124"/>
        <v>0.35460322973516989</v>
      </c>
      <c r="L223" s="298">
        <f t="shared" si="124"/>
        <v>0.34466524646664831</v>
      </c>
      <c r="M223" s="298">
        <f t="shared" si="124"/>
        <v>0.35702063779925031</v>
      </c>
      <c r="N223" s="298">
        <f t="shared" si="124"/>
        <v>0.41059449848917923</v>
      </c>
      <c r="O223" s="298">
        <f t="shared" si="124"/>
        <v>0.3723960159108583</v>
      </c>
      <c r="P223" s="298">
        <f t="shared" si="124"/>
        <v>0.37416930145371646</v>
      </c>
      <c r="Q223" s="298">
        <f t="shared" si="124"/>
        <v>0.34155562476313284</v>
      </c>
      <c r="R223" s="298">
        <f t="shared" si="124"/>
        <v>0.33522300045299136</v>
      </c>
      <c r="S223" s="298">
        <f t="shared" si="124"/>
        <v>0.60337405616636086</v>
      </c>
      <c r="T223" s="298">
        <f t="shared" si="124"/>
        <v>0.7254315163202707</v>
      </c>
      <c r="U223" s="298">
        <f t="shared" si="124"/>
        <v>0.1169776610146092</v>
      </c>
      <c r="V223" s="298">
        <f t="shared" si="124"/>
        <v>1.0358441205557547</v>
      </c>
      <c r="W223" s="298">
        <f t="shared" si="124"/>
        <v>-0.18178140788781375</v>
      </c>
      <c r="X223" s="298">
        <f t="shared" si="124"/>
        <v>-0.27411344381342512</v>
      </c>
      <c r="Y223" s="298">
        <f t="shared" si="124"/>
        <v>1.0557798281041348</v>
      </c>
      <c r="Z223" s="298">
        <f t="shared" si="124"/>
        <v>3.328594273589772</v>
      </c>
      <c r="AA223" s="298">
        <f t="shared" si="124"/>
        <v>0.58228130541859036</v>
      </c>
      <c r="AB223" s="298">
        <f t="shared" si="124"/>
        <v>-0.41038140221485447</v>
      </c>
      <c r="AC223" s="298">
        <f t="shared" si="124"/>
        <v>-0.73794542260457052</v>
      </c>
      <c r="AD223" s="298">
        <f t="shared" si="124"/>
        <v>33.337533044708792</v>
      </c>
      <c r="AE223" s="298">
        <f t="shared" si="124"/>
        <v>5.146507402118397</v>
      </c>
      <c r="AF223" s="240"/>
      <c r="AG223" s="240"/>
    </row>
    <row r="224" spans="1:33">
      <c r="A224" s="240" t="s">
        <v>240</v>
      </c>
      <c r="B224" s="298">
        <f t="shared" si="124"/>
        <v>0.35877862595419846</v>
      </c>
      <c r="C224" s="298">
        <f t="shared" si="124"/>
        <v>0.3568623016497412</v>
      </c>
      <c r="D224" s="298">
        <f t="shared" si="124"/>
        <v>0.37218076948550877</v>
      </c>
      <c r="E224" s="298">
        <f t="shared" si="124"/>
        <v>0.40405047407915917</v>
      </c>
      <c r="F224" s="298">
        <f t="shared" si="124"/>
        <v>0.37196708576997511</v>
      </c>
      <c r="G224" s="298">
        <f t="shared" si="124"/>
        <v>-2.7048280791226098</v>
      </c>
      <c r="H224" s="298">
        <f t="shared" si="124"/>
        <v>0.20932267569263555</v>
      </c>
      <c r="I224" s="298">
        <f t="shared" si="124"/>
        <v>0.36010713592421856</v>
      </c>
      <c r="J224" s="298">
        <f t="shared" si="124"/>
        <v>0.29577678762208631</v>
      </c>
      <c r="K224" s="298">
        <f t="shared" si="124"/>
        <v>0.37727256810340387</v>
      </c>
      <c r="L224" s="298">
        <f t="shared" si="124"/>
        <v>0.34799970516571349</v>
      </c>
      <c r="M224" s="298">
        <f t="shared" si="124"/>
        <v>0.35191506109541487</v>
      </c>
      <c r="N224" s="298">
        <f t="shared" si="124"/>
        <v>0.31791826901709563</v>
      </c>
      <c r="O224" s="298">
        <f t="shared" si="124"/>
        <v>0.43481823404683956</v>
      </c>
      <c r="P224" s="298">
        <f t="shared" si="124"/>
        <v>0.36484036140016585</v>
      </c>
      <c r="Q224" s="298">
        <f t="shared" si="124"/>
        <v>0.5743064319271538</v>
      </c>
      <c r="R224" s="298">
        <f t="shared" si="124"/>
        <v>0.3343774237810489</v>
      </c>
      <c r="S224" s="298">
        <f t="shared" si="124"/>
        <v>0.34295216157711955</v>
      </c>
      <c r="T224" s="298">
        <f t="shared" si="124"/>
        <v>0.29326566369312262</v>
      </c>
      <c r="U224" s="298">
        <f t="shared" si="124"/>
        <v>0.38511253437764642</v>
      </c>
      <c r="V224" s="298">
        <f t="shared" si="124"/>
        <v>0.11075087411375015</v>
      </c>
      <c r="W224" s="298">
        <f t="shared" si="124"/>
        <v>-5.8267309286249525</v>
      </c>
      <c r="X224" s="298">
        <f t="shared" si="124"/>
        <v>-0.64826244821625623</v>
      </c>
      <c r="Y224" s="298">
        <f t="shared" si="124"/>
        <v>5.9511803531196641</v>
      </c>
      <c r="Z224" s="298">
        <f t="shared" si="124"/>
        <v>-0.14188135634259821</v>
      </c>
      <c r="AA224" s="298">
        <f t="shared" si="124"/>
        <v>1.1415330973477102</v>
      </c>
      <c r="AB224" s="298">
        <f t="shared" si="124"/>
        <v>-0.62822306951245954</v>
      </c>
      <c r="AC224" s="298">
        <f t="shared" si="124"/>
        <v>0.48144846708348171</v>
      </c>
      <c r="AD224" s="298">
        <f t="shared" si="124"/>
        <v>9.1740364257281239</v>
      </c>
      <c r="AE224" s="298">
        <f t="shared" si="124"/>
        <v>0.41660416375003717</v>
      </c>
      <c r="AF224" s="240"/>
      <c r="AG224" s="240"/>
    </row>
    <row r="225" spans="1:33">
      <c r="A225" s="240" t="s">
        <v>241</v>
      </c>
      <c r="B225" s="298">
        <f t="shared" si="124"/>
        <v>0.35877862595419846</v>
      </c>
      <c r="C225" s="298">
        <f t="shared" si="124"/>
        <v>0.42005039099936309</v>
      </c>
      <c r="D225" s="298">
        <f t="shared" si="124"/>
        <v>0.42052232950615542</v>
      </c>
      <c r="E225" s="298">
        <f t="shared" si="124"/>
        <v>0.9916133202341586</v>
      </c>
      <c r="F225" s="298">
        <f t="shared" si="124"/>
        <v>0.46593269123730247</v>
      </c>
      <c r="G225" s="298">
        <f t="shared" si="124"/>
        <v>2.4147761461797406E-2</v>
      </c>
      <c r="H225" s="298">
        <f t="shared" si="124"/>
        <v>0.37636534478621991</v>
      </c>
      <c r="I225" s="298">
        <f t="shared" si="124"/>
        <v>0.77219676297083051</v>
      </c>
      <c r="J225" s="298">
        <f t="shared" si="124"/>
        <v>0.36089630839655579</v>
      </c>
      <c r="K225" s="298">
        <f t="shared" si="124"/>
        <v>0.35479417528585122</v>
      </c>
      <c r="L225" s="298">
        <f t="shared" si="124"/>
        <v>0.43639956027894244</v>
      </c>
      <c r="M225" s="298">
        <f t="shared" si="124"/>
        <v>0.35983547830608903</v>
      </c>
      <c r="N225" s="298">
        <f t="shared" si="124"/>
        <v>0.83628500189216948</v>
      </c>
      <c r="O225" s="298">
        <f t="shared" si="124"/>
        <v>0.32326187905312087</v>
      </c>
      <c r="P225" s="298">
        <f t="shared" si="124"/>
        <v>0.36019654576598731</v>
      </c>
      <c r="Q225" s="298">
        <f t="shared" si="124"/>
        <v>-2.9088754172181321</v>
      </c>
      <c r="R225" s="298">
        <f t="shared" si="124"/>
        <v>1.0129110231881777</v>
      </c>
      <c r="S225" s="298">
        <f t="shared" si="124"/>
        <v>-0.35898055716428884</v>
      </c>
      <c r="T225" s="298">
        <f t="shared" si="124"/>
        <v>0.59530972868963827</v>
      </c>
      <c r="U225" s="298">
        <f t="shared" si="124"/>
        <v>-0.27332042739593199</v>
      </c>
      <c r="V225" s="298">
        <f t="shared" si="124"/>
        <v>-2.211379443287846</v>
      </c>
      <c r="W225" s="298">
        <f t="shared" si="124"/>
        <v>-4.3032721596325936E-2</v>
      </c>
      <c r="X225" s="298">
        <f t="shared" si="124"/>
        <v>0.36626390779591206</v>
      </c>
      <c r="Y225" s="298">
        <f t="shared" si="124"/>
        <v>4.3288644599290875E-2</v>
      </c>
      <c r="Z225" s="298">
        <f t="shared" si="124"/>
        <v>-0.24598809605736247</v>
      </c>
      <c r="AA225" s="298">
        <f t="shared" si="124"/>
        <v>-9.9578051608242013E-2</v>
      </c>
      <c r="AB225" s="298">
        <f t="shared" si="124"/>
        <v>-8.85061867358376E-2</v>
      </c>
      <c r="AC225" s="298">
        <f t="shared" si="124"/>
        <v>0.82284736205268216</v>
      </c>
      <c r="AD225" s="298">
        <f t="shared" si="124"/>
        <v>4.1579205671907324</v>
      </c>
      <c r="AE225" s="298">
        <f t="shared" si="124"/>
        <v>0.53276818196280118</v>
      </c>
      <c r="AF225" s="240"/>
      <c r="AG225" s="240"/>
    </row>
    <row r="226" spans="1:33">
      <c r="A226" s="240" t="s">
        <v>231</v>
      </c>
      <c r="B226" s="298">
        <f t="shared" si="124"/>
        <v>0.35877862595419846</v>
      </c>
      <c r="C226" s="298">
        <f t="shared" si="124"/>
        <v>0.36164764000246025</v>
      </c>
      <c r="D226" s="298">
        <f t="shared" si="124"/>
        <v>0.34542885900506021</v>
      </c>
      <c r="E226" s="298">
        <f t="shared" si="124"/>
        <v>0.26720125611518508</v>
      </c>
      <c r="F226" s="298">
        <f t="shared" si="124"/>
        <v>0.30703731115758087</v>
      </c>
      <c r="G226" s="298">
        <f t="shared" si="124"/>
        <v>0.28186356000819679</v>
      </c>
      <c r="H226" s="298">
        <f t="shared" si="124"/>
        <v>0.60762477233810563</v>
      </c>
      <c r="I226" s="298">
        <f t="shared" si="124"/>
        <v>0.22355714737932028</v>
      </c>
      <c r="J226" s="298">
        <f t="shared" si="124"/>
        <v>0.3458061579343088</v>
      </c>
      <c r="K226" s="298">
        <f t="shared" si="124"/>
        <v>0.35665791784042938</v>
      </c>
      <c r="L226" s="298">
        <f t="shared" si="124"/>
        <v>0.34457656619845028</v>
      </c>
      <c r="M226" s="298">
        <f t="shared" si="124"/>
        <v>0.37215239252462839</v>
      </c>
      <c r="N226" s="298">
        <f t="shared" si="124"/>
        <v>0.1996775569976606</v>
      </c>
      <c r="O226" s="298">
        <f t="shared" si="124"/>
        <v>0.62425964764386987</v>
      </c>
      <c r="P226" s="298">
        <f t="shared" si="124"/>
        <v>0.36382630792698389</v>
      </c>
      <c r="Q226" s="298">
        <f t="shared" si="124"/>
        <v>-0.57592447846842953</v>
      </c>
      <c r="R226" s="298">
        <f t="shared" si="124"/>
        <v>0.21724629150230895</v>
      </c>
      <c r="S226" s="298">
        <f t="shared" si="124"/>
        <v>-0.30218055362335217</v>
      </c>
      <c r="T226" s="298">
        <f t="shared" si="124"/>
        <v>0.20245787463243173</v>
      </c>
      <c r="U226" s="298">
        <f t="shared" si="124"/>
        <v>-1.0410332216766935</v>
      </c>
      <c r="V226" s="298">
        <f t="shared" si="124"/>
        <v>-4.1811240321377105E-2</v>
      </c>
      <c r="W226" s="298">
        <f t="shared" si="124"/>
        <v>-0.22526363809801592</v>
      </c>
      <c r="X226" s="298">
        <f t="shared" si="124"/>
        <v>0.42734517189985449</v>
      </c>
      <c r="Y226" s="298">
        <f t="shared" si="124"/>
        <v>-0.2686961177397123</v>
      </c>
      <c r="Z226" s="298">
        <f t="shared" si="124"/>
        <v>-33.222949916769217</v>
      </c>
      <c r="AA226" s="298">
        <f t="shared" si="124"/>
        <v>-0.46083902313105252</v>
      </c>
      <c r="AB226" s="298">
        <f t="shared" si="124"/>
        <v>1.3726992482891311</v>
      </c>
      <c r="AC226" s="298">
        <f t="shared" si="124"/>
        <v>-3.1005205373527973E-2</v>
      </c>
      <c r="AD226" s="298">
        <f t="shared" si="124"/>
        <v>-26.839694297697054</v>
      </c>
      <c r="AE226" s="298">
        <f t="shared" si="124"/>
        <v>-0.49963517066061197</v>
      </c>
      <c r="AF226" s="240"/>
      <c r="AG226" s="240"/>
    </row>
    <row r="227" spans="1:33">
      <c r="A227" s="240" t="s">
        <v>232</v>
      </c>
      <c r="B227" s="298">
        <f t="shared" si="124"/>
        <v>0.35877862595419846</v>
      </c>
      <c r="C227" s="298">
        <f t="shared" si="124"/>
        <v>0.34152472941259615</v>
      </c>
      <c r="D227" s="298">
        <f t="shared" si="124"/>
        <v>0.3277445647997595</v>
      </c>
      <c r="E227" s="298">
        <f t="shared" si="124"/>
        <v>0.30370963593225347</v>
      </c>
      <c r="F227" s="298">
        <f t="shared" si="124"/>
        <v>0.35265752991310617</v>
      </c>
      <c r="G227" s="298">
        <f t="shared" si="124"/>
        <v>0.31478844431156183</v>
      </c>
      <c r="H227" s="298">
        <f t="shared" si="124"/>
        <v>0.44237594559497356</v>
      </c>
      <c r="I227" s="298">
        <f t="shared" si="124"/>
        <v>0.11116772564264116</v>
      </c>
      <c r="J227" s="298">
        <f t="shared" si="124"/>
        <v>0.35470833844916033</v>
      </c>
      <c r="K227" s="298">
        <f t="shared" si="124"/>
        <v>0.75058543684054424</v>
      </c>
      <c r="L227" s="298">
        <f t="shared" si="124"/>
        <v>0.41522757040046554</v>
      </c>
      <c r="M227" s="298">
        <f t="shared" si="124"/>
        <v>0.3526999972750775</v>
      </c>
      <c r="N227" s="298">
        <f t="shared" si="124"/>
        <v>0.29549070278565992</v>
      </c>
      <c r="O227" s="298">
        <f t="shared" si="124"/>
        <v>0.3078162830200028</v>
      </c>
      <c r="P227" s="298">
        <f t="shared" si="124"/>
        <v>0.36295985970902278</v>
      </c>
      <c r="Q227" s="298">
        <f t="shared" si="124"/>
        <v>8.2775373504106575E-2</v>
      </c>
      <c r="R227" s="298">
        <f t="shared" si="124"/>
        <v>0.62758456043500344</v>
      </c>
      <c r="S227" s="298">
        <f t="shared" si="124"/>
        <v>0.41680685185911087</v>
      </c>
      <c r="T227" s="298">
        <f t="shared" si="124"/>
        <v>3.5243564283850835</v>
      </c>
      <c r="U227" s="298">
        <f t="shared" si="124"/>
        <v>-0.98302212168949721</v>
      </c>
      <c r="V227" s="298">
        <f t="shared" si="124"/>
        <v>0.57985290429568603</v>
      </c>
      <c r="W227" s="298">
        <f t="shared" si="124"/>
        <v>-2.7585665689509065</v>
      </c>
      <c r="X227" s="298">
        <f t="shared" si="124"/>
        <v>-0.22020963028572785</v>
      </c>
      <c r="Y227" s="298">
        <f t="shared" si="124"/>
        <v>0.23706806749705678</v>
      </c>
      <c r="Z227" s="298">
        <f t="shared" si="124"/>
        <v>-2.063114783045205E-2</v>
      </c>
      <c r="AA227" s="298">
        <f t="shared" si="124"/>
        <v>-9.0633636173651819E-2</v>
      </c>
      <c r="AB227" s="298">
        <f t="shared" si="124"/>
        <v>0.11810305066987607</v>
      </c>
      <c r="AC227" s="298">
        <f t="shared" si="124"/>
        <v>0.66144784464089312</v>
      </c>
      <c r="AD227" s="298">
        <f t="shared" si="124"/>
        <v>-0.57600668283075707</v>
      </c>
      <c r="AE227" s="298">
        <f t="shared" si="124"/>
        <v>-0.10800376984509945</v>
      </c>
      <c r="AF227" s="240"/>
      <c r="AG227" s="240"/>
    </row>
    <row r="228" spans="1:33">
      <c r="A228" s="240" t="s">
        <v>233</v>
      </c>
      <c r="B228" s="298">
        <f t="shared" si="124"/>
        <v>0.35877862595419846</v>
      </c>
      <c r="C228" s="298">
        <f t="shared" si="124"/>
        <v>0.28874089230789413</v>
      </c>
      <c r="D228" s="298">
        <f t="shared" si="124"/>
        <v>0.32926414425570111</v>
      </c>
      <c r="E228" s="298">
        <f t="shared" si="124"/>
        <v>0.27143049529536206</v>
      </c>
      <c r="F228" s="298">
        <f t="shared" si="124"/>
        <v>0.36214029257403441</v>
      </c>
      <c r="G228" s="298">
        <f t="shared" si="124"/>
        <v>0.78911532633343706</v>
      </c>
      <c r="H228" s="298">
        <f t="shared" si="124"/>
        <v>0.27433345851919033</v>
      </c>
      <c r="I228" s="298">
        <f t="shared" si="124"/>
        <v>0.33566394246547399</v>
      </c>
      <c r="J228" s="298">
        <f t="shared" si="124"/>
        <v>0.35444063074375459</v>
      </c>
      <c r="K228" s="298">
        <f t="shared" si="124"/>
        <v>0.15663753472790296</v>
      </c>
      <c r="L228" s="298">
        <f t="shared" si="124"/>
        <v>0.23415768656336125</v>
      </c>
      <c r="M228" s="298">
        <f t="shared" si="124"/>
        <v>0.35268978331143508</v>
      </c>
      <c r="N228" s="298">
        <f t="shared" si="124"/>
        <v>0.36626472611401018</v>
      </c>
      <c r="O228" s="298">
        <f t="shared" si="124"/>
        <v>0.2007709991260245</v>
      </c>
      <c r="P228" s="298">
        <f t="shared" si="124"/>
        <v>0.36131508677439078</v>
      </c>
      <c r="Q228" s="298">
        <f t="shared" si="124"/>
        <v>0.36102510260742926</v>
      </c>
      <c r="R228" s="298">
        <f t="shared" si="124"/>
        <v>0.33850943071078315</v>
      </c>
      <c r="S228" s="298">
        <f t="shared" si="124"/>
        <v>-0.91545888279819465</v>
      </c>
      <c r="T228" s="298">
        <f t="shared" si="124"/>
        <v>-4.6586379063302819E-2</v>
      </c>
      <c r="U228" s="298">
        <f t="shared" si="124"/>
        <v>-0.15714211288063196</v>
      </c>
      <c r="V228" s="298">
        <f t="shared" si="124"/>
        <v>2.0418210139201931</v>
      </c>
      <c r="W228" s="298">
        <f t="shared" si="124"/>
        <v>1.1393976535901238</v>
      </c>
      <c r="X228" s="298">
        <f t="shared" si="124"/>
        <v>-0.25472512090135802</v>
      </c>
      <c r="Y228" s="298">
        <f t="shared" si="124"/>
        <v>0.27499422804142015</v>
      </c>
      <c r="Z228" s="298">
        <f t="shared" si="124"/>
        <v>-4.9995478964157521E-2</v>
      </c>
      <c r="AA228" s="298">
        <f t="shared" si="124"/>
        <v>0.96696936132016409</v>
      </c>
      <c r="AB228" s="298">
        <f t="shared" si="124"/>
        <v>1.3723638128216955</v>
      </c>
      <c r="AC228" s="298">
        <f t="shared" si="124"/>
        <v>0.51544961634939179</v>
      </c>
      <c r="AD228" s="298">
        <f t="shared" si="124"/>
        <v>0.3150910268417112</v>
      </c>
      <c r="AE228" s="298">
        <f t="shared" si="124"/>
        <v>0.58200317180642347</v>
      </c>
      <c r="AF228" s="240"/>
      <c r="AG228" s="240"/>
    </row>
    <row r="229" spans="1:33">
      <c r="A229" s="240" t="s">
        <v>234</v>
      </c>
      <c r="B229" s="298">
        <f t="shared" si="124"/>
        <v>0.35877862595419846</v>
      </c>
      <c r="C229" s="298">
        <f t="shared" si="124"/>
        <v>0.3529885034463206</v>
      </c>
      <c r="D229" s="298">
        <f t="shared" si="124"/>
        <v>0.33671095292476194</v>
      </c>
      <c r="E229" s="298">
        <f t="shared" si="124"/>
        <v>0.31658938732376424</v>
      </c>
      <c r="F229" s="298">
        <f t="shared" si="124"/>
        <v>0.32263062865374553</v>
      </c>
      <c r="G229" s="298">
        <f t="shared" si="124"/>
        <v>0.21431113308856425</v>
      </c>
      <c r="H229" s="298">
        <f t="shared" si="124"/>
        <v>1.0151218646002507</v>
      </c>
      <c r="I229" s="298">
        <f t="shared" si="124"/>
        <v>0.3812710847229584</v>
      </c>
      <c r="J229" s="298">
        <f t="shared" si="124"/>
        <v>0.35469971007376871</v>
      </c>
      <c r="K229" s="298">
        <f t="shared" si="124"/>
        <v>0.36783477746061954</v>
      </c>
      <c r="L229" s="298">
        <f t="shared" si="124"/>
        <v>0.36166775859087263</v>
      </c>
      <c r="M229" s="298">
        <f t="shared" si="124"/>
        <v>0.3614845434522041</v>
      </c>
      <c r="N229" s="298">
        <f t="shared" si="124"/>
        <v>0.33149899026451751</v>
      </c>
      <c r="O229" s="298">
        <f t="shared" si="124"/>
        <v>0.36558284353547377</v>
      </c>
      <c r="P229" s="298">
        <f t="shared" si="124"/>
        <v>0.38775451790394</v>
      </c>
      <c r="Q229" s="298">
        <f t="shared" si="124"/>
        <v>0.18837952320097964</v>
      </c>
      <c r="R229" s="298">
        <f t="shared" si="124"/>
        <v>0.48974054705713405</v>
      </c>
      <c r="S229" s="298">
        <f t="shared" si="124"/>
        <v>-0.15847990240917056</v>
      </c>
      <c r="T229" s="298">
        <f t="shared" si="124"/>
        <v>0.36012658473654036</v>
      </c>
      <c r="U229" s="298">
        <f t="shared" si="124"/>
        <v>0.11873559604022887</v>
      </c>
      <c r="V229" s="298">
        <f t="shared" si="124"/>
        <v>-3.4877768973633004E-2</v>
      </c>
      <c r="W229" s="298">
        <f t="shared" si="124"/>
        <v>0.27394645015525576</v>
      </c>
      <c r="X229" s="298">
        <f t="shared" si="124"/>
        <v>-1.6122737382798606</v>
      </c>
      <c r="Y229" s="298">
        <f t="shared" si="124"/>
        <v>-1.3023208952839997</v>
      </c>
      <c r="Z229" s="298">
        <f t="shared" si="124"/>
        <v>0.41321727070901987</v>
      </c>
      <c r="AA229" s="298">
        <f t="shared" si="124"/>
        <v>-0.28116315987941692</v>
      </c>
      <c r="AB229" s="298">
        <f t="shared" si="124"/>
        <v>-0.14930661673449441</v>
      </c>
      <c r="AC229" s="298">
        <f t="shared" si="124"/>
        <v>-25.826429367818349</v>
      </c>
      <c r="AD229" s="298">
        <f t="shared" si="124"/>
        <v>-1.8803618473928769</v>
      </c>
      <c r="AE229" s="298">
        <f t="shared" si="124"/>
        <v>-1.5840957383451351</v>
      </c>
      <c r="AF229" s="240"/>
      <c r="AG229" s="240"/>
    </row>
    <row r="230" spans="1:33">
      <c r="A230" s="240" t="s">
        <v>46</v>
      </c>
      <c r="B230" s="298">
        <f t="shared" si="124"/>
        <v>0.35877862595419846</v>
      </c>
      <c r="C230" s="298">
        <f t="shared" si="124"/>
        <v>0.42372958348435008</v>
      </c>
      <c r="D230" s="298">
        <f t="shared" si="124"/>
        <v>0.41779480305981553</v>
      </c>
      <c r="E230" s="298">
        <f t="shared" si="124"/>
        <v>0.51922913756255273</v>
      </c>
      <c r="F230" s="298">
        <f t="shared" si="124"/>
        <v>0.36588030748828243</v>
      </c>
      <c r="G230" s="298">
        <f t="shared" si="124"/>
        <v>0.52609711153919114</v>
      </c>
      <c r="H230" s="298">
        <f t="shared" si="124"/>
        <v>9.2610554379542534E-2</v>
      </c>
      <c r="I230" s="298">
        <f t="shared" si="124"/>
        <v>0.35003288404735483</v>
      </c>
      <c r="J230" s="298">
        <f t="shared" si="124"/>
        <v>0.35503678377591813</v>
      </c>
      <c r="K230" s="298">
        <f t="shared" si="124"/>
        <v>0.34831893248942525</v>
      </c>
      <c r="L230" s="298">
        <f t="shared" si="124"/>
        <v>0.36075099203188438</v>
      </c>
      <c r="M230" s="298">
        <f t="shared" si="124"/>
        <v>0.36130985465676763</v>
      </c>
      <c r="N230" s="298">
        <f t="shared" si="124"/>
        <v>0.403742815496614</v>
      </c>
      <c r="O230" s="298">
        <f t="shared" si="124"/>
        <v>0.85277158523388219</v>
      </c>
      <c r="P230" s="298">
        <f t="shared" si="124"/>
        <v>0.3361751701654116</v>
      </c>
      <c r="Q230" s="298">
        <f t="shared" si="124"/>
        <v>-2.0431224580461103</v>
      </c>
      <c r="R230" s="298">
        <f t="shared" si="124"/>
        <v>0.10975719383484112</v>
      </c>
      <c r="S230" s="298">
        <f t="shared" si="124"/>
        <v>0.22683919695694174</v>
      </c>
      <c r="T230" s="298">
        <f t="shared" si="124"/>
        <v>-4.0414718465530655</v>
      </c>
      <c r="U230" s="298">
        <f t="shared" si="124"/>
        <v>-0.64772890032025232</v>
      </c>
      <c r="V230" s="298">
        <f t="shared" si="124"/>
        <v>4.4770266565487544</v>
      </c>
      <c r="W230" s="298">
        <f t="shared" si="124"/>
        <v>-4.7944751474949913E-2</v>
      </c>
      <c r="X230" s="298">
        <f t="shared" si="124"/>
        <v>-0.65003141907723372</v>
      </c>
      <c r="Y230" s="298">
        <f t="shared" si="124"/>
        <v>0.26774352687225206</v>
      </c>
      <c r="Z230" s="298">
        <f t="shared" si="124"/>
        <v>1.1242918701140041</v>
      </c>
      <c r="AA230" s="298">
        <f t="shared" si="124"/>
        <v>0.66425157163144455</v>
      </c>
      <c r="AB230" s="298">
        <f t="shared" si="124"/>
        <v>-0.90104444457918476</v>
      </c>
      <c r="AC230" s="298">
        <f t="shared" si="124"/>
        <v>2.0188813789884681</v>
      </c>
      <c r="AD230" s="298">
        <f t="shared" si="124"/>
        <v>0.66692222252407884</v>
      </c>
      <c r="AE230" s="298">
        <f t="shared" si="124"/>
        <v>1.0179754929278502</v>
      </c>
      <c r="AF230" s="240"/>
      <c r="AG230" s="240"/>
    </row>
    <row r="231" spans="1:33">
      <c r="A231" s="240" t="s">
        <v>235</v>
      </c>
      <c r="B231" s="298">
        <f t="shared" si="124"/>
        <v>0.35877862595419846</v>
      </c>
      <c r="C231" s="298">
        <f t="shared" si="124"/>
        <v>0.30851209295887111</v>
      </c>
      <c r="D231" s="298">
        <f t="shared" si="124"/>
        <v>0.28041496152572731</v>
      </c>
      <c r="E231" s="298">
        <f t="shared" si="124"/>
        <v>0.19769654305258366</v>
      </c>
      <c r="F231" s="298">
        <f t="shared" si="124"/>
        <v>0.35408164392102109</v>
      </c>
      <c r="G231" s="298">
        <f t="shared" si="124"/>
        <v>0.50848040797400729</v>
      </c>
      <c r="H231" s="298">
        <f t="shared" si="124"/>
        <v>0.61937570047363466</v>
      </c>
      <c r="I231" s="298">
        <f t="shared" si="124"/>
        <v>0.36249654200696307</v>
      </c>
      <c r="J231" s="298">
        <f t="shared" si="124"/>
        <v>0.35444061055817722</v>
      </c>
      <c r="K231" s="298">
        <f t="shared" si="124"/>
        <v>0.36716270555920111</v>
      </c>
      <c r="L231" s="298">
        <f t="shared" si="124"/>
        <v>0.36096044111751235</v>
      </c>
      <c r="M231" s="298">
        <f t="shared" si="124"/>
        <v>0.35890667300509027</v>
      </c>
      <c r="N231" s="298">
        <f t="shared" si="124"/>
        <v>0.32816093594518647</v>
      </c>
      <c r="O231" s="298">
        <f t="shared" si="124"/>
        <v>0.17449795497175435</v>
      </c>
      <c r="P231" s="298">
        <f t="shared" si="124"/>
        <v>0.36119039704075745</v>
      </c>
      <c r="Q231" s="298">
        <f t="shared" ref="C231:AQ233" si="125">Q215/Q89</f>
        <v>-3.3710491186877002E-2</v>
      </c>
      <c r="R231" s="298">
        <f t="shared" si="125"/>
        <v>0.91760557105696527</v>
      </c>
      <c r="S231" s="298">
        <f t="shared" si="125"/>
        <v>-0.72798707095369031</v>
      </c>
      <c r="T231" s="298">
        <f t="shared" si="125"/>
        <v>0.22614388234631391</v>
      </c>
      <c r="U231" s="298">
        <f t="shared" si="125"/>
        <v>-0.28922283999631049</v>
      </c>
      <c r="V231" s="298">
        <f t="shared" si="125"/>
        <v>-1.3335550355759453</v>
      </c>
      <c r="W231" s="298">
        <f t="shared" si="125"/>
        <v>1.3701123963902047</v>
      </c>
      <c r="X231" s="298">
        <f t="shared" si="125"/>
        <v>-0.54358297438748437</v>
      </c>
      <c r="Y231" s="298">
        <f t="shared" si="125"/>
        <v>-9.1429192744854451</v>
      </c>
      <c r="Z231" s="298">
        <f t="shared" si="125"/>
        <v>-0.20071649626997062</v>
      </c>
      <c r="AA231" s="298">
        <f t="shared" si="125"/>
        <v>-2.1100694024318236</v>
      </c>
      <c r="AB231" s="298">
        <f t="shared" si="125"/>
        <v>0.23822521203340144</v>
      </c>
      <c r="AC231" s="298">
        <f t="shared" si="125"/>
        <v>0.33082933516966956</v>
      </c>
      <c r="AD231" s="298">
        <f t="shared" si="125"/>
        <v>3.144574020280416</v>
      </c>
      <c r="AE231" s="298">
        <f t="shared" si="125"/>
        <v>-0.80304255474501474</v>
      </c>
      <c r="AF231" s="240"/>
      <c r="AG231" s="240"/>
    </row>
    <row r="232" spans="1:33">
      <c r="A232" s="240" t="s">
        <v>236</v>
      </c>
      <c r="B232" s="298">
        <f t="shared" ref="B232:B233" si="126">B216/B90</f>
        <v>0.35877862595419846</v>
      </c>
      <c r="C232" s="298">
        <f t="shared" si="125"/>
        <v>0.41255814860940854</v>
      </c>
      <c r="D232" s="298">
        <f t="shared" si="125"/>
        <v>0.36448373432655612</v>
      </c>
      <c r="E232" s="298">
        <f t="shared" si="125"/>
        <v>0.41619551510301678</v>
      </c>
      <c r="F232" s="298">
        <f t="shared" si="125"/>
        <v>0.34874448219064802</v>
      </c>
      <c r="G232" s="298">
        <f t="shared" si="125"/>
        <v>0.12696924709805563</v>
      </c>
      <c r="H232" s="298">
        <f t="shared" si="125"/>
        <v>1.0461089995947022</v>
      </c>
      <c r="I232" s="298">
        <f t="shared" si="125"/>
        <v>0.66228138208399023</v>
      </c>
      <c r="J232" s="298">
        <f t="shared" si="125"/>
        <v>0.35500221746741883</v>
      </c>
      <c r="K232" s="298">
        <f t="shared" si="125"/>
        <v>0.54580395912679236</v>
      </c>
      <c r="L232" s="298">
        <f t="shared" si="125"/>
        <v>0.51631802900075363</v>
      </c>
      <c r="M232" s="298">
        <f t="shared" si="125"/>
        <v>0.36346511567644202</v>
      </c>
      <c r="N232" s="298">
        <f t="shared" si="125"/>
        <v>0.34310985370082114</v>
      </c>
      <c r="O232" s="298">
        <f t="shared" si="125"/>
        <v>0.52981863736361701</v>
      </c>
      <c r="P232" s="298">
        <f t="shared" si="125"/>
        <v>0.37466726156291841</v>
      </c>
      <c r="Q232" s="298">
        <f t="shared" si="125"/>
        <v>0.39082269253277524</v>
      </c>
      <c r="R232" s="298">
        <f t="shared" si="125"/>
        <v>0.52632410834119825</v>
      </c>
      <c r="S232" s="298">
        <f t="shared" si="125"/>
        <v>-0.62510067556434279</v>
      </c>
      <c r="T232" s="298">
        <f t="shared" si="125"/>
        <v>3.444172957323656E-2</v>
      </c>
      <c r="U232" s="298">
        <f t="shared" si="125"/>
        <v>0.45731076547161781</v>
      </c>
      <c r="V232" s="298">
        <f t="shared" si="125"/>
        <v>3.4552456898073972E-2</v>
      </c>
      <c r="W232" s="298">
        <f t="shared" si="125"/>
        <v>5.410183896550276E-2</v>
      </c>
      <c r="X232" s="298">
        <f t="shared" si="125"/>
        <v>-0.14394341199198632</v>
      </c>
      <c r="Y232" s="298">
        <f t="shared" si="125"/>
        <v>-9.2923640795235848E-3</v>
      </c>
      <c r="Z232" s="298">
        <f t="shared" si="125"/>
        <v>1.3901511357759329</v>
      </c>
      <c r="AA232" s="298">
        <f t="shared" si="125"/>
        <v>7.7359629505429198E-2</v>
      </c>
      <c r="AB232" s="298">
        <f t="shared" si="125"/>
        <v>-0.16204210050615769</v>
      </c>
      <c r="AC232" s="298">
        <f t="shared" si="125"/>
        <v>5.0016600509906954</v>
      </c>
      <c r="AD232" s="298">
        <f t="shared" si="125"/>
        <v>-5.0560247900505541E-2</v>
      </c>
      <c r="AE232" s="298">
        <f t="shared" si="125"/>
        <v>0.48214107084470414</v>
      </c>
      <c r="AF232" s="240"/>
      <c r="AG232" s="240"/>
    </row>
    <row r="233" spans="1:33">
      <c r="A233" s="240" t="s">
        <v>237</v>
      </c>
      <c r="B233" s="298">
        <f t="shared" si="126"/>
        <v>0.35877862595419846</v>
      </c>
      <c r="C233" s="298">
        <f t="shared" si="125"/>
        <v>0.33145514034993478</v>
      </c>
      <c r="D233" s="298">
        <f t="shared" si="125"/>
        <v>0.35397713614459958</v>
      </c>
      <c r="E233" s="298">
        <f t="shared" si="125"/>
        <v>0.35709442923141499</v>
      </c>
      <c r="F233" s="298">
        <f t="shared" si="125"/>
        <v>0.34009836634835205</v>
      </c>
      <c r="G233" s="298">
        <f t="shared" si="125"/>
        <v>0.38849364124934949</v>
      </c>
      <c r="H233" s="298">
        <f t="shared" si="125"/>
        <v>5.6072741578963067E-2</v>
      </c>
      <c r="I233" s="298">
        <f t="shared" si="125"/>
        <v>0.24416480640275426</v>
      </c>
      <c r="J233" s="298">
        <f t="shared" si="125"/>
        <v>0.36790000725910882</v>
      </c>
      <c r="K233" s="298">
        <f t="shared" si="125"/>
        <v>0.26648697422436313</v>
      </c>
      <c r="L233" s="298">
        <f t="shared" si="125"/>
        <v>0.31916490493177985</v>
      </c>
      <c r="M233" s="298">
        <f t="shared" si="125"/>
        <v>0.38535829959907253</v>
      </c>
      <c r="N233" s="298">
        <f t="shared" si="125"/>
        <v>0.36575886913775296</v>
      </c>
      <c r="O233" s="298">
        <f t="shared" si="125"/>
        <v>0.17818203953058184</v>
      </c>
      <c r="P233" s="298">
        <f t="shared" si="125"/>
        <v>0.7749116279606999</v>
      </c>
      <c r="Q233" s="298">
        <f t="shared" si="125"/>
        <v>0.408289785268316</v>
      </c>
      <c r="R233" s="298">
        <f t="shared" si="125"/>
        <v>0.24928288717309072</v>
      </c>
      <c r="S233" s="298">
        <f t="shared" si="125"/>
        <v>0.17508839004000629</v>
      </c>
      <c r="T233" s="298">
        <f t="shared" si="125"/>
        <v>1.0314024918286935</v>
      </c>
      <c r="U233" s="298">
        <f t="shared" si="125"/>
        <v>0.18964411964187797</v>
      </c>
      <c r="V233" s="298">
        <f t="shared" si="125"/>
        <v>0.13125720117286729</v>
      </c>
      <c r="W233" s="298">
        <f t="shared" si="125"/>
        <v>0.36050790956508744</v>
      </c>
      <c r="X233" s="298">
        <f t="shared" si="125"/>
        <v>0.18774588340008977</v>
      </c>
      <c r="Y233" s="298">
        <f t="shared" si="125"/>
        <v>1.6951407554474502</v>
      </c>
      <c r="Z233" s="298">
        <f t="shared" si="125"/>
        <v>7.5172119397896281E-2</v>
      </c>
      <c r="AA233" s="298">
        <f t="shared" si="125"/>
        <v>-0.1321918316169195</v>
      </c>
      <c r="AB233" s="298">
        <f t="shared" si="125"/>
        <v>0.18228549785970355</v>
      </c>
      <c r="AC233" s="298">
        <f t="shared" si="125"/>
        <v>-0.29825842147668724</v>
      </c>
      <c r="AD233" s="298">
        <f t="shared" si="125"/>
        <v>0.13841271859542073</v>
      </c>
      <c r="AE233" s="298">
        <f t="shared" si="125"/>
        <v>0.49432093739772021</v>
      </c>
      <c r="AF233" s="240"/>
      <c r="AG233" s="240"/>
    </row>
    <row r="234" spans="1:33">
      <c r="A234" s="240" t="s">
        <v>238</v>
      </c>
      <c r="B234" s="298">
        <f>B218/C80</f>
        <v>0.40585106897003281</v>
      </c>
      <c r="C234" s="298">
        <f t="shared" ref="C234:Y234" si="127">C218/D80</f>
        <v>0.28524140354354011</v>
      </c>
      <c r="D234" s="298">
        <f t="shared" si="127"/>
        <v>0.25403650147002349</v>
      </c>
      <c r="E234" s="298">
        <f t="shared" si="127"/>
        <v>0.34264804347666949</v>
      </c>
      <c r="F234" s="298">
        <f t="shared" si="127"/>
        <v>-0.19180179037907716</v>
      </c>
      <c r="G234" s="298">
        <f t="shared" si="127"/>
        <v>1.0799033905644988</v>
      </c>
      <c r="H234" s="298">
        <f t="shared" si="127"/>
        <v>1.5710850514978485</v>
      </c>
      <c r="I234" s="298">
        <f t="shared" si="127"/>
        <v>0.44441357815811822</v>
      </c>
      <c r="J234" s="298">
        <f t="shared" si="127"/>
        <v>0.27894629617454098</v>
      </c>
      <c r="K234" s="298">
        <f t="shared" si="127"/>
        <v>0.3407305644752468</v>
      </c>
      <c r="L234" s="298">
        <f t="shared" si="127"/>
        <v>0.36701783724410403</v>
      </c>
      <c r="M234" s="298">
        <f t="shared" si="127"/>
        <v>0.30561458172036021</v>
      </c>
      <c r="N234" s="298">
        <f t="shared" si="127"/>
        <v>0.35994112318365545</v>
      </c>
      <c r="O234" s="298">
        <f t="shared" si="127"/>
        <v>0.53662757432758179</v>
      </c>
      <c r="P234" s="298">
        <f t="shared" si="127"/>
        <v>0.10648807418680693</v>
      </c>
      <c r="Q234" s="298">
        <f t="shared" si="127"/>
        <v>0.37336439425859347</v>
      </c>
      <c r="R234" s="298">
        <f t="shared" si="127"/>
        <v>0.1434854494429276</v>
      </c>
      <c r="S234" s="298">
        <f t="shared" si="127"/>
        <v>0.14929718138520798</v>
      </c>
      <c r="T234" s="298">
        <f t="shared" si="127"/>
        <v>0.43120468206715784</v>
      </c>
      <c r="U234" s="298">
        <f t="shared" si="127"/>
        <v>0.45477572244938091</v>
      </c>
      <c r="V234" s="298">
        <f t="shared" si="127"/>
        <v>0.55687554438052278</v>
      </c>
      <c r="W234" s="298">
        <f t="shared" si="127"/>
        <v>0.66345681119401589</v>
      </c>
      <c r="X234" s="298">
        <f t="shared" si="127"/>
        <v>0.10803090828229461</v>
      </c>
      <c r="Y234" s="298">
        <f t="shared" si="127"/>
        <v>2.6782944869186393E-2</v>
      </c>
      <c r="Z234" s="298">
        <f>Z218/AA80</f>
        <v>0.4540658661068957</v>
      </c>
      <c r="AA234" s="298">
        <f>AA218/AB80</f>
        <v>1.054358751012096</v>
      </c>
      <c r="AB234" s="298">
        <f>AB218/AC80</f>
        <v>1.1505330998634962</v>
      </c>
      <c r="AC234" s="298">
        <f>AC218/AD80</f>
        <v>9.8483850477391902E-2</v>
      </c>
      <c r="AD234" s="298">
        <f t="shared" ref="AD234:AE234" si="128">AD218/AE80</f>
        <v>4.7225486806641058E-3</v>
      </c>
      <c r="AE234" s="298">
        <f t="shared" si="128"/>
        <v>0.47294225678677299</v>
      </c>
      <c r="AF234" s="240"/>
      <c r="AG234" s="240"/>
    </row>
    <row r="235" spans="1:33" ht="15.75" thickBot="1">
      <c r="A235" s="240" t="s">
        <v>255</v>
      </c>
      <c r="B235" s="258">
        <v>0.35877862595419846</v>
      </c>
      <c r="C235" s="258">
        <v>0.35714285714285715</v>
      </c>
      <c r="D235" s="258">
        <v>0.35</v>
      </c>
      <c r="E235" s="258">
        <v>0.34979423868312759</v>
      </c>
      <c r="F235" s="258">
        <v>0.35238095238095241</v>
      </c>
      <c r="G235" s="258">
        <v>0.35454545454545455</v>
      </c>
      <c r="H235" s="258">
        <v>0.35416666666666669</v>
      </c>
      <c r="I235" s="258">
        <v>0.35478260869565215</v>
      </c>
      <c r="J235" s="258">
        <v>0.35471698113207545</v>
      </c>
      <c r="K235" s="258">
        <v>0.35466666666666669</v>
      </c>
      <c r="L235" s="258">
        <v>0.36103896103896105</v>
      </c>
      <c r="M235" s="258">
        <v>0.3611111111111111</v>
      </c>
      <c r="N235" s="258">
        <v>0.36105610561056106</v>
      </c>
      <c r="O235" s="258">
        <v>0.36072144288577157</v>
      </c>
      <c r="P235" s="258">
        <v>0.36109064112011791</v>
      </c>
      <c r="Q235" s="258">
        <v>0.36095238095238097</v>
      </c>
      <c r="R235" s="258">
        <v>0.36067415730337077</v>
      </c>
      <c r="S235" s="258">
        <v>0.36181818181818182</v>
      </c>
      <c r="T235" s="258">
        <v>0.3611111111111111</v>
      </c>
      <c r="U235" s="258">
        <v>0.36074766355140186</v>
      </c>
      <c r="V235" s="258">
        <v>0.36161616161616161</v>
      </c>
      <c r="W235" s="258">
        <v>0.37461300309597523</v>
      </c>
      <c r="X235" s="258">
        <v>0.375</v>
      </c>
      <c r="Y235" s="258">
        <v>0.375</v>
      </c>
      <c r="Z235" s="258">
        <v>0.375</v>
      </c>
      <c r="AA235" s="258">
        <v>0.37419354838709679</v>
      </c>
      <c r="AB235" s="258">
        <v>0.375</v>
      </c>
      <c r="AC235" s="259">
        <v>0.37575757575757573</v>
      </c>
      <c r="AD235" s="259">
        <v>0.36904761904761907</v>
      </c>
      <c r="AE235" s="259">
        <f t="shared" ref="AE235" si="129">FORECAST(AE45,L235:AD235,L45:AD45)</f>
        <v>0.37647628101660113</v>
      </c>
    </row>
    <row r="236" spans="1:33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  <c r="AD236" s="248"/>
      <c r="AE236" s="248"/>
    </row>
    <row r="237" spans="1:33" ht="15.75" thickBot="1">
      <c r="A237" s="235" t="s">
        <v>264</v>
      </c>
    </row>
    <row r="238" spans="1:33" ht="15.75" thickBot="1">
      <c r="A238" s="236"/>
      <c r="B238" s="237" t="str">
        <f>B$2</f>
        <v xml:space="preserve">93/94 </v>
      </c>
      <c r="C238" s="237" t="str">
        <f t="shared" ref="C238:AE238" si="130">C$2</f>
        <v xml:space="preserve">94/95 </v>
      </c>
      <c r="D238" s="237" t="str">
        <f t="shared" si="130"/>
        <v xml:space="preserve">95/96 </v>
      </c>
      <c r="E238" s="237" t="str">
        <f t="shared" si="130"/>
        <v xml:space="preserve">96/97 </v>
      </c>
      <c r="F238" s="237" t="str">
        <f t="shared" si="130"/>
        <v xml:space="preserve">97/98 </v>
      </c>
      <c r="G238" s="237" t="str">
        <f t="shared" si="130"/>
        <v xml:space="preserve">98/99 </v>
      </c>
      <c r="H238" s="237" t="str">
        <f t="shared" si="130"/>
        <v xml:space="preserve">99/00 </v>
      </c>
      <c r="I238" s="237" t="str">
        <f t="shared" si="130"/>
        <v xml:space="preserve">00/01 </v>
      </c>
      <c r="J238" s="237" t="str">
        <f t="shared" si="130"/>
        <v xml:space="preserve">01/02 </v>
      </c>
      <c r="K238" s="237" t="str">
        <f t="shared" si="130"/>
        <v xml:space="preserve">02/03 </v>
      </c>
      <c r="L238" s="237" t="str">
        <f t="shared" si="130"/>
        <v xml:space="preserve">03/04 </v>
      </c>
      <c r="M238" s="237" t="str">
        <f t="shared" si="130"/>
        <v xml:space="preserve">04/05 </v>
      </c>
      <c r="N238" s="237" t="str">
        <f t="shared" si="130"/>
        <v xml:space="preserve">05/06 </v>
      </c>
      <c r="O238" s="237" t="str">
        <f t="shared" si="130"/>
        <v xml:space="preserve">06/07 </v>
      </c>
      <c r="P238" s="237" t="str">
        <f t="shared" si="130"/>
        <v xml:space="preserve">07/08 </v>
      </c>
      <c r="Q238" s="237" t="str">
        <f t="shared" si="130"/>
        <v xml:space="preserve">08/09 </v>
      </c>
      <c r="R238" s="237" t="str">
        <f t="shared" si="130"/>
        <v xml:space="preserve">09/10 </v>
      </c>
      <c r="S238" s="237" t="str">
        <f t="shared" si="130"/>
        <v xml:space="preserve">10/11 </v>
      </c>
      <c r="T238" s="237" t="str">
        <f t="shared" si="130"/>
        <v xml:space="preserve">11/12 </v>
      </c>
      <c r="U238" s="237" t="str">
        <f t="shared" si="130"/>
        <v xml:space="preserve">12/13 </v>
      </c>
      <c r="V238" s="237" t="str">
        <f t="shared" si="130"/>
        <v xml:space="preserve">13/14 </v>
      </c>
      <c r="W238" s="237" t="str">
        <f t="shared" si="130"/>
        <v xml:space="preserve">14/15 </v>
      </c>
      <c r="X238" s="237" t="str">
        <f t="shared" si="130"/>
        <v xml:space="preserve">15/16 </v>
      </c>
      <c r="Y238" s="237" t="str">
        <f t="shared" si="130"/>
        <v xml:space="preserve">16/17 </v>
      </c>
      <c r="Z238" s="237" t="str">
        <f t="shared" si="130"/>
        <v xml:space="preserve">17/18 </v>
      </c>
      <c r="AA238" s="237" t="str">
        <f t="shared" si="130"/>
        <v xml:space="preserve">18/19 </v>
      </c>
      <c r="AB238" s="237" t="str">
        <f t="shared" si="130"/>
        <v xml:space="preserve">19/20 </v>
      </c>
      <c r="AC238" s="237" t="str">
        <f t="shared" si="130"/>
        <v xml:space="preserve">20/21 </v>
      </c>
      <c r="AD238" s="237" t="str">
        <f t="shared" si="130"/>
        <v xml:space="preserve">21/22 </v>
      </c>
      <c r="AE238" s="237" t="str">
        <f t="shared" si="130"/>
        <v xml:space="preserve">22/23 </v>
      </c>
    </row>
    <row r="239" spans="1:33">
      <c r="A239" s="240" t="s">
        <v>239</v>
      </c>
      <c r="B239" s="298">
        <f t="shared" ref="B239:AE247" si="131">B223+B112</f>
        <v>0.80916030534351147</v>
      </c>
      <c r="C239" s="298">
        <f t="shared" si="131"/>
        <v>0.80630984085047608</v>
      </c>
      <c r="D239" s="298">
        <f t="shared" si="131"/>
        <v>0.79992805720290794</v>
      </c>
      <c r="E239" s="298">
        <f t="shared" si="131"/>
        <v>0.79307527670136702</v>
      </c>
      <c r="F239" s="298">
        <f t="shared" si="131"/>
        <v>0.80503435367046761</v>
      </c>
      <c r="G239" s="298">
        <f t="shared" si="131"/>
        <v>1.2151181840281295</v>
      </c>
      <c r="H239" s="298">
        <f t="shared" si="131"/>
        <v>0.65335461375387194</v>
      </c>
      <c r="I239" s="298">
        <f t="shared" si="131"/>
        <v>0.65171297087017688</v>
      </c>
      <c r="J239" s="298">
        <f t="shared" si="131"/>
        <v>0.771366369714515</v>
      </c>
      <c r="K239" s="298">
        <f t="shared" si="131"/>
        <v>0.80326989640183655</v>
      </c>
      <c r="L239" s="298">
        <f t="shared" si="131"/>
        <v>0.82648342828483012</v>
      </c>
      <c r="M239" s="298">
        <f t="shared" si="131"/>
        <v>0.83872795487242102</v>
      </c>
      <c r="N239" s="298">
        <f t="shared" si="131"/>
        <v>0.89178261730106045</v>
      </c>
      <c r="O239" s="298">
        <f t="shared" si="131"/>
        <v>0.8540259424305644</v>
      </c>
      <c r="P239" s="298">
        <f t="shared" si="131"/>
        <v>0.8553778497219553</v>
      </c>
      <c r="Q239" s="298">
        <f t="shared" si="131"/>
        <v>0.82346038666789467</v>
      </c>
      <c r="R239" s="298">
        <f t="shared" si="131"/>
        <v>0.81724547236310374</v>
      </c>
      <c r="S239" s="298">
        <f t="shared" si="131"/>
        <v>1.0851922379845427</v>
      </c>
      <c r="T239" s="298">
        <f t="shared" si="131"/>
        <v>1.2069129978017521</v>
      </c>
      <c r="U239" s="298">
        <f t="shared" si="131"/>
        <v>0.59922065166881489</v>
      </c>
      <c r="V239" s="298">
        <f t="shared" si="131"/>
        <v>1.5166522013638355</v>
      </c>
      <c r="W239" s="298">
        <f t="shared" si="131"/>
        <v>0.30119072833509652</v>
      </c>
      <c r="X239" s="298">
        <f t="shared" si="131"/>
        <v>0.20802941332943203</v>
      </c>
      <c r="Y239" s="298">
        <f t="shared" si="131"/>
        <v>1.537922685246992</v>
      </c>
      <c r="Z239" s="298">
        <f t="shared" si="131"/>
        <v>3.8135942735897719</v>
      </c>
      <c r="AA239" s="298">
        <f t="shared" si="131"/>
        <v>1.066152273160526</v>
      </c>
      <c r="AB239" s="298">
        <f t="shared" si="131"/>
        <v>0.20628526445181222</v>
      </c>
      <c r="AC239" s="298">
        <f t="shared" si="131"/>
        <v>-0.25309693775608566</v>
      </c>
      <c r="AD239" s="259">
        <f t="shared" si="131"/>
        <v>33.813723520899266</v>
      </c>
      <c r="AE239" s="259">
        <f t="shared" si="131"/>
        <v>5.6473525757743284</v>
      </c>
    </row>
    <row r="240" spans="1:33">
      <c r="A240" s="240" t="s">
        <v>240</v>
      </c>
      <c r="B240" s="298">
        <f t="shared" si="131"/>
        <v>0.80916030534351147</v>
      </c>
      <c r="C240" s="298">
        <f t="shared" si="131"/>
        <v>0.8032908730783126</v>
      </c>
      <c r="D240" s="298">
        <f t="shared" si="131"/>
        <v>0.82218076948550878</v>
      </c>
      <c r="E240" s="298">
        <f t="shared" si="131"/>
        <v>0.85261014486105224</v>
      </c>
      <c r="F240" s="298">
        <f t="shared" si="131"/>
        <v>0.81958613338902275</v>
      </c>
      <c r="G240" s="298">
        <f t="shared" si="131"/>
        <v>-2.2593735336680645</v>
      </c>
      <c r="H240" s="298">
        <f t="shared" si="131"/>
        <v>0.65765600902596888</v>
      </c>
      <c r="I240" s="298">
        <f t="shared" si="131"/>
        <v>0.80793322288074032</v>
      </c>
      <c r="J240" s="298">
        <f t="shared" si="131"/>
        <v>0.74105980649001091</v>
      </c>
      <c r="K240" s="298">
        <f t="shared" si="131"/>
        <v>0.82593923477007047</v>
      </c>
      <c r="L240" s="298">
        <f t="shared" si="131"/>
        <v>0.82981788698389525</v>
      </c>
      <c r="M240" s="298">
        <f t="shared" si="131"/>
        <v>0.83362237816858564</v>
      </c>
      <c r="N240" s="298">
        <f t="shared" si="131"/>
        <v>0.79910638782897681</v>
      </c>
      <c r="O240" s="298">
        <f t="shared" si="131"/>
        <v>0.91644816056654554</v>
      </c>
      <c r="P240" s="298">
        <f t="shared" si="131"/>
        <v>0.84604890966840463</v>
      </c>
      <c r="Q240" s="298">
        <f t="shared" si="131"/>
        <v>1.0562111938319156</v>
      </c>
      <c r="R240" s="298">
        <f t="shared" si="131"/>
        <v>0.81639989569116134</v>
      </c>
      <c r="S240" s="298">
        <f t="shared" si="131"/>
        <v>0.82477034339530142</v>
      </c>
      <c r="T240" s="298">
        <f t="shared" si="131"/>
        <v>0.77474714517460397</v>
      </c>
      <c r="U240" s="298">
        <f t="shared" si="131"/>
        <v>0.86735552503185209</v>
      </c>
      <c r="V240" s="298">
        <f t="shared" si="131"/>
        <v>0.59155895492183097</v>
      </c>
      <c r="W240" s="298">
        <f t="shared" si="131"/>
        <v>-5.343758792402042</v>
      </c>
      <c r="X240" s="298">
        <f t="shared" si="131"/>
        <v>-0.16611959107339908</v>
      </c>
      <c r="Y240" s="298">
        <f t="shared" si="131"/>
        <v>6.4333232102625209</v>
      </c>
      <c r="Z240" s="298">
        <f t="shared" si="131"/>
        <v>0.34311864365740175</v>
      </c>
      <c r="AA240" s="298">
        <f t="shared" si="131"/>
        <v>1.6254040650896457</v>
      </c>
      <c r="AB240" s="298">
        <f t="shared" si="131"/>
        <v>-1.1556402845792846E-2</v>
      </c>
      <c r="AC240" s="298">
        <f t="shared" si="131"/>
        <v>0.96629695193196663</v>
      </c>
      <c r="AD240" s="259">
        <f t="shared" si="131"/>
        <v>9.6502269019186002</v>
      </c>
      <c r="AE240" s="259">
        <f t="shared" si="131"/>
        <v>0.91744933740596846</v>
      </c>
    </row>
    <row r="241" spans="1:31">
      <c r="A241" s="240" t="s">
        <v>241</v>
      </c>
      <c r="B241" s="298">
        <f t="shared" si="131"/>
        <v>0.80916030534351147</v>
      </c>
      <c r="C241" s="298">
        <f t="shared" si="131"/>
        <v>0.86647896242793454</v>
      </c>
      <c r="D241" s="298">
        <f t="shared" si="131"/>
        <v>0.87052232950615549</v>
      </c>
      <c r="E241" s="298">
        <f t="shared" si="131"/>
        <v>1.4401729910160517</v>
      </c>
      <c r="F241" s="298">
        <f t="shared" si="131"/>
        <v>0.9135517388563501</v>
      </c>
      <c r="G241" s="298">
        <f t="shared" si="131"/>
        <v>0.4696023069163428</v>
      </c>
      <c r="H241" s="298">
        <f t="shared" si="131"/>
        <v>0.82469867811955311</v>
      </c>
      <c r="I241" s="298">
        <f t="shared" si="131"/>
        <v>1.2200228499273522</v>
      </c>
      <c r="J241" s="298">
        <f t="shared" si="131"/>
        <v>0.80617932726448038</v>
      </c>
      <c r="K241" s="298">
        <f t="shared" si="131"/>
        <v>0.80346084195251788</v>
      </c>
      <c r="L241" s="298">
        <f t="shared" si="131"/>
        <v>0.91821774209712426</v>
      </c>
      <c r="M241" s="298">
        <f t="shared" si="131"/>
        <v>0.8415427953792598</v>
      </c>
      <c r="N241" s="298">
        <f t="shared" si="131"/>
        <v>1.3174731207040506</v>
      </c>
      <c r="O241" s="298">
        <f t="shared" si="131"/>
        <v>0.80489180557282691</v>
      </c>
      <c r="P241" s="298">
        <f t="shared" si="131"/>
        <v>0.84140509403422614</v>
      </c>
      <c r="Q241" s="298">
        <f t="shared" si="131"/>
        <v>-2.4269706553133701</v>
      </c>
      <c r="R241" s="298">
        <f t="shared" si="131"/>
        <v>1.49493349509829</v>
      </c>
      <c r="S241" s="298">
        <f t="shared" si="131"/>
        <v>0.12283762465389297</v>
      </c>
      <c r="T241" s="298">
        <f t="shared" si="131"/>
        <v>1.0767912101711197</v>
      </c>
      <c r="U241" s="298">
        <f t="shared" si="131"/>
        <v>0.20892256325827369</v>
      </c>
      <c r="V241" s="298">
        <f t="shared" si="131"/>
        <v>-1.7305713624797652</v>
      </c>
      <c r="W241" s="298">
        <f t="shared" si="131"/>
        <v>0.43993941462658431</v>
      </c>
      <c r="X241" s="298">
        <f t="shared" si="131"/>
        <v>0.84840676493876921</v>
      </c>
      <c r="Y241" s="298">
        <f t="shared" si="131"/>
        <v>0.52543150174214803</v>
      </c>
      <c r="Z241" s="298">
        <f t="shared" si="131"/>
        <v>0.23901190394263752</v>
      </c>
      <c r="AA241" s="298">
        <f t="shared" si="131"/>
        <v>0.38429291613369349</v>
      </c>
      <c r="AB241" s="298">
        <f t="shared" si="131"/>
        <v>0.52816047993082904</v>
      </c>
      <c r="AC241" s="298">
        <f t="shared" si="131"/>
        <v>1.307695846901167</v>
      </c>
      <c r="AD241" s="259">
        <f t="shared" si="131"/>
        <v>4.6341110433812087</v>
      </c>
      <c r="AE241" s="259">
        <f t="shared" si="131"/>
        <v>1.0336133556187326</v>
      </c>
    </row>
    <row r="242" spans="1:31">
      <c r="A242" s="240" t="s">
        <v>231</v>
      </c>
      <c r="B242" s="298">
        <f t="shared" si="131"/>
        <v>0.80916030534351147</v>
      </c>
      <c r="C242" s="298">
        <f t="shared" si="131"/>
        <v>0.8080762114310317</v>
      </c>
      <c r="D242" s="298">
        <f t="shared" si="131"/>
        <v>0.79542885900506022</v>
      </c>
      <c r="E242" s="298">
        <f t="shared" si="131"/>
        <v>0.71576092689707804</v>
      </c>
      <c r="F242" s="298">
        <f t="shared" si="131"/>
        <v>0.75465635877662851</v>
      </c>
      <c r="G242" s="298">
        <f t="shared" si="131"/>
        <v>0.72731810546274223</v>
      </c>
      <c r="H242" s="298">
        <f t="shared" si="131"/>
        <v>1.0559581056714389</v>
      </c>
      <c r="I242" s="298">
        <f t="shared" si="131"/>
        <v>0.67138323433584202</v>
      </c>
      <c r="J242" s="298">
        <f t="shared" si="131"/>
        <v>0.79108917680223334</v>
      </c>
      <c r="K242" s="298">
        <f t="shared" si="131"/>
        <v>0.80532458450709599</v>
      </c>
      <c r="L242" s="298">
        <f t="shared" si="131"/>
        <v>0.82639474801663204</v>
      </c>
      <c r="M242" s="298">
        <f t="shared" si="131"/>
        <v>0.85385970959779911</v>
      </c>
      <c r="N242" s="298">
        <f t="shared" si="131"/>
        <v>0.68086567580954171</v>
      </c>
      <c r="O242" s="298">
        <f t="shared" si="131"/>
        <v>1.1058895741635759</v>
      </c>
      <c r="P242" s="298">
        <f t="shared" si="131"/>
        <v>0.84503485619522267</v>
      </c>
      <c r="Q242" s="298">
        <f t="shared" si="131"/>
        <v>-9.4019716563667644E-2</v>
      </c>
      <c r="R242" s="298">
        <f t="shared" si="131"/>
        <v>0.69926876341242128</v>
      </c>
      <c r="S242" s="298">
        <f t="shared" si="131"/>
        <v>0.1796376281948297</v>
      </c>
      <c r="T242" s="298">
        <f t="shared" si="131"/>
        <v>0.68393935611391321</v>
      </c>
      <c r="U242" s="298">
        <f t="shared" si="131"/>
        <v>-0.55879023102248793</v>
      </c>
      <c r="V242" s="298">
        <f t="shared" si="131"/>
        <v>0.43899684048670373</v>
      </c>
      <c r="W242" s="298">
        <f t="shared" si="131"/>
        <v>0.25770849812489433</v>
      </c>
      <c r="X242" s="298">
        <f t="shared" si="131"/>
        <v>0.90948802904271164</v>
      </c>
      <c r="Y242" s="298">
        <f t="shared" si="131"/>
        <v>0.21344673940314485</v>
      </c>
      <c r="Z242" s="298">
        <f t="shared" si="131"/>
        <v>-32.737949916769217</v>
      </c>
      <c r="AA242" s="298">
        <f t="shared" si="131"/>
        <v>2.3031944610883037E-2</v>
      </c>
      <c r="AB242" s="298">
        <f t="shared" si="131"/>
        <v>1.9893659149557978</v>
      </c>
      <c r="AC242" s="298">
        <f t="shared" si="131"/>
        <v>0.4538432794749569</v>
      </c>
      <c r="AD242" s="259">
        <f t="shared" si="131"/>
        <v>-26.36350382150658</v>
      </c>
      <c r="AE242" s="259">
        <f t="shared" si="131"/>
        <v>1.2100029953193148E-3</v>
      </c>
    </row>
    <row r="243" spans="1:31">
      <c r="A243" s="240" t="s">
        <v>232</v>
      </c>
      <c r="B243" s="298">
        <f t="shared" si="131"/>
        <v>0.80916030534351147</v>
      </c>
      <c r="C243" s="298">
        <f t="shared" si="131"/>
        <v>0.78795330084116755</v>
      </c>
      <c r="D243" s="298">
        <f t="shared" si="131"/>
        <v>0.77774456479975951</v>
      </c>
      <c r="E243" s="298">
        <f t="shared" si="131"/>
        <v>0.75226930671414649</v>
      </c>
      <c r="F243" s="298">
        <f t="shared" si="131"/>
        <v>0.80027657753215387</v>
      </c>
      <c r="G243" s="298">
        <f t="shared" si="131"/>
        <v>0.76024298976610727</v>
      </c>
      <c r="H243" s="298">
        <f t="shared" si="131"/>
        <v>0.89070927892830687</v>
      </c>
      <c r="I243" s="298">
        <f t="shared" si="131"/>
        <v>0.55899381259916292</v>
      </c>
      <c r="J243" s="298">
        <f t="shared" si="131"/>
        <v>0.79999135731708493</v>
      </c>
      <c r="K243" s="298">
        <f t="shared" si="131"/>
        <v>1.1992521035072108</v>
      </c>
      <c r="L243" s="298">
        <f t="shared" si="131"/>
        <v>0.89704575221864735</v>
      </c>
      <c r="M243" s="298">
        <f t="shared" si="131"/>
        <v>0.83440731434824822</v>
      </c>
      <c r="N243" s="298">
        <f t="shared" si="131"/>
        <v>0.77667882159754109</v>
      </c>
      <c r="O243" s="298">
        <f t="shared" si="131"/>
        <v>0.7894462095397089</v>
      </c>
      <c r="P243" s="298">
        <f t="shared" si="131"/>
        <v>0.84416840797726156</v>
      </c>
      <c r="Q243" s="298">
        <f t="shared" si="131"/>
        <v>0.56468013540886852</v>
      </c>
      <c r="R243" s="298">
        <f t="shared" si="131"/>
        <v>1.1096070323451159</v>
      </c>
      <c r="S243" s="298">
        <f t="shared" si="131"/>
        <v>0.89862503367729274</v>
      </c>
      <c r="T243" s="298">
        <f t="shared" si="131"/>
        <v>4.0058379098665648</v>
      </c>
      <c r="U243" s="298">
        <f t="shared" si="131"/>
        <v>-0.50077913103529159</v>
      </c>
      <c r="V243" s="298">
        <f t="shared" si="131"/>
        <v>1.0606609851037667</v>
      </c>
      <c r="W243" s="298">
        <f t="shared" si="131"/>
        <v>-2.2755944327279964</v>
      </c>
      <c r="X243" s="298">
        <f t="shared" si="131"/>
        <v>0.26193322685712939</v>
      </c>
      <c r="Y243" s="298">
        <f t="shared" si="131"/>
        <v>0.71921092463991387</v>
      </c>
      <c r="Z243" s="298">
        <f t="shared" si="131"/>
        <v>0.46436885216954793</v>
      </c>
      <c r="AA243" s="298">
        <f t="shared" si="131"/>
        <v>0.39323733156828367</v>
      </c>
      <c r="AB243" s="298">
        <f t="shared" si="131"/>
        <v>0.73476971733654273</v>
      </c>
      <c r="AC243" s="298">
        <f t="shared" si="131"/>
        <v>1.146296329489378</v>
      </c>
      <c r="AD243" s="259">
        <f t="shared" si="131"/>
        <v>-9.9816206640280902E-2</v>
      </c>
      <c r="AE243" s="259">
        <f t="shared" si="131"/>
        <v>0.39284140381083182</v>
      </c>
    </row>
    <row r="244" spans="1:31">
      <c r="A244" s="240" t="s">
        <v>233</v>
      </c>
      <c r="B244" s="298">
        <f t="shared" si="131"/>
        <v>0.80916030534351147</v>
      </c>
      <c r="C244" s="298">
        <f t="shared" si="131"/>
        <v>0.73516946373646552</v>
      </c>
      <c r="D244" s="298">
        <f t="shared" si="131"/>
        <v>0.77926414425570112</v>
      </c>
      <c r="E244" s="298">
        <f t="shared" si="131"/>
        <v>0.71999016607725508</v>
      </c>
      <c r="F244" s="298">
        <f t="shared" si="131"/>
        <v>0.80975934019308204</v>
      </c>
      <c r="G244" s="298">
        <f t="shared" si="131"/>
        <v>1.2345698717879825</v>
      </c>
      <c r="H244" s="298">
        <f t="shared" si="131"/>
        <v>0.72266679185252358</v>
      </c>
      <c r="I244" s="298">
        <f t="shared" si="131"/>
        <v>0.78349002942199575</v>
      </c>
      <c r="J244" s="298">
        <f t="shared" si="131"/>
        <v>0.79972364961167908</v>
      </c>
      <c r="K244" s="298">
        <f t="shared" si="131"/>
        <v>0.60530420139456964</v>
      </c>
      <c r="L244" s="298">
        <f t="shared" si="131"/>
        <v>0.71597586838154303</v>
      </c>
      <c r="M244" s="298">
        <f t="shared" si="131"/>
        <v>0.83439710038460579</v>
      </c>
      <c r="N244" s="298">
        <f t="shared" si="131"/>
        <v>0.84745284492589135</v>
      </c>
      <c r="O244" s="298">
        <f t="shared" si="131"/>
        <v>0.68240092564573063</v>
      </c>
      <c r="P244" s="298">
        <f t="shared" si="131"/>
        <v>0.8425236350426295</v>
      </c>
      <c r="Q244" s="298">
        <f t="shared" si="131"/>
        <v>0.84292986451219121</v>
      </c>
      <c r="R244" s="298">
        <f t="shared" si="131"/>
        <v>0.82053190262089548</v>
      </c>
      <c r="S244" s="298">
        <f t="shared" si="131"/>
        <v>-0.43364070098001284</v>
      </c>
      <c r="T244" s="298">
        <f t="shared" si="131"/>
        <v>0.43489510241817864</v>
      </c>
      <c r="U244" s="298">
        <f t="shared" si="131"/>
        <v>0.3251008777735736</v>
      </c>
      <c r="V244" s="298">
        <f t="shared" si="131"/>
        <v>2.5226290947282739</v>
      </c>
      <c r="W244" s="298">
        <f t="shared" si="131"/>
        <v>1.622369789813034</v>
      </c>
      <c r="X244" s="298">
        <f t="shared" si="131"/>
        <v>0.22741773624149914</v>
      </c>
      <c r="Y244" s="298">
        <f t="shared" si="131"/>
        <v>0.75713708518427736</v>
      </c>
      <c r="Z244" s="298">
        <f t="shared" si="131"/>
        <v>0.43500452103584247</v>
      </c>
      <c r="AA244" s="298">
        <f t="shared" si="131"/>
        <v>1.4508403290620997</v>
      </c>
      <c r="AB244" s="298">
        <f t="shared" si="131"/>
        <v>1.9890304794883622</v>
      </c>
      <c r="AC244" s="298">
        <f t="shared" si="131"/>
        <v>1.0002981011978767</v>
      </c>
      <c r="AD244" s="259">
        <f t="shared" si="131"/>
        <v>0.79128150303218736</v>
      </c>
      <c r="AE244" s="259">
        <f t="shared" si="131"/>
        <v>1.0828483454623548</v>
      </c>
    </row>
    <row r="245" spans="1:31">
      <c r="A245" s="240" t="s">
        <v>234</v>
      </c>
      <c r="B245" s="298">
        <f t="shared" si="131"/>
        <v>0.80916030534351147</v>
      </c>
      <c r="C245" s="298">
        <f t="shared" si="131"/>
        <v>0.79941707487489211</v>
      </c>
      <c r="D245" s="298">
        <f t="shared" si="131"/>
        <v>0.78671095292476201</v>
      </c>
      <c r="E245" s="298">
        <f t="shared" si="131"/>
        <v>0.76514905810565725</v>
      </c>
      <c r="F245" s="298">
        <f t="shared" si="131"/>
        <v>0.77024967627279317</v>
      </c>
      <c r="G245" s="298">
        <f t="shared" si="131"/>
        <v>0.65976567854310963</v>
      </c>
      <c r="H245" s="298">
        <f t="shared" si="131"/>
        <v>1.4634551979335839</v>
      </c>
      <c r="I245" s="298">
        <f t="shared" si="131"/>
        <v>0.82909717167948016</v>
      </c>
      <c r="J245" s="298">
        <f t="shared" si="131"/>
        <v>0.7999827289416932</v>
      </c>
      <c r="K245" s="298">
        <f t="shared" si="131"/>
        <v>0.8165014441272862</v>
      </c>
      <c r="L245" s="298">
        <f t="shared" si="131"/>
        <v>0.84348594040905445</v>
      </c>
      <c r="M245" s="298">
        <f t="shared" si="131"/>
        <v>0.84319186052537476</v>
      </c>
      <c r="N245" s="298">
        <f t="shared" si="131"/>
        <v>0.81268710907639874</v>
      </c>
      <c r="O245" s="298">
        <f t="shared" si="131"/>
        <v>0.84721277005517992</v>
      </c>
      <c r="P245" s="298">
        <f t="shared" si="131"/>
        <v>0.86896306617217878</v>
      </c>
      <c r="Q245" s="298">
        <f t="shared" si="131"/>
        <v>0.67028428510574145</v>
      </c>
      <c r="R245" s="298">
        <f t="shared" si="131"/>
        <v>0.97176301896724637</v>
      </c>
      <c r="S245" s="298">
        <f t="shared" si="131"/>
        <v>0.32333827940901128</v>
      </c>
      <c r="T245" s="298">
        <f t="shared" si="131"/>
        <v>0.84160806621802187</v>
      </c>
      <c r="U245" s="298">
        <f t="shared" si="131"/>
        <v>0.60097858669443449</v>
      </c>
      <c r="V245" s="298">
        <f t="shared" si="131"/>
        <v>0.44593031183444781</v>
      </c>
      <c r="W245" s="298">
        <f t="shared" si="131"/>
        <v>0.756918586378166</v>
      </c>
      <c r="X245" s="298">
        <f t="shared" si="131"/>
        <v>-1.1301308811370037</v>
      </c>
      <c r="Y245" s="298">
        <f t="shared" si="131"/>
        <v>-0.82017803814114254</v>
      </c>
      <c r="Z245" s="298">
        <f t="shared" si="131"/>
        <v>0.89821727070901991</v>
      </c>
      <c r="AA245" s="298">
        <f t="shared" si="131"/>
        <v>0.20270780786251857</v>
      </c>
      <c r="AB245" s="298">
        <f t="shared" si="131"/>
        <v>0.46736004993217228</v>
      </c>
      <c r="AC245" s="259">
        <f t="shared" si="131"/>
        <v>-25.341580882969865</v>
      </c>
      <c r="AD245" s="259">
        <f t="shared" si="131"/>
        <v>-1.4041713712024007</v>
      </c>
      <c r="AE245" s="259">
        <f t="shared" si="131"/>
        <v>-1.0832505646892039</v>
      </c>
    </row>
    <row r="246" spans="1:31">
      <c r="A246" s="240" t="s">
        <v>46</v>
      </c>
      <c r="B246" s="298">
        <f t="shared" si="131"/>
        <v>0.80916030534351147</v>
      </c>
      <c r="C246" s="298">
        <f t="shared" si="131"/>
        <v>0.87015815491292159</v>
      </c>
      <c r="D246" s="298">
        <f t="shared" si="131"/>
        <v>0.86779480305981549</v>
      </c>
      <c r="E246" s="298">
        <f t="shared" si="131"/>
        <v>0.96778880834444569</v>
      </c>
      <c r="F246" s="298">
        <f t="shared" si="131"/>
        <v>0.81349935510733007</v>
      </c>
      <c r="G246" s="298">
        <f t="shared" si="131"/>
        <v>0.97155165699373658</v>
      </c>
      <c r="H246" s="298">
        <f t="shared" si="131"/>
        <v>0.54094388771287583</v>
      </c>
      <c r="I246" s="298">
        <f t="shared" si="131"/>
        <v>0.79785897100387659</v>
      </c>
      <c r="J246" s="298">
        <f t="shared" si="131"/>
        <v>0.80031980264384273</v>
      </c>
      <c r="K246" s="298">
        <f t="shared" si="131"/>
        <v>0.79698559915609191</v>
      </c>
      <c r="L246" s="298">
        <f t="shared" si="131"/>
        <v>0.84256917385006624</v>
      </c>
      <c r="M246" s="298">
        <f t="shared" si="131"/>
        <v>0.8430171717299384</v>
      </c>
      <c r="N246" s="298">
        <f t="shared" si="131"/>
        <v>0.88493093430849512</v>
      </c>
      <c r="O246" s="298">
        <f t="shared" si="131"/>
        <v>1.3344015117535883</v>
      </c>
      <c r="P246" s="298">
        <f t="shared" si="131"/>
        <v>0.81738371843365032</v>
      </c>
      <c r="Q246" s="298">
        <f t="shared" si="131"/>
        <v>-1.5612176961413484</v>
      </c>
      <c r="R246" s="298">
        <f t="shared" si="131"/>
        <v>0.59177966574495344</v>
      </c>
      <c r="S246" s="298">
        <f t="shared" si="131"/>
        <v>0.70865737877512358</v>
      </c>
      <c r="T246" s="298">
        <f t="shared" si="131"/>
        <v>-3.5599903650715841</v>
      </c>
      <c r="U246" s="298">
        <f t="shared" si="131"/>
        <v>-0.1654859096660467</v>
      </c>
      <c r="V246" s="298">
        <f t="shared" si="131"/>
        <v>4.9578347373568352</v>
      </c>
      <c r="W246" s="298">
        <f t="shared" si="131"/>
        <v>0.43502738474796027</v>
      </c>
      <c r="X246" s="298">
        <f t="shared" si="131"/>
        <v>-0.16788856193437651</v>
      </c>
      <c r="Y246" s="298">
        <f t="shared" si="131"/>
        <v>0.7498863840151091</v>
      </c>
      <c r="Z246" s="298">
        <f t="shared" si="131"/>
        <v>1.6092918701140042</v>
      </c>
      <c r="AA246" s="298">
        <f t="shared" si="131"/>
        <v>1.14812253937338</v>
      </c>
      <c r="AB246" s="298">
        <f t="shared" si="131"/>
        <v>-0.28437777791251806</v>
      </c>
      <c r="AC246" s="259">
        <f t="shared" si="131"/>
        <v>2.503729863836953</v>
      </c>
      <c r="AD246" s="259">
        <f t="shared" si="131"/>
        <v>1.143112698714555</v>
      </c>
      <c r="AE246" s="259">
        <f t="shared" si="131"/>
        <v>1.5188206665837813</v>
      </c>
    </row>
    <row r="247" spans="1:31">
      <c r="A247" s="240" t="s">
        <v>235</v>
      </c>
      <c r="B247" s="298">
        <f t="shared" si="131"/>
        <v>0.80916030534351147</v>
      </c>
      <c r="C247" s="298">
        <f t="shared" si="131"/>
        <v>0.75494066438744256</v>
      </c>
      <c r="D247" s="298">
        <f t="shared" si="131"/>
        <v>0.73041496152572738</v>
      </c>
      <c r="E247" s="298">
        <f t="shared" si="131"/>
        <v>0.64625621383447673</v>
      </c>
      <c r="F247" s="298">
        <f t="shared" si="131"/>
        <v>0.80170069154006884</v>
      </c>
      <c r="G247" s="298">
        <f t="shared" si="131"/>
        <v>0.95393495342855272</v>
      </c>
      <c r="H247" s="298">
        <f t="shared" si="131"/>
        <v>1.0677090338069679</v>
      </c>
      <c r="I247" s="298">
        <f t="shared" si="131"/>
        <v>0.81032262896348484</v>
      </c>
      <c r="J247" s="298">
        <f t="shared" si="131"/>
        <v>0.79972362942610176</v>
      </c>
      <c r="K247" s="298">
        <f t="shared" si="131"/>
        <v>0.81582937222586782</v>
      </c>
      <c r="L247" s="298">
        <f t="shared" si="131"/>
        <v>0.84277862293569417</v>
      </c>
      <c r="M247" s="298">
        <f t="shared" si="131"/>
        <v>0.84061399007826099</v>
      </c>
      <c r="N247" s="298">
        <f t="shared" si="131"/>
        <v>0.80934905475706764</v>
      </c>
      <c r="O247" s="298">
        <f t="shared" si="131"/>
        <v>0.6561278814914604</v>
      </c>
      <c r="P247" s="298">
        <f t="shared" si="131"/>
        <v>0.84239894530899617</v>
      </c>
      <c r="Q247" s="298">
        <f t="shared" ref="B247:AR251" si="132">Q231+Q120</f>
        <v>0.44819427071788481</v>
      </c>
      <c r="R247" s="298">
        <f t="shared" si="132"/>
        <v>1.3996280429670778</v>
      </c>
      <c r="S247" s="298">
        <f t="shared" si="132"/>
        <v>-0.2461688891355085</v>
      </c>
      <c r="T247" s="298">
        <f t="shared" si="132"/>
        <v>0.7076253638277954</v>
      </c>
      <c r="U247" s="298">
        <f t="shared" si="132"/>
        <v>0.19302015065789513</v>
      </c>
      <c r="V247" s="298">
        <f t="shared" si="132"/>
        <v>-0.85274695476786455</v>
      </c>
      <c r="W247" s="298">
        <f t="shared" si="132"/>
        <v>1.8530845326131149</v>
      </c>
      <c r="X247" s="298">
        <f t="shared" si="132"/>
        <v>-6.1440117244627224E-2</v>
      </c>
      <c r="Y247" s="298">
        <f t="shared" si="132"/>
        <v>-8.6607764173425874</v>
      </c>
      <c r="Z247" s="298">
        <f t="shared" si="132"/>
        <v>0.28428350373002936</v>
      </c>
      <c r="AA247" s="298">
        <f t="shared" si="132"/>
        <v>-1.6261984346898881</v>
      </c>
      <c r="AB247" s="298">
        <f t="shared" si="132"/>
        <v>0.85489187870006811</v>
      </c>
      <c r="AC247" s="259">
        <f t="shared" si="132"/>
        <v>0.81567782001815448</v>
      </c>
      <c r="AD247" s="259">
        <f t="shared" si="132"/>
        <v>3.6207644964708923</v>
      </c>
      <c r="AE247" s="259">
        <f t="shared" si="132"/>
        <v>-0.30219738108908345</v>
      </c>
    </row>
    <row r="248" spans="1:31">
      <c r="A248" s="240" t="s">
        <v>236</v>
      </c>
      <c r="B248" s="298">
        <f t="shared" si="132"/>
        <v>0.80916030534351147</v>
      </c>
      <c r="C248" s="298">
        <f t="shared" si="132"/>
        <v>0.85898672003797993</v>
      </c>
      <c r="D248" s="298">
        <f t="shared" si="132"/>
        <v>0.81448373432655607</v>
      </c>
      <c r="E248" s="298">
        <f t="shared" si="132"/>
        <v>0.86475518588490985</v>
      </c>
      <c r="F248" s="298">
        <f t="shared" si="132"/>
        <v>0.7963635298096956</v>
      </c>
      <c r="G248" s="298">
        <f t="shared" si="132"/>
        <v>0.57242379255260101</v>
      </c>
      <c r="H248" s="298">
        <f t="shared" si="132"/>
        <v>1.4944423329280354</v>
      </c>
      <c r="I248" s="298">
        <f t="shared" si="132"/>
        <v>1.1101074690405119</v>
      </c>
      <c r="J248" s="298">
        <f t="shared" si="132"/>
        <v>0.80028523633534343</v>
      </c>
      <c r="K248" s="298">
        <f t="shared" si="132"/>
        <v>0.99447062579345902</v>
      </c>
      <c r="L248" s="298">
        <f t="shared" si="132"/>
        <v>0.99813621081893555</v>
      </c>
      <c r="M248" s="298">
        <f t="shared" si="132"/>
        <v>0.84517243274961273</v>
      </c>
      <c r="N248" s="298">
        <f t="shared" si="132"/>
        <v>0.8242979725127022</v>
      </c>
      <c r="O248" s="298">
        <f t="shared" si="132"/>
        <v>1.011448563883323</v>
      </c>
      <c r="P248" s="298">
        <f t="shared" si="132"/>
        <v>0.85587580983115719</v>
      </c>
      <c r="Q248" s="298">
        <f t="shared" si="132"/>
        <v>0.87272745443753719</v>
      </c>
      <c r="R248" s="298">
        <f t="shared" si="132"/>
        <v>1.0083465802513105</v>
      </c>
      <c r="S248" s="298">
        <f t="shared" si="132"/>
        <v>-0.14328249374616092</v>
      </c>
      <c r="T248" s="298">
        <f t="shared" si="132"/>
        <v>0.51592321105471806</v>
      </c>
      <c r="U248" s="298">
        <f t="shared" si="132"/>
        <v>0.93955375612582348</v>
      </c>
      <c r="V248" s="298">
        <f t="shared" si="132"/>
        <v>0.51536053770615475</v>
      </c>
      <c r="W248" s="298">
        <f t="shared" si="132"/>
        <v>0.53707397518841293</v>
      </c>
      <c r="X248" s="298">
        <f t="shared" si="132"/>
        <v>0.33819944515087086</v>
      </c>
      <c r="Y248" s="298">
        <f t="shared" si="132"/>
        <v>0.47285049306333354</v>
      </c>
      <c r="Z248" s="298">
        <f t="shared" si="132"/>
        <v>1.875151135775933</v>
      </c>
      <c r="AA248" s="298">
        <f t="shared" si="132"/>
        <v>0.56123059724736468</v>
      </c>
      <c r="AB248" s="298">
        <f t="shared" si="132"/>
        <v>0.454624566160509</v>
      </c>
      <c r="AC248" s="259">
        <f t="shared" si="132"/>
        <v>5.4865085358391799</v>
      </c>
      <c r="AD248" s="259">
        <f t="shared" si="132"/>
        <v>0.4256302282899706</v>
      </c>
      <c r="AE248" s="259">
        <f t="shared" si="132"/>
        <v>0.98298624450063543</v>
      </c>
    </row>
    <row r="249" spans="1:31">
      <c r="A249" s="240" t="s">
        <v>237</v>
      </c>
      <c r="B249" s="298">
        <f t="shared" si="132"/>
        <v>0.80916030534351147</v>
      </c>
      <c r="C249" s="298">
        <f t="shared" si="132"/>
        <v>0.77788371177850624</v>
      </c>
      <c r="D249" s="298">
        <f t="shared" si="132"/>
        <v>0.80397713614459954</v>
      </c>
      <c r="E249" s="298">
        <f t="shared" si="132"/>
        <v>0.80565410001330795</v>
      </c>
      <c r="F249" s="298">
        <f t="shared" si="132"/>
        <v>0.78771741396739969</v>
      </c>
      <c r="G249" s="298">
        <f t="shared" si="132"/>
        <v>0.83394818670389492</v>
      </c>
      <c r="H249" s="298">
        <f t="shared" si="132"/>
        <v>0.50440607491229628</v>
      </c>
      <c r="I249" s="298">
        <f t="shared" si="132"/>
        <v>0.69199089335927599</v>
      </c>
      <c r="J249" s="298">
        <f t="shared" si="132"/>
        <v>0.81318302612703341</v>
      </c>
      <c r="K249" s="298">
        <f t="shared" si="132"/>
        <v>0.71515364089102984</v>
      </c>
      <c r="L249" s="298">
        <f t="shared" si="132"/>
        <v>0.80098308674996166</v>
      </c>
      <c r="M249" s="298">
        <f t="shared" si="132"/>
        <v>0.86706561667224324</v>
      </c>
      <c r="N249" s="298">
        <f t="shared" si="132"/>
        <v>0.84694698794963408</v>
      </c>
      <c r="O249" s="298">
        <f t="shared" si="132"/>
        <v>0.65981196605028791</v>
      </c>
      <c r="P249" s="298">
        <f t="shared" si="132"/>
        <v>1.2561201762289387</v>
      </c>
      <c r="Q249" s="298">
        <f t="shared" si="132"/>
        <v>0.89019454717307789</v>
      </c>
      <c r="R249" s="298">
        <f t="shared" si="132"/>
        <v>0.73130535908320304</v>
      </c>
      <c r="S249" s="298">
        <f t="shared" si="132"/>
        <v>0.65690657185818813</v>
      </c>
      <c r="T249" s="298">
        <f t="shared" si="132"/>
        <v>1.5128839733101749</v>
      </c>
      <c r="U249" s="298">
        <f t="shared" si="132"/>
        <v>0.67188711029608361</v>
      </c>
      <c r="V249" s="298">
        <f t="shared" si="132"/>
        <v>0.61206528198094812</v>
      </c>
      <c r="W249" s="298">
        <f t="shared" si="132"/>
        <v>0.84348004578799762</v>
      </c>
      <c r="X249" s="298">
        <f t="shared" si="132"/>
        <v>0.66988874054294689</v>
      </c>
      <c r="Y249" s="298">
        <f t="shared" si="132"/>
        <v>2.1772836125903074</v>
      </c>
      <c r="Z249" s="298">
        <f t="shared" si="132"/>
        <v>0.56017211939789624</v>
      </c>
      <c r="AA249" s="298">
        <f t="shared" si="132"/>
        <v>0.35167913612501595</v>
      </c>
      <c r="AB249" s="298">
        <f t="shared" si="132"/>
        <v>0.79895216452637019</v>
      </c>
      <c r="AC249" s="259">
        <f t="shared" si="132"/>
        <v>0.18659006337179762</v>
      </c>
      <c r="AD249" s="259">
        <f t="shared" si="132"/>
        <v>0.61460319478589687</v>
      </c>
      <c r="AE249" s="259">
        <f t="shared" si="132"/>
        <v>0.99516611105365149</v>
      </c>
    </row>
    <row r="250" spans="1:31">
      <c r="A250" s="240" t="s">
        <v>238</v>
      </c>
      <c r="B250" s="298">
        <f t="shared" si="132"/>
        <v>0.85623274835934571</v>
      </c>
      <c r="C250" s="298">
        <f t="shared" si="132"/>
        <v>0.73166997497211161</v>
      </c>
      <c r="D250" s="298">
        <f t="shared" si="132"/>
        <v>0.7040365014700235</v>
      </c>
      <c r="E250" s="298">
        <f t="shared" si="132"/>
        <v>0.79120771425856251</v>
      </c>
      <c r="F250" s="298">
        <f t="shared" si="132"/>
        <v>0.25581725723997051</v>
      </c>
      <c r="G250" s="298">
        <f t="shared" si="132"/>
        <v>1.5253579360190441</v>
      </c>
      <c r="H250" s="298">
        <f t="shared" si="132"/>
        <v>2.019418384831182</v>
      </c>
      <c r="I250" s="298">
        <f t="shared" si="132"/>
        <v>0.89223966511464003</v>
      </c>
      <c r="J250" s="298">
        <f t="shared" si="132"/>
        <v>0.72422931504246546</v>
      </c>
      <c r="K250" s="298">
        <f t="shared" si="132"/>
        <v>0.78939723114191351</v>
      </c>
      <c r="L250" s="298">
        <f t="shared" si="132"/>
        <v>0.8488360190622859</v>
      </c>
      <c r="M250" s="298">
        <f t="shared" si="132"/>
        <v>0.78732189879353087</v>
      </c>
      <c r="N250" s="298">
        <f t="shared" si="132"/>
        <v>0.84112924199553651</v>
      </c>
      <c r="O250" s="298">
        <f t="shared" si="132"/>
        <v>1.0182575008472878</v>
      </c>
      <c r="P250" s="298">
        <f t="shared" si="132"/>
        <v>0.58769662245504573</v>
      </c>
      <c r="Q250" s="298">
        <f t="shared" si="132"/>
        <v>0.85526915616335542</v>
      </c>
      <c r="R250" s="298">
        <f t="shared" si="132"/>
        <v>0.62550792135304001</v>
      </c>
      <c r="S250" s="298">
        <f t="shared" si="132"/>
        <v>0.63111536320338968</v>
      </c>
      <c r="T250" s="298">
        <f t="shared" si="132"/>
        <v>0.9126861635486393</v>
      </c>
      <c r="U250" s="298">
        <f t="shared" si="132"/>
        <v>0.93701871310358653</v>
      </c>
      <c r="V250" s="298">
        <f t="shared" si="132"/>
        <v>1.0376836251886035</v>
      </c>
      <c r="W250" s="298">
        <f t="shared" si="132"/>
        <v>1.1464289474169262</v>
      </c>
      <c r="X250" s="298">
        <f t="shared" si="132"/>
        <v>0.59017376542515176</v>
      </c>
      <c r="Y250" s="298">
        <f t="shared" si="132"/>
        <v>0.50892580201204363</v>
      </c>
      <c r="Z250" s="298">
        <f t="shared" si="132"/>
        <v>0.93906586610689569</v>
      </c>
      <c r="AA250" s="298">
        <f t="shared" si="132"/>
        <v>1.5382297187540315</v>
      </c>
      <c r="AB250" s="298">
        <f t="shared" si="132"/>
        <v>1.7671997665301629</v>
      </c>
      <c r="AC250" s="259">
        <f t="shared" si="132"/>
        <v>0.58333233532587681</v>
      </c>
      <c r="AD250" s="259">
        <f t="shared" si="132"/>
        <v>0.48091302487114029</v>
      </c>
      <c r="AE250" s="259">
        <f t="shared" si="132"/>
        <v>0.97378743044270433</v>
      </c>
    </row>
    <row r="251" spans="1:31" ht="15.75" thickBot="1">
      <c r="A251" s="240" t="s">
        <v>255</v>
      </c>
      <c r="B251" s="258">
        <f>B235+B124</f>
        <v>0.80916030534351147</v>
      </c>
      <c r="C251" s="258">
        <f t="shared" si="132"/>
        <v>0.8035714285714286</v>
      </c>
      <c r="D251" s="258">
        <f t="shared" si="132"/>
        <v>0.8</v>
      </c>
      <c r="E251" s="258">
        <f t="shared" si="132"/>
        <v>0.79835390946502061</v>
      </c>
      <c r="F251" s="258">
        <f t="shared" si="132"/>
        <v>0.8</v>
      </c>
      <c r="G251" s="258">
        <f t="shared" si="132"/>
        <v>0.8</v>
      </c>
      <c r="H251" s="258">
        <f t="shared" si="132"/>
        <v>0.80249999999999999</v>
      </c>
      <c r="I251" s="258">
        <f t="shared" si="132"/>
        <v>0.80260869565217385</v>
      </c>
      <c r="J251" s="258">
        <f t="shared" si="132"/>
        <v>0.8</v>
      </c>
      <c r="K251" s="258">
        <f t="shared" si="132"/>
        <v>0.80333333333333334</v>
      </c>
      <c r="L251" s="258">
        <f t="shared" si="132"/>
        <v>0.84285714285714286</v>
      </c>
      <c r="M251" s="258">
        <f t="shared" si="132"/>
        <v>0.84281842818428188</v>
      </c>
      <c r="N251" s="258">
        <f t="shared" si="132"/>
        <v>0.84224422442244218</v>
      </c>
      <c r="O251" s="258">
        <f t="shared" si="132"/>
        <v>0.84235136940547761</v>
      </c>
      <c r="P251" s="258">
        <f t="shared" si="132"/>
        <v>0.84229918938835668</v>
      </c>
      <c r="Q251" s="258">
        <f t="shared" si="132"/>
        <v>0.84285714285714286</v>
      </c>
      <c r="R251" s="258">
        <f t="shared" si="132"/>
        <v>0.84269662921348321</v>
      </c>
      <c r="S251" s="258">
        <f t="shared" si="132"/>
        <v>0.84363636363636363</v>
      </c>
      <c r="T251" s="258">
        <f t="shared" si="132"/>
        <v>0.84259259259259256</v>
      </c>
      <c r="U251" s="258">
        <f t="shared" si="132"/>
        <v>0.84299065420560748</v>
      </c>
      <c r="V251" s="258">
        <f t="shared" si="132"/>
        <v>0.84242424242424241</v>
      </c>
      <c r="W251" s="258">
        <f t="shared" si="132"/>
        <v>0.85758513931888547</v>
      </c>
      <c r="X251" s="258">
        <f t="shared" si="132"/>
        <v>0.85714285714285721</v>
      </c>
      <c r="Y251" s="258">
        <f t="shared" si="132"/>
        <v>0.85714285714285721</v>
      </c>
      <c r="Z251" s="258">
        <f t="shared" si="132"/>
        <v>0.86</v>
      </c>
      <c r="AA251" s="258">
        <f t="shared" si="132"/>
        <v>0.85806451612903234</v>
      </c>
      <c r="AB251" s="258">
        <f t="shared" si="132"/>
        <v>0.9916666666666667</v>
      </c>
      <c r="AC251" s="259">
        <f t="shared" si="132"/>
        <v>0.8606060606060606</v>
      </c>
      <c r="AD251" s="259">
        <f t="shared" si="132"/>
        <v>0.84523809523809523</v>
      </c>
      <c r="AE251" s="259">
        <f t="shared" si="132"/>
        <v>0.87732145467253242</v>
      </c>
    </row>
    <row r="252" spans="1:31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  <c r="AD252" s="248"/>
      <c r="AE252" s="248"/>
    </row>
    <row r="253" spans="1:31" ht="15.75" thickBot="1">
      <c r="A253" s="235" t="s">
        <v>265</v>
      </c>
    </row>
    <row r="254" spans="1:31" ht="15.75" thickBot="1">
      <c r="A254" s="236"/>
      <c r="B254" s="237" t="str">
        <f>B$2</f>
        <v xml:space="preserve">93/94 </v>
      </c>
      <c r="C254" s="237" t="str">
        <f t="shared" ref="C254:AE254" si="133">C$2</f>
        <v xml:space="preserve">94/95 </v>
      </c>
      <c r="D254" s="237" t="str">
        <f t="shared" si="133"/>
        <v xml:space="preserve">95/96 </v>
      </c>
      <c r="E254" s="237" t="str">
        <f t="shared" si="133"/>
        <v xml:space="preserve">96/97 </v>
      </c>
      <c r="F254" s="237" t="str">
        <f t="shared" si="133"/>
        <v xml:space="preserve">97/98 </v>
      </c>
      <c r="G254" s="237" t="str">
        <f t="shared" si="133"/>
        <v xml:space="preserve">98/99 </v>
      </c>
      <c r="H254" s="237" t="str">
        <f t="shared" si="133"/>
        <v xml:space="preserve">99/00 </v>
      </c>
      <c r="I254" s="237" t="str">
        <f t="shared" si="133"/>
        <v xml:space="preserve">00/01 </v>
      </c>
      <c r="J254" s="237" t="str">
        <f t="shared" si="133"/>
        <v xml:space="preserve">01/02 </v>
      </c>
      <c r="K254" s="237" t="str">
        <f t="shared" si="133"/>
        <v xml:space="preserve">02/03 </v>
      </c>
      <c r="L254" s="237" t="str">
        <f t="shared" si="133"/>
        <v xml:space="preserve">03/04 </v>
      </c>
      <c r="M254" s="237" t="str">
        <f t="shared" si="133"/>
        <v xml:space="preserve">04/05 </v>
      </c>
      <c r="N254" s="237" t="str">
        <f t="shared" si="133"/>
        <v xml:space="preserve">05/06 </v>
      </c>
      <c r="O254" s="237" t="str">
        <f t="shared" si="133"/>
        <v xml:space="preserve">06/07 </v>
      </c>
      <c r="P254" s="237" t="str">
        <f t="shared" si="133"/>
        <v xml:space="preserve">07/08 </v>
      </c>
      <c r="Q254" s="237" t="str">
        <f t="shared" si="133"/>
        <v xml:space="preserve">08/09 </v>
      </c>
      <c r="R254" s="237" t="str">
        <f t="shared" si="133"/>
        <v xml:space="preserve">09/10 </v>
      </c>
      <c r="S254" s="237" t="str">
        <f t="shared" si="133"/>
        <v xml:space="preserve">10/11 </v>
      </c>
      <c r="T254" s="237" t="str">
        <f t="shared" si="133"/>
        <v xml:space="preserve">11/12 </v>
      </c>
      <c r="U254" s="237" t="str">
        <f t="shared" si="133"/>
        <v xml:space="preserve">12/13 </v>
      </c>
      <c r="V254" s="237" t="str">
        <f t="shared" si="133"/>
        <v xml:space="preserve">13/14 </v>
      </c>
      <c r="W254" s="237" t="str">
        <f t="shared" si="133"/>
        <v xml:space="preserve">14/15 </v>
      </c>
      <c r="X254" s="237" t="str">
        <f t="shared" si="133"/>
        <v xml:space="preserve">15/16 </v>
      </c>
      <c r="Y254" s="237" t="str">
        <f t="shared" si="133"/>
        <v xml:space="preserve">16/17 </v>
      </c>
      <c r="Z254" s="237" t="str">
        <f t="shared" si="133"/>
        <v xml:space="preserve">17/18 </v>
      </c>
      <c r="AA254" s="237" t="str">
        <f t="shared" si="133"/>
        <v xml:space="preserve">18/19 </v>
      </c>
      <c r="AB254" s="237" t="str">
        <f t="shared" si="133"/>
        <v xml:space="preserve">19/20 </v>
      </c>
      <c r="AC254" s="237" t="str">
        <f t="shared" si="133"/>
        <v xml:space="preserve">20/21 </v>
      </c>
      <c r="AD254" s="237" t="str">
        <f t="shared" si="133"/>
        <v xml:space="preserve">21/22 </v>
      </c>
      <c r="AE254" s="237" t="str">
        <f t="shared" si="133"/>
        <v xml:space="preserve">22/23 </v>
      </c>
    </row>
    <row r="255" spans="1:31">
      <c r="A255" s="240" t="s">
        <v>239</v>
      </c>
      <c r="B255" s="290">
        <f>(SUM(K255:O255)/SUM(K$267:O$267))*B$267</f>
        <v>0</v>
      </c>
      <c r="C255" s="290">
        <f t="shared" ref="C255:F266" si="134">(SUM(L255:P255)/SUM(L$267:P$267))*C$267</f>
        <v>4.7005870932059644</v>
      </c>
      <c r="D255" s="290">
        <f t="shared" si="134"/>
        <v>2.5784136038498029</v>
      </c>
      <c r="E255" s="290">
        <f t="shared" si="134"/>
        <v>16.672659957979775</v>
      </c>
      <c r="F255" s="290">
        <f t="shared" si="134"/>
        <v>5.1459559596980826</v>
      </c>
      <c r="G255" s="290">
        <v>135.53866948289394</v>
      </c>
      <c r="H255" s="146">
        <f>'[2]India Sun Oil Imports'!CZ$290</f>
        <v>56.015999999999998</v>
      </c>
      <c r="I255" s="146">
        <f>'[2]India Sun Oil Imports'!DL$290</f>
        <v>51.805</v>
      </c>
      <c r="J255" s="146">
        <f>'[2]India Sun Oil Imports'!DX$290</f>
        <v>9.8350000000000009</v>
      </c>
      <c r="K255" s="146">
        <f>'[2]India Sun Oil Imports'!EJ$290</f>
        <v>0</v>
      </c>
      <c r="L255" s="146">
        <f>'[2]India Sun Oil Imports'!EV$290</f>
        <v>11.446</v>
      </c>
      <c r="M255" s="146">
        <f>'[2]India Sun Oil Imports'!FH$290</f>
        <v>2.548</v>
      </c>
      <c r="N255" s="146">
        <f>'[2]India Sun Oil Imports'!FT$290</f>
        <v>3</v>
      </c>
      <c r="O255" s="146">
        <f>'[2]India Sun Oil Imports'!GF$290</f>
        <v>10.007999999999999</v>
      </c>
      <c r="P255" s="146">
        <f>'[2]India Sun Oil Imports'!GR$290</f>
        <v>2.016</v>
      </c>
      <c r="Q255" s="146">
        <f>'[2]India Sun Oil Imports'!HD$290</f>
        <v>10.792</v>
      </c>
      <c r="R255" s="146">
        <f>'[2]India Sun Oil Imports'!HP$290</f>
        <v>31.300999999999998</v>
      </c>
      <c r="S255" s="146">
        <f>'[2]India Sun Oil Imports'!IB$290</f>
        <v>27.483000000000001</v>
      </c>
      <c r="T255" s="146">
        <f>'[2]India Sun Oil Imports'!IN$290</f>
        <v>46.881</v>
      </c>
      <c r="U255" s="146">
        <f>'[2]India Sun Oil Imports'!IZ$290</f>
        <v>82.418000000000006</v>
      </c>
      <c r="V255" s="146">
        <f>'[2]India Sun Oil Imports'!JL$290</f>
        <v>102.093</v>
      </c>
      <c r="W255" s="146">
        <f>'[2]India Sun Oil Imports'!JX$290</f>
        <v>111.488</v>
      </c>
      <c r="X255" s="146">
        <f>'[2]India Sun Oil Imports'!KJ$290</f>
        <v>103.292</v>
      </c>
      <c r="Y255" s="146">
        <f>'[2]India Sun Oil Imports'!KV$290</f>
        <v>96.054000000000002</v>
      </c>
      <c r="Z255" s="146">
        <f>'[2]India Sun Oil Imports'!LH$290</f>
        <v>103.600567</v>
      </c>
      <c r="AA255" s="146">
        <f>'[2]India Sun Oil Imports'!LT$290</f>
        <v>152.34730300000001</v>
      </c>
      <c r="AB255" s="146">
        <f>'[2]India Sun Oil Imports'!MF$290</f>
        <v>182.501102</v>
      </c>
      <c r="AC255" s="146">
        <f>'[2]India Sun Oil Imports'!MR$290</f>
        <v>163.11808099999999</v>
      </c>
      <c r="AD255" s="146">
        <f>'[2]India Sun Oil Imports'!ND$290</f>
        <v>140.875</v>
      </c>
      <c r="AE255" s="253">
        <f t="shared" ref="AE255:AE265" si="135">(SUM(Y255:AC255)/SUM(Y$267:AC$267))*AE$267</f>
        <v>147.53925052213245</v>
      </c>
    </row>
    <row r="256" spans="1:31">
      <c r="A256" s="240" t="s">
        <v>240</v>
      </c>
      <c r="B256" s="290">
        <f t="shared" ref="B256:B266" si="136">(SUM(K256:O256)/SUM(K$267:O$267))*B$267</f>
        <v>0</v>
      </c>
      <c r="C256" s="290">
        <f t="shared" si="134"/>
        <v>4.9628467425236451</v>
      </c>
      <c r="D256" s="290">
        <f t="shared" si="134"/>
        <v>2.5697776818230884</v>
      </c>
      <c r="E256" s="290">
        <f t="shared" si="134"/>
        <v>15.849199801783531</v>
      </c>
      <c r="F256" s="290">
        <f t="shared" si="134"/>
        <v>5.654497489832953</v>
      </c>
      <c r="G256" s="290">
        <v>104.44294787196742</v>
      </c>
      <c r="H256" s="146">
        <f>'[2]India Sun Oil Imports'!DA$290</f>
        <v>40.639000000000003</v>
      </c>
      <c r="I256" s="146">
        <f>'[2]India Sun Oil Imports'!DM$290</f>
        <v>42.15</v>
      </c>
      <c r="J256" s="146">
        <f>'[2]India Sun Oil Imports'!DY$290</f>
        <v>7.3029999999999999</v>
      </c>
      <c r="K256" s="146">
        <f>'[2]India Sun Oil Imports'!EK$290</f>
        <v>0</v>
      </c>
      <c r="L256" s="146">
        <f>'[2]India Sun Oil Imports'!EW$290</f>
        <v>9.391</v>
      </c>
      <c r="M256" s="146">
        <f>'[2]India Sun Oil Imports'!FI$290</f>
        <v>1.9790000000000001</v>
      </c>
      <c r="N256" s="146">
        <f>'[2]India Sun Oil Imports'!FU$290</f>
        <v>9.0090000000000003</v>
      </c>
      <c r="O256" s="146">
        <f>'[2]India Sun Oil Imports'!GG$290</f>
        <v>10.257999999999999</v>
      </c>
      <c r="P256" s="146">
        <f>'[2]India Sun Oil Imports'!GS$290</f>
        <v>0</v>
      </c>
      <c r="Q256" s="146">
        <f>'[2]India Sun Oil Imports'!HE$290</f>
        <v>7.0229999999999997</v>
      </c>
      <c r="R256" s="146">
        <f>'[2]India Sun Oil Imports'!HQ$290</f>
        <v>28.006</v>
      </c>
      <c r="S256" s="146">
        <f>'[2]India Sun Oil Imports'!IC$290</f>
        <v>44.377000000000002</v>
      </c>
      <c r="T256" s="146">
        <f>'[2]India Sun Oil Imports'!IO$290</f>
        <v>76.167000000000002</v>
      </c>
      <c r="U256" s="146">
        <f>'[2]India Sun Oil Imports'!JA$290</f>
        <v>54.311</v>
      </c>
      <c r="V256" s="146">
        <f>'[2]India Sun Oil Imports'!JM$290</f>
        <v>126.745</v>
      </c>
      <c r="W256" s="146">
        <f>'[2]India Sun Oil Imports'!JY$290</f>
        <v>202.43299999999999</v>
      </c>
      <c r="X256" s="146">
        <f>'[2]India Sun Oil Imports'!KK$290</f>
        <v>174.792</v>
      </c>
      <c r="Y256" s="146">
        <f>'[2]India Sun Oil Imports'!KW$290</f>
        <v>154.33099999999999</v>
      </c>
      <c r="Z256" s="146">
        <f>'[2]India Sun Oil Imports'!LI$290</f>
        <v>200.065147</v>
      </c>
      <c r="AA256" s="146">
        <f>'[2]India Sun Oil Imports'!LU$290</f>
        <v>169.464202</v>
      </c>
      <c r="AB256" s="146">
        <f>'[2]India Sun Oil Imports'!MG$290</f>
        <v>243.477755</v>
      </c>
      <c r="AC256" s="146">
        <f>'[2]India Sun Oil Imports'!MS$290</f>
        <v>229.17121499999999</v>
      </c>
      <c r="AD256" s="146">
        <f>'[2]India Sun Oil Imports'!NE$290</f>
        <v>125.73699999999999</v>
      </c>
      <c r="AE256" s="253">
        <f t="shared" si="135"/>
        <v>210.750861705403</v>
      </c>
    </row>
    <row r="257" spans="1:31">
      <c r="A257" s="240" t="s">
        <v>241</v>
      </c>
      <c r="B257" s="290">
        <f t="shared" si="136"/>
        <v>0</v>
      </c>
      <c r="C257" s="290">
        <f t="shared" si="134"/>
        <v>4.9359566240636479</v>
      </c>
      <c r="D257" s="290">
        <f t="shared" si="134"/>
        <v>5.0736496429159867</v>
      </c>
      <c r="E257" s="290">
        <f t="shared" si="134"/>
        <v>23.176564864115381</v>
      </c>
      <c r="F257" s="290">
        <f t="shared" si="134"/>
        <v>7.5287984344185759</v>
      </c>
      <c r="G257" s="290">
        <v>74.403382645138677</v>
      </c>
      <c r="H257" s="146">
        <f>'[2]India Sun Oil Imports'!DB$290</f>
        <v>15.384</v>
      </c>
      <c r="I257" s="146">
        <f>'[2]India Sun Oil Imports'!DN$290</f>
        <v>42.468000000000004</v>
      </c>
      <c r="J257" s="146">
        <f>'[2]India Sun Oil Imports'!DZ$290</f>
        <v>2.3559999999999999</v>
      </c>
      <c r="K257" s="146">
        <f>'[2]India Sun Oil Imports'!EL$290</f>
        <v>3.008</v>
      </c>
      <c r="L257" s="146">
        <f>'[2]India Sun Oil Imports'!EX$290</f>
        <v>7.6539999999999999</v>
      </c>
      <c r="M257" s="146">
        <f>'[2]India Sun Oil Imports'!FJ$290</f>
        <v>0.85399999999999998</v>
      </c>
      <c r="N257" s="146">
        <f>'[2]India Sun Oil Imports'!FV$290</f>
        <v>3.0089999999999999</v>
      </c>
      <c r="O257" s="146">
        <f>'[2]India Sun Oil Imports'!GH$290</f>
        <v>18.952000000000002</v>
      </c>
      <c r="P257" s="146">
        <f>'[2]India Sun Oil Imports'!GT$290</f>
        <v>2E-3</v>
      </c>
      <c r="Q257" s="146">
        <f>'[2]India Sun Oil Imports'!HF$290</f>
        <v>32.996000000000002</v>
      </c>
      <c r="R257" s="146">
        <f>'[2]India Sun Oil Imports'!HR$290</f>
        <v>24.439</v>
      </c>
      <c r="S257" s="146">
        <f>'[2]India Sun Oil Imports'!ID$290</f>
        <v>42.996000000000002</v>
      </c>
      <c r="T257" s="146">
        <f>'[2]India Sun Oil Imports'!IP$290</f>
        <v>69.478999999999999</v>
      </c>
      <c r="U257" s="146">
        <f>'[2]India Sun Oil Imports'!JB$290</f>
        <v>57.030999999999999</v>
      </c>
      <c r="V257" s="146">
        <f>'[2]India Sun Oil Imports'!JN$290</f>
        <v>96.881</v>
      </c>
      <c r="W257" s="146">
        <f>'[2]India Sun Oil Imports'!JZ$290</f>
        <v>137.33799999999999</v>
      </c>
      <c r="X257" s="146">
        <f>'[2]India Sun Oil Imports'!KL$290</f>
        <v>109.967</v>
      </c>
      <c r="Y257" s="146">
        <f>'[2]India Sun Oil Imports'!KX$290</f>
        <v>184.25399999999999</v>
      </c>
      <c r="Z257" s="146">
        <f>'[2]India Sun Oil Imports'!LJ$290</f>
        <v>244.47509099999999</v>
      </c>
      <c r="AA257" s="146">
        <f>'[2]India Sun Oil Imports'!LV$290</f>
        <v>189.865084</v>
      </c>
      <c r="AB257" s="146">
        <f>'[2]India Sun Oil Imports'!MH$290</f>
        <v>196.75517400000001</v>
      </c>
      <c r="AC257" s="146">
        <f>'[2]India Sun Oil Imports'!MT$290</f>
        <v>224.22250299999999</v>
      </c>
      <c r="AD257" s="146">
        <f>'[2]India Sun Oil Imports'!NF$290</f>
        <v>240.44300000000001</v>
      </c>
      <c r="AE257" s="253">
        <f t="shared" si="135"/>
        <v>219.8581181694716</v>
      </c>
    </row>
    <row r="258" spans="1:31">
      <c r="A258" s="240" t="s">
        <v>231</v>
      </c>
      <c r="B258" s="290">
        <f t="shared" si="136"/>
        <v>0</v>
      </c>
      <c r="C258" s="290">
        <f t="shared" si="134"/>
        <v>10.062411918663178</v>
      </c>
      <c r="D258" s="290">
        <f t="shared" si="134"/>
        <v>11.699492639580932</v>
      </c>
      <c r="E258" s="290">
        <f t="shared" si="134"/>
        <v>53.752594988570578</v>
      </c>
      <c r="F258" s="290">
        <f t="shared" si="134"/>
        <v>15.746940552605039</v>
      </c>
      <c r="G258" s="146">
        <f>'[2]India Sun Oil Imports'!CQ$290</f>
        <v>26.8</v>
      </c>
      <c r="H258" s="146">
        <f>'[2]India Sun Oil Imports'!DC$290</f>
        <v>19.015999999999998</v>
      </c>
      <c r="I258" s="146">
        <f>'[2]India Sun Oil Imports'!DO$290</f>
        <v>54.445999999999998</v>
      </c>
      <c r="J258" s="146">
        <f>'[2]India Sun Oil Imports'!EA$290</f>
        <v>1.032</v>
      </c>
      <c r="K258" s="146">
        <f>'[2]India Sun Oil Imports'!EM$290</f>
        <v>3.0219999999999998</v>
      </c>
      <c r="L258" s="146">
        <f>'[2]India Sun Oil Imports'!EY$290</f>
        <v>15.86</v>
      </c>
      <c r="M258" s="146">
        <f>'[2]India Sun Oil Imports'!FK$290</f>
        <v>0.75</v>
      </c>
      <c r="N258" s="146">
        <f>'[2]India Sun Oil Imports'!FW$290</f>
        <v>31.495000000000001</v>
      </c>
      <c r="O258" s="146">
        <f>'[2]India Sun Oil Imports'!GI$290</f>
        <v>14</v>
      </c>
      <c r="P258" s="146">
        <f>'[2]India Sun Oil Imports'!GU$290</f>
        <v>1.2999999999999999E-2</v>
      </c>
      <c r="Q258" s="146">
        <f>'[2]India Sun Oil Imports'!HG$290</f>
        <v>82.442999999999998</v>
      </c>
      <c r="R258" s="146">
        <f>'[2]India Sun Oil Imports'!HS$290</f>
        <v>56.194000000000003</v>
      </c>
      <c r="S258" s="146">
        <f>'[2]India Sun Oil Imports'!IE$290</f>
        <v>97.051000000000002</v>
      </c>
      <c r="T258" s="146">
        <f>'[2]India Sun Oil Imports'!IQ$290</f>
        <v>83.474999999999994</v>
      </c>
      <c r="U258" s="146">
        <f>'[2]India Sun Oil Imports'!JC$290</f>
        <v>147.411</v>
      </c>
      <c r="V258" s="146">
        <f>'[2]India Sun Oil Imports'!JO$290</f>
        <v>147.017</v>
      </c>
      <c r="W258" s="146">
        <f>'[2]India Sun Oil Imports'!KA$290</f>
        <v>175.58500000000001</v>
      </c>
      <c r="X258" s="146">
        <f>'[2]India Sun Oil Imports'!KM$290</f>
        <v>108.953</v>
      </c>
      <c r="Y258" s="146">
        <f>'[2]India Sun Oil Imports'!KY$290</f>
        <v>168.69800000000001</v>
      </c>
      <c r="Z258" s="146">
        <f>'[2]India Sun Oil Imports'!LK$290</f>
        <v>162.948836</v>
      </c>
      <c r="AA258" s="146">
        <f>'[2]India Sun Oil Imports'!LW$290</f>
        <v>237.85204100000001</v>
      </c>
      <c r="AB258" s="146">
        <f>'[2]India Sun Oil Imports'!MI$290</f>
        <v>287.09436599999998</v>
      </c>
      <c r="AC258" s="146">
        <f>'[2]India Sun Oil Imports'!MU$290</f>
        <v>214.61500000000001</v>
      </c>
      <c r="AD258" s="146">
        <f>'[2]India Sun Oil Imports'!NG$290</f>
        <v>291.69900000000001</v>
      </c>
      <c r="AE258" s="253">
        <f t="shared" si="135"/>
        <v>226.54887011466144</v>
      </c>
    </row>
    <row r="259" spans="1:31">
      <c r="A259" s="240" t="s">
        <v>232</v>
      </c>
      <c r="B259" s="290">
        <f t="shared" si="136"/>
        <v>0</v>
      </c>
      <c r="C259" s="290">
        <f t="shared" si="134"/>
        <v>10.424942551876869</v>
      </c>
      <c r="D259" s="290">
        <f t="shared" si="134"/>
        <v>11.264333073876905</v>
      </c>
      <c r="E259" s="290">
        <f t="shared" si="134"/>
        <v>48.601663433718066</v>
      </c>
      <c r="F259" s="290">
        <f t="shared" si="134"/>
        <v>11.980617908229442</v>
      </c>
      <c r="G259" s="146">
        <f>'[2]India Sun Oil Imports'!CR$290</f>
        <v>13.592000000000001</v>
      </c>
      <c r="H259" s="146">
        <f>'[2]India Sun Oil Imports'!DD$290</f>
        <v>43.267000000000003</v>
      </c>
      <c r="I259" s="146">
        <f>'[2]India Sun Oil Imports'!DP$290</f>
        <v>48.500999999999998</v>
      </c>
      <c r="J259" s="146">
        <f>'[2]India Sun Oil Imports'!EB$290</f>
        <v>0</v>
      </c>
      <c r="K259" s="146">
        <f>'[2]India Sun Oil Imports'!EN$290</f>
        <v>3.286</v>
      </c>
      <c r="L259" s="146">
        <f>'[2]India Sun Oil Imports'!EZ$290</f>
        <v>14.012</v>
      </c>
      <c r="M259" s="146">
        <f>'[2]India Sun Oil Imports'!FL$290</f>
        <v>2.0190000000000001</v>
      </c>
      <c r="N259" s="146">
        <f>'[2]India Sun Oil Imports'!FX$290</f>
        <v>14</v>
      </c>
      <c r="O259" s="146">
        <f>'[2]India Sun Oil Imports'!GJ$290</f>
        <v>33.933</v>
      </c>
      <c r="P259" s="146">
        <f>'[2]India Sun Oil Imports'!GV$290</f>
        <v>0.39200000000000002</v>
      </c>
      <c r="Q259" s="146">
        <f>'[2]India Sun Oil Imports'!HH$290</f>
        <v>73.569999999999993</v>
      </c>
      <c r="R259" s="146">
        <f>'[2]India Sun Oil Imports'!HT$290</f>
        <v>44.603999999999999</v>
      </c>
      <c r="S259" s="146">
        <f>'[2]India Sun Oil Imports'!IF$290</f>
        <v>37.478999999999999</v>
      </c>
      <c r="T259" s="146">
        <f>'[2]India Sun Oil Imports'!IR$290</f>
        <v>66.495000000000005</v>
      </c>
      <c r="U259" s="146">
        <f>'[2]India Sun Oil Imports'!JD$290</f>
        <v>78.134</v>
      </c>
      <c r="V259" s="146">
        <f>'[2]India Sun Oil Imports'!JP$290</f>
        <v>79.207999999999998</v>
      </c>
      <c r="W259" s="146">
        <f>'[2]India Sun Oil Imports'!KB$290</f>
        <v>84.356999999999999</v>
      </c>
      <c r="X259" s="146">
        <f>'[2]India Sun Oil Imports'!KN$290</f>
        <v>112.059</v>
      </c>
      <c r="Y259" s="146">
        <f>'[2]India Sun Oil Imports'!KZ$290</f>
        <v>210.738</v>
      </c>
      <c r="Z259" s="146">
        <f>'[2]India Sun Oil Imports'!LL$290</f>
        <v>212.78407899999999</v>
      </c>
      <c r="AA259" s="146">
        <f>'[2]India Sun Oil Imports'!LX$290</f>
        <v>169.109949</v>
      </c>
      <c r="AB259" s="146">
        <f>'[2]India Sun Oil Imports'!MJ$290</f>
        <v>234.05422300000001</v>
      </c>
      <c r="AC259" s="146">
        <f>'[2]India Sun Oil Imports'!MV$290</f>
        <v>109.46899999999999</v>
      </c>
      <c r="AD259" s="146">
        <f>'[2]India Sun Oil Imports'!NH$290</f>
        <v>145.26599999999999</v>
      </c>
      <c r="AE259" s="253">
        <f t="shared" si="135"/>
        <v>197.98663401991507</v>
      </c>
    </row>
    <row r="260" spans="1:31">
      <c r="A260" s="240" t="s">
        <v>233</v>
      </c>
      <c r="B260" s="290">
        <f t="shared" si="136"/>
        <v>0</v>
      </c>
      <c r="C260" s="290">
        <f t="shared" si="134"/>
        <v>9.1105665206454542</v>
      </c>
      <c r="D260" s="290">
        <f t="shared" si="134"/>
        <v>9.0018124073200809</v>
      </c>
      <c r="E260" s="290">
        <f t="shared" si="134"/>
        <v>45.291476205336139</v>
      </c>
      <c r="F260" s="290">
        <f t="shared" si="134"/>
        <v>12.003572907853586</v>
      </c>
      <c r="G260" s="146">
        <f>'[2]India Sun Oil Imports'!CS$290</f>
        <v>5.4720000000000004</v>
      </c>
      <c r="H260" s="146">
        <f>'[2]India Sun Oil Imports'!DE$290</f>
        <v>50.024000000000001</v>
      </c>
      <c r="I260" s="146">
        <f>'[2]India Sun Oil Imports'!DQ$290</f>
        <v>13.127000000000001</v>
      </c>
      <c r="J260" s="146">
        <f>'[2]India Sun Oil Imports'!EC$290</f>
        <v>0</v>
      </c>
      <c r="K260" s="146">
        <f>'[2]India Sun Oil Imports'!EO$290</f>
        <v>28.091000000000001</v>
      </c>
      <c r="L260" s="146">
        <f>'[2]India Sun Oil Imports'!FA$290</f>
        <v>19.361999999999998</v>
      </c>
      <c r="M260" s="146">
        <f>'[2]India Sun Oil Imports'!FM$290</f>
        <v>1</v>
      </c>
      <c r="N260" s="146">
        <f>'[2]India Sun Oil Imports'!FY$290</f>
        <v>6.5979999999999999</v>
      </c>
      <c r="O260" s="146">
        <f>'[2]India Sun Oil Imports'!GK$290</f>
        <v>29.282</v>
      </c>
      <c r="P260" s="146">
        <f>'[2]India Sun Oil Imports'!GW$290</f>
        <v>0</v>
      </c>
      <c r="Q260" s="146">
        <f>'[2]India Sun Oil Imports'!HI$290</f>
        <v>62.145000000000003</v>
      </c>
      <c r="R260" s="146">
        <f>'[2]India Sun Oil Imports'!HU$290</f>
        <v>57.134</v>
      </c>
      <c r="S260" s="146">
        <f>'[2]India Sun Oil Imports'!IG$290</f>
        <v>41.780999999999999</v>
      </c>
      <c r="T260" s="146">
        <f>'[2]India Sun Oil Imports'!IS$290</f>
        <v>101.32</v>
      </c>
      <c r="U260" s="146">
        <f>'[2]India Sun Oil Imports'!JE$290</f>
        <v>102.503</v>
      </c>
      <c r="V260" s="146">
        <f>'[2]India Sun Oil Imports'!JQ$290</f>
        <v>102.032</v>
      </c>
      <c r="W260" s="146">
        <f>'[2]India Sun Oil Imports'!KC$290</f>
        <v>149.54900000000001</v>
      </c>
      <c r="X260" s="146">
        <f>'[2]India Sun Oil Imports'!KO$290</f>
        <v>170.06299999999999</v>
      </c>
      <c r="Y260" s="146">
        <f>'[2]India Sun Oil Imports'!LA$290</f>
        <v>224.87200000000001</v>
      </c>
      <c r="Z260" s="146">
        <f>'[2]India Sun Oil Imports'!LM$290</f>
        <v>202.04320300000001</v>
      </c>
      <c r="AA260" s="146">
        <f>'[2]India Sun Oil Imports'!LY$290</f>
        <v>326.15139499999998</v>
      </c>
      <c r="AB260" s="146">
        <f>'[2]India Sun Oil Imports'!MK$290</f>
        <v>277.51935900000001</v>
      </c>
      <c r="AC260" s="146">
        <f>'[2]India Sun Oil Imports'!MW$290</f>
        <v>151.08099999999999</v>
      </c>
      <c r="AD260" s="253">
        <f>(SUM(X260:AB260)/SUM(X$267:AB$267))*AD$267-40</f>
        <v>224.51310490906002</v>
      </c>
      <c r="AE260" s="253">
        <f t="shared" si="135"/>
        <v>249.90968442368512</v>
      </c>
    </row>
    <row r="261" spans="1:31">
      <c r="A261" s="240" t="s">
        <v>234</v>
      </c>
      <c r="B261" s="290">
        <f t="shared" si="136"/>
        <v>0</v>
      </c>
      <c r="C261" s="290">
        <f t="shared" si="134"/>
        <v>1.9903547320360355</v>
      </c>
      <c r="D261" s="290">
        <f t="shared" si="134"/>
        <v>6.7610179024936219</v>
      </c>
      <c r="E261" s="290">
        <f t="shared" si="134"/>
        <v>38.037670859190555</v>
      </c>
      <c r="F261" s="290">
        <f t="shared" si="134"/>
        <v>12.791736603739697</v>
      </c>
      <c r="G261" s="146">
        <f>'[2]India Sun Oil Imports'!CT$290</f>
        <v>45.35</v>
      </c>
      <c r="H261" s="146">
        <f>'[2]India Sun Oil Imports'!DF$290</f>
        <v>42.128999999999998</v>
      </c>
      <c r="I261" s="146">
        <f>'[2]India Sun Oil Imports'!DR$290</f>
        <v>10.222</v>
      </c>
      <c r="J261" s="146">
        <f>'[2]India Sun Oil Imports'!ED$290</f>
        <v>0</v>
      </c>
      <c r="K261" s="146">
        <f>'[2]India Sun Oil Imports'!EP$290</f>
        <v>0</v>
      </c>
      <c r="L261" s="146">
        <f>'[2]India Sun Oil Imports'!FB$290</f>
        <v>0</v>
      </c>
      <c r="M261" s="146">
        <f>'[2]India Sun Oil Imports'!FN$290</f>
        <v>8.9999999999999993E-3</v>
      </c>
      <c r="N261" s="146">
        <f>'[2]India Sun Oil Imports'!FZ$290</f>
        <v>8.5090000000000003</v>
      </c>
      <c r="O261" s="146">
        <f>'[2]India Sun Oil Imports'!GL$290</f>
        <v>3.7690000000000001</v>
      </c>
      <c r="P261" s="146">
        <f>'[2]India Sun Oil Imports'!GX$290</f>
        <v>0</v>
      </c>
      <c r="Q261" s="146">
        <f>'[2]India Sun Oil Imports'!HJ$290</f>
        <v>62.088000000000001</v>
      </c>
      <c r="R261" s="146">
        <f>'[2]India Sun Oil Imports'!HV$290</f>
        <v>55.942999999999998</v>
      </c>
      <c r="S261" s="146">
        <f>'[2]India Sun Oil Imports'!IH$290</f>
        <v>81.040000000000006</v>
      </c>
      <c r="T261" s="146">
        <f>'[2]India Sun Oil Imports'!IT$290</f>
        <v>135.874</v>
      </c>
      <c r="U261" s="146">
        <f>'[2]India Sun Oil Imports'!JF$290</f>
        <v>80.912999999999997</v>
      </c>
      <c r="V261" s="146">
        <f>'[2]India Sun Oil Imports'!JR$290</f>
        <v>133.173</v>
      </c>
      <c r="W261" s="146">
        <f>'[2]India Sun Oil Imports'!KD$290</f>
        <v>143.77199999999999</v>
      </c>
      <c r="X261" s="146">
        <f>'[2]India Sun Oil Imports'!KP$290</f>
        <v>79.55</v>
      </c>
      <c r="Y261" s="146">
        <f>'[2]India Sun Oil Imports'!LB$290</f>
        <v>238.67599999999999</v>
      </c>
      <c r="Z261" s="146">
        <f>'[2]India Sun Oil Imports'!LN$290</f>
        <v>288.39589899999999</v>
      </c>
      <c r="AA261" s="146">
        <f>'[2]India Sun Oil Imports'!LZ$290</f>
        <v>248.775013</v>
      </c>
      <c r="AB261" s="146">
        <f>'[2]India Sun Oil Imports'!ML$290</f>
        <v>231.42693700000001</v>
      </c>
      <c r="AC261" s="146">
        <f>'[2]India Sun Oil Imports'!MX$290</f>
        <v>166.13300000000001</v>
      </c>
      <c r="AD261" s="253">
        <f t="shared" ref="AD261:AD265" si="137">(SUM(X261:AB261)/SUM(X$267:AB$267))*AD$267</f>
        <v>239.43647234451848</v>
      </c>
      <c r="AE261" s="253">
        <f t="shared" si="135"/>
        <v>248.16276159457738</v>
      </c>
    </row>
    <row r="262" spans="1:31">
      <c r="A262" s="240" t="s">
        <v>46</v>
      </c>
      <c r="B262" s="290">
        <f t="shared" si="136"/>
        <v>0</v>
      </c>
      <c r="C262" s="290">
        <f t="shared" si="134"/>
        <v>1.55282334673211</v>
      </c>
      <c r="D262" s="290">
        <f t="shared" si="134"/>
        <v>5.2682760540654172</v>
      </c>
      <c r="E262" s="290">
        <f t="shared" si="134"/>
        <v>34.641663961924642</v>
      </c>
      <c r="F262" s="290">
        <f t="shared" si="134"/>
        <v>10.167551317036796</v>
      </c>
      <c r="G262" s="146">
        <f>'[2]India Sun Oil Imports'!CU$290</f>
        <v>24.103999999999999</v>
      </c>
      <c r="H262" s="146">
        <f>'[2]India Sun Oil Imports'!DG$290</f>
        <v>64.94</v>
      </c>
      <c r="I262" s="146">
        <f>'[2]India Sun Oil Imports'!DS$290</f>
        <v>13.983000000000001</v>
      </c>
      <c r="J262" s="146">
        <f>'[2]India Sun Oil Imports'!EE$290</f>
        <v>1E-3</v>
      </c>
      <c r="K262" s="146">
        <f>'[2]India Sun Oil Imports'!EQ$290</f>
        <v>1.8</v>
      </c>
      <c r="L262" s="146">
        <f>'[2]India Sun Oil Imports'!FC$290</f>
        <v>5.2999999999999999E-2</v>
      </c>
      <c r="M262" s="146">
        <f>'[2]India Sun Oil Imports'!FO$290</f>
        <v>0</v>
      </c>
      <c r="N262" s="146">
        <f>'[2]India Sun Oil Imports'!GA$290</f>
        <v>2</v>
      </c>
      <c r="O262" s="146">
        <f>'[2]India Sun Oil Imports'!GM$290</f>
        <v>4.5279999999999996</v>
      </c>
      <c r="P262" s="146">
        <f>'[2]India Sun Oil Imports'!GY$290</f>
        <v>3.0049999999999999</v>
      </c>
      <c r="Q262" s="146">
        <f>'[2]India Sun Oil Imports'!HK$290</f>
        <v>48.420999999999999</v>
      </c>
      <c r="R262" s="146">
        <f>'[2]India Sun Oil Imports'!HW$290</f>
        <v>60.720999999999997</v>
      </c>
      <c r="S262" s="146">
        <f>'[2]India Sun Oil Imports'!II$290</f>
        <v>44.552999999999997</v>
      </c>
      <c r="T262" s="146">
        <f>'[2]India Sun Oil Imports'!IU$290</f>
        <v>135.99199999999999</v>
      </c>
      <c r="U262" s="146">
        <f>'[2]India Sun Oil Imports'!JG$290</f>
        <v>50.305999999999997</v>
      </c>
      <c r="V262" s="146">
        <f>'[2]India Sun Oil Imports'!JS$290</f>
        <v>209.82</v>
      </c>
      <c r="W262" s="146">
        <f>'[2]India Sun Oil Imports'!KE$290</f>
        <v>144.93299999999999</v>
      </c>
      <c r="X262" s="146">
        <f>'[2]India Sun Oil Imports'!KQ$290</f>
        <v>146.01599999999999</v>
      </c>
      <c r="Y262" s="146">
        <f>'[2]India Sun Oil Imports'!LC$290</f>
        <v>171.302763</v>
      </c>
      <c r="Z262" s="146">
        <f>'[2]India Sun Oil Imports'!LO$290</f>
        <v>281.38460099999998</v>
      </c>
      <c r="AA262" s="146">
        <f>'[2]India Sun Oil Imports'!MA$290</f>
        <v>134.85741200000001</v>
      </c>
      <c r="AB262" s="146">
        <f>'[2]India Sun Oil Imports'!MM$290</f>
        <v>170.64824200000001</v>
      </c>
      <c r="AC262" s="146">
        <f>'[2]India Sun Oil Imports'!MY$290</f>
        <v>158.595</v>
      </c>
      <c r="AD262" s="253">
        <f t="shared" si="137"/>
        <v>199.20488286232043</v>
      </c>
      <c r="AE262" s="253">
        <f t="shared" si="135"/>
        <v>193.89067529100399</v>
      </c>
    </row>
    <row r="263" spans="1:31">
      <c r="A263" s="240" t="s">
        <v>235</v>
      </c>
      <c r="B263" s="290">
        <f t="shared" si="136"/>
        <v>0</v>
      </c>
      <c r="C263" s="290">
        <f t="shared" si="134"/>
        <v>7.4636277593033551</v>
      </c>
      <c r="D263" s="290">
        <f t="shared" si="134"/>
        <v>11.647858916305417</v>
      </c>
      <c r="E263" s="290">
        <f t="shared" si="134"/>
        <v>46.315766062866309</v>
      </c>
      <c r="F263" s="290">
        <f t="shared" si="134"/>
        <v>11.314355350457259</v>
      </c>
      <c r="G263" s="146">
        <f>'[2]India Sun Oil Imports'!CV$290</f>
        <v>41.612000000000002</v>
      </c>
      <c r="H263" s="146">
        <f>'[2]India Sun Oil Imports'!DH$290</f>
        <v>30.437000000000001</v>
      </c>
      <c r="I263" s="146">
        <f>'[2]India Sun Oil Imports'!DT$290</f>
        <v>13.275</v>
      </c>
      <c r="J263" s="146">
        <f>'[2]India Sun Oil Imports'!EF$290</f>
        <v>0</v>
      </c>
      <c r="K263" s="146">
        <f>'[2]India Sun Oil Imports'!ER$290</f>
        <v>0.91600000000000004</v>
      </c>
      <c r="L263" s="146">
        <f>'[2]India Sun Oil Imports'!FD$290</f>
        <v>8.9999999999999993E-3</v>
      </c>
      <c r="M263" s="146">
        <f>'[2]India Sun Oil Imports'!FP$290</f>
        <v>0</v>
      </c>
      <c r="N263" s="146">
        <f>'[2]India Sun Oil Imports'!GB$290</f>
        <v>8.7569999999999997</v>
      </c>
      <c r="O263" s="146">
        <f>'[2]India Sun Oil Imports'!GN$290</f>
        <v>37.305999999999997</v>
      </c>
      <c r="P263" s="146">
        <f>'[2]India Sun Oil Imports'!GZ$290</f>
        <v>3.0000000000000001E-3</v>
      </c>
      <c r="Q263" s="146">
        <f>'[2]India Sun Oil Imports'!HL$290</f>
        <v>82.066999999999993</v>
      </c>
      <c r="R263" s="146">
        <f>'[2]India Sun Oil Imports'!HX$290</f>
        <v>30.535</v>
      </c>
      <c r="S263" s="146">
        <f>'[2]India Sun Oil Imports'!IJ$290</f>
        <v>29.501999999999999</v>
      </c>
      <c r="T263" s="146">
        <f>'[2]India Sun Oil Imports'!IV$290</f>
        <v>102.52</v>
      </c>
      <c r="U263" s="146">
        <f>'[2]India Sun Oil Imports'!JH$290</f>
        <v>121.371</v>
      </c>
      <c r="V263" s="146">
        <f>'[2]India Sun Oil Imports'!JT$290</f>
        <v>145.62899999999999</v>
      </c>
      <c r="W263" s="146">
        <f>'[2]India Sun Oil Imports'!KF$290</f>
        <v>114.11</v>
      </c>
      <c r="X263" s="146">
        <f>'[2]India Sun Oil Imports'!KR$290</f>
        <v>126.241</v>
      </c>
      <c r="Y263" s="146">
        <f>'[2]India Sun Oil Imports'!LD$290</f>
        <v>165.623874</v>
      </c>
      <c r="Z263" s="146">
        <f>'[2]India Sun Oil Imports'!LP$290</f>
        <v>235.17783499999999</v>
      </c>
      <c r="AA263" s="146">
        <f>'[2]India Sun Oil Imports'!MB$290</f>
        <v>163.14991599999999</v>
      </c>
      <c r="AB263" s="146">
        <f>'[2]India Sun Oil Imports'!MN$290</f>
        <v>232.255573</v>
      </c>
      <c r="AC263" s="146">
        <f>'[2]India Sun Oil Imports'!MZ$290</f>
        <v>202.13200000000001</v>
      </c>
      <c r="AD263" s="253">
        <f t="shared" si="137"/>
        <v>203.2231282492568</v>
      </c>
      <c r="AE263" s="253">
        <f t="shared" si="135"/>
        <v>211.13786117315871</v>
      </c>
    </row>
    <row r="264" spans="1:31">
      <c r="A264" s="240" t="s">
        <v>236</v>
      </c>
      <c r="B264" s="290">
        <f t="shared" si="136"/>
        <v>0</v>
      </c>
      <c r="C264" s="290">
        <f t="shared" si="134"/>
        <v>2.4662774310448965</v>
      </c>
      <c r="D264" s="290">
        <f t="shared" si="134"/>
        <v>3.4749132146651589</v>
      </c>
      <c r="E264" s="290">
        <f t="shared" si="134"/>
        <v>27.773755222121292</v>
      </c>
      <c r="F264" s="290">
        <f t="shared" si="134"/>
        <v>11.458139414037056</v>
      </c>
      <c r="G264" s="146">
        <f>'[2]India Sun Oil Imports'!CW$290</f>
        <v>52.593000000000004</v>
      </c>
      <c r="H264" s="146">
        <f>'[2]India Sun Oil Imports'!DI$290</f>
        <v>50.433999999999997</v>
      </c>
      <c r="I264" s="146">
        <f>'[2]India Sun Oil Imports'!DU$290</f>
        <v>14.377000000000001</v>
      </c>
      <c r="J264" s="146">
        <f>'[2]India Sun Oil Imports'!EG$290</f>
        <v>0</v>
      </c>
      <c r="K264" s="146">
        <f>'[2]India Sun Oil Imports'!ES$290</f>
        <v>2.8359999999999999</v>
      </c>
      <c r="L264" s="146">
        <f>'[2]India Sun Oil Imports'!FE$290</f>
        <v>0</v>
      </c>
      <c r="M264" s="146">
        <f>'[2]India Sun Oil Imports'!FQ$290</f>
        <v>0</v>
      </c>
      <c r="N264" s="146">
        <f>'[2]India Sun Oil Imports'!GC$290</f>
        <v>3.5169999999999999</v>
      </c>
      <c r="O264" s="146">
        <f>'[2]India Sun Oil Imports'!GO$290</f>
        <v>11.708</v>
      </c>
      <c r="P264" s="146">
        <f>'[2]India Sun Oil Imports'!HA$290</f>
        <v>0</v>
      </c>
      <c r="Q264" s="146">
        <f>'[2]India Sun Oil Imports'!HM$290</f>
        <v>23.001000000000001</v>
      </c>
      <c r="R264" s="146">
        <f>'[2]India Sun Oil Imports'!HY$290</f>
        <v>56.920999999999999</v>
      </c>
      <c r="S264" s="146">
        <f>'[2]India Sun Oil Imports'!IK$290</f>
        <v>90.063000000000002</v>
      </c>
      <c r="T264" s="146">
        <f>'[2]India Sun Oil Imports'!IW$290</f>
        <v>100.845</v>
      </c>
      <c r="U264" s="146">
        <f>'[2]India Sun Oil Imports'!JI$290</f>
        <v>64.22</v>
      </c>
      <c r="V264" s="146">
        <f>'[2]India Sun Oil Imports'!JU$290</f>
        <v>138.43199999999999</v>
      </c>
      <c r="W264" s="146">
        <f>'[2]India Sun Oil Imports'!KG$290</f>
        <v>134.072</v>
      </c>
      <c r="X264" s="146">
        <f>'[2]India Sun Oil Imports'!KS$290</f>
        <v>138.49100000000001</v>
      </c>
      <c r="Y264" s="146">
        <f>'[2]India Sun Oil Imports'!LE$290</f>
        <v>187.18808999999999</v>
      </c>
      <c r="Z264" s="146">
        <f>'[2]India Sun Oil Imports'!LQ$290</f>
        <v>169.223873</v>
      </c>
      <c r="AA264" s="146">
        <f>'[2]India Sun Oil Imports'!MC$290</f>
        <v>206.254786</v>
      </c>
      <c r="AB264" s="146">
        <f>'[2]India Sun Oil Imports'!MO$290</f>
        <v>242.81457</v>
      </c>
      <c r="AC264" s="146">
        <f>'[2]India Sun Oil Imports'!NA$290</f>
        <v>69.808000000000007</v>
      </c>
      <c r="AD264" s="253">
        <f t="shared" si="137"/>
        <v>207.96507388037131</v>
      </c>
      <c r="AE264" s="253">
        <f t="shared" si="135"/>
        <v>185.11415267636386</v>
      </c>
    </row>
    <row r="265" spans="1:31">
      <c r="A265" s="240" t="s">
        <v>237</v>
      </c>
      <c r="B265" s="290">
        <f t="shared" si="136"/>
        <v>0</v>
      </c>
      <c r="C265" s="290">
        <f t="shared" si="134"/>
        <v>7.3959164971570983</v>
      </c>
      <c r="D265" s="290">
        <f t="shared" si="134"/>
        <v>5.1084660443500054</v>
      </c>
      <c r="E265" s="290">
        <f t="shared" si="134"/>
        <v>34.577153258443836</v>
      </c>
      <c r="F265" s="290">
        <f t="shared" si="134"/>
        <v>11.147490160881754</v>
      </c>
      <c r="G265" s="146">
        <f>'[2]India Sun Oil Imports'!CX$290</f>
        <v>7.2679999999999998</v>
      </c>
      <c r="H265" s="146">
        <f>'[2]India Sun Oil Imports'!DJ$290</f>
        <v>68.12</v>
      </c>
      <c r="I265" s="146">
        <f>'[2]India Sun Oil Imports'!DV$290</f>
        <v>37.698</v>
      </c>
      <c r="J265" s="146">
        <f>'[2]India Sun Oil Imports'!EH$290</f>
        <v>0</v>
      </c>
      <c r="K265" s="146">
        <f>'[2]India Sun Oil Imports'!ET$290</f>
        <v>19.309999999999999</v>
      </c>
      <c r="L265" s="146">
        <f>'[2]India Sun Oil Imports'!FF$290</f>
        <v>16.591000000000001</v>
      </c>
      <c r="M265" s="146">
        <f>'[2]India Sun Oil Imports'!FR$290</f>
        <v>8.9999999999999993E-3</v>
      </c>
      <c r="N265" s="146">
        <f>'[2]India Sun Oil Imports'!GD$290</f>
        <v>0</v>
      </c>
      <c r="O265" s="146">
        <f>'[2]India Sun Oil Imports'!GP$290</f>
        <v>27.484000000000002</v>
      </c>
      <c r="P265" s="146">
        <f>'[2]India Sun Oil Imports'!HB$290</f>
        <v>1.573</v>
      </c>
      <c r="Q265" s="146">
        <f>'[2]India Sun Oil Imports'!HN$290</f>
        <v>27.13</v>
      </c>
      <c r="R265" s="146">
        <f>'[2]India Sun Oil Imports'!HZ$290</f>
        <v>62.267000000000003</v>
      </c>
      <c r="S265" s="146">
        <f>'[2]India Sun Oil Imports'!IL$290</f>
        <v>58.313000000000002</v>
      </c>
      <c r="T265" s="146">
        <f>'[2]India Sun Oil Imports'!IX$290</f>
        <v>59.011000000000003</v>
      </c>
      <c r="U265" s="146">
        <f>'[2]India Sun Oil Imports'!JJ$290</f>
        <v>70.86</v>
      </c>
      <c r="V265" s="146">
        <f>'[2]India Sun Oil Imports'!JV$290</f>
        <v>123.956</v>
      </c>
      <c r="W265" s="146">
        <f>'[2]India Sun Oil Imports'!KH$290</f>
        <v>89.858999999999995</v>
      </c>
      <c r="X265" s="146">
        <f>'[2]India Sun Oil Imports'!KT$290</f>
        <v>120.521</v>
      </c>
      <c r="Y265" s="146">
        <f>'[2]India Sun Oil Imports'!LF$290</f>
        <v>151.31088199999999</v>
      </c>
      <c r="Z265" s="146">
        <f>'[2]India Sun Oil Imports'!LR$290</f>
        <v>200.69258500000001</v>
      </c>
      <c r="AA265" s="146">
        <f>'[2]India Sun Oil Imports'!MD$290</f>
        <v>231.26852700000001</v>
      </c>
      <c r="AB265" s="146">
        <f>'[2]India Sun Oil Imports'!MP$290</f>
        <v>148.07914099999999</v>
      </c>
      <c r="AC265" s="146">
        <f>'[2]India Sun Oil Imports'!NB$290</f>
        <v>86.838999999999999</v>
      </c>
      <c r="AD265" s="253">
        <f t="shared" si="137"/>
        <v>187.67462554365923</v>
      </c>
      <c r="AE265" s="253">
        <f t="shared" si="135"/>
        <v>173.03829748742166</v>
      </c>
    </row>
    <row r="266" spans="1:31">
      <c r="A266" s="240" t="s">
        <v>238</v>
      </c>
      <c r="B266" s="290">
        <f t="shared" si="136"/>
        <v>0</v>
      </c>
      <c r="C266" s="290">
        <f t="shared" si="134"/>
        <v>4.933688782747744</v>
      </c>
      <c r="D266" s="290">
        <f t="shared" si="134"/>
        <v>5.5519888187535873</v>
      </c>
      <c r="E266" s="290">
        <f t="shared" si="134"/>
        <v>35.309831383949891</v>
      </c>
      <c r="F266" s="290">
        <f t="shared" si="134"/>
        <v>10.060343901209752</v>
      </c>
      <c r="G266" s="146">
        <f>'[2]India Sun Oil Imports'!CY$290</f>
        <v>18.824000000000002</v>
      </c>
      <c r="H266" s="146">
        <f>'[2]India Sun Oil Imports'!DK$290</f>
        <v>22.186</v>
      </c>
      <c r="I266" s="146">
        <f>'[2]India Sun Oil Imports'!DW$290</f>
        <v>23.434000000000001</v>
      </c>
      <c r="J266" s="146">
        <f>'[2]India Sun Oil Imports'!EI$290</f>
        <v>8.9999999999999993E-3</v>
      </c>
      <c r="K266" s="146">
        <f>'[2]India Sun Oil Imports'!EU$290</f>
        <v>9.3539999999999992</v>
      </c>
      <c r="L266" s="146">
        <f>'[2]India Sun Oil Imports'!FG$290</f>
        <v>12.525</v>
      </c>
      <c r="M266" s="146">
        <f>'[2]India Sun Oil Imports'!FS$290</f>
        <v>0</v>
      </c>
      <c r="N266" s="146">
        <f>'[2]India Sun Oil Imports'!GE$290</f>
        <v>2.2330000000000001</v>
      </c>
      <c r="O266" s="146">
        <f>'[2]India Sun Oil Imports'!GQ$290</f>
        <v>0</v>
      </c>
      <c r="P266" s="146">
        <f>'[2]India Sun Oil Imports'!HC$290</f>
        <v>15.699</v>
      </c>
      <c r="Q266" s="146">
        <f>'[2]India Sun Oil Imports'!HO$290</f>
        <v>43.143000000000001</v>
      </c>
      <c r="R266" s="146">
        <f>'[2]India Sun Oil Imports'!IA$290</f>
        <v>59.889000000000003</v>
      </c>
      <c r="S266" s="146">
        <f>'[2]India Sun Oil Imports'!IM$290</f>
        <v>40.796999999999997</v>
      </c>
      <c r="T266" s="146">
        <f>'[2]India Sun Oil Imports'!IY$290</f>
        <v>94.02</v>
      </c>
      <c r="U266" s="146">
        <f>'[2]India Sun Oil Imports'!JK$290</f>
        <v>44.17</v>
      </c>
      <c r="V266" s="146">
        <f>'[2]India Sun Oil Imports'!JW$290</f>
        <v>110.776</v>
      </c>
      <c r="W266" s="146">
        <f>'[2]India Sun Oil Imports'!KI$290</f>
        <v>87.194000000000003</v>
      </c>
      <c r="X266" s="146">
        <f>'[2]India Sun Oil Imports'!KU$290</f>
        <v>102.229</v>
      </c>
      <c r="Y266" s="146">
        <f>'[2]India Sun Oil Imports'!LG$290</f>
        <v>197.927516</v>
      </c>
      <c r="Z266" s="146">
        <f>'[2]India Sun Oil Imports'!LS$290</f>
        <v>158.13998900000001</v>
      </c>
      <c r="AA266" s="146">
        <f>'[2]India Sun Oil Imports'!ME$290</f>
        <v>98.720477000000002</v>
      </c>
      <c r="AB266" s="146">
        <f>'[2]India Sun Oil Imports'!MQ$290</f>
        <v>67.223140999999998</v>
      </c>
      <c r="AC266" s="146">
        <f>'[2]India Sun Oil Imports'!NC$290</f>
        <v>182.81399999999999</v>
      </c>
      <c r="AD266" s="253">
        <f t="shared" ref="AD266:AE266" si="138">AD267-SUM(AD255:AD265)</f>
        <v>204.96271221081361</v>
      </c>
      <c r="AE266" s="253">
        <f t="shared" si="138"/>
        <v>149.06283282220602</v>
      </c>
    </row>
    <row r="267" spans="1:31" ht="15.75" thickBot="1">
      <c r="A267" s="240" t="s">
        <v>242</v>
      </c>
      <c r="B267" s="292">
        <f t="shared" ref="B267:G267" si="139">B34</f>
        <v>0</v>
      </c>
      <c r="C267" s="292">
        <f t="shared" si="139"/>
        <v>70</v>
      </c>
      <c r="D267" s="292">
        <f t="shared" si="139"/>
        <v>80</v>
      </c>
      <c r="E267" s="292">
        <f t="shared" si="139"/>
        <v>420</v>
      </c>
      <c r="F267" s="292">
        <f t="shared" si="139"/>
        <v>125</v>
      </c>
      <c r="G267" s="292">
        <f t="shared" si="139"/>
        <v>550</v>
      </c>
      <c r="H267" s="292">
        <f t="shared" ref="H267:AB267" si="140">SUM(H255:H266)</f>
        <v>502.59200000000004</v>
      </c>
      <c r="I267" s="292">
        <f t="shared" si="140"/>
        <v>365.48599999999999</v>
      </c>
      <c r="J267" s="292">
        <f t="shared" si="140"/>
        <v>20.536000000000001</v>
      </c>
      <c r="K267" s="292">
        <f t="shared" si="140"/>
        <v>71.62299999999999</v>
      </c>
      <c r="L267" s="292">
        <f t="shared" si="140"/>
        <v>106.90299999999999</v>
      </c>
      <c r="M267" s="292">
        <f t="shared" si="140"/>
        <v>9.168000000000001</v>
      </c>
      <c r="N267" s="292">
        <f t="shared" si="140"/>
        <v>92.12700000000001</v>
      </c>
      <c r="O267" s="292">
        <f t="shared" si="140"/>
        <v>201.22800000000001</v>
      </c>
      <c r="P267" s="292">
        <f t="shared" si="140"/>
        <v>22.702999999999999</v>
      </c>
      <c r="Q267" s="292">
        <f t="shared" si="140"/>
        <v>554.81899999999996</v>
      </c>
      <c r="R267" s="292">
        <f t="shared" si="140"/>
        <v>567.95399999999995</v>
      </c>
      <c r="S267" s="292">
        <f t="shared" si="140"/>
        <v>635.43500000000006</v>
      </c>
      <c r="T267" s="292">
        <f t="shared" si="140"/>
        <v>1072.079</v>
      </c>
      <c r="U267" s="292">
        <f t="shared" si="140"/>
        <v>953.64800000000014</v>
      </c>
      <c r="V267" s="292">
        <f t="shared" si="140"/>
        <v>1515.7619999999999</v>
      </c>
      <c r="W267" s="292">
        <f t="shared" si="140"/>
        <v>1574.6899999999996</v>
      </c>
      <c r="X267" s="292">
        <f t="shared" si="140"/>
        <v>1492.174</v>
      </c>
      <c r="Y267" s="292">
        <f t="shared" si="140"/>
        <v>2150.9761250000001</v>
      </c>
      <c r="Z267" s="292">
        <f t="shared" si="140"/>
        <v>2458.931705</v>
      </c>
      <c r="AA267" s="292">
        <f t="shared" si="140"/>
        <v>2327.8161049999999</v>
      </c>
      <c r="AB267" s="292">
        <f t="shared" si="140"/>
        <v>2513.8495830000002</v>
      </c>
      <c r="AC267" s="146">
        <f>SUM(AC255:AC266)</f>
        <v>1957.997799</v>
      </c>
      <c r="AD267" s="253">
        <f t="shared" ref="AD267:AE267" si="141">AD34</f>
        <v>2411</v>
      </c>
      <c r="AE267" s="253">
        <f t="shared" si="141"/>
        <v>2413</v>
      </c>
    </row>
    <row r="268" spans="1:31">
      <c r="A268" s="248"/>
      <c r="B268" s="248"/>
      <c r="C268" s="248"/>
      <c r="E268" s="248"/>
      <c r="F268" s="248"/>
      <c r="G268" s="263"/>
      <c r="H268" s="254"/>
      <c r="I268" s="254"/>
      <c r="J268" s="254"/>
      <c r="K268" s="254"/>
      <c r="L268" s="254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  <c r="AD268" s="248"/>
      <c r="AE268" s="248"/>
    </row>
    <row r="269" spans="1:31" ht="15.75" thickBot="1">
      <c r="A269" s="235" t="s">
        <v>267</v>
      </c>
      <c r="D269" s="271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</row>
    <row r="270" spans="1:31" ht="15.75" thickBot="1">
      <c r="A270" s="236"/>
      <c r="B270" s="237" t="str">
        <f>B$2</f>
        <v xml:space="preserve">93/94 </v>
      </c>
      <c r="C270" s="237" t="str">
        <f t="shared" ref="C270:AE270" si="142">C$2</f>
        <v xml:space="preserve">94/95 </v>
      </c>
      <c r="D270" s="237" t="str">
        <f t="shared" si="142"/>
        <v xml:space="preserve">95/96 </v>
      </c>
      <c r="E270" s="237" t="str">
        <f t="shared" si="142"/>
        <v xml:space="preserve">96/97 </v>
      </c>
      <c r="F270" s="237" t="str">
        <f t="shared" si="142"/>
        <v xml:space="preserve">97/98 </v>
      </c>
      <c r="G270" s="237" t="str">
        <f t="shared" si="142"/>
        <v xml:space="preserve">98/99 </v>
      </c>
      <c r="H270" s="237" t="str">
        <f t="shared" si="142"/>
        <v xml:space="preserve">99/00 </v>
      </c>
      <c r="I270" s="237" t="str">
        <f t="shared" si="142"/>
        <v xml:space="preserve">00/01 </v>
      </c>
      <c r="J270" s="237" t="str">
        <f t="shared" si="142"/>
        <v xml:space="preserve">01/02 </v>
      </c>
      <c r="K270" s="237" t="str">
        <f t="shared" si="142"/>
        <v xml:space="preserve">02/03 </v>
      </c>
      <c r="L270" s="237" t="str">
        <f t="shared" si="142"/>
        <v xml:space="preserve">03/04 </v>
      </c>
      <c r="M270" s="237" t="str">
        <f t="shared" si="142"/>
        <v xml:space="preserve">04/05 </v>
      </c>
      <c r="N270" s="237" t="str">
        <f t="shared" si="142"/>
        <v xml:space="preserve">05/06 </v>
      </c>
      <c r="O270" s="237" t="str">
        <f t="shared" si="142"/>
        <v xml:space="preserve">06/07 </v>
      </c>
      <c r="P270" s="237" t="str">
        <f t="shared" si="142"/>
        <v xml:space="preserve">07/08 </v>
      </c>
      <c r="Q270" s="237" t="str">
        <f t="shared" si="142"/>
        <v xml:space="preserve">08/09 </v>
      </c>
      <c r="R270" s="237" t="str">
        <f t="shared" si="142"/>
        <v xml:space="preserve">09/10 </v>
      </c>
      <c r="S270" s="237" t="str">
        <f t="shared" si="142"/>
        <v xml:space="preserve">10/11 </v>
      </c>
      <c r="T270" s="237" t="str">
        <f t="shared" si="142"/>
        <v xml:space="preserve">11/12 </v>
      </c>
      <c r="U270" s="237" t="str">
        <f t="shared" si="142"/>
        <v xml:space="preserve">12/13 </v>
      </c>
      <c r="V270" s="237" t="str">
        <f t="shared" si="142"/>
        <v xml:space="preserve">13/14 </v>
      </c>
      <c r="W270" s="237" t="str">
        <f t="shared" si="142"/>
        <v xml:space="preserve">14/15 </v>
      </c>
      <c r="X270" s="237" t="str">
        <f t="shared" si="142"/>
        <v xml:space="preserve">15/16 </v>
      </c>
      <c r="Y270" s="237" t="str">
        <f t="shared" si="142"/>
        <v xml:space="preserve">16/17 </v>
      </c>
      <c r="Z270" s="237" t="str">
        <f t="shared" si="142"/>
        <v xml:space="preserve">17/18 </v>
      </c>
      <c r="AA270" s="237" t="str">
        <f t="shared" si="142"/>
        <v xml:space="preserve">18/19 </v>
      </c>
      <c r="AB270" s="237" t="str">
        <f t="shared" si="142"/>
        <v xml:space="preserve">19/20 </v>
      </c>
      <c r="AC270" s="237" t="str">
        <f t="shared" si="142"/>
        <v xml:space="preserve">20/21 </v>
      </c>
      <c r="AD270" s="237" t="str">
        <f t="shared" si="142"/>
        <v xml:space="preserve">21/22 </v>
      </c>
      <c r="AE270" s="237" t="str">
        <f t="shared" si="142"/>
        <v xml:space="preserve">22/23 </v>
      </c>
    </row>
    <row r="271" spans="1:31">
      <c r="A271" s="240" t="s">
        <v>239</v>
      </c>
      <c r="B271" s="290">
        <f>(SUM(K271:O271)/SUM(K$283:O$283))*B$283</f>
        <v>0</v>
      </c>
      <c r="C271" s="290">
        <f t="shared" ref="C271:F282" si="143">(SUM(L271:P271)/SUM(L$283:P$283))*C$283</f>
        <v>0</v>
      </c>
      <c r="D271" s="241">
        <f t="shared" si="143"/>
        <v>0</v>
      </c>
      <c r="E271" s="241">
        <f t="shared" si="143"/>
        <v>0</v>
      </c>
      <c r="F271" s="241">
        <f t="shared" si="143"/>
        <v>0</v>
      </c>
      <c r="G271" s="241">
        <v>0</v>
      </c>
      <c r="H271" s="242">
        <f>'[2]India Sun Oil Exports'!CZ$290</f>
        <v>0</v>
      </c>
      <c r="I271" s="242">
        <f>'[2]India Sun Oil Exports'!DL$290</f>
        <v>0.11899999999999999</v>
      </c>
      <c r="J271" s="242">
        <f>'[2]India Sun Oil Exports'!DX$290</f>
        <v>0</v>
      </c>
      <c r="K271" s="242">
        <f>'[2]India Sun Oil Exports'!EJ$290</f>
        <v>1E-3</v>
      </c>
      <c r="L271" s="242">
        <f>'[2]India Sun Oil Exports'!EV$290</f>
        <v>0</v>
      </c>
      <c r="M271" s="242">
        <f>'[2]India Sun Oil Exports'!FH$290</f>
        <v>0.08</v>
      </c>
      <c r="N271" s="242">
        <f>'[2]India Sun Oil Exports'!FT$290</f>
        <v>0.14099999999999999</v>
      </c>
      <c r="O271" s="242">
        <f>'[2]India Sun Oil Exports'!GF$290</f>
        <v>1.5049999999999999</v>
      </c>
      <c r="P271" s="242">
        <f>'[2]India Sun Oil Exports'!GR$290</f>
        <v>4.5549999999999997</v>
      </c>
      <c r="Q271" s="242">
        <f>'[2]India Sun Oil Exports'!HD$290</f>
        <v>1.6E-2</v>
      </c>
      <c r="R271" s="242">
        <f>'[2]India Sun Oil Exports'!HP$290</f>
        <v>0.114</v>
      </c>
      <c r="S271" s="242">
        <f>'[2]India Sun Oil Exports'!IB$290</f>
        <v>0.16800000000000001</v>
      </c>
      <c r="T271" s="242">
        <f>'[2]India Sun Oil Exports'!IN$290</f>
        <v>0.14000000000000001</v>
      </c>
      <c r="U271" s="242">
        <f>'[2]India Sun Oil Exports'!IZ$290</f>
        <v>7.1999999999999995E-2</v>
      </c>
      <c r="V271" s="242">
        <f>'[2]India Sun Oil Exports'!JL$290</f>
        <v>0.09</v>
      </c>
      <c r="W271" s="242">
        <f>'[2]India Sun Oil Exports'!JX$290</f>
        <v>0.11600000000000001</v>
      </c>
      <c r="X271" s="242">
        <f>'[2]India Sun Oil Exports'!KJ$290</f>
        <v>0.20100000000000001</v>
      </c>
      <c r="Y271" s="242">
        <f>'[2]India Sun Oil Exports'!KV$290</f>
        <v>1E-3</v>
      </c>
      <c r="Z271" s="242">
        <f>'[2]India Sun Oil Exports'!LH$290</f>
        <v>0.26658700000000002</v>
      </c>
      <c r="AA271" s="242">
        <f>'[2]India Sun Oil Exports'!LT$290</f>
        <v>0.35407100000000002</v>
      </c>
      <c r="AB271" s="242">
        <f>'[2]India Sun Oil Exports'!MF$290</f>
        <v>0.29354000000000002</v>
      </c>
      <c r="AC271" s="242">
        <f>'[2]India Sun Oil Exports'!MR$290</f>
        <v>1.1119380000000001</v>
      </c>
      <c r="AD271" s="242">
        <f>'[2]India Sun Oil Exports'!ND$290</f>
        <v>0.28000000000000003</v>
      </c>
      <c r="AE271" s="243">
        <f t="shared" ref="AE271:AE281" si="144">(SUM(Y271:AC271)/SUM(Y$283:AC$283))*AE$283</f>
        <v>0.40879603521063057</v>
      </c>
    </row>
    <row r="272" spans="1:31">
      <c r="A272" s="240" t="s">
        <v>240</v>
      </c>
      <c r="B272" s="290">
        <f t="shared" ref="B272:B282" si="145">(SUM(K272:O272)/SUM(K$283:O$283))*B$283</f>
        <v>0</v>
      </c>
      <c r="C272" s="290">
        <f t="shared" si="143"/>
        <v>0</v>
      </c>
      <c r="D272" s="241">
        <f t="shared" si="143"/>
        <v>0</v>
      </c>
      <c r="E272" s="241">
        <f t="shared" si="143"/>
        <v>0</v>
      </c>
      <c r="F272" s="241">
        <f t="shared" si="143"/>
        <v>0</v>
      </c>
      <c r="G272" s="241">
        <v>0</v>
      </c>
      <c r="H272" s="242">
        <f>'[2]India Sun Oil Exports'!DA$290</f>
        <v>0</v>
      </c>
      <c r="I272" s="242">
        <f>'[2]India Sun Oil Exports'!DM$290</f>
        <v>1.4E-2</v>
      </c>
      <c r="J272" s="242">
        <f>'[2]India Sun Oil Exports'!DY$290</f>
        <v>0.20799999999999999</v>
      </c>
      <c r="K272" s="242">
        <f>'[2]India Sun Oil Exports'!EK$290</f>
        <v>0.01</v>
      </c>
      <c r="L272" s="242">
        <f>'[2]India Sun Oil Exports'!EW$290</f>
        <v>2.1999999999999999E-2</v>
      </c>
      <c r="M272" s="242">
        <f>'[2]India Sun Oil Exports'!FI$290</f>
        <v>3.0000000000000001E-3</v>
      </c>
      <c r="N272" s="242">
        <f>'[2]India Sun Oil Exports'!FU$290</f>
        <v>8.5000000000000006E-2</v>
      </c>
      <c r="O272" s="242">
        <f>'[2]India Sun Oil Exports'!GG$290</f>
        <v>0.104</v>
      </c>
      <c r="P272" s="242">
        <f>'[2]India Sun Oil Exports'!GS$290</f>
        <v>0.93200000000000005</v>
      </c>
      <c r="Q272" s="242">
        <f>'[2]India Sun Oil Exports'!HE$290</f>
        <v>2E-3</v>
      </c>
      <c r="R272" s="242">
        <f>'[2]India Sun Oil Exports'!HQ$290</f>
        <v>5.0999999999999997E-2</v>
      </c>
      <c r="S272" s="242">
        <f>'[2]India Sun Oil Exports'!IC$290</f>
        <v>3.5000000000000003E-2</v>
      </c>
      <c r="T272" s="242">
        <f>'[2]India Sun Oil Exports'!IO$290</f>
        <v>0.129</v>
      </c>
      <c r="U272" s="242">
        <f>'[2]India Sun Oil Exports'!JA$290</f>
        <v>9.8000000000000004E-2</v>
      </c>
      <c r="V272" s="242">
        <f>'[2]India Sun Oil Exports'!JM$290</f>
        <v>0.11</v>
      </c>
      <c r="W272" s="242">
        <f>'[2]India Sun Oil Exports'!JY$290</f>
        <v>0.219</v>
      </c>
      <c r="X272" s="242">
        <f>'[2]India Sun Oil Exports'!KK$290</f>
        <v>0.192</v>
      </c>
      <c r="Y272" s="242">
        <f>'[2]India Sun Oil Exports'!KW$290</f>
        <v>0.246</v>
      </c>
      <c r="Z272" s="242">
        <f>'[2]India Sun Oil Exports'!LI$290</f>
        <v>0.35298400000000002</v>
      </c>
      <c r="AA272" s="242">
        <f>'[2]India Sun Oil Exports'!LU$290</f>
        <v>0.46615899999999999</v>
      </c>
      <c r="AB272" s="242">
        <f>'[2]India Sun Oil Exports'!MG$290</f>
        <v>0.72075900000000004</v>
      </c>
      <c r="AC272" s="242">
        <f>'[2]India Sun Oil Exports'!MS$290</f>
        <v>0.24738199999999999</v>
      </c>
      <c r="AD272" s="242">
        <f>'[2]India Sun Oil Exports'!NE$290</f>
        <v>0.435</v>
      </c>
      <c r="AE272" s="243">
        <f t="shared" si="144"/>
        <v>0.41003585238346701</v>
      </c>
    </row>
    <row r="273" spans="1:31">
      <c r="A273" s="240" t="s">
        <v>241</v>
      </c>
      <c r="B273" s="290">
        <f t="shared" si="145"/>
        <v>0</v>
      </c>
      <c r="C273" s="290">
        <f t="shared" si="143"/>
        <v>0</v>
      </c>
      <c r="D273" s="241">
        <f t="shared" si="143"/>
        <v>0</v>
      </c>
      <c r="E273" s="241">
        <f t="shared" si="143"/>
        <v>0</v>
      </c>
      <c r="F273" s="241">
        <f t="shared" si="143"/>
        <v>0</v>
      </c>
      <c r="G273" s="241">
        <v>0</v>
      </c>
      <c r="H273" s="242">
        <f>'[2]India Sun Oil Exports'!DB$290</f>
        <v>1.2E-2</v>
      </c>
      <c r="I273" s="242">
        <f>'[2]India Sun Oil Exports'!DN$290</f>
        <v>0</v>
      </c>
      <c r="J273" s="242">
        <f>'[2]India Sun Oil Exports'!DZ$290</f>
        <v>2.0249999999999999</v>
      </c>
      <c r="K273" s="242">
        <f>'[2]India Sun Oil Exports'!EL$290</f>
        <v>3.0000000000000001E-3</v>
      </c>
      <c r="L273" s="242">
        <f>'[2]India Sun Oil Exports'!EX$290</f>
        <v>1E-3</v>
      </c>
      <c r="M273" s="242">
        <f>'[2]India Sun Oil Exports'!FJ$290</f>
        <v>1.2999999999999999E-2</v>
      </c>
      <c r="N273" s="242">
        <f>'[2]India Sun Oil Exports'!FV$290</f>
        <v>8.3000000000000004E-2</v>
      </c>
      <c r="O273" s="242">
        <f>'[2]India Sun Oil Exports'!GH$290</f>
        <v>0.105</v>
      </c>
      <c r="P273" s="242">
        <f>'[2]India Sun Oil Exports'!GT$290</f>
        <v>0.47799999999999998</v>
      </c>
      <c r="Q273" s="242">
        <f>'[2]India Sun Oil Exports'!HF$290</f>
        <v>1.6E-2</v>
      </c>
      <c r="R273" s="242">
        <f>'[2]India Sun Oil Exports'!HR$290</f>
        <v>8.5999999999999993E-2</v>
      </c>
      <c r="S273" s="242">
        <f>'[2]India Sun Oil Exports'!ID$290</f>
        <v>5.7000000000000002E-2</v>
      </c>
      <c r="T273" s="242">
        <f>'[2]India Sun Oil Exports'!IP$290</f>
        <v>0.159</v>
      </c>
      <c r="U273" s="242">
        <f>'[2]India Sun Oil Exports'!JB$290</f>
        <v>0.184</v>
      </c>
      <c r="V273" s="242">
        <f>'[2]India Sun Oil Exports'!JN$290</f>
        <v>0.17100000000000001</v>
      </c>
      <c r="W273" s="242">
        <f>'[2]India Sun Oil Exports'!JZ$290</f>
        <v>0.219</v>
      </c>
      <c r="X273" s="242">
        <f>'[2]India Sun Oil Exports'!KL$290</f>
        <v>0.57599999999999996</v>
      </c>
      <c r="Y273" s="242">
        <f>'[2]India Sun Oil Exports'!KX$290</f>
        <v>0.217</v>
      </c>
      <c r="Z273" s="242">
        <f>'[2]India Sun Oil Exports'!LJ$290</f>
        <v>0.184505</v>
      </c>
      <c r="AA273" s="242">
        <f>'[2]India Sun Oil Exports'!LV$290</f>
        <v>0.31189099999999997</v>
      </c>
      <c r="AB273" s="242">
        <f>'[2]India Sun Oil Exports'!MH$290</f>
        <v>0.16653000000000001</v>
      </c>
      <c r="AC273" s="242">
        <f>'[2]India Sun Oil Exports'!MT$290</f>
        <v>0.25507800000000003</v>
      </c>
      <c r="AD273" s="242">
        <f>'[2]India Sun Oil Exports'!NF$290</f>
        <v>0.29899999999999999</v>
      </c>
      <c r="AE273" s="243">
        <f t="shared" si="144"/>
        <v>0.22888702837313654</v>
      </c>
    </row>
    <row r="274" spans="1:31">
      <c r="A274" s="240" t="s">
        <v>231</v>
      </c>
      <c r="B274" s="290">
        <f t="shared" si="145"/>
        <v>0</v>
      </c>
      <c r="C274" s="290">
        <f t="shared" si="143"/>
        <v>0</v>
      </c>
      <c r="D274" s="241">
        <f t="shared" si="143"/>
        <v>0</v>
      </c>
      <c r="E274" s="241">
        <f t="shared" si="143"/>
        <v>0</v>
      </c>
      <c r="F274" s="241">
        <f t="shared" si="143"/>
        <v>0</v>
      </c>
      <c r="G274" s="242">
        <f>'[2]India Sun Oil Exports'!CQ$290</f>
        <v>2.8000000000000001E-2</v>
      </c>
      <c r="H274" s="242">
        <f>'[2]India Sun Oil Exports'!DC$290</f>
        <v>0</v>
      </c>
      <c r="I274" s="242">
        <f>'[2]India Sun Oil Exports'!DO$290</f>
        <v>0.02</v>
      </c>
      <c r="J274" s="242">
        <f>'[2]India Sun Oil Exports'!EA$290</f>
        <v>4.0000000000000001E-3</v>
      </c>
      <c r="K274" s="242">
        <f>'[2]India Sun Oil Exports'!EM$290</f>
        <v>0</v>
      </c>
      <c r="L274" s="242">
        <f>'[2]India Sun Oil Exports'!EY$290</f>
        <v>2E-3</v>
      </c>
      <c r="M274" s="242">
        <f>'[2]India Sun Oil Exports'!FK$290</f>
        <v>6.7000000000000004E-2</v>
      </c>
      <c r="N274" s="242">
        <f>'[2]India Sun Oil Exports'!FW$290</f>
        <v>4.1000000000000002E-2</v>
      </c>
      <c r="O274" s="242">
        <f>'[2]India Sun Oil Exports'!GI$290</f>
        <v>5.7000000000000002E-2</v>
      </c>
      <c r="P274" s="242">
        <f>'[2]India Sun Oil Exports'!GU$290</f>
        <v>0.59799999999999998</v>
      </c>
      <c r="Q274" s="242">
        <f>'[2]India Sun Oil Exports'!HG$290</f>
        <v>9.6000000000000002E-2</v>
      </c>
      <c r="R274" s="242">
        <f>'[2]India Sun Oil Exports'!HS$290</f>
        <v>2.9000000000000001E-2</v>
      </c>
      <c r="S274" s="242">
        <f>'[2]India Sun Oil Exports'!IE$290</f>
        <v>8.5000000000000006E-2</v>
      </c>
      <c r="T274" s="242">
        <f>'[2]India Sun Oil Exports'!IQ$290</f>
        <v>8.7999999999999995E-2</v>
      </c>
      <c r="U274" s="242">
        <f>'[2]India Sun Oil Exports'!JC$290</f>
        <v>9.0999999999999998E-2</v>
      </c>
      <c r="V274" s="242">
        <f>'[2]India Sun Oil Exports'!JO$290</f>
        <v>0.11700000000000001</v>
      </c>
      <c r="W274" s="242">
        <f>'[2]India Sun Oil Exports'!KA$290</f>
        <v>0.30199999999999999</v>
      </c>
      <c r="X274" s="242">
        <f>'[2]India Sun Oil Exports'!KM$290</f>
        <v>0.13200000000000001</v>
      </c>
      <c r="Y274" s="242">
        <f>'[2]India Sun Oil Exports'!KY$290</f>
        <v>9.6000000000000002E-2</v>
      </c>
      <c r="Z274" s="242">
        <f>'[2]India Sun Oil Exports'!LK$290</f>
        <v>0.30413200000000001</v>
      </c>
      <c r="AA274" s="242">
        <f>'[2]India Sun Oil Exports'!LW$290</f>
        <v>0.60803099999999999</v>
      </c>
      <c r="AB274" s="242">
        <f>'[2]India Sun Oil Exports'!MI$290</f>
        <v>0.12828200000000001</v>
      </c>
      <c r="AC274" s="242">
        <f>'[2]India Sun Oil Exports'!MU$290</f>
        <v>0.222</v>
      </c>
      <c r="AD274" s="242">
        <f>'[2]India Sun Oil Exports'!NG$290</f>
        <v>4.242</v>
      </c>
      <c r="AE274" s="243">
        <f t="shared" si="144"/>
        <v>0.27394655812520968</v>
      </c>
    </row>
    <row r="275" spans="1:31">
      <c r="A275" s="240" t="s">
        <v>232</v>
      </c>
      <c r="B275" s="290">
        <f t="shared" si="145"/>
        <v>0</v>
      </c>
      <c r="C275" s="290">
        <f t="shared" si="143"/>
        <v>0</v>
      </c>
      <c r="D275" s="241">
        <f t="shared" si="143"/>
        <v>0</v>
      </c>
      <c r="E275" s="241">
        <f t="shared" si="143"/>
        <v>0</v>
      </c>
      <c r="F275" s="241">
        <f t="shared" si="143"/>
        <v>0</v>
      </c>
      <c r="G275" s="242">
        <f>'[2]India Sun Oil Exports'!CR$290</f>
        <v>0</v>
      </c>
      <c r="H275" s="242">
        <f>'[2]India Sun Oil Exports'!DD$290</f>
        <v>0</v>
      </c>
      <c r="I275" s="242">
        <f>'[2]India Sun Oil Exports'!DP$290</f>
        <v>4.1000000000000002E-2</v>
      </c>
      <c r="J275" s="242">
        <f>'[2]India Sun Oil Exports'!EB$290</f>
        <v>3.0000000000000001E-3</v>
      </c>
      <c r="K275" s="242">
        <f>'[2]India Sun Oil Exports'!EN$290</f>
        <v>0</v>
      </c>
      <c r="L275" s="242">
        <f>'[2]India Sun Oil Exports'!EZ$290</f>
        <v>3.2000000000000001E-2</v>
      </c>
      <c r="M275" s="242">
        <f>'[2]India Sun Oil Exports'!FL$290</f>
        <v>8.9999999999999993E-3</v>
      </c>
      <c r="N275" s="242">
        <f>'[2]India Sun Oil Exports'!FX$290</f>
        <v>6.3E-2</v>
      </c>
      <c r="O275" s="242">
        <f>'[2]India Sun Oil Exports'!GJ$290</f>
        <v>5.3999999999999999E-2</v>
      </c>
      <c r="P275" s="242">
        <f>'[2]India Sun Oil Exports'!GV$290</f>
        <v>0.64600000000000002</v>
      </c>
      <c r="Q275" s="242">
        <f>'[2]India Sun Oil Exports'!HH$290</f>
        <v>8.7999999999999995E-2</v>
      </c>
      <c r="R275" s="242">
        <f>'[2]India Sun Oil Exports'!HT$290</f>
        <v>5.2999999999999999E-2</v>
      </c>
      <c r="S275" s="242">
        <f>'[2]India Sun Oil Exports'!IF$290</f>
        <v>0.105</v>
      </c>
      <c r="T275" s="242">
        <f>'[2]India Sun Oil Exports'!IR$290</f>
        <v>0.105</v>
      </c>
      <c r="U275" s="242">
        <f>'[2]India Sun Oil Exports'!JD$290</f>
        <v>0.125</v>
      </c>
      <c r="V275" s="242">
        <f>'[2]India Sun Oil Exports'!JP$290</f>
        <v>0.36899999999999999</v>
      </c>
      <c r="W275" s="242">
        <f>'[2]India Sun Oil Exports'!KB$290</f>
        <v>0.23300000000000001</v>
      </c>
      <c r="X275" s="242">
        <f>'[2]India Sun Oil Exports'!KN$290</f>
        <v>0.24099999999999999</v>
      </c>
      <c r="Y275" s="242">
        <f>'[2]India Sun Oil Exports'!KZ$290</f>
        <v>0.33400000000000002</v>
      </c>
      <c r="Z275" s="242">
        <f>'[2]India Sun Oil Exports'!LL$290</f>
        <v>0.27884799999999998</v>
      </c>
      <c r="AA275" s="242">
        <f>'[2]India Sun Oil Exports'!LX$290</f>
        <v>0.11806800000000001</v>
      </c>
      <c r="AB275" s="242">
        <f>'[2]India Sun Oil Exports'!MJ$290</f>
        <v>0.232846</v>
      </c>
      <c r="AC275" s="242">
        <f>'[2]India Sun Oil Exports'!MV$290</f>
        <v>0.64400000000000002</v>
      </c>
      <c r="AD275" s="242">
        <f>'[2]India Sun Oil Exports'!NH$290</f>
        <v>1.198</v>
      </c>
      <c r="AE275" s="243">
        <f t="shared" si="144"/>
        <v>0.32422429040888912</v>
      </c>
    </row>
    <row r="276" spans="1:31">
      <c r="A276" s="240" t="s">
        <v>233</v>
      </c>
      <c r="B276" s="290">
        <f t="shared" si="145"/>
        <v>0</v>
      </c>
      <c r="C276" s="290">
        <f t="shared" si="143"/>
        <v>0</v>
      </c>
      <c r="D276" s="241">
        <f t="shared" si="143"/>
        <v>0</v>
      </c>
      <c r="E276" s="241">
        <f t="shared" si="143"/>
        <v>0</v>
      </c>
      <c r="F276" s="241">
        <f t="shared" si="143"/>
        <v>0</v>
      </c>
      <c r="G276" s="242">
        <f>'[2]India Sun Oil Exports'!CS$290</f>
        <v>0</v>
      </c>
      <c r="H276" s="242">
        <f>'[2]India Sun Oil Exports'!DE$290</f>
        <v>0</v>
      </c>
      <c r="I276" s="242">
        <f>'[2]India Sun Oil Exports'!DQ$290</f>
        <v>1.4E-2</v>
      </c>
      <c r="J276" s="242">
        <f>'[2]India Sun Oil Exports'!EC$290</f>
        <v>4.0000000000000001E-3</v>
      </c>
      <c r="K276" s="242">
        <f>'[2]India Sun Oil Exports'!EO$290</f>
        <v>2E-3</v>
      </c>
      <c r="L276" s="242">
        <f>'[2]India Sun Oil Exports'!FA$290</f>
        <v>7.0000000000000001E-3</v>
      </c>
      <c r="M276" s="242">
        <f>'[2]India Sun Oil Exports'!FM$290</f>
        <v>2.5000000000000001E-2</v>
      </c>
      <c r="N276" s="242">
        <f>'[2]India Sun Oil Exports'!FY$290</f>
        <v>1.357</v>
      </c>
      <c r="O276" s="242">
        <f>'[2]India Sun Oil Exports'!GK$290</f>
        <v>9.2999999999999999E-2</v>
      </c>
      <c r="P276" s="242">
        <f>'[2]India Sun Oil Exports'!GW$290</f>
        <v>2.9000000000000001E-2</v>
      </c>
      <c r="Q276" s="242">
        <f>'[2]India Sun Oil Exports'!HI$290</f>
        <v>0.14099999999999999</v>
      </c>
      <c r="R276" s="242">
        <f>'[2]India Sun Oil Exports'!HU$290</f>
        <v>0.16200000000000001</v>
      </c>
      <c r="S276" s="242">
        <f>'[2]India Sun Oil Exports'!IG$290</f>
        <v>0.123</v>
      </c>
      <c r="T276" s="242">
        <f>'[2]India Sun Oil Exports'!IS$290</f>
        <v>0.20699999999999999</v>
      </c>
      <c r="U276" s="242">
        <f>'[2]India Sun Oil Exports'!JE$290</f>
        <v>0.111</v>
      </c>
      <c r="V276" s="242">
        <f>'[2]India Sun Oil Exports'!JQ$290</f>
        <v>0.23200000000000001</v>
      </c>
      <c r="W276" s="242">
        <f>'[2]India Sun Oil Exports'!KC$290</f>
        <v>0.76700000000000002</v>
      </c>
      <c r="X276" s="242">
        <f>'[2]India Sun Oil Exports'!KO$290</f>
        <v>0.21199999999999999</v>
      </c>
      <c r="Y276" s="242">
        <f>'[2]India Sun Oil Exports'!LA$290</f>
        <v>0.29899999999999999</v>
      </c>
      <c r="Z276" s="242">
        <f>'[2]India Sun Oil Exports'!LM$290</f>
        <v>0.20988899999999999</v>
      </c>
      <c r="AA276" s="242">
        <f>'[2]India Sun Oil Exports'!LY$290</f>
        <v>0.29987999999999998</v>
      </c>
      <c r="AB276" s="242">
        <f>'[2]India Sun Oil Exports'!MK$290</f>
        <v>0.24801300000000001</v>
      </c>
      <c r="AC276" s="242">
        <f>'[2]India Sun Oil Exports'!MW$290</f>
        <v>0.13500000000000001</v>
      </c>
      <c r="AD276" s="243">
        <f>(SUM(X276:AB276)/SUM(X$283:AB$283))*AD$283-0.4</f>
        <v>5.0938681271972708E-2</v>
      </c>
      <c r="AE276" s="243">
        <f t="shared" si="144"/>
        <v>0.24033698599176159</v>
      </c>
    </row>
    <row r="277" spans="1:31">
      <c r="A277" s="240" t="s">
        <v>234</v>
      </c>
      <c r="B277" s="290">
        <f t="shared" si="145"/>
        <v>0</v>
      </c>
      <c r="C277" s="290">
        <f t="shared" si="143"/>
        <v>0</v>
      </c>
      <c r="D277" s="241">
        <f t="shared" si="143"/>
        <v>0</v>
      </c>
      <c r="E277" s="241">
        <f t="shared" si="143"/>
        <v>0</v>
      </c>
      <c r="F277" s="241">
        <f t="shared" si="143"/>
        <v>0</v>
      </c>
      <c r="G277" s="242">
        <f>'[2]India Sun Oil Exports'!CT$290</f>
        <v>0</v>
      </c>
      <c r="H277" s="242">
        <f>'[2]India Sun Oil Exports'!DF$290</f>
        <v>0</v>
      </c>
      <c r="I277" s="242">
        <f>'[2]India Sun Oil Exports'!DR$290</f>
        <v>4.1000000000000002E-2</v>
      </c>
      <c r="J277" s="242">
        <f>'[2]India Sun Oil Exports'!ED$290</f>
        <v>3.5999999999999997E-2</v>
      </c>
      <c r="K277" s="242">
        <f>'[2]India Sun Oil Exports'!EP$290</f>
        <v>1E-3</v>
      </c>
      <c r="L277" s="242">
        <f>'[2]India Sun Oil Exports'!FB$290</f>
        <v>0.05</v>
      </c>
      <c r="M277" s="242">
        <f>'[2]India Sun Oil Exports'!FN$290</f>
        <v>9.5000000000000001E-2</v>
      </c>
      <c r="N277" s="242">
        <f>'[2]India Sun Oil Exports'!FZ$290</f>
        <v>2.5870000000000002</v>
      </c>
      <c r="O277" s="242">
        <f>'[2]India Sun Oil Exports'!GL$290</f>
        <v>5.6000000000000001E-2</v>
      </c>
      <c r="P277" s="242">
        <f>'[2]India Sun Oil Exports'!GX$290</f>
        <v>2E-3</v>
      </c>
      <c r="Q277" s="242">
        <f>'[2]India Sun Oil Exports'!HJ$290</f>
        <v>8.1000000000000003E-2</v>
      </c>
      <c r="R277" s="242">
        <f>'[2]India Sun Oil Exports'!HV$290</f>
        <v>7.0000000000000007E-2</v>
      </c>
      <c r="S277" s="242">
        <f>'[2]India Sun Oil Exports'!IH$290</f>
        <v>5.2999999999999999E-2</v>
      </c>
      <c r="T277" s="242">
        <f>'[2]India Sun Oil Exports'!IT$290</f>
        <v>7.0999999999999994E-2</v>
      </c>
      <c r="U277" s="242">
        <f>'[2]India Sun Oil Exports'!JF$290</f>
        <v>9.4E-2</v>
      </c>
      <c r="V277" s="242">
        <f>'[2]India Sun Oil Exports'!JR$290</f>
        <v>6.5000000000000002E-2</v>
      </c>
      <c r="W277" s="242">
        <f>'[2]India Sun Oil Exports'!KD$290</f>
        <v>0.17899999999999999</v>
      </c>
      <c r="X277" s="242">
        <f>'[2]India Sun Oil Exports'!KP$290</f>
        <v>8.7999999999999995E-2</v>
      </c>
      <c r="Y277" s="242">
        <f>'[2]India Sun Oil Exports'!LB$290</f>
        <v>9.4E-2</v>
      </c>
      <c r="Z277" s="242">
        <f>'[2]India Sun Oil Exports'!LN$290</f>
        <v>0.57479100000000005</v>
      </c>
      <c r="AA277" s="242">
        <f>'[2]India Sun Oil Exports'!LZ$290</f>
        <v>0.33290399999999998</v>
      </c>
      <c r="AB277" s="242">
        <f>'[2]India Sun Oil Exports'!ML$290</f>
        <v>0.249776</v>
      </c>
      <c r="AC277" s="242">
        <f>'[2]India Sun Oil Exports'!MX$290</f>
        <v>0.17299999999999999</v>
      </c>
      <c r="AD277" s="243">
        <f>(SUM(X277:AB277)/SUM(X$283:AB$283))*AD$283-0.4</f>
        <v>7.6062307269531282E-2</v>
      </c>
      <c r="AE277" s="243">
        <f t="shared" si="144"/>
        <v>0.28726148471169283</v>
      </c>
    </row>
    <row r="278" spans="1:31">
      <c r="A278" s="240" t="s">
        <v>46</v>
      </c>
      <c r="B278" s="290">
        <f t="shared" si="145"/>
        <v>0</v>
      </c>
      <c r="C278" s="290">
        <f t="shared" si="143"/>
        <v>0</v>
      </c>
      <c r="D278" s="241">
        <f t="shared" si="143"/>
        <v>0</v>
      </c>
      <c r="E278" s="241">
        <f t="shared" si="143"/>
        <v>0</v>
      </c>
      <c r="F278" s="241">
        <f t="shared" si="143"/>
        <v>0</v>
      </c>
      <c r="G278" s="242">
        <f>'[2]India Sun Oil Exports'!CU$290</f>
        <v>4.2999999999999997E-2</v>
      </c>
      <c r="H278" s="242">
        <f>'[2]India Sun Oil Exports'!DG$290</f>
        <v>6.0000000000000001E-3</v>
      </c>
      <c r="I278" s="242">
        <f>'[2]India Sun Oil Exports'!DS$290</f>
        <v>2.1999999999999999E-2</v>
      </c>
      <c r="J278" s="242">
        <f>'[2]India Sun Oil Exports'!EE$290</f>
        <v>3.9E-2</v>
      </c>
      <c r="K278" s="242">
        <f>'[2]India Sun Oil Exports'!EQ$290</f>
        <v>0</v>
      </c>
      <c r="L278" s="242">
        <f>'[2]India Sun Oil Exports'!FC$290</f>
        <v>7.0000000000000001E-3</v>
      </c>
      <c r="M278" s="242">
        <f>'[2]India Sun Oil Exports'!FO$290</f>
        <v>3.9E-2</v>
      </c>
      <c r="N278" s="242">
        <f>'[2]India Sun Oil Exports'!GA$290</f>
        <v>0.28699999999999998</v>
      </c>
      <c r="O278" s="242">
        <f>'[2]India Sun Oil Exports'!GM$290</f>
        <v>5.0999999999999997E-2</v>
      </c>
      <c r="P278" s="242">
        <f>'[2]India Sun Oil Exports'!GY$290</f>
        <v>0.02</v>
      </c>
      <c r="Q278" s="242">
        <f>'[2]India Sun Oil Exports'!HK$290</f>
        <v>5.5E-2</v>
      </c>
      <c r="R278" s="242">
        <f>'[2]India Sun Oil Exports'!HW$290</f>
        <v>0.13500000000000001</v>
      </c>
      <c r="S278" s="242">
        <f>'[2]India Sun Oil Exports'!II$290</f>
        <v>0.14199999999999999</v>
      </c>
      <c r="T278" s="242">
        <f>'[2]India Sun Oil Exports'!IU$290</f>
        <v>0.105</v>
      </c>
      <c r="U278" s="242">
        <f>'[2]India Sun Oil Exports'!JG$290</f>
        <v>0.11600000000000001</v>
      </c>
      <c r="V278" s="242">
        <f>'[2]India Sun Oil Exports'!JS$290</f>
        <v>0.112</v>
      </c>
      <c r="W278" s="242">
        <f>'[2]India Sun Oil Exports'!KE$290</f>
        <v>0.40600000000000003</v>
      </c>
      <c r="X278" s="242">
        <f>'[2]India Sun Oil Exports'!KQ$290</f>
        <v>0.20799999999999999</v>
      </c>
      <c r="Y278" s="242">
        <f>'[2]India Sun Oil Exports'!LC$290</f>
        <v>0.37756800000000001</v>
      </c>
      <c r="Z278" s="242">
        <f>'[2]India Sun Oil Exports'!LO$290</f>
        <v>0.58071099999999998</v>
      </c>
      <c r="AA278" s="242">
        <f>'[2]India Sun Oil Exports'!MA$290</f>
        <v>0.31403500000000001</v>
      </c>
      <c r="AB278" s="242">
        <f>'[2]India Sun Oil Exports'!MM$290</f>
        <v>0.33082</v>
      </c>
      <c r="AC278" s="242">
        <f>'[2]India Sun Oil Exports'!MY$290</f>
        <v>0.317</v>
      </c>
      <c r="AD278" s="243">
        <f>(SUM(X278:AB278)/SUM(X$283:AB$283))*AD$283-0.5</f>
        <v>0.14369637775979882</v>
      </c>
      <c r="AE278" s="243">
        <f t="shared" si="144"/>
        <v>0.38721781186517767</v>
      </c>
    </row>
    <row r="279" spans="1:31">
      <c r="A279" s="240" t="s">
        <v>235</v>
      </c>
      <c r="B279" s="290">
        <f t="shared" si="145"/>
        <v>0</v>
      </c>
      <c r="C279" s="290">
        <f t="shared" si="143"/>
        <v>0</v>
      </c>
      <c r="D279" s="241">
        <f t="shared" si="143"/>
        <v>0</v>
      </c>
      <c r="E279" s="241">
        <f t="shared" si="143"/>
        <v>0</v>
      </c>
      <c r="F279" s="241">
        <f t="shared" si="143"/>
        <v>0</v>
      </c>
      <c r="G279" s="242">
        <f>'[2]India Sun Oil Exports'!CV$290</f>
        <v>0</v>
      </c>
      <c r="H279" s="242">
        <f>'[2]India Sun Oil Exports'!DH$290</f>
        <v>1.4999999999999999E-2</v>
      </c>
      <c r="I279" s="242">
        <f>'[2]India Sun Oil Exports'!DT$290</f>
        <v>1E-3</v>
      </c>
      <c r="J279" s="242">
        <f>'[2]India Sun Oil Exports'!EF$290</f>
        <v>1E-3</v>
      </c>
      <c r="K279" s="242">
        <f>'[2]India Sun Oil Exports'!ER$290</f>
        <v>0</v>
      </c>
      <c r="L279" s="242">
        <f>'[2]India Sun Oil Exports'!FD$290</f>
        <v>7.0000000000000001E-3</v>
      </c>
      <c r="M279" s="242">
        <f>'[2]India Sun Oil Exports'!FP$290</f>
        <v>1.4E-2</v>
      </c>
      <c r="N279" s="242">
        <f>'[2]India Sun Oil Exports'!GB$290</f>
        <v>1.6080000000000001</v>
      </c>
      <c r="O279" s="242">
        <f>'[2]India Sun Oil Exports'!GN$290</f>
        <v>0.11899999999999999</v>
      </c>
      <c r="P279" s="242">
        <f>'[2]India Sun Oil Exports'!GZ$290</f>
        <v>1.6E-2</v>
      </c>
      <c r="Q279" s="242">
        <f>'[2]India Sun Oil Exports'!HL$290</f>
        <v>0.129</v>
      </c>
      <c r="R279" s="242">
        <f>'[2]India Sun Oil Exports'!HX$290</f>
        <v>5.8000000000000003E-2</v>
      </c>
      <c r="S279" s="242">
        <f>'[2]India Sun Oil Exports'!IJ$290</f>
        <v>0.22600000000000001</v>
      </c>
      <c r="T279" s="242">
        <f>'[2]India Sun Oil Exports'!IV$290</f>
        <v>0.19600000000000001</v>
      </c>
      <c r="U279" s="242">
        <f>'[2]India Sun Oil Exports'!JH$290</f>
        <v>9.7000000000000003E-2</v>
      </c>
      <c r="V279" s="242">
        <f>'[2]India Sun Oil Exports'!JT$290</f>
        <v>0.14000000000000001</v>
      </c>
      <c r="W279" s="242">
        <f>'[2]India Sun Oil Exports'!KF$290</f>
        <v>0.216</v>
      </c>
      <c r="X279" s="242">
        <f>'[2]India Sun Oil Exports'!KR$290</f>
        <v>0.17499999999999999</v>
      </c>
      <c r="Y279" s="242">
        <f>'[2]India Sun Oil Exports'!LD$290</f>
        <v>0.7581</v>
      </c>
      <c r="Z279" s="242">
        <f>'[2]India Sun Oil Exports'!LP$290</f>
        <v>0.26293699999999998</v>
      </c>
      <c r="AA279" s="242">
        <f>'[2]India Sun Oil Exports'!MB$290</f>
        <v>0.20841000000000001</v>
      </c>
      <c r="AB279" s="242">
        <f>'[2]India Sun Oil Exports'!MN$290</f>
        <v>0.29347099999999998</v>
      </c>
      <c r="AC279" s="242">
        <f>'[2]India Sun Oil Exports'!MZ$290</f>
        <v>0.1</v>
      </c>
      <c r="AD279" s="243">
        <f>(SUM(X279:AB279)/SUM(X$283:AB$283))*AD$283-0.5</f>
        <v>0.10345820150975138</v>
      </c>
      <c r="AE279" s="243">
        <f t="shared" si="144"/>
        <v>0.32728067770093677</v>
      </c>
    </row>
    <row r="280" spans="1:31">
      <c r="A280" s="240" t="s">
        <v>236</v>
      </c>
      <c r="B280" s="290">
        <f t="shared" si="145"/>
        <v>0</v>
      </c>
      <c r="C280" s="290">
        <f t="shared" si="143"/>
        <v>0</v>
      </c>
      <c r="D280" s="241">
        <f t="shared" si="143"/>
        <v>0</v>
      </c>
      <c r="E280" s="241">
        <f t="shared" si="143"/>
        <v>0</v>
      </c>
      <c r="F280" s="241">
        <f t="shared" si="143"/>
        <v>0</v>
      </c>
      <c r="G280" s="242">
        <f>'[2]India Sun Oil Exports'!CW$290</f>
        <v>0</v>
      </c>
      <c r="H280" s="242">
        <f>'[2]India Sun Oil Exports'!DI$290</f>
        <v>2E-3</v>
      </c>
      <c r="I280" s="242">
        <f>'[2]India Sun Oil Exports'!DU$290</f>
        <v>1.0999999999999999E-2</v>
      </c>
      <c r="J280" s="242">
        <f>'[2]India Sun Oil Exports'!EG$290</f>
        <v>3.3000000000000002E-2</v>
      </c>
      <c r="K280" s="242">
        <f>'[2]India Sun Oil Exports'!ES$290</f>
        <v>0.23899999999999999</v>
      </c>
      <c r="L280" s="242">
        <f>'[2]India Sun Oil Exports'!FE$290</f>
        <v>0.01</v>
      </c>
      <c r="M280" s="242">
        <f>'[2]India Sun Oil Exports'!FQ$290</f>
        <v>0.29299999999999998</v>
      </c>
      <c r="N280" s="242">
        <f>'[2]India Sun Oil Exports'!GC$290</f>
        <v>0.97699999999999998</v>
      </c>
      <c r="O280" s="242">
        <f>'[2]India Sun Oil Exports'!GO$290</f>
        <v>0.112</v>
      </c>
      <c r="P280" s="242">
        <f>'[2]India Sun Oil Exports'!HA$290</f>
        <v>1E-3</v>
      </c>
      <c r="Q280" s="242">
        <f>'[2]India Sun Oil Exports'!HM$290</f>
        <v>7.4999999999999997E-2</v>
      </c>
      <c r="R280" s="242">
        <f>'[2]India Sun Oil Exports'!HY$290</f>
        <v>0.17599999999999999</v>
      </c>
      <c r="S280" s="242">
        <f>'[2]India Sun Oil Exports'!IK$290</f>
        <v>5.2999999999999999E-2</v>
      </c>
      <c r="T280" s="242">
        <f>'[2]India Sun Oil Exports'!IW$290</f>
        <v>0.16400000000000001</v>
      </c>
      <c r="U280" s="242">
        <f>'[2]India Sun Oil Exports'!JI$290</f>
        <v>0.09</v>
      </c>
      <c r="V280" s="242">
        <f>'[2]India Sun Oil Exports'!JU$290</f>
        <v>0.11600000000000001</v>
      </c>
      <c r="W280" s="242">
        <f>'[2]India Sun Oil Exports'!KG$290</f>
        <v>0.44600000000000001</v>
      </c>
      <c r="X280" s="242">
        <f>'[2]India Sun Oil Exports'!KS$290</f>
        <v>0.22</v>
      </c>
      <c r="Y280" s="242">
        <f>'[2]India Sun Oil Exports'!LE$290</f>
        <v>0.26787699999999998</v>
      </c>
      <c r="Z280" s="242">
        <f>'[2]India Sun Oil Exports'!LQ$290</f>
        <v>0.18302599999999999</v>
      </c>
      <c r="AA280" s="242">
        <f>'[2]India Sun Oil Exports'!MC$290</f>
        <v>0.18104500000000001</v>
      </c>
      <c r="AB280" s="242">
        <f>'[2]India Sun Oil Exports'!MO$290</f>
        <v>0.45136500000000002</v>
      </c>
      <c r="AC280" s="242">
        <f>'[2]India Sun Oil Exports'!NA$290</f>
        <v>0.158</v>
      </c>
      <c r="AD280" s="243">
        <f>(SUM(X280:AB280)/SUM(X$283:AB$283))*AD$283-0.3</f>
        <v>0.16321136767751959</v>
      </c>
      <c r="AE280" s="243">
        <f t="shared" si="144"/>
        <v>0.25032550004312165</v>
      </c>
    </row>
    <row r="281" spans="1:31">
      <c r="A281" s="240" t="s">
        <v>237</v>
      </c>
      <c r="B281" s="290">
        <f t="shared" si="145"/>
        <v>0</v>
      </c>
      <c r="C281" s="290">
        <f t="shared" si="143"/>
        <v>0</v>
      </c>
      <c r="D281" s="241">
        <f t="shared" si="143"/>
        <v>0</v>
      </c>
      <c r="E281" s="241">
        <f t="shared" si="143"/>
        <v>0</v>
      </c>
      <c r="F281" s="241">
        <f t="shared" si="143"/>
        <v>0</v>
      </c>
      <c r="G281" s="242">
        <f>'[2]India Sun Oil Exports'!CX$290</f>
        <v>7.0000000000000001E-3</v>
      </c>
      <c r="H281" s="242">
        <f>'[2]India Sun Oil Exports'!DJ$290</f>
        <v>1.2999999999999999E-2</v>
      </c>
      <c r="I281" s="242">
        <f>'[2]India Sun Oil Exports'!DV$290</f>
        <v>1.2999999999999999E-2</v>
      </c>
      <c r="J281" s="242">
        <f>'[2]India Sun Oil Exports'!EH$290</f>
        <v>0</v>
      </c>
      <c r="K281" s="242">
        <f>'[2]India Sun Oil Exports'!ET$290</f>
        <v>5.0000000000000001E-3</v>
      </c>
      <c r="L281" s="242">
        <f>'[2]India Sun Oil Exports'!FF$290</f>
        <v>7.0000000000000001E-3</v>
      </c>
      <c r="M281" s="242">
        <f>'[2]India Sun Oil Exports'!FR$290</f>
        <v>6.0000000000000001E-3</v>
      </c>
      <c r="N281" s="242">
        <f>'[2]India Sun Oil Exports'!GD$290</f>
        <v>0.106</v>
      </c>
      <c r="O281" s="242">
        <f>'[2]India Sun Oil Exports'!GP$290</f>
        <v>6.7000000000000004E-2</v>
      </c>
      <c r="P281" s="242">
        <f>'[2]India Sun Oil Exports'!HB$290</f>
        <v>0</v>
      </c>
      <c r="Q281" s="242">
        <f>'[2]India Sun Oil Exports'!HN$290</f>
        <v>7.9000000000000001E-2</v>
      </c>
      <c r="R281" s="242">
        <f>'[2]India Sun Oil Exports'!HZ$290</f>
        <v>0.16800000000000001</v>
      </c>
      <c r="S281" s="242">
        <f>'[2]India Sun Oil Exports'!IL$290</f>
        <v>0.13800000000000001</v>
      </c>
      <c r="T281" s="242">
        <f>'[2]India Sun Oil Exports'!IX$290</f>
        <v>2.4E-2</v>
      </c>
      <c r="U281" s="242">
        <f>'[2]India Sun Oil Exports'!JJ$290</f>
        <v>3.3000000000000002E-2</v>
      </c>
      <c r="V281" s="242">
        <f>'[2]India Sun Oil Exports'!JV$290</f>
        <v>0.124</v>
      </c>
      <c r="W281" s="242">
        <f>'[2]India Sun Oil Exports'!KH$290</f>
        <v>0.222</v>
      </c>
      <c r="X281" s="242">
        <f>'[2]India Sun Oil Exports'!KT$290</f>
        <v>0.21299999999999999</v>
      </c>
      <c r="Y281" s="242">
        <f>'[2]India Sun Oil Exports'!LF$290</f>
        <v>0.32593</v>
      </c>
      <c r="Z281" s="242">
        <f>'[2]India Sun Oil Exports'!LR$290</f>
        <v>0.31847300000000001</v>
      </c>
      <c r="AA281" s="242">
        <f>'[2]India Sun Oil Exports'!MD$290</f>
        <v>0.26607399999999998</v>
      </c>
      <c r="AB281" s="242">
        <f>'[2]India Sun Oil Exports'!MP$290</f>
        <v>0.22752900000000001</v>
      </c>
      <c r="AC281" s="242">
        <f>'[2]India Sun Oil Exports'!NB$290</f>
        <v>0.29399999999999998</v>
      </c>
      <c r="AD281" s="243">
        <f>(SUM(X281:AB281)/SUM(X$283:AB$283))*AD$283-0.2</f>
        <v>0.28016196953497347</v>
      </c>
      <c r="AE281" s="243">
        <f t="shared" si="144"/>
        <v>0.2887810068973341</v>
      </c>
    </row>
    <row r="282" spans="1:31">
      <c r="A282" s="240" t="s">
        <v>238</v>
      </c>
      <c r="B282" s="290">
        <f t="shared" si="145"/>
        <v>0</v>
      </c>
      <c r="C282" s="290">
        <f t="shared" si="143"/>
        <v>0</v>
      </c>
      <c r="D282" s="241">
        <f t="shared" si="143"/>
        <v>0</v>
      </c>
      <c r="E282" s="241">
        <f t="shared" si="143"/>
        <v>0</v>
      </c>
      <c r="F282" s="241">
        <f t="shared" si="143"/>
        <v>0</v>
      </c>
      <c r="G282" s="242">
        <f>'[2]India Sun Oil Exports'!CY$290</f>
        <v>7.0000000000000001E-3</v>
      </c>
      <c r="H282" s="242">
        <f>'[2]India Sun Oil Exports'!DK$290</f>
        <v>0.02</v>
      </c>
      <c r="I282" s="242">
        <f>'[2]India Sun Oil Exports'!DW$290</f>
        <v>1.4999999999999999E-2</v>
      </c>
      <c r="J282" s="242">
        <f>'[2]India Sun Oil Exports'!EI$290</f>
        <v>0</v>
      </c>
      <c r="K282" s="242">
        <f>'[2]India Sun Oil Exports'!EU$290</f>
        <v>0</v>
      </c>
      <c r="L282" s="242">
        <f>'[2]India Sun Oil Exports'!FG$290</f>
        <v>3.0000000000000001E-3</v>
      </c>
      <c r="M282" s="242">
        <f>'[2]India Sun Oil Exports'!FS$290</f>
        <v>6.3E-2</v>
      </c>
      <c r="N282" s="242">
        <f>'[2]India Sun Oil Exports'!GE$290</f>
        <v>0.193</v>
      </c>
      <c r="O282" s="242">
        <f>'[2]India Sun Oil Exports'!GQ$290</f>
        <v>0.158</v>
      </c>
      <c r="P282" s="242">
        <f>'[2]India Sun Oil Exports'!HC$290</f>
        <v>1E-3</v>
      </c>
      <c r="Q282" s="242">
        <f>'[2]India Sun Oil Exports'!HO$290</f>
        <v>8.2000000000000003E-2</v>
      </c>
      <c r="R282" s="242">
        <f>'[2]India Sun Oil Exports'!IA$290</f>
        <v>7.5999999999999998E-2</v>
      </c>
      <c r="S282" s="242">
        <f>'[2]India Sun Oil Exports'!IM$290</f>
        <v>0.223</v>
      </c>
      <c r="T282" s="242">
        <f>'[2]India Sun Oil Exports'!IY$290</f>
        <v>3.0000000000000001E-3</v>
      </c>
      <c r="U282" s="242">
        <f>'[2]India Sun Oil Exports'!JK$290</f>
        <v>7.0000000000000007E-2</v>
      </c>
      <c r="V282" s="242">
        <f>'[2]India Sun Oil Exports'!JW$290</f>
        <v>0.20300000000000001</v>
      </c>
      <c r="W282" s="242">
        <f>'[2]India Sun Oil Exports'!KI$290</f>
        <v>0.184</v>
      </c>
      <c r="X282" s="242">
        <f>'[2]India Sun Oil Exports'!KU$290</f>
        <v>0.32900000000000001</v>
      </c>
      <c r="Y282" s="242">
        <f>'[2]India Sun Oil Exports'!LG$290</f>
        <v>0.24901200000000001</v>
      </c>
      <c r="Z282" s="242">
        <f>'[2]India Sun Oil Exports'!LS$290</f>
        <v>0.31640600000000002</v>
      </c>
      <c r="AA282" s="242">
        <f>'[2]India Sun Oil Exports'!ME$290</f>
        <v>1.0224340000000001</v>
      </c>
      <c r="AB282" s="242">
        <f>'[2]India Sun Oil Exports'!MQ$290</f>
        <v>0.295628</v>
      </c>
      <c r="AC282" s="242">
        <f>'[2]India Sun Oil Exports'!NC$290</f>
        <v>0.379</v>
      </c>
      <c r="AD282" s="243">
        <f t="shared" ref="AD282:AE282" si="146">AD283-SUM(AD271:AD281)</f>
        <v>-0.8715289050235473</v>
      </c>
      <c r="AE282" s="243">
        <f t="shared" si="146"/>
        <v>0.45625594619371679</v>
      </c>
    </row>
    <row r="283" spans="1:31" ht="15.75" thickBot="1">
      <c r="A283" s="240" t="s">
        <v>242</v>
      </c>
      <c r="B283" s="146">
        <f t="shared" ref="B283:G283" si="147">B40</f>
        <v>0</v>
      </c>
      <c r="C283" s="146">
        <f t="shared" si="147"/>
        <v>0</v>
      </c>
      <c r="D283" s="242">
        <f t="shared" si="147"/>
        <v>0</v>
      </c>
      <c r="E283" s="242">
        <f t="shared" si="147"/>
        <v>0</v>
      </c>
      <c r="F283" s="242">
        <f t="shared" si="147"/>
        <v>0</v>
      </c>
      <c r="G283" s="242">
        <f t="shared" si="147"/>
        <v>0</v>
      </c>
      <c r="H283" s="242">
        <f t="shared" ref="H283:W283" si="148">SUM(H271:H282)</f>
        <v>6.8000000000000005E-2</v>
      </c>
      <c r="I283" s="242">
        <f t="shared" si="148"/>
        <v>0.31100000000000005</v>
      </c>
      <c r="J283" s="242">
        <f t="shared" si="148"/>
        <v>2.3530000000000002</v>
      </c>
      <c r="K283" s="242">
        <f t="shared" si="148"/>
        <v>0.26100000000000001</v>
      </c>
      <c r="L283" s="242">
        <f t="shared" si="148"/>
        <v>0.14800000000000002</v>
      </c>
      <c r="M283" s="242">
        <f t="shared" si="148"/>
        <v>0.70700000000000007</v>
      </c>
      <c r="N283" s="242">
        <f t="shared" si="148"/>
        <v>7.5280000000000005</v>
      </c>
      <c r="O283" s="242">
        <f t="shared" si="148"/>
        <v>2.4810000000000003</v>
      </c>
      <c r="P283" s="242">
        <f t="shared" si="148"/>
        <v>7.2779999999999996</v>
      </c>
      <c r="Q283" s="242">
        <f t="shared" si="148"/>
        <v>0.85999999999999988</v>
      </c>
      <c r="R283" s="242">
        <f t="shared" si="148"/>
        <v>1.1779999999999999</v>
      </c>
      <c r="S283" s="242">
        <f t="shared" si="148"/>
        <v>1.4080000000000001</v>
      </c>
      <c r="T283" s="242">
        <f t="shared" si="148"/>
        <v>1.3909999999999998</v>
      </c>
      <c r="U283" s="242">
        <f t="shared" si="148"/>
        <v>1.1809999999999998</v>
      </c>
      <c r="V283" s="242">
        <f t="shared" si="148"/>
        <v>1.8490000000000004</v>
      </c>
      <c r="W283" s="242">
        <f t="shared" si="148"/>
        <v>3.5090000000000008</v>
      </c>
      <c r="X283" s="242">
        <f>SUM(X271:X282)</f>
        <v>2.7870000000000004</v>
      </c>
      <c r="Y283" s="242">
        <f>SUM(Y271:Y282)</f>
        <v>3.2654869999999998</v>
      </c>
      <c r="Z283" s="242">
        <f t="shared" ref="Z283:AB283" si="149">SUM(Z271:Z282)</f>
        <v>3.8332890000000002</v>
      </c>
      <c r="AA283" s="242">
        <f t="shared" si="149"/>
        <v>4.4830020000000008</v>
      </c>
      <c r="AB283" s="242">
        <f t="shared" si="149"/>
        <v>3.6385589999999999</v>
      </c>
      <c r="AC283" s="242">
        <f>SUM(AC271:AC282)</f>
        <v>4.0363980000000002</v>
      </c>
      <c r="AD283" s="243">
        <f t="shared" ref="AD283:AE283" si="150">AD40</f>
        <v>6.4</v>
      </c>
      <c r="AE283" s="243">
        <f t="shared" si="150"/>
        <v>3.8833491779050746</v>
      </c>
    </row>
    <row r="284" spans="1:31">
      <c r="A284" s="248"/>
      <c r="B284" s="248"/>
      <c r="C284" s="248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  <c r="AD284" s="248"/>
      <c r="AE284" s="248"/>
    </row>
    <row r="285" spans="1:31" ht="15.75" thickBot="1">
      <c r="A285" s="235" t="s">
        <v>268</v>
      </c>
      <c r="D285" s="264"/>
      <c r="E285" s="264"/>
      <c r="F285" s="264"/>
      <c r="G285" s="264"/>
      <c r="H285" s="264"/>
      <c r="I285" s="264"/>
    </row>
    <row r="286" spans="1:31" ht="15.75" thickBot="1">
      <c r="A286" s="236"/>
      <c r="B286" s="237" t="str">
        <f>B$2</f>
        <v xml:space="preserve">93/94 </v>
      </c>
      <c r="C286" s="237" t="str">
        <f t="shared" ref="C286:AE286" si="151">C$2</f>
        <v xml:space="preserve">94/95 </v>
      </c>
      <c r="D286" s="237" t="str">
        <f t="shared" si="151"/>
        <v xml:space="preserve">95/96 </v>
      </c>
      <c r="E286" s="237" t="str">
        <f t="shared" si="151"/>
        <v xml:space="preserve">96/97 </v>
      </c>
      <c r="F286" s="237" t="str">
        <f t="shared" si="151"/>
        <v xml:space="preserve">97/98 </v>
      </c>
      <c r="G286" s="237" t="str">
        <f t="shared" si="151"/>
        <v xml:space="preserve">98/99 </v>
      </c>
      <c r="H286" s="237" t="str">
        <f t="shared" si="151"/>
        <v xml:space="preserve">99/00 </v>
      </c>
      <c r="I286" s="237" t="str">
        <f t="shared" si="151"/>
        <v xml:space="preserve">00/01 </v>
      </c>
      <c r="J286" s="237" t="str">
        <f t="shared" si="151"/>
        <v xml:space="preserve">01/02 </v>
      </c>
      <c r="K286" s="237" t="str">
        <f t="shared" si="151"/>
        <v xml:space="preserve">02/03 </v>
      </c>
      <c r="L286" s="237" t="str">
        <f t="shared" si="151"/>
        <v xml:space="preserve">03/04 </v>
      </c>
      <c r="M286" s="237" t="str">
        <f t="shared" si="151"/>
        <v xml:space="preserve">04/05 </v>
      </c>
      <c r="N286" s="237" t="str">
        <f t="shared" si="151"/>
        <v xml:space="preserve">05/06 </v>
      </c>
      <c r="O286" s="237" t="str">
        <f t="shared" si="151"/>
        <v xml:space="preserve">06/07 </v>
      </c>
      <c r="P286" s="237" t="str">
        <f t="shared" si="151"/>
        <v xml:space="preserve">07/08 </v>
      </c>
      <c r="Q286" s="237" t="str">
        <f t="shared" si="151"/>
        <v xml:space="preserve">08/09 </v>
      </c>
      <c r="R286" s="237" t="str">
        <f t="shared" si="151"/>
        <v xml:space="preserve">09/10 </v>
      </c>
      <c r="S286" s="237" t="str">
        <f t="shared" si="151"/>
        <v xml:space="preserve">10/11 </v>
      </c>
      <c r="T286" s="237" t="str">
        <f t="shared" si="151"/>
        <v xml:space="preserve">11/12 </v>
      </c>
      <c r="U286" s="237" t="str">
        <f t="shared" si="151"/>
        <v xml:space="preserve">12/13 </v>
      </c>
      <c r="V286" s="237" t="str">
        <f t="shared" si="151"/>
        <v xml:space="preserve">13/14 </v>
      </c>
      <c r="W286" s="237" t="str">
        <f t="shared" si="151"/>
        <v xml:space="preserve">14/15 </v>
      </c>
      <c r="X286" s="237" t="str">
        <f t="shared" si="151"/>
        <v xml:space="preserve">15/16 </v>
      </c>
      <c r="Y286" s="237" t="str">
        <f t="shared" si="151"/>
        <v xml:space="preserve">16/17 </v>
      </c>
      <c r="Z286" s="237" t="str">
        <f t="shared" si="151"/>
        <v xml:space="preserve">17/18 </v>
      </c>
      <c r="AA286" s="237" t="str">
        <f t="shared" si="151"/>
        <v xml:space="preserve">18/19 </v>
      </c>
      <c r="AB286" s="237" t="str">
        <f t="shared" si="151"/>
        <v xml:space="preserve">19/20 </v>
      </c>
      <c r="AC286" s="237" t="str">
        <f t="shared" si="151"/>
        <v xml:space="preserve">20/21 </v>
      </c>
      <c r="AD286" s="237" t="str">
        <f t="shared" si="151"/>
        <v xml:space="preserve">21/22 </v>
      </c>
      <c r="AE286" s="237" t="str">
        <f t="shared" si="151"/>
        <v xml:space="preserve">22/23 </v>
      </c>
    </row>
    <row r="287" spans="1:31">
      <c r="A287" s="240" t="s">
        <v>239</v>
      </c>
      <c r="B287" s="290">
        <f t="shared" ref="B287:Q298" si="152">B$299/12</f>
        <v>39.166666666666664</v>
      </c>
      <c r="C287" s="290">
        <f t="shared" si="152"/>
        <v>39.166666666666664</v>
      </c>
      <c r="D287" s="290">
        <f t="shared" si="152"/>
        <v>44.583333333333336</v>
      </c>
      <c r="E287" s="290">
        <f t="shared" si="152"/>
        <v>70.416666666666671</v>
      </c>
      <c r="F287" s="290">
        <f t="shared" si="152"/>
        <v>41.25</v>
      </c>
      <c r="G287" s="290">
        <f t="shared" si="152"/>
        <v>72.5</v>
      </c>
      <c r="H287" s="290">
        <f t="shared" si="152"/>
        <v>75</v>
      </c>
      <c r="I287" s="290">
        <f t="shared" si="152"/>
        <v>66.666666666666671</v>
      </c>
      <c r="J287" s="290">
        <f t="shared" si="152"/>
        <v>42.5</v>
      </c>
      <c r="K287" s="290">
        <f t="shared" si="152"/>
        <v>50</v>
      </c>
      <c r="L287" s="290">
        <f t="shared" si="152"/>
        <v>54.166666666666664</v>
      </c>
      <c r="M287" s="290">
        <f t="shared" si="152"/>
        <v>48.333333333333336</v>
      </c>
      <c r="N287" s="290">
        <f t="shared" si="152"/>
        <v>51.666666666666664</v>
      </c>
      <c r="O287" s="290">
        <f t="shared" si="152"/>
        <v>54.166666666666664</v>
      </c>
      <c r="P287" s="290">
        <f t="shared" si="152"/>
        <v>51.666666666666664</v>
      </c>
      <c r="Q287" s="290">
        <f t="shared" si="152"/>
        <v>66.666666666666671</v>
      </c>
      <c r="R287" s="290">
        <f t="shared" ref="R287:AN298" si="153">R$299/12</f>
        <v>70.833333333333329</v>
      </c>
      <c r="S287" s="290">
        <f t="shared" si="153"/>
        <v>75</v>
      </c>
      <c r="T287" s="290">
        <f t="shared" si="153"/>
        <v>100</v>
      </c>
      <c r="U287" s="290">
        <f t="shared" si="153"/>
        <v>100</v>
      </c>
      <c r="V287" s="290">
        <f t="shared" si="153"/>
        <v>125</v>
      </c>
      <c r="W287" s="290">
        <f t="shared" si="153"/>
        <v>141.66666666666666</v>
      </c>
      <c r="X287" s="290">
        <f t="shared" si="153"/>
        <v>138.75</v>
      </c>
      <c r="Y287" s="290">
        <f t="shared" si="153"/>
        <v>166.66666666666666</v>
      </c>
      <c r="Z287" s="290">
        <f t="shared" si="153"/>
        <v>208.33333333333334</v>
      </c>
      <c r="AA287" s="290">
        <f t="shared" si="153"/>
        <v>212.5</v>
      </c>
      <c r="AB287" s="290">
        <f t="shared" si="153"/>
        <v>225</v>
      </c>
      <c r="AC287" s="290">
        <f t="shared" si="153"/>
        <v>217.5</v>
      </c>
      <c r="AD287" s="252">
        <f t="shared" si="153"/>
        <v>205.41666666666666</v>
      </c>
      <c r="AE287" s="252">
        <f t="shared" si="153"/>
        <v>205.41666666666666</v>
      </c>
    </row>
    <row r="288" spans="1:31">
      <c r="A288" s="240" t="s">
        <v>240</v>
      </c>
      <c r="B288" s="290">
        <f t="shared" si="152"/>
        <v>39.166666666666664</v>
      </c>
      <c r="C288" s="290">
        <f t="shared" si="152"/>
        <v>39.166666666666664</v>
      </c>
      <c r="D288" s="290">
        <f t="shared" si="152"/>
        <v>44.583333333333336</v>
      </c>
      <c r="E288" s="290">
        <f t="shared" si="152"/>
        <v>70.416666666666671</v>
      </c>
      <c r="F288" s="290">
        <f t="shared" si="152"/>
        <v>41.25</v>
      </c>
      <c r="G288" s="290">
        <f t="shared" si="152"/>
        <v>72.5</v>
      </c>
      <c r="H288" s="290">
        <f t="shared" si="152"/>
        <v>75</v>
      </c>
      <c r="I288" s="290">
        <f t="shared" si="152"/>
        <v>66.666666666666671</v>
      </c>
      <c r="J288" s="290">
        <f t="shared" si="152"/>
        <v>42.5</v>
      </c>
      <c r="K288" s="290">
        <f t="shared" si="152"/>
        <v>50</v>
      </c>
      <c r="L288" s="290">
        <f t="shared" si="152"/>
        <v>54.166666666666664</v>
      </c>
      <c r="M288" s="290">
        <f t="shared" si="152"/>
        <v>48.333333333333336</v>
      </c>
      <c r="N288" s="290">
        <f t="shared" si="152"/>
        <v>51.666666666666664</v>
      </c>
      <c r="O288" s="290">
        <f t="shared" si="152"/>
        <v>54.166666666666664</v>
      </c>
      <c r="P288" s="290">
        <f t="shared" si="152"/>
        <v>51.666666666666664</v>
      </c>
      <c r="Q288" s="290">
        <f t="shared" si="152"/>
        <v>66.666666666666671</v>
      </c>
      <c r="R288" s="290">
        <f t="shared" si="153"/>
        <v>70.833333333333329</v>
      </c>
      <c r="S288" s="290">
        <f t="shared" si="153"/>
        <v>75</v>
      </c>
      <c r="T288" s="290">
        <f t="shared" si="153"/>
        <v>100</v>
      </c>
      <c r="U288" s="290">
        <f t="shared" si="153"/>
        <v>100</v>
      </c>
      <c r="V288" s="290">
        <f t="shared" si="153"/>
        <v>125</v>
      </c>
      <c r="W288" s="290">
        <f t="shared" si="153"/>
        <v>141.66666666666666</v>
      </c>
      <c r="X288" s="290">
        <f t="shared" si="153"/>
        <v>138.75</v>
      </c>
      <c r="Y288" s="290">
        <f t="shared" si="153"/>
        <v>166.66666666666666</v>
      </c>
      <c r="Z288" s="290">
        <f t="shared" si="153"/>
        <v>208.33333333333334</v>
      </c>
      <c r="AA288" s="290">
        <f t="shared" si="153"/>
        <v>212.5</v>
      </c>
      <c r="AB288" s="290">
        <f t="shared" si="153"/>
        <v>225</v>
      </c>
      <c r="AC288" s="290">
        <f t="shared" si="153"/>
        <v>217.5</v>
      </c>
      <c r="AD288" s="252">
        <f t="shared" si="153"/>
        <v>205.41666666666666</v>
      </c>
      <c r="AE288" s="252">
        <f t="shared" si="153"/>
        <v>205.41666666666666</v>
      </c>
    </row>
    <row r="289" spans="1:31">
      <c r="A289" s="240" t="s">
        <v>241</v>
      </c>
      <c r="B289" s="290">
        <f t="shared" si="152"/>
        <v>39.166666666666664</v>
      </c>
      <c r="C289" s="290">
        <f t="shared" si="152"/>
        <v>39.166666666666664</v>
      </c>
      <c r="D289" s="290">
        <f t="shared" si="152"/>
        <v>44.583333333333336</v>
      </c>
      <c r="E289" s="290">
        <f t="shared" si="152"/>
        <v>70.416666666666671</v>
      </c>
      <c r="F289" s="290">
        <f t="shared" si="152"/>
        <v>41.25</v>
      </c>
      <c r="G289" s="290">
        <f t="shared" si="152"/>
        <v>72.5</v>
      </c>
      <c r="H289" s="290">
        <f t="shared" si="152"/>
        <v>75</v>
      </c>
      <c r="I289" s="290">
        <f t="shared" si="152"/>
        <v>66.666666666666671</v>
      </c>
      <c r="J289" s="290">
        <f t="shared" si="152"/>
        <v>42.5</v>
      </c>
      <c r="K289" s="290">
        <f t="shared" si="152"/>
        <v>50</v>
      </c>
      <c r="L289" s="290">
        <f t="shared" si="152"/>
        <v>54.166666666666664</v>
      </c>
      <c r="M289" s="290">
        <f t="shared" si="152"/>
        <v>48.333333333333336</v>
      </c>
      <c r="N289" s="290">
        <f t="shared" si="152"/>
        <v>51.666666666666664</v>
      </c>
      <c r="O289" s="290">
        <f t="shared" si="152"/>
        <v>54.166666666666664</v>
      </c>
      <c r="P289" s="290">
        <f t="shared" si="152"/>
        <v>51.666666666666664</v>
      </c>
      <c r="Q289" s="290">
        <f t="shared" si="152"/>
        <v>66.666666666666671</v>
      </c>
      <c r="R289" s="290">
        <f t="shared" si="153"/>
        <v>70.833333333333329</v>
      </c>
      <c r="S289" s="290">
        <f t="shared" si="153"/>
        <v>75</v>
      </c>
      <c r="T289" s="290">
        <f t="shared" si="153"/>
        <v>100</v>
      </c>
      <c r="U289" s="290">
        <f t="shared" si="153"/>
        <v>100</v>
      </c>
      <c r="V289" s="290">
        <f t="shared" si="153"/>
        <v>125</v>
      </c>
      <c r="W289" s="290">
        <f t="shared" si="153"/>
        <v>141.66666666666666</v>
      </c>
      <c r="X289" s="290">
        <f t="shared" si="153"/>
        <v>138.75</v>
      </c>
      <c r="Y289" s="290">
        <f t="shared" si="153"/>
        <v>166.66666666666666</v>
      </c>
      <c r="Z289" s="290">
        <f t="shared" si="153"/>
        <v>208.33333333333334</v>
      </c>
      <c r="AA289" s="290">
        <f t="shared" si="153"/>
        <v>212.5</v>
      </c>
      <c r="AB289" s="290">
        <f t="shared" si="153"/>
        <v>225</v>
      </c>
      <c r="AC289" s="290">
        <f t="shared" si="153"/>
        <v>217.5</v>
      </c>
      <c r="AD289" s="252">
        <f t="shared" si="153"/>
        <v>205.41666666666666</v>
      </c>
      <c r="AE289" s="252">
        <f t="shared" si="153"/>
        <v>205.41666666666666</v>
      </c>
    </row>
    <row r="290" spans="1:31">
      <c r="A290" s="240" t="s">
        <v>231</v>
      </c>
      <c r="B290" s="290">
        <f t="shared" si="152"/>
        <v>39.166666666666664</v>
      </c>
      <c r="C290" s="290">
        <f t="shared" si="152"/>
        <v>39.166666666666664</v>
      </c>
      <c r="D290" s="290">
        <f t="shared" si="152"/>
        <v>44.583333333333336</v>
      </c>
      <c r="E290" s="290">
        <f t="shared" si="152"/>
        <v>70.416666666666671</v>
      </c>
      <c r="F290" s="290">
        <f t="shared" si="152"/>
        <v>41.25</v>
      </c>
      <c r="G290" s="290">
        <f t="shared" si="152"/>
        <v>72.5</v>
      </c>
      <c r="H290" s="290">
        <f t="shared" si="152"/>
        <v>75</v>
      </c>
      <c r="I290" s="290">
        <f t="shared" si="152"/>
        <v>66.666666666666671</v>
      </c>
      <c r="J290" s="290">
        <f t="shared" si="152"/>
        <v>42.5</v>
      </c>
      <c r="K290" s="290">
        <f t="shared" si="152"/>
        <v>50</v>
      </c>
      <c r="L290" s="290">
        <f t="shared" si="152"/>
        <v>54.166666666666664</v>
      </c>
      <c r="M290" s="290">
        <f t="shared" si="152"/>
        <v>48.333333333333336</v>
      </c>
      <c r="N290" s="290">
        <f t="shared" si="152"/>
        <v>51.666666666666664</v>
      </c>
      <c r="O290" s="290">
        <f t="shared" si="152"/>
        <v>54.166666666666664</v>
      </c>
      <c r="P290" s="290">
        <f t="shared" si="152"/>
        <v>51.666666666666664</v>
      </c>
      <c r="Q290" s="290">
        <f t="shared" si="152"/>
        <v>66.666666666666671</v>
      </c>
      <c r="R290" s="290">
        <f t="shared" si="153"/>
        <v>70.833333333333329</v>
      </c>
      <c r="S290" s="290">
        <f t="shared" si="153"/>
        <v>75</v>
      </c>
      <c r="T290" s="290">
        <f t="shared" si="153"/>
        <v>100</v>
      </c>
      <c r="U290" s="290">
        <f t="shared" si="153"/>
        <v>100</v>
      </c>
      <c r="V290" s="290">
        <f t="shared" si="153"/>
        <v>125</v>
      </c>
      <c r="W290" s="290">
        <f t="shared" si="153"/>
        <v>141.66666666666666</v>
      </c>
      <c r="X290" s="290">
        <f t="shared" si="153"/>
        <v>138.75</v>
      </c>
      <c r="Y290" s="290">
        <f t="shared" si="153"/>
        <v>166.66666666666666</v>
      </c>
      <c r="Z290" s="290">
        <f t="shared" si="153"/>
        <v>208.33333333333334</v>
      </c>
      <c r="AA290" s="290">
        <f t="shared" si="153"/>
        <v>212.5</v>
      </c>
      <c r="AB290" s="290">
        <f t="shared" si="153"/>
        <v>225</v>
      </c>
      <c r="AC290" s="290">
        <f t="shared" si="153"/>
        <v>217.5</v>
      </c>
      <c r="AD290" s="252">
        <f t="shared" si="153"/>
        <v>205.41666666666666</v>
      </c>
      <c r="AE290" s="252">
        <f t="shared" si="153"/>
        <v>205.41666666666666</v>
      </c>
    </row>
    <row r="291" spans="1:31">
      <c r="A291" s="240" t="s">
        <v>232</v>
      </c>
      <c r="B291" s="290">
        <f t="shared" si="152"/>
        <v>39.166666666666664</v>
      </c>
      <c r="C291" s="290">
        <f t="shared" si="152"/>
        <v>39.166666666666664</v>
      </c>
      <c r="D291" s="290">
        <f t="shared" si="152"/>
        <v>44.583333333333336</v>
      </c>
      <c r="E291" s="290">
        <f t="shared" si="152"/>
        <v>70.416666666666671</v>
      </c>
      <c r="F291" s="290">
        <f t="shared" si="152"/>
        <v>41.25</v>
      </c>
      <c r="G291" s="290">
        <f t="shared" si="152"/>
        <v>72.5</v>
      </c>
      <c r="H291" s="290">
        <f t="shared" si="152"/>
        <v>75</v>
      </c>
      <c r="I291" s="290">
        <f t="shared" si="152"/>
        <v>66.666666666666671</v>
      </c>
      <c r="J291" s="290">
        <f t="shared" si="152"/>
        <v>42.5</v>
      </c>
      <c r="K291" s="290">
        <f t="shared" si="152"/>
        <v>50</v>
      </c>
      <c r="L291" s="290">
        <f t="shared" si="152"/>
        <v>54.166666666666664</v>
      </c>
      <c r="M291" s="290">
        <f t="shared" si="152"/>
        <v>48.333333333333336</v>
      </c>
      <c r="N291" s="290">
        <f t="shared" si="152"/>
        <v>51.666666666666664</v>
      </c>
      <c r="O291" s="290">
        <f t="shared" si="152"/>
        <v>54.166666666666664</v>
      </c>
      <c r="P291" s="290">
        <f t="shared" si="152"/>
        <v>51.666666666666664</v>
      </c>
      <c r="Q291" s="290">
        <f t="shared" si="152"/>
        <v>66.666666666666671</v>
      </c>
      <c r="R291" s="290">
        <f t="shared" si="153"/>
        <v>70.833333333333329</v>
      </c>
      <c r="S291" s="290">
        <f t="shared" si="153"/>
        <v>75</v>
      </c>
      <c r="T291" s="290">
        <f t="shared" si="153"/>
        <v>100</v>
      </c>
      <c r="U291" s="290">
        <f t="shared" si="153"/>
        <v>100</v>
      </c>
      <c r="V291" s="290">
        <f t="shared" si="153"/>
        <v>125</v>
      </c>
      <c r="W291" s="290">
        <f t="shared" si="153"/>
        <v>141.66666666666666</v>
      </c>
      <c r="X291" s="290">
        <f t="shared" si="153"/>
        <v>138.75</v>
      </c>
      <c r="Y291" s="290">
        <f t="shared" si="153"/>
        <v>166.66666666666666</v>
      </c>
      <c r="Z291" s="290">
        <f t="shared" si="153"/>
        <v>208.33333333333334</v>
      </c>
      <c r="AA291" s="290">
        <f t="shared" si="153"/>
        <v>212.5</v>
      </c>
      <c r="AB291" s="290">
        <f t="shared" si="153"/>
        <v>225</v>
      </c>
      <c r="AC291" s="290">
        <f t="shared" si="153"/>
        <v>217.5</v>
      </c>
      <c r="AD291" s="252">
        <f t="shared" si="153"/>
        <v>205.41666666666666</v>
      </c>
      <c r="AE291" s="252">
        <f t="shared" si="153"/>
        <v>205.41666666666666</v>
      </c>
    </row>
    <row r="292" spans="1:31">
      <c r="A292" s="240" t="s">
        <v>233</v>
      </c>
      <c r="B292" s="290">
        <f t="shared" si="152"/>
        <v>39.166666666666664</v>
      </c>
      <c r="C292" s="290">
        <f t="shared" si="152"/>
        <v>39.166666666666664</v>
      </c>
      <c r="D292" s="290">
        <f t="shared" si="152"/>
        <v>44.583333333333336</v>
      </c>
      <c r="E292" s="290">
        <f t="shared" si="152"/>
        <v>70.416666666666671</v>
      </c>
      <c r="F292" s="290">
        <f t="shared" si="152"/>
        <v>41.25</v>
      </c>
      <c r="G292" s="290">
        <f t="shared" si="152"/>
        <v>72.5</v>
      </c>
      <c r="H292" s="290">
        <f t="shared" si="152"/>
        <v>75</v>
      </c>
      <c r="I292" s="290">
        <f t="shared" si="152"/>
        <v>66.666666666666671</v>
      </c>
      <c r="J292" s="290">
        <f t="shared" si="152"/>
        <v>42.5</v>
      </c>
      <c r="K292" s="290">
        <f t="shared" si="152"/>
        <v>50</v>
      </c>
      <c r="L292" s="290">
        <f t="shared" si="152"/>
        <v>54.166666666666664</v>
      </c>
      <c r="M292" s="290">
        <f t="shared" si="152"/>
        <v>48.333333333333336</v>
      </c>
      <c r="N292" s="290">
        <f t="shared" si="152"/>
        <v>51.666666666666664</v>
      </c>
      <c r="O292" s="290">
        <f t="shared" si="152"/>
        <v>54.166666666666664</v>
      </c>
      <c r="P292" s="290">
        <f t="shared" si="152"/>
        <v>51.666666666666664</v>
      </c>
      <c r="Q292" s="290">
        <f t="shared" si="152"/>
        <v>66.666666666666671</v>
      </c>
      <c r="R292" s="290">
        <f t="shared" si="153"/>
        <v>70.833333333333329</v>
      </c>
      <c r="S292" s="290">
        <f t="shared" si="153"/>
        <v>75</v>
      </c>
      <c r="T292" s="290">
        <f t="shared" si="153"/>
        <v>100</v>
      </c>
      <c r="U292" s="290">
        <f t="shared" si="153"/>
        <v>100</v>
      </c>
      <c r="V292" s="290">
        <f t="shared" si="153"/>
        <v>125</v>
      </c>
      <c r="W292" s="290">
        <f t="shared" si="153"/>
        <v>141.66666666666666</v>
      </c>
      <c r="X292" s="290">
        <f t="shared" si="153"/>
        <v>138.75</v>
      </c>
      <c r="Y292" s="290">
        <f t="shared" si="153"/>
        <v>166.66666666666666</v>
      </c>
      <c r="Z292" s="290">
        <f t="shared" si="153"/>
        <v>208.33333333333334</v>
      </c>
      <c r="AA292" s="290">
        <f t="shared" si="153"/>
        <v>212.5</v>
      </c>
      <c r="AB292" s="290">
        <f t="shared" si="153"/>
        <v>225</v>
      </c>
      <c r="AC292" s="290">
        <f t="shared" si="153"/>
        <v>217.5</v>
      </c>
      <c r="AD292" s="252">
        <f t="shared" si="153"/>
        <v>205.41666666666666</v>
      </c>
      <c r="AE292" s="252">
        <f t="shared" si="153"/>
        <v>205.41666666666666</v>
      </c>
    </row>
    <row r="293" spans="1:31">
      <c r="A293" s="240" t="s">
        <v>234</v>
      </c>
      <c r="B293" s="290">
        <f t="shared" si="152"/>
        <v>39.166666666666664</v>
      </c>
      <c r="C293" s="290">
        <f t="shared" si="152"/>
        <v>39.166666666666664</v>
      </c>
      <c r="D293" s="290">
        <f t="shared" si="152"/>
        <v>44.583333333333336</v>
      </c>
      <c r="E293" s="290">
        <f t="shared" si="152"/>
        <v>70.416666666666671</v>
      </c>
      <c r="F293" s="290">
        <f t="shared" si="152"/>
        <v>41.25</v>
      </c>
      <c r="G293" s="290">
        <f t="shared" si="152"/>
        <v>72.5</v>
      </c>
      <c r="H293" s="290">
        <f t="shared" si="152"/>
        <v>75</v>
      </c>
      <c r="I293" s="290">
        <f t="shared" si="152"/>
        <v>66.666666666666671</v>
      </c>
      <c r="J293" s="290">
        <f t="shared" si="152"/>
        <v>42.5</v>
      </c>
      <c r="K293" s="290">
        <f t="shared" si="152"/>
        <v>50</v>
      </c>
      <c r="L293" s="290">
        <f t="shared" si="152"/>
        <v>54.166666666666664</v>
      </c>
      <c r="M293" s="290">
        <f t="shared" si="152"/>
        <v>48.333333333333336</v>
      </c>
      <c r="N293" s="290">
        <f t="shared" si="152"/>
        <v>51.666666666666664</v>
      </c>
      <c r="O293" s="290">
        <f t="shared" si="152"/>
        <v>54.166666666666664</v>
      </c>
      <c r="P293" s="290">
        <f t="shared" si="152"/>
        <v>51.666666666666664</v>
      </c>
      <c r="Q293" s="290">
        <f t="shared" si="152"/>
        <v>66.666666666666671</v>
      </c>
      <c r="R293" s="290">
        <f t="shared" si="153"/>
        <v>70.833333333333329</v>
      </c>
      <c r="S293" s="290">
        <f t="shared" si="153"/>
        <v>75</v>
      </c>
      <c r="T293" s="290">
        <f t="shared" si="153"/>
        <v>100</v>
      </c>
      <c r="U293" s="290">
        <f t="shared" si="153"/>
        <v>100</v>
      </c>
      <c r="V293" s="290">
        <f t="shared" si="153"/>
        <v>125</v>
      </c>
      <c r="W293" s="290">
        <f t="shared" si="153"/>
        <v>141.66666666666666</v>
      </c>
      <c r="X293" s="290">
        <f t="shared" si="153"/>
        <v>138.75</v>
      </c>
      <c r="Y293" s="290">
        <f t="shared" si="153"/>
        <v>166.66666666666666</v>
      </c>
      <c r="Z293" s="290">
        <f t="shared" si="153"/>
        <v>208.33333333333334</v>
      </c>
      <c r="AA293" s="290">
        <f t="shared" si="153"/>
        <v>212.5</v>
      </c>
      <c r="AB293" s="290">
        <f t="shared" si="153"/>
        <v>225</v>
      </c>
      <c r="AC293" s="252">
        <f t="shared" si="153"/>
        <v>217.5</v>
      </c>
      <c r="AD293" s="252">
        <f t="shared" si="153"/>
        <v>205.41666666666666</v>
      </c>
      <c r="AE293" s="252">
        <f t="shared" si="153"/>
        <v>205.41666666666666</v>
      </c>
    </row>
    <row r="294" spans="1:31">
      <c r="A294" s="240" t="s">
        <v>46</v>
      </c>
      <c r="B294" s="290">
        <f t="shared" si="152"/>
        <v>39.166666666666664</v>
      </c>
      <c r="C294" s="290">
        <f t="shared" si="152"/>
        <v>39.166666666666664</v>
      </c>
      <c r="D294" s="290">
        <f t="shared" si="152"/>
        <v>44.583333333333336</v>
      </c>
      <c r="E294" s="290">
        <f t="shared" si="152"/>
        <v>70.416666666666671</v>
      </c>
      <c r="F294" s="290">
        <f t="shared" si="152"/>
        <v>41.25</v>
      </c>
      <c r="G294" s="290">
        <f t="shared" si="152"/>
        <v>72.5</v>
      </c>
      <c r="H294" s="290">
        <f t="shared" si="152"/>
        <v>75</v>
      </c>
      <c r="I294" s="290">
        <f t="shared" si="152"/>
        <v>66.666666666666671</v>
      </c>
      <c r="J294" s="290">
        <f t="shared" si="152"/>
        <v>42.5</v>
      </c>
      <c r="K294" s="290">
        <f t="shared" si="152"/>
        <v>50</v>
      </c>
      <c r="L294" s="290">
        <f t="shared" si="152"/>
        <v>54.166666666666664</v>
      </c>
      <c r="M294" s="290">
        <f t="shared" si="152"/>
        <v>48.333333333333336</v>
      </c>
      <c r="N294" s="290">
        <f t="shared" si="152"/>
        <v>51.666666666666664</v>
      </c>
      <c r="O294" s="290">
        <f t="shared" si="152"/>
        <v>54.166666666666664</v>
      </c>
      <c r="P294" s="290">
        <f t="shared" si="152"/>
        <v>51.666666666666664</v>
      </c>
      <c r="Q294" s="290">
        <f t="shared" si="152"/>
        <v>66.666666666666671</v>
      </c>
      <c r="R294" s="290">
        <f t="shared" si="153"/>
        <v>70.833333333333329</v>
      </c>
      <c r="S294" s="290">
        <f t="shared" si="153"/>
        <v>75</v>
      </c>
      <c r="T294" s="290">
        <f t="shared" si="153"/>
        <v>100</v>
      </c>
      <c r="U294" s="290">
        <f t="shared" si="153"/>
        <v>100</v>
      </c>
      <c r="V294" s="290">
        <f t="shared" si="153"/>
        <v>125</v>
      </c>
      <c r="W294" s="290">
        <f t="shared" si="153"/>
        <v>141.66666666666666</v>
      </c>
      <c r="X294" s="290">
        <f t="shared" si="153"/>
        <v>138.75</v>
      </c>
      <c r="Y294" s="290">
        <f t="shared" si="153"/>
        <v>166.66666666666666</v>
      </c>
      <c r="Z294" s="290">
        <f t="shared" si="153"/>
        <v>208.33333333333334</v>
      </c>
      <c r="AA294" s="290">
        <f t="shared" si="153"/>
        <v>212.5</v>
      </c>
      <c r="AB294" s="290">
        <f t="shared" si="153"/>
        <v>225</v>
      </c>
      <c r="AC294" s="252">
        <f t="shared" si="153"/>
        <v>217.5</v>
      </c>
      <c r="AD294" s="252">
        <f t="shared" si="153"/>
        <v>205.41666666666666</v>
      </c>
      <c r="AE294" s="252">
        <f t="shared" si="153"/>
        <v>205.41666666666666</v>
      </c>
    </row>
    <row r="295" spans="1:31">
      <c r="A295" s="240" t="s">
        <v>235</v>
      </c>
      <c r="B295" s="290">
        <f t="shared" si="152"/>
        <v>39.166666666666664</v>
      </c>
      <c r="C295" s="290">
        <f t="shared" si="152"/>
        <v>39.166666666666664</v>
      </c>
      <c r="D295" s="290">
        <f t="shared" si="152"/>
        <v>44.583333333333336</v>
      </c>
      <c r="E295" s="290">
        <f t="shared" si="152"/>
        <v>70.416666666666671</v>
      </c>
      <c r="F295" s="290">
        <f t="shared" si="152"/>
        <v>41.25</v>
      </c>
      <c r="G295" s="290">
        <f t="shared" si="152"/>
        <v>72.5</v>
      </c>
      <c r="H295" s="290">
        <f t="shared" si="152"/>
        <v>75</v>
      </c>
      <c r="I295" s="290">
        <f t="shared" si="152"/>
        <v>66.666666666666671</v>
      </c>
      <c r="J295" s="290">
        <f t="shared" si="152"/>
        <v>42.5</v>
      </c>
      <c r="K295" s="290">
        <f t="shared" si="152"/>
        <v>50</v>
      </c>
      <c r="L295" s="290">
        <f t="shared" si="152"/>
        <v>54.166666666666664</v>
      </c>
      <c r="M295" s="290">
        <f t="shared" si="152"/>
        <v>48.333333333333336</v>
      </c>
      <c r="N295" s="290">
        <f t="shared" si="152"/>
        <v>51.666666666666664</v>
      </c>
      <c r="O295" s="290">
        <f t="shared" si="152"/>
        <v>54.166666666666664</v>
      </c>
      <c r="P295" s="290">
        <f t="shared" si="152"/>
        <v>51.666666666666664</v>
      </c>
      <c r="Q295" s="290">
        <f t="shared" si="152"/>
        <v>66.666666666666671</v>
      </c>
      <c r="R295" s="290">
        <f t="shared" si="153"/>
        <v>70.833333333333329</v>
      </c>
      <c r="S295" s="290">
        <f t="shared" si="153"/>
        <v>75</v>
      </c>
      <c r="T295" s="290">
        <f t="shared" si="153"/>
        <v>100</v>
      </c>
      <c r="U295" s="290">
        <f t="shared" si="153"/>
        <v>100</v>
      </c>
      <c r="V295" s="290">
        <f t="shared" si="153"/>
        <v>125</v>
      </c>
      <c r="W295" s="290">
        <f t="shared" si="153"/>
        <v>141.66666666666666</v>
      </c>
      <c r="X295" s="290">
        <f t="shared" si="153"/>
        <v>138.75</v>
      </c>
      <c r="Y295" s="290">
        <f t="shared" si="153"/>
        <v>166.66666666666666</v>
      </c>
      <c r="Z295" s="290">
        <f t="shared" si="153"/>
        <v>208.33333333333334</v>
      </c>
      <c r="AA295" s="290">
        <f t="shared" si="153"/>
        <v>212.5</v>
      </c>
      <c r="AB295" s="290">
        <f t="shared" si="153"/>
        <v>225</v>
      </c>
      <c r="AC295" s="252">
        <f t="shared" si="153"/>
        <v>217.5</v>
      </c>
      <c r="AD295" s="252">
        <f t="shared" si="153"/>
        <v>205.41666666666666</v>
      </c>
      <c r="AE295" s="252">
        <f t="shared" si="153"/>
        <v>205.41666666666666</v>
      </c>
    </row>
    <row r="296" spans="1:31">
      <c r="A296" s="240" t="s">
        <v>236</v>
      </c>
      <c r="B296" s="290">
        <f t="shared" si="152"/>
        <v>39.166666666666664</v>
      </c>
      <c r="C296" s="290">
        <f t="shared" si="152"/>
        <v>39.166666666666664</v>
      </c>
      <c r="D296" s="290">
        <f t="shared" si="152"/>
        <v>44.583333333333336</v>
      </c>
      <c r="E296" s="290">
        <f t="shared" si="152"/>
        <v>70.416666666666671</v>
      </c>
      <c r="F296" s="290">
        <f t="shared" si="152"/>
        <v>41.25</v>
      </c>
      <c r="G296" s="290">
        <f t="shared" si="152"/>
        <v>72.5</v>
      </c>
      <c r="H296" s="290">
        <f t="shared" si="152"/>
        <v>75</v>
      </c>
      <c r="I296" s="290">
        <f t="shared" si="152"/>
        <v>66.666666666666671</v>
      </c>
      <c r="J296" s="290">
        <f t="shared" si="152"/>
        <v>42.5</v>
      </c>
      <c r="K296" s="290">
        <f t="shared" si="152"/>
        <v>50</v>
      </c>
      <c r="L296" s="290">
        <f t="shared" si="152"/>
        <v>54.166666666666664</v>
      </c>
      <c r="M296" s="290">
        <f t="shared" si="152"/>
        <v>48.333333333333336</v>
      </c>
      <c r="N296" s="290">
        <f t="shared" si="152"/>
        <v>51.666666666666664</v>
      </c>
      <c r="O296" s="290">
        <f t="shared" si="152"/>
        <v>54.166666666666664</v>
      </c>
      <c r="P296" s="290">
        <f t="shared" si="152"/>
        <v>51.666666666666664</v>
      </c>
      <c r="Q296" s="290">
        <f t="shared" si="152"/>
        <v>66.666666666666671</v>
      </c>
      <c r="R296" s="290">
        <f t="shared" si="153"/>
        <v>70.833333333333329</v>
      </c>
      <c r="S296" s="290">
        <f t="shared" si="153"/>
        <v>75</v>
      </c>
      <c r="T296" s="290">
        <f t="shared" si="153"/>
        <v>100</v>
      </c>
      <c r="U296" s="290">
        <f t="shared" si="153"/>
        <v>100</v>
      </c>
      <c r="V296" s="290">
        <f t="shared" si="153"/>
        <v>125</v>
      </c>
      <c r="W296" s="290">
        <f t="shared" si="153"/>
        <v>141.66666666666666</v>
      </c>
      <c r="X296" s="290">
        <f t="shared" si="153"/>
        <v>138.75</v>
      </c>
      <c r="Y296" s="290">
        <f t="shared" si="153"/>
        <v>166.66666666666666</v>
      </c>
      <c r="Z296" s="290">
        <f t="shared" si="153"/>
        <v>208.33333333333334</v>
      </c>
      <c r="AA296" s="290">
        <f t="shared" si="153"/>
        <v>212.5</v>
      </c>
      <c r="AB296" s="290">
        <f t="shared" si="153"/>
        <v>225</v>
      </c>
      <c r="AC296" s="252">
        <f t="shared" si="153"/>
        <v>217.5</v>
      </c>
      <c r="AD296" s="252">
        <f t="shared" si="153"/>
        <v>205.41666666666666</v>
      </c>
      <c r="AE296" s="252">
        <f t="shared" si="153"/>
        <v>205.41666666666666</v>
      </c>
    </row>
    <row r="297" spans="1:31">
      <c r="A297" s="240" t="s">
        <v>237</v>
      </c>
      <c r="B297" s="290">
        <f t="shared" si="152"/>
        <v>39.166666666666664</v>
      </c>
      <c r="C297" s="290">
        <f t="shared" si="152"/>
        <v>39.166666666666664</v>
      </c>
      <c r="D297" s="290">
        <f t="shared" si="152"/>
        <v>44.583333333333336</v>
      </c>
      <c r="E297" s="290">
        <f t="shared" si="152"/>
        <v>70.416666666666671</v>
      </c>
      <c r="F297" s="290">
        <f t="shared" si="152"/>
        <v>41.25</v>
      </c>
      <c r="G297" s="290">
        <f t="shared" si="152"/>
        <v>72.5</v>
      </c>
      <c r="H297" s="290">
        <f t="shared" si="152"/>
        <v>75</v>
      </c>
      <c r="I297" s="290">
        <f t="shared" si="152"/>
        <v>66.666666666666671</v>
      </c>
      <c r="J297" s="290">
        <f t="shared" si="152"/>
        <v>42.5</v>
      </c>
      <c r="K297" s="290">
        <f t="shared" si="152"/>
        <v>50</v>
      </c>
      <c r="L297" s="290">
        <f t="shared" si="152"/>
        <v>54.166666666666664</v>
      </c>
      <c r="M297" s="290">
        <f t="shared" si="152"/>
        <v>48.333333333333336</v>
      </c>
      <c r="N297" s="290">
        <f t="shared" si="152"/>
        <v>51.666666666666664</v>
      </c>
      <c r="O297" s="290">
        <f t="shared" si="152"/>
        <v>54.166666666666664</v>
      </c>
      <c r="P297" s="290">
        <f t="shared" si="152"/>
        <v>51.666666666666664</v>
      </c>
      <c r="Q297" s="290">
        <f t="shared" si="152"/>
        <v>66.666666666666671</v>
      </c>
      <c r="R297" s="290">
        <f t="shared" si="153"/>
        <v>70.833333333333329</v>
      </c>
      <c r="S297" s="290">
        <f t="shared" si="153"/>
        <v>75</v>
      </c>
      <c r="T297" s="290">
        <f t="shared" si="153"/>
        <v>100</v>
      </c>
      <c r="U297" s="290">
        <f t="shared" si="153"/>
        <v>100</v>
      </c>
      <c r="V297" s="290">
        <f t="shared" si="153"/>
        <v>125</v>
      </c>
      <c r="W297" s="290">
        <f t="shared" si="153"/>
        <v>141.66666666666666</v>
      </c>
      <c r="X297" s="290">
        <f t="shared" si="153"/>
        <v>138.75</v>
      </c>
      <c r="Y297" s="290">
        <f t="shared" si="153"/>
        <v>166.66666666666666</v>
      </c>
      <c r="Z297" s="290">
        <f t="shared" si="153"/>
        <v>208.33333333333334</v>
      </c>
      <c r="AA297" s="290">
        <f t="shared" si="153"/>
        <v>212.5</v>
      </c>
      <c r="AB297" s="290">
        <f t="shared" si="153"/>
        <v>225</v>
      </c>
      <c r="AC297" s="252">
        <f t="shared" si="153"/>
        <v>217.5</v>
      </c>
      <c r="AD297" s="252">
        <f t="shared" si="153"/>
        <v>205.41666666666666</v>
      </c>
      <c r="AE297" s="252">
        <f t="shared" si="153"/>
        <v>205.41666666666666</v>
      </c>
    </row>
    <row r="298" spans="1:31">
      <c r="A298" s="240" t="s">
        <v>238</v>
      </c>
      <c r="B298" s="290">
        <f t="shared" si="152"/>
        <v>39.166666666666664</v>
      </c>
      <c r="C298" s="290">
        <f t="shared" si="152"/>
        <v>39.166666666666664</v>
      </c>
      <c r="D298" s="290">
        <f t="shared" si="152"/>
        <v>44.583333333333336</v>
      </c>
      <c r="E298" s="290">
        <f t="shared" si="152"/>
        <v>70.416666666666671</v>
      </c>
      <c r="F298" s="290">
        <f t="shared" si="152"/>
        <v>41.25</v>
      </c>
      <c r="G298" s="290">
        <f t="shared" si="152"/>
        <v>72.5</v>
      </c>
      <c r="H298" s="290">
        <f t="shared" si="152"/>
        <v>75</v>
      </c>
      <c r="I298" s="290">
        <f t="shared" si="152"/>
        <v>66.666666666666671</v>
      </c>
      <c r="J298" s="290">
        <f t="shared" si="152"/>
        <v>42.5</v>
      </c>
      <c r="K298" s="290">
        <f t="shared" si="152"/>
        <v>50</v>
      </c>
      <c r="L298" s="290">
        <f t="shared" si="152"/>
        <v>54.166666666666664</v>
      </c>
      <c r="M298" s="290">
        <f t="shared" si="152"/>
        <v>48.333333333333336</v>
      </c>
      <c r="N298" s="290">
        <f t="shared" si="152"/>
        <v>51.666666666666664</v>
      </c>
      <c r="O298" s="290">
        <f t="shared" si="152"/>
        <v>54.166666666666664</v>
      </c>
      <c r="P298" s="290">
        <f t="shared" si="152"/>
        <v>51.666666666666664</v>
      </c>
      <c r="Q298" s="290">
        <f t="shared" si="152"/>
        <v>66.666666666666671</v>
      </c>
      <c r="R298" s="290">
        <f t="shared" si="153"/>
        <v>70.833333333333329</v>
      </c>
      <c r="S298" s="290">
        <f t="shared" si="153"/>
        <v>75</v>
      </c>
      <c r="T298" s="290">
        <f t="shared" si="153"/>
        <v>100</v>
      </c>
      <c r="U298" s="290">
        <f t="shared" si="153"/>
        <v>100</v>
      </c>
      <c r="V298" s="290">
        <f t="shared" si="153"/>
        <v>125</v>
      </c>
      <c r="W298" s="290">
        <f t="shared" si="153"/>
        <v>141.66666666666666</v>
      </c>
      <c r="X298" s="290">
        <f t="shared" si="153"/>
        <v>138.75</v>
      </c>
      <c r="Y298" s="290">
        <f t="shared" si="153"/>
        <v>166.66666666666666</v>
      </c>
      <c r="Z298" s="290">
        <f t="shared" si="153"/>
        <v>208.33333333333334</v>
      </c>
      <c r="AA298" s="290">
        <f t="shared" si="153"/>
        <v>212.5</v>
      </c>
      <c r="AB298" s="290">
        <f t="shared" si="153"/>
        <v>225</v>
      </c>
      <c r="AC298" s="252">
        <f t="shared" si="153"/>
        <v>217.5</v>
      </c>
      <c r="AD298" s="252">
        <f t="shared" si="153"/>
        <v>205.41666666666666</v>
      </c>
      <c r="AE298" s="252">
        <f t="shared" si="153"/>
        <v>205.41666666666666</v>
      </c>
    </row>
    <row r="299" spans="1:31" ht="15.75" thickBot="1">
      <c r="A299" s="240" t="s">
        <v>242</v>
      </c>
      <c r="B299" s="146">
        <f>B36</f>
        <v>470</v>
      </c>
      <c r="C299" s="146">
        <f t="shared" ref="C299:AB299" si="154">C36</f>
        <v>470</v>
      </c>
      <c r="D299" s="146">
        <f t="shared" si="154"/>
        <v>535</v>
      </c>
      <c r="E299" s="146">
        <f t="shared" si="154"/>
        <v>845</v>
      </c>
      <c r="F299" s="146">
        <f t="shared" si="154"/>
        <v>495</v>
      </c>
      <c r="G299" s="146">
        <f t="shared" si="154"/>
        <v>870</v>
      </c>
      <c r="H299" s="146">
        <f t="shared" si="154"/>
        <v>900</v>
      </c>
      <c r="I299" s="146">
        <f t="shared" si="154"/>
        <v>800</v>
      </c>
      <c r="J299" s="146">
        <f t="shared" si="154"/>
        <v>510</v>
      </c>
      <c r="K299" s="146">
        <f t="shared" si="154"/>
        <v>600</v>
      </c>
      <c r="L299" s="146">
        <f t="shared" si="154"/>
        <v>650</v>
      </c>
      <c r="M299" s="146">
        <f t="shared" si="154"/>
        <v>580</v>
      </c>
      <c r="N299" s="146">
        <f t="shared" si="154"/>
        <v>620</v>
      </c>
      <c r="O299" s="146">
        <f t="shared" si="154"/>
        <v>650</v>
      </c>
      <c r="P299" s="146">
        <f t="shared" si="154"/>
        <v>620</v>
      </c>
      <c r="Q299" s="146">
        <f t="shared" si="154"/>
        <v>800</v>
      </c>
      <c r="R299" s="146">
        <f t="shared" si="154"/>
        <v>850</v>
      </c>
      <c r="S299" s="146">
        <f t="shared" si="154"/>
        <v>900</v>
      </c>
      <c r="T299" s="146">
        <f t="shared" si="154"/>
        <v>1200</v>
      </c>
      <c r="U299" s="146">
        <f t="shared" si="154"/>
        <v>1200</v>
      </c>
      <c r="V299" s="146">
        <f t="shared" si="154"/>
        <v>1500</v>
      </c>
      <c r="W299" s="146">
        <f t="shared" si="154"/>
        <v>1700</v>
      </c>
      <c r="X299" s="146">
        <f t="shared" si="154"/>
        <v>1665</v>
      </c>
      <c r="Y299" s="146">
        <f t="shared" si="154"/>
        <v>2000</v>
      </c>
      <c r="Z299" s="146">
        <f t="shared" si="154"/>
        <v>2500</v>
      </c>
      <c r="AA299" s="146">
        <f t="shared" si="154"/>
        <v>2550</v>
      </c>
      <c r="AB299" s="146">
        <f t="shared" si="154"/>
        <v>2700</v>
      </c>
      <c r="AC299" s="253">
        <f>AC36</f>
        <v>2610</v>
      </c>
      <c r="AD299" s="253">
        <f t="shared" ref="AD299:AE299" si="155">AD36</f>
        <v>2465</v>
      </c>
      <c r="AE299" s="253">
        <f t="shared" si="155"/>
        <v>2465</v>
      </c>
    </row>
    <row r="300" spans="1:31">
      <c r="A300" s="248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  <c r="AD300" s="254"/>
      <c r="AE300" s="254"/>
    </row>
    <row r="301" spans="1:31" ht="15.75" thickBot="1">
      <c r="A301" s="235" t="s">
        <v>269</v>
      </c>
    </row>
    <row r="302" spans="1:31" ht="15.75" thickBot="1">
      <c r="A302" s="236"/>
      <c r="B302" s="237" t="str">
        <f>B$2</f>
        <v xml:space="preserve">93/94 </v>
      </c>
      <c r="C302" s="237" t="str">
        <f t="shared" ref="C302:AE302" si="156">C$2</f>
        <v xml:space="preserve">94/95 </v>
      </c>
      <c r="D302" s="237" t="str">
        <f t="shared" si="156"/>
        <v xml:space="preserve">95/96 </v>
      </c>
      <c r="E302" s="237" t="str">
        <f t="shared" si="156"/>
        <v xml:space="preserve">96/97 </v>
      </c>
      <c r="F302" s="237" t="str">
        <f t="shared" si="156"/>
        <v xml:space="preserve">97/98 </v>
      </c>
      <c r="G302" s="237" t="str">
        <f t="shared" si="156"/>
        <v xml:space="preserve">98/99 </v>
      </c>
      <c r="H302" s="237" t="str">
        <f t="shared" si="156"/>
        <v xml:space="preserve">99/00 </v>
      </c>
      <c r="I302" s="237" t="str">
        <f t="shared" si="156"/>
        <v xml:space="preserve">00/01 </v>
      </c>
      <c r="J302" s="237" t="str">
        <f t="shared" si="156"/>
        <v xml:space="preserve">01/02 </v>
      </c>
      <c r="K302" s="237" t="str">
        <f t="shared" si="156"/>
        <v xml:space="preserve">02/03 </v>
      </c>
      <c r="L302" s="237" t="str">
        <f t="shared" si="156"/>
        <v xml:space="preserve">03/04 </v>
      </c>
      <c r="M302" s="237" t="str">
        <f t="shared" si="156"/>
        <v xml:space="preserve">04/05 </v>
      </c>
      <c r="N302" s="237" t="str">
        <f t="shared" si="156"/>
        <v xml:space="preserve">05/06 </v>
      </c>
      <c r="O302" s="237" t="str">
        <f t="shared" si="156"/>
        <v xml:space="preserve">06/07 </v>
      </c>
      <c r="P302" s="237" t="str">
        <f t="shared" si="156"/>
        <v xml:space="preserve">07/08 </v>
      </c>
      <c r="Q302" s="237" t="str">
        <f t="shared" si="156"/>
        <v xml:space="preserve">08/09 </v>
      </c>
      <c r="R302" s="237" t="str">
        <f t="shared" si="156"/>
        <v xml:space="preserve">09/10 </v>
      </c>
      <c r="S302" s="237" t="str">
        <f t="shared" si="156"/>
        <v xml:space="preserve">10/11 </v>
      </c>
      <c r="T302" s="237" t="str">
        <f t="shared" si="156"/>
        <v xml:space="preserve">11/12 </v>
      </c>
      <c r="U302" s="237" t="str">
        <f t="shared" si="156"/>
        <v xml:space="preserve">12/13 </v>
      </c>
      <c r="V302" s="237" t="str">
        <f t="shared" si="156"/>
        <v xml:space="preserve">13/14 </v>
      </c>
      <c r="W302" s="237" t="str">
        <f t="shared" si="156"/>
        <v xml:space="preserve">14/15 </v>
      </c>
      <c r="X302" s="237" t="str">
        <f t="shared" si="156"/>
        <v xml:space="preserve">15/16 </v>
      </c>
      <c r="Y302" s="237" t="str">
        <f t="shared" si="156"/>
        <v xml:space="preserve">16/17 </v>
      </c>
      <c r="Z302" s="237" t="str">
        <f t="shared" si="156"/>
        <v xml:space="preserve">17/18 </v>
      </c>
      <c r="AA302" s="237" t="str">
        <f t="shared" si="156"/>
        <v xml:space="preserve">18/19 </v>
      </c>
      <c r="AB302" s="237" t="str">
        <f t="shared" si="156"/>
        <v xml:space="preserve">19/20 </v>
      </c>
      <c r="AC302" s="237" t="str">
        <f t="shared" si="156"/>
        <v xml:space="preserve">20/21 </v>
      </c>
      <c r="AD302" s="237" t="str">
        <f t="shared" si="156"/>
        <v xml:space="preserve">21/22 </v>
      </c>
      <c r="AE302" s="237" t="str">
        <f t="shared" si="156"/>
        <v xml:space="preserve">22/23 </v>
      </c>
    </row>
    <row r="303" spans="1:31">
      <c r="A303" s="240" t="s">
        <v>239</v>
      </c>
      <c r="B303" s="290">
        <f>(B$314-B$32)/13+B32</f>
        <v>0</v>
      </c>
      <c r="C303" s="290">
        <f>(C$314-B$314)/13+B314</f>
        <v>0</v>
      </c>
      <c r="D303" s="290">
        <f t="shared" ref="D303:AC303" si="157">(D$314-C$314)/13+C314</f>
        <v>0</v>
      </c>
      <c r="E303" s="290">
        <f t="shared" si="157"/>
        <v>0</v>
      </c>
      <c r="F303" s="290">
        <f t="shared" si="157"/>
        <v>0</v>
      </c>
      <c r="G303" s="290">
        <f t="shared" si="157"/>
        <v>5.384615384615385</v>
      </c>
      <c r="H303" s="290">
        <f t="shared" si="157"/>
        <v>72.15384615384616</v>
      </c>
      <c r="I303" s="290">
        <f t="shared" si="157"/>
        <v>95.92307692307692</v>
      </c>
      <c r="J303" s="290">
        <f t="shared" si="157"/>
        <v>69.538461538461533</v>
      </c>
      <c r="K303" s="290">
        <f t="shared" si="157"/>
        <v>52.307692307692307</v>
      </c>
      <c r="L303" s="290">
        <f t="shared" si="157"/>
        <v>57</v>
      </c>
      <c r="M303" s="290">
        <f t="shared" si="157"/>
        <v>66.07692307692308</v>
      </c>
      <c r="N303" s="290">
        <f t="shared" si="157"/>
        <v>32.46153846153846</v>
      </c>
      <c r="O303" s="290">
        <f t="shared" si="157"/>
        <v>57</v>
      </c>
      <c r="P303" s="290">
        <f t="shared" si="157"/>
        <v>132.76923076923077</v>
      </c>
      <c r="Q303" s="290">
        <f t="shared" si="157"/>
        <v>44.230769230769226</v>
      </c>
      <c r="R303" s="290">
        <f t="shared" si="157"/>
        <v>169.92307692307693</v>
      </c>
      <c r="S303" s="290">
        <f t="shared" si="157"/>
        <v>199.84615384615384</v>
      </c>
      <c r="T303" s="290">
        <f t="shared" si="157"/>
        <v>143.07692307692307</v>
      </c>
      <c r="U303" s="290">
        <f t="shared" si="157"/>
        <v>199.84615384615384</v>
      </c>
      <c r="V303" s="290">
        <f t="shared" si="157"/>
        <v>164.84615384615384</v>
      </c>
      <c r="W303" s="290">
        <f t="shared" si="157"/>
        <v>342.38461538461536</v>
      </c>
      <c r="X303" s="290">
        <f t="shared" si="157"/>
        <v>329.53846153846155</v>
      </c>
      <c r="Y303" s="290">
        <f t="shared" si="157"/>
        <v>283.38461538461536</v>
      </c>
      <c r="Z303" s="290">
        <f t="shared" si="157"/>
        <v>519.61538461538464</v>
      </c>
      <c r="AA303" s="290">
        <f t="shared" si="157"/>
        <v>550.07692307692309</v>
      </c>
      <c r="AB303" s="290">
        <f t="shared" si="157"/>
        <v>383.84615384615387</v>
      </c>
      <c r="AC303" s="290">
        <f t="shared" si="157"/>
        <v>238.84615384615384</v>
      </c>
      <c r="AD303" s="252">
        <f t="shared" ref="AD303:AE303" si="158">(AD$314-AD$314)/13+AC314</f>
        <v>105</v>
      </c>
      <c r="AE303" s="252">
        <f t="shared" si="158"/>
        <v>110</v>
      </c>
    </row>
    <row r="304" spans="1:31">
      <c r="A304" s="240" t="s">
        <v>240</v>
      </c>
      <c r="B304" s="290">
        <f t="shared" ref="B304:B313" si="159">(B$314-B$32)/13+B303</f>
        <v>0</v>
      </c>
      <c r="C304" s="290">
        <f>(C$314-B$314)/13+C303</f>
        <v>0</v>
      </c>
      <c r="D304" s="290">
        <f t="shared" ref="D304:AC313" si="160">(D$314-C$314)/13+D303</f>
        <v>0</v>
      </c>
      <c r="E304" s="290">
        <f t="shared" si="160"/>
        <v>0</v>
      </c>
      <c r="F304" s="290">
        <f t="shared" si="160"/>
        <v>0</v>
      </c>
      <c r="G304" s="290">
        <f t="shared" si="160"/>
        <v>10.76923076923077</v>
      </c>
      <c r="H304" s="290">
        <f t="shared" si="160"/>
        <v>74.307692307692321</v>
      </c>
      <c r="I304" s="290">
        <f t="shared" si="160"/>
        <v>93.84615384615384</v>
      </c>
      <c r="J304" s="290">
        <f t="shared" si="160"/>
        <v>68.076923076923066</v>
      </c>
      <c r="K304" s="290">
        <f t="shared" si="160"/>
        <v>52.615384615384613</v>
      </c>
      <c r="L304" s="290">
        <f t="shared" si="160"/>
        <v>58</v>
      </c>
      <c r="M304" s="290">
        <f t="shared" si="160"/>
        <v>63.15384615384616</v>
      </c>
      <c r="N304" s="290">
        <f t="shared" si="160"/>
        <v>33.92307692307692</v>
      </c>
      <c r="O304" s="290">
        <f t="shared" si="160"/>
        <v>64</v>
      </c>
      <c r="P304" s="290">
        <f t="shared" si="160"/>
        <v>124.53846153846155</v>
      </c>
      <c r="Q304" s="290">
        <f t="shared" si="160"/>
        <v>54.461538461538453</v>
      </c>
      <c r="R304" s="290">
        <f t="shared" si="160"/>
        <v>172.84615384615387</v>
      </c>
      <c r="S304" s="290">
        <f t="shared" si="160"/>
        <v>194.69230769230768</v>
      </c>
      <c r="T304" s="290">
        <f t="shared" si="160"/>
        <v>148.15384615384613</v>
      </c>
      <c r="U304" s="290">
        <f t="shared" si="160"/>
        <v>195.69230769230768</v>
      </c>
      <c r="V304" s="290">
        <f t="shared" si="160"/>
        <v>179.69230769230768</v>
      </c>
      <c r="W304" s="290">
        <f t="shared" si="160"/>
        <v>341.76923076923072</v>
      </c>
      <c r="X304" s="290">
        <f t="shared" si="160"/>
        <v>324.07692307692309</v>
      </c>
      <c r="Y304" s="290">
        <f t="shared" si="160"/>
        <v>302.76923076923072</v>
      </c>
      <c r="Z304" s="290">
        <f t="shared" si="160"/>
        <v>523.23076923076928</v>
      </c>
      <c r="AA304" s="290">
        <f t="shared" si="160"/>
        <v>537.15384615384619</v>
      </c>
      <c r="AB304" s="290">
        <f t="shared" si="160"/>
        <v>372.69230769230774</v>
      </c>
      <c r="AC304" s="290">
        <f t="shared" si="160"/>
        <v>227.69230769230768</v>
      </c>
      <c r="AD304" s="252">
        <f t="shared" ref="AD304:AE313" si="161">(AD$314-AD$32)/13+AD303</f>
        <v>105.38461538461539</v>
      </c>
      <c r="AE304" s="252">
        <f t="shared" si="161"/>
        <v>110.76923076923077</v>
      </c>
    </row>
    <row r="305" spans="1:31">
      <c r="A305" s="240" t="s">
        <v>241</v>
      </c>
      <c r="B305" s="290">
        <f t="shared" si="159"/>
        <v>0</v>
      </c>
      <c r="C305" s="290">
        <f t="shared" ref="C305:C313" si="162">(C$314-B$314)/13+C304</f>
        <v>0</v>
      </c>
      <c r="D305" s="290">
        <f t="shared" si="160"/>
        <v>0</v>
      </c>
      <c r="E305" s="290">
        <f t="shared" si="160"/>
        <v>0</v>
      </c>
      <c r="F305" s="290">
        <f t="shared" si="160"/>
        <v>0</v>
      </c>
      <c r="G305" s="290">
        <f t="shared" si="160"/>
        <v>16.153846153846153</v>
      </c>
      <c r="H305" s="290">
        <f t="shared" si="160"/>
        <v>76.461538461538481</v>
      </c>
      <c r="I305" s="290">
        <f t="shared" si="160"/>
        <v>91.769230769230759</v>
      </c>
      <c r="J305" s="290">
        <f t="shared" si="160"/>
        <v>66.615384615384599</v>
      </c>
      <c r="K305" s="290">
        <f t="shared" si="160"/>
        <v>52.92307692307692</v>
      </c>
      <c r="L305" s="290">
        <f t="shared" si="160"/>
        <v>59</v>
      </c>
      <c r="M305" s="290">
        <f t="shared" si="160"/>
        <v>60.230769230769241</v>
      </c>
      <c r="N305" s="290">
        <f t="shared" si="160"/>
        <v>35.38461538461538</v>
      </c>
      <c r="O305" s="290">
        <f t="shared" si="160"/>
        <v>71</v>
      </c>
      <c r="P305" s="290">
        <f t="shared" si="160"/>
        <v>116.30769230769232</v>
      </c>
      <c r="Q305" s="290">
        <f t="shared" si="160"/>
        <v>64.692307692307679</v>
      </c>
      <c r="R305" s="290">
        <f t="shared" si="160"/>
        <v>175.7692307692308</v>
      </c>
      <c r="S305" s="290">
        <f t="shared" si="160"/>
        <v>189.53846153846152</v>
      </c>
      <c r="T305" s="290">
        <f t="shared" si="160"/>
        <v>153.2307692307692</v>
      </c>
      <c r="U305" s="290">
        <f t="shared" si="160"/>
        <v>191.53846153846152</v>
      </c>
      <c r="V305" s="290">
        <f t="shared" si="160"/>
        <v>194.53846153846152</v>
      </c>
      <c r="W305" s="290">
        <f t="shared" si="160"/>
        <v>341.15384615384608</v>
      </c>
      <c r="X305" s="290">
        <f t="shared" si="160"/>
        <v>318.61538461538464</v>
      </c>
      <c r="Y305" s="290">
        <f t="shared" si="160"/>
        <v>322.15384615384608</v>
      </c>
      <c r="Z305" s="290">
        <f t="shared" si="160"/>
        <v>526.84615384615392</v>
      </c>
      <c r="AA305" s="290">
        <f t="shared" si="160"/>
        <v>524.23076923076928</v>
      </c>
      <c r="AB305" s="290">
        <f t="shared" si="160"/>
        <v>361.5384615384616</v>
      </c>
      <c r="AC305" s="290">
        <f t="shared" si="160"/>
        <v>216.53846153846152</v>
      </c>
      <c r="AD305" s="252">
        <f t="shared" si="161"/>
        <v>105.76923076923077</v>
      </c>
      <c r="AE305" s="252">
        <f t="shared" si="161"/>
        <v>111.53846153846155</v>
      </c>
    </row>
    <row r="306" spans="1:31">
      <c r="A306" s="240" t="s">
        <v>231</v>
      </c>
      <c r="B306" s="290">
        <f t="shared" si="159"/>
        <v>0</v>
      </c>
      <c r="C306" s="290">
        <f t="shared" si="162"/>
        <v>0</v>
      </c>
      <c r="D306" s="290">
        <f t="shared" si="160"/>
        <v>0</v>
      </c>
      <c r="E306" s="290">
        <f t="shared" si="160"/>
        <v>0</v>
      </c>
      <c r="F306" s="290">
        <f t="shared" si="160"/>
        <v>0</v>
      </c>
      <c r="G306" s="290">
        <f t="shared" si="160"/>
        <v>21.53846153846154</v>
      </c>
      <c r="H306" s="290">
        <f t="shared" si="160"/>
        <v>78.615384615384642</v>
      </c>
      <c r="I306" s="290">
        <f t="shared" si="160"/>
        <v>89.692307692307679</v>
      </c>
      <c r="J306" s="290">
        <f t="shared" si="160"/>
        <v>65.153846153846132</v>
      </c>
      <c r="K306" s="290">
        <f t="shared" si="160"/>
        <v>53.230769230769226</v>
      </c>
      <c r="L306" s="290">
        <f t="shared" si="160"/>
        <v>60</v>
      </c>
      <c r="M306" s="290">
        <f t="shared" si="160"/>
        <v>57.307692307692321</v>
      </c>
      <c r="N306" s="290">
        <f t="shared" si="160"/>
        <v>36.84615384615384</v>
      </c>
      <c r="O306" s="290">
        <f t="shared" si="160"/>
        <v>78</v>
      </c>
      <c r="P306" s="290">
        <f t="shared" si="160"/>
        <v>108.07692307692309</v>
      </c>
      <c r="Q306" s="290">
        <f t="shared" si="160"/>
        <v>74.923076923076906</v>
      </c>
      <c r="R306" s="290">
        <f t="shared" si="160"/>
        <v>178.69230769230774</v>
      </c>
      <c r="S306" s="290">
        <f t="shared" si="160"/>
        <v>184.38461538461536</v>
      </c>
      <c r="T306" s="290">
        <f t="shared" si="160"/>
        <v>158.30769230769226</v>
      </c>
      <c r="U306" s="290">
        <f t="shared" si="160"/>
        <v>187.38461538461536</v>
      </c>
      <c r="V306" s="290">
        <f t="shared" si="160"/>
        <v>209.38461538461536</v>
      </c>
      <c r="W306" s="290">
        <f t="shared" si="160"/>
        <v>340.53846153846143</v>
      </c>
      <c r="X306" s="290">
        <f t="shared" si="160"/>
        <v>313.15384615384619</v>
      </c>
      <c r="Y306" s="290">
        <f t="shared" si="160"/>
        <v>341.53846153846143</v>
      </c>
      <c r="Z306" s="290">
        <f t="shared" si="160"/>
        <v>530.46153846153857</v>
      </c>
      <c r="AA306" s="290">
        <f t="shared" si="160"/>
        <v>511.30769230769238</v>
      </c>
      <c r="AB306" s="290">
        <f t="shared" si="160"/>
        <v>350.38461538461547</v>
      </c>
      <c r="AC306" s="290">
        <f t="shared" si="160"/>
        <v>205.38461538461536</v>
      </c>
      <c r="AD306" s="252">
        <f t="shared" si="161"/>
        <v>106.15384615384616</v>
      </c>
      <c r="AE306" s="252">
        <f t="shared" si="161"/>
        <v>112.30769230769232</v>
      </c>
    </row>
    <row r="307" spans="1:31">
      <c r="A307" s="240" t="s">
        <v>232</v>
      </c>
      <c r="B307" s="290">
        <f t="shared" si="159"/>
        <v>0</v>
      </c>
      <c r="C307" s="290">
        <f t="shared" si="162"/>
        <v>0</v>
      </c>
      <c r="D307" s="290">
        <f t="shared" si="160"/>
        <v>0</v>
      </c>
      <c r="E307" s="290">
        <f t="shared" si="160"/>
        <v>0</v>
      </c>
      <c r="F307" s="290">
        <f t="shared" si="160"/>
        <v>0</v>
      </c>
      <c r="G307" s="290">
        <f t="shared" si="160"/>
        <v>26.923076923076927</v>
      </c>
      <c r="H307" s="290">
        <f t="shared" si="160"/>
        <v>80.769230769230802</v>
      </c>
      <c r="I307" s="290">
        <f t="shared" si="160"/>
        <v>87.615384615384599</v>
      </c>
      <c r="J307" s="290">
        <f t="shared" si="160"/>
        <v>63.692307692307672</v>
      </c>
      <c r="K307" s="290">
        <f t="shared" si="160"/>
        <v>53.538461538461533</v>
      </c>
      <c r="L307" s="290">
        <f t="shared" si="160"/>
        <v>61</v>
      </c>
      <c r="M307" s="290">
        <f t="shared" si="160"/>
        <v>54.384615384615401</v>
      </c>
      <c r="N307" s="290">
        <f t="shared" si="160"/>
        <v>38.307692307692299</v>
      </c>
      <c r="O307" s="290">
        <f t="shared" si="160"/>
        <v>85</v>
      </c>
      <c r="P307" s="290">
        <f t="shared" si="160"/>
        <v>99.846153846153868</v>
      </c>
      <c r="Q307" s="290">
        <f t="shared" si="160"/>
        <v>85.153846153846132</v>
      </c>
      <c r="R307" s="290">
        <f t="shared" si="160"/>
        <v>181.61538461538467</v>
      </c>
      <c r="S307" s="290">
        <f t="shared" si="160"/>
        <v>179.2307692307692</v>
      </c>
      <c r="T307" s="290">
        <f t="shared" si="160"/>
        <v>163.38461538461533</v>
      </c>
      <c r="U307" s="290">
        <f t="shared" si="160"/>
        <v>183.2307692307692</v>
      </c>
      <c r="V307" s="290">
        <f t="shared" si="160"/>
        <v>224.2307692307692</v>
      </c>
      <c r="W307" s="290">
        <f t="shared" si="160"/>
        <v>339.92307692307679</v>
      </c>
      <c r="X307" s="290">
        <f t="shared" si="160"/>
        <v>307.69230769230774</v>
      </c>
      <c r="Y307" s="290">
        <f t="shared" si="160"/>
        <v>360.92307692307679</v>
      </c>
      <c r="Z307" s="290">
        <f t="shared" si="160"/>
        <v>534.07692307692321</v>
      </c>
      <c r="AA307" s="290">
        <f t="shared" si="160"/>
        <v>498.38461538461547</v>
      </c>
      <c r="AB307" s="290">
        <f t="shared" si="160"/>
        <v>339.23076923076934</v>
      </c>
      <c r="AC307" s="290">
        <f t="shared" si="160"/>
        <v>194.2307692307692</v>
      </c>
      <c r="AD307" s="252">
        <f t="shared" si="161"/>
        <v>106.53846153846155</v>
      </c>
      <c r="AE307" s="252">
        <f t="shared" si="161"/>
        <v>113.07692307692309</v>
      </c>
    </row>
    <row r="308" spans="1:31">
      <c r="A308" s="240" t="s">
        <v>233</v>
      </c>
      <c r="B308" s="290">
        <f t="shared" si="159"/>
        <v>0</v>
      </c>
      <c r="C308" s="290">
        <f t="shared" si="162"/>
        <v>0</v>
      </c>
      <c r="D308" s="290">
        <f t="shared" si="160"/>
        <v>0</v>
      </c>
      <c r="E308" s="290">
        <f t="shared" si="160"/>
        <v>0</v>
      </c>
      <c r="F308" s="290">
        <f t="shared" si="160"/>
        <v>0</v>
      </c>
      <c r="G308" s="290">
        <f t="shared" si="160"/>
        <v>32.307692307692314</v>
      </c>
      <c r="H308" s="290">
        <f t="shared" si="160"/>
        <v>82.923076923076962</v>
      </c>
      <c r="I308" s="290">
        <f t="shared" si="160"/>
        <v>85.538461538461519</v>
      </c>
      <c r="J308" s="290">
        <f t="shared" si="160"/>
        <v>62.230769230769212</v>
      </c>
      <c r="K308" s="290">
        <f t="shared" si="160"/>
        <v>53.84615384615384</v>
      </c>
      <c r="L308" s="290">
        <f t="shared" si="160"/>
        <v>62</v>
      </c>
      <c r="M308" s="290">
        <f t="shared" si="160"/>
        <v>51.461538461538481</v>
      </c>
      <c r="N308" s="290">
        <f t="shared" si="160"/>
        <v>39.769230769230759</v>
      </c>
      <c r="O308" s="290">
        <f t="shared" si="160"/>
        <v>92</v>
      </c>
      <c r="P308" s="290">
        <f t="shared" si="160"/>
        <v>91.615384615384642</v>
      </c>
      <c r="Q308" s="290">
        <f t="shared" si="160"/>
        <v>95.384615384615358</v>
      </c>
      <c r="R308" s="290">
        <f t="shared" si="160"/>
        <v>184.5384615384616</v>
      </c>
      <c r="S308" s="290">
        <f t="shared" si="160"/>
        <v>174.07692307692304</v>
      </c>
      <c r="T308" s="290">
        <f t="shared" si="160"/>
        <v>168.4615384615384</v>
      </c>
      <c r="U308" s="290">
        <f t="shared" si="160"/>
        <v>179.07692307692304</v>
      </c>
      <c r="V308" s="290">
        <f t="shared" si="160"/>
        <v>239.07692307692304</v>
      </c>
      <c r="W308" s="290">
        <f t="shared" si="160"/>
        <v>339.30769230769215</v>
      </c>
      <c r="X308" s="290">
        <f t="shared" si="160"/>
        <v>302.23076923076928</v>
      </c>
      <c r="Y308" s="290">
        <f t="shared" si="160"/>
        <v>380.30769230769215</v>
      </c>
      <c r="Z308" s="290">
        <f t="shared" si="160"/>
        <v>537.69230769230785</v>
      </c>
      <c r="AA308" s="290">
        <f t="shared" si="160"/>
        <v>485.46153846153857</v>
      </c>
      <c r="AB308" s="290">
        <f t="shared" si="160"/>
        <v>328.07692307692321</v>
      </c>
      <c r="AC308" s="290">
        <f t="shared" si="160"/>
        <v>183.07692307692304</v>
      </c>
      <c r="AD308" s="252">
        <f t="shared" si="161"/>
        <v>106.92307692307693</v>
      </c>
      <c r="AE308" s="252">
        <f t="shared" si="161"/>
        <v>113.84615384615387</v>
      </c>
    </row>
    <row r="309" spans="1:31">
      <c r="A309" s="240" t="s">
        <v>234</v>
      </c>
      <c r="B309" s="290">
        <f t="shared" si="159"/>
        <v>0</v>
      </c>
      <c r="C309" s="290">
        <f t="shared" si="162"/>
        <v>0</v>
      </c>
      <c r="D309" s="290">
        <f t="shared" si="160"/>
        <v>0</v>
      </c>
      <c r="E309" s="290">
        <f t="shared" si="160"/>
        <v>0</v>
      </c>
      <c r="F309" s="290">
        <f t="shared" si="160"/>
        <v>0</v>
      </c>
      <c r="G309" s="290">
        <f t="shared" si="160"/>
        <v>37.692307692307701</v>
      </c>
      <c r="H309" s="290">
        <f t="shared" si="160"/>
        <v>85.076923076923123</v>
      </c>
      <c r="I309" s="290">
        <f t="shared" si="160"/>
        <v>83.461538461538439</v>
      </c>
      <c r="J309" s="290">
        <f t="shared" si="160"/>
        <v>60.769230769230752</v>
      </c>
      <c r="K309" s="290">
        <f t="shared" si="160"/>
        <v>54.153846153846146</v>
      </c>
      <c r="L309" s="290">
        <f t="shared" si="160"/>
        <v>63</v>
      </c>
      <c r="M309" s="290">
        <f t="shared" si="160"/>
        <v>48.538461538461561</v>
      </c>
      <c r="N309" s="290">
        <f t="shared" si="160"/>
        <v>41.230769230769219</v>
      </c>
      <c r="O309" s="290">
        <f t="shared" si="160"/>
        <v>99</v>
      </c>
      <c r="P309" s="290">
        <f t="shared" si="160"/>
        <v>83.384615384615415</v>
      </c>
      <c r="Q309" s="290">
        <f t="shared" si="160"/>
        <v>105.61538461538458</v>
      </c>
      <c r="R309" s="290">
        <f t="shared" si="160"/>
        <v>187.46153846153854</v>
      </c>
      <c r="S309" s="290">
        <f t="shared" si="160"/>
        <v>168.92307692307688</v>
      </c>
      <c r="T309" s="290">
        <f t="shared" si="160"/>
        <v>173.53846153846146</v>
      </c>
      <c r="U309" s="290">
        <f t="shared" si="160"/>
        <v>174.92307692307688</v>
      </c>
      <c r="V309" s="290">
        <f t="shared" si="160"/>
        <v>253.92307692307688</v>
      </c>
      <c r="W309" s="290">
        <f t="shared" si="160"/>
        <v>338.69230769230751</v>
      </c>
      <c r="X309" s="290">
        <f t="shared" si="160"/>
        <v>296.76923076923083</v>
      </c>
      <c r="Y309" s="290">
        <f t="shared" si="160"/>
        <v>399.69230769230751</v>
      </c>
      <c r="Z309" s="290">
        <f t="shared" si="160"/>
        <v>541.30769230769249</v>
      </c>
      <c r="AA309" s="290">
        <f t="shared" si="160"/>
        <v>472.53846153846166</v>
      </c>
      <c r="AB309" s="290">
        <f t="shared" si="160"/>
        <v>316.92307692307708</v>
      </c>
      <c r="AC309" s="252">
        <f t="shared" ref="AC309:AC313" si="163">(AC$314-AC$32)/13+AC308</f>
        <v>171.92307692307688</v>
      </c>
      <c r="AD309" s="252">
        <f t="shared" si="161"/>
        <v>107.30769230769232</v>
      </c>
      <c r="AE309" s="252">
        <f t="shared" si="161"/>
        <v>114.61538461538464</v>
      </c>
    </row>
    <row r="310" spans="1:31">
      <c r="A310" s="240" t="s">
        <v>46</v>
      </c>
      <c r="B310" s="290">
        <f t="shared" si="159"/>
        <v>0</v>
      </c>
      <c r="C310" s="290">
        <f t="shared" si="162"/>
        <v>0</v>
      </c>
      <c r="D310" s="290">
        <f t="shared" si="160"/>
        <v>0</v>
      </c>
      <c r="E310" s="290">
        <f t="shared" si="160"/>
        <v>0</v>
      </c>
      <c r="F310" s="290">
        <f t="shared" si="160"/>
        <v>0</v>
      </c>
      <c r="G310" s="290">
        <f t="shared" si="160"/>
        <v>43.076923076923087</v>
      </c>
      <c r="H310" s="290">
        <f t="shared" si="160"/>
        <v>87.230769230769283</v>
      </c>
      <c r="I310" s="290">
        <f t="shared" si="160"/>
        <v>81.384615384615358</v>
      </c>
      <c r="J310" s="290">
        <f t="shared" si="160"/>
        <v>59.307692307692292</v>
      </c>
      <c r="K310" s="290">
        <f t="shared" si="160"/>
        <v>54.461538461538453</v>
      </c>
      <c r="L310" s="290">
        <f t="shared" si="160"/>
        <v>64</v>
      </c>
      <c r="M310" s="290">
        <f t="shared" si="160"/>
        <v>45.615384615384642</v>
      </c>
      <c r="N310" s="290">
        <f t="shared" si="160"/>
        <v>42.692307692307679</v>
      </c>
      <c r="O310" s="290">
        <f t="shared" si="160"/>
        <v>106</v>
      </c>
      <c r="P310" s="290">
        <f t="shared" si="160"/>
        <v>75.153846153846189</v>
      </c>
      <c r="Q310" s="290">
        <f t="shared" si="160"/>
        <v>115.84615384615381</v>
      </c>
      <c r="R310" s="290">
        <f t="shared" si="160"/>
        <v>190.38461538461547</v>
      </c>
      <c r="S310" s="290">
        <f t="shared" si="160"/>
        <v>163.76923076923072</v>
      </c>
      <c r="T310" s="290">
        <f t="shared" si="160"/>
        <v>178.61538461538453</v>
      </c>
      <c r="U310" s="290">
        <f t="shared" si="160"/>
        <v>170.76923076923072</v>
      </c>
      <c r="V310" s="290">
        <f t="shared" si="160"/>
        <v>268.76923076923072</v>
      </c>
      <c r="W310" s="290">
        <f t="shared" si="160"/>
        <v>338.07692307692287</v>
      </c>
      <c r="X310" s="290">
        <f t="shared" si="160"/>
        <v>291.30769230769238</v>
      </c>
      <c r="Y310" s="290">
        <f t="shared" si="160"/>
        <v>419.07692307692287</v>
      </c>
      <c r="Z310" s="290">
        <f t="shared" si="160"/>
        <v>544.92307692307713</v>
      </c>
      <c r="AA310" s="290">
        <f t="shared" si="160"/>
        <v>459.61538461538476</v>
      </c>
      <c r="AB310" s="290">
        <f t="shared" si="160"/>
        <v>305.76923076923094</v>
      </c>
      <c r="AC310" s="252">
        <f t="shared" si="163"/>
        <v>160.76923076923072</v>
      </c>
      <c r="AD310" s="252">
        <f t="shared" si="161"/>
        <v>107.69230769230771</v>
      </c>
      <c r="AE310" s="252">
        <f t="shared" si="161"/>
        <v>115.38461538461542</v>
      </c>
    </row>
    <row r="311" spans="1:31">
      <c r="A311" s="240" t="s">
        <v>235</v>
      </c>
      <c r="B311" s="290">
        <f t="shared" si="159"/>
        <v>0</v>
      </c>
      <c r="C311" s="290">
        <f t="shared" si="162"/>
        <v>0</v>
      </c>
      <c r="D311" s="290">
        <f t="shared" si="160"/>
        <v>0</v>
      </c>
      <c r="E311" s="290">
        <f t="shared" si="160"/>
        <v>0</v>
      </c>
      <c r="F311" s="290">
        <f t="shared" si="160"/>
        <v>0</v>
      </c>
      <c r="G311" s="290">
        <f t="shared" si="160"/>
        <v>48.461538461538474</v>
      </c>
      <c r="H311" s="290">
        <f t="shared" si="160"/>
        <v>89.384615384615444</v>
      </c>
      <c r="I311" s="290">
        <f t="shared" si="160"/>
        <v>79.307692307692278</v>
      </c>
      <c r="J311" s="290">
        <f t="shared" si="160"/>
        <v>57.846153846153832</v>
      </c>
      <c r="K311" s="290">
        <f t="shared" si="160"/>
        <v>54.769230769230759</v>
      </c>
      <c r="L311" s="290">
        <f t="shared" si="160"/>
        <v>65</v>
      </c>
      <c r="M311" s="290">
        <f t="shared" si="160"/>
        <v>42.692307692307722</v>
      </c>
      <c r="N311" s="290">
        <f t="shared" si="160"/>
        <v>44.153846153846139</v>
      </c>
      <c r="O311" s="290">
        <f t="shared" si="160"/>
        <v>113</v>
      </c>
      <c r="P311" s="290">
        <f t="shared" si="160"/>
        <v>66.923076923076962</v>
      </c>
      <c r="Q311" s="290">
        <f t="shared" si="160"/>
        <v>126.07692307692304</v>
      </c>
      <c r="R311" s="290">
        <f t="shared" si="160"/>
        <v>193.30769230769241</v>
      </c>
      <c r="S311" s="290">
        <f t="shared" si="160"/>
        <v>158.61538461538456</v>
      </c>
      <c r="T311" s="290">
        <f t="shared" si="160"/>
        <v>183.69230769230759</v>
      </c>
      <c r="U311" s="290">
        <f t="shared" si="160"/>
        <v>166.61538461538456</v>
      </c>
      <c r="V311" s="290">
        <f t="shared" si="160"/>
        <v>283.61538461538458</v>
      </c>
      <c r="W311" s="290">
        <f t="shared" si="160"/>
        <v>337.46153846153823</v>
      </c>
      <c r="X311" s="290">
        <f t="shared" si="160"/>
        <v>285.84615384615392</v>
      </c>
      <c r="Y311" s="290">
        <f t="shared" si="160"/>
        <v>438.46153846153823</v>
      </c>
      <c r="Z311" s="290">
        <f t="shared" si="160"/>
        <v>548.53846153846177</v>
      </c>
      <c r="AA311" s="290">
        <f t="shared" si="160"/>
        <v>446.69230769230785</v>
      </c>
      <c r="AB311" s="290">
        <f t="shared" si="160"/>
        <v>294.61538461538481</v>
      </c>
      <c r="AC311" s="252">
        <f t="shared" si="163"/>
        <v>149.61538461538456</v>
      </c>
      <c r="AD311" s="252">
        <f t="shared" si="161"/>
        <v>108.07692307692309</v>
      </c>
      <c r="AE311" s="252">
        <f t="shared" si="161"/>
        <v>116.15384615384619</v>
      </c>
    </row>
    <row r="312" spans="1:31">
      <c r="A312" s="240" t="s">
        <v>236</v>
      </c>
      <c r="B312" s="290">
        <f t="shared" si="159"/>
        <v>0</v>
      </c>
      <c r="C312" s="290">
        <f t="shared" si="162"/>
        <v>0</v>
      </c>
      <c r="D312" s="290">
        <f t="shared" si="160"/>
        <v>0</v>
      </c>
      <c r="E312" s="290">
        <f t="shared" si="160"/>
        <v>0</v>
      </c>
      <c r="F312" s="290">
        <f t="shared" si="160"/>
        <v>0</v>
      </c>
      <c r="G312" s="290">
        <f t="shared" si="160"/>
        <v>53.846153846153861</v>
      </c>
      <c r="H312" s="290">
        <f t="shared" si="160"/>
        <v>91.538461538461604</v>
      </c>
      <c r="I312" s="290">
        <f t="shared" si="160"/>
        <v>77.230769230769198</v>
      </c>
      <c r="J312" s="290">
        <f t="shared" si="160"/>
        <v>56.384615384615373</v>
      </c>
      <c r="K312" s="290">
        <f t="shared" si="160"/>
        <v>55.076923076923066</v>
      </c>
      <c r="L312" s="290">
        <f t="shared" si="160"/>
        <v>66</v>
      </c>
      <c r="M312" s="290">
        <f t="shared" si="160"/>
        <v>39.769230769230802</v>
      </c>
      <c r="N312" s="290">
        <f t="shared" si="160"/>
        <v>45.615384615384599</v>
      </c>
      <c r="O312" s="290">
        <f t="shared" si="160"/>
        <v>120</v>
      </c>
      <c r="P312" s="290">
        <f t="shared" si="160"/>
        <v>58.692307692307736</v>
      </c>
      <c r="Q312" s="290">
        <f t="shared" si="160"/>
        <v>136.30769230769226</v>
      </c>
      <c r="R312" s="290">
        <f t="shared" si="160"/>
        <v>196.23076923076934</v>
      </c>
      <c r="S312" s="290">
        <f t="shared" si="160"/>
        <v>153.4615384615384</v>
      </c>
      <c r="T312" s="290">
        <f t="shared" si="160"/>
        <v>188.76923076923066</v>
      </c>
      <c r="U312" s="290">
        <f t="shared" si="160"/>
        <v>162.4615384615384</v>
      </c>
      <c r="V312" s="290">
        <f t="shared" si="160"/>
        <v>298.46153846153845</v>
      </c>
      <c r="W312" s="290">
        <f t="shared" si="160"/>
        <v>336.84615384615358</v>
      </c>
      <c r="X312" s="290">
        <f t="shared" si="160"/>
        <v>280.38461538461547</v>
      </c>
      <c r="Y312" s="290">
        <f t="shared" si="160"/>
        <v>457.84615384615358</v>
      </c>
      <c r="Z312" s="290">
        <f t="shared" si="160"/>
        <v>552.15384615384642</v>
      </c>
      <c r="AA312" s="290">
        <f t="shared" si="160"/>
        <v>433.76923076923094</v>
      </c>
      <c r="AB312" s="290">
        <f t="shared" si="160"/>
        <v>283.46153846153868</v>
      </c>
      <c r="AC312" s="252">
        <f t="shared" si="163"/>
        <v>138.4615384615384</v>
      </c>
      <c r="AD312" s="252">
        <f t="shared" si="161"/>
        <v>108.46153846153848</v>
      </c>
      <c r="AE312" s="252">
        <f t="shared" si="161"/>
        <v>116.92307692307696</v>
      </c>
    </row>
    <row r="313" spans="1:31">
      <c r="A313" s="240" t="s">
        <v>237</v>
      </c>
      <c r="B313" s="290">
        <f t="shared" si="159"/>
        <v>0</v>
      </c>
      <c r="C313" s="290">
        <f t="shared" si="162"/>
        <v>0</v>
      </c>
      <c r="D313" s="290">
        <f t="shared" si="160"/>
        <v>0</v>
      </c>
      <c r="E313" s="290">
        <f t="shared" si="160"/>
        <v>0</v>
      </c>
      <c r="F313" s="290">
        <f t="shared" si="160"/>
        <v>0</v>
      </c>
      <c r="G313" s="290">
        <f t="shared" si="160"/>
        <v>59.230769230769248</v>
      </c>
      <c r="H313" s="290">
        <f t="shared" si="160"/>
        <v>93.692307692307764</v>
      </c>
      <c r="I313" s="290">
        <f t="shared" si="160"/>
        <v>75.153846153846118</v>
      </c>
      <c r="J313" s="290">
        <f t="shared" si="160"/>
        <v>54.923076923076913</v>
      </c>
      <c r="K313" s="290">
        <f t="shared" si="160"/>
        <v>55.384615384615373</v>
      </c>
      <c r="L313" s="290">
        <f t="shared" si="160"/>
        <v>67</v>
      </c>
      <c r="M313" s="290">
        <f t="shared" si="160"/>
        <v>36.846153846153882</v>
      </c>
      <c r="N313" s="290">
        <f t="shared" si="160"/>
        <v>47.076923076923059</v>
      </c>
      <c r="O313" s="290">
        <f t="shared" si="160"/>
        <v>127</v>
      </c>
      <c r="P313" s="290">
        <f t="shared" si="160"/>
        <v>50.46153846153851</v>
      </c>
      <c r="Q313" s="290">
        <f t="shared" si="160"/>
        <v>146.53846153846149</v>
      </c>
      <c r="R313" s="290">
        <f t="shared" si="160"/>
        <v>199.15384615384627</v>
      </c>
      <c r="S313" s="290">
        <f t="shared" si="160"/>
        <v>148.30769230769224</v>
      </c>
      <c r="T313" s="290">
        <f t="shared" si="160"/>
        <v>193.84615384615373</v>
      </c>
      <c r="U313" s="290">
        <f t="shared" si="160"/>
        <v>158.30769230769224</v>
      </c>
      <c r="V313" s="290">
        <f t="shared" si="160"/>
        <v>313.30769230769232</v>
      </c>
      <c r="W313" s="290">
        <f t="shared" si="160"/>
        <v>336.23076923076894</v>
      </c>
      <c r="X313" s="290">
        <f t="shared" si="160"/>
        <v>274.92307692307702</v>
      </c>
      <c r="Y313" s="290">
        <f t="shared" si="160"/>
        <v>477.23076923076894</v>
      </c>
      <c r="Z313" s="290">
        <f t="shared" si="160"/>
        <v>555.76923076923106</v>
      </c>
      <c r="AA313" s="290">
        <f t="shared" si="160"/>
        <v>420.84615384615404</v>
      </c>
      <c r="AB313" s="290">
        <f t="shared" si="160"/>
        <v>272.30769230769255</v>
      </c>
      <c r="AC313" s="252">
        <f t="shared" si="163"/>
        <v>127.30769230769224</v>
      </c>
      <c r="AD313" s="252">
        <f t="shared" si="161"/>
        <v>108.84615384615387</v>
      </c>
      <c r="AE313" s="252">
        <f t="shared" si="161"/>
        <v>117.69230769230774</v>
      </c>
    </row>
    <row r="314" spans="1:31" ht="15.75" thickBot="1">
      <c r="A314" s="240" t="s">
        <v>238</v>
      </c>
      <c r="B314" s="146">
        <f>B42</f>
        <v>0</v>
      </c>
      <c r="C314" s="146">
        <f t="shared" ref="C314:AE314" si="164">C42</f>
        <v>0</v>
      </c>
      <c r="D314" s="146">
        <f t="shared" si="164"/>
        <v>0</v>
      </c>
      <c r="E314" s="146">
        <f t="shared" si="164"/>
        <v>0</v>
      </c>
      <c r="F314" s="146">
        <f t="shared" si="164"/>
        <v>0</v>
      </c>
      <c r="G314" s="146">
        <f t="shared" si="164"/>
        <v>70</v>
      </c>
      <c r="H314" s="146">
        <f t="shared" si="164"/>
        <v>98</v>
      </c>
      <c r="I314" s="146">
        <f t="shared" si="164"/>
        <v>71</v>
      </c>
      <c r="J314" s="146">
        <f t="shared" si="164"/>
        <v>52</v>
      </c>
      <c r="K314" s="146">
        <f t="shared" si="164"/>
        <v>56</v>
      </c>
      <c r="L314" s="146">
        <f t="shared" si="164"/>
        <v>69</v>
      </c>
      <c r="M314" s="146">
        <f t="shared" si="164"/>
        <v>31</v>
      </c>
      <c r="N314" s="146">
        <f t="shared" si="164"/>
        <v>50</v>
      </c>
      <c r="O314" s="146">
        <f t="shared" si="164"/>
        <v>141</v>
      </c>
      <c r="P314" s="146">
        <f t="shared" si="164"/>
        <v>34</v>
      </c>
      <c r="Q314" s="146">
        <f t="shared" si="164"/>
        <v>167</v>
      </c>
      <c r="R314" s="146">
        <f t="shared" si="164"/>
        <v>205</v>
      </c>
      <c r="S314" s="146">
        <f t="shared" si="164"/>
        <v>138</v>
      </c>
      <c r="T314" s="146">
        <f t="shared" si="164"/>
        <v>204</v>
      </c>
      <c r="U314" s="146">
        <f t="shared" si="164"/>
        <v>150</v>
      </c>
      <c r="V314" s="146">
        <f t="shared" si="164"/>
        <v>343</v>
      </c>
      <c r="W314" s="146">
        <f t="shared" si="164"/>
        <v>335</v>
      </c>
      <c r="X314" s="146">
        <f t="shared" si="164"/>
        <v>264</v>
      </c>
      <c r="Y314" s="146">
        <f t="shared" si="164"/>
        <v>516</v>
      </c>
      <c r="Z314" s="146">
        <f t="shared" si="164"/>
        <v>563</v>
      </c>
      <c r="AA314" s="146">
        <f t="shared" si="164"/>
        <v>395</v>
      </c>
      <c r="AB314" s="146">
        <f t="shared" si="164"/>
        <v>250</v>
      </c>
      <c r="AC314" s="253">
        <f t="shared" si="164"/>
        <v>105</v>
      </c>
      <c r="AD314" s="253">
        <f t="shared" si="164"/>
        <v>110</v>
      </c>
      <c r="AE314" s="253">
        <f t="shared" si="164"/>
        <v>120</v>
      </c>
    </row>
    <row r="315" spans="1:31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  <c r="AE315" s="248"/>
    </row>
    <row r="316" spans="1:31" ht="15.75" thickBot="1">
      <c r="A316" s="235" t="s">
        <v>270</v>
      </c>
    </row>
    <row r="317" spans="1:31" ht="15.75" thickBot="1">
      <c r="A317" s="236"/>
      <c r="B317" s="237" t="str">
        <f>B$2</f>
        <v xml:space="preserve">93/94 </v>
      </c>
      <c r="C317" s="237" t="str">
        <f t="shared" ref="C317:AE317" si="165">C$2</f>
        <v xml:space="preserve">94/95 </v>
      </c>
      <c r="D317" s="237" t="str">
        <f t="shared" si="165"/>
        <v xml:space="preserve">95/96 </v>
      </c>
      <c r="E317" s="237" t="str">
        <f t="shared" si="165"/>
        <v xml:space="preserve">96/97 </v>
      </c>
      <c r="F317" s="237" t="str">
        <f t="shared" si="165"/>
        <v xml:space="preserve">97/98 </v>
      </c>
      <c r="G317" s="237" t="str">
        <f t="shared" si="165"/>
        <v xml:space="preserve">98/99 </v>
      </c>
      <c r="H317" s="237" t="str">
        <f t="shared" si="165"/>
        <v xml:space="preserve">99/00 </v>
      </c>
      <c r="I317" s="237" t="str">
        <f t="shared" si="165"/>
        <v xml:space="preserve">00/01 </v>
      </c>
      <c r="J317" s="237" t="str">
        <f t="shared" si="165"/>
        <v xml:space="preserve">01/02 </v>
      </c>
      <c r="K317" s="237" t="str">
        <f t="shared" si="165"/>
        <v xml:space="preserve">02/03 </v>
      </c>
      <c r="L317" s="237" t="str">
        <f t="shared" si="165"/>
        <v xml:space="preserve">03/04 </v>
      </c>
      <c r="M317" s="237" t="str">
        <f t="shared" si="165"/>
        <v xml:space="preserve">04/05 </v>
      </c>
      <c r="N317" s="237" t="str">
        <f t="shared" si="165"/>
        <v xml:space="preserve">05/06 </v>
      </c>
      <c r="O317" s="237" t="str">
        <f t="shared" si="165"/>
        <v xml:space="preserve">06/07 </v>
      </c>
      <c r="P317" s="237" t="str">
        <f t="shared" si="165"/>
        <v xml:space="preserve">07/08 </v>
      </c>
      <c r="Q317" s="237" t="str">
        <f t="shared" si="165"/>
        <v xml:space="preserve">08/09 </v>
      </c>
      <c r="R317" s="237" t="str">
        <f t="shared" si="165"/>
        <v xml:space="preserve">09/10 </v>
      </c>
      <c r="S317" s="237" t="str">
        <f t="shared" si="165"/>
        <v xml:space="preserve">10/11 </v>
      </c>
      <c r="T317" s="237" t="str">
        <f t="shared" si="165"/>
        <v xml:space="preserve">11/12 </v>
      </c>
      <c r="U317" s="237" t="str">
        <f t="shared" si="165"/>
        <v xml:space="preserve">12/13 </v>
      </c>
      <c r="V317" s="237" t="str">
        <f t="shared" si="165"/>
        <v xml:space="preserve">13/14 </v>
      </c>
      <c r="W317" s="237" t="str">
        <f t="shared" si="165"/>
        <v xml:space="preserve">14/15 </v>
      </c>
      <c r="X317" s="237" t="str">
        <f t="shared" si="165"/>
        <v xml:space="preserve">15/16 </v>
      </c>
      <c r="Y317" s="237" t="str">
        <f t="shared" si="165"/>
        <v xml:space="preserve">16/17 </v>
      </c>
      <c r="Z317" s="237" t="str">
        <f t="shared" si="165"/>
        <v xml:space="preserve">17/18 </v>
      </c>
      <c r="AA317" s="237" t="str">
        <f t="shared" si="165"/>
        <v xml:space="preserve">18/19 </v>
      </c>
      <c r="AB317" s="237" t="str">
        <f t="shared" si="165"/>
        <v xml:space="preserve">19/20 </v>
      </c>
      <c r="AC317" s="237" t="str">
        <f t="shared" si="165"/>
        <v xml:space="preserve">20/21 </v>
      </c>
      <c r="AD317" s="237" t="str">
        <f t="shared" si="165"/>
        <v xml:space="preserve">21/22 </v>
      </c>
      <c r="AE317" s="237" t="str">
        <f t="shared" si="165"/>
        <v xml:space="preserve">22/23 </v>
      </c>
    </row>
    <row r="318" spans="1:31">
      <c r="A318" s="240" t="s">
        <v>239</v>
      </c>
      <c r="AB318">
        <v>688</v>
      </c>
      <c r="AC318">
        <v>730</v>
      </c>
      <c r="AD318" s="389">
        <v>1030</v>
      </c>
      <c r="AE318" s="389">
        <v>1420</v>
      </c>
    </row>
    <row r="319" spans="1:31">
      <c r="A319" s="240" t="s">
        <v>240</v>
      </c>
      <c r="AB319">
        <v>675</v>
      </c>
      <c r="AC319">
        <v>775</v>
      </c>
      <c r="AD319" s="389">
        <v>1195</v>
      </c>
      <c r="AE319" s="389">
        <v>1425</v>
      </c>
    </row>
    <row r="320" spans="1:31">
      <c r="A320" s="240" t="s">
        <v>241</v>
      </c>
      <c r="AB320">
        <v>680</v>
      </c>
      <c r="AC320">
        <v>870</v>
      </c>
      <c r="AD320" s="389">
        <v>1257</v>
      </c>
      <c r="AE320" s="389">
        <v>1340</v>
      </c>
    </row>
    <row r="321" spans="1:31">
      <c r="A321" s="240" t="s">
        <v>231</v>
      </c>
      <c r="AB321">
        <v>727</v>
      </c>
      <c r="AC321">
        <v>800</v>
      </c>
      <c r="AD321" s="389">
        <v>1360</v>
      </c>
      <c r="AE321" s="389">
        <v>1470</v>
      </c>
    </row>
    <row r="322" spans="1:31">
      <c r="A322" s="240" t="s">
        <v>232</v>
      </c>
      <c r="AB322">
        <v>715</v>
      </c>
      <c r="AC322">
        <v>745</v>
      </c>
      <c r="AD322" s="389">
        <v>1545</v>
      </c>
      <c r="AE322" s="389">
        <v>1590</v>
      </c>
    </row>
    <row r="323" spans="1:31">
      <c r="A323" s="240" t="s">
        <v>233</v>
      </c>
      <c r="AB323">
        <v>705</v>
      </c>
      <c r="AC323">
        <v>730</v>
      </c>
      <c r="AD323" s="389">
        <v>1560</v>
      </c>
      <c r="AE323" s="389"/>
    </row>
    <row r="324" spans="1:31">
      <c r="A324" s="240" t="s">
        <v>234</v>
      </c>
      <c r="AB324">
        <v>725</v>
      </c>
      <c r="AC324">
        <v>770</v>
      </c>
      <c r="AD324" s="389">
        <v>1615</v>
      </c>
    </row>
    <row r="325" spans="1:31">
      <c r="A325" s="240" t="s">
        <v>46</v>
      </c>
      <c r="AB325">
        <v>745</v>
      </c>
      <c r="AC325">
        <v>815</v>
      </c>
      <c r="AD325" s="389">
        <v>1540</v>
      </c>
    </row>
    <row r="326" spans="1:31">
      <c r="A326" s="240" t="s">
        <v>235</v>
      </c>
      <c r="AA326">
        <v>790</v>
      </c>
      <c r="AB326">
        <v>775</v>
      </c>
      <c r="AC326">
        <v>840</v>
      </c>
      <c r="AD326" s="389">
        <v>1215</v>
      </c>
    </row>
    <row r="327" spans="1:31">
      <c r="A327" s="240" t="s">
        <v>236</v>
      </c>
      <c r="AA327">
        <v>773</v>
      </c>
      <c r="AB327">
        <v>820</v>
      </c>
      <c r="AC327">
        <v>845</v>
      </c>
      <c r="AD327" s="389">
        <v>1335</v>
      </c>
    </row>
    <row r="328" spans="1:31">
      <c r="A328" s="240" t="s">
        <v>237</v>
      </c>
      <c r="AA328">
        <v>743</v>
      </c>
      <c r="AB328">
        <v>770</v>
      </c>
      <c r="AC328">
        <v>935</v>
      </c>
      <c r="AD328" s="389">
        <v>1295</v>
      </c>
    </row>
    <row r="329" spans="1:31">
      <c r="A329" s="240" t="s">
        <v>238</v>
      </c>
      <c r="AA329">
        <v>717</v>
      </c>
      <c r="AB329">
        <v>735</v>
      </c>
      <c r="AC329">
        <v>930</v>
      </c>
      <c r="AD329" s="389">
        <v>1380</v>
      </c>
    </row>
    <row r="330" spans="1:31" ht="15.75" thickBot="1">
      <c r="A330" s="240" t="s">
        <v>255</v>
      </c>
    </row>
    <row r="331" spans="1:31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  <c r="AD331" s="248"/>
      <c r="AE331" s="248"/>
    </row>
  </sheetData>
  <pageMargins left="0.25" right="0.25" top="0.75" bottom="0.75" header="0.3" footer="0.3"/>
  <pageSetup orientation="portrait" r:id="rId1"/>
  <headerFooter>
    <oddHeader>&amp;L&amp;G</oddHeader>
    <oddFooter>&amp;L&amp;D&amp;C&amp;P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52EE-CED7-4456-9AD5-49C685D4E20C}">
  <dimension ref="A1:BO331"/>
  <sheetViews>
    <sheetView zoomScaleNormal="100" workbookViewId="0">
      <pane xSplit="1" ySplit="2" topLeftCell="U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2" customWidth="1"/>
    <col min="2" max="25" width="8.85546875" customWidth="1"/>
    <col min="30" max="34" width="8.85546875" customWidth="1"/>
    <col min="35" max="35" width="11.28515625" bestFit="1" customWidth="1"/>
    <col min="36" max="36" width="12.140625" bestFit="1" customWidth="1"/>
    <col min="37" max="37" width="9.28515625" style="201" bestFit="1" customWidth="1"/>
    <col min="38" max="56" width="8.85546875" customWidth="1"/>
    <col min="61" max="84" width="0" hidden="1" customWidth="1"/>
    <col min="89" max="112" width="0" hidden="1" customWidth="1"/>
    <col min="117" max="140" width="0" hidden="1" customWidth="1"/>
  </cols>
  <sheetData>
    <row r="1" spans="1:67" ht="18.75" thickBot="1">
      <c r="A1" s="199" t="s">
        <v>404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300"/>
      <c r="AJ1" s="390"/>
      <c r="AK1" s="282"/>
      <c r="AL1" s="300"/>
      <c r="AM1" s="300"/>
      <c r="AN1" s="302"/>
      <c r="AP1" s="300"/>
      <c r="AQ1" s="303"/>
      <c r="AS1" s="303"/>
      <c r="AT1" s="300"/>
      <c r="AU1" s="300"/>
      <c r="AV1" s="300"/>
    </row>
    <row r="2" spans="1:67" ht="15.75" thickBot="1">
      <c r="A2" s="202"/>
      <c r="B2" s="203" t="s">
        <v>272</v>
      </c>
      <c r="C2" s="204" t="s">
        <v>273</v>
      </c>
      <c r="D2" s="203" t="s">
        <v>274</v>
      </c>
      <c r="E2" s="204" t="s">
        <v>275</v>
      </c>
      <c r="F2" s="203" t="s">
        <v>276</v>
      </c>
      <c r="G2" s="204" t="s">
        <v>277</v>
      </c>
      <c r="H2" s="203" t="s">
        <v>278</v>
      </c>
      <c r="I2" s="204" t="s">
        <v>279</v>
      </c>
      <c r="J2" s="203" t="s">
        <v>280</v>
      </c>
      <c r="K2" s="204" t="s">
        <v>281</v>
      </c>
      <c r="L2" s="203" t="s">
        <v>282</v>
      </c>
      <c r="M2" s="204" t="s">
        <v>283</v>
      </c>
      <c r="N2" s="203" t="s">
        <v>284</v>
      </c>
      <c r="O2" s="204" t="s">
        <v>285</v>
      </c>
      <c r="P2" s="203" t="s">
        <v>286</v>
      </c>
      <c r="Q2" s="204" t="s">
        <v>287</v>
      </c>
      <c r="R2" s="203" t="s">
        <v>288</v>
      </c>
      <c r="S2" s="204" t="s">
        <v>289</v>
      </c>
      <c r="T2" s="203" t="s">
        <v>290</v>
      </c>
      <c r="U2" s="204" t="s">
        <v>291</v>
      </c>
      <c r="V2" s="203" t="s">
        <v>292</v>
      </c>
      <c r="W2" s="204" t="s">
        <v>293</v>
      </c>
      <c r="X2" s="203" t="s">
        <v>294</v>
      </c>
      <c r="Y2" s="204" t="s">
        <v>295</v>
      </c>
      <c r="Z2" s="203" t="s">
        <v>296</v>
      </c>
      <c r="AA2" s="204" t="s">
        <v>297</v>
      </c>
      <c r="AB2" s="204" t="s">
        <v>298</v>
      </c>
      <c r="AC2" s="204" t="s">
        <v>299</v>
      </c>
      <c r="AD2" s="204" t="s">
        <v>373</v>
      </c>
      <c r="AE2" s="204" t="s">
        <v>374</v>
      </c>
      <c r="AF2" s="204" t="s">
        <v>302</v>
      </c>
      <c r="AG2" s="204" t="s">
        <v>405</v>
      </c>
      <c r="AH2" s="204" t="s">
        <v>406</v>
      </c>
      <c r="AL2" s="201" t="s">
        <v>327</v>
      </c>
      <c r="AM2" s="201" t="s">
        <v>328</v>
      </c>
      <c r="AN2" s="201" t="s">
        <v>329</v>
      </c>
      <c r="AQ2" s="302"/>
      <c r="AS2" s="302"/>
      <c r="AT2" s="302"/>
      <c r="AU2" s="302"/>
      <c r="AV2" s="302"/>
    </row>
    <row r="3" spans="1:67" ht="16.5">
      <c r="A3" s="3" t="s">
        <v>407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L3" s="398"/>
      <c r="AM3" s="379"/>
      <c r="AN3" s="399"/>
      <c r="AO3" s="379"/>
      <c r="AP3" s="379"/>
      <c r="AQ3" s="379"/>
      <c r="AR3" s="379"/>
      <c r="AS3" s="379"/>
      <c r="AT3" s="379"/>
      <c r="AU3" s="379"/>
      <c r="AV3" s="379"/>
      <c r="AW3" s="379"/>
      <c r="AX3" s="379"/>
      <c r="AY3" s="379"/>
      <c r="AZ3" s="379"/>
      <c r="BA3" s="379"/>
      <c r="BB3" s="379"/>
      <c r="BC3" s="379"/>
      <c r="BD3" s="379"/>
      <c r="BE3" s="379"/>
      <c r="BF3" s="379"/>
      <c r="BG3" s="379"/>
      <c r="BH3" s="379"/>
      <c r="BI3" s="379"/>
      <c r="BJ3" s="379"/>
      <c r="BK3" s="379"/>
      <c r="BL3" s="379"/>
      <c r="BM3" s="379"/>
      <c r="BN3" s="379"/>
      <c r="BO3" s="379"/>
    </row>
    <row r="4" spans="1:67" ht="16.5">
      <c r="A4" s="3" t="s">
        <v>213</v>
      </c>
      <c r="B4" s="400">
        <f>B5/0.97</f>
        <v>745.36082474226805</v>
      </c>
      <c r="C4" s="400">
        <f t="shared" ref="C4:Z4" si="0">C5/0.97</f>
        <v>829.89690721649492</v>
      </c>
      <c r="D4" s="400">
        <f t="shared" si="0"/>
        <v>838.14432989690727</v>
      </c>
      <c r="E4" s="400">
        <f t="shared" si="0"/>
        <v>711.34020618556701</v>
      </c>
      <c r="F4" s="400">
        <f t="shared" si="0"/>
        <v>738.14432989690727</v>
      </c>
      <c r="G4" s="400">
        <f t="shared" si="0"/>
        <v>917.52577319587635</v>
      </c>
      <c r="H4" s="400">
        <f t="shared" si="0"/>
        <v>1165.979381443299</v>
      </c>
      <c r="I4" s="400">
        <f t="shared" si="0"/>
        <v>1267.0103092783506</v>
      </c>
      <c r="J4" s="400">
        <f t="shared" si="0"/>
        <v>1047.4226804123712</v>
      </c>
      <c r="K4" s="400">
        <f t="shared" si="0"/>
        <v>1165.979381443299</v>
      </c>
      <c r="L4" s="400">
        <f t="shared" si="0"/>
        <v>1209.2783505154639</v>
      </c>
      <c r="M4" s="400">
        <f t="shared" si="0"/>
        <v>963.91752577319585</v>
      </c>
      <c r="N4" s="400">
        <f t="shared" si="0"/>
        <v>1051.5463917525774</v>
      </c>
      <c r="O4" s="400">
        <f t="shared" si="0"/>
        <v>805.15463917525778</v>
      </c>
      <c r="P4" s="400">
        <f t="shared" si="0"/>
        <v>840.20618556701038</v>
      </c>
      <c r="Q4" s="400">
        <f t="shared" si="0"/>
        <v>993.81443298969077</v>
      </c>
      <c r="R4" s="400">
        <f t="shared" si="0"/>
        <v>994.84536082474233</v>
      </c>
      <c r="S4" s="400">
        <f t="shared" si="0"/>
        <v>1019.5876288659794</v>
      </c>
      <c r="T4" s="400">
        <f t="shared" si="0"/>
        <v>990.7216494845361</v>
      </c>
      <c r="U4" s="400">
        <f t="shared" si="0"/>
        <v>908.24742268041234</v>
      </c>
      <c r="V4" s="400">
        <f t="shared" si="0"/>
        <v>954.63917525773195</v>
      </c>
      <c r="W4" s="400">
        <f t="shared" si="0"/>
        <v>985.56701030927843</v>
      </c>
      <c r="X4" s="400">
        <f t="shared" si="0"/>
        <v>1119.5876288659795</v>
      </c>
      <c r="Y4" s="400">
        <f t="shared" si="0"/>
        <v>1318.5567010309278</v>
      </c>
      <c r="Z4" s="400">
        <f t="shared" si="0"/>
        <v>1207.2164948453608</v>
      </c>
      <c r="AA4" s="400">
        <f>MROUND(AA5/(SUM(C5:Z5)/SUM(C4:Z4)),25)</f>
        <v>950</v>
      </c>
      <c r="AB4" s="400">
        <f>MROUND(AB5/(SUM(D5:AA5)/SUM(D4:AA4)),25)</f>
        <v>950</v>
      </c>
      <c r="AC4" s="400">
        <f>MROUND(AC5/(SUM(E5:AB5)/SUM(E4:AB4)),5)</f>
        <v>900</v>
      </c>
      <c r="AD4" s="400">
        <f>MROUND(AD5/(SUM(F5:AC5)/SUM(F4:AC4)),5)</f>
        <v>1135</v>
      </c>
      <c r="AE4" s="401">
        <f>MROUND(AE5/(SUM(G5:AD5)/SUM(G4:AD4)),5)</f>
        <v>1040</v>
      </c>
      <c r="AF4" s="401">
        <f>MROUND(AF5/(SUM(H5:AE5)/SUM(H4:AE4)),5)</f>
        <v>1015</v>
      </c>
      <c r="AG4" s="401">
        <f t="shared" ref="AG4:AI4" si="1">MROUND(AG5/(SUM(I5:AF5)/SUM(I4:AF4)),5)</f>
        <v>1005</v>
      </c>
      <c r="AH4" s="401">
        <f t="shared" si="1"/>
        <v>1010</v>
      </c>
      <c r="AI4" s="401">
        <f t="shared" si="1"/>
        <v>1025</v>
      </c>
      <c r="AL4" s="402"/>
      <c r="AM4" s="403"/>
      <c r="AN4" s="393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6"/>
      <c r="BN4" s="146"/>
      <c r="BO4" s="146"/>
    </row>
    <row r="5" spans="1:67" ht="16.5">
      <c r="A5" s="3" t="s">
        <v>2</v>
      </c>
      <c r="B5" s="400">
        <v>723</v>
      </c>
      <c r="C5" s="400">
        <v>805</v>
      </c>
      <c r="D5" s="400">
        <v>813</v>
      </c>
      <c r="E5" s="400">
        <v>690</v>
      </c>
      <c r="F5" s="400">
        <v>716</v>
      </c>
      <c r="G5" s="400">
        <v>890</v>
      </c>
      <c r="H5" s="400">
        <v>1131</v>
      </c>
      <c r="I5" s="400">
        <v>1229</v>
      </c>
      <c r="J5" s="400">
        <v>1016</v>
      </c>
      <c r="K5" s="400">
        <v>1131</v>
      </c>
      <c r="L5" s="400">
        <v>1173</v>
      </c>
      <c r="M5" s="400">
        <v>935</v>
      </c>
      <c r="N5" s="400">
        <v>1020</v>
      </c>
      <c r="O5" s="400">
        <v>781</v>
      </c>
      <c r="P5" s="400">
        <v>815</v>
      </c>
      <c r="Q5" s="400">
        <v>964</v>
      </c>
      <c r="R5" s="400">
        <v>965</v>
      </c>
      <c r="S5" s="400">
        <v>989</v>
      </c>
      <c r="T5" s="400">
        <v>961</v>
      </c>
      <c r="U5" s="400">
        <v>881</v>
      </c>
      <c r="V5" s="400">
        <v>926</v>
      </c>
      <c r="W5" s="400">
        <v>956</v>
      </c>
      <c r="X5" s="400">
        <v>1086</v>
      </c>
      <c r="Y5" s="400">
        <v>1279</v>
      </c>
      <c r="Z5" s="400">
        <v>1171</v>
      </c>
      <c r="AA5" s="404">
        <v>921</v>
      </c>
      <c r="AB5" s="404">
        <v>915</v>
      </c>
      <c r="AC5" s="404">
        <v>873</v>
      </c>
      <c r="AD5" s="404">
        <v>1100</v>
      </c>
      <c r="AE5" s="405">
        <f>MROUND(FORECAST(AE45,F5:AD5,F45:AD45),5)</f>
        <v>1010</v>
      </c>
      <c r="AF5" s="405">
        <f>MROUND(FORECAST(AF45,G5:AE5,G45:AE45),5)</f>
        <v>985</v>
      </c>
      <c r="AG5" s="405">
        <f t="shared" ref="AG5:AI5" si="2">MROUND(FORECAST(AG45,H5:AF5,H45:AF45),5)</f>
        <v>975</v>
      </c>
      <c r="AH5" s="405">
        <f t="shared" si="2"/>
        <v>980</v>
      </c>
      <c r="AI5" s="405">
        <f t="shared" si="2"/>
        <v>995</v>
      </c>
      <c r="AL5" s="223">
        <v>915</v>
      </c>
      <c r="AM5" s="223">
        <v>873</v>
      </c>
      <c r="AN5" s="212">
        <v>1100</v>
      </c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</row>
    <row r="6" spans="1:67" s="219" customFormat="1" ht="16.5">
      <c r="A6" s="214" t="s">
        <v>214</v>
      </c>
      <c r="B6" s="406">
        <f>B5/B4</f>
        <v>0.97</v>
      </c>
      <c r="C6" s="406">
        <f t="shared" ref="C6:AH6" si="3">C5/C4</f>
        <v>0.96999999999999986</v>
      </c>
      <c r="D6" s="406">
        <f t="shared" si="3"/>
        <v>0.97</v>
      </c>
      <c r="E6" s="406">
        <f t="shared" si="3"/>
        <v>0.97</v>
      </c>
      <c r="F6" s="406">
        <f t="shared" si="3"/>
        <v>0.97</v>
      </c>
      <c r="G6" s="406">
        <f t="shared" si="3"/>
        <v>0.97</v>
      </c>
      <c r="H6" s="406">
        <f t="shared" si="3"/>
        <v>0.97</v>
      </c>
      <c r="I6" s="406">
        <f t="shared" si="3"/>
        <v>0.96999999999999986</v>
      </c>
      <c r="J6" s="406">
        <f t="shared" si="3"/>
        <v>0.97</v>
      </c>
      <c r="K6" s="406">
        <f t="shared" si="3"/>
        <v>0.97</v>
      </c>
      <c r="L6" s="406">
        <f t="shared" si="3"/>
        <v>0.97</v>
      </c>
      <c r="M6" s="406">
        <f t="shared" si="3"/>
        <v>0.97</v>
      </c>
      <c r="N6" s="406">
        <f t="shared" si="3"/>
        <v>0.97</v>
      </c>
      <c r="O6" s="406">
        <f t="shared" si="3"/>
        <v>0.97</v>
      </c>
      <c r="P6" s="406">
        <f t="shared" si="3"/>
        <v>0.97</v>
      </c>
      <c r="Q6" s="406">
        <f t="shared" si="3"/>
        <v>0.97</v>
      </c>
      <c r="R6" s="406">
        <f t="shared" si="3"/>
        <v>0.97</v>
      </c>
      <c r="S6" s="406">
        <f t="shared" si="3"/>
        <v>0.97</v>
      </c>
      <c r="T6" s="406">
        <f t="shared" si="3"/>
        <v>0.97</v>
      </c>
      <c r="U6" s="406">
        <f t="shared" si="3"/>
        <v>0.97000000000000008</v>
      </c>
      <c r="V6" s="406">
        <f t="shared" si="3"/>
        <v>0.97</v>
      </c>
      <c r="W6" s="406">
        <f t="shared" si="3"/>
        <v>0.97</v>
      </c>
      <c r="X6" s="406">
        <f t="shared" si="3"/>
        <v>0.97</v>
      </c>
      <c r="Y6" s="406">
        <f t="shared" si="3"/>
        <v>0.97</v>
      </c>
      <c r="Z6" s="406">
        <f t="shared" si="3"/>
        <v>0.97000000000000008</v>
      </c>
      <c r="AA6" s="406">
        <f t="shared" si="3"/>
        <v>0.96947368421052627</v>
      </c>
      <c r="AB6" s="406">
        <f t="shared" si="3"/>
        <v>0.9631578947368421</v>
      </c>
      <c r="AC6" s="406">
        <f t="shared" si="3"/>
        <v>0.97</v>
      </c>
      <c r="AD6" s="406">
        <f t="shared" si="3"/>
        <v>0.96916299559471364</v>
      </c>
      <c r="AE6" s="407">
        <f t="shared" si="3"/>
        <v>0.97115384615384615</v>
      </c>
      <c r="AF6" s="407">
        <f t="shared" si="3"/>
        <v>0.97044334975369462</v>
      </c>
      <c r="AG6" s="407">
        <f t="shared" si="3"/>
        <v>0.97014925373134331</v>
      </c>
      <c r="AH6" s="407">
        <f t="shared" si="3"/>
        <v>0.97029702970297027</v>
      </c>
      <c r="AL6" s="408"/>
      <c r="AM6" s="397"/>
      <c r="AN6" s="409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  <c r="BM6" s="325"/>
      <c r="BN6" s="325"/>
      <c r="BO6" s="325"/>
    </row>
    <row r="7" spans="1:67" ht="16.5">
      <c r="A7" s="3" t="s">
        <v>215</v>
      </c>
      <c r="B7" s="410">
        <f t="shared" ref="B7:AD7" si="4">B9/B5</f>
        <v>1.7731673582295988</v>
      </c>
      <c r="C7" s="410">
        <f t="shared" si="4"/>
        <v>1.7018633540372672</v>
      </c>
      <c r="D7" s="410">
        <f t="shared" si="4"/>
        <v>1.5621156211562115</v>
      </c>
      <c r="E7" s="410">
        <f t="shared" si="4"/>
        <v>1.9202898550724639</v>
      </c>
      <c r="F7" s="410">
        <f t="shared" si="4"/>
        <v>1.6424581005586592</v>
      </c>
      <c r="G7" s="410">
        <f t="shared" si="4"/>
        <v>1.646067415730337</v>
      </c>
      <c r="H7" s="410">
        <f t="shared" si="4"/>
        <v>1.5605658709106984</v>
      </c>
      <c r="I7" s="410">
        <f t="shared" si="4"/>
        <v>1.5899104963384865</v>
      </c>
      <c r="J7" s="410">
        <f t="shared" si="4"/>
        <v>1.454724409448819</v>
      </c>
      <c r="K7" s="410">
        <f t="shared" si="4"/>
        <v>1.7206012378426172</v>
      </c>
      <c r="L7" s="410">
        <f t="shared" si="4"/>
        <v>1.4867860187553281</v>
      </c>
      <c r="M7" s="410">
        <f t="shared" si="4"/>
        <v>1.6598930481283423</v>
      </c>
      <c r="N7" s="410">
        <f t="shared" si="4"/>
        <v>1.8901960784313725</v>
      </c>
      <c r="O7" s="410">
        <f t="shared" si="4"/>
        <v>1.8425096030729833</v>
      </c>
      <c r="P7" s="410">
        <f t="shared" si="4"/>
        <v>1.7914110429447854</v>
      </c>
      <c r="Q7" s="410">
        <f t="shared" si="4"/>
        <v>2.0674273858921164</v>
      </c>
      <c r="R7" s="410">
        <f t="shared" si="4"/>
        <v>2.0580310880829016</v>
      </c>
      <c r="S7" s="410">
        <f t="shared" si="4"/>
        <v>2.3811931243680484</v>
      </c>
      <c r="T7" s="410">
        <f t="shared" si="4"/>
        <v>2.4994797086368368</v>
      </c>
      <c r="U7" s="410">
        <f t="shared" si="4"/>
        <v>2.5732122587968216</v>
      </c>
      <c r="V7" s="410">
        <f t="shared" si="4"/>
        <v>2.6436285097192225</v>
      </c>
      <c r="W7" s="410">
        <f t="shared" si="4"/>
        <v>2.7008368200836821</v>
      </c>
      <c r="X7" s="410">
        <f t="shared" si="4"/>
        <v>2.6445672191528544</v>
      </c>
      <c r="Y7" s="410">
        <f t="shared" si="4"/>
        <v>2.5027365129007038</v>
      </c>
      <c r="Z7" s="410">
        <f t="shared" si="4"/>
        <v>2.6891545687446627</v>
      </c>
      <c r="AA7" s="410">
        <f t="shared" si="4"/>
        <v>2.7079261672095547</v>
      </c>
      <c r="AB7" s="410">
        <f t="shared" si="4"/>
        <v>2.9114754098360658</v>
      </c>
      <c r="AC7" s="410">
        <f t="shared" si="4"/>
        <v>2.9438717067583049</v>
      </c>
      <c r="AD7" s="410">
        <f t="shared" si="4"/>
        <v>2.6363636363636362</v>
      </c>
      <c r="AE7" s="411">
        <f>FORECAST(AE45,F7:AD7,F45:AD45)-0.2</f>
        <v>2.8119159483701024</v>
      </c>
      <c r="AF7" s="411">
        <f>FORECAST(AF45,G7:AE7,G45:AE45)-0.2</f>
        <v>2.8671934547725071</v>
      </c>
      <c r="AG7" s="411">
        <f t="shared" ref="AG7:AH7" si="5">FORECAST(AG45,H7:AF7,H45:AF45)-0.2</f>
        <v>2.9199456220866749</v>
      </c>
      <c r="AH7" s="411">
        <f t="shared" si="5"/>
        <v>2.9612317367468561</v>
      </c>
      <c r="AL7" s="412"/>
      <c r="AM7" s="226"/>
      <c r="AN7" s="201"/>
    </row>
    <row r="8" spans="1:67" ht="16.5">
      <c r="A8" s="221" t="s">
        <v>316</v>
      </c>
      <c r="B8" s="413">
        <v>0</v>
      </c>
      <c r="C8" s="413">
        <f>B17</f>
        <v>0</v>
      </c>
      <c r="D8" s="413">
        <f t="shared" ref="D8:AH8" si="6">C17</f>
        <v>0</v>
      </c>
      <c r="E8" s="413">
        <f t="shared" si="6"/>
        <v>0</v>
      </c>
      <c r="F8" s="413">
        <f t="shared" si="6"/>
        <v>0</v>
      </c>
      <c r="G8" s="413">
        <f t="shared" si="6"/>
        <v>0</v>
      </c>
      <c r="H8" s="413">
        <f t="shared" si="6"/>
        <v>0</v>
      </c>
      <c r="I8" s="413">
        <f t="shared" si="6"/>
        <v>0</v>
      </c>
      <c r="J8" s="413">
        <f t="shared" si="6"/>
        <v>0</v>
      </c>
      <c r="K8" s="413">
        <f t="shared" si="6"/>
        <v>0</v>
      </c>
      <c r="L8" s="413">
        <f t="shared" si="6"/>
        <v>0</v>
      </c>
      <c r="M8" s="413">
        <f t="shared" si="6"/>
        <v>0</v>
      </c>
      <c r="N8" s="413">
        <f t="shared" si="6"/>
        <v>0</v>
      </c>
      <c r="O8" s="413">
        <f t="shared" si="6"/>
        <v>0</v>
      </c>
      <c r="P8" s="413">
        <f t="shared" si="6"/>
        <v>0</v>
      </c>
      <c r="Q8" s="413">
        <f t="shared" si="6"/>
        <v>0</v>
      </c>
      <c r="R8" s="413">
        <f t="shared" si="6"/>
        <v>0</v>
      </c>
      <c r="S8" s="413">
        <f t="shared" si="6"/>
        <v>0</v>
      </c>
      <c r="T8" s="413">
        <f t="shared" si="6"/>
        <v>179</v>
      </c>
      <c r="U8" s="413">
        <f t="shared" si="6"/>
        <v>333</v>
      </c>
      <c r="V8" s="413">
        <f t="shared" si="6"/>
        <v>156</v>
      </c>
      <c r="W8" s="413">
        <f t="shared" si="6"/>
        <v>100</v>
      </c>
      <c r="X8" s="413">
        <f t="shared" si="6"/>
        <v>93</v>
      </c>
      <c r="Y8" s="413">
        <f t="shared" si="6"/>
        <v>174</v>
      </c>
      <c r="Z8" s="413">
        <f t="shared" si="6"/>
        <v>375</v>
      </c>
      <c r="AA8" s="413">
        <f t="shared" si="6"/>
        <v>188</v>
      </c>
      <c r="AB8" s="413">
        <f t="shared" si="6"/>
        <v>93</v>
      </c>
      <c r="AC8" s="413">
        <f t="shared" si="6"/>
        <v>438</v>
      </c>
      <c r="AD8" s="413">
        <f t="shared" si="6"/>
        <v>394</v>
      </c>
      <c r="AE8" s="414">
        <f t="shared" si="6"/>
        <v>294</v>
      </c>
      <c r="AF8" s="414">
        <f t="shared" si="6"/>
        <v>275</v>
      </c>
      <c r="AG8" s="414">
        <f t="shared" si="6"/>
        <v>300</v>
      </c>
      <c r="AH8" s="414">
        <f t="shared" si="6"/>
        <v>300</v>
      </c>
      <c r="AL8" s="223">
        <v>263</v>
      </c>
      <c r="AM8" s="223">
        <v>438</v>
      </c>
      <c r="AN8" s="223">
        <v>395</v>
      </c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6"/>
      <c r="BN8" s="146"/>
      <c r="BO8" s="146"/>
    </row>
    <row r="9" spans="1:67" ht="16.5">
      <c r="A9" s="3" t="s">
        <v>5</v>
      </c>
      <c r="B9" s="400">
        <v>1282</v>
      </c>
      <c r="C9" s="400">
        <v>1370</v>
      </c>
      <c r="D9" s="400">
        <v>1270</v>
      </c>
      <c r="E9" s="400">
        <v>1325</v>
      </c>
      <c r="F9" s="400">
        <v>1176</v>
      </c>
      <c r="G9" s="400">
        <v>1465</v>
      </c>
      <c r="H9" s="400">
        <v>1765</v>
      </c>
      <c r="I9" s="400">
        <v>1954</v>
      </c>
      <c r="J9" s="400">
        <v>1478</v>
      </c>
      <c r="K9" s="400">
        <v>1946</v>
      </c>
      <c r="L9" s="400">
        <v>1744</v>
      </c>
      <c r="M9" s="400">
        <v>1552</v>
      </c>
      <c r="N9" s="400">
        <v>1928</v>
      </c>
      <c r="O9" s="400">
        <v>1439</v>
      </c>
      <c r="P9" s="400">
        <v>1460</v>
      </c>
      <c r="Q9" s="400">
        <v>1993</v>
      </c>
      <c r="R9" s="400">
        <v>1986</v>
      </c>
      <c r="S9" s="400">
        <v>2355</v>
      </c>
      <c r="T9" s="400">
        <v>2402</v>
      </c>
      <c r="U9" s="400">
        <v>2267</v>
      </c>
      <c r="V9" s="400">
        <v>2448</v>
      </c>
      <c r="W9" s="400">
        <v>2582</v>
      </c>
      <c r="X9" s="400">
        <v>2872</v>
      </c>
      <c r="Y9" s="400">
        <v>3201</v>
      </c>
      <c r="Z9" s="400">
        <v>3149</v>
      </c>
      <c r="AA9" s="400">
        <v>2494</v>
      </c>
      <c r="AB9" s="400">
        <v>2664</v>
      </c>
      <c r="AC9" s="400">
        <v>2570</v>
      </c>
      <c r="AD9" s="400">
        <v>2900</v>
      </c>
      <c r="AE9" s="401">
        <f>AE7*AE5</f>
        <v>2840.0351078538033</v>
      </c>
      <c r="AF9" s="401">
        <f>AF7*AF5</f>
        <v>2824.1855529509194</v>
      </c>
      <c r="AG9" s="401">
        <f t="shared" ref="AG9:AH9" si="7">AG7*AG5</f>
        <v>2846.9469815345078</v>
      </c>
      <c r="AH9" s="401">
        <f t="shared" si="7"/>
        <v>2902.007102011919</v>
      </c>
      <c r="AL9" s="212">
        <v>2664</v>
      </c>
      <c r="AM9" s="212">
        <v>2570</v>
      </c>
      <c r="AN9" s="212">
        <v>2900</v>
      </c>
    </row>
    <row r="10" spans="1:67" ht="16.5">
      <c r="A10" s="3" t="s">
        <v>6</v>
      </c>
      <c r="B10" s="400">
        <v>0</v>
      </c>
      <c r="C10" s="400">
        <v>0.5</v>
      </c>
      <c r="D10" s="400">
        <f t="shared" ref="D10:AC10" si="8">D60</f>
        <v>0.58587199999999995</v>
      </c>
      <c r="E10" s="400">
        <f t="shared" si="8"/>
        <v>1.8905569999999998</v>
      </c>
      <c r="F10" s="400">
        <f t="shared" si="8"/>
        <v>8.4368020000000001</v>
      </c>
      <c r="G10" s="400">
        <f t="shared" si="8"/>
        <v>13.429038</v>
      </c>
      <c r="H10" s="400">
        <f t="shared" si="8"/>
        <v>10.796317999999999</v>
      </c>
      <c r="I10" s="400">
        <f t="shared" si="8"/>
        <v>6.0696470000000007</v>
      </c>
      <c r="J10" s="400">
        <f t="shared" si="8"/>
        <v>3.6345669999999997</v>
      </c>
      <c r="K10" s="400">
        <f t="shared" si="8"/>
        <v>1.7377900000000002</v>
      </c>
      <c r="L10" s="400">
        <f t="shared" si="8"/>
        <v>1.550934</v>
      </c>
      <c r="M10" s="400">
        <f t="shared" si="8"/>
        <v>0.98956599999999995</v>
      </c>
      <c r="N10" s="400">
        <f t="shared" si="8"/>
        <v>1.756159</v>
      </c>
      <c r="O10" s="400">
        <f t="shared" si="8"/>
        <v>6.9510000000000014</v>
      </c>
      <c r="P10" s="400">
        <f t="shared" si="8"/>
        <v>1.3169999999999999</v>
      </c>
      <c r="Q10" s="400">
        <f t="shared" si="8"/>
        <v>2.0960000000000001</v>
      </c>
      <c r="R10" s="400">
        <f t="shared" si="8"/>
        <v>7.1419999999999995</v>
      </c>
      <c r="S10" s="400">
        <f t="shared" si="8"/>
        <v>4.0249999999999995</v>
      </c>
      <c r="T10" s="400">
        <f t="shared" si="8"/>
        <v>3.0379999999999998</v>
      </c>
      <c r="U10" s="400">
        <f t="shared" si="8"/>
        <v>1.5930000000000002</v>
      </c>
      <c r="V10" s="400">
        <f t="shared" si="8"/>
        <v>61.018000000000001</v>
      </c>
      <c r="W10" s="400">
        <f t="shared" si="8"/>
        <v>44.582000000000001</v>
      </c>
      <c r="X10" s="400">
        <f t="shared" si="8"/>
        <v>74.014999999999986</v>
      </c>
      <c r="Y10" s="400">
        <f t="shared" si="8"/>
        <v>101.048</v>
      </c>
      <c r="Z10" s="400">
        <f t="shared" si="8"/>
        <v>118.26569799999997</v>
      </c>
      <c r="AA10" s="400">
        <f t="shared" si="8"/>
        <v>224.73297199999996</v>
      </c>
      <c r="AB10" s="400">
        <f t="shared" si="8"/>
        <v>251.38460800000001</v>
      </c>
      <c r="AC10" s="400">
        <f t="shared" si="8"/>
        <v>137.26276499999997</v>
      </c>
      <c r="AD10" s="401">
        <v>135</v>
      </c>
      <c r="AE10" s="401">
        <v>200</v>
      </c>
      <c r="AF10" s="401">
        <v>200</v>
      </c>
      <c r="AG10" s="401">
        <v>200</v>
      </c>
      <c r="AH10" s="401">
        <v>200</v>
      </c>
      <c r="AL10" s="223">
        <v>266</v>
      </c>
      <c r="AM10" s="223">
        <v>137</v>
      </c>
      <c r="AN10" s="223">
        <v>100</v>
      </c>
    </row>
    <row r="11" spans="1:67" ht="16.5">
      <c r="A11" s="221" t="s">
        <v>7</v>
      </c>
      <c r="B11" s="413">
        <f>SUM(B8:B10)</f>
        <v>1282</v>
      </c>
      <c r="C11" s="413">
        <f t="shared" ref="C11:AH11" si="9">SUM(C8:C10)</f>
        <v>1370.5</v>
      </c>
      <c r="D11" s="413">
        <f t="shared" si="9"/>
        <v>1270.5858720000001</v>
      </c>
      <c r="E11" s="413">
        <f t="shared" si="9"/>
        <v>1326.8905569999999</v>
      </c>
      <c r="F11" s="413">
        <f t="shared" si="9"/>
        <v>1184.4368019999999</v>
      </c>
      <c r="G11" s="413">
        <f t="shared" si="9"/>
        <v>1478.429038</v>
      </c>
      <c r="H11" s="413">
        <f t="shared" si="9"/>
        <v>1775.7963179999999</v>
      </c>
      <c r="I11" s="413">
        <f t="shared" si="9"/>
        <v>1960.069647</v>
      </c>
      <c r="J11" s="413">
        <f t="shared" si="9"/>
        <v>1481.6345670000001</v>
      </c>
      <c r="K11" s="413">
        <f t="shared" si="9"/>
        <v>1947.7377899999999</v>
      </c>
      <c r="L11" s="413">
        <f t="shared" si="9"/>
        <v>1745.5509340000001</v>
      </c>
      <c r="M11" s="413">
        <f t="shared" si="9"/>
        <v>1552.989566</v>
      </c>
      <c r="N11" s="413">
        <f t="shared" si="9"/>
        <v>1929.756159</v>
      </c>
      <c r="O11" s="413">
        <f t="shared" si="9"/>
        <v>1445.951</v>
      </c>
      <c r="P11" s="413">
        <f t="shared" si="9"/>
        <v>1461.317</v>
      </c>
      <c r="Q11" s="413">
        <f t="shared" si="9"/>
        <v>1995.096</v>
      </c>
      <c r="R11" s="413">
        <f t="shared" si="9"/>
        <v>1993.1420000000001</v>
      </c>
      <c r="S11" s="413">
        <f t="shared" si="9"/>
        <v>2359.0250000000001</v>
      </c>
      <c r="T11" s="413">
        <f t="shared" si="9"/>
        <v>2584.038</v>
      </c>
      <c r="U11" s="413">
        <f t="shared" si="9"/>
        <v>2601.5929999999998</v>
      </c>
      <c r="V11" s="413">
        <f t="shared" si="9"/>
        <v>2665.018</v>
      </c>
      <c r="W11" s="413">
        <f t="shared" si="9"/>
        <v>2726.5819999999999</v>
      </c>
      <c r="X11" s="413">
        <f t="shared" si="9"/>
        <v>3039.0149999999999</v>
      </c>
      <c r="Y11" s="413">
        <f t="shared" si="9"/>
        <v>3476.0479999999998</v>
      </c>
      <c r="Z11" s="413">
        <f t="shared" si="9"/>
        <v>3642.2656980000002</v>
      </c>
      <c r="AA11" s="413">
        <f t="shared" si="9"/>
        <v>2906.7329719999998</v>
      </c>
      <c r="AB11" s="413">
        <f t="shared" si="9"/>
        <v>3008.3846079999998</v>
      </c>
      <c r="AC11" s="413">
        <f t="shared" si="9"/>
        <v>3145.2627649999999</v>
      </c>
      <c r="AD11" s="414">
        <f t="shared" si="9"/>
        <v>3429</v>
      </c>
      <c r="AE11" s="414">
        <f t="shared" si="9"/>
        <v>3334.0351078538033</v>
      </c>
      <c r="AF11" s="414">
        <f t="shared" si="9"/>
        <v>3299.1855529509194</v>
      </c>
      <c r="AG11" s="414">
        <f t="shared" si="9"/>
        <v>3346.9469815345078</v>
      </c>
      <c r="AH11" s="414">
        <f t="shared" si="9"/>
        <v>3402.007102011919</v>
      </c>
      <c r="AL11" s="212">
        <v>3193</v>
      </c>
      <c r="AM11" s="212">
        <v>3145</v>
      </c>
      <c r="AN11" s="212">
        <v>3395</v>
      </c>
    </row>
    <row r="12" spans="1:67" ht="16.5">
      <c r="A12" s="3" t="s">
        <v>8</v>
      </c>
      <c r="B12" s="400">
        <v>843</v>
      </c>
      <c r="C12" s="400">
        <v>885.95906843137266</v>
      </c>
      <c r="D12" s="400">
        <v>797.13130823529411</v>
      </c>
      <c r="E12" s="400">
        <v>815.33280434426229</v>
      </c>
      <c r="F12" s="400">
        <v>737.33823101796418</v>
      </c>
      <c r="G12" s="400">
        <v>842.3152904333333</v>
      </c>
      <c r="H12" s="400">
        <v>897.03972814070335</v>
      </c>
      <c r="I12" s="400">
        <v>949.20884567164194</v>
      </c>
      <c r="J12" s="400">
        <v>650.67514086956521</v>
      </c>
      <c r="K12" s="400">
        <v>860.22816007868857</v>
      </c>
      <c r="L12" s="400">
        <v>789.17891350000002</v>
      </c>
      <c r="M12" s="400">
        <v>789.97919131174092</v>
      </c>
      <c r="N12" s="400">
        <v>1090.4802757052632</v>
      </c>
      <c r="O12" s="400">
        <v>658.35839999999996</v>
      </c>
      <c r="P12" s="400">
        <v>638.76679999999999</v>
      </c>
      <c r="Q12" s="400">
        <v>881.39520000000005</v>
      </c>
      <c r="R12" s="400">
        <v>907.30307407407395</v>
      </c>
      <c r="S12" s="400">
        <v>949.10308823529408</v>
      </c>
      <c r="T12" s="400">
        <v>975.65000000000009</v>
      </c>
      <c r="U12" s="400">
        <v>1329.7094117647059</v>
      </c>
      <c r="V12" s="400">
        <v>1300.3989270386267</v>
      </c>
      <c r="W12" s="400">
        <v>1299.1658798283265</v>
      </c>
      <c r="X12" s="400">
        <v>1409.914342629482</v>
      </c>
      <c r="Y12" s="400">
        <v>1713.4078302134646</v>
      </c>
      <c r="Z12" s="400">
        <v>1801.7695479069766</v>
      </c>
      <c r="AA12" s="400">
        <v>1300.7963420600863</v>
      </c>
      <c r="AB12" s="400">
        <v>1179.9430803571431</v>
      </c>
      <c r="AC12" s="400">
        <v>1200</v>
      </c>
      <c r="AD12" s="401">
        <v>1750</v>
      </c>
      <c r="AE12" s="401">
        <v>1750</v>
      </c>
      <c r="AF12" s="401">
        <v>1750</v>
      </c>
      <c r="AG12" s="401">
        <v>1751</v>
      </c>
      <c r="AH12" s="401">
        <v>1752</v>
      </c>
      <c r="AL12" s="212">
        <v>1180</v>
      </c>
      <c r="AM12" s="212">
        <v>1200</v>
      </c>
      <c r="AN12" s="212">
        <v>1800</v>
      </c>
    </row>
    <row r="13" spans="1:67" ht="16.5">
      <c r="A13" s="3" t="s">
        <v>9</v>
      </c>
      <c r="B13" s="400">
        <v>0</v>
      </c>
      <c r="C13" s="400">
        <v>15</v>
      </c>
      <c r="D13" s="400">
        <f t="shared" ref="D13:AC13" si="10">D76</f>
        <v>9.5944089999999989</v>
      </c>
      <c r="E13" s="400">
        <f t="shared" si="10"/>
        <v>22.883959000000001</v>
      </c>
      <c r="F13" s="400">
        <f t="shared" si="10"/>
        <v>7.1743999999999994</v>
      </c>
      <c r="G13" s="400">
        <f t="shared" si="10"/>
        <v>15.682842999999998</v>
      </c>
      <c r="H13" s="400">
        <f t="shared" si="10"/>
        <v>33.400572000000004</v>
      </c>
      <c r="I13" s="400">
        <f t="shared" si="10"/>
        <v>34.312854000000002</v>
      </c>
      <c r="J13" s="400">
        <f t="shared" si="10"/>
        <v>27.719920999999999</v>
      </c>
      <c r="K13" s="400">
        <f t="shared" si="10"/>
        <v>55.278668999999994</v>
      </c>
      <c r="L13" s="400">
        <f t="shared" si="10"/>
        <v>68.338897000000003</v>
      </c>
      <c r="M13" s="400">
        <f t="shared" si="10"/>
        <v>108.504402</v>
      </c>
      <c r="N13" s="400">
        <f t="shared" si="10"/>
        <v>105.30983100000002</v>
      </c>
      <c r="O13" s="400">
        <f t="shared" si="10"/>
        <v>93.975999999999985</v>
      </c>
      <c r="P13" s="400">
        <f t="shared" si="10"/>
        <v>139.10299999999998</v>
      </c>
      <c r="Q13" s="400">
        <f t="shared" si="10"/>
        <v>104.148</v>
      </c>
      <c r="R13" s="400">
        <f t="shared" si="10"/>
        <v>127.72200000000001</v>
      </c>
      <c r="S13" s="400">
        <f t="shared" si="10"/>
        <v>166.31099999999998</v>
      </c>
      <c r="T13" s="400">
        <f t="shared" si="10"/>
        <v>179.24400000000003</v>
      </c>
      <c r="U13" s="400">
        <f t="shared" si="10"/>
        <v>149.18500000000003</v>
      </c>
      <c r="V13" s="400">
        <f t="shared" si="10"/>
        <v>166.74900000000005</v>
      </c>
      <c r="W13" s="400">
        <f t="shared" si="10"/>
        <v>233.78799999999998</v>
      </c>
      <c r="X13" s="400">
        <f t="shared" si="10"/>
        <v>274.30199999999996</v>
      </c>
      <c r="Y13" s="400">
        <f t="shared" si="10"/>
        <v>346.45499999999998</v>
      </c>
      <c r="Z13" s="400">
        <f t="shared" si="10"/>
        <v>466.59979800000002</v>
      </c>
      <c r="AA13" s="400">
        <f t="shared" si="10"/>
        <v>444.17431700000003</v>
      </c>
      <c r="AB13" s="400">
        <f t="shared" si="10"/>
        <v>482.23170399999998</v>
      </c>
      <c r="AC13" s="400">
        <f t="shared" si="10"/>
        <v>475.35347100000001</v>
      </c>
      <c r="AD13" s="401">
        <v>375</v>
      </c>
      <c r="AE13" s="401">
        <v>550</v>
      </c>
      <c r="AF13" s="401">
        <v>550</v>
      </c>
      <c r="AG13" s="401">
        <v>550</v>
      </c>
      <c r="AH13" s="401">
        <v>550</v>
      </c>
      <c r="AL13" s="223">
        <v>500</v>
      </c>
      <c r="AM13" s="223">
        <v>475</v>
      </c>
      <c r="AN13" s="223">
        <v>375</v>
      </c>
    </row>
    <row r="14" spans="1:67" ht="16.5">
      <c r="A14" s="3" t="s">
        <v>10</v>
      </c>
      <c r="B14" s="400">
        <f>ROUND(C4*0.007,0)</f>
        <v>6</v>
      </c>
      <c r="C14" s="400">
        <f t="shared" ref="C14:AH14" si="11">ROUND(D4*0.007,0)</f>
        <v>6</v>
      </c>
      <c r="D14" s="400">
        <f t="shared" si="11"/>
        <v>5</v>
      </c>
      <c r="E14" s="400">
        <f t="shared" si="11"/>
        <v>5</v>
      </c>
      <c r="F14" s="400">
        <f t="shared" si="11"/>
        <v>6</v>
      </c>
      <c r="G14" s="400">
        <f t="shared" si="11"/>
        <v>8</v>
      </c>
      <c r="H14" s="400">
        <f t="shared" si="11"/>
        <v>9</v>
      </c>
      <c r="I14" s="400">
        <f t="shared" si="11"/>
        <v>7</v>
      </c>
      <c r="J14" s="400">
        <f t="shared" si="11"/>
        <v>8</v>
      </c>
      <c r="K14" s="400">
        <f t="shared" si="11"/>
        <v>8</v>
      </c>
      <c r="L14" s="400">
        <f t="shared" si="11"/>
        <v>7</v>
      </c>
      <c r="M14" s="400">
        <f t="shared" si="11"/>
        <v>7</v>
      </c>
      <c r="N14" s="400">
        <f t="shared" si="11"/>
        <v>6</v>
      </c>
      <c r="O14" s="400">
        <f t="shared" si="11"/>
        <v>6</v>
      </c>
      <c r="P14" s="400">
        <f t="shared" si="11"/>
        <v>7</v>
      </c>
      <c r="Q14" s="400">
        <f t="shared" si="11"/>
        <v>7</v>
      </c>
      <c r="R14" s="400">
        <f t="shared" si="11"/>
        <v>7</v>
      </c>
      <c r="S14" s="400">
        <f t="shared" si="11"/>
        <v>7</v>
      </c>
      <c r="T14" s="400">
        <f t="shared" si="11"/>
        <v>6</v>
      </c>
      <c r="U14" s="400">
        <f t="shared" si="11"/>
        <v>7</v>
      </c>
      <c r="V14" s="400">
        <f t="shared" si="11"/>
        <v>7</v>
      </c>
      <c r="W14" s="400">
        <f t="shared" si="11"/>
        <v>8</v>
      </c>
      <c r="X14" s="400">
        <f t="shared" si="11"/>
        <v>9</v>
      </c>
      <c r="Y14" s="400">
        <f t="shared" si="11"/>
        <v>8</v>
      </c>
      <c r="Z14" s="400">
        <f t="shared" si="11"/>
        <v>7</v>
      </c>
      <c r="AA14" s="400">
        <f t="shared" si="11"/>
        <v>7</v>
      </c>
      <c r="AB14" s="400">
        <f t="shared" si="11"/>
        <v>6</v>
      </c>
      <c r="AC14" s="400">
        <f t="shared" si="11"/>
        <v>8</v>
      </c>
      <c r="AD14" s="401">
        <f t="shared" si="11"/>
        <v>7</v>
      </c>
      <c r="AE14" s="401">
        <f t="shared" si="11"/>
        <v>7</v>
      </c>
      <c r="AF14" s="401">
        <f t="shared" si="11"/>
        <v>7</v>
      </c>
      <c r="AG14" s="401">
        <f t="shared" si="11"/>
        <v>7</v>
      </c>
      <c r="AH14" s="401">
        <f t="shared" si="11"/>
        <v>7</v>
      </c>
      <c r="AL14" s="226"/>
      <c r="AM14" s="226"/>
      <c r="AN14" s="201" t="s">
        <v>218</v>
      </c>
    </row>
    <row r="15" spans="1:67" ht="16.5">
      <c r="A15" s="3" t="s">
        <v>11</v>
      </c>
      <c r="B15" s="400">
        <f>B16-SUM(B12:B14)</f>
        <v>433</v>
      </c>
      <c r="C15" s="400">
        <f t="shared" ref="C15:AC15" si="12">C16-SUM(C12:C14)</f>
        <v>463.54093156862734</v>
      </c>
      <c r="D15" s="400">
        <f t="shared" si="12"/>
        <v>458.86015476470595</v>
      </c>
      <c r="E15" s="400">
        <f t="shared" si="12"/>
        <v>483.67379365573765</v>
      </c>
      <c r="F15" s="400">
        <f t="shared" si="12"/>
        <v>433.92417098203578</v>
      </c>
      <c r="G15" s="400">
        <f t="shared" si="12"/>
        <v>612.43090456666664</v>
      </c>
      <c r="H15" s="400">
        <f t="shared" si="12"/>
        <v>836.35601785929657</v>
      </c>
      <c r="I15" s="400">
        <f t="shared" si="12"/>
        <v>969.54794732835808</v>
      </c>
      <c r="J15" s="400">
        <f t="shared" si="12"/>
        <v>795.23950513043485</v>
      </c>
      <c r="K15" s="400">
        <f t="shared" si="12"/>
        <v>1024.2309609213112</v>
      </c>
      <c r="L15" s="400">
        <f t="shared" si="12"/>
        <v>881.0331235000001</v>
      </c>
      <c r="M15" s="400">
        <f t="shared" si="12"/>
        <v>647.50597268825902</v>
      </c>
      <c r="N15" s="400">
        <f t="shared" si="12"/>
        <v>727.96605229473676</v>
      </c>
      <c r="O15" s="400">
        <f t="shared" si="12"/>
        <v>687.61660000000006</v>
      </c>
      <c r="P15" s="400">
        <f t="shared" si="12"/>
        <v>676.44720000000007</v>
      </c>
      <c r="Q15" s="400">
        <f t="shared" si="12"/>
        <v>1002.5527999999999</v>
      </c>
      <c r="R15" s="400">
        <f t="shared" si="12"/>
        <v>951.11692592592613</v>
      </c>
      <c r="S15" s="400">
        <f t="shared" si="12"/>
        <v>1057.6109117647061</v>
      </c>
      <c r="T15" s="400">
        <f t="shared" si="12"/>
        <v>1090.1439999999998</v>
      </c>
      <c r="U15" s="400">
        <f t="shared" si="12"/>
        <v>959.69858823529398</v>
      </c>
      <c r="V15" s="400">
        <f t="shared" si="12"/>
        <v>1090.8700729613734</v>
      </c>
      <c r="W15" s="400">
        <f t="shared" si="12"/>
        <v>1092.6281201716733</v>
      </c>
      <c r="X15" s="400">
        <f t="shared" si="12"/>
        <v>1171.798657370518</v>
      </c>
      <c r="Y15" s="400">
        <f t="shared" si="12"/>
        <v>1033.185169786535</v>
      </c>
      <c r="Z15" s="400">
        <f t="shared" si="12"/>
        <v>1178.8963520930233</v>
      </c>
      <c r="AA15" s="400">
        <f t="shared" si="12"/>
        <v>1061.7623129399135</v>
      </c>
      <c r="AB15" s="400">
        <f t="shared" si="12"/>
        <v>902.20982364285669</v>
      </c>
      <c r="AC15" s="400">
        <f t="shared" si="12"/>
        <v>1067.909294</v>
      </c>
      <c r="AD15" s="401">
        <f t="shared" ref="AD15:AH15" si="13">AD16-SUM(AD12:AD14)</f>
        <v>1003</v>
      </c>
      <c r="AE15" s="401">
        <f t="shared" si="13"/>
        <v>752.03510785380331</v>
      </c>
      <c r="AF15" s="401">
        <f t="shared" si="13"/>
        <v>692.18555295091937</v>
      </c>
      <c r="AG15" s="401">
        <f t="shared" si="13"/>
        <v>738.94698153450781</v>
      </c>
      <c r="AH15" s="401">
        <f t="shared" si="13"/>
        <v>793.00710201191896</v>
      </c>
      <c r="AL15" s="226"/>
      <c r="AM15" s="226"/>
      <c r="AN15" s="201" t="s">
        <v>218</v>
      </c>
    </row>
    <row r="16" spans="1:67" ht="16.5">
      <c r="A16" s="221" t="s">
        <v>12</v>
      </c>
      <c r="B16" s="413">
        <f t="shared" ref="B16:AH16" si="14">B11-B17</f>
        <v>1282</v>
      </c>
      <c r="C16" s="413">
        <f t="shared" si="14"/>
        <v>1370.5</v>
      </c>
      <c r="D16" s="413">
        <f t="shared" si="14"/>
        <v>1270.5858720000001</v>
      </c>
      <c r="E16" s="413">
        <f t="shared" si="14"/>
        <v>1326.8905569999999</v>
      </c>
      <c r="F16" s="413">
        <f t="shared" si="14"/>
        <v>1184.4368019999999</v>
      </c>
      <c r="G16" s="413">
        <f t="shared" si="14"/>
        <v>1478.429038</v>
      </c>
      <c r="H16" s="413">
        <f t="shared" si="14"/>
        <v>1775.7963179999999</v>
      </c>
      <c r="I16" s="413">
        <f t="shared" si="14"/>
        <v>1960.069647</v>
      </c>
      <c r="J16" s="413">
        <f t="shared" si="14"/>
        <v>1481.6345670000001</v>
      </c>
      <c r="K16" s="413">
        <f t="shared" si="14"/>
        <v>1947.7377899999999</v>
      </c>
      <c r="L16" s="413">
        <f t="shared" si="14"/>
        <v>1745.5509340000001</v>
      </c>
      <c r="M16" s="413">
        <f t="shared" si="14"/>
        <v>1552.989566</v>
      </c>
      <c r="N16" s="413">
        <f t="shared" si="14"/>
        <v>1929.756159</v>
      </c>
      <c r="O16" s="413">
        <f t="shared" si="14"/>
        <v>1445.951</v>
      </c>
      <c r="P16" s="413">
        <f t="shared" si="14"/>
        <v>1461.317</v>
      </c>
      <c r="Q16" s="413">
        <f t="shared" si="14"/>
        <v>1995.096</v>
      </c>
      <c r="R16" s="413">
        <f t="shared" si="14"/>
        <v>1993.1420000000001</v>
      </c>
      <c r="S16" s="413">
        <f t="shared" si="14"/>
        <v>2180.0250000000001</v>
      </c>
      <c r="T16" s="413">
        <f t="shared" si="14"/>
        <v>2251.038</v>
      </c>
      <c r="U16" s="413">
        <f t="shared" si="14"/>
        <v>2445.5929999999998</v>
      </c>
      <c r="V16" s="413">
        <f t="shared" si="14"/>
        <v>2565.018</v>
      </c>
      <c r="W16" s="413">
        <f t="shared" si="14"/>
        <v>2633.5819999999999</v>
      </c>
      <c r="X16" s="413">
        <f t="shared" si="14"/>
        <v>2865.0149999999999</v>
      </c>
      <c r="Y16" s="413">
        <f t="shared" si="14"/>
        <v>3101.0479999999998</v>
      </c>
      <c r="Z16" s="413">
        <f t="shared" si="14"/>
        <v>3454.2656980000002</v>
      </c>
      <c r="AA16" s="413">
        <f t="shared" si="14"/>
        <v>2813.7329719999998</v>
      </c>
      <c r="AB16" s="413">
        <f t="shared" si="14"/>
        <v>2570.3846079999998</v>
      </c>
      <c r="AC16" s="413">
        <f t="shared" si="14"/>
        <v>2751.2627649999999</v>
      </c>
      <c r="AD16" s="414">
        <f t="shared" si="14"/>
        <v>3135</v>
      </c>
      <c r="AE16" s="414">
        <f t="shared" si="14"/>
        <v>3059.0351078538033</v>
      </c>
      <c r="AF16" s="414">
        <f t="shared" si="14"/>
        <v>2999.1855529509194</v>
      </c>
      <c r="AG16" s="414">
        <f t="shared" si="14"/>
        <v>3046.9469815345078</v>
      </c>
      <c r="AH16" s="414">
        <f t="shared" si="14"/>
        <v>3102.007102011919</v>
      </c>
      <c r="AL16" s="226"/>
      <c r="AM16" s="226"/>
      <c r="AN16" s="201"/>
    </row>
    <row r="17" spans="1:40" ht="16.5">
      <c r="A17" s="3" t="s">
        <v>317</v>
      </c>
      <c r="B17" s="400">
        <v>0</v>
      </c>
      <c r="C17" s="400">
        <v>0</v>
      </c>
      <c r="D17" s="400">
        <v>0</v>
      </c>
      <c r="E17" s="400">
        <v>0</v>
      </c>
      <c r="F17" s="400">
        <v>0</v>
      </c>
      <c r="G17" s="400">
        <v>0</v>
      </c>
      <c r="H17" s="400">
        <v>0</v>
      </c>
      <c r="I17" s="400">
        <v>0</v>
      </c>
      <c r="J17" s="400">
        <v>0</v>
      </c>
      <c r="K17" s="400">
        <v>0</v>
      </c>
      <c r="L17" s="400">
        <v>0</v>
      </c>
      <c r="M17" s="400">
        <v>0</v>
      </c>
      <c r="N17" s="400">
        <v>0</v>
      </c>
      <c r="O17" s="400">
        <v>0</v>
      </c>
      <c r="P17" s="400">
        <v>0</v>
      </c>
      <c r="Q17" s="400">
        <v>0</v>
      </c>
      <c r="R17" s="400">
        <v>0</v>
      </c>
      <c r="S17" s="400">
        <v>179</v>
      </c>
      <c r="T17" s="400">
        <v>333</v>
      </c>
      <c r="U17" s="400">
        <v>156</v>
      </c>
      <c r="V17" s="400">
        <v>100</v>
      </c>
      <c r="W17" s="400">
        <v>93</v>
      </c>
      <c r="X17" s="400">
        <v>174</v>
      </c>
      <c r="Y17" s="400">
        <v>375</v>
      </c>
      <c r="Z17" s="400">
        <v>188</v>
      </c>
      <c r="AA17" s="400">
        <v>93</v>
      </c>
      <c r="AB17" s="400">
        <v>438</v>
      </c>
      <c r="AC17" s="400">
        <v>394</v>
      </c>
      <c r="AD17" s="415">
        <v>294</v>
      </c>
      <c r="AE17" s="401">
        <v>275</v>
      </c>
      <c r="AF17" s="401">
        <v>300</v>
      </c>
      <c r="AG17" s="401">
        <v>300</v>
      </c>
      <c r="AH17" s="401">
        <v>300</v>
      </c>
      <c r="AL17" s="223">
        <v>438</v>
      </c>
      <c r="AM17" s="223">
        <v>395</v>
      </c>
      <c r="AN17" s="223">
        <v>195</v>
      </c>
    </row>
    <row r="18" spans="1:40" ht="16.5">
      <c r="A18" s="221" t="s">
        <v>221</v>
      </c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416">
        <f t="shared" ref="S18:AE18" si="15">S17/S16</f>
        <v>8.210915012442517E-2</v>
      </c>
      <c r="T18" s="416">
        <f t="shared" si="15"/>
        <v>0.1479317541507518</v>
      </c>
      <c r="U18" s="416">
        <f t="shared" si="15"/>
        <v>6.378821005784692E-2</v>
      </c>
      <c r="V18" s="416">
        <f t="shared" si="15"/>
        <v>3.8986081189293795E-2</v>
      </c>
      <c r="W18" s="416">
        <f t="shared" si="15"/>
        <v>3.5313121064770338E-2</v>
      </c>
      <c r="X18" s="416">
        <f t="shared" si="15"/>
        <v>6.073266632111874E-2</v>
      </c>
      <c r="Y18" s="416">
        <f t="shared" si="15"/>
        <v>0.12092686085478201</v>
      </c>
      <c r="Z18" s="416">
        <f t="shared" si="15"/>
        <v>5.4425460122784104E-2</v>
      </c>
      <c r="AA18" s="416">
        <f t="shared" si="15"/>
        <v>3.3052176921357132E-2</v>
      </c>
      <c r="AB18" s="416">
        <f t="shared" si="15"/>
        <v>0.17040251433064915</v>
      </c>
      <c r="AC18" s="416">
        <f t="shared" si="15"/>
        <v>0.14320696845544667</v>
      </c>
      <c r="AD18" s="416">
        <f t="shared" si="15"/>
        <v>9.3779904306220102E-2</v>
      </c>
      <c r="AE18" s="416">
        <f t="shared" si="15"/>
        <v>8.9897627946132985E-2</v>
      </c>
      <c r="AF18" s="416">
        <f>AF17/AF16</f>
        <v>0.10002715560723742</v>
      </c>
      <c r="AG18" s="416">
        <f t="shared" ref="AG18:AH18" si="16">AG17/AG16</f>
        <v>9.8459212391320827E-2</v>
      </c>
      <c r="AH18" s="416">
        <f t="shared" si="16"/>
        <v>9.6711577418834446E-2</v>
      </c>
      <c r="AL18" s="226"/>
      <c r="AM18" s="226"/>
      <c r="AN18" s="201"/>
    </row>
    <row r="19" spans="1:40" ht="15.75" thickBot="1">
      <c r="A19" s="3" t="s">
        <v>222</v>
      </c>
      <c r="AL19" s="226"/>
      <c r="AM19" s="226"/>
      <c r="AN19" s="201"/>
    </row>
    <row r="20" spans="1:40" ht="16.5">
      <c r="A20" s="229" t="s">
        <v>408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L20" s="226"/>
      <c r="AM20" s="226"/>
      <c r="AN20" s="201"/>
    </row>
    <row r="21" spans="1:40">
      <c r="A21" s="3" t="s">
        <v>224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224"/>
      <c r="AD21" s="224"/>
      <c r="AE21" s="224"/>
      <c r="AF21" s="224"/>
      <c r="AG21" s="224"/>
      <c r="AH21" s="224"/>
      <c r="AL21" s="226"/>
      <c r="AM21" s="226"/>
      <c r="AN21" s="201"/>
    </row>
    <row r="22" spans="1:40" ht="16.5">
      <c r="A22" s="221" t="s">
        <v>316</v>
      </c>
      <c r="B22" s="413">
        <v>0</v>
      </c>
      <c r="C22" s="413">
        <f>B29</f>
        <v>0</v>
      </c>
      <c r="D22" s="413">
        <f t="shared" ref="D22:AH22" si="17">C29</f>
        <v>0</v>
      </c>
      <c r="E22" s="413">
        <f t="shared" si="17"/>
        <v>0</v>
      </c>
      <c r="F22" s="413">
        <f t="shared" si="17"/>
        <v>0</v>
      </c>
      <c r="G22" s="413">
        <f t="shared" si="17"/>
        <v>0</v>
      </c>
      <c r="H22" s="413">
        <f t="shared" si="17"/>
        <v>0</v>
      </c>
      <c r="I22" s="413">
        <f t="shared" si="17"/>
        <v>0</v>
      </c>
      <c r="J22" s="413">
        <f t="shared" si="17"/>
        <v>0</v>
      </c>
      <c r="K22" s="413">
        <f t="shared" si="17"/>
        <v>0</v>
      </c>
      <c r="L22" s="413">
        <f t="shared" si="17"/>
        <v>0</v>
      </c>
      <c r="M22" s="413">
        <f t="shared" si="17"/>
        <v>0</v>
      </c>
      <c r="N22" s="413">
        <f t="shared" si="17"/>
        <v>0</v>
      </c>
      <c r="O22" s="413">
        <f t="shared" si="17"/>
        <v>0</v>
      </c>
      <c r="P22" s="413">
        <f t="shared" si="17"/>
        <v>0</v>
      </c>
      <c r="Q22" s="413">
        <f t="shared" si="17"/>
        <v>0</v>
      </c>
      <c r="R22" s="413">
        <f t="shared" si="17"/>
        <v>0</v>
      </c>
      <c r="S22" s="413">
        <f t="shared" si="17"/>
        <v>0</v>
      </c>
      <c r="T22" s="413">
        <f t="shared" si="17"/>
        <v>0</v>
      </c>
      <c r="U22" s="413">
        <f t="shared" si="17"/>
        <v>0</v>
      </c>
      <c r="V22" s="413">
        <f t="shared" si="17"/>
        <v>0</v>
      </c>
      <c r="W22" s="413">
        <f t="shared" si="17"/>
        <v>0</v>
      </c>
      <c r="X22" s="413">
        <f t="shared" si="17"/>
        <v>0</v>
      </c>
      <c r="Y22" s="413">
        <f t="shared" si="17"/>
        <v>0</v>
      </c>
      <c r="Z22" s="413">
        <f t="shared" si="17"/>
        <v>0</v>
      </c>
      <c r="AA22" s="413">
        <f t="shared" si="17"/>
        <v>0</v>
      </c>
      <c r="AB22" s="413">
        <f t="shared" si="17"/>
        <v>0</v>
      </c>
      <c r="AC22" s="413">
        <f t="shared" si="17"/>
        <v>0</v>
      </c>
      <c r="AD22" s="413">
        <f t="shared" si="17"/>
        <v>0</v>
      </c>
      <c r="AE22" s="414">
        <f t="shared" si="17"/>
        <v>0</v>
      </c>
      <c r="AF22" s="414">
        <f t="shared" si="17"/>
        <v>0</v>
      </c>
      <c r="AG22" s="414">
        <f t="shared" si="17"/>
        <v>0</v>
      </c>
      <c r="AH22" s="414">
        <f t="shared" si="17"/>
        <v>0</v>
      </c>
      <c r="AL22" s="223">
        <v>0</v>
      </c>
      <c r="AM22" s="223">
        <v>0</v>
      </c>
      <c r="AN22" s="223">
        <v>0</v>
      </c>
    </row>
    <row r="23" spans="1:40" ht="16.5">
      <c r="A23" s="3" t="s">
        <v>5</v>
      </c>
      <c r="B23" s="400">
        <f>B108</f>
        <v>488</v>
      </c>
      <c r="C23" s="400">
        <f t="shared" ref="C23:Z23" si="18">C108</f>
        <v>512.66170813725489</v>
      </c>
      <c r="D23" s="400">
        <f t="shared" si="18"/>
        <v>461.04351341176465</v>
      </c>
      <c r="E23" s="400">
        <f t="shared" si="18"/>
        <v>451.03516836065575</v>
      </c>
      <c r="F23" s="400">
        <f t="shared" si="18"/>
        <v>404.02094850299403</v>
      </c>
      <c r="G23" s="400">
        <f t="shared" si="18"/>
        <v>459.53651936111106</v>
      </c>
      <c r="H23" s="400">
        <f t="shared" si="18"/>
        <v>488.38829643216064</v>
      </c>
      <c r="I23" s="400">
        <f t="shared" si="18"/>
        <v>516.56944548656725</v>
      </c>
      <c r="J23" s="400">
        <f t="shared" si="18"/>
        <v>355.36873078260868</v>
      </c>
      <c r="K23" s="400">
        <f t="shared" si="18"/>
        <v>468.57956687213118</v>
      </c>
      <c r="L23" s="400">
        <f t="shared" si="18"/>
        <v>429.55307950000008</v>
      </c>
      <c r="M23" s="400">
        <f t="shared" si="18"/>
        <v>426.86195495951426</v>
      </c>
      <c r="N23" s="400">
        <f t="shared" si="18"/>
        <v>589.99865663157902</v>
      </c>
      <c r="O23" s="400">
        <f t="shared" si="18"/>
        <v>360.19608510638301</v>
      </c>
      <c r="P23" s="400">
        <f t="shared" si="18"/>
        <v>350.97076923076918</v>
      </c>
      <c r="Q23" s="400">
        <f t="shared" si="18"/>
        <v>483.66811428571435</v>
      </c>
      <c r="R23" s="400">
        <f t="shared" si="18"/>
        <v>495.71194444444438</v>
      </c>
      <c r="S23" s="400">
        <f t="shared" si="18"/>
        <v>518.51000294117637</v>
      </c>
      <c r="T23" s="400">
        <f t="shared" si="18"/>
        <v>532.35466666666684</v>
      </c>
      <c r="U23" s="400">
        <f t="shared" si="18"/>
        <v>725.84137815126041</v>
      </c>
      <c r="V23" s="400">
        <f t="shared" si="18"/>
        <v>709.21756866952774</v>
      </c>
      <c r="W23" s="400">
        <f t="shared" si="18"/>
        <v>708.54508369098721</v>
      </c>
      <c r="X23" s="400">
        <f t="shared" si="18"/>
        <v>768.40331673306775</v>
      </c>
      <c r="Y23" s="400">
        <f t="shared" si="18"/>
        <v>934.31121094581249</v>
      </c>
      <c r="Z23" s="400">
        <f t="shared" si="18"/>
        <v>981.96440360930251</v>
      </c>
      <c r="AA23" s="400">
        <f t="shared" ref="AA23:AH23" si="19">AA124*AA92</f>
        <v>709.43431270815472</v>
      </c>
      <c r="AB23" s="400">
        <f t="shared" si="19"/>
        <v>643.1476416666668</v>
      </c>
      <c r="AC23" s="400">
        <f t="shared" si="19"/>
        <v>654.31578947368428</v>
      </c>
      <c r="AD23" s="401">
        <f t="shared" si="19"/>
        <v>954.18994413407813</v>
      </c>
      <c r="AE23" s="401">
        <f t="shared" si="19"/>
        <v>955.13248692576542</v>
      </c>
      <c r="AF23" s="401">
        <f t="shared" si="19"/>
        <v>955.05229314863118</v>
      </c>
      <c r="AG23" s="401">
        <f t="shared" si="19"/>
        <v>954.60414654981673</v>
      </c>
      <c r="AH23" s="401">
        <f t="shared" si="19"/>
        <v>953.92996259322194</v>
      </c>
      <c r="AL23" s="223">
        <v>643</v>
      </c>
      <c r="AM23" s="223">
        <v>654</v>
      </c>
      <c r="AN23" s="223">
        <v>981</v>
      </c>
    </row>
    <row r="24" spans="1:40" ht="16.5">
      <c r="A24" s="3" t="s">
        <v>6</v>
      </c>
      <c r="B24" s="400">
        <v>0</v>
      </c>
      <c r="C24" s="400">
        <v>0</v>
      </c>
      <c r="D24" s="400">
        <f t="shared" ref="D24:AC24" si="20">D140</f>
        <v>0</v>
      </c>
      <c r="E24" s="400">
        <f t="shared" si="20"/>
        <v>0</v>
      </c>
      <c r="F24" s="400">
        <f t="shared" si="20"/>
        <v>5.1538750000000002</v>
      </c>
      <c r="G24" s="400">
        <f t="shared" si="20"/>
        <v>0</v>
      </c>
      <c r="H24" s="400">
        <f t="shared" si="20"/>
        <v>0</v>
      </c>
      <c r="I24" s="400">
        <f t="shared" si="20"/>
        <v>0</v>
      </c>
      <c r="J24" s="400">
        <f t="shared" si="20"/>
        <v>0</v>
      </c>
      <c r="K24" s="400">
        <f t="shared" si="20"/>
        <v>13.432019999999998</v>
      </c>
      <c r="L24" s="400">
        <f t="shared" si="20"/>
        <v>13.906419999999999</v>
      </c>
      <c r="M24" s="400">
        <f t="shared" si="20"/>
        <v>9.9226700000000001</v>
      </c>
      <c r="N24" s="400">
        <f t="shared" si="20"/>
        <v>9.074720000000001</v>
      </c>
      <c r="O24" s="400">
        <f t="shared" si="20"/>
        <v>4.3040000000000012</v>
      </c>
      <c r="P24" s="400">
        <f t="shared" si="20"/>
        <v>0</v>
      </c>
      <c r="Q24" s="400">
        <f t="shared" si="20"/>
        <v>0</v>
      </c>
      <c r="R24" s="400">
        <f t="shared" si="20"/>
        <v>2.7030000000000003</v>
      </c>
      <c r="S24" s="400">
        <f t="shared" si="20"/>
        <v>0</v>
      </c>
      <c r="T24" s="400">
        <f t="shared" si="20"/>
        <v>5.5E-2</v>
      </c>
      <c r="U24" s="400">
        <f t="shared" si="20"/>
        <v>0</v>
      </c>
      <c r="V24" s="400">
        <f t="shared" si="20"/>
        <v>1.5070000000000001</v>
      </c>
      <c r="W24" s="400">
        <f t="shared" si="20"/>
        <v>0.21900000000000003</v>
      </c>
      <c r="X24" s="400">
        <f t="shared" si="20"/>
        <v>0</v>
      </c>
      <c r="Y24" s="400">
        <f t="shared" si="20"/>
        <v>0</v>
      </c>
      <c r="Z24" s="400">
        <f t="shared" si="20"/>
        <v>210.214</v>
      </c>
      <c r="AA24" s="400">
        <f t="shared" si="20"/>
        <v>1275.5200000000002</v>
      </c>
      <c r="AB24" s="400">
        <f t="shared" si="20"/>
        <v>2052.8090000000002</v>
      </c>
      <c r="AC24" s="400">
        <f t="shared" si="20"/>
        <v>2232.817</v>
      </c>
      <c r="AD24" s="401">
        <v>1700</v>
      </c>
      <c r="AE24" s="401">
        <f>2500-750</f>
        <v>1750</v>
      </c>
      <c r="AF24" s="401">
        <v>2000</v>
      </c>
      <c r="AG24" s="401">
        <v>2001</v>
      </c>
      <c r="AH24" s="401">
        <v>2002</v>
      </c>
      <c r="AL24" s="212">
        <v>2052</v>
      </c>
      <c r="AM24" s="212">
        <v>2233</v>
      </c>
      <c r="AN24" s="212">
        <v>1600</v>
      </c>
    </row>
    <row r="25" spans="1:40" ht="16.5">
      <c r="A25" s="221" t="s">
        <v>7</v>
      </c>
      <c r="B25" s="413">
        <f>SUM(B22:B24)</f>
        <v>488</v>
      </c>
      <c r="C25" s="413">
        <f t="shared" ref="C25:AH25" si="21">SUM(C22:C24)</f>
        <v>512.66170813725489</v>
      </c>
      <c r="D25" s="413">
        <f t="shared" si="21"/>
        <v>461.04351341176465</v>
      </c>
      <c r="E25" s="413">
        <f t="shared" si="21"/>
        <v>451.03516836065575</v>
      </c>
      <c r="F25" s="413">
        <f t="shared" si="21"/>
        <v>409.17482350299406</v>
      </c>
      <c r="G25" s="413">
        <f t="shared" si="21"/>
        <v>459.53651936111106</v>
      </c>
      <c r="H25" s="413">
        <f t="shared" si="21"/>
        <v>488.38829643216064</v>
      </c>
      <c r="I25" s="413">
        <f t="shared" si="21"/>
        <v>516.56944548656725</v>
      </c>
      <c r="J25" s="413">
        <f t="shared" si="21"/>
        <v>355.36873078260868</v>
      </c>
      <c r="K25" s="413">
        <f t="shared" si="21"/>
        <v>482.0115868721312</v>
      </c>
      <c r="L25" s="413">
        <f t="shared" si="21"/>
        <v>443.45949950000011</v>
      </c>
      <c r="M25" s="413">
        <f t="shared" si="21"/>
        <v>436.78462495951425</v>
      </c>
      <c r="N25" s="413">
        <f t="shared" si="21"/>
        <v>599.07337663157898</v>
      </c>
      <c r="O25" s="413">
        <f t="shared" si="21"/>
        <v>364.50008510638298</v>
      </c>
      <c r="P25" s="413">
        <f t="shared" si="21"/>
        <v>350.97076923076918</v>
      </c>
      <c r="Q25" s="413">
        <f t="shared" si="21"/>
        <v>483.66811428571435</v>
      </c>
      <c r="R25" s="413">
        <f t="shared" si="21"/>
        <v>498.41494444444436</v>
      </c>
      <c r="S25" s="413">
        <f t="shared" si="21"/>
        <v>518.51000294117637</v>
      </c>
      <c r="T25" s="413">
        <f t="shared" si="21"/>
        <v>532.40966666666679</v>
      </c>
      <c r="U25" s="413">
        <f t="shared" si="21"/>
        <v>725.84137815126041</v>
      </c>
      <c r="V25" s="413">
        <f t="shared" si="21"/>
        <v>710.72456866952768</v>
      </c>
      <c r="W25" s="413">
        <f t="shared" si="21"/>
        <v>708.76408369098726</v>
      </c>
      <c r="X25" s="413">
        <f t="shared" si="21"/>
        <v>768.40331673306775</v>
      </c>
      <c r="Y25" s="413">
        <f t="shared" si="21"/>
        <v>934.31121094581249</v>
      </c>
      <c r="Z25" s="413">
        <f t="shared" si="21"/>
        <v>1192.1784036093024</v>
      </c>
      <c r="AA25" s="413">
        <f t="shared" si="21"/>
        <v>1984.9543127081549</v>
      </c>
      <c r="AB25" s="413">
        <f t="shared" si="21"/>
        <v>2695.9566416666671</v>
      </c>
      <c r="AC25" s="413">
        <f t="shared" si="21"/>
        <v>2887.1327894736842</v>
      </c>
      <c r="AD25" s="414">
        <f t="shared" si="21"/>
        <v>2654.1899441340784</v>
      </c>
      <c r="AE25" s="414">
        <f t="shared" si="21"/>
        <v>2705.1324869257655</v>
      </c>
      <c r="AF25" s="414">
        <f t="shared" si="21"/>
        <v>2955.0522931486312</v>
      </c>
      <c r="AG25" s="414">
        <f t="shared" si="21"/>
        <v>2955.6041465498165</v>
      </c>
      <c r="AH25" s="414">
        <f t="shared" si="21"/>
        <v>2955.9299625932217</v>
      </c>
      <c r="AL25" s="212">
        <v>2695</v>
      </c>
      <c r="AM25" s="212">
        <v>2887</v>
      </c>
      <c r="AN25" s="212">
        <v>2581</v>
      </c>
    </row>
    <row r="26" spans="1:40" ht="16.5">
      <c r="A26" s="3" t="s">
        <v>24</v>
      </c>
      <c r="B26" s="400">
        <f>B28-B27</f>
        <v>428</v>
      </c>
      <c r="C26" s="400">
        <f t="shared" ref="C26:AH26" si="22">C28-C27</f>
        <v>432.66170813725489</v>
      </c>
      <c r="D26" s="400">
        <f t="shared" si="22"/>
        <v>456.09755341176464</v>
      </c>
      <c r="E26" s="400">
        <f t="shared" si="22"/>
        <v>444.85286236065576</v>
      </c>
      <c r="F26" s="400">
        <f t="shared" si="22"/>
        <v>409.17482350299406</v>
      </c>
      <c r="G26" s="400">
        <f t="shared" si="22"/>
        <v>459.53651936111106</v>
      </c>
      <c r="H26" s="400">
        <f t="shared" si="22"/>
        <v>480.29072643216062</v>
      </c>
      <c r="I26" s="400">
        <f t="shared" si="22"/>
        <v>516.56944548656725</v>
      </c>
      <c r="J26" s="400">
        <f t="shared" si="22"/>
        <v>355.20773078260868</v>
      </c>
      <c r="K26" s="400">
        <f t="shared" si="22"/>
        <v>481.26308687213123</v>
      </c>
      <c r="L26" s="400">
        <f t="shared" si="22"/>
        <v>443.45949950000011</v>
      </c>
      <c r="M26" s="400">
        <f t="shared" si="22"/>
        <v>436.76862495951423</v>
      </c>
      <c r="N26" s="400">
        <f t="shared" si="22"/>
        <v>599.02037663157898</v>
      </c>
      <c r="O26" s="400">
        <f t="shared" si="22"/>
        <v>364.10108510638298</v>
      </c>
      <c r="P26" s="400">
        <f t="shared" si="22"/>
        <v>348.2247692307692</v>
      </c>
      <c r="Q26" s="400">
        <f t="shared" si="22"/>
        <v>477.35311428571435</v>
      </c>
      <c r="R26" s="400">
        <f t="shared" si="22"/>
        <v>497.96594444444435</v>
      </c>
      <c r="S26" s="400">
        <f t="shared" si="22"/>
        <v>518.04800294117638</v>
      </c>
      <c r="T26" s="400">
        <f t="shared" si="22"/>
        <v>531.64566666666678</v>
      </c>
      <c r="U26" s="400">
        <f t="shared" si="22"/>
        <v>724.81337815126039</v>
      </c>
      <c r="V26" s="400">
        <f t="shared" si="22"/>
        <v>709.33856866952772</v>
      </c>
      <c r="W26" s="400">
        <f t="shared" si="22"/>
        <v>699.00708369098732</v>
      </c>
      <c r="X26" s="400">
        <f t="shared" si="22"/>
        <v>745.11531673306774</v>
      </c>
      <c r="Y26" s="400">
        <f t="shared" si="22"/>
        <v>902.63021094581245</v>
      </c>
      <c r="Z26" s="400">
        <f t="shared" si="22"/>
        <v>1168.6764036093025</v>
      </c>
      <c r="AA26" s="400">
        <f t="shared" si="22"/>
        <v>1971.306312708155</v>
      </c>
      <c r="AB26" s="400">
        <f t="shared" si="22"/>
        <v>2681.6296416666669</v>
      </c>
      <c r="AC26" s="400">
        <f t="shared" si="22"/>
        <v>2882.1307894736842</v>
      </c>
      <c r="AD26" s="401">
        <f t="shared" si="22"/>
        <v>2649.1899441340784</v>
      </c>
      <c r="AE26" s="401">
        <f t="shared" si="22"/>
        <v>2695.1324869257655</v>
      </c>
      <c r="AF26" s="401">
        <f t="shared" si="22"/>
        <v>2945.0522931486312</v>
      </c>
      <c r="AG26" s="401">
        <f t="shared" si="22"/>
        <v>2945.6041465498165</v>
      </c>
      <c r="AH26" s="401">
        <f t="shared" si="22"/>
        <v>2945.9299625932217</v>
      </c>
      <c r="AL26" s="212">
        <v>2681</v>
      </c>
      <c r="AM26" s="212">
        <v>2882</v>
      </c>
      <c r="AN26" s="212">
        <v>2576</v>
      </c>
    </row>
    <row r="27" spans="1:40" ht="16.5">
      <c r="A27" s="3" t="s">
        <v>9</v>
      </c>
      <c r="B27" s="400">
        <v>60</v>
      </c>
      <c r="C27" s="400">
        <v>80</v>
      </c>
      <c r="D27" s="400">
        <f t="shared" ref="D27:AC27" si="23">D156</f>
        <v>4.9459599999999995</v>
      </c>
      <c r="E27" s="400">
        <f t="shared" si="23"/>
        <v>6.1823060000000005</v>
      </c>
      <c r="F27" s="400">
        <f t="shared" si="23"/>
        <v>0</v>
      </c>
      <c r="G27" s="400">
        <f t="shared" si="23"/>
        <v>0</v>
      </c>
      <c r="H27" s="400">
        <f t="shared" si="23"/>
        <v>8.0975699999999993</v>
      </c>
      <c r="I27" s="400">
        <f t="shared" si="23"/>
        <v>0</v>
      </c>
      <c r="J27" s="400">
        <f t="shared" si="23"/>
        <v>0.161</v>
      </c>
      <c r="K27" s="400">
        <f t="shared" si="23"/>
        <v>0.74849999999999994</v>
      </c>
      <c r="L27" s="400">
        <f t="shared" si="23"/>
        <v>0</v>
      </c>
      <c r="M27" s="400">
        <f t="shared" si="23"/>
        <v>1.6E-2</v>
      </c>
      <c r="N27" s="400">
        <f t="shared" si="23"/>
        <v>5.3000000000000005E-2</v>
      </c>
      <c r="O27" s="400">
        <f t="shared" si="23"/>
        <v>0.39900000000000002</v>
      </c>
      <c r="P27" s="400">
        <f t="shared" si="23"/>
        <v>2.746</v>
      </c>
      <c r="Q27" s="400">
        <f t="shared" si="23"/>
        <v>6.3150000000000004</v>
      </c>
      <c r="R27" s="400">
        <f t="shared" si="23"/>
        <v>0.44900000000000001</v>
      </c>
      <c r="S27" s="400">
        <f t="shared" si="23"/>
        <v>0.46199999999999991</v>
      </c>
      <c r="T27" s="400">
        <f t="shared" si="23"/>
        <v>0.76400000000000012</v>
      </c>
      <c r="U27" s="400">
        <f t="shared" si="23"/>
        <v>1.028</v>
      </c>
      <c r="V27" s="400">
        <f t="shared" si="23"/>
        <v>1.3860000000000001</v>
      </c>
      <c r="W27" s="400">
        <f t="shared" si="23"/>
        <v>9.7569999999999997</v>
      </c>
      <c r="X27" s="400">
        <f t="shared" si="23"/>
        <v>23.287999999999997</v>
      </c>
      <c r="Y27" s="400">
        <f t="shared" si="23"/>
        <v>31.681000000000001</v>
      </c>
      <c r="Z27" s="400">
        <f t="shared" si="23"/>
        <v>23.501999999999999</v>
      </c>
      <c r="AA27" s="400">
        <f t="shared" si="23"/>
        <v>13.648</v>
      </c>
      <c r="AB27" s="400">
        <f t="shared" si="23"/>
        <v>14.327</v>
      </c>
      <c r="AC27" s="400">
        <f t="shared" si="23"/>
        <v>5.0019999999999998</v>
      </c>
      <c r="AD27" s="401">
        <v>5</v>
      </c>
      <c r="AE27" s="401">
        <v>10</v>
      </c>
      <c r="AF27" s="401">
        <v>10</v>
      </c>
      <c r="AG27" s="401">
        <v>10</v>
      </c>
      <c r="AH27" s="401">
        <v>10</v>
      </c>
      <c r="AL27" s="223">
        <v>14</v>
      </c>
      <c r="AM27" s="223">
        <v>5</v>
      </c>
      <c r="AN27" s="223">
        <v>5</v>
      </c>
    </row>
    <row r="28" spans="1:40" ht="16.5">
      <c r="A28" s="221" t="s">
        <v>12</v>
      </c>
      <c r="B28" s="413">
        <f>B25-B29</f>
        <v>488</v>
      </c>
      <c r="C28" s="413">
        <f t="shared" ref="C28:AH28" si="24">C25-C29</f>
        <v>512.66170813725489</v>
      </c>
      <c r="D28" s="413">
        <f t="shared" si="24"/>
        <v>461.04351341176465</v>
      </c>
      <c r="E28" s="413">
        <f t="shared" si="24"/>
        <v>451.03516836065575</v>
      </c>
      <c r="F28" s="413">
        <f t="shared" si="24"/>
        <v>409.17482350299406</v>
      </c>
      <c r="G28" s="413">
        <f t="shared" si="24"/>
        <v>459.53651936111106</v>
      </c>
      <c r="H28" s="413">
        <f t="shared" si="24"/>
        <v>488.38829643216064</v>
      </c>
      <c r="I28" s="413">
        <f t="shared" si="24"/>
        <v>516.56944548656725</v>
      </c>
      <c r="J28" s="413">
        <f t="shared" si="24"/>
        <v>355.36873078260868</v>
      </c>
      <c r="K28" s="413">
        <f t="shared" si="24"/>
        <v>482.0115868721312</v>
      </c>
      <c r="L28" s="413">
        <f t="shared" si="24"/>
        <v>443.45949950000011</v>
      </c>
      <c r="M28" s="413">
        <f t="shared" si="24"/>
        <v>436.78462495951425</v>
      </c>
      <c r="N28" s="413">
        <f t="shared" si="24"/>
        <v>599.07337663157898</v>
      </c>
      <c r="O28" s="413">
        <f t="shared" si="24"/>
        <v>364.50008510638298</v>
      </c>
      <c r="P28" s="413">
        <f t="shared" si="24"/>
        <v>350.97076923076918</v>
      </c>
      <c r="Q28" s="413">
        <f t="shared" si="24"/>
        <v>483.66811428571435</v>
      </c>
      <c r="R28" s="413">
        <f t="shared" si="24"/>
        <v>498.41494444444436</v>
      </c>
      <c r="S28" s="413">
        <f t="shared" si="24"/>
        <v>518.51000294117637</v>
      </c>
      <c r="T28" s="413">
        <f t="shared" si="24"/>
        <v>532.40966666666679</v>
      </c>
      <c r="U28" s="413">
        <f t="shared" si="24"/>
        <v>725.84137815126041</v>
      </c>
      <c r="V28" s="413">
        <f t="shared" si="24"/>
        <v>710.72456866952768</v>
      </c>
      <c r="W28" s="413">
        <f t="shared" si="24"/>
        <v>708.76408369098726</v>
      </c>
      <c r="X28" s="413">
        <f t="shared" si="24"/>
        <v>768.40331673306775</v>
      </c>
      <c r="Y28" s="413">
        <f t="shared" si="24"/>
        <v>934.31121094581249</v>
      </c>
      <c r="Z28" s="413">
        <f t="shared" si="24"/>
        <v>1192.1784036093024</v>
      </c>
      <c r="AA28" s="413">
        <f t="shared" si="24"/>
        <v>1984.9543127081549</v>
      </c>
      <c r="AB28" s="413">
        <f t="shared" si="24"/>
        <v>2695.9566416666671</v>
      </c>
      <c r="AC28" s="413">
        <f t="shared" si="24"/>
        <v>2887.1327894736842</v>
      </c>
      <c r="AD28" s="414">
        <f t="shared" si="24"/>
        <v>2654.1899441340784</v>
      </c>
      <c r="AE28" s="414">
        <f t="shared" si="24"/>
        <v>2705.1324869257655</v>
      </c>
      <c r="AF28" s="414">
        <f t="shared" si="24"/>
        <v>2955.0522931486312</v>
      </c>
      <c r="AG28" s="414">
        <f t="shared" si="24"/>
        <v>2955.6041465498165</v>
      </c>
      <c r="AH28" s="414">
        <f t="shared" si="24"/>
        <v>2955.9299625932217</v>
      </c>
      <c r="AL28" s="226"/>
      <c r="AM28" s="226"/>
      <c r="AN28" s="201"/>
    </row>
    <row r="29" spans="1:40" ht="16.5">
      <c r="A29" s="3" t="s">
        <v>317</v>
      </c>
      <c r="B29" s="400">
        <v>0</v>
      </c>
      <c r="C29" s="400">
        <v>0</v>
      </c>
      <c r="D29" s="400">
        <v>0</v>
      </c>
      <c r="E29" s="400">
        <v>0</v>
      </c>
      <c r="F29" s="400">
        <v>0</v>
      </c>
      <c r="G29" s="400">
        <v>0</v>
      </c>
      <c r="H29" s="400">
        <v>0</v>
      </c>
      <c r="I29" s="400">
        <v>0</v>
      </c>
      <c r="J29" s="400">
        <v>0</v>
      </c>
      <c r="K29" s="400">
        <v>0</v>
      </c>
      <c r="L29" s="400">
        <v>0</v>
      </c>
      <c r="M29" s="400">
        <v>0</v>
      </c>
      <c r="N29" s="400">
        <v>0</v>
      </c>
      <c r="O29" s="400">
        <v>0</v>
      </c>
      <c r="P29" s="400">
        <v>0</v>
      </c>
      <c r="Q29" s="400">
        <v>0</v>
      </c>
      <c r="R29" s="400">
        <v>0</v>
      </c>
      <c r="S29" s="400">
        <v>0</v>
      </c>
      <c r="T29" s="400">
        <v>0</v>
      </c>
      <c r="U29" s="400">
        <v>0</v>
      </c>
      <c r="V29" s="400">
        <v>0</v>
      </c>
      <c r="W29" s="400">
        <v>0</v>
      </c>
      <c r="X29" s="400">
        <v>0</v>
      </c>
      <c r="Y29" s="400">
        <v>0</v>
      </c>
      <c r="Z29" s="400">
        <v>0</v>
      </c>
      <c r="AA29" s="400">
        <v>0</v>
      </c>
      <c r="AB29" s="400">
        <v>0</v>
      </c>
      <c r="AC29" s="400">
        <v>0</v>
      </c>
      <c r="AD29" s="401">
        <v>0</v>
      </c>
      <c r="AE29" s="401">
        <v>0</v>
      </c>
      <c r="AF29" s="401">
        <v>0</v>
      </c>
      <c r="AG29" s="401">
        <v>0</v>
      </c>
      <c r="AH29" s="401">
        <v>0</v>
      </c>
      <c r="AL29" s="223">
        <v>0</v>
      </c>
      <c r="AM29" s="223">
        <v>0</v>
      </c>
      <c r="AN29" s="223">
        <v>0</v>
      </c>
    </row>
    <row r="30" spans="1:40" ht="15.75" thickBot="1">
      <c r="A30" s="3" t="s">
        <v>225</v>
      </c>
      <c r="AL30" s="226"/>
      <c r="AM30" s="226"/>
      <c r="AN30" s="201"/>
    </row>
    <row r="31" spans="1:40">
      <c r="A31" s="229" t="s">
        <v>409</v>
      </c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L31" s="226"/>
      <c r="AM31" s="226"/>
      <c r="AN31" s="201"/>
    </row>
    <row r="32" spans="1:40" ht="16.5">
      <c r="A32" s="221" t="s">
        <v>316</v>
      </c>
      <c r="B32" s="413">
        <v>0</v>
      </c>
      <c r="C32" s="413">
        <f>B42</f>
        <v>0</v>
      </c>
      <c r="D32" s="413">
        <f t="shared" ref="D32:AH32" si="25">C42</f>
        <v>0</v>
      </c>
      <c r="E32" s="413">
        <f t="shared" si="25"/>
        <v>0</v>
      </c>
      <c r="F32" s="413">
        <f t="shared" si="25"/>
        <v>0</v>
      </c>
      <c r="G32" s="413">
        <f t="shared" si="25"/>
        <v>0</v>
      </c>
      <c r="H32" s="413">
        <f t="shared" si="25"/>
        <v>0</v>
      </c>
      <c r="I32" s="413">
        <f t="shared" si="25"/>
        <v>0</v>
      </c>
      <c r="J32" s="413">
        <f t="shared" si="25"/>
        <v>0</v>
      </c>
      <c r="K32" s="413">
        <f t="shared" si="25"/>
        <v>0</v>
      </c>
      <c r="L32" s="413">
        <f t="shared" si="25"/>
        <v>0</v>
      </c>
      <c r="M32" s="413">
        <f t="shared" si="25"/>
        <v>0</v>
      </c>
      <c r="N32" s="413">
        <f t="shared" si="25"/>
        <v>0</v>
      </c>
      <c r="O32" s="413">
        <f t="shared" si="25"/>
        <v>0</v>
      </c>
      <c r="P32" s="413">
        <f t="shared" si="25"/>
        <v>0</v>
      </c>
      <c r="Q32" s="413">
        <f t="shared" si="25"/>
        <v>0</v>
      </c>
      <c r="R32" s="413">
        <f t="shared" si="25"/>
        <v>0</v>
      </c>
      <c r="S32" s="413">
        <f t="shared" si="25"/>
        <v>0</v>
      </c>
      <c r="T32" s="413">
        <f t="shared" si="25"/>
        <v>0</v>
      </c>
      <c r="U32" s="413">
        <f t="shared" si="25"/>
        <v>0</v>
      </c>
      <c r="V32" s="413">
        <f t="shared" si="25"/>
        <v>0</v>
      </c>
      <c r="W32" s="413">
        <f t="shared" si="25"/>
        <v>0</v>
      </c>
      <c r="X32" s="413">
        <f t="shared" si="25"/>
        <v>0</v>
      </c>
      <c r="Y32" s="413">
        <f t="shared" si="25"/>
        <v>0</v>
      </c>
      <c r="Z32" s="413">
        <f t="shared" si="25"/>
        <v>0</v>
      </c>
      <c r="AA32" s="413">
        <f t="shared" si="25"/>
        <v>0</v>
      </c>
      <c r="AB32" s="413">
        <f t="shared" si="25"/>
        <v>0</v>
      </c>
      <c r="AC32" s="413">
        <f t="shared" si="25"/>
        <v>0</v>
      </c>
      <c r="AD32" s="413">
        <f t="shared" si="25"/>
        <v>0</v>
      </c>
      <c r="AE32" s="414">
        <f t="shared" si="25"/>
        <v>0</v>
      </c>
      <c r="AF32" s="414">
        <f t="shared" si="25"/>
        <v>0</v>
      </c>
      <c r="AG32" s="414">
        <f t="shared" si="25"/>
        <v>0</v>
      </c>
      <c r="AH32" s="414">
        <f t="shared" si="25"/>
        <v>0</v>
      </c>
      <c r="AL32" s="223">
        <v>0</v>
      </c>
      <c r="AM32" s="223">
        <v>0</v>
      </c>
      <c r="AN32" s="223">
        <v>0</v>
      </c>
    </row>
    <row r="33" spans="1:40" ht="16.5">
      <c r="A33" s="3" t="s">
        <v>5</v>
      </c>
      <c r="B33" s="400">
        <f>B219</f>
        <v>185</v>
      </c>
      <c r="C33" s="400">
        <f>C219</f>
        <v>203.07376399999998</v>
      </c>
      <c r="D33" s="400">
        <f t="shared" ref="D33:Y33" si="26">D219</f>
        <v>183.12476000000001</v>
      </c>
      <c r="E33" s="400">
        <f t="shared" si="26"/>
        <v>186.74080500000002</v>
      </c>
      <c r="F33" s="400">
        <f t="shared" si="26"/>
        <v>168.67874600000002</v>
      </c>
      <c r="G33" s="400">
        <f t="shared" si="26"/>
        <v>181.79466699999995</v>
      </c>
      <c r="H33" s="400">
        <f t="shared" si="26"/>
        <v>198.345451</v>
      </c>
      <c r="I33" s="400">
        <f t="shared" si="26"/>
        <v>334.72101400000008</v>
      </c>
      <c r="J33" s="400">
        <f t="shared" si="26"/>
        <v>230.23889600000007</v>
      </c>
      <c r="K33" s="400">
        <f t="shared" si="26"/>
        <v>304.72658399999995</v>
      </c>
      <c r="L33" s="400">
        <f t="shared" si="26"/>
        <v>279.70898200000005</v>
      </c>
      <c r="M33" s="400">
        <f t="shared" si="26"/>
        <v>281.15974100000005</v>
      </c>
      <c r="N33" s="400">
        <f t="shared" si="26"/>
        <v>386.55084399999998</v>
      </c>
      <c r="O33" s="400">
        <f t="shared" si="26"/>
        <v>235.12800000000001</v>
      </c>
      <c r="P33" s="400">
        <f t="shared" si="26"/>
        <v>228.131</v>
      </c>
      <c r="Q33" s="400">
        <f t="shared" si="26"/>
        <v>314.78400000000011</v>
      </c>
      <c r="R33" s="400">
        <f t="shared" si="26"/>
        <v>324.46599999999984</v>
      </c>
      <c r="S33" s="400">
        <f t="shared" si="26"/>
        <v>339.67899999999997</v>
      </c>
      <c r="T33" s="400">
        <f t="shared" si="26"/>
        <v>348.23200000000008</v>
      </c>
      <c r="U33" s="400">
        <f t="shared" si="26"/>
        <v>475.89599999999996</v>
      </c>
      <c r="V33" s="400">
        <f t="shared" si="26"/>
        <v>466.14299999999992</v>
      </c>
      <c r="W33" s="400">
        <f t="shared" si="26"/>
        <v>465.70100000000014</v>
      </c>
      <c r="X33" s="400">
        <f t="shared" si="26"/>
        <v>505.55500000000006</v>
      </c>
      <c r="Y33" s="400">
        <f t="shared" si="26"/>
        <v>613.80315799999994</v>
      </c>
      <c r="Z33" s="400">
        <f t="shared" ref="Z33:AH33" si="27">Z235*Z92</f>
        <v>645.63408800000002</v>
      </c>
      <c r="AA33" s="400">
        <f t="shared" si="27"/>
        <v>466.28545800000012</v>
      </c>
      <c r="AB33" s="400">
        <f t="shared" si="27"/>
        <v>422.8916000000001</v>
      </c>
      <c r="AC33" s="400">
        <f t="shared" si="27"/>
        <v>430.1052631578948</v>
      </c>
      <c r="AD33" s="401">
        <f t="shared" si="27"/>
        <v>627.65363128491617</v>
      </c>
      <c r="AE33" s="401">
        <f t="shared" si="27"/>
        <v>628.99078758511155</v>
      </c>
      <c r="AF33" s="401">
        <f t="shared" si="27"/>
        <v>629.0372888880612</v>
      </c>
      <c r="AG33" s="401">
        <f t="shared" si="27"/>
        <v>629.61737586112145</v>
      </c>
      <c r="AH33" s="401">
        <f t="shared" si="27"/>
        <v>629.82760621052785</v>
      </c>
      <c r="AL33" s="223">
        <v>423</v>
      </c>
      <c r="AM33" s="223">
        <v>430</v>
      </c>
      <c r="AN33" s="223">
        <v>645</v>
      </c>
    </row>
    <row r="34" spans="1:40" ht="16.5">
      <c r="A34" s="3" t="s">
        <v>6</v>
      </c>
      <c r="B34" s="400">
        <v>0</v>
      </c>
      <c r="C34" s="400">
        <v>1.3</v>
      </c>
      <c r="D34" s="400">
        <f t="shared" ref="D34:AC34" si="28">D267</f>
        <v>6.0084330000000001</v>
      </c>
      <c r="E34" s="400">
        <f t="shared" si="28"/>
        <v>2.3658030000000001</v>
      </c>
      <c r="F34" s="400">
        <f t="shared" si="28"/>
        <v>0.67654099999999995</v>
      </c>
      <c r="G34" s="400">
        <f t="shared" si="28"/>
        <v>1.2054019999999999</v>
      </c>
      <c r="H34" s="400">
        <f t="shared" si="28"/>
        <v>0.69970299999999996</v>
      </c>
      <c r="I34" s="400">
        <f t="shared" si="28"/>
        <v>0.45658599999999999</v>
      </c>
      <c r="J34" s="400">
        <f t="shared" si="28"/>
        <v>0.50364399999999998</v>
      </c>
      <c r="K34" s="400">
        <f t="shared" si="28"/>
        <v>8.9974640000000008</v>
      </c>
      <c r="L34" s="400">
        <f t="shared" si="28"/>
        <v>49.31366400000001</v>
      </c>
      <c r="M34" s="400">
        <f t="shared" si="28"/>
        <v>0.93583900000000009</v>
      </c>
      <c r="N34" s="400">
        <f t="shared" si="28"/>
        <v>4.7105110000000003</v>
      </c>
      <c r="O34" s="400">
        <f t="shared" si="28"/>
        <v>93.946000000000012</v>
      </c>
      <c r="P34" s="400">
        <f t="shared" si="28"/>
        <v>1.7280000000000002</v>
      </c>
      <c r="Q34" s="400">
        <f t="shared" si="28"/>
        <v>124.768</v>
      </c>
      <c r="R34" s="400">
        <f t="shared" si="28"/>
        <v>168.71300000000002</v>
      </c>
      <c r="S34" s="400">
        <f t="shared" si="28"/>
        <v>23.163</v>
      </c>
      <c r="T34" s="400">
        <f t="shared" si="28"/>
        <v>121.98700000000001</v>
      </c>
      <c r="U34" s="400">
        <f t="shared" si="28"/>
        <v>362.27399999999994</v>
      </c>
      <c r="V34" s="400">
        <f t="shared" si="28"/>
        <v>530.68799999999999</v>
      </c>
      <c r="W34" s="400">
        <f t="shared" si="28"/>
        <v>533.94099999999992</v>
      </c>
      <c r="X34" s="400">
        <f t="shared" si="28"/>
        <v>874.52300000000002</v>
      </c>
      <c r="Y34" s="400">
        <f t="shared" si="28"/>
        <v>719.72190999999987</v>
      </c>
      <c r="Z34" s="400">
        <f t="shared" si="28"/>
        <v>784.55683399999998</v>
      </c>
      <c r="AA34" s="400">
        <f t="shared" si="28"/>
        <v>1032.0883450000001</v>
      </c>
      <c r="AB34" s="400">
        <f t="shared" si="28"/>
        <v>1749.2384770000001</v>
      </c>
      <c r="AC34" s="400">
        <f t="shared" si="28"/>
        <v>1639.7748390000002</v>
      </c>
      <c r="AD34" s="401">
        <f>1800-1325</f>
        <v>475</v>
      </c>
      <c r="AE34" s="401">
        <v>1850</v>
      </c>
      <c r="AF34" s="401">
        <f>2301-1000+750</f>
        <v>2051</v>
      </c>
      <c r="AG34" s="401">
        <f t="shared" ref="AG34:AH34" si="29">2301-1000+750</f>
        <v>2051</v>
      </c>
      <c r="AH34" s="401">
        <f t="shared" si="29"/>
        <v>2051</v>
      </c>
      <c r="AL34" s="212">
        <v>1749</v>
      </c>
      <c r="AM34" s="212">
        <v>1640</v>
      </c>
      <c r="AN34" s="212">
        <v>1770</v>
      </c>
    </row>
    <row r="35" spans="1:40" ht="16.5">
      <c r="A35" s="221" t="s">
        <v>7</v>
      </c>
      <c r="B35" s="413">
        <f>SUM(B32:B34)</f>
        <v>185</v>
      </c>
      <c r="C35" s="413">
        <f t="shared" ref="C35:AH35" si="30">SUM(C32:C34)</f>
        <v>204.37376399999999</v>
      </c>
      <c r="D35" s="413">
        <f t="shared" si="30"/>
        <v>189.13319300000001</v>
      </c>
      <c r="E35" s="413">
        <f t="shared" si="30"/>
        <v>189.10660800000002</v>
      </c>
      <c r="F35" s="413">
        <f t="shared" si="30"/>
        <v>169.355287</v>
      </c>
      <c r="G35" s="413">
        <f t="shared" si="30"/>
        <v>183.00006899999994</v>
      </c>
      <c r="H35" s="413">
        <f t="shared" si="30"/>
        <v>199.045154</v>
      </c>
      <c r="I35" s="413">
        <f t="shared" si="30"/>
        <v>335.1776000000001</v>
      </c>
      <c r="J35" s="413">
        <f t="shared" si="30"/>
        <v>230.74254000000008</v>
      </c>
      <c r="K35" s="413">
        <f t="shared" si="30"/>
        <v>313.72404799999993</v>
      </c>
      <c r="L35" s="413">
        <f t="shared" si="30"/>
        <v>329.02264600000007</v>
      </c>
      <c r="M35" s="413">
        <f t="shared" si="30"/>
        <v>282.09558000000004</v>
      </c>
      <c r="N35" s="413">
        <f t="shared" si="30"/>
        <v>391.26135499999998</v>
      </c>
      <c r="O35" s="413">
        <f t="shared" si="30"/>
        <v>329.07400000000001</v>
      </c>
      <c r="P35" s="413">
        <f t="shared" si="30"/>
        <v>229.85900000000001</v>
      </c>
      <c r="Q35" s="413">
        <f t="shared" si="30"/>
        <v>439.55200000000013</v>
      </c>
      <c r="R35" s="413">
        <f t="shared" si="30"/>
        <v>493.17899999999986</v>
      </c>
      <c r="S35" s="413">
        <f t="shared" si="30"/>
        <v>362.84199999999998</v>
      </c>
      <c r="T35" s="413">
        <f t="shared" si="30"/>
        <v>470.21900000000011</v>
      </c>
      <c r="U35" s="413">
        <f t="shared" si="30"/>
        <v>838.16999999999985</v>
      </c>
      <c r="V35" s="413">
        <f t="shared" si="30"/>
        <v>996.8309999999999</v>
      </c>
      <c r="W35" s="413">
        <f t="shared" si="30"/>
        <v>999.64200000000005</v>
      </c>
      <c r="X35" s="413">
        <f t="shared" si="30"/>
        <v>1380.078</v>
      </c>
      <c r="Y35" s="413">
        <f t="shared" si="30"/>
        <v>1333.5250679999999</v>
      </c>
      <c r="Z35" s="413">
        <f t="shared" si="30"/>
        <v>1430.190922</v>
      </c>
      <c r="AA35" s="413">
        <f t="shared" si="30"/>
        <v>1498.3738030000002</v>
      </c>
      <c r="AB35" s="413">
        <f t="shared" si="30"/>
        <v>2172.1300770000003</v>
      </c>
      <c r="AC35" s="413">
        <f t="shared" si="30"/>
        <v>2069.8801021578947</v>
      </c>
      <c r="AD35" s="414">
        <f t="shared" si="30"/>
        <v>1102.6536312849162</v>
      </c>
      <c r="AE35" s="414">
        <f t="shared" si="30"/>
        <v>2478.9907875851113</v>
      </c>
      <c r="AF35" s="414">
        <f t="shared" si="30"/>
        <v>2680.0372888880611</v>
      </c>
      <c r="AG35" s="414">
        <f t="shared" si="30"/>
        <v>2680.6173758611212</v>
      </c>
      <c r="AH35" s="414">
        <f t="shared" si="30"/>
        <v>2680.8276062105278</v>
      </c>
      <c r="AL35" s="212">
        <v>2172</v>
      </c>
      <c r="AM35" s="212">
        <v>2070</v>
      </c>
      <c r="AN35" s="212">
        <v>2415</v>
      </c>
    </row>
    <row r="36" spans="1:40" ht="16.5">
      <c r="A36" s="3" t="s">
        <v>24</v>
      </c>
      <c r="B36" s="400">
        <f>SUM(B37:B39)</f>
        <v>185</v>
      </c>
      <c r="C36" s="400">
        <f t="shared" ref="C36:AH36" si="31">SUM(C37:C39)</f>
        <v>204</v>
      </c>
      <c r="D36" s="400">
        <f t="shared" si="31"/>
        <v>188</v>
      </c>
      <c r="E36" s="400">
        <f t="shared" si="31"/>
        <v>187</v>
      </c>
      <c r="F36" s="400">
        <f t="shared" si="31"/>
        <v>169</v>
      </c>
      <c r="G36" s="400">
        <f t="shared" si="31"/>
        <v>183</v>
      </c>
      <c r="H36" s="400">
        <f t="shared" si="31"/>
        <v>199</v>
      </c>
      <c r="I36" s="400">
        <f t="shared" si="31"/>
        <v>335</v>
      </c>
      <c r="J36" s="400">
        <f t="shared" si="31"/>
        <v>230</v>
      </c>
      <c r="K36" s="400">
        <f t="shared" si="31"/>
        <v>313</v>
      </c>
      <c r="L36" s="400">
        <f t="shared" si="31"/>
        <v>329</v>
      </c>
      <c r="M36" s="400">
        <f t="shared" si="31"/>
        <v>282</v>
      </c>
      <c r="N36" s="400">
        <f t="shared" si="31"/>
        <v>390</v>
      </c>
      <c r="O36" s="400">
        <f t="shared" si="31"/>
        <v>329</v>
      </c>
      <c r="P36" s="400">
        <f t="shared" si="31"/>
        <v>227</v>
      </c>
      <c r="Q36" s="400">
        <f t="shared" si="31"/>
        <v>439</v>
      </c>
      <c r="R36" s="400">
        <f t="shared" si="31"/>
        <v>493</v>
      </c>
      <c r="S36" s="400">
        <f t="shared" si="31"/>
        <v>362</v>
      </c>
      <c r="T36" s="400">
        <f t="shared" si="31"/>
        <v>469</v>
      </c>
      <c r="U36" s="400">
        <f t="shared" si="31"/>
        <v>837</v>
      </c>
      <c r="V36" s="400">
        <f t="shared" si="31"/>
        <v>995</v>
      </c>
      <c r="W36" s="400">
        <f t="shared" si="31"/>
        <v>998</v>
      </c>
      <c r="X36" s="400">
        <f t="shared" si="31"/>
        <v>1379</v>
      </c>
      <c r="Y36" s="400">
        <f t="shared" si="31"/>
        <v>1332</v>
      </c>
      <c r="Z36" s="400">
        <f t="shared" si="31"/>
        <v>1428</v>
      </c>
      <c r="AA36" s="400">
        <f t="shared" si="31"/>
        <v>1496</v>
      </c>
      <c r="AB36" s="400">
        <f t="shared" si="31"/>
        <v>2169</v>
      </c>
      <c r="AC36" s="400">
        <f t="shared" si="31"/>
        <v>2067</v>
      </c>
      <c r="AD36" s="401">
        <f t="shared" si="31"/>
        <v>2425</v>
      </c>
      <c r="AE36" s="401">
        <f t="shared" si="31"/>
        <v>2476</v>
      </c>
      <c r="AF36" s="401">
        <f t="shared" si="31"/>
        <v>2677</v>
      </c>
      <c r="AG36" s="401">
        <f t="shared" si="31"/>
        <v>2677</v>
      </c>
      <c r="AH36" s="401">
        <f t="shared" si="31"/>
        <v>2677</v>
      </c>
      <c r="AL36" s="212">
        <v>2169</v>
      </c>
      <c r="AM36" s="212">
        <v>2067</v>
      </c>
      <c r="AN36" s="212">
        <v>2412</v>
      </c>
    </row>
    <row r="37" spans="1:40" ht="16.5">
      <c r="A37" s="3" t="s">
        <v>30</v>
      </c>
      <c r="B37" s="400">
        <v>0</v>
      </c>
      <c r="C37" s="400">
        <v>0</v>
      </c>
      <c r="D37" s="400">
        <v>0</v>
      </c>
      <c r="E37" s="400">
        <v>0</v>
      </c>
      <c r="F37" s="400">
        <v>0</v>
      </c>
      <c r="G37" s="400">
        <v>0</v>
      </c>
      <c r="H37" s="400">
        <v>0</v>
      </c>
      <c r="I37" s="400">
        <v>0</v>
      </c>
      <c r="J37" s="400">
        <v>0</v>
      </c>
      <c r="K37" s="400">
        <v>0</v>
      </c>
      <c r="L37" s="400">
        <v>0</v>
      </c>
      <c r="M37" s="400">
        <v>0</v>
      </c>
      <c r="N37" s="400">
        <v>0</v>
      </c>
      <c r="O37" s="400">
        <v>0</v>
      </c>
      <c r="P37" s="400">
        <v>0</v>
      </c>
      <c r="Q37" s="400">
        <v>0</v>
      </c>
      <c r="R37" s="400">
        <v>0</v>
      </c>
      <c r="S37" s="400">
        <v>0</v>
      </c>
      <c r="T37" s="400">
        <v>0</v>
      </c>
      <c r="U37" s="400">
        <v>0</v>
      </c>
      <c r="V37" s="400">
        <v>0</v>
      </c>
      <c r="W37" s="400">
        <v>0</v>
      </c>
      <c r="X37" s="400">
        <v>0</v>
      </c>
      <c r="Y37" s="400">
        <v>0</v>
      </c>
      <c r="Z37" s="400">
        <v>0</v>
      </c>
      <c r="AA37" s="400">
        <v>0</v>
      </c>
      <c r="AB37" s="400">
        <v>0</v>
      </c>
      <c r="AC37" s="400">
        <v>0</v>
      </c>
      <c r="AD37" s="401">
        <v>0</v>
      </c>
      <c r="AE37" s="401">
        <v>0</v>
      </c>
      <c r="AF37" s="401">
        <v>0</v>
      </c>
      <c r="AG37" s="401">
        <v>0</v>
      </c>
      <c r="AH37" s="401">
        <v>0</v>
      </c>
      <c r="AL37" s="223">
        <v>0</v>
      </c>
      <c r="AM37" s="223">
        <v>0</v>
      </c>
      <c r="AN37" s="223">
        <v>0</v>
      </c>
    </row>
    <row r="38" spans="1:40" ht="16.5">
      <c r="A38" s="3" t="s">
        <v>31</v>
      </c>
      <c r="B38" s="400">
        <v>0</v>
      </c>
      <c r="C38" s="400">
        <v>0</v>
      </c>
      <c r="D38" s="400">
        <v>0</v>
      </c>
      <c r="E38" s="400">
        <v>0</v>
      </c>
      <c r="F38" s="400">
        <v>0</v>
      </c>
      <c r="G38" s="400">
        <v>0</v>
      </c>
      <c r="H38" s="400">
        <v>0</v>
      </c>
      <c r="I38" s="400">
        <v>0</v>
      </c>
      <c r="J38" s="400">
        <v>0</v>
      </c>
      <c r="K38" s="400">
        <v>0</v>
      </c>
      <c r="L38" s="400">
        <v>0</v>
      </c>
      <c r="M38" s="400">
        <v>0</v>
      </c>
      <c r="N38" s="400">
        <v>0</v>
      </c>
      <c r="O38" s="400">
        <v>0</v>
      </c>
      <c r="P38" s="400">
        <v>0</v>
      </c>
      <c r="Q38" s="400">
        <v>0</v>
      </c>
      <c r="R38" s="400">
        <v>0</v>
      </c>
      <c r="S38" s="400">
        <v>0</v>
      </c>
      <c r="T38" s="400">
        <v>0</v>
      </c>
      <c r="U38" s="400">
        <v>0</v>
      </c>
      <c r="V38" s="400">
        <v>0</v>
      </c>
      <c r="W38" s="400">
        <v>0</v>
      </c>
      <c r="X38" s="400">
        <v>0</v>
      </c>
      <c r="Y38" s="400">
        <v>0</v>
      </c>
      <c r="Z38" s="400">
        <v>0</v>
      </c>
      <c r="AA38" s="400">
        <v>0</v>
      </c>
      <c r="AB38" s="400">
        <v>0</v>
      </c>
      <c r="AC38" s="400">
        <v>0</v>
      </c>
      <c r="AD38" s="401">
        <v>0</v>
      </c>
      <c r="AE38" s="401">
        <v>0</v>
      </c>
      <c r="AF38" s="401">
        <v>0</v>
      </c>
      <c r="AG38" s="401">
        <v>0</v>
      </c>
      <c r="AH38" s="401">
        <v>0</v>
      </c>
      <c r="AL38" s="223">
        <v>0</v>
      </c>
      <c r="AM38" s="223">
        <v>0</v>
      </c>
      <c r="AN38" s="223">
        <v>0</v>
      </c>
    </row>
    <row r="39" spans="1:40" ht="16.5">
      <c r="A39" s="3" t="s">
        <v>32</v>
      </c>
      <c r="B39" s="400">
        <v>185</v>
      </c>
      <c r="C39" s="400">
        <v>204</v>
      </c>
      <c r="D39" s="400">
        <v>188</v>
      </c>
      <c r="E39" s="400">
        <v>187</v>
      </c>
      <c r="F39" s="400">
        <v>169</v>
      </c>
      <c r="G39" s="400">
        <v>183</v>
      </c>
      <c r="H39" s="400">
        <v>199</v>
      </c>
      <c r="I39" s="400">
        <v>335</v>
      </c>
      <c r="J39" s="400">
        <v>230</v>
      </c>
      <c r="K39" s="400">
        <v>313</v>
      </c>
      <c r="L39" s="400">
        <v>329</v>
      </c>
      <c r="M39" s="400">
        <v>282</v>
      </c>
      <c r="N39" s="400">
        <v>390</v>
      </c>
      <c r="O39" s="400">
        <v>329</v>
      </c>
      <c r="P39" s="400">
        <v>227</v>
      </c>
      <c r="Q39" s="400">
        <v>439</v>
      </c>
      <c r="R39" s="400">
        <v>493</v>
      </c>
      <c r="S39" s="400">
        <v>362</v>
      </c>
      <c r="T39" s="400">
        <v>469</v>
      </c>
      <c r="U39" s="400">
        <v>837</v>
      </c>
      <c r="V39" s="400">
        <v>995</v>
      </c>
      <c r="W39" s="400">
        <v>998</v>
      </c>
      <c r="X39" s="400">
        <v>1379</v>
      </c>
      <c r="Y39" s="400">
        <v>1332</v>
      </c>
      <c r="Z39" s="400">
        <v>1428</v>
      </c>
      <c r="AA39" s="400">
        <v>1496</v>
      </c>
      <c r="AB39" s="400">
        <v>2169</v>
      </c>
      <c r="AC39" s="400">
        <v>2067</v>
      </c>
      <c r="AD39" s="401">
        <v>2425</v>
      </c>
      <c r="AE39" s="401">
        <f>2926-1250+800</f>
        <v>2476</v>
      </c>
      <c r="AF39" s="401">
        <f>2998-1071+750</f>
        <v>2677</v>
      </c>
      <c r="AG39" s="401">
        <f t="shared" ref="AG39:AH39" si="32">2998-1071+750</f>
        <v>2677</v>
      </c>
      <c r="AH39" s="401">
        <f t="shared" si="32"/>
        <v>2677</v>
      </c>
      <c r="AL39" s="212">
        <v>2169</v>
      </c>
      <c r="AM39" s="212">
        <v>2067</v>
      </c>
      <c r="AN39" s="212">
        <v>2412</v>
      </c>
    </row>
    <row r="40" spans="1:40" ht="16.5">
      <c r="A40" s="3" t="s">
        <v>9</v>
      </c>
      <c r="B40" s="400">
        <v>0</v>
      </c>
      <c r="C40" s="400">
        <v>0.4</v>
      </c>
      <c r="D40" s="400">
        <f t="shared" ref="D40:AC40" si="33">D283</f>
        <v>1.1331929999999999</v>
      </c>
      <c r="E40" s="400">
        <f t="shared" si="33"/>
        <v>2.106608</v>
      </c>
      <c r="F40" s="400">
        <f t="shared" si="33"/>
        <v>0.35528700000000002</v>
      </c>
      <c r="G40" s="400">
        <f t="shared" si="33"/>
        <v>6.8999999999999997E-5</v>
      </c>
      <c r="H40" s="400">
        <f t="shared" si="33"/>
        <v>4.5154E-2</v>
      </c>
      <c r="I40" s="400">
        <f t="shared" si="33"/>
        <v>0.17759999999999998</v>
      </c>
      <c r="J40" s="400">
        <f t="shared" si="33"/>
        <v>0.7425400000000002</v>
      </c>
      <c r="K40" s="400">
        <f t="shared" si="33"/>
        <v>0.72404799999999991</v>
      </c>
      <c r="L40" s="400">
        <f t="shared" si="33"/>
        <v>2.2645999999999996E-2</v>
      </c>
      <c r="M40" s="400">
        <f t="shared" si="33"/>
        <v>9.5579999999999998E-2</v>
      </c>
      <c r="N40" s="400">
        <f t="shared" si="33"/>
        <v>1.2613549999999996</v>
      </c>
      <c r="O40" s="400">
        <f t="shared" si="33"/>
        <v>7.400000000000001E-2</v>
      </c>
      <c r="P40" s="400">
        <f t="shared" si="33"/>
        <v>2.8590000000000004</v>
      </c>
      <c r="Q40" s="400">
        <f t="shared" si="33"/>
        <v>0.55200000000000005</v>
      </c>
      <c r="R40" s="400">
        <f t="shared" si="33"/>
        <v>0.17900000000000002</v>
      </c>
      <c r="S40" s="400">
        <f t="shared" si="33"/>
        <v>0.84199999999999997</v>
      </c>
      <c r="T40" s="400">
        <f t="shared" si="33"/>
        <v>1.2189999999999999</v>
      </c>
      <c r="U40" s="400">
        <f t="shared" si="33"/>
        <v>1.17</v>
      </c>
      <c r="V40" s="400">
        <f t="shared" si="33"/>
        <v>1.831</v>
      </c>
      <c r="W40" s="400">
        <f t="shared" si="33"/>
        <v>1.6419999999999999</v>
      </c>
      <c r="X40" s="400">
        <f t="shared" si="33"/>
        <v>1.0779999999999998</v>
      </c>
      <c r="Y40" s="400">
        <f t="shared" si="33"/>
        <v>1.5250680000000001</v>
      </c>
      <c r="Z40" s="400">
        <f t="shared" si="33"/>
        <v>2.190922</v>
      </c>
      <c r="AA40" s="400">
        <f t="shared" si="33"/>
        <v>2.3738030000000001</v>
      </c>
      <c r="AB40" s="400">
        <f t="shared" si="33"/>
        <v>3.130077</v>
      </c>
      <c r="AC40" s="400">
        <f t="shared" si="33"/>
        <v>2.6532400000000003</v>
      </c>
      <c r="AD40" s="401">
        <v>3</v>
      </c>
      <c r="AE40" s="401">
        <f>AE41-AE36</f>
        <v>2.9907875851113204</v>
      </c>
      <c r="AF40" s="401">
        <f>AF41-AF36</f>
        <v>3.0372888880610844</v>
      </c>
      <c r="AG40" s="401">
        <f t="shared" ref="AG40:AH40" si="34">AG41-AG36</f>
        <v>3.6173758611212179</v>
      </c>
      <c r="AH40" s="401">
        <f t="shared" si="34"/>
        <v>3.827606210527847</v>
      </c>
      <c r="AL40" s="223">
        <v>3</v>
      </c>
      <c r="AM40" s="223">
        <v>3</v>
      </c>
      <c r="AN40" s="223">
        <v>3</v>
      </c>
    </row>
    <row r="41" spans="1:40" ht="16.5">
      <c r="A41" s="221" t="s">
        <v>12</v>
      </c>
      <c r="B41" s="413">
        <f>B35-B42</f>
        <v>185</v>
      </c>
      <c r="C41" s="413">
        <f t="shared" ref="C41:AH41" si="35">C35-C42</f>
        <v>204.37376399999999</v>
      </c>
      <c r="D41" s="413">
        <f t="shared" si="35"/>
        <v>189.13319300000001</v>
      </c>
      <c r="E41" s="413">
        <f t="shared" si="35"/>
        <v>189.10660800000002</v>
      </c>
      <c r="F41" s="413">
        <f t="shared" si="35"/>
        <v>169.355287</v>
      </c>
      <c r="G41" s="413">
        <f t="shared" si="35"/>
        <v>183.00006899999994</v>
      </c>
      <c r="H41" s="413">
        <f t="shared" si="35"/>
        <v>199.045154</v>
      </c>
      <c r="I41" s="413">
        <f t="shared" si="35"/>
        <v>335.1776000000001</v>
      </c>
      <c r="J41" s="413">
        <f t="shared" si="35"/>
        <v>230.74254000000008</v>
      </c>
      <c r="K41" s="413">
        <f t="shared" si="35"/>
        <v>313.72404799999993</v>
      </c>
      <c r="L41" s="413">
        <f t="shared" si="35"/>
        <v>329.02264600000007</v>
      </c>
      <c r="M41" s="413">
        <f t="shared" si="35"/>
        <v>282.09558000000004</v>
      </c>
      <c r="N41" s="413">
        <f t="shared" si="35"/>
        <v>391.26135499999998</v>
      </c>
      <c r="O41" s="413">
        <f t="shared" si="35"/>
        <v>329.07400000000001</v>
      </c>
      <c r="P41" s="413">
        <f t="shared" si="35"/>
        <v>229.85900000000001</v>
      </c>
      <c r="Q41" s="413">
        <f t="shared" si="35"/>
        <v>439.55200000000013</v>
      </c>
      <c r="R41" s="413">
        <f t="shared" si="35"/>
        <v>493.17899999999986</v>
      </c>
      <c r="S41" s="413">
        <f t="shared" si="35"/>
        <v>362.84199999999998</v>
      </c>
      <c r="T41" s="413">
        <f t="shared" si="35"/>
        <v>470.21900000000011</v>
      </c>
      <c r="U41" s="413">
        <f t="shared" si="35"/>
        <v>838.16999999999985</v>
      </c>
      <c r="V41" s="413">
        <f t="shared" si="35"/>
        <v>996.8309999999999</v>
      </c>
      <c r="W41" s="413">
        <f t="shared" si="35"/>
        <v>999.64200000000005</v>
      </c>
      <c r="X41" s="413">
        <f t="shared" si="35"/>
        <v>1380.078</v>
      </c>
      <c r="Y41" s="413">
        <f t="shared" si="35"/>
        <v>1333.5250679999999</v>
      </c>
      <c r="Z41" s="413">
        <f t="shared" si="35"/>
        <v>1430.190922</v>
      </c>
      <c r="AA41" s="413">
        <f t="shared" si="35"/>
        <v>1498.3738030000002</v>
      </c>
      <c r="AB41" s="413">
        <f t="shared" si="35"/>
        <v>2172.1300770000003</v>
      </c>
      <c r="AC41" s="413">
        <f t="shared" si="35"/>
        <v>2069.8801021578947</v>
      </c>
      <c r="AD41" s="414">
        <f t="shared" si="35"/>
        <v>1102.6536312849162</v>
      </c>
      <c r="AE41" s="414">
        <f t="shared" si="35"/>
        <v>2478.9907875851113</v>
      </c>
      <c r="AF41" s="414">
        <f t="shared" si="35"/>
        <v>2680.0372888880611</v>
      </c>
      <c r="AG41" s="414">
        <f t="shared" si="35"/>
        <v>2680.6173758611212</v>
      </c>
      <c r="AH41" s="414">
        <f t="shared" si="35"/>
        <v>2680.8276062105278</v>
      </c>
      <c r="AL41" s="226"/>
      <c r="AM41" s="226"/>
      <c r="AN41" s="201"/>
    </row>
    <row r="42" spans="1:40" ht="16.5">
      <c r="A42" s="3" t="s">
        <v>317</v>
      </c>
      <c r="B42" s="400">
        <v>0</v>
      </c>
      <c r="C42" s="400">
        <v>0</v>
      </c>
      <c r="D42" s="400">
        <v>0</v>
      </c>
      <c r="E42" s="400">
        <v>0</v>
      </c>
      <c r="F42" s="400">
        <v>0</v>
      </c>
      <c r="G42" s="400">
        <v>0</v>
      </c>
      <c r="H42" s="400">
        <v>0</v>
      </c>
      <c r="I42" s="400">
        <v>0</v>
      </c>
      <c r="J42" s="400">
        <v>0</v>
      </c>
      <c r="K42" s="400">
        <v>0</v>
      </c>
      <c r="L42" s="400">
        <v>0</v>
      </c>
      <c r="M42" s="400">
        <v>0</v>
      </c>
      <c r="N42" s="400">
        <v>0</v>
      </c>
      <c r="O42" s="400">
        <v>0</v>
      </c>
      <c r="P42" s="400">
        <v>0</v>
      </c>
      <c r="Q42" s="400">
        <v>0</v>
      </c>
      <c r="R42" s="400">
        <v>0</v>
      </c>
      <c r="S42" s="400">
        <v>0</v>
      </c>
      <c r="T42" s="400">
        <v>0</v>
      </c>
      <c r="U42" s="400">
        <v>0</v>
      </c>
      <c r="V42" s="400">
        <v>0</v>
      </c>
      <c r="W42" s="400">
        <v>0</v>
      </c>
      <c r="X42" s="400">
        <v>0</v>
      </c>
      <c r="Y42" s="400">
        <v>0</v>
      </c>
      <c r="Z42" s="400">
        <v>0</v>
      </c>
      <c r="AA42" s="400">
        <v>0</v>
      </c>
      <c r="AB42" s="400">
        <v>0</v>
      </c>
      <c r="AC42" s="400">
        <v>0</v>
      </c>
      <c r="AD42" s="401">
        <v>0</v>
      </c>
      <c r="AE42" s="401">
        <v>0</v>
      </c>
      <c r="AF42" s="401">
        <v>0</v>
      </c>
      <c r="AG42" s="401">
        <v>0</v>
      </c>
      <c r="AH42" s="401">
        <v>0</v>
      </c>
      <c r="AL42" s="223">
        <v>0</v>
      </c>
      <c r="AM42" s="223">
        <v>0</v>
      </c>
      <c r="AN42" s="223">
        <v>0</v>
      </c>
    </row>
    <row r="43" spans="1:40" ht="15.75" thickBot="1">
      <c r="A43" s="3" t="s">
        <v>225</v>
      </c>
      <c r="AN43" s="201"/>
    </row>
    <row r="44" spans="1:40">
      <c r="A44" s="25" t="s">
        <v>319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N44" s="201"/>
    </row>
    <row r="45" spans="1:40">
      <c r="A45" s="234"/>
      <c r="B45" s="234">
        <v>1993</v>
      </c>
      <c r="C45" s="234">
        <v>1994</v>
      </c>
      <c r="D45" s="234">
        <v>1995</v>
      </c>
      <c r="E45" s="234">
        <v>1996</v>
      </c>
      <c r="F45" s="234">
        <v>1997</v>
      </c>
      <c r="G45" s="234">
        <v>1998</v>
      </c>
      <c r="H45" s="234">
        <v>1999</v>
      </c>
      <c r="I45" s="234">
        <v>2000</v>
      </c>
      <c r="J45" s="234">
        <v>2001</v>
      </c>
      <c r="K45" s="234">
        <v>2002</v>
      </c>
      <c r="L45" s="234">
        <v>2003</v>
      </c>
      <c r="M45" s="234">
        <v>2004</v>
      </c>
      <c r="N45" s="234">
        <v>2005</v>
      </c>
      <c r="O45" s="234">
        <v>2006</v>
      </c>
      <c r="P45" s="234">
        <v>2007</v>
      </c>
      <c r="Q45" s="234">
        <v>2008</v>
      </c>
      <c r="R45" s="234">
        <v>2009</v>
      </c>
      <c r="S45" s="234">
        <v>2010</v>
      </c>
      <c r="T45" s="234">
        <v>2011</v>
      </c>
      <c r="U45" s="234">
        <v>2012</v>
      </c>
      <c r="V45" s="234">
        <v>2013</v>
      </c>
      <c r="W45" s="234">
        <v>2014</v>
      </c>
      <c r="X45" s="234">
        <v>2015</v>
      </c>
      <c r="Y45" s="234">
        <v>2016</v>
      </c>
      <c r="Z45" s="234">
        <v>2017</v>
      </c>
      <c r="AA45" s="234">
        <v>2018</v>
      </c>
      <c r="AB45" s="234">
        <v>2019</v>
      </c>
      <c r="AC45" s="234">
        <v>2020</v>
      </c>
      <c r="AD45" s="234">
        <v>2021</v>
      </c>
      <c r="AE45" s="234">
        <v>2022</v>
      </c>
      <c r="AF45" s="234">
        <v>2023</v>
      </c>
      <c r="AG45" s="234">
        <v>2024</v>
      </c>
      <c r="AH45" s="234">
        <v>2025</v>
      </c>
      <c r="AI45" s="234">
        <v>2026</v>
      </c>
      <c r="AL45" s="234"/>
      <c r="AN45" s="201"/>
    </row>
    <row r="46" spans="1:40" ht="15.75" thickBot="1">
      <c r="A46" s="235" t="s">
        <v>228</v>
      </c>
      <c r="B46" s="353">
        <f t="shared" ref="B46:AB46" si="36">B15/B11</f>
        <v>0.33775351014040561</v>
      </c>
      <c r="C46" s="353">
        <f t="shared" si="36"/>
        <v>0.33822760420914072</v>
      </c>
      <c r="D46" s="353">
        <f t="shared" si="36"/>
        <v>0.36114060834190193</v>
      </c>
      <c r="E46" s="353">
        <f t="shared" si="36"/>
        <v>0.3645167200144131</v>
      </c>
      <c r="F46" s="353">
        <f t="shared" si="36"/>
        <v>0.36635485342006097</v>
      </c>
      <c r="G46" s="353">
        <f t="shared" si="36"/>
        <v>0.41424436941197756</v>
      </c>
      <c r="H46" s="353">
        <f t="shared" si="36"/>
        <v>0.47097519539923755</v>
      </c>
      <c r="I46" s="353">
        <f t="shared" si="36"/>
        <v>0.49464974309066378</v>
      </c>
      <c r="J46" s="353">
        <f t="shared" si="36"/>
        <v>0.53673120406513497</v>
      </c>
      <c r="K46" s="353">
        <f t="shared" si="36"/>
        <v>0.52585669702558435</v>
      </c>
      <c r="L46" s="353">
        <f t="shared" si="36"/>
        <v>0.50473068779555874</v>
      </c>
      <c r="M46" s="353">
        <f t="shared" si="36"/>
        <v>0.41694161175597944</v>
      </c>
      <c r="N46" s="353">
        <f t="shared" si="36"/>
        <v>0.37723214350147166</v>
      </c>
      <c r="O46" s="353">
        <f t="shared" si="36"/>
        <v>0.47554626678220774</v>
      </c>
      <c r="P46" s="353">
        <f t="shared" si="36"/>
        <v>0.46290243663763581</v>
      </c>
      <c r="Q46" s="353">
        <f t="shared" si="36"/>
        <v>0.502508550966971</v>
      </c>
      <c r="R46" s="353">
        <f t="shared" si="36"/>
        <v>0.47719476380806092</v>
      </c>
      <c r="S46" s="353">
        <f t="shared" si="36"/>
        <v>0.44832543604442771</v>
      </c>
      <c r="T46" s="353">
        <f t="shared" si="36"/>
        <v>0.42187614888016345</v>
      </c>
      <c r="U46" s="353">
        <f t="shared" si="36"/>
        <v>0.3688888262827022</v>
      </c>
      <c r="V46" s="353">
        <f t="shared" si="36"/>
        <v>0.40932934522820236</v>
      </c>
      <c r="W46" s="353">
        <f t="shared" si="36"/>
        <v>0.40073180273752024</v>
      </c>
      <c r="X46" s="353">
        <f t="shared" si="36"/>
        <v>0.38558501928108879</v>
      </c>
      <c r="Y46" s="353">
        <f t="shared" si="36"/>
        <v>0.29722983393397762</v>
      </c>
      <c r="Z46" s="353">
        <f t="shared" si="36"/>
        <v>0.32367115686820036</v>
      </c>
      <c r="AA46" s="353">
        <f t="shared" si="36"/>
        <v>0.36527686690441324</v>
      </c>
      <c r="AB46" s="353">
        <f t="shared" si="36"/>
        <v>0.29989843095316648</v>
      </c>
      <c r="AC46" s="353">
        <f>AC15/AC11</f>
        <v>0.33952943642214262</v>
      </c>
      <c r="AD46" s="353">
        <f>AD15/AD11</f>
        <v>0.29250510352872555</v>
      </c>
      <c r="AN46" s="201"/>
    </row>
    <row r="47" spans="1:40" ht="15.75" thickBot="1">
      <c r="A47" s="236"/>
      <c r="B47" s="237" t="str">
        <f>B$2</f>
        <v xml:space="preserve">93/94 </v>
      </c>
      <c r="C47" s="237" t="str">
        <f t="shared" ref="C47:AH47" si="37">C$2</f>
        <v xml:space="preserve">94/95 </v>
      </c>
      <c r="D47" s="237" t="str">
        <f t="shared" si="37"/>
        <v xml:space="preserve">95/96 </v>
      </c>
      <c r="E47" s="237" t="str">
        <f t="shared" si="37"/>
        <v xml:space="preserve">96/97 </v>
      </c>
      <c r="F47" s="237" t="str">
        <f t="shared" si="37"/>
        <v xml:space="preserve">97/98 </v>
      </c>
      <c r="G47" s="237" t="str">
        <f t="shared" si="37"/>
        <v xml:space="preserve">98/99 </v>
      </c>
      <c r="H47" s="237" t="str">
        <f t="shared" si="37"/>
        <v xml:space="preserve">99/00 </v>
      </c>
      <c r="I47" s="237" t="str">
        <f t="shared" si="37"/>
        <v xml:space="preserve">00/01 </v>
      </c>
      <c r="J47" s="237" t="str">
        <f t="shared" si="37"/>
        <v xml:space="preserve">01/02 </v>
      </c>
      <c r="K47" s="237" t="str">
        <f t="shared" si="37"/>
        <v xml:space="preserve">02/03 </v>
      </c>
      <c r="L47" s="237" t="str">
        <f t="shared" si="37"/>
        <v xml:space="preserve">03/04 </v>
      </c>
      <c r="M47" s="237" t="str">
        <f t="shared" si="37"/>
        <v xml:space="preserve">04/05 </v>
      </c>
      <c r="N47" s="237" t="str">
        <f t="shared" si="37"/>
        <v xml:space="preserve">05/06 </v>
      </c>
      <c r="O47" s="237" t="str">
        <f t="shared" si="37"/>
        <v xml:space="preserve">06/07 </v>
      </c>
      <c r="P47" s="237" t="str">
        <f t="shared" si="37"/>
        <v xml:space="preserve">07/08 </v>
      </c>
      <c r="Q47" s="237" t="str">
        <f t="shared" si="37"/>
        <v xml:space="preserve">08/09 </v>
      </c>
      <c r="R47" s="237" t="str">
        <f t="shared" si="37"/>
        <v xml:space="preserve">09/10 </v>
      </c>
      <c r="S47" s="237" t="str">
        <f t="shared" si="37"/>
        <v xml:space="preserve">10/11 </v>
      </c>
      <c r="T47" s="237" t="str">
        <f t="shared" si="37"/>
        <v xml:space="preserve">11/12 </v>
      </c>
      <c r="U47" s="237" t="str">
        <f t="shared" si="37"/>
        <v xml:space="preserve">12/13 </v>
      </c>
      <c r="V47" s="237" t="str">
        <f t="shared" si="37"/>
        <v xml:space="preserve">13/14 </v>
      </c>
      <c r="W47" s="237" t="str">
        <f t="shared" si="37"/>
        <v xml:space="preserve">14/15 </v>
      </c>
      <c r="X47" s="237" t="str">
        <f t="shared" si="37"/>
        <v xml:space="preserve">15/16 </v>
      </c>
      <c r="Y47" s="237" t="str">
        <f t="shared" si="37"/>
        <v xml:space="preserve">16/17 </v>
      </c>
      <c r="Z47" s="237" t="str">
        <f t="shared" si="37"/>
        <v xml:space="preserve">17/18 </v>
      </c>
      <c r="AA47" s="237" t="str">
        <f t="shared" si="37"/>
        <v xml:space="preserve">18/19 </v>
      </c>
      <c r="AB47" s="237" t="str">
        <f t="shared" si="37"/>
        <v xml:space="preserve">19/20 </v>
      </c>
      <c r="AC47" s="237" t="str">
        <f t="shared" si="37"/>
        <v xml:space="preserve">20/21 </v>
      </c>
      <c r="AD47" s="237" t="str">
        <f t="shared" si="37"/>
        <v xml:space="preserve">21/22 </v>
      </c>
      <c r="AE47" s="237" t="str">
        <f t="shared" si="37"/>
        <v xml:space="preserve">22/23 </v>
      </c>
      <c r="AF47" s="237" t="str">
        <f t="shared" si="37"/>
        <v>23/24</v>
      </c>
      <c r="AG47" s="237" t="str">
        <f t="shared" si="37"/>
        <v>23/25</v>
      </c>
      <c r="AH47" s="237" t="str">
        <f t="shared" si="37"/>
        <v>23/26</v>
      </c>
      <c r="AN47" s="201"/>
    </row>
    <row r="48" spans="1:40">
      <c r="A48" s="240" t="s">
        <v>239</v>
      </c>
      <c r="B48" s="241">
        <f>(SUM(K48:O48)/SUM(K$60:O$60))*B$60</f>
        <v>0</v>
      </c>
      <c r="C48" s="241">
        <v>0.1</v>
      </c>
      <c r="D48" s="242">
        <f>'[2]China Sunflower Imports'!BD$290</f>
        <v>0</v>
      </c>
      <c r="E48" s="242">
        <f>'[2]China Sunflower Imports'!BP$290</f>
        <v>0.174202</v>
      </c>
      <c r="F48" s="242">
        <f>'[2]China Sunflower Imports'!CB$290</f>
        <v>0.304923</v>
      </c>
      <c r="G48" s="242">
        <f>'[2]China Sunflower Imports'!CN$290</f>
        <v>0.397617</v>
      </c>
      <c r="H48" s="242">
        <f>'[2]China Sunflower Imports'!CZ$290</f>
        <v>0.35712899999999997</v>
      </c>
      <c r="I48" s="242">
        <f>'[2]China Sunflower Imports'!DL$290</f>
        <v>0.20378099999999999</v>
      </c>
      <c r="J48" s="242">
        <f>'[2]China Sunflower Imports'!DX$290</f>
        <v>2.0136000000000001E-2</v>
      </c>
      <c r="K48" s="242">
        <f>'[2]China Sunflower Imports'!EJ$290</f>
        <v>0.140712</v>
      </c>
      <c r="L48" s="242">
        <f>'[2]China Sunflower Imports'!EV$290</f>
        <v>2.0417000000000001E-2</v>
      </c>
      <c r="M48" s="242">
        <f>'[2]China Sunflower Imports'!FH$290</f>
        <v>2.0000000000000002E-5</v>
      </c>
      <c r="N48" s="242">
        <f>'[2]China Sunflower Imports'!FT$290</f>
        <v>2.0048E-2</v>
      </c>
      <c r="O48" s="242">
        <f>'[2]China Sunflower Imports'!GF$290</f>
        <v>0.20399999999999999</v>
      </c>
      <c r="P48" s="242">
        <f>'[2]China Sunflower Imports'!GR$290</f>
        <v>1.7999999999999999E-2</v>
      </c>
      <c r="Q48" s="242">
        <f>'[2]China Sunflower Imports'!HD$290</f>
        <v>0</v>
      </c>
      <c r="R48" s="242">
        <f>'[2]China Sunflower Imports'!HP$290</f>
        <v>0</v>
      </c>
      <c r="S48" s="242">
        <f>'[2]China Sunflower Imports'!IB$290</f>
        <v>4.2000000000000003E-2</v>
      </c>
      <c r="T48" s="242">
        <f>'[2]China Sunflower Imports'!IN$290</f>
        <v>8.5000000000000006E-2</v>
      </c>
      <c r="U48" s="242">
        <f>'[2]China Sunflower Imports'!IZ$290</f>
        <v>0</v>
      </c>
      <c r="V48" s="242">
        <f>'[2]China Sunflower Imports'!JL$290</f>
        <v>0.105</v>
      </c>
      <c r="W48" s="242">
        <f>'[2]China Sunflower Imports'!JX$290</f>
        <v>0.13900000000000001</v>
      </c>
      <c r="X48" s="242">
        <f>'[2]China Sunflower Imports'!KJ$290</f>
        <v>0.621</v>
      </c>
      <c r="Y48" s="242">
        <f>'[2]China Sunflower Imports'!KV$290</f>
        <v>4.8899999999999997</v>
      </c>
      <c r="Z48" s="242">
        <f>'[2]China Sunflower Imports'!LH$290</f>
        <v>5.9770000000000003</v>
      </c>
      <c r="AA48" s="242">
        <f>'[2]China Sunflower Imports'!LT$290</f>
        <v>8.5709920000000004</v>
      </c>
      <c r="AB48" s="242">
        <f>'[2]China Sunflower Imports'!MF$290</f>
        <v>15.490161000000001</v>
      </c>
      <c r="AC48" s="242">
        <f>'[2]China Sunflower Imports'!MR$290</f>
        <v>14.974231</v>
      </c>
      <c r="AD48" s="242">
        <f>'[2]China Sunflower Imports'!ND$290</f>
        <v>5.09</v>
      </c>
      <c r="AE48" s="243">
        <f t="shared" ref="AD48:AF58" si="38">(SUM(Y48:AC48)/SUM(Y$60:AC$60))*AE$60</f>
        <v>11.985767021993695</v>
      </c>
      <c r="AF48" s="243">
        <f t="shared" si="38"/>
        <v>11.562363759618528</v>
      </c>
      <c r="AG48" s="243">
        <f t="shared" ref="AG48:AG58" si="39">(SUM(AA48:AE48)/SUM(AA$60:AE$60))*AG$60</f>
        <v>11.83304806300972</v>
      </c>
      <c r="AH48" s="243">
        <f t="shared" ref="AH48:AH58" si="40">(SUM(AB48:AF48)/SUM(AB$60:AF$60))*AH$60</f>
        <v>12.797637823544639</v>
      </c>
      <c r="AN48" s="201"/>
    </row>
    <row r="49" spans="1:40">
      <c r="A49" s="240" t="s">
        <v>240</v>
      </c>
      <c r="B49" s="241">
        <f t="shared" ref="B49:B58" si="41">(SUM(K49:O49)/SUM(K$60:O$60))*B$60</f>
        <v>0</v>
      </c>
      <c r="C49" s="241">
        <v>0</v>
      </c>
      <c r="D49" s="242">
        <f>'[2]China Sunflower Imports'!BE$290</f>
        <v>0</v>
      </c>
      <c r="E49" s="242">
        <f>'[2]China Sunflower Imports'!BQ$290</f>
        <v>7.8780000000000003E-2</v>
      </c>
      <c r="F49" s="242">
        <f>'[2]China Sunflower Imports'!CC$290</f>
        <v>0.39901999999999999</v>
      </c>
      <c r="G49" s="242">
        <f>'[2]China Sunflower Imports'!CO$290</f>
        <v>0.67330599999999996</v>
      </c>
      <c r="H49" s="242">
        <f>'[2]China Sunflower Imports'!DA$290</f>
        <v>0.63186200000000003</v>
      </c>
      <c r="I49" s="242">
        <f>'[2]China Sunflower Imports'!DM$290</f>
        <v>0.64195999999999998</v>
      </c>
      <c r="J49" s="242">
        <f>'[2]China Sunflower Imports'!DY$290</f>
        <v>0.44565900000000003</v>
      </c>
      <c r="K49" s="242">
        <f>'[2]China Sunflower Imports'!EK$290</f>
        <v>4.0924000000000002E-2</v>
      </c>
      <c r="L49" s="242">
        <f>'[2]China Sunflower Imports'!EW$290</f>
        <v>0.17515600000000001</v>
      </c>
      <c r="M49" s="242">
        <f>'[2]China Sunflower Imports'!FI$290</f>
        <v>1.8148999999999998E-2</v>
      </c>
      <c r="N49" s="242">
        <f>'[2]China Sunflower Imports'!FU$290</f>
        <v>1.11E-4</v>
      </c>
      <c r="O49" s="242">
        <f>'[2]China Sunflower Imports'!GG$290</f>
        <v>0.49299999999999999</v>
      </c>
      <c r="P49" s="242">
        <f>'[2]China Sunflower Imports'!GS$290</f>
        <v>1.7999999999999999E-2</v>
      </c>
      <c r="Q49" s="242">
        <f>'[2]China Sunflower Imports'!HE$290</f>
        <v>7.2999999999999995E-2</v>
      </c>
      <c r="R49" s="242">
        <f>'[2]China Sunflower Imports'!HQ$290</f>
        <v>0.32300000000000001</v>
      </c>
      <c r="S49" s="242">
        <f>'[2]China Sunflower Imports'!IC$290</f>
        <v>4.7E-2</v>
      </c>
      <c r="T49" s="242">
        <f>'[2]China Sunflower Imports'!IO$290</f>
        <v>8.1000000000000003E-2</v>
      </c>
      <c r="U49" s="242">
        <f>'[2]China Sunflower Imports'!JA$290</f>
        <v>0</v>
      </c>
      <c r="V49" s="242">
        <f>'[2]China Sunflower Imports'!JM$290</f>
        <v>0.186</v>
      </c>
      <c r="W49" s="242">
        <f>'[2]China Sunflower Imports'!JY$290</f>
        <v>1.2529999999999999</v>
      </c>
      <c r="X49" s="242">
        <f>'[2]China Sunflower Imports'!KK$290</f>
        <v>7.1929999999999996</v>
      </c>
      <c r="Y49" s="242">
        <f>'[2]China Sunflower Imports'!KW$290</f>
        <v>9.74</v>
      </c>
      <c r="Z49" s="242">
        <f>'[2]China Sunflower Imports'!LI$290</f>
        <v>18.631</v>
      </c>
      <c r="AA49" s="242">
        <f>'[2]China Sunflower Imports'!LU$290</f>
        <v>19.092611000000002</v>
      </c>
      <c r="AB49" s="242">
        <f>'[2]China Sunflower Imports'!MG$290</f>
        <v>44.242601000000001</v>
      </c>
      <c r="AC49" s="242">
        <f>'[2]China Sunflower Imports'!MS$290</f>
        <v>22.477394</v>
      </c>
      <c r="AD49" s="242">
        <f>'[2]China Sunflower Imports'!NE$290</f>
        <v>6.359</v>
      </c>
      <c r="AE49" s="243">
        <f t="shared" si="38"/>
        <v>27.42510456508694</v>
      </c>
      <c r="AF49" s="243">
        <f t="shared" si="38"/>
        <v>25.570440641820369</v>
      </c>
      <c r="AG49" s="243">
        <f t="shared" si="39"/>
        <v>25.221254572728824</v>
      </c>
      <c r="AH49" s="243">
        <f t="shared" si="40"/>
        <v>27.299279766783314</v>
      </c>
      <c r="AN49" s="201"/>
    </row>
    <row r="50" spans="1:40">
      <c r="A50" s="240" t="s">
        <v>241</v>
      </c>
      <c r="B50" s="241">
        <f t="shared" si="41"/>
        <v>0</v>
      </c>
      <c r="C50" s="241">
        <v>0.1</v>
      </c>
      <c r="D50" s="242">
        <f>'[2]China Sunflower Imports'!BF$290</f>
        <v>5.9873999999999997E-2</v>
      </c>
      <c r="E50" s="242">
        <f>'[2]China Sunflower Imports'!BR$290</f>
        <v>3.9909E-2</v>
      </c>
      <c r="F50" s="242">
        <f>'[2]China Sunflower Imports'!CD$290</f>
        <v>0.89410199999999995</v>
      </c>
      <c r="G50" s="242">
        <f>'[2]China Sunflower Imports'!CP$290</f>
        <v>2.2241179999999998</v>
      </c>
      <c r="H50" s="242">
        <f>'[2]China Sunflower Imports'!DB$290</f>
        <v>0.97123599999999999</v>
      </c>
      <c r="I50" s="242">
        <f>'[2]China Sunflower Imports'!DN$290</f>
        <v>2.0372340000000002</v>
      </c>
      <c r="J50" s="242">
        <f>'[2]China Sunflower Imports'!DZ$290</f>
        <v>0.26420300000000002</v>
      </c>
      <c r="K50" s="242">
        <f>'[2]China Sunflower Imports'!EL$290</f>
        <v>0.21757799999999999</v>
      </c>
      <c r="L50" s="242">
        <f>'[2]China Sunflower Imports'!EX$290</f>
        <v>7.2833999999999996E-2</v>
      </c>
      <c r="M50" s="242">
        <f>'[2]China Sunflower Imports'!FJ$290</f>
        <v>0.29091</v>
      </c>
      <c r="N50" s="242">
        <f>'[2]China Sunflower Imports'!FV$290</f>
        <v>0.31900000000000001</v>
      </c>
      <c r="O50" s="242">
        <f>'[2]China Sunflower Imports'!GH$290</f>
        <v>0.85199999999999998</v>
      </c>
      <c r="P50" s="242">
        <f>'[2]China Sunflower Imports'!GT$290</f>
        <v>0.187</v>
      </c>
      <c r="Q50" s="242">
        <f>'[2]China Sunflower Imports'!HF$290</f>
        <v>0.65</v>
      </c>
      <c r="R50" s="242">
        <f>'[2]China Sunflower Imports'!HR$290</f>
        <v>0.56499999999999995</v>
      </c>
      <c r="S50" s="242">
        <f>'[2]China Sunflower Imports'!ID$290</f>
        <v>0.77100000000000002</v>
      </c>
      <c r="T50" s="242">
        <f>'[2]China Sunflower Imports'!IP$290</f>
        <v>1.014</v>
      </c>
      <c r="U50" s="242">
        <f>'[2]China Sunflower Imports'!JB$290</f>
        <v>1.1180000000000001</v>
      </c>
      <c r="V50" s="242">
        <f>'[2]China Sunflower Imports'!JN$290</f>
        <v>1.0429999999999999</v>
      </c>
      <c r="W50" s="242">
        <f>'[2]China Sunflower Imports'!JZ$290</f>
        <v>1.097</v>
      </c>
      <c r="X50" s="242">
        <f>'[2]China Sunflower Imports'!KL$290</f>
        <v>19.045999999999999</v>
      </c>
      <c r="Y50" s="242">
        <f>'[2]China Sunflower Imports'!KX$290</f>
        <v>15.085000000000001</v>
      </c>
      <c r="Z50" s="242">
        <f>'[2]China Sunflower Imports'!LJ$290</f>
        <v>21.914999999999999</v>
      </c>
      <c r="AA50" s="242">
        <f>'[2]China Sunflower Imports'!LV$290</f>
        <v>39.091127999999998</v>
      </c>
      <c r="AB50" s="242">
        <f>'[2]China Sunflower Imports'!MH$290</f>
        <v>76.629987999999997</v>
      </c>
      <c r="AC50" s="242">
        <f>'[2]China Sunflower Imports'!MT$290</f>
        <v>13.844139999999999</v>
      </c>
      <c r="AD50" s="242">
        <f>'[2]China Sunflower Imports'!NF$290</f>
        <v>12.635999999999999</v>
      </c>
      <c r="AE50" s="243">
        <f t="shared" si="38"/>
        <v>40.006352249117747</v>
      </c>
      <c r="AF50" s="243">
        <f t="shared" si="38"/>
        <v>37.873883421169673</v>
      </c>
      <c r="AG50" s="243">
        <f t="shared" si="39"/>
        <v>38.425007268390353</v>
      </c>
      <c r="AH50" s="243">
        <f t="shared" si="40"/>
        <v>39.190359646112995</v>
      </c>
      <c r="AN50" s="201"/>
    </row>
    <row r="51" spans="1:40">
      <c r="A51" s="240" t="s">
        <v>231</v>
      </c>
      <c r="B51" s="241">
        <f t="shared" si="41"/>
        <v>0</v>
      </c>
      <c r="C51" s="242">
        <f>'[2]China Sunflower Imports'!AU$290</f>
        <v>2.9937999999999999E-2</v>
      </c>
      <c r="D51" s="242">
        <f>'[2]China Sunflower Imports'!BG$290</f>
        <v>6.0000000000000002E-5</v>
      </c>
      <c r="E51" s="242">
        <f>'[2]China Sunflower Imports'!BS$290</f>
        <v>0.11860800000000001</v>
      </c>
      <c r="F51" s="242">
        <f>'[2]China Sunflower Imports'!CE$290</f>
        <v>0.57934399999999997</v>
      </c>
      <c r="G51" s="242">
        <f>'[2]China Sunflower Imports'!CQ$290</f>
        <v>2.6544880000000002</v>
      </c>
      <c r="H51" s="242">
        <f>'[2]China Sunflower Imports'!DC$290</f>
        <v>1.928285</v>
      </c>
      <c r="I51" s="242">
        <f>'[2]China Sunflower Imports'!DO$290</f>
        <v>1.652234</v>
      </c>
      <c r="J51" s="242">
        <f>'[2]China Sunflower Imports'!EA$290</f>
        <v>0.59235300000000002</v>
      </c>
      <c r="K51" s="242">
        <f>'[2]China Sunflower Imports'!EM$290</f>
        <v>0.47275200000000001</v>
      </c>
      <c r="L51" s="242">
        <f>'[2]China Sunflower Imports'!EY$290</f>
        <v>0.147536</v>
      </c>
      <c r="M51" s="242">
        <f>'[2]China Sunflower Imports'!FK$290</f>
        <v>0.193049</v>
      </c>
      <c r="N51" s="242">
        <f>'[2]China Sunflower Imports'!FW$290</f>
        <v>0.122</v>
      </c>
      <c r="O51" s="242">
        <f>'[2]China Sunflower Imports'!GI$290</f>
        <v>1.0609999999999999</v>
      </c>
      <c r="P51" s="242">
        <f>'[2]China Sunflower Imports'!GU$290</f>
        <v>2.3E-2</v>
      </c>
      <c r="Q51" s="242">
        <f>'[2]China Sunflower Imports'!HG$290</f>
        <v>0.158</v>
      </c>
      <c r="R51" s="242">
        <f>'[2]China Sunflower Imports'!HS$290</f>
        <v>1.51</v>
      </c>
      <c r="S51" s="242">
        <f>'[2]China Sunflower Imports'!IE$290</f>
        <v>1.4359999999999999</v>
      </c>
      <c r="T51" s="242">
        <f>'[2]China Sunflower Imports'!IQ$290</f>
        <v>0.75900000000000001</v>
      </c>
      <c r="U51" s="242">
        <f>'[2]China Sunflower Imports'!JC$290</f>
        <v>0.105</v>
      </c>
      <c r="V51" s="242">
        <f>'[2]China Sunflower Imports'!JO$290</f>
        <v>3.93</v>
      </c>
      <c r="W51" s="242">
        <f>'[2]China Sunflower Imports'!KA$290</f>
        <v>4.3109999999999999</v>
      </c>
      <c r="X51" s="242">
        <f>'[2]China Sunflower Imports'!KM$290</f>
        <v>12.337999999999999</v>
      </c>
      <c r="Y51" s="242">
        <f>'[2]China Sunflower Imports'!KY$290</f>
        <v>11.493</v>
      </c>
      <c r="Z51" s="242">
        <f>'[2]China Sunflower Imports'!LK$290</f>
        <v>25.157</v>
      </c>
      <c r="AA51" s="242">
        <f>'[2]China Sunflower Imports'!LW$290</f>
        <v>40.220357</v>
      </c>
      <c r="AB51" s="242">
        <f>'[2]China Sunflower Imports'!MI$290</f>
        <v>35.635978999999999</v>
      </c>
      <c r="AC51" s="242">
        <f>'[2]China Sunflower Imports'!MU$290</f>
        <v>9.1890000000000001</v>
      </c>
      <c r="AD51" s="242">
        <f>'[2]China Sunflower Imports'!NG$290</f>
        <v>16.878</v>
      </c>
      <c r="AE51" s="243">
        <f t="shared" si="38"/>
        <v>29.229303853684467</v>
      </c>
      <c r="AF51" s="243">
        <f t="shared" si="38"/>
        <v>29.326929264015579</v>
      </c>
      <c r="AG51" s="243">
        <f t="shared" si="39"/>
        <v>27.658236602042713</v>
      </c>
      <c r="AH51" s="243">
        <f t="shared" si="40"/>
        <v>26.040070189795266</v>
      </c>
      <c r="AN51" s="417"/>
    </row>
    <row r="52" spans="1:40">
      <c r="A52" s="240" t="s">
        <v>232</v>
      </c>
      <c r="B52" s="241">
        <f t="shared" si="41"/>
        <v>0</v>
      </c>
      <c r="C52" s="242">
        <f>'[2]China Sunflower Imports'!AV$290</f>
        <v>0</v>
      </c>
      <c r="D52" s="242">
        <f>'[2]China Sunflower Imports'!BH$290</f>
        <v>0</v>
      </c>
      <c r="E52" s="242">
        <f>'[2]China Sunflower Imports'!BT$290</f>
        <v>5.8071999999999999E-2</v>
      </c>
      <c r="F52" s="242">
        <f>'[2]China Sunflower Imports'!CF$290</f>
        <v>0.73467700000000002</v>
      </c>
      <c r="G52" s="242">
        <f>'[2]China Sunflower Imports'!CR$290</f>
        <v>1.6994610000000001</v>
      </c>
      <c r="H52" s="242">
        <f>'[2]China Sunflower Imports'!DD$290</f>
        <v>2.078182</v>
      </c>
      <c r="I52" s="242">
        <f>'[2]China Sunflower Imports'!DP$290</f>
        <v>0.52814300000000003</v>
      </c>
      <c r="J52" s="242">
        <f>'[2]China Sunflower Imports'!EB$290</f>
        <v>0.44341399999999997</v>
      </c>
      <c r="K52" s="242">
        <f>'[2]China Sunflower Imports'!EN$290</f>
        <v>0.113244</v>
      </c>
      <c r="L52" s="242">
        <f>'[2]China Sunflower Imports'!EZ$290</f>
        <v>0.196357</v>
      </c>
      <c r="M52" s="242">
        <f>'[2]China Sunflower Imports'!FL$290</f>
        <v>6.1879000000000003E-2</v>
      </c>
      <c r="N52" s="242">
        <f>'[2]China Sunflower Imports'!FX$290</f>
        <v>0.49399999999999999</v>
      </c>
      <c r="O52" s="242">
        <f>'[2]China Sunflower Imports'!GJ$290</f>
        <v>1.52</v>
      </c>
      <c r="P52" s="242">
        <f>'[2]China Sunflower Imports'!GV$290</f>
        <v>0.498</v>
      </c>
      <c r="Q52" s="242">
        <f>'[2]China Sunflower Imports'!HH$290</f>
        <v>0.47199999999999998</v>
      </c>
      <c r="R52" s="242">
        <f>'[2]China Sunflower Imports'!HT$290</f>
        <v>1.198</v>
      </c>
      <c r="S52" s="242">
        <f>'[2]China Sunflower Imports'!IF$290</f>
        <v>0.222</v>
      </c>
      <c r="T52" s="242">
        <f>'[2]China Sunflower Imports'!IR$290</f>
        <v>0.22500000000000001</v>
      </c>
      <c r="U52" s="242">
        <f>'[2]China Sunflower Imports'!JD$290</f>
        <v>0.108</v>
      </c>
      <c r="V52" s="242">
        <f>'[2]China Sunflower Imports'!JP$290</f>
        <v>8.75</v>
      </c>
      <c r="W52" s="242">
        <f>'[2]China Sunflower Imports'!KB$290</f>
        <v>6.2089999999999996</v>
      </c>
      <c r="X52" s="242">
        <f>'[2]China Sunflower Imports'!KN$290</f>
        <v>6.2539999999999996</v>
      </c>
      <c r="Y52" s="242">
        <f>'[2]China Sunflower Imports'!KZ$290</f>
        <v>10.786</v>
      </c>
      <c r="Z52" s="242">
        <f>'[2]China Sunflower Imports'!LL$290</f>
        <v>16.649999999999999</v>
      </c>
      <c r="AA52" s="242">
        <f>'[2]China Sunflower Imports'!LX$290</f>
        <v>19.742464999999999</v>
      </c>
      <c r="AB52" s="242">
        <f>'[2]China Sunflower Imports'!MJ$290</f>
        <v>35.635978999999999</v>
      </c>
      <c r="AC52" s="242">
        <f>'[2]China Sunflower Imports'!MV$290</f>
        <v>18.788</v>
      </c>
      <c r="AD52" s="242">
        <f>'[2]China Sunflower Imports'!NH$290</f>
        <v>8.5069999999999997</v>
      </c>
      <c r="AE52" s="243">
        <f t="shared" si="38"/>
        <v>24.403307518317387</v>
      </c>
      <c r="AF52" s="243">
        <f t="shared" si="38"/>
        <v>22.921340217784856</v>
      </c>
      <c r="AG52" s="243">
        <f t="shared" si="39"/>
        <v>22.580972303536594</v>
      </c>
      <c r="AH52" s="243">
        <f t="shared" si="40"/>
        <v>23.873965316004259</v>
      </c>
      <c r="AN52" s="417"/>
    </row>
    <row r="53" spans="1:40">
      <c r="A53" s="240" t="s">
        <v>233</v>
      </c>
      <c r="B53" s="241">
        <f t="shared" si="41"/>
        <v>0</v>
      </c>
      <c r="C53" s="242">
        <f>'[2]China Sunflower Imports'!AW$290</f>
        <v>1E-3</v>
      </c>
      <c r="D53" s="242">
        <f>'[2]China Sunflower Imports'!BI$290</f>
        <v>0</v>
      </c>
      <c r="E53" s="242">
        <f>'[2]China Sunflower Imports'!BU$290</f>
        <v>0.13359599999999999</v>
      </c>
      <c r="F53" s="242">
        <f>'[2]China Sunflower Imports'!CG$290</f>
        <v>0.70517200000000002</v>
      </c>
      <c r="G53" s="242">
        <f>'[2]China Sunflower Imports'!CS$290</f>
        <v>2.1656650000000002</v>
      </c>
      <c r="H53" s="242">
        <f>'[2]China Sunflower Imports'!DE$290</f>
        <v>2.5563030000000002</v>
      </c>
      <c r="I53" s="242">
        <f>'[2]China Sunflower Imports'!DQ$290</f>
        <v>0.35497600000000001</v>
      </c>
      <c r="J53" s="242">
        <f>'[2]China Sunflower Imports'!EC$290</f>
        <v>0.73396700000000004</v>
      </c>
      <c r="K53" s="242">
        <f>'[2]China Sunflower Imports'!EO$290</f>
        <v>0.24101900000000001</v>
      </c>
      <c r="L53" s="242">
        <f>'[2]China Sunflower Imports'!FA$290</f>
        <v>0.48093900000000001</v>
      </c>
      <c r="M53" s="242">
        <f>'[2]China Sunflower Imports'!FM$290</f>
        <v>0.27635900000000002</v>
      </c>
      <c r="N53" s="242">
        <f>'[2]China Sunflower Imports'!FY$290</f>
        <v>0.27100000000000002</v>
      </c>
      <c r="O53" s="242">
        <f>'[2]China Sunflower Imports'!GK$290</f>
        <v>1.3280000000000001</v>
      </c>
      <c r="P53" s="242">
        <f>'[2]China Sunflower Imports'!GW$290</f>
        <v>0.22700000000000001</v>
      </c>
      <c r="Q53" s="242">
        <f>'[2]China Sunflower Imports'!HI$290</f>
        <v>0.39700000000000002</v>
      </c>
      <c r="R53" s="242">
        <f>'[2]China Sunflower Imports'!HU$290</f>
        <v>1.137</v>
      </c>
      <c r="S53" s="242">
        <f>'[2]China Sunflower Imports'!IG$290</f>
        <v>0.90200000000000002</v>
      </c>
      <c r="T53" s="242">
        <f>'[2]China Sunflower Imports'!IS$290</f>
        <v>0.24</v>
      </c>
      <c r="U53" s="242">
        <f>'[2]China Sunflower Imports'!JE$290</f>
        <v>7.0000000000000007E-2</v>
      </c>
      <c r="V53" s="242">
        <f>'[2]China Sunflower Imports'!JQ$290</f>
        <v>15.936</v>
      </c>
      <c r="W53" s="242">
        <f>'[2]China Sunflower Imports'!KC$290</f>
        <v>6.8730000000000002</v>
      </c>
      <c r="X53" s="242">
        <f>'[2]China Sunflower Imports'!KO$290</f>
        <v>7.2910000000000004</v>
      </c>
      <c r="Y53" s="242">
        <f>'[2]China Sunflower Imports'!LA$290</f>
        <v>17.231999999999999</v>
      </c>
      <c r="Z53" s="242">
        <f>'[2]China Sunflower Imports'!LM$290</f>
        <v>11.223000000000001</v>
      </c>
      <c r="AA53" s="242">
        <f>'[2]China Sunflower Imports'!LY$290</f>
        <v>20.855170000000001</v>
      </c>
      <c r="AB53" s="242">
        <f>'[2]China Sunflower Imports'!MK$290</f>
        <v>21.885860999999998</v>
      </c>
      <c r="AC53" s="242">
        <f>'[2]China Sunflower Imports'!MW$290</f>
        <v>10.031000000000001</v>
      </c>
      <c r="AD53" s="242">
        <f>'[2]China Sunflower Imports'!NI$290</f>
        <v>15.234</v>
      </c>
      <c r="AE53" s="243">
        <f t="shared" si="38"/>
        <v>19.509454086487327</v>
      </c>
      <c r="AF53" s="243">
        <f t="shared" si="38"/>
        <v>18.284057635742297</v>
      </c>
      <c r="AG53" s="243">
        <f t="shared" si="39"/>
        <v>18.455777905537957</v>
      </c>
      <c r="AH53" s="243">
        <f t="shared" si="40"/>
        <v>18.393247294436819</v>
      </c>
      <c r="AN53" s="417"/>
    </row>
    <row r="54" spans="1:40">
      <c r="A54" s="240" t="s">
        <v>234</v>
      </c>
      <c r="B54" s="241">
        <f t="shared" si="41"/>
        <v>0</v>
      </c>
      <c r="C54" s="242">
        <f>'[2]China Sunflower Imports'!AX$290</f>
        <v>0</v>
      </c>
      <c r="D54" s="242">
        <f>'[2]China Sunflower Imports'!BJ$290</f>
        <v>1.36E-4</v>
      </c>
      <c r="E54" s="242">
        <f>'[2]China Sunflower Imports'!BV$290</f>
        <v>0.113903</v>
      </c>
      <c r="F54" s="242">
        <f>'[2]China Sunflower Imports'!CH$290</f>
        <v>1.4485239999999999</v>
      </c>
      <c r="G54" s="242">
        <f>'[2]China Sunflower Imports'!CT$290</f>
        <v>1.2143679999999999</v>
      </c>
      <c r="H54" s="242">
        <f>'[2]China Sunflower Imports'!DF$290</f>
        <v>0.57842499999999997</v>
      </c>
      <c r="I54" s="242">
        <f>'[2]China Sunflower Imports'!DR$290</f>
        <v>0.54674400000000001</v>
      </c>
      <c r="J54" s="242">
        <f>'[2]China Sunflower Imports'!ED$290</f>
        <v>0.192277</v>
      </c>
      <c r="K54" s="242">
        <f>'[2]China Sunflower Imports'!EP$290</f>
        <v>0.353412</v>
      </c>
      <c r="L54" s="242">
        <f>'[2]China Sunflower Imports'!FB$290</f>
        <v>0.24376800000000001</v>
      </c>
      <c r="M54" s="242">
        <f>'[2]China Sunflower Imports'!FN$290</f>
        <v>0.127275</v>
      </c>
      <c r="N54" s="242">
        <f>'[2]China Sunflower Imports'!FZ$290</f>
        <v>0.35</v>
      </c>
      <c r="O54" s="242">
        <f>'[2]China Sunflower Imports'!GL$290</f>
        <v>0.81699999999999995</v>
      </c>
      <c r="P54" s="242">
        <f>'[2]China Sunflower Imports'!GX$290</f>
        <v>0.24</v>
      </c>
      <c r="Q54" s="242">
        <f>'[2]China Sunflower Imports'!HJ$290</f>
        <v>0.189</v>
      </c>
      <c r="R54" s="242">
        <f>'[2]China Sunflower Imports'!HV$290</f>
        <v>1.78</v>
      </c>
      <c r="S54" s="242">
        <f>'[2]China Sunflower Imports'!IH$290</f>
        <v>0.37</v>
      </c>
      <c r="T54" s="242">
        <f>'[2]China Sunflower Imports'!IT$290</f>
        <v>0.46400000000000002</v>
      </c>
      <c r="U54" s="242">
        <f>'[2]China Sunflower Imports'!JF$290</f>
        <v>0.125</v>
      </c>
      <c r="V54" s="242">
        <f>'[2]China Sunflower Imports'!JR$290</f>
        <v>12.679</v>
      </c>
      <c r="W54" s="242">
        <f>'[2]China Sunflower Imports'!KD$290</f>
        <v>9.3279999999999994</v>
      </c>
      <c r="X54" s="242">
        <f>'[2]China Sunflower Imports'!KP$290</f>
        <v>5.0670000000000002</v>
      </c>
      <c r="Y54" s="242">
        <f>'[2]China Sunflower Imports'!LB$290</f>
        <v>4.585</v>
      </c>
      <c r="Z54" s="242">
        <f>'[2]China Sunflower Imports'!LN$290</f>
        <v>9.7819839999999996</v>
      </c>
      <c r="AA54" s="242">
        <f>'[2]China Sunflower Imports'!LZ$290</f>
        <v>17.804995000000002</v>
      </c>
      <c r="AB54" s="242">
        <f>'[2]China Sunflower Imports'!ML$290</f>
        <v>5.713794</v>
      </c>
      <c r="AC54" s="242">
        <f>'[2]China Sunflower Imports'!MX$290</f>
        <v>16.905000000000001</v>
      </c>
      <c r="AD54" s="243">
        <f>(SUM(X54:AB54)/SUM(X$60:AB$60))*AD$60-1.4+3</f>
        <v>9.136100337079025</v>
      </c>
      <c r="AE54" s="243">
        <f t="shared" si="38"/>
        <v>13.159881101731386</v>
      </c>
      <c r="AF54" s="243">
        <f t="shared" si="38"/>
        <v>13.694604346581901</v>
      </c>
      <c r="AG54" s="243">
        <f t="shared" si="39"/>
        <v>13.226712419648557</v>
      </c>
      <c r="AH54" s="243">
        <f t="shared" si="40"/>
        <v>12.690856164085535</v>
      </c>
      <c r="AN54" s="417"/>
    </row>
    <row r="55" spans="1:40">
      <c r="A55" s="240" t="s">
        <v>46</v>
      </c>
      <c r="B55" s="241">
        <f t="shared" si="41"/>
        <v>0</v>
      </c>
      <c r="C55" s="242">
        <f>'[2]China Sunflower Imports'!AY$290</f>
        <v>0</v>
      </c>
      <c r="D55" s="242">
        <f>'[2]China Sunflower Imports'!BK$290</f>
        <v>5.8305999999999997E-2</v>
      </c>
      <c r="E55" s="242">
        <f>'[2]China Sunflower Imports'!BW$290</f>
        <v>9.0063000000000004E-2</v>
      </c>
      <c r="F55" s="242">
        <f>'[2]China Sunflower Imports'!CI$290</f>
        <v>0.86104000000000003</v>
      </c>
      <c r="G55" s="242">
        <f>'[2]China Sunflower Imports'!CU$290</f>
        <v>1.1212470000000001</v>
      </c>
      <c r="H55" s="242">
        <f>'[2]China Sunflower Imports'!DG$290</f>
        <v>0.35132000000000002</v>
      </c>
      <c r="I55" s="242">
        <f>'[2]China Sunflower Imports'!DS$290</f>
        <v>0.104199</v>
      </c>
      <c r="J55" s="242">
        <f>'[2]China Sunflower Imports'!EE$290</f>
        <v>6.9505999999999998E-2</v>
      </c>
      <c r="K55" s="242">
        <f>'[2]China Sunflower Imports'!EQ$290</f>
        <v>8.7690000000000004E-2</v>
      </c>
      <c r="L55" s="242">
        <f>'[2]China Sunflower Imports'!FC$290</f>
        <v>0.121505</v>
      </c>
      <c r="M55" s="242">
        <f>'[2]China Sunflower Imports'!FO$290</f>
        <v>2.5119999999999999E-3</v>
      </c>
      <c r="N55" s="242">
        <f>'[2]China Sunflower Imports'!GA$290</f>
        <v>5.3999999999999999E-2</v>
      </c>
      <c r="O55" s="242">
        <f>'[2]China Sunflower Imports'!GM$290</f>
        <v>0.112</v>
      </c>
      <c r="P55" s="242">
        <f>'[2]China Sunflower Imports'!GY$290</f>
        <v>6.8000000000000005E-2</v>
      </c>
      <c r="Q55" s="242">
        <f>'[2]China Sunflower Imports'!HK$290</f>
        <v>0.109</v>
      </c>
      <c r="R55" s="242">
        <f>'[2]China Sunflower Imports'!HW$290</f>
        <v>0.38100000000000001</v>
      </c>
      <c r="S55" s="242">
        <f>'[2]China Sunflower Imports'!II$290</f>
        <v>0.13600000000000001</v>
      </c>
      <c r="T55" s="242">
        <f>'[2]China Sunflower Imports'!IU$290</f>
        <v>3.9E-2</v>
      </c>
      <c r="U55" s="242">
        <f>'[2]China Sunflower Imports'!JG$290</f>
        <v>6.2E-2</v>
      </c>
      <c r="V55" s="242">
        <f>'[2]China Sunflower Imports'!JS$290</f>
        <v>9.5939999999999994</v>
      </c>
      <c r="W55" s="242">
        <f>'[2]China Sunflower Imports'!KE$290</f>
        <v>8.7840000000000007</v>
      </c>
      <c r="X55" s="242">
        <f>'[2]China Sunflower Imports'!KQ$290</f>
        <v>5.7149999999999999</v>
      </c>
      <c r="Y55" s="242">
        <f>'[2]China Sunflower Imports'!LC$290</f>
        <v>4.2210000000000001</v>
      </c>
      <c r="Z55" s="242">
        <f>'[2]China Sunflower Imports'!LO$290</f>
        <v>5.0937510000000001</v>
      </c>
      <c r="AA55" s="242">
        <f>'[2]China Sunflower Imports'!MA$290</f>
        <v>17.427295000000001</v>
      </c>
      <c r="AB55" s="242">
        <f>'[2]China Sunflower Imports'!MM$290</f>
        <v>1.9356310000000001</v>
      </c>
      <c r="AC55" s="242">
        <f>'[2]China Sunflower Imports'!MY$290</f>
        <v>12.923999999999999</v>
      </c>
      <c r="AD55" s="243">
        <f>(SUM(X55:AB55)/SUM(X$60:AB$60))*AD$60+3</f>
        <v>9.0342242567843076</v>
      </c>
      <c r="AE55" s="243">
        <f t="shared" si="38"/>
        <v>9.9920678788859796</v>
      </c>
      <c r="AF55" s="243">
        <f t="shared" si="38"/>
        <v>10.711385953165729</v>
      </c>
      <c r="AG55" s="243">
        <f t="shared" si="39"/>
        <v>10.821231883642692</v>
      </c>
      <c r="AH55" s="243">
        <f t="shared" si="40"/>
        <v>9.6567825324905705</v>
      </c>
      <c r="AN55" s="417"/>
    </row>
    <row r="56" spans="1:40">
      <c r="A56" s="240" t="s">
        <v>235</v>
      </c>
      <c r="B56" s="241">
        <f t="shared" si="41"/>
        <v>0</v>
      </c>
      <c r="C56" s="242">
        <f>'[2]China Sunflower Imports'!AZ$290</f>
        <v>0.114621</v>
      </c>
      <c r="D56" s="242">
        <f>'[2]China Sunflower Imports'!BL$290</f>
        <v>0.19105</v>
      </c>
      <c r="E56" s="242">
        <f>'[2]China Sunflower Imports'!BX$290</f>
        <v>0.31327199999999999</v>
      </c>
      <c r="F56" s="242">
        <f>'[2]China Sunflower Imports'!CJ$290</f>
        <v>0.74546800000000002</v>
      </c>
      <c r="G56" s="242">
        <f>'[2]China Sunflower Imports'!CV$290</f>
        <v>0.90964900000000004</v>
      </c>
      <c r="H56" s="242">
        <f>'[2]China Sunflower Imports'!DH$290</f>
        <v>0.45116400000000001</v>
      </c>
      <c r="I56" s="242">
        <f>'[2]China Sunflower Imports'!DT$290</f>
        <v>1.06E-4</v>
      </c>
      <c r="J56" s="242">
        <f>'[2]China Sunflower Imports'!EF$290</f>
        <v>0.26871400000000001</v>
      </c>
      <c r="K56" s="242">
        <f>'[2]China Sunflower Imports'!ER$290</f>
        <v>0</v>
      </c>
      <c r="L56" s="242">
        <f>'[2]China Sunflower Imports'!FD$290</f>
        <v>6.5612000000000004E-2</v>
      </c>
      <c r="M56" s="242">
        <f>'[2]China Sunflower Imports'!FP$290</f>
        <v>4.6E-5</v>
      </c>
      <c r="N56" s="242">
        <f>'[2]China Sunflower Imports'!GB$290</f>
        <v>6.8000000000000005E-2</v>
      </c>
      <c r="O56" s="242">
        <f>'[2]China Sunflower Imports'!GN$290</f>
        <v>0.11799999999999999</v>
      </c>
      <c r="P56" s="242">
        <f>'[2]China Sunflower Imports'!GZ$290</f>
        <v>2E-3</v>
      </c>
      <c r="Q56" s="242">
        <f>'[2]China Sunflower Imports'!HL$290</f>
        <v>2.5000000000000001E-2</v>
      </c>
      <c r="R56" s="242">
        <f>'[2]China Sunflower Imports'!HX$290</f>
        <v>0.151</v>
      </c>
      <c r="S56" s="242">
        <f>'[2]China Sunflower Imports'!IJ$290</f>
        <v>4.5999999999999999E-2</v>
      </c>
      <c r="T56" s="242">
        <f>'[2]China Sunflower Imports'!IV$290</f>
        <v>0.129</v>
      </c>
      <c r="U56" s="242">
        <f>'[2]China Sunflower Imports'!JH$290</f>
        <v>3.0000000000000001E-3</v>
      </c>
      <c r="V56" s="242">
        <f>'[2]China Sunflower Imports'!JT$290</f>
        <v>2.9740000000000002</v>
      </c>
      <c r="W56" s="242">
        <f>'[2]China Sunflower Imports'!KF$290</f>
        <v>5.1159999999999997</v>
      </c>
      <c r="X56" s="242">
        <f>'[2]China Sunflower Imports'!KR$290</f>
        <v>7.3049999999999997</v>
      </c>
      <c r="Y56" s="242">
        <f>'[2]China Sunflower Imports'!LD$290</f>
        <v>7.57</v>
      </c>
      <c r="Z56" s="242">
        <f>'[2]China Sunflower Imports'!LP$290</f>
        <v>1.732694</v>
      </c>
      <c r="AA56" s="242">
        <f>'[2]China Sunflower Imports'!MB$290</f>
        <v>17.928429999999999</v>
      </c>
      <c r="AB56" s="242">
        <f>'[2]China Sunflower Imports'!MN$290</f>
        <v>2.65822</v>
      </c>
      <c r="AC56" s="242">
        <f>'[2]China Sunflower Imports'!MZ$290</f>
        <v>3.7730000000000001</v>
      </c>
      <c r="AD56" s="243">
        <f>(SUM(X56:AB56)/SUM(X$60:AB$60))*AD$60-1</f>
        <v>5.5257791005910892</v>
      </c>
      <c r="AE56" s="243">
        <f t="shared" si="38"/>
        <v>8.0851650814559761</v>
      </c>
      <c r="AF56" s="243">
        <f t="shared" si="38"/>
        <v>7.2966635816258121</v>
      </c>
      <c r="AG56" s="243">
        <f t="shared" si="39"/>
        <v>8.0074612221211865</v>
      </c>
      <c r="AH56" s="243">
        <f t="shared" si="40"/>
        <v>5.9197543484320345</v>
      </c>
      <c r="AN56" s="417"/>
    </row>
    <row r="57" spans="1:40">
      <c r="A57" s="240" t="s">
        <v>236</v>
      </c>
      <c r="B57" s="241">
        <f t="shared" si="41"/>
        <v>0</v>
      </c>
      <c r="C57" s="242">
        <f>'[2]China Sunflower Imports'!BA$290</f>
        <v>0</v>
      </c>
      <c r="D57" s="242">
        <f>'[2]China Sunflower Imports'!BM$290</f>
        <v>8.4470000000000003E-2</v>
      </c>
      <c r="E57" s="242">
        <f>'[2]China Sunflower Imports'!BY$290</f>
        <v>0.50150099999999997</v>
      </c>
      <c r="F57" s="242">
        <f>'[2]China Sunflower Imports'!CK$290</f>
        <v>0.76891100000000001</v>
      </c>
      <c r="G57" s="242">
        <f>'[2]China Sunflower Imports'!CW$290</f>
        <v>0.25172299999999997</v>
      </c>
      <c r="H57" s="242">
        <f>'[2]China Sunflower Imports'!DI$290</f>
        <v>0.37837399999999999</v>
      </c>
      <c r="I57" s="242">
        <f>'[2]China Sunflower Imports'!DU$290</f>
        <v>2.0000000000000002E-5</v>
      </c>
      <c r="J57" s="242">
        <f>'[2]China Sunflower Imports'!EG$290</f>
        <v>0.164303</v>
      </c>
      <c r="K57" s="242">
        <f>'[2]China Sunflower Imports'!ES$290</f>
        <v>6.1235999999999999E-2</v>
      </c>
      <c r="L57" s="242">
        <f>'[2]China Sunflower Imports'!FE$290</f>
        <v>7.0130000000000001E-3</v>
      </c>
      <c r="M57" s="242">
        <f>'[2]China Sunflower Imports'!FQ$290</f>
        <v>3.1500000000000001E-4</v>
      </c>
      <c r="N57" s="242">
        <f>'[2]China Sunflower Imports'!GC$290</f>
        <v>3.9E-2</v>
      </c>
      <c r="O57" s="242">
        <f>'[2]China Sunflower Imports'!GO$290</f>
        <v>0.376</v>
      </c>
      <c r="P57" s="242">
        <f>'[2]China Sunflower Imports'!HA$290</f>
        <v>1.7999999999999999E-2</v>
      </c>
      <c r="Q57" s="242">
        <f>'[2]China Sunflower Imports'!HM$290</f>
        <v>2.3E-2</v>
      </c>
      <c r="R57" s="242">
        <f>'[2]China Sunflower Imports'!HY$290</f>
        <v>7.9000000000000001E-2</v>
      </c>
      <c r="S57" s="242">
        <f>'[2]China Sunflower Imports'!IK$290</f>
        <v>1.7999999999999999E-2</v>
      </c>
      <c r="T57" s="242">
        <f>'[2]China Sunflower Imports'!IW$290</f>
        <v>2E-3</v>
      </c>
      <c r="U57" s="242">
        <f>'[2]China Sunflower Imports'!JI$290</f>
        <v>2E-3</v>
      </c>
      <c r="V57" s="242">
        <f>'[2]China Sunflower Imports'!JU$290</f>
        <v>2.94</v>
      </c>
      <c r="W57" s="242">
        <f>'[2]China Sunflower Imports'!KG$290</f>
        <v>1.4710000000000001</v>
      </c>
      <c r="X57" s="242">
        <f>'[2]China Sunflower Imports'!KS$290</f>
        <v>1.9470000000000001</v>
      </c>
      <c r="Y57" s="242">
        <f>'[2]China Sunflower Imports'!LE$290</f>
        <v>7.6870000000000003</v>
      </c>
      <c r="Z57" s="242">
        <f>'[2]China Sunflower Imports'!LQ$290</f>
        <v>1.0516529999999999</v>
      </c>
      <c r="AA57" s="242">
        <f>'[2]China Sunflower Imports'!MC$290</f>
        <v>13.855656</v>
      </c>
      <c r="AB57" s="242">
        <f>'[2]China Sunflower Imports'!MO$290</f>
        <v>3.2510460000000001</v>
      </c>
      <c r="AC57" s="242">
        <f>'[2]China Sunflower Imports'!NA$290</f>
        <v>3.3140000000000001</v>
      </c>
      <c r="AD57" s="243">
        <f>(SUM(X57:AB57)/SUM(X$60:AB$60))*AD$60+1</f>
        <v>5.8761921816717138</v>
      </c>
      <c r="AE57" s="243">
        <f t="shared" si="38"/>
        <v>7.0036180143539228</v>
      </c>
      <c r="AF57" s="243">
        <f t="shared" si="38"/>
        <v>6.3113533841339455</v>
      </c>
      <c r="AG57" s="243">
        <f t="shared" si="39"/>
        <v>7.0226069891875795</v>
      </c>
      <c r="AH57" s="243">
        <f t="shared" si="40"/>
        <v>5.5770655193883352</v>
      </c>
      <c r="AN57" s="417"/>
    </row>
    <row r="58" spans="1:40">
      <c r="A58" s="240" t="s">
        <v>237</v>
      </c>
      <c r="B58" s="241">
        <f t="shared" si="41"/>
        <v>0</v>
      </c>
      <c r="C58" s="242">
        <f>'[2]China Sunflower Imports'!BB$290</f>
        <v>7.8820000000000001E-2</v>
      </c>
      <c r="D58" s="242">
        <f>'[2]China Sunflower Imports'!BN$290</f>
        <v>0.19197600000000001</v>
      </c>
      <c r="E58" s="242">
        <f>'[2]China Sunflower Imports'!BZ$290</f>
        <v>0.26865099999999997</v>
      </c>
      <c r="F58" s="242">
        <f>'[2]China Sunflower Imports'!CL$290</f>
        <v>0.99562099999999998</v>
      </c>
      <c r="G58" s="242">
        <f>'[2]China Sunflower Imports'!CX$290</f>
        <v>0.117396</v>
      </c>
      <c r="H58" s="242">
        <f>'[2]China Sunflower Imports'!DJ$290</f>
        <v>0.51403799999999999</v>
      </c>
      <c r="I58" s="242">
        <f>'[2]China Sunflower Imports'!DV$290</f>
        <v>2.5000000000000001E-4</v>
      </c>
      <c r="J58" s="242">
        <f>'[2]China Sunflower Imports'!EH$290</f>
        <v>0.44003500000000001</v>
      </c>
      <c r="K58" s="242">
        <f>'[2]China Sunflower Imports'!ET$290</f>
        <v>9.2230000000000003E-3</v>
      </c>
      <c r="L58" s="242">
        <f>'[2]China Sunflower Imports'!FF$290</f>
        <v>1.9796999999999999E-2</v>
      </c>
      <c r="M58" s="242">
        <f>'[2]China Sunflower Imports'!FR$290</f>
        <v>1.9051999999999999E-2</v>
      </c>
      <c r="N58" s="242">
        <f>'[2]China Sunflower Imports'!GD$290</f>
        <v>1.9E-2</v>
      </c>
      <c r="O58" s="242">
        <f>'[2]China Sunflower Imports'!GP$290</f>
        <v>7.0000000000000007E-2</v>
      </c>
      <c r="P58" s="242">
        <f>'[2]China Sunflower Imports'!HB$290</f>
        <v>1.7999999999999999E-2</v>
      </c>
      <c r="Q58" s="242">
        <f>'[2]China Sunflower Imports'!HN$290</f>
        <v>0</v>
      </c>
      <c r="R58" s="242">
        <f>'[2]China Sunflower Imports'!HZ$290</f>
        <v>1.7999999999999999E-2</v>
      </c>
      <c r="S58" s="242">
        <f>'[2]China Sunflower Imports'!IL$290</f>
        <v>3.5000000000000003E-2</v>
      </c>
      <c r="T58" s="242">
        <f>'[2]China Sunflower Imports'!IX$290</f>
        <v>0</v>
      </c>
      <c r="U58" s="242">
        <f>'[2]China Sunflower Imports'!JJ$290</f>
        <v>0</v>
      </c>
      <c r="V58" s="242">
        <f>'[2]China Sunflower Imports'!JV$290</f>
        <v>2.8809999999999998</v>
      </c>
      <c r="W58" s="242">
        <f>'[2]China Sunflower Imports'!KH$290</f>
        <v>1E-3</v>
      </c>
      <c r="X58" s="242">
        <f>'[2]China Sunflower Imports'!KT$290</f>
        <v>1.238</v>
      </c>
      <c r="Y58" s="242">
        <f>'[2]China Sunflower Imports'!LF$290</f>
        <v>7.7590000000000003</v>
      </c>
      <c r="Z58" s="242">
        <f>'[2]China Sunflower Imports'!LR$290</f>
        <v>1.052616</v>
      </c>
      <c r="AA58" s="242">
        <f>'[2]China Sunflower Imports'!MD$290</f>
        <v>10.143872999999999</v>
      </c>
      <c r="AB58" s="242">
        <f>'[2]China Sunflower Imports'!MP$290</f>
        <v>8.3053480000000004</v>
      </c>
      <c r="AC58" s="242">
        <f>'[2]China Sunflower Imports'!NB$290</f>
        <v>3.4020000000000001</v>
      </c>
      <c r="AD58" s="243">
        <f t="shared" si="38"/>
        <v>5.0001450458637491</v>
      </c>
      <c r="AE58" s="243">
        <f t="shared" si="38"/>
        <v>7.3647307213893454</v>
      </c>
      <c r="AF58" s="243">
        <f t="shared" si="38"/>
        <v>6.4395337107340271</v>
      </c>
      <c r="AG58" s="243">
        <f t="shared" si="39"/>
        <v>7.2156908243924232</v>
      </c>
      <c r="AH58" s="243">
        <f t="shared" si="40"/>
        <v>6.6067978689497391</v>
      </c>
      <c r="AN58" s="417"/>
    </row>
    <row r="59" spans="1:40">
      <c r="A59" s="240" t="s">
        <v>238</v>
      </c>
      <c r="B59" s="241">
        <f>(SUM(K59:O59)/SUM(K$60:O$60))*B$60</f>
        <v>0</v>
      </c>
      <c r="C59" s="242">
        <f>'[2]China Sunflower Imports'!BC$290</f>
        <v>9.4594999999999999E-2</v>
      </c>
      <c r="D59" s="242">
        <f>'[2]China Sunflower Imports'!BO$290</f>
        <v>0.115781</v>
      </c>
      <c r="E59" s="242">
        <f>'[2]China Sunflower Imports'!CA$290</f>
        <v>0.246172</v>
      </c>
      <c r="F59" s="242">
        <f>'[2]China Sunflower Imports'!CM$290</f>
        <v>0.63424999999999998</v>
      </c>
      <c r="G59" s="242">
        <f>'[2]China Sunflower Imports'!CY$290</f>
        <v>0.140157</v>
      </c>
      <c r="H59" s="242">
        <f>'[2]China Sunflower Imports'!DK$290</f>
        <v>4.5719999999999997E-2</v>
      </c>
      <c r="I59" s="242">
        <f>'[2]China Sunflower Imports'!DW$290</f>
        <v>0</v>
      </c>
      <c r="J59" s="242">
        <f>'[2]China Sunflower Imports'!EI$290</f>
        <v>0.30254700000000001</v>
      </c>
      <c r="K59" s="242">
        <f>'[2]China Sunflower Imports'!EU$290</f>
        <v>0</v>
      </c>
      <c r="L59" s="242">
        <f>'[2]China Sunflower Imports'!FG$290</f>
        <v>1E-4</v>
      </c>
      <c r="M59" s="242">
        <f>'[2]China Sunflower Imports'!FS$290</f>
        <v>4.4759999999999999E-3</v>
      </c>
      <c r="N59" s="242">
        <f>'[2]China Sunflower Imports'!GE$290</f>
        <v>3.5000000000000003E-2</v>
      </c>
      <c r="O59" s="242">
        <f>'[2]China Sunflower Imports'!GQ$290</f>
        <v>7.0999999999999994E-2</v>
      </c>
      <c r="P59" s="242">
        <f>'[2]China Sunflower Imports'!HC$290</f>
        <v>1.7999999999999999E-2</v>
      </c>
      <c r="Q59" s="242">
        <f>'[2]China Sunflower Imports'!HO$290</f>
        <v>1.4E-2</v>
      </c>
      <c r="R59" s="242">
        <f>'[2]China Sunflower Imports'!IA$290</f>
        <v>0.11600000000000001</v>
      </c>
      <c r="S59" s="242">
        <f>'[2]China Sunflower Imports'!IM$290</f>
        <v>0.13200000000000001</v>
      </c>
      <c r="T59" s="242">
        <f>'[2]China Sunflower Imports'!IY$290</f>
        <v>0</v>
      </c>
      <c r="U59" s="242">
        <f>'[2]China Sunflower Imports'!JK$290</f>
        <v>0.02</v>
      </c>
      <c r="V59" s="242">
        <f>'[2]China Sunflower Imports'!JW$290</f>
        <v>0.214</v>
      </c>
      <c r="W59" s="242">
        <f>'[2]China Sunflower Imports'!KI$290</f>
        <v>0</v>
      </c>
      <c r="X59" s="242">
        <f>'[2]China Sunflower Imports'!KU$290</f>
        <v>0.39</v>
      </c>
      <c r="Y59" s="242">
        <f>'[2]China Sunflower Imports'!LG$290</f>
        <v>4.1239999999999997</v>
      </c>
      <c r="Z59" s="242">
        <f>'[2]China Sunflower Imports'!LS$290</f>
        <v>0.514073</v>
      </c>
      <c r="AA59" s="242">
        <f>'[2]China Sunflower Imports'!ME$290</f>
        <v>8.207281</v>
      </c>
      <c r="AB59" s="242">
        <f>'[2]China Sunflower Imports'!MQ$290</f>
        <v>14.186007999999999</v>
      </c>
      <c r="AC59" s="242">
        <f>'[2]China Sunflower Imports'!NC$290</f>
        <v>7.641</v>
      </c>
      <c r="AD59" s="243">
        <f t="shared" ref="AD59:AE59" si="42">AD60-SUM(AD48:AD58)</f>
        <v>35.723559078010112</v>
      </c>
      <c r="AE59" s="243">
        <f t="shared" si="42"/>
        <v>1.8352479074957841</v>
      </c>
      <c r="AF59" s="243">
        <f t="shared" ref="AF59:AH59" si="43">AF60-SUM(AF48:AF58)</f>
        <v>10.007444083607282</v>
      </c>
      <c r="AG59" s="243">
        <f t="shared" si="43"/>
        <v>9.5319999457614131</v>
      </c>
      <c r="AH59" s="243">
        <f t="shared" si="43"/>
        <v>11.954183529976461</v>
      </c>
      <c r="AN59" s="201"/>
    </row>
    <row r="60" spans="1:40" ht="15.75" thickBot="1">
      <c r="A60" s="240" t="s">
        <v>242</v>
      </c>
      <c r="B60" s="245">
        <f t="shared" ref="B60:C60" si="44">B10</f>
        <v>0</v>
      </c>
      <c r="C60" s="245">
        <f t="shared" si="44"/>
        <v>0.5</v>
      </c>
      <c r="D60" s="245">
        <f t="shared" ref="D60:AB60" si="45">SUM(D48:D58)</f>
        <v>0.58587199999999995</v>
      </c>
      <c r="E60" s="245">
        <f t="shared" si="45"/>
        <v>1.8905569999999998</v>
      </c>
      <c r="F60" s="245">
        <f t="shared" si="45"/>
        <v>8.4368020000000001</v>
      </c>
      <c r="G60" s="245">
        <f t="shared" si="45"/>
        <v>13.429038</v>
      </c>
      <c r="H60" s="245">
        <f t="shared" si="45"/>
        <v>10.796317999999999</v>
      </c>
      <c r="I60" s="245">
        <f t="shared" si="45"/>
        <v>6.0696470000000007</v>
      </c>
      <c r="J60" s="245">
        <f t="shared" si="45"/>
        <v>3.6345669999999997</v>
      </c>
      <c r="K60" s="245">
        <f t="shared" si="45"/>
        <v>1.7377900000000002</v>
      </c>
      <c r="L60" s="245">
        <f t="shared" si="45"/>
        <v>1.550934</v>
      </c>
      <c r="M60" s="245">
        <f t="shared" si="45"/>
        <v>0.98956599999999995</v>
      </c>
      <c r="N60" s="245">
        <f t="shared" si="45"/>
        <v>1.756159</v>
      </c>
      <c r="O60" s="245">
        <f t="shared" si="45"/>
        <v>6.9510000000000014</v>
      </c>
      <c r="P60" s="245">
        <f t="shared" si="45"/>
        <v>1.3169999999999999</v>
      </c>
      <c r="Q60" s="245">
        <f t="shared" si="45"/>
        <v>2.0960000000000001</v>
      </c>
      <c r="R60" s="245">
        <f t="shared" si="45"/>
        <v>7.1419999999999995</v>
      </c>
      <c r="S60" s="245">
        <f t="shared" si="45"/>
        <v>4.0249999999999995</v>
      </c>
      <c r="T60" s="245">
        <f t="shared" si="45"/>
        <v>3.0379999999999998</v>
      </c>
      <c r="U60" s="245">
        <f t="shared" si="45"/>
        <v>1.5930000000000002</v>
      </c>
      <c r="V60" s="245">
        <f t="shared" si="45"/>
        <v>61.018000000000001</v>
      </c>
      <c r="W60" s="245">
        <f t="shared" si="45"/>
        <v>44.582000000000001</v>
      </c>
      <c r="X60" s="245">
        <f t="shared" si="45"/>
        <v>74.014999999999986</v>
      </c>
      <c r="Y60" s="245">
        <f t="shared" si="45"/>
        <v>101.048</v>
      </c>
      <c r="Z60" s="245">
        <f t="shared" si="45"/>
        <v>118.26569799999997</v>
      </c>
      <c r="AA60" s="245">
        <f t="shared" si="45"/>
        <v>224.73297199999996</v>
      </c>
      <c r="AB60" s="245">
        <f t="shared" si="45"/>
        <v>251.38460800000001</v>
      </c>
      <c r="AC60" s="245">
        <f>SUM(AC48:AC59)</f>
        <v>137.26276499999997</v>
      </c>
      <c r="AD60" s="247">
        <f>AD10</f>
        <v>135</v>
      </c>
      <c r="AE60" s="247">
        <f>AE10</f>
        <v>200</v>
      </c>
      <c r="AF60" s="247">
        <f>AF10</f>
        <v>200</v>
      </c>
      <c r="AG60" s="247">
        <f t="shared" ref="AG60:AH60" si="46">AG10</f>
        <v>200</v>
      </c>
      <c r="AH60" s="247">
        <f t="shared" si="46"/>
        <v>200</v>
      </c>
      <c r="AN60" s="201"/>
    </row>
    <row r="61" spans="1:40">
      <c r="A61" s="248"/>
      <c r="B61" s="248"/>
      <c r="C61" s="254"/>
      <c r="D61" s="254"/>
      <c r="E61" s="254"/>
      <c r="F61" s="254"/>
      <c r="G61" s="254"/>
      <c r="H61" s="254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  <c r="AF61" s="248"/>
      <c r="AG61" s="248"/>
      <c r="AH61" s="248"/>
      <c r="AN61" s="201"/>
    </row>
    <row r="62" spans="1:40" ht="15.75" thickBot="1">
      <c r="A62" s="235" t="s">
        <v>243</v>
      </c>
      <c r="J62" s="355"/>
      <c r="AN62" s="201"/>
    </row>
    <row r="63" spans="1:40" ht="15.75" thickBot="1">
      <c r="A63" s="236"/>
      <c r="B63" s="237" t="str">
        <f>B$2</f>
        <v xml:space="preserve">93/94 </v>
      </c>
      <c r="C63" s="237" t="str">
        <f t="shared" ref="C63:AH63" si="47">C$2</f>
        <v xml:space="preserve">94/95 </v>
      </c>
      <c r="D63" s="237" t="str">
        <f t="shared" si="47"/>
        <v xml:space="preserve">95/96 </v>
      </c>
      <c r="E63" s="237" t="str">
        <f t="shared" si="47"/>
        <v xml:space="preserve">96/97 </v>
      </c>
      <c r="F63" s="237" t="str">
        <f t="shared" si="47"/>
        <v xml:space="preserve">97/98 </v>
      </c>
      <c r="G63" s="237" t="str">
        <f t="shared" si="47"/>
        <v xml:space="preserve">98/99 </v>
      </c>
      <c r="H63" s="237" t="str">
        <f t="shared" si="47"/>
        <v xml:space="preserve">99/00 </v>
      </c>
      <c r="I63" s="237" t="str">
        <f t="shared" si="47"/>
        <v xml:space="preserve">00/01 </v>
      </c>
      <c r="J63" s="237" t="str">
        <f t="shared" si="47"/>
        <v xml:space="preserve">01/02 </v>
      </c>
      <c r="K63" s="237" t="str">
        <f t="shared" si="47"/>
        <v xml:space="preserve">02/03 </v>
      </c>
      <c r="L63" s="237" t="str">
        <f t="shared" si="47"/>
        <v xml:space="preserve">03/04 </v>
      </c>
      <c r="M63" s="237" t="str">
        <f t="shared" si="47"/>
        <v xml:space="preserve">04/05 </v>
      </c>
      <c r="N63" s="237" t="str">
        <f t="shared" si="47"/>
        <v xml:space="preserve">05/06 </v>
      </c>
      <c r="O63" s="237" t="str">
        <f t="shared" si="47"/>
        <v xml:space="preserve">06/07 </v>
      </c>
      <c r="P63" s="237" t="str">
        <f t="shared" si="47"/>
        <v xml:space="preserve">07/08 </v>
      </c>
      <c r="Q63" s="237" t="str">
        <f t="shared" si="47"/>
        <v xml:space="preserve">08/09 </v>
      </c>
      <c r="R63" s="237" t="str">
        <f t="shared" si="47"/>
        <v xml:space="preserve">09/10 </v>
      </c>
      <c r="S63" s="237" t="str">
        <f t="shared" si="47"/>
        <v xml:space="preserve">10/11 </v>
      </c>
      <c r="T63" s="237" t="str">
        <f t="shared" si="47"/>
        <v xml:space="preserve">11/12 </v>
      </c>
      <c r="U63" s="237" t="str">
        <f t="shared" si="47"/>
        <v xml:space="preserve">12/13 </v>
      </c>
      <c r="V63" s="237" t="str">
        <f t="shared" si="47"/>
        <v xml:space="preserve">13/14 </v>
      </c>
      <c r="W63" s="237" t="str">
        <f t="shared" si="47"/>
        <v xml:space="preserve">14/15 </v>
      </c>
      <c r="X63" s="237" t="str">
        <f t="shared" si="47"/>
        <v xml:space="preserve">15/16 </v>
      </c>
      <c r="Y63" s="237" t="str">
        <f t="shared" si="47"/>
        <v xml:space="preserve">16/17 </v>
      </c>
      <c r="Z63" s="237" t="str">
        <f t="shared" si="47"/>
        <v xml:space="preserve">17/18 </v>
      </c>
      <c r="AA63" s="237" t="str">
        <f t="shared" si="47"/>
        <v xml:space="preserve">18/19 </v>
      </c>
      <c r="AB63" s="237" t="str">
        <f t="shared" si="47"/>
        <v xml:space="preserve">19/20 </v>
      </c>
      <c r="AC63" s="237" t="str">
        <f t="shared" si="47"/>
        <v xml:space="preserve">20/21 </v>
      </c>
      <c r="AD63" s="237" t="str">
        <f t="shared" si="47"/>
        <v xml:space="preserve">21/22 </v>
      </c>
      <c r="AE63" s="237" t="str">
        <f t="shared" si="47"/>
        <v xml:space="preserve">22/23 </v>
      </c>
      <c r="AF63" s="237" t="str">
        <f t="shared" si="47"/>
        <v>23/24</v>
      </c>
      <c r="AG63" s="237" t="str">
        <f t="shared" si="47"/>
        <v>23/25</v>
      </c>
      <c r="AH63" s="237" t="str">
        <f t="shared" si="47"/>
        <v>23/26</v>
      </c>
      <c r="AN63" s="201"/>
    </row>
    <row r="64" spans="1:40">
      <c r="A64" s="240" t="s">
        <v>239</v>
      </c>
      <c r="B64" s="290">
        <f>(SUM(K64:O64)/SUM(K$76:O$76))*B$76</f>
        <v>0</v>
      </c>
      <c r="C64" s="290">
        <v>1.7554849880184156</v>
      </c>
      <c r="D64" s="146">
        <f>'[2]China Sunflower Exports'!BD$290</f>
        <v>0.52663199999999999</v>
      </c>
      <c r="E64" s="146">
        <f>'[2]China Sunflower Exports'!BP$290</f>
        <v>1.2031829999999999</v>
      </c>
      <c r="F64" s="146">
        <f>'[2]China Sunflower Exports'!CB$290</f>
        <v>0.53033600000000003</v>
      </c>
      <c r="G64" s="146">
        <f>'[2]China Sunflower Exports'!CN$290</f>
        <v>0.47121800000000003</v>
      </c>
      <c r="H64" s="146">
        <f>'[2]China Sunflower Exports'!CZ$290</f>
        <v>3.9268200000000002</v>
      </c>
      <c r="I64" s="146">
        <f>'[2]China Sunflower Exports'!DL$290</f>
        <v>2.73325</v>
      </c>
      <c r="J64" s="146">
        <f>'[2]China Sunflower Exports'!DX$290</f>
        <v>2.9604379999999999</v>
      </c>
      <c r="K64" s="146">
        <f>'[2]China Sunflower Exports'!EJ$290</f>
        <v>1.7950410000000001</v>
      </c>
      <c r="L64" s="146">
        <f>'[2]China Sunflower Exports'!EV$290</f>
        <v>4.8645490000000002</v>
      </c>
      <c r="M64" s="146">
        <f>'[2]China Sunflower Exports'!FH$290</f>
        <v>3.8872390000000001</v>
      </c>
      <c r="N64" s="146">
        <f>'[2]China Sunflower Exports'!FT$290</f>
        <v>4.9008310000000002</v>
      </c>
      <c r="O64" s="146">
        <f>'[2]China Sunflower Exports'!GF$290</f>
        <v>5.431</v>
      </c>
      <c r="P64" s="146">
        <f>'[2]China Sunflower Exports'!GR$290</f>
        <v>5.0309999999999997</v>
      </c>
      <c r="Q64" s="146">
        <f>'[2]China Sunflower Exports'!HD$290</f>
        <v>4.9080000000000004</v>
      </c>
      <c r="R64" s="146">
        <f>'[2]China Sunflower Exports'!HP$290</f>
        <v>7.7750000000000004</v>
      </c>
      <c r="S64" s="146">
        <f>'[2]China Sunflower Exports'!IB$290</f>
        <v>8.4009999999999998</v>
      </c>
      <c r="T64" s="146">
        <f>'[2]China Sunflower Exports'!IN$290</f>
        <v>9.1549999999999994</v>
      </c>
      <c r="U64" s="146">
        <f>'[2]China Sunflower Exports'!IZ$290</f>
        <v>7.2359999999999998</v>
      </c>
      <c r="V64" s="146">
        <f>'[2]China Sunflower Exports'!JL$290</f>
        <v>16.242999999999999</v>
      </c>
      <c r="W64" s="146">
        <f>'[2]China Sunflower Exports'!JX$290</f>
        <v>18.805</v>
      </c>
      <c r="X64" s="146">
        <f>'[2]China Sunflower Exports'!KJ$290</f>
        <v>21.655000000000001</v>
      </c>
      <c r="Y64" s="146">
        <f>'[2]China Sunflower Exports'!KV$290</f>
        <v>19.895</v>
      </c>
      <c r="Z64" s="146">
        <f>'[2]China Sunflower Exports'!LH$290</f>
        <v>37.232999999999997</v>
      </c>
      <c r="AA64" s="146">
        <f>'[2]China Sunflower Exports'!LT$290</f>
        <v>23.243528999999999</v>
      </c>
      <c r="AB64" s="146">
        <f>'[2]China Sunflower Exports'!MF$290</f>
        <v>35.237240999999997</v>
      </c>
      <c r="AC64" s="146">
        <f>'[2]China Sunflower Exports'!MR$290</f>
        <v>35.394838999999997</v>
      </c>
      <c r="AD64" s="146">
        <f>'[2]China Sunflower Exports'!ND$290</f>
        <v>22.373999999999999</v>
      </c>
      <c r="AE64" s="253">
        <f>(SUM(Y64:AC64)/SUM(Y$76:AC$76))*AE$76</f>
        <v>37.498396739168584</v>
      </c>
      <c r="AF64" s="253">
        <f>(SUM(Z64:AD64)/SUM(Z$76:AD$76))*AF$76</f>
        <v>37.629030412689715</v>
      </c>
      <c r="AG64" s="253">
        <f t="shared" ref="AG64:AH64" si="48">(SUM(AA64:AE64)/SUM(AA$76:AE$76))*AG$76</f>
        <v>36.342992667392849</v>
      </c>
      <c r="AH64" s="253">
        <f t="shared" si="48"/>
        <v>38.014467030336178</v>
      </c>
      <c r="AN64" s="201"/>
    </row>
    <row r="65" spans="1:40">
      <c r="A65" s="240" t="s">
        <v>240</v>
      </c>
      <c r="B65" s="290">
        <f t="shared" ref="B65:B75" si="49">(SUM(K65:O65)/SUM(K$76:O$76))*B$76</f>
        <v>0</v>
      </c>
      <c r="C65" s="290">
        <v>1.728661474786658</v>
      </c>
      <c r="D65" s="146">
        <f>'[2]China Sunflower Exports'!BE$290</f>
        <v>0.46039099999999999</v>
      </c>
      <c r="E65" s="146">
        <f>'[2]China Sunflower Exports'!BQ$290</f>
        <v>3.3826670000000001</v>
      </c>
      <c r="F65" s="146">
        <f>'[2]China Sunflower Exports'!CC$290</f>
        <v>0.74770599999999998</v>
      </c>
      <c r="G65" s="146">
        <f>'[2]China Sunflower Exports'!CO$290</f>
        <v>0.82338699999999998</v>
      </c>
      <c r="H65" s="146">
        <f>'[2]China Sunflower Exports'!DA$290</f>
        <v>1.1423019999999999</v>
      </c>
      <c r="I65" s="146">
        <f>'[2]China Sunflower Exports'!DM$290</f>
        <v>3.0241530000000001</v>
      </c>
      <c r="J65" s="146">
        <f>'[2]China Sunflower Exports'!DY$290</f>
        <v>3.686026</v>
      </c>
      <c r="K65" s="146">
        <f>'[2]China Sunflower Exports'!EK$290</f>
        <v>2.4008949999999998</v>
      </c>
      <c r="L65" s="146">
        <f>'[2]China Sunflower Exports'!EW$290</f>
        <v>5.001881</v>
      </c>
      <c r="M65" s="146">
        <f>'[2]China Sunflower Exports'!FI$290</f>
        <v>5.1643400000000002</v>
      </c>
      <c r="N65" s="146">
        <f>'[2]China Sunflower Exports'!FU$290</f>
        <v>5.9580000000000002</v>
      </c>
      <c r="O65" s="146">
        <f>'[2]China Sunflower Exports'!GG$290</f>
        <v>6.2549999999999999</v>
      </c>
      <c r="P65" s="146">
        <f>'[2]China Sunflower Exports'!GS$290</f>
        <v>12.342000000000001</v>
      </c>
      <c r="Q65" s="146">
        <f>'[2]China Sunflower Exports'!HE$290</f>
        <v>8.9819999999999993</v>
      </c>
      <c r="R65" s="146">
        <f>'[2]China Sunflower Exports'!HQ$290</f>
        <v>13.468</v>
      </c>
      <c r="S65" s="146">
        <f>'[2]China Sunflower Exports'!IC$290</f>
        <v>20.524999999999999</v>
      </c>
      <c r="T65" s="146">
        <f>'[2]China Sunflower Exports'!IO$290</f>
        <v>14.182</v>
      </c>
      <c r="U65" s="146">
        <f>'[2]China Sunflower Exports'!JA$290</f>
        <v>19.257000000000001</v>
      </c>
      <c r="V65" s="146">
        <f>'[2]China Sunflower Exports'!JM$290</f>
        <v>31.254999999999999</v>
      </c>
      <c r="W65" s="146">
        <f>'[2]China Sunflower Exports'!JY$290</f>
        <v>27.509</v>
      </c>
      <c r="X65" s="146">
        <f>'[2]China Sunflower Exports'!KK$290</f>
        <v>27.509</v>
      </c>
      <c r="Y65" s="146">
        <f>'[2]China Sunflower Exports'!KW$290</f>
        <v>39.210999999999999</v>
      </c>
      <c r="Z65" s="146">
        <f>'[2]China Sunflower Exports'!LI$290</f>
        <v>46.469000000000001</v>
      </c>
      <c r="AA65" s="146">
        <f>'[2]China Sunflower Exports'!LU$290</f>
        <v>46.215012999999999</v>
      </c>
      <c r="AB65" s="146">
        <f>'[2]China Sunflower Exports'!MG$290</f>
        <v>56.754741000000003</v>
      </c>
      <c r="AC65" s="146">
        <f>'[2]China Sunflower Exports'!MS$290</f>
        <v>71.811143000000001</v>
      </c>
      <c r="AD65" s="146">
        <f>'[2]China Sunflower Exports'!NE$290</f>
        <v>39.511000000000003</v>
      </c>
      <c r="AE65" s="253">
        <f t="shared" ref="AD65:AH74" si="50">(SUM(Y65:AC65)/SUM(Y$76:AC$76))*AE$76</f>
        <v>64.679686236808578</v>
      </c>
      <c r="AF65" s="253">
        <f t="shared" si="50"/>
        <v>63.930238009266901</v>
      </c>
      <c r="AG65" s="253">
        <f t="shared" si="50"/>
        <v>65.943373738365167</v>
      </c>
      <c r="AH65" s="253">
        <f t="shared" si="50"/>
        <v>67.079971633610526</v>
      </c>
      <c r="AN65" s="201"/>
    </row>
    <row r="66" spans="1:40">
      <c r="A66" s="240" t="s">
        <v>241</v>
      </c>
      <c r="B66" s="290">
        <f t="shared" si="49"/>
        <v>0</v>
      </c>
      <c r="C66" s="290">
        <v>3.0239345371949278</v>
      </c>
      <c r="D66" s="146">
        <f>'[2]China Sunflower Exports'!BF$290</f>
        <v>1.032133</v>
      </c>
      <c r="E66" s="146">
        <f>'[2]China Sunflower Exports'!BR$290</f>
        <v>5.150703</v>
      </c>
      <c r="F66" s="146">
        <f>'[2]China Sunflower Exports'!CD$290</f>
        <v>1.0958589999999999</v>
      </c>
      <c r="G66" s="146">
        <f>'[2]China Sunflower Exports'!CP$290</f>
        <v>1.7288399999999999</v>
      </c>
      <c r="H66" s="146">
        <f>'[2]China Sunflower Exports'!DB$290</f>
        <v>2.4616189999999998</v>
      </c>
      <c r="I66" s="146">
        <f>'[2]China Sunflower Exports'!DN$290</f>
        <v>3.2377509999999998</v>
      </c>
      <c r="J66" s="146">
        <f>'[2]China Sunflower Exports'!DZ$290</f>
        <v>4.5315019999999997</v>
      </c>
      <c r="K66" s="146">
        <f>'[2]China Sunflower Exports'!EL$290</f>
        <v>6.0416160000000003</v>
      </c>
      <c r="L66" s="146">
        <f>'[2]China Sunflower Exports'!EX$290</f>
        <v>9.8504419999999993</v>
      </c>
      <c r="M66" s="146">
        <f>'[2]China Sunflower Exports'!FJ$290</f>
        <v>12.773633</v>
      </c>
      <c r="N66" s="146">
        <f>'[2]China Sunflower Exports'!FV$290</f>
        <v>11.795</v>
      </c>
      <c r="O66" s="146">
        <f>'[2]China Sunflower Exports'!GH$290</f>
        <v>8.5980000000000008</v>
      </c>
      <c r="P66" s="146">
        <f>'[2]China Sunflower Exports'!GT$290</f>
        <v>18.707000000000001</v>
      </c>
      <c r="Q66" s="146">
        <f>'[2]China Sunflower Exports'!HF$290</f>
        <v>12.349</v>
      </c>
      <c r="R66" s="146">
        <f>'[2]China Sunflower Exports'!HR$290</f>
        <v>18.190000000000001</v>
      </c>
      <c r="S66" s="146">
        <f>'[2]China Sunflower Exports'!ID$290</f>
        <v>24.337</v>
      </c>
      <c r="T66" s="146">
        <f>'[2]China Sunflower Exports'!IP$290</f>
        <v>24.504000000000001</v>
      </c>
      <c r="U66" s="146">
        <f>'[2]China Sunflower Exports'!JB$290</f>
        <v>19.085999999999999</v>
      </c>
      <c r="V66" s="146">
        <f>'[2]China Sunflower Exports'!JN$290</f>
        <v>30.538</v>
      </c>
      <c r="W66" s="146">
        <f>'[2]China Sunflower Exports'!JZ$290</f>
        <v>34.348999999999997</v>
      </c>
      <c r="X66" s="146">
        <f>'[2]China Sunflower Exports'!KL$290</f>
        <v>39.746000000000002</v>
      </c>
      <c r="Y66" s="146">
        <f>'[2]China Sunflower Exports'!KX$290</f>
        <v>39.412999999999997</v>
      </c>
      <c r="Z66" s="146">
        <f>'[2]China Sunflower Exports'!LJ$290</f>
        <v>59.862000000000002</v>
      </c>
      <c r="AA66" s="146">
        <f>'[2]China Sunflower Exports'!LV$290</f>
        <v>57.472026999999997</v>
      </c>
      <c r="AB66" s="146">
        <f>'[2]China Sunflower Exports'!MH$290</f>
        <v>62.796005999999998</v>
      </c>
      <c r="AC66" s="146">
        <f>'[2]China Sunflower Exports'!MT$290</f>
        <v>55.489488999999999</v>
      </c>
      <c r="AD66" s="146">
        <f>'[2]China Sunflower Exports'!NF$290</f>
        <v>52.469000000000001</v>
      </c>
      <c r="AE66" s="253">
        <f t="shared" si="50"/>
        <v>68.298226078358923</v>
      </c>
      <c r="AF66" s="253">
        <f t="shared" si="50"/>
        <v>70.630098266604449</v>
      </c>
      <c r="AG66" s="253">
        <f t="shared" si="50"/>
        <v>70.092595304258197</v>
      </c>
      <c r="AH66" s="253">
        <f t="shared" si="50"/>
        <v>70.018329631450555</v>
      </c>
      <c r="AN66" s="201"/>
    </row>
    <row r="67" spans="1:40">
      <c r="A67" s="240" t="s">
        <v>231</v>
      </c>
      <c r="B67" s="290">
        <f t="shared" si="49"/>
        <v>0</v>
      </c>
      <c r="C67" s="146">
        <f>'[2]China Sunflower Exports'!AU$290</f>
        <v>1.971762</v>
      </c>
      <c r="D67" s="146">
        <f>'[2]China Sunflower Exports'!BG$290</f>
        <v>0.73406300000000002</v>
      </c>
      <c r="E67" s="146">
        <f>'[2]China Sunflower Exports'!BS$290</f>
        <v>3.0917370000000002</v>
      </c>
      <c r="F67" s="146">
        <f>'[2]China Sunflower Exports'!CE$290</f>
        <v>0.56131799999999998</v>
      </c>
      <c r="G67" s="146">
        <f>'[2]China Sunflower Exports'!CQ$290</f>
        <v>1.4139250000000001</v>
      </c>
      <c r="H67" s="146">
        <f>'[2]China Sunflower Exports'!DC$290</f>
        <v>2.172736</v>
      </c>
      <c r="I67" s="146">
        <f>'[2]China Sunflower Exports'!DO$290</f>
        <v>2.5339330000000002</v>
      </c>
      <c r="J67" s="146">
        <f>'[2]China Sunflower Exports'!EA$290</f>
        <v>3.425081</v>
      </c>
      <c r="K67" s="146">
        <f>'[2]China Sunflower Exports'!EM$290</f>
        <v>5.4843390000000003</v>
      </c>
      <c r="L67" s="146">
        <f>'[2]China Sunflower Exports'!EY$290</f>
        <v>6.6455729999999997</v>
      </c>
      <c r="M67" s="146">
        <f>'[2]China Sunflower Exports'!FK$290</f>
        <v>14.679166</v>
      </c>
      <c r="N67" s="146">
        <f>'[2]China Sunflower Exports'!FW$290</f>
        <v>11.15</v>
      </c>
      <c r="O67" s="146">
        <f>'[2]China Sunflower Exports'!GI$290</f>
        <v>9.0559999999999992</v>
      </c>
      <c r="P67" s="146">
        <f>'[2]China Sunflower Exports'!GU$290</f>
        <v>21.797999999999998</v>
      </c>
      <c r="Q67" s="146">
        <f>'[2]China Sunflower Exports'!HG$290</f>
        <v>14.957000000000001</v>
      </c>
      <c r="R67" s="146">
        <f>'[2]China Sunflower Exports'!HS$290</f>
        <v>21.617999999999999</v>
      </c>
      <c r="S67" s="146">
        <f>'[2]China Sunflower Exports'!IE$290</f>
        <v>26.687000000000001</v>
      </c>
      <c r="T67" s="146">
        <f>'[2]China Sunflower Exports'!IQ$290</f>
        <v>29.059000000000001</v>
      </c>
      <c r="U67" s="146">
        <f>'[2]China Sunflower Exports'!JC$290</f>
        <v>23.777999999999999</v>
      </c>
      <c r="V67" s="146">
        <f>'[2]China Sunflower Exports'!JO$290</f>
        <v>20.861999999999998</v>
      </c>
      <c r="W67" s="146">
        <f>'[2]China Sunflower Exports'!KA$290</f>
        <v>30.68</v>
      </c>
      <c r="X67" s="146">
        <f>'[2]China Sunflower Exports'!KM$290</f>
        <v>42.167000000000002</v>
      </c>
      <c r="Y67" s="146">
        <f>'[2]China Sunflower Exports'!KY$290</f>
        <v>41.067999999999998</v>
      </c>
      <c r="Z67" s="146">
        <f>'[2]China Sunflower Exports'!LK$290</f>
        <v>55.042000000000002</v>
      </c>
      <c r="AA67" s="146">
        <f>'[2]China Sunflower Exports'!LW$290</f>
        <v>66.214851999999993</v>
      </c>
      <c r="AB67" s="146">
        <f>'[2]China Sunflower Exports'!MI$290</f>
        <v>35.298974000000001</v>
      </c>
      <c r="AC67" s="146">
        <f>'[2]China Sunflower Exports'!MU$290</f>
        <v>65.319000000000003</v>
      </c>
      <c r="AD67" s="146">
        <f>'[2]China Sunflower Exports'!NG$290</f>
        <v>59.49</v>
      </c>
      <c r="AE67" s="253">
        <f t="shared" si="50"/>
        <v>65.296018249909338</v>
      </c>
      <c r="AF67" s="253">
        <f t="shared" si="50"/>
        <v>68.981662897163488</v>
      </c>
      <c r="AG67" s="253">
        <f t="shared" si="50"/>
        <v>68.932936510590636</v>
      </c>
      <c r="AH67" s="253">
        <f t="shared" si="50"/>
        <v>66.559688020334193</v>
      </c>
      <c r="AM67">
        <v>45.248880861376151</v>
      </c>
      <c r="AN67" s="209">
        <f t="shared" ref="AN67:AN75" si="51">AD67-AM67</f>
        <v>14.241119138623851</v>
      </c>
    </row>
    <row r="68" spans="1:40">
      <c r="A68" s="240" t="s">
        <v>232</v>
      </c>
      <c r="B68" s="290">
        <f t="shared" si="49"/>
        <v>0</v>
      </c>
      <c r="C68" s="146">
        <f>'[2]China Sunflower Exports'!AV$290</f>
        <v>1.1124259999999999</v>
      </c>
      <c r="D68" s="146">
        <f>'[2]China Sunflower Exports'!BH$290</f>
        <v>1.0549470000000001</v>
      </c>
      <c r="E68" s="146">
        <f>'[2]China Sunflower Exports'!BT$290</f>
        <v>1.6598189999999999</v>
      </c>
      <c r="F68" s="146">
        <f>'[2]China Sunflower Exports'!CF$290</f>
        <v>0.607159</v>
      </c>
      <c r="G68" s="146">
        <f>'[2]China Sunflower Exports'!CR$290</f>
        <v>0.96449700000000005</v>
      </c>
      <c r="H68" s="146">
        <f>'[2]China Sunflower Exports'!DD$290</f>
        <v>1.627434</v>
      </c>
      <c r="I68" s="146">
        <f>'[2]China Sunflower Exports'!DP$290</f>
        <v>2.8820929999999998</v>
      </c>
      <c r="J68" s="146">
        <f>'[2]China Sunflower Exports'!EB$290</f>
        <v>2.576549</v>
      </c>
      <c r="K68" s="146">
        <f>'[2]China Sunflower Exports'!EN$290</f>
        <v>5.3106090000000004</v>
      </c>
      <c r="L68" s="146">
        <f>'[2]China Sunflower Exports'!EZ$290</f>
        <v>6.704796</v>
      </c>
      <c r="M68" s="146">
        <f>'[2]China Sunflower Exports'!FL$290</f>
        <v>9.9765379999999997</v>
      </c>
      <c r="N68" s="146">
        <f>'[2]China Sunflower Exports'!FX$290</f>
        <v>8.0530000000000008</v>
      </c>
      <c r="O68" s="146">
        <f>'[2]China Sunflower Exports'!GJ$290</f>
        <v>9.3629999999999995</v>
      </c>
      <c r="P68" s="146">
        <f>'[2]China Sunflower Exports'!GV$290</f>
        <v>14.077</v>
      </c>
      <c r="Q68" s="146">
        <f>'[2]China Sunflower Exports'!HH$290</f>
        <v>8.8919999999999995</v>
      </c>
      <c r="R68" s="146">
        <f>'[2]China Sunflower Exports'!HT$290</f>
        <v>12.045999999999999</v>
      </c>
      <c r="S68" s="146">
        <f>'[2]China Sunflower Exports'!IF$290</f>
        <v>11.585000000000001</v>
      </c>
      <c r="T68" s="146">
        <f>'[2]China Sunflower Exports'!IR$290</f>
        <v>18.872</v>
      </c>
      <c r="U68" s="146">
        <f>'[2]China Sunflower Exports'!JD$290</f>
        <v>12.648999999999999</v>
      </c>
      <c r="V68" s="146">
        <f>'[2]China Sunflower Exports'!JP$290</f>
        <v>9.8160000000000007</v>
      </c>
      <c r="W68" s="146">
        <f>'[2]China Sunflower Exports'!KB$290</f>
        <v>23.222000000000001</v>
      </c>
      <c r="X68" s="146">
        <f>'[2]China Sunflower Exports'!KN$290</f>
        <v>29.88</v>
      </c>
      <c r="Y68" s="146">
        <f>'[2]China Sunflower Exports'!KZ$290</f>
        <v>26.087</v>
      </c>
      <c r="Z68" s="146">
        <f>'[2]China Sunflower Exports'!LL$290</f>
        <v>32.229999999999997</v>
      </c>
      <c r="AA68" s="146">
        <f>'[2]China Sunflower Exports'!LX$290</f>
        <v>32.307825000000001</v>
      </c>
      <c r="AB68" s="146">
        <f>'[2]China Sunflower Exports'!MJ$290</f>
        <v>35.298974000000001</v>
      </c>
      <c r="AC68" s="146">
        <f>'[2]China Sunflower Exports'!MV$290</f>
        <v>36.584000000000003</v>
      </c>
      <c r="AD68" s="146">
        <f>'[2]China Sunflower Exports'!NH$290</f>
        <v>36.911000000000001</v>
      </c>
      <c r="AE68" s="253">
        <f t="shared" si="50"/>
        <v>40.355207140188703</v>
      </c>
      <c r="AF68" s="253">
        <f t="shared" si="50"/>
        <v>42.495417419293545</v>
      </c>
      <c r="AG68" s="253">
        <f t="shared" si="50"/>
        <v>42.892853223655734</v>
      </c>
      <c r="AH68" s="253">
        <f t="shared" si="50"/>
        <v>43.33025223164703</v>
      </c>
      <c r="AM68">
        <v>21.400405579739729</v>
      </c>
      <c r="AN68" s="209">
        <f t="shared" si="51"/>
        <v>15.510594420260272</v>
      </c>
    </row>
    <row r="69" spans="1:40">
      <c r="A69" s="240" t="s">
        <v>233</v>
      </c>
      <c r="B69" s="290">
        <f t="shared" si="49"/>
        <v>0</v>
      </c>
      <c r="C69" s="146">
        <f>'[2]China Sunflower Exports'!AW$290</f>
        <v>1.066017</v>
      </c>
      <c r="D69" s="146">
        <f>'[2]China Sunflower Exports'!BI$290</f>
        <v>0.61836800000000003</v>
      </c>
      <c r="E69" s="146">
        <f>'[2]China Sunflower Exports'!BU$290</f>
        <v>1.9883519999999999</v>
      </c>
      <c r="F69" s="146">
        <f>'[2]China Sunflower Exports'!CG$290</f>
        <v>0.61841699999999999</v>
      </c>
      <c r="G69" s="146">
        <f>'[2]China Sunflower Exports'!CS$290</f>
        <v>1.1438349999999999</v>
      </c>
      <c r="H69" s="146">
        <f>'[2]China Sunflower Exports'!DE$290</f>
        <v>2.4706700000000001</v>
      </c>
      <c r="I69" s="146">
        <f>'[2]China Sunflower Exports'!DQ$290</f>
        <v>4.3616820000000001</v>
      </c>
      <c r="J69" s="146">
        <f>'[2]China Sunflower Exports'!EC$290</f>
        <v>2.2681550000000001</v>
      </c>
      <c r="K69" s="146">
        <f>'[2]China Sunflower Exports'!EO$290</f>
        <v>6.690105</v>
      </c>
      <c r="L69" s="146">
        <f>'[2]China Sunflower Exports'!FA$290</f>
        <v>7.7891050000000002</v>
      </c>
      <c r="M69" s="146">
        <f>'[2]China Sunflower Exports'!FM$290</f>
        <v>13.623329999999999</v>
      </c>
      <c r="N69" s="146">
        <f>'[2]China Sunflower Exports'!FY$290</f>
        <v>12.116</v>
      </c>
      <c r="O69" s="146">
        <f>'[2]China Sunflower Exports'!GK$290</f>
        <v>8.9380000000000006</v>
      </c>
      <c r="P69" s="146">
        <f>'[2]China Sunflower Exports'!GW$290</f>
        <v>13.499000000000001</v>
      </c>
      <c r="Q69" s="146">
        <f>'[2]China Sunflower Exports'!HI$290</f>
        <v>10.331</v>
      </c>
      <c r="R69" s="146">
        <f>'[2]China Sunflower Exports'!HU$290</f>
        <v>10.612</v>
      </c>
      <c r="S69" s="146">
        <f>'[2]China Sunflower Exports'!IG$290</f>
        <v>14.298999999999999</v>
      </c>
      <c r="T69" s="146">
        <f>'[2]China Sunflower Exports'!IS$290</f>
        <v>23.363</v>
      </c>
      <c r="U69" s="146">
        <f>'[2]China Sunflower Exports'!JE$290</f>
        <v>7.6980000000000004</v>
      </c>
      <c r="V69" s="146">
        <f>'[2]China Sunflower Exports'!JQ$290</f>
        <v>11.547000000000001</v>
      </c>
      <c r="W69" s="146">
        <f>'[2]China Sunflower Exports'!KC$290</f>
        <v>19.283999999999999</v>
      </c>
      <c r="X69" s="146">
        <f>'[2]China Sunflower Exports'!KO$290</f>
        <v>28.13</v>
      </c>
      <c r="Y69" s="146">
        <f>'[2]China Sunflower Exports'!LA$290</f>
        <v>37.241999999999997</v>
      </c>
      <c r="Z69" s="146">
        <f>'[2]China Sunflower Exports'!LM$290</f>
        <v>40.417000000000002</v>
      </c>
      <c r="AA69" s="146">
        <f>'[2]China Sunflower Exports'!LY$290</f>
        <v>68.649726999999999</v>
      </c>
      <c r="AB69" s="146">
        <f>'[2]China Sunflower Exports'!MK$290</f>
        <v>70.970545000000001</v>
      </c>
      <c r="AC69" s="146">
        <f>'[2]China Sunflower Exports'!MW$290</f>
        <v>40.081000000000003</v>
      </c>
      <c r="AD69" s="146">
        <f>'[2]China Sunflower Exports'!NI$290</f>
        <v>42.762</v>
      </c>
      <c r="AE69" s="253">
        <f>(SUM(Y69:AC69)/SUM(Y$76:AC$76))*AE$76</f>
        <v>63.90971479599763</v>
      </c>
      <c r="AF69" s="253">
        <f>(SUM(Z69:AD69)/SUM(Z$76:AD$76))*AF$76</f>
        <v>64.449841023904824</v>
      </c>
      <c r="AG69" s="253">
        <f t="shared" si="50"/>
        <v>67.6929193925466</v>
      </c>
      <c r="AH69" s="253">
        <f t="shared" si="50"/>
        <v>63.798467180474503</v>
      </c>
      <c r="AM69">
        <v>26.309089869038836</v>
      </c>
      <c r="AN69" s="209">
        <f t="shared" si="51"/>
        <v>16.452910130961165</v>
      </c>
    </row>
    <row r="70" spans="1:40">
      <c r="A70" s="240" t="s">
        <v>234</v>
      </c>
      <c r="B70" s="290">
        <f t="shared" si="49"/>
        <v>0</v>
      </c>
      <c r="C70" s="146">
        <f>'[2]China Sunflower Exports'!AX$290</f>
        <v>0.65969299999999997</v>
      </c>
      <c r="D70" s="146">
        <f>'[2]China Sunflower Exports'!BJ$290</f>
        <v>0.58877199999999996</v>
      </c>
      <c r="E70" s="146">
        <f>'[2]China Sunflower Exports'!BV$290</f>
        <v>1.4001220000000001</v>
      </c>
      <c r="F70" s="146">
        <f>'[2]China Sunflower Exports'!CH$290</f>
        <v>0.511799</v>
      </c>
      <c r="G70" s="146">
        <f>'[2]China Sunflower Exports'!CT$290</f>
        <v>1.381332</v>
      </c>
      <c r="H70" s="146">
        <f>'[2]China Sunflower Exports'!DF$290</f>
        <v>2.722702</v>
      </c>
      <c r="I70" s="146">
        <f>'[2]China Sunflower Exports'!DR$290</f>
        <v>4.1437970000000002</v>
      </c>
      <c r="J70" s="146">
        <f>'[2]China Sunflower Exports'!ED$290</f>
        <v>2.0706739999999999</v>
      </c>
      <c r="K70" s="146">
        <f>'[2]China Sunflower Exports'!EP$290</f>
        <v>6.4988939999999999</v>
      </c>
      <c r="L70" s="146">
        <f>'[2]China Sunflower Exports'!FB$290</f>
        <v>6.8578409999999996</v>
      </c>
      <c r="M70" s="146">
        <f>'[2]China Sunflower Exports'!FN$290</f>
        <v>14.083539999999999</v>
      </c>
      <c r="N70" s="146">
        <f>'[2]China Sunflower Exports'!FZ$290</f>
        <v>12.106999999999999</v>
      </c>
      <c r="O70" s="146">
        <f>'[2]China Sunflower Exports'!GL$290</f>
        <v>11.439</v>
      </c>
      <c r="P70" s="146">
        <f>'[2]China Sunflower Exports'!GX$290</f>
        <v>14.1</v>
      </c>
      <c r="Q70" s="146">
        <f>'[2]China Sunflower Exports'!HJ$290</f>
        <v>10.837</v>
      </c>
      <c r="R70" s="146">
        <f>'[2]China Sunflower Exports'!HV$290</f>
        <v>9.8279999999999994</v>
      </c>
      <c r="S70" s="146">
        <f>'[2]China Sunflower Exports'!IH$290</f>
        <v>14.395</v>
      </c>
      <c r="T70" s="146">
        <f>'[2]China Sunflower Exports'!IT$290</f>
        <v>16.116</v>
      </c>
      <c r="U70" s="146">
        <f>'[2]China Sunflower Exports'!JF$290</f>
        <v>12.784000000000001</v>
      </c>
      <c r="V70" s="146">
        <f>'[2]China Sunflower Exports'!JR$290</f>
        <v>12.138999999999999</v>
      </c>
      <c r="W70" s="146">
        <f>'[2]China Sunflower Exports'!KD$290</f>
        <v>24.36</v>
      </c>
      <c r="X70" s="146">
        <f>'[2]China Sunflower Exports'!KP$290</f>
        <v>25.202000000000002</v>
      </c>
      <c r="Y70" s="146">
        <f>'[2]China Sunflower Exports'!LB$290</f>
        <v>41.418999999999997</v>
      </c>
      <c r="Z70" s="146">
        <f>'[2]China Sunflower Exports'!LN$290</f>
        <v>58.822401999999997</v>
      </c>
      <c r="AA70" s="146">
        <f>'[2]China Sunflower Exports'!LZ$290</f>
        <v>60.159215000000003</v>
      </c>
      <c r="AB70" s="146">
        <f>'[2]China Sunflower Exports'!ML$290</f>
        <v>58.042274999999997</v>
      </c>
      <c r="AC70" s="146">
        <f>'[2]China Sunflower Exports'!MX$290</f>
        <v>37.527000000000001</v>
      </c>
      <c r="AD70" s="253">
        <f>(SUM(X70:AB70)/SUM(X$76:AB$76))*AD$76-7+1</f>
        <v>39.371199447098341</v>
      </c>
      <c r="AE70" s="253">
        <f t="shared" si="50"/>
        <v>63.564444764350874</v>
      </c>
      <c r="AF70" s="253">
        <f t="shared" si="50"/>
        <v>62.253581456363186</v>
      </c>
      <c r="AG70" s="253">
        <f t="shared" si="50"/>
        <v>61.143093777178876</v>
      </c>
      <c r="AH70" s="253">
        <f t="shared" si="50"/>
        <v>58.956692181311524</v>
      </c>
      <c r="AM70">
        <v>38.976148773059656</v>
      </c>
      <c r="AN70" s="209">
        <f t="shared" si="51"/>
        <v>0.39505067403868566</v>
      </c>
    </row>
    <row r="71" spans="1:40">
      <c r="A71" s="240" t="s">
        <v>46</v>
      </c>
      <c r="B71" s="290">
        <f t="shared" si="49"/>
        <v>0</v>
      </c>
      <c r="C71" s="146">
        <f>'[2]China Sunflower Exports'!AY$290</f>
        <v>0.88004000000000004</v>
      </c>
      <c r="D71" s="146">
        <f>'[2]China Sunflower Exports'!BK$290</f>
        <v>0.96853500000000003</v>
      </c>
      <c r="E71" s="146">
        <f>'[2]China Sunflower Exports'!BW$290</f>
        <v>1.333582</v>
      </c>
      <c r="F71" s="146">
        <f>'[2]China Sunflower Exports'!CI$290</f>
        <v>0.51015699999999997</v>
      </c>
      <c r="G71" s="146">
        <f>'[2]China Sunflower Exports'!CU$290</f>
        <v>1.620082</v>
      </c>
      <c r="H71" s="146">
        <f>'[2]China Sunflower Exports'!DG$290</f>
        <v>3.8405990000000001</v>
      </c>
      <c r="I71" s="146">
        <f>'[2]China Sunflower Exports'!DS$290</f>
        <v>2.3190629999999999</v>
      </c>
      <c r="J71" s="146">
        <f>'[2]China Sunflower Exports'!EE$290</f>
        <v>1.75054</v>
      </c>
      <c r="K71" s="146">
        <f>'[2]China Sunflower Exports'!EQ$290</f>
        <v>6.1297769999999998</v>
      </c>
      <c r="L71" s="146">
        <f>'[2]China Sunflower Exports'!FC$290</f>
        <v>5.0040959999999997</v>
      </c>
      <c r="M71" s="146">
        <f>'[2]China Sunflower Exports'!FO$290</f>
        <v>11.674716999999999</v>
      </c>
      <c r="N71" s="146">
        <f>'[2]China Sunflower Exports'!GA$290</f>
        <v>10.358000000000001</v>
      </c>
      <c r="O71" s="146">
        <f>'[2]China Sunflower Exports'!GM$290</f>
        <v>10.249000000000001</v>
      </c>
      <c r="P71" s="146">
        <f>'[2]China Sunflower Exports'!GY$290</f>
        <v>14.885</v>
      </c>
      <c r="Q71" s="146">
        <f>'[2]China Sunflower Exports'!HK$290</f>
        <v>10.624000000000001</v>
      </c>
      <c r="R71" s="146">
        <f>'[2]China Sunflower Exports'!HW$290</f>
        <v>13.852</v>
      </c>
      <c r="S71" s="146">
        <f>'[2]China Sunflower Exports'!II$290</f>
        <v>11.215</v>
      </c>
      <c r="T71" s="146">
        <f>'[2]China Sunflower Exports'!IU$290</f>
        <v>12.675000000000001</v>
      </c>
      <c r="U71" s="146">
        <f>'[2]China Sunflower Exports'!JG$290</f>
        <v>14.086</v>
      </c>
      <c r="V71" s="146">
        <f>'[2]China Sunflower Exports'!JS$290</f>
        <v>12.616</v>
      </c>
      <c r="W71" s="146">
        <f>'[2]China Sunflower Exports'!KE$290</f>
        <v>18.978999999999999</v>
      </c>
      <c r="X71" s="146">
        <f>'[2]China Sunflower Exports'!KQ$290</f>
        <v>18.305</v>
      </c>
      <c r="Y71" s="146">
        <f>'[2]China Sunflower Exports'!LC$290</f>
        <v>28.323</v>
      </c>
      <c r="Z71" s="146">
        <f>'[2]China Sunflower Exports'!LO$290</f>
        <v>56.057265000000001</v>
      </c>
      <c r="AA71" s="146">
        <f>'[2]China Sunflower Exports'!MA$290</f>
        <v>40.435147999999998</v>
      </c>
      <c r="AB71" s="146">
        <f>'[2]China Sunflower Exports'!MM$290</f>
        <v>56.325377000000003</v>
      </c>
      <c r="AC71" s="146">
        <f>'[2]China Sunflower Exports'!MY$290</f>
        <v>42.35</v>
      </c>
      <c r="AD71" s="253">
        <f t="shared" si="50"/>
        <v>37.140506590115962</v>
      </c>
      <c r="AE71" s="253">
        <f t="shared" si="50"/>
        <v>55.498980232785108</v>
      </c>
      <c r="AF71" s="253">
        <f t="shared" si="50"/>
        <v>56.954569735712631</v>
      </c>
      <c r="AG71" s="253">
        <f t="shared" si="50"/>
        <v>54.781126687500183</v>
      </c>
      <c r="AH71" s="253">
        <f t="shared" si="50"/>
        <v>56.132952654879809</v>
      </c>
      <c r="AM71">
        <v>37.635713344650839</v>
      </c>
      <c r="AN71" s="209">
        <f t="shared" si="51"/>
        <v>-0.49520675453487684</v>
      </c>
    </row>
    <row r="72" spans="1:40">
      <c r="A72" s="240" t="s">
        <v>235</v>
      </c>
      <c r="B72" s="290">
        <f t="shared" si="49"/>
        <v>0</v>
      </c>
      <c r="C72" s="146">
        <f>'[2]China Sunflower Exports'!AZ$290</f>
        <v>1.362959</v>
      </c>
      <c r="D72" s="146">
        <f>'[2]China Sunflower Exports'!BL$290</f>
        <v>1.6720729999999999</v>
      </c>
      <c r="E72" s="146">
        <f>'[2]China Sunflower Exports'!BX$290</f>
        <v>2.0273279999999998</v>
      </c>
      <c r="F72" s="146">
        <f>'[2]China Sunflower Exports'!CJ$290</f>
        <v>0.54980399999999996</v>
      </c>
      <c r="G72" s="146">
        <f>'[2]China Sunflower Exports'!CV$290</f>
        <v>1.6464920000000001</v>
      </c>
      <c r="H72" s="146">
        <f>'[2]China Sunflower Exports'!DH$290</f>
        <v>5.6098619999999997</v>
      </c>
      <c r="I72" s="146">
        <f>'[2]China Sunflower Exports'!DT$290</f>
        <v>2.5596719999999999</v>
      </c>
      <c r="J72" s="146">
        <f>'[2]China Sunflower Exports'!EF$290</f>
        <v>1.4453</v>
      </c>
      <c r="K72" s="146">
        <f>'[2]China Sunflower Exports'!ER$290</f>
        <v>4.7236820000000002</v>
      </c>
      <c r="L72" s="146">
        <f>'[2]China Sunflower Exports'!FD$290</f>
        <v>5.5746729999999998</v>
      </c>
      <c r="M72" s="146">
        <f>'[2]China Sunflower Exports'!FP$290</f>
        <v>9.9091269999999998</v>
      </c>
      <c r="N72" s="146">
        <f>'[2]China Sunflower Exports'!GB$290</f>
        <v>10.239000000000001</v>
      </c>
      <c r="O72" s="146">
        <f>'[2]China Sunflower Exports'!GN$290</f>
        <v>8.2759999999999998</v>
      </c>
      <c r="P72" s="146">
        <f>'[2]China Sunflower Exports'!GZ$290</f>
        <v>10.077999999999999</v>
      </c>
      <c r="Q72" s="146">
        <f>'[2]China Sunflower Exports'!HL$290</f>
        <v>9.1630000000000003</v>
      </c>
      <c r="R72" s="146">
        <f>'[2]China Sunflower Exports'!HX$290</f>
        <v>10.284000000000001</v>
      </c>
      <c r="S72" s="146">
        <f>'[2]China Sunflower Exports'!IJ$290</f>
        <v>10.31</v>
      </c>
      <c r="T72" s="146">
        <f>'[2]China Sunflower Exports'!IV$290</f>
        <v>11.366</v>
      </c>
      <c r="U72" s="146">
        <f>'[2]China Sunflower Exports'!JH$290</f>
        <v>14.558999999999999</v>
      </c>
      <c r="V72" s="146">
        <f>'[2]China Sunflower Exports'!JT$290</f>
        <v>9.2040000000000006</v>
      </c>
      <c r="W72" s="146">
        <f>'[2]China Sunflower Exports'!KF$290</f>
        <v>16.064</v>
      </c>
      <c r="X72" s="146">
        <f>'[2]China Sunflower Exports'!KR$290</f>
        <v>13.72</v>
      </c>
      <c r="Y72" s="146">
        <f>'[2]China Sunflower Exports'!LD$290</f>
        <v>25.207999999999998</v>
      </c>
      <c r="Z72" s="146">
        <f>'[2]China Sunflower Exports'!LP$290</f>
        <v>30.679973</v>
      </c>
      <c r="AA72" s="146">
        <f>'[2]China Sunflower Exports'!MB$290</f>
        <v>28.364695999999999</v>
      </c>
      <c r="AB72" s="146">
        <f>'[2]China Sunflower Exports'!MN$290</f>
        <v>30.610242</v>
      </c>
      <c r="AC72" s="146">
        <f>'[2]China Sunflower Exports'!MZ$290</f>
        <v>32.030999999999999</v>
      </c>
      <c r="AD72" s="253">
        <f t="shared" si="50"/>
        <v>23.944523739366943</v>
      </c>
      <c r="AE72" s="253">
        <f t="shared" si="50"/>
        <v>36.477844402024331</v>
      </c>
      <c r="AF72" s="253">
        <f t="shared" si="50"/>
        <v>35.703928239979703</v>
      </c>
      <c r="AG72" s="253">
        <f t="shared" si="50"/>
        <v>35.79466148698328</v>
      </c>
      <c r="AH72" s="253">
        <f t="shared" si="50"/>
        <v>35.896850398981002</v>
      </c>
      <c r="AM72">
        <v>24.263784055891836</v>
      </c>
      <c r="AN72" s="209">
        <f t="shared" si="51"/>
        <v>-0.31926031652489328</v>
      </c>
    </row>
    <row r="73" spans="1:40">
      <c r="A73" s="240" t="s">
        <v>236</v>
      </c>
      <c r="B73" s="290">
        <f t="shared" si="49"/>
        <v>0</v>
      </c>
      <c r="C73" s="146">
        <f>'[2]China Sunflower Exports'!BA$290</f>
        <v>0.66657299999999997</v>
      </c>
      <c r="D73" s="146">
        <f>'[2]China Sunflower Exports'!BM$290</f>
        <v>1.259166</v>
      </c>
      <c r="E73" s="146">
        <f>'[2]China Sunflower Exports'!BY$290</f>
        <v>0.757158</v>
      </c>
      <c r="F73" s="146">
        <f>'[2]China Sunflower Exports'!CK$290</f>
        <v>0.77529499999999996</v>
      </c>
      <c r="G73" s="146">
        <f>'[2]China Sunflower Exports'!CW$290</f>
        <v>2.1852909999999999</v>
      </c>
      <c r="H73" s="146">
        <f>'[2]China Sunflower Exports'!DI$290</f>
        <v>4.4979579999999997</v>
      </c>
      <c r="I73" s="146">
        <f>'[2]China Sunflower Exports'!DU$290</f>
        <v>3.7830170000000001</v>
      </c>
      <c r="J73" s="146">
        <f>'[2]China Sunflower Exports'!EG$290</f>
        <v>1.4592830000000001</v>
      </c>
      <c r="K73" s="146">
        <f>'[2]China Sunflower Exports'!ES$290</f>
        <v>5.2039470000000003</v>
      </c>
      <c r="L73" s="146">
        <f>'[2]China Sunflower Exports'!FE$290</f>
        <v>5.2250589999999999</v>
      </c>
      <c r="M73" s="146">
        <f>'[2]China Sunflower Exports'!FQ$290</f>
        <v>6.4266430000000003</v>
      </c>
      <c r="N73" s="146">
        <f>'[2]China Sunflower Exports'!GC$290</f>
        <v>9.48</v>
      </c>
      <c r="O73" s="146">
        <f>'[2]China Sunflower Exports'!GO$290</f>
        <v>7.9580000000000002</v>
      </c>
      <c r="P73" s="146">
        <f>'[2]China Sunflower Exports'!HA$290</f>
        <v>8.468</v>
      </c>
      <c r="Q73" s="146">
        <f>'[2]China Sunflower Exports'!HM$290</f>
        <v>7.5960000000000001</v>
      </c>
      <c r="R73" s="146">
        <f>'[2]China Sunflower Exports'!HY$290</f>
        <v>5.8710000000000004</v>
      </c>
      <c r="S73" s="146">
        <f>'[2]China Sunflower Exports'!IK$290</f>
        <v>13.606</v>
      </c>
      <c r="T73" s="146">
        <f>'[2]China Sunflower Exports'!IW$290</f>
        <v>9.3379999999999992</v>
      </c>
      <c r="U73" s="146">
        <f>'[2]China Sunflower Exports'!JI$290</f>
        <v>7.585</v>
      </c>
      <c r="V73" s="146">
        <f>'[2]China Sunflower Exports'!JU$290</f>
        <v>7.3120000000000003</v>
      </c>
      <c r="W73" s="146">
        <f>'[2]China Sunflower Exports'!KG$290</f>
        <v>12.237</v>
      </c>
      <c r="X73" s="146">
        <f>'[2]China Sunflower Exports'!KS$290</f>
        <v>12.141</v>
      </c>
      <c r="Y73" s="146">
        <f>'[2]China Sunflower Exports'!LE$290</f>
        <v>22.914999999999999</v>
      </c>
      <c r="Z73" s="146">
        <f>'[2]China Sunflower Exports'!LQ$290</f>
        <v>28.857317999999999</v>
      </c>
      <c r="AA73" s="146">
        <f>'[2]China Sunflower Exports'!MC$290</f>
        <v>13.343636</v>
      </c>
      <c r="AB73" s="146">
        <f>'[2]China Sunflower Exports'!MO$290</f>
        <v>22.606570000000001</v>
      </c>
      <c r="AC73" s="146">
        <f>'[2]China Sunflower Exports'!NA$290</f>
        <v>20.056000000000001</v>
      </c>
      <c r="AD73" s="253">
        <f>(SUM(X73:AB73)/SUM(X$76:AB$76))*AD$76</f>
        <v>18.596441024070767</v>
      </c>
      <c r="AE73" s="253">
        <f>(SUM(Y73:AC73)/SUM(Y$76:AC$76))*AE$76</f>
        <v>26.764405696515528</v>
      </c>
      <c r="AF73" s="253">
        <f>(SUM(Z73:AD73)/SUM(Z$76:AD$76))*AF$76</f>
        <v>25.365076836728605</v>
      </c>
      <c r="AG73" s="253">
        <f t="shared" si="50"/>
        <v>23.961169681701875</v>
      </c>
      <c r="AH73" s="253">
        <f t="shared" si="50"/>
        <v>25.636788424694398</v>
      </c>
      <c r="AM73">
        <v>18.844393571058379</v>
      </c>
      <c r="AN73" s="209">
        <f t="shared" si="51"/>
        <v>-0.24795254698761227</v>
      </c>
    </row>
    <row r="74" spans="1:40">
      <c r="A74" s="240" t="s">
        <v>237</v>
      </c>
      <c r="B74" s="290">
        <f t="shared" si="49"/>
        <v>0</v>
      </c>
      <c r="C74" s="146">
        <f>'[2]China Sunflower Exports'!BB$290</f>
        <v>0.44575700000000001</v>
      </c>
      <c r="D74" s="146">
        <f>'[2]China Sunflower Exports'!BN$290</f>
        <v>0.67932899999999996</v>
      </c>
      <c r="E74" s="146">
        <f>'[2]China Sunflower Exports'!BZ$290</f>
        <v>0.88930799999999999</v>
      </c>
      <c r="F74" s="146">
        <f>'[2]China Sunflower Exports'!CL$290</f>
        <v>0.66654999999999998</v>
      </c>
      <c r="G74" s="146">
        <f>'[2]China Sunflower Exports'!CX$290</f>
        <v>2.303944</v>
      </c>
      <c r="H74" s="146">
        <f>'[2]China Sunflower Exports'!DJ$290</f>
        <v>2.92787</v>
      </c>
      <c r="I74" s="146">
        <f>'[2]China Sunflower Exports'!DV$290</f>
        <v>2.7344430000000002</v>
      </c>
      <c r="J74" s="146">
        <f>'[2]China Sunflower Exports'!EH$290</f>
        <v>1.546373</v>
      </c>
      <c r="K74" s="146">
        <f>'[2]China Sunflower Exports'!ET$290</f>
        <v>4.9997639999999999</v>
      </c>
      <c r="L74" s="146">
        <f>'[2]China Sunflower Exports'!FF$290</f>
        <v>4.8208820000000001</v>
      </c>
      <c r="M74" s="146">
        <f>'[2]China Sunflower Exports'!FR$290</f>
        <v>6.3061290000000003</v>
      </c>
      <c r="N74" s="146">
        <f>'[2]China Sunflower Exports'!GD$290</f>
        <v>9.1530000000000005</v>
      </c>
      <c r="O74" s="146">
        <f>'[2]China Sunflower Exports'!GP$290</f>
        <v>8.4130000000000003</v>
      </c>
      <c r="P74" s="146">
        <f>'[2]China Sunflower Exports'!HB$290</f>
        <v>6.1180000000000003</v>
      </c>
      <c r="Q74" s="146">
        <f>'[2]China Sunflower Exports'!HN$290</f>
        <v>5.5090000000000003</v>
      </c>
      <c r="R74" s="146">
        <f>'[2]China Sunflower Exports'!HZ$290</f>
        <v>4.1779999999999999</v>
      </c>
      <c r="S74" s="146">
        <f>'[2]China Sunflower Exports'!IL$290</f>
        <v>10.951000000000001</v>
      </c>
      <c r="T74" s="146">
        <f>'[2]China Sunflower Exports'!IX$290</f>
        <v>10.614000000000001</v>
      </c>
      <c r="U74" s="146">
        <f>'[2]China Sunflower Exports'!JJ$290</f>
        <v>10.467000000000001</v>
      </c>
      <c r="V74" s="146">
        <f>'[2]China Sunflower Exports'!JV$290</f>
        <v>5.2169999999999996</v>
      </c>
      <c r="W74" s="146">
        <f>'[2]China Sunflower Exports'!KH$290</f>
        <v>8.2989999999999995</v>
      </c>
      <c r="X74" s="146">
        <f>'[2]China Sunflower Exports'!KT$290</f>
        <v>15.847</v>
      </c>
      <c r="Y74" s="146">
        <f>'[2]China Sunflower Exports'!LF$290</f>
        <v>25.673999999999999</v>
      </c>
      <c r="Z74" s="146">
        <f>'[2]China Sunflower Exports'!LR$290</f>
        <v>20.929839999999999</v>
      </c>
      <c r="AA74" s="146">
        <f>'[2]China Sunflower Exports'!MD$290</f>
        <v>7.7686489999999999</v>
      </c>
      <c r="AB74" s="146">
        <f>'[2]China Sunflower Exports'!MP$290</f>
        <v>18.290759000000001</v>
      </c>
      <c r="AC74" s="146">
        <f>'[2]China Sunflower Exports'!NB$290</f>
        <v>16.899999999999999</v>
      </c>
      <c r="AD74" s="253">
        <f t="shared" si="50"/>
        <v>16.48225038561505</v>
      </c>
      <c r="AE74" s="253">
        <f t="shared" si="50"/>
        <v>22.241045952435137</v>
      </c>
      <c r="AF74" s="253">
        <f t="shared" si="50"/>
        <v>19.704522725866298</v>
      </c>
      <c r="AG74" s="253">
        <f t="shared" si="50"/>
        <v>19.30817840880977</v>
      </c>
      <c r="AH74" s="253">
        <f t="shared" si="50"/>
        <v>21.166871550614488</v>
      </c>
      <c r="AM74">
        <v>16.702013724089916</v>
      </c>
      <c r="AN74" s="209">
        <f t="shared" si="51"/>
        <v>-0.21976333847486629</v>
      </c>
    </row>
    <row r="75" spans="1:40">
      <c r="A75" s="240" t="s">
        <v>238</v>
      </c>
      <c r="B75" s="290">
        <f t="shared" si="49"/>
        <v>0</v>
      </c>
      <c r="C75" s="146">
        <f>'[2]China Sunflower Exports'!BC$290</f>
        <v>0.32669199999999998</v>
      </c>
      <c r="D75" s="146">
        <f>'[2]China Sunflower Exports'!BO$290</f>
        <v>1.753298</v>
      </c>
      <c r="E75" s="146">
        <f>'[2]China Sunflower Exports'!CA$290</f>
        <v>0.28995900000000002</v>
      </c>
      <c r="F75" s="146">
        <f>'[2]China Sunflower Exports'!CM$290</f>
        <v>0.71605399999999997</v>
      </c>
      <c r="G75" s="146">
        <f>'[2]China Sunflower Exports'!CY$290</f>
        <v>2.7668240000000002</v>
      </c>
      <c r="H75" s="146">
        <f>'[2]China Sunflower Exports'!DK$290</f>
        <v>1.9575750000000001</v>
      </c>
      <c r="I75" s="146">
        <f>'[2]China Sunflower Exports'!DW$290</f>
        <v>2.3883040000000002</v>
      </c>
      <c r="J75" s="146">
        <f>'[2]China Sunflower Exports'!EI$290</f>
        <v>1.873618</v>
      </c>
      <c r="K75" s="146">
        <f>'[2]China Sunflower Exports'!EU$290</f>
        <v>5.5695059999999996</v>
      </c>
      <c r="L75" s="146">
        <f>'[2]China Sunflower Exports'!FG$290</f>
        <v>5.353866</v>
      </c>
      <c r="M75" s="146">
        <f>'[2]China Sunflower Exports'!FS$290</f>
        <v>5.6908110000000001</v>
      </c>
      <c r="N75" s="146">
        <f>'[2]China Sunflower Exports'!GE$290</f>
        <v>8.1509999999999998</v>
      </c>
      <c r="O75" s="146">
        <f>'[2]China Sunflower Exports'!GQ$290</f>
        <v>6.0869999999999997</v>
      </c>
      <c r="P75" s="146">
        <f>'[2]China Sunflower Exports'!HC$290</f>
        <v>3.4809999999999999</v>
      </c>
      <c r="Q75" s="146">
        <f>'[2]China Sunflower Exports'!HO$290</f>
        <v>4.6369999999999996</v>
      </c>
      <c r="R75" s="146">
        <f>'[2]China Sunflower Exports'!IA$290</f>
        <v>4.266</v>
      </c>
      <c r="S75" s="146">
        <f>'[2]China Sunflower Exports'!IM$290</f>
        <v>8.7040000000000006</v>
      </c>
      <c r="T75" s="146">
        <f>'[2]China Sunflower Exports'!IY$290</f>
        <v>7.2409999999999997</v>
      </c>
      <c r="U75" s="146">
        <f>'[2]China Sunflower Exports'!JK$290</f>
        <v>8.8000000000000007</v>
      </c>
      <c r="V75" s="146">
        <f>'[2]China Sunflower Exports'!JW$290</f>
        <v>6.4320000000000004</v>
      </c>
      <c r="W75" s="146">
        <f>'[2]China Sunflower Exports'!KI$290</f>
        <v>10.068</v>
      </c>
      <c r="X75" s="146">
        <f>'[2]China Sunflower Exports'!KU$290</f>
        <v>12.090999999999999</v>
      </c>
      <c r="Y75" s="146">
        <f>'[2]China Sunflower Exports'!LG$290</f>
        <v>18.091000000000001</v>
      </c>
      <c r="Z75" s="146">
        <f>'[2]China Sunflower Exports'!LS$290</f>
        <v>13.560454999999999</v>
      </c>
      <c r="AA75" s="146">
        <f>'[2]China Sunflower Exports'!ME$290</f>
        <v>8.2914399999999997</v>
      </c>
      <c r="AB75" s="146">
        <f>'[2]China Sunflower Exports'!MQ$290</f>
        <v>17.861884</v>
      </c>
      <c r="AC75" s="146">
        <f>'[2]China Sunflower Exports'!NC$290</f>
        <v>21.81</v>
      </c>
      <c r="AD75" s="253">
        <f>AD76-SUM(AD64:AD74)</f>
        <v>-14.051921186267066</v>
      </c>
      <c r="AE75" s="253">
        <f>AE76-SUM(AE64:AE74)</f>
        <v>5.4160297114573268</v>
      </c>
      <c r="AF75" s="253">
        <f>AF76-SUM(AF64:AF74)</f>
        <v>1.9020329764266535</v>
      </c>
      <c r="AG75" s="253">
        <f t="shared" ref="AG75:AH75" si="52">AG76-SUM(AG64:AG74)</f>
        <v>3.1140991210168067</v>
      </c>
      <c r="AH75" s="253">
        <f t="shared" si="52"/>
        <v>3.4086690616658188</v>
      </c>
      <c r="AM75">
        <v>36.265570221094606</v>
      </c>
      <c r="AN75" s="209">
        <f t="shared" si="51"/>
        <v>-50.317491407361672</v>
      </c>
    </row>
    <row r="76" spans="1:40" ht="15.75" thickBot="1">
      <c r="A76" s="240" t="s">
        <v>242</v>
      </c>
      <c r="B76" s="292">
        <f t="shared" ref="B76:C76" si="53">B13</f>
        <v>0</v>
      </c>
      <c r="C76" s="292">
        <f t="shared" si="53"/>
        <v>15</v>
      </c>
      <c r="D76" s="292">
        <f t="shared" ref="D76:G76" si="54">SUM(D64:D74)</f>
        <v>9.5944089999999989</v>
      </c>
      <c r="E76" s="292">
        <f t="shared" si="54"/>
        <v>22.883959000000001</v>
      </c>
      <c r="F76" s="292">
        <f t="shared" si="54"/>
        <v>7.1743999999999994</v>
      </c>
      <c r="G76" s="292">
        <f t="shared" si="54"/>
        <v>15.682842999999998</v>
      </c>
      <c r="H76" s="292">
        <f t="shared" ref="H76:AB76" si="55">SUM(H64:H74)</f>
        <v>33.400572000000004</v>
      </c>
      <c r="I76" s="292">
        <f t="shared" si="55"/>
        <v>34.312854000000002</v>
      </c>
      <c r="J76" s="292">
        <f t="shared" si="55"/>
        <v>27.719920999999999</v>
      </c>
      <c r="K76" s="292">
        <f t="shared" si="55"/>
        <v>55.278668999999994</v>
      </c>
      <c r="L76" s="292">
        <f t="shared" si="55"/>
        <v>68.338897000000003</v>
      </c>
      <c r="M76" s="292">
        <f t="shared" si="55"/>
        <v>108.504402</v>
      </c>
      <c r="N76" s="292">
        <f t="shared" si="55"/>
        <v>105.30983100000002</v>
      </c>
      <c r="O76" s="292">
        <f t="shared" si="55"/>
        <v>93.975999999999985</v>
      </c>
      <c r="P76" s="292">
        <f t="shared" si="55"/>
        <v>139.10299999999998</v>
      </c>
      <c r="Q76" s="292">
        <f t="shared" si="55"/>
        <v>104.148</v>
      </c>
      <c r="R76" s="292">
        <f t="shared" si="55"/>
        <v>127.72200000000001</v>
      </c>
      <c r="S76" s="292">
        <f t="shared" si="55"/>
        <v>166.31099999999998</v>
      </c>
      <c r="T76" s="292">
        <f t="shared" si="55"/>
        <v>179.24400000000003</v>
      </c>
      <c r="U76" s="292">
        <f t="shared" si="55"/>
        <v>149.18500000000003</v>
      </c>
      <c r="V76" s="292">
        <f t="shared" si="55"/>
        <v>166.74900000000005</v>
      </c>
      <c r="W76" s="292">
        <f t="shared" si="55"/>
        <v>233.78799999999998</v>
      </c>
      <c r="X76" s="292">
        <f t="shared" si="55"/>
        <v>274.30199999999996</v>
      </c>
      <c r="Y76" s="292">
        <f t="shared" si="55"/>
        <v>346.45499999999998</v>
      </c>
      <c r="Z76" s="292">
        <f t="shared" si="55"/>
        <v>466.59979800000002</v>
      </c>
      <c r="AA76" s="292">
        <f t="shared" si="55"/>
        <v>444.17431700000003</v>
      </c>
      <c r="AB76" s="292">
        <f t="shared" si="55"/>
        <v>482.23170399999998</v>
      </c>
      <c r="AC76" s="292">
        <f>SUM(AC64:AC75)</f>
        <v>475.35347100000001</v>
      </c>
      <c r="AD76" s="293">
        <f>AD13</f>
        <v>375</v>
      </c>
      <c r="AE76" s="293">
        <f>AE13</f>
        <v>550</v>
      </c>
      <c r="AF76" s="293">
        <f>AF13</f>
        <v>550</v>
      </c>
      <c r="AG76" s="293">
        <f t="shared" ref="AG76:AH76" si="56">AG13</f>
        <v>550</v>
      </c>
      <c r="AH76" s="293">
        <f t="shared" si="56"/>
        <v>550</v>
      </c>
    </row>
    <row r="77" spans="1:40">
      <c r="A77" s="248"/>
      <c r="B77" s="248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  <c r="AF77" s="248"/>
      <c r="AG77" s="248"/>
      <c r="AH77" s="248"/>
    </row>
    <row r="78" spans="1:40" ht="15.75" thickBot="1">
      <c r="A78" s="235" t="s">
        <v>244</v>
      </c>
    </row>
    <row r="79" spans="1:40" ht="15.75" thickBot="1">
      <c r="A79" s="236"/>
      <c r="B79" s="237" t="str">
        <f>B$2</f>
        <v xml:space="preserve">93/94 </v>
      </c>
      <c r="C79" s="237" t="str">
        <f t="shared" ref="C79:AH79" si="57">C$2</f>
        <v xml:space="preserve">94/95 </v>
      </c>
      <c r="D79" s="237" t="str">
        <f t="shared" si="57"/>
        <v xml:space="preserve">95/96 </v>
      </c>
      <c r="E79" s="237" t="str">
        <f t="shared" si="57"/>
        <v xml:space="preserve">96/97 </v>
      </c>
      <c r="F79" s="237" t="str">
        <f t="shared" si="57"/>
        <v xml:space="preserve">97/98 </v>
      </c>
      <c r="G79" s="237" t="str">
        <f t="shared" si="57"/>
        <v xml:space="preserve">98/99 </v>
      </c>
      <c r="H79" s="237" t="str">
        <f t="shared" si="57"/>
        <v xml:space="preserve">99/00 </v>
      </c>
      <c r="I79" s="237" t="str">
        <f t="shared" si="57"/>
        <v xml:space="preserve">00/01 </v>
      </c>
      <c r="J79" s="237" t="str">
        <f t="shared" si="57"/>
        <v xml:space="preserve">01/02 </v>
      </c>
      <c r="K79" s="237" t="str">
        <f t="shared" si="57"/>
        <v xml:space="preserve">02/03 </v>
      </c>
      <c r="L79" s="237" t="str">
        <f t="shared" si="57"/>
        <v xml:space="preserve">03/04 </v>
      </c>
      <c r="M79" s="237" t="str">
        <f t="shared" si="57"/>
        <v xml:space="preserve">04/05 </v>
      </c>
      <c r="N79" s="237" t="str">
        <f t="shared" si="57"/>
        <v xml:space="preserve">05/06 </v>
      </c>
      <c r="O79" s="237" t="str">
        <f t="shared" si="57"/>
        <v xml:space="preserve">06/07 </v>
      </c>
      <c r="P79" s="237" t="str">
        <f t="shared" si="57"/>
        <v xml:space="preserve">07/08 </v>
      </c>
      <c r="Q79" s="237" t="str">
        <f t="shared" si="57"/>
        <v xml:space="preserve">08/09 </v>
      </c>
      <c r="R79" s="237" t="str">
        <f t="shared" si="57"/>
        <v xml:space="preserve">09/10 </v>
      </c>
      <c r="S79" s="237" t="str">
        <f t="shared" si="57"/>
        <v xml:space="preserve">10/11 </v>
      </c>
      <c r="T79" s="237" t="str">
        <f t="shared" si="57"/>
        <v xml:space="preserve">11/12 </v>
      </c>
      <c r="U79" s="237" t="str">
        <f t="shared" si="57"/>
        <v xml:space="preserve">12/13 </v>
      </c>
      <c r="V79" s="237" t="str">
        <f t="shared" si="57"/>
        <v xml:space="preserve">13/14 </v>
      </c>
      <c r="W79" s="237" t="str">
        <f t="shared" si="57"/>
        <v xml:space="preserve">14/15 </v>
      </c>
      <c r="X79" s="237" t="str">
        <f t="shared" si="57"/>
        <v xml:space="preserve">15/16 </v>
      </c>
      <c r="Y79" s="237" t="str">
        <f t="shared" si="57"/>
        <v xml:space="preserve">16/17 </v>
      </c>
      <c r="Z79" s="237" t="str">
        <f t="shared" si="57"/>
        <v xml:space="preserve">17/18 </v>
      </c>
      <c r="AA79" s="237" t="str">
        <f t="shared" si="57"/>
        <v xml:space="preserve">18/19 </v>
      </c>
      <c r="AB79" s="237" t="str">
        <f t="shared" si="57"/>
        <v xml:space="preserve">19/20 </v>
      </c>
      <c r="AC79" s="237" t="str">
        <f t="shared" si="57"/>
        <v xml:space="preserve">20/21 </v>
      </c>
      <c r="AD79" s="237" t="str">
        <f t="shared" si="57"/>
        <v xml:space="preserve">21/22 </v>
      </c>
      <c r="AE79" s="237" t="str">
        <f t="shared" si="57"/>
        <v xml:space="preserve">22/23 </v>
      </c>
      <c r="AF79" s="237" t="str">
        <f t="shared" si="57"/>
        <v>23/24</v>
      </c>
      <c r="AG79" s="237" t="str">
        <f t="shared" si="57"/>
        <v>23/25</v>
      </c>
      <c r="AH79" s="237" t="str">
        <f t="shared" si="57"/>
        <v>23/26</v>
      </c>
    </row>
    <row r="80" spans="1:40">
      <c r="A80" s="240" t="s">
        <v>239</v>
      </c>
      <c r="B80" s="290">
        <f t="shared" ref="B80:Q80" si="58">(SUM(C80:G80)/SUM(C$92:G$92))*B$92</f>
        <v>71.960696466606137</v>
      </c>
      <c r="C80" s="290">
        <f t="shared" si="58"/>
        <v>75.617186943392937</v>
      </c>
      <c r="D80" s="290">
        <f t="shared" si="58"/>
        <v>68.016858098430845</v>
      </c>
      <c r="E80" s="290">
        <f t="shared" si="58"/>
        <v>69.584858252674493</v>
      </c>
      <c r="F80" s="290">
        <f t="shared" si="58"/>
        <v>62.965069456226544</v>
      </c>
      <c r="G80" s="290">
        <f t="shared" si="58"/>
        <v>71.931376897462997</v>
      </c>
      <c r="H80" s="290">
        <f t="shared" si="58"/>
        <v>76.514097245033653</v>
      </c>
      <c r="I80" s="290">
        <f t="shared" si="58"/>
        <v>80.896634439808224</v>
      </c>
      <c r="J80" s="290">
        <f t="shared" si="58"/>
        <v>55.609706479013646</v>
      </c>
      <c r="K80" s="290">
        <f t="shared" si="58"/>
        <v>73.662089130957852</v>
      </c>
      <c r="L80" s="290">
        <f t="shared" si="58"/>
        <v>67.402559440928044</v>
      </c>
      <c r="M80" s="290">
        <f t="shared" si="58"/>
        <v>66.9634911142969</v>
      </c>
      <c r="N80" s="290">
        <f t="shared" si="58"/>
        <v>92.650186450616573</v>
      </c>
      <c r="O80" s="290">
        <f t="shared" si="58"/>
        <v>57.266745044734151</v>
      </c>
      <c r="P80" s="290">
        <f t="shared" si="58"/>
        <v>55.394450042268623</v>
      </c>
      <c r="Q80" s="290">
        <f t="shared" si="58"/>
        <v>74.396366373965137</v>
      </c>
      <c r="R80" s="290">
        <f>(SUM(S80:W80)/SUM(S$92:W$92))*R$92</f>
        <v>74.301423614294748</v>
      </c>
      <c r="S80" s="290">
        <f>S$92*('[6]China Soy Complex'!AV72/'[6]China Soy Complex'!AV$84)</f>
        <v>81.459410306287054</v>
      </c>
      <c r="T80" s="290">
        <f>T$92*('[6]China Soy Complex'!AW72/'[6]China Soy Complex'!AW$84)</f>
        <v>93.022342005397974</v>
      </c>
      <c r="U80" s="290">
        <f>U$92*('[6]China Soy Complex'!AX72/'[6]China Soy Complex'!AX$84)</f>
        <v>114.16804300751787</v>
      </c>
      <c r="V80" s="290">
        <f>V$92*('[6]China Soy Complex'!AY72/'[6]China Soy Complex'!AY$84)</f>
        <v>98.096437577051645</v>
      </c>
      <c r="W80" s="290">
        <f>W$92*('[6]China Soy Complex'!AZ72/'[6]China Soy Complex'!AZ$84)</f>
        <v>92.655386260675002</v>
      </c>
      <c r="X80" s="290">
        <f>X$92*('[6]China Soy Complex'!BA72/'[6]China Soy Complex'!BA$84)</f>
        <v>106.55820639066739</v>
      </c>
      <c r="Y80" s="290">
        <f>Y$92*('[6]China Soy Complex'!BB72/'[6]China Soy Complex'!BB$84)</f>
        <v>158.3281210444575</v>
      </c>
      <c r="Z80" s="290">
        <f>Z$92*('[6]China Soy Complex'!BC72/'[6]China Soy Complex'!BC$84)</f>
        <v>170.15694763086105</v>
      </c>
      <c r="AA80" s="290">
        <f>AA$92*('[6]China Soy Complex'!BD72/'[6]China Soy Complex'!BD$84)</f>
        <v>139.17515758425492</v>
      </c>
      <c r="AB80" s="290">
        <f>AB$92*('[6]China Soy Complex'!BE72/'[6]China Soy Complex'!BE$84)</f>
        <v>78.792844026676491</v>
      </c>
      <c r="AC80" s="290">
        <f>AC$92*('[6]China Soy Complex'!BF72/'[6]China Soy Complex'!BF$84)</f>
        <v>104.01304412781293</v>
      </c>
      <c r="AD80" s="290">
        <f>AD$92*('[6]China Soy Complex'!BG72/'[6]China Soy Complex'!BG$84)</f>
        <v>132.12024407340587</v>
      </c>
      <c r="AE80" s="252">
        <f t="shared" ref="AE80:AF82" si="59">(SUM(Y80:AC80)/SUM(Y$92:AC$92))*AE$92</f>
        <v>158.18911360114063</v>
      </c>
      <c r="AF80" s="252">
        <f t="shared" si="59"/>
        <v>151.04743319472152</v>
      </c>
      <c r="AG80" s="252">
        <f t="shared" ref="AG80:AG90" si="60">(SUM(AA80:AE80)/SUM(AA$92:AE$92))*AG$92</f>
        <v>149.30502742233861</v>
      </c>
      <c r="AH80" s="252">
        <f t="shared" ref="AH80:AH90" si="61">(SUM(AB80:AF80)/SUM(AB$92:AF$92))*AH$92</f>
        <v>143.32125444878639</v>
      </c>
      <c r="AI80" s="252"/>
    </row>
    <row r="81" spans="1:34">
      <c r="A81" s="240" t="s">
        <v>240</v>
      </c>
      <c r="B81" s="290">
        <f t="shared" ref="B81:Q91" si="62">(SUM(C81:G81)/SUM(C$92:G$92))*B$92</f>
        <v>73.986849879435425</v>
      </c>
      <c r="C81" s="290">
        <f t="shared" si="62"/>
        <v>77.704268637836805</v>
      </c>
      <c r="D81" s="290">
        <f t="shared" si="62"/>
        <v>69.965328206719022</v>
      </c>
      <c r="E81" s="290">
        <f t="shared" si="62"/>
        <v>71.608756914494194</v>
      </c>
      <c r="F81" s="290">
        <f t="shared" si="62"/>
        <v>64.759529831102512</v>
      </c>
      <c r="G81" s="290">
        <f t="shared" si="62"/>
        <v>73.879137503436766</v>
      </c>
      <c r="H81" s="290">
        <f t="shared" si="62"/>
        <v>78.432464343199086</v>
      </c>
      <c r="I81" s="290">
        <f t="shared" si="62"/>
        <v>83.579221904613803</v>
      </c>
      <c r="J81" s="290">
        <f t="shared" si="62"/>
        <v>57.38580881663448</v>
      </c>
      <c r="K81" s="290">
        <f t="shared" si="62"/>
        <v>75.557516698527863</v>
      </c>
      <c r="L81" s="290">
        <f t="shared" si="62"/>
        <v>68.718004647597809</v>
      </c>
      <c r="M81" s="290">
        <f t="shared" si="62"/>
        <v>67.9321224858584</v>
      </c>
      <c r="N81" s="290">
        <f t="shared" si="62"/>
        <v>98.509333655947387</v>
      </c>
      <c r="O81" s="290">
        <f t="shared" si="62"/>
        <v>58.660397834701875</v>
      </c>
      <c r="P81" s="290">
        <f t="shared" si="62"/>
        <v>54.597944213933708</v>
      </c>
      <c r="Q81" s="290">
        <f t="shared" si="62"/>
        <v>73.737163434839516</v>
      </c>
      <c r="R81" s="290">
        <f t="shared" ref="R81:R91" si="63">(SUM(S81:W81)/SUM(S$92:W$92))*R$92</f>
        <v>73.625098697388296</v>
      </c>
      <c r="S81" s="290">
        <f>S$92*('[6]China Soy Complex'!AV73/'[6]China Soy Complex'!AV$84)</f>
        <v>103.8774393501956</v>
      </c>
      <c r="T81" s="290">
        <f>T$92*('[6]China Soy Complex'!AW73/'[6]China Soy Complex'!AW$84)</f>
        <v>81.949384687826637</v>
      </c>
      <c r="U81" s="290">
        <f>U$92*('[6]China Soy Complex'!AX73/'[6]China Soy Complex'!AX$84)</f>
        <v>97.869964808597089</v>
      </c>
      <c r="V81" s="290">
        <f>V$92*('[6]China Soy Complex'!AY73/'[6]China Soy Complex'!AY$84)</f>
        <v>99.640569849141073</v>
      </c>
      <c r="W81" s="290">
        <f>W$92*('[6]China Soy Complex'!AZ73/'[6]China Soy Complex'!AZ$84)</f>
        <v>91.700531686277287</v>
      </c>
      <c r="X81" s="290">
        <f>X$92*('[6]China Soy Complex'!BA73/'[6]China Soy Complex'!BA$84)</f>
        <v>144.50533777621814</v>
      </c>
      <c r="Y81" s="290">
        <f>Y$92*('[6]China Soy Complex'!BB73/'[6]China Soy Complex'!BB$84)</f>
        <v>139.23046505771009</v>
      </c>
      <c r="Z81" s="290">
        <f>Z$92*('[6]China Soy Complex'!BC73/'[6]China Soy Complex'!BC$84)</f>
        <v>148.67003587559904</v>
      </c>
      <c r="AA81" s="290">
        <f>AA$92*('[6]China Soy Complex'!BD73/'[6]China Soy Complex'!BD$84)</f>
        <v>104.19795003084407</v>
      </c>
      <c r="AB81" s="290">
        <f>AB$92*('[6]China Soy Complex'!BE73/'[6]China Soy Complex'!BE$84)</f>
        <v>83.799749312153395</v>
      </c>
      <c r="AC81" s="290">
        <f>AC$92*('[6]China Soy Complex'!BF73/'[6]China Soy Complex'!BF$84)</f>
        <v>132.37436968041806</v>
      </c>
      <c r="AD81" s="290">
        <f>AD$92*('[6]China Soy Complex'!BG73/'[6]China Soy Complex'!BG$84)</f>
        <v>159.46933569286281</v>
      </c>
      <c r="AE81" s="252">
        <f t="shared" si="59"/>
        <v>147.92791897548503</v>
      </c>
      <c r="AF81" s="252">
        <f t="shared" si="59"/>
        <v>152.07655124228364</v>
      </c>
      <c r="AG81" s="252">
        <f t="shared" si="60"/>
        <v>153.07951188879784</v>
      </c>
      <c r="AH81" s="252">
        <f t="shared" si="61"/>
        <v>155.14338075180021</v>
      </c>
    </row>
    <row r="82" spans="1:34">
      <c r="A82" s="240" t="s">
        <v>241</v>
      </c>
      <c r="B82" s="290">
        <f t="shared" si="62"/>
        <v>75.91951754914173</v>
      </c>
      <c r="C82" s="290">
        <f t="shared" si="62"/>
        <v>79.83493658496225</v>
      </c>
      <c r="D82" s="290">
        <f t="shared" si="62"/>
        <v>71.805594711612429</v>
      </c>
      <c r="E82" s="290">
        <f t="shared" si="62"/>
        <v>73.400381576209256</v>
      </c>
      <c r="F82" s="290">
        <f t="shared" si="62"/>
        <v>66.343321799638687</v>
      </c>
      <c r="G82" s="290">
        <f t="shared" si="62"/>
        <v>75.882213464382872</v>
      </c>
      <c r="H82" s="290">
        <f t="shared" si="62"/>
        <v>81.047835098905097</v>
      </c>
      <c r="I82" s="290">
        <f t="shared" si="62"/>
        <v>85.376722219504572</v>
      </c>
      <c r="J82" s="290">
        <f t="shared" si="62"/>
        <v>58.344002421164078</v>
      </c>
      <c r="K82" s="290">
        <f t="shared" si="62"/>
        <v>77.203771436750657</v>
      </c>
      <c r="L82" s="290">
        <f t="shared" si="62"/>
        <v>71.560906961700297</v>
      </c>
      <c r="M82" s="290">
        <f t="shared" si="62"/>
        <v>72.463995508136946</v>
      </c>
      <c r="N82" s="290">
        <f t="shared" si="62"/>
        <v>96.44672919408498</v>
      </c>
      <c r="O82" s="290">
        <f t="shared" si="62"/>
        <v>57.86961272386592</v>
      </c>
      <c r="P82" s="290">
        <f t="shared" si="62"/>
        <v>57.667920420124666</v>
      </c>
      <c r="Q82" s="290">
        <f t="shared" si="62"/>
        <v>83.610588702046698</v>
      </c>
      <c r="R82" s="290">
        <f t="shared" si="63"/>
        <v>87.493285322194993</v>
      </c>
      <c r="S82" s="290">
        <f>S$92*('[6]China Soy Complex'!AV74/'[6]China Soy Complex'!AV$84)</f>
        <v>70.224717000210291</v>
      </c>
      <c r="T82" s="290">
        <f>T$92*('[6]China Soy Complex'!AW74/'[6]China Soy Complex'!AW$84)</f>
        <v>83.56286585298426</v>
      </c>
      <c r="U82" s="290">
        <f>U$92*('[6]China Soy Complex'!AX74/'[6]China Soy Complex'!AX$84)</f>
        <v>130.40552190292317</v>
      </c>
      <c r="V82" s="290">
        <f>V$92*('[6]China Soy Complex'!AY74/'[6]China Soy Complex'!AY$84)</f>
        <v>146.46345862230879</v>
      </c>
      <c r="W82" s="290">
        <f>W$92*('[6]China Soy Complex'!AZ74/'[6]China Soy Complex'!AZ$84)</f>
        <v>133.86051595179867</v>
      </c>
      <c r="X82" s="290">
        <f>X$92*('[6]China Soy Complex'!BA74/'[6]China Soy Complex'!BA$84)</f>
        <v>125.42727565555178</v>
      </c>
      <c r="Y82" s="290">
        <f>Y$92*('[6]China Soy Complex'!BB74/'[6]China Soy Complex'!BB$84)</f>
        <v>145.2733687121812</v>
      </c>
      <c r="Z82" s="290">
        <f>Z$92*('[6]China Soy Complex'!BC74/'[6]China Soy Complex'!BC$84)</f>
        <v>158.48114405695304</v>
      </c>
      <c r="AA82" s="290">
        <f>AA$92*('[6]China Soy Complex'!BD74/'[6]China Soy Complex'!BD$84)</f>
        <v>127.67173856725503</v>
      </c>
      <c r="AB82" s="290">
        <f>AB$92*('[6]China Soy Complex'!BE74/'[6]China Soy Complex'!BE$84)</f>
        <v>117.08490105693569</v>
      </c>
      <c r="AC82" s="290">
        <f>AC$92*('[6]China Soy Complex'!BF74/'[6]China Soy Complex'!BF$84)</f>
        <v>103.1211942338426</v>
      </c>
      <c r="AD82" s="290">
        <f>AD$92*('[6]China Soy Complex'!BG74/'[6]China Soy Complex'!BG$84)</f>
        <v>181.38882824080991</v>
      </c>
      <c r="AE82" s="252">
        <f t="shared" si="59"/>
        <v>158.47273366367119</v>
      </c>
      <c r="AF82" s="252">
        <f t="shared" si="59"/>
        <v>166.40956350154275</v>
      </c>
      <c r="AG82" s="252">
        <f t="shared" si="60"/>
        <v>167.70301930477044</v>
      </c>
      <c r="AH82" s="252">
        <f t="shared" si="61"/>
        <v>166.81488672405936</v>
      </c>
    </row>
    <row r="83" spans="1:34">
      <c r="A83" s="240" t="s">
        <v>231</v>
      </c>
      <c r="B83" s="290">
        <f t="shared" si="62"/>
        <v>66.547736637119669</v>
      </c>
      <c r="C83" s="290">
        <f t="shared" si="62"/>
        <v>69.940201688342555</v>
      </c>
      <c r="D83" s="290">
        <f t="shared" si="62"/>
        <v>62.936995059864387</v>
      </c>
      <c r="E83" s="290">
        <f t="shared" si="62"/>
        <v>64.363981275824173</v>
      </c>
      <c r="F83" s="290">
        <f t="shared" si="62"/>
        <v>58.206168909068424</v>
      </c>
      <c r="G83" s="290">
        <f t="shared" si="62"/>
        <v>66.482397291609459</v>
      </c>
      <c r="H83" s="290">
        <f t="shared" si="62"/>
        <v>70.820506862437284</v>
      </c>
      <c r="I83" s="290">
        <f t="shared" si="62"/>
        <v>74.990947572218346</v>
      </c>
      <c r="J83" s="290">
        <f t="shared" si="62"/>
        <v>51.313034718122886</v>
      </c>
      <c r="K83" s="290">
        <f t="shared" si="62"/>
        <v>67.902975465118089</v>
      </c>
      <c r="L83" s="290">
        <f t="shared" si="62"/>
        <v>62.234801541084998</v>
      </c>
      <c r="M83" s="290">
        <f t="shared" si="62"/>
        <v>62.455116267347236</v>
      </c>
      <c r="N83" s="290">
        <f t="shared" si="62"/>
        <v>86.372054022291422</v>
      </c>
      <c r="O83" s="290">
        <f t="shared" si="62"/>
        <v>51.323576554765943</v>
      </c>
      <c r="P83" s="290">
        <f t="shared" si="62"/>
        <v>50.734926604693371</v>
      </c>
      <c r="Q83" s="290">
        <f t="shared" si="62"/>
        <v>69.206262817598528</v>
      </c>
      <c r="R83" s="290">
        <f t="shared" si="63"/>
        <v>72.538378447488824</v>
      </c>
      <c r="S83" s="290">
        <f>S$92*('[6]China Soy Complex'!AV75/'[6]China Soy Complex'!AV$84)</f>
        <v>75.785300025188462</v>
      </c>
      <c r="T83" s="290">
        <f>T$92*('[6]China Soy Complex'!AW75/'[6]China Soy Complex'!AW$84)</f>
        <v>71.020545697881673</v>
      </c>
      <c r="U83" s="290">
        <f>U$92*('[6]China Soy Complex'!AX75/'[6]China Soy Complex'!AX$84)</f>
        <v>112.00945402367464</v>
      </c>
      <c r="V83" s="290">
        <f>V$92*('[6]China Soy Complex'!AY75/'[6]China Soy Complex'!AY$84)</f>
        <v>97.529973562620157</v>
      </c>
      <c r="W83" s="290">
        <f>W$92*('[6]China Soy Complex'!AZ75/'[6]China Soy Complex'!AZ$84)</f>
        <v>111.68096881574476</v>
      </c>
      <c r="X83" s="290">
        <f>X$92*('[6]China Soy Complex'!BA75/'[6]China Soy Complex'!BA$84)</f>
        <v>117.42924701958634</v>
      </c>
      <c r="Y83" s="290">
        <f>Y$92*('[6]China Soy Complex'!BB75/'[6]China Soy Complex'!BB$84)</f>
        <v>130.21908370749779</v>
      </c>
      <c r="Z83" s="290">
        <f>Z$92*('[6]China Soy Complex'!BC75/'[6]China Soy Complex'!BC$84)</f>
        <v>186.84100126841423</v>
      </c>
      <c r="AA83" s="290">
        <f>AA$92*('[6]China Soy Complex'!BD75/'[6]China Soy Complex'!BD$84)</f>
        <v>96.12829822837503</v>
      </c>
      <c r="AB83" s="290">
        <f>AB$92*('[6]China Soy Complex'!BE75/'[6]China Soy Complex'!BE$84)</f>
        <v>90.180954003770651</v>
      </c>
      <c r="AC83" s="290">
        <f>AC$92*('[6]China Soy Complex'!BF75/'[6]China Soy Complex'!BF$84)</f>
        <v>106.10761343651635</v>
      </c>
      <c r="AD83" s="252">
        <f t="shared" ref="AD83:AF90" si="64">(SUM(X83:AB83)/SUM(X$92:AB$92))*AD$92</f>
        <v>146.69488155974508</v>
      </c>
      <c r="AE83" s="252">
        <f t="shared" si="64"/>
        <v>148.22081649808828</v>
      </c>
      <c r="AF83" s="252">
        <f t="shared" si="64"/>
        <v>151.4574422740514</v>
      </c>
      <c r="AG83" s="252">
        <f t="shared" si="60"/>
        <v>143.21913922604085</v>
      </c>
      <c r="AH83" s="252">
        <f t="shared" si="61"/>
        <v>147.56903166362048</v>
      </c>
    </row>
    <row r="84" spans="1:34">
      <c r="A84" s="240" t="s">
        <v>232</v>
      </c>
      <c r="B84" s="290">
        <f t="shared" si="62"/>
        <v>50.233392258842265</v>
      </c>
      <c r="C84" s="290">
        <f t="shared" si="62"/>
        <v>52.787028682445886</v>
      </c>
      <c r="D84" s="290">
        <f t="shared" si="62"/>
        <v>47.464447398826941</v>
      </c>
      <c r="E84" s="290">
        <f t="shared" si="62"/>
        <v>48.579415261749595</v>
      </c>
      <c r="F84" s="290">
        <f t="shared" si="62"/>
        <v>43.953334921545988</v>
      </c>
      <c r="G84" s="290">
        <f t="shared" si="62"/>
        <v>50.223634537840823</v>
      </c>
      <c r="H84" s="290">
        <f t="shared" si="62"/>
        <v>53.418490118889096</v>
      </c>
      <c r="I84" s="290">
        <f t="shared" si="62"/>
        <v>56.36553941640112</v>
      </c>
      <c r="J84" s="290">
        <f t="shared" si="62"/>
        <v>38.930906427899387</v>
      </c>
      <c r="K84" s="290">
        <f t="shared" si="62"/>
        <v>51.395101400090859</v>
      </c>
      <c r="L84" s="290">
        <f t="shared" si="62"/>
        <v>47.117817274696925</v>
      </c>
      <c r="M84" s="290">
        <f t="shared" si="62"/>
        <v>46.728162688156111</v>
      </c>
      <c r="N84" s="290">
        <f t="shared" si="62"/>
        <v>64.075263594392752</v>
      </c>
      <c r="O84" s="290">
        <f t="shared" si="62"/>
        <v>41.271672042087637</v>
      </c>
      <c r="P84" s="290">
        <f t="shared" si="62"/>
        <v>37.804925104009641</v>
      </c>
      <c r="Q84" s="290">
        <f t="shared" si="62"/>
        <v>52.460805025053808</v>
      </c>
      <c r="R84" s="290">
        <f t="shared" si="63"/>
        <v>51.420424727386518</v>
      </c>
      <c r="S84" s="290">
        <f>S$92*('[6]China Soy Complex'!AV76/'[6]China Soy Complex'!AV$84)</f>
        <v>54.129435314234456</v>
      </c>
      <c r="T84" s="290">
        <f>T$92*('[6]China Soy Complex'!AW76/'[6]China Soy Complex'!AW$84)</f>
        <v>77.019571726618949</v>
      </c>
      <c r="U84" s="290">
        <f>U$92*('[6]China Soy Complex'!AX76/'[6]China Soy Complex'!AX$84)</f>
        <v>63.445381149513722</v>
      </c>
      <c r="V84" s="290">
        <f>V$92*('[6]China Soy Complex'!AY76/'[6]China Soy Complex'!AY$84)</f>
        <v>79.094226600096746</v>
      </c>
      <c r="W84" s="290">
        <f>W$92*('[6]China Soy Complex'!AZ76/'[6]China Soy Complex'!AZ$84)</f>
        <v>58.082079133407795</v>
      </c>
      <c r="X84" s="290">
        <f>X$92*('[6]China Soy Complex'!BA76/'[6]China Soy Complex'!BA$84)</f>
        <v>83.016227476911567</v>
      </c>
      <c r="Y84" s="290">
        <f>Y$92*('[6]China Soy Complex'!BB76/'[6]China Soy Complex'!BB$84)</f>
        <v>125.67582955733199</v>
      </c>
      <c r="Z84" s="290">
        <f>Z$92*('[6]China Soy Complex'!BC76/'[6]China Soy Complex'!BC$84)</f>
        <v>114.21059675947484</v>
      </c>
      <c r="AA84" s="290">
        <f>AA$92*('[6]China Soy Complex'!BD76/'[6]China Soy Complex'!BD$84)</f>
        <v>54.002638823651935</v>
      </c>
      <c r="AB84" s="290">
        <f>AB$92*('[6]China Soy Complex'!BE76/'[6]China Soy Complex'!BE$84)</f>
        <v>54.400236787824156</v>
      </c>
      <c r="AC84" s="290">
        <f>AC$92*('[6]China Soy Complex'!BF76/'[6]China Soy Complex'!BF$84)</f>
        <v>63.601784552196264</v>
      </c>
      <c r="AD84" s="252">
        <f t="shared" si="64"/>
        <v>101.91761895023461</v>
      </c>
      <c r="AE84" s="252">
        <f t="shared" si="64"/>
        <v>100.16922392529337</v>
      </c>
      <c r="AF84" s="252">
        <f t="shared" si="64"/>
        <v>93.913818228969404</v>
      </c>
      <c r="AG84" s="252">
        <f t="shared" si="60"/>
        <v>91.220998742374306</v>
      </c>
      <c r="AH84" s="252">
        <f t="shared" si="61"/>
        <v>95.063972562275481</v>
      </c>
    </row>
    <row r="85" spans="1:34">
      <c r="A85" s="240" t="s">
        <v>233</v>
      </c>
      <c r="B85" s="290">
        <f t="shared" si="62"/>
        <v>62.075654129443031</v>
      </c>
      <c r="C85" s="290">
        <f t="shared" si="62"/>
        <v>65.259812054324527</v>
      </c>
      <c r="D85" s="290">
        <f t="shared" si="62"/>
        <v>58.717156675342665</v>
      </c>
      <c r="E85" s="290">
        <f t="shared" si="62"/>
        <v>60.044531415398204</v>
      </c>
      <c r="F85" s="290">
        <f t="shared" si="62"/>
        <v>54.26475616654163</v>
      </c>
      <c r="G85" s="290">
        <f t="shared" si="62"/>
        <v>62.009448190628696</v>
      </c>
      <c r="H85" s="290">
        <f t="shared" si="62"/>
        <v>66.171748429173377</v>
      </c>
      <c r="I85" s="290">
        <f t="shared" si="62"/>
        <v>69.921349989695955</v>
      </c>
      <c r="J85" s="290">
        <f t="shared" si="62"/>
        <v>47.848963045817897</v>
      </c>
      <c r="K85" s="290">
        <f t="shared" si="62"/>
        <v>63.110264388371895</v>
      </c>
      <c r="L85" s="290">
        <f t="shared" si="62"/>
        <v>58.191669021570206</v>
      </c>
      <c r="M85" s="290">
        <f t="shared" si="62"/>
        <v>58.891786283820934</v>
      </c>
      <c r="N85" s="290">
        <f t="shared" si="62"/>
        <v>79.907584885044926</v>
      </c>
      <c r="O85" s="290">
        <f t="shared" si="62"/>
        <v>47.889899975768522</v>
      </c>
      <c r="P85" s="290">
        <f t="shared" si="62"/>
        <v>46.138942639879041</v>
      </c>
      <c r="Q85" s="290">
        <f t="shared" si="62"/>
        <v>66.468699686135878</v>
      </c>
      <c r="R85" s="290">
        <f t="shared" si="63"/>
        <v>70.932172065232635</v>
      </c>
      <c r="S85" s="290">
        <f>S$92*('[6]China Soy Complex'!AV77/'[6]China Soy Complex'!AV$84)</f>
        <v>64.239307774749719</v>
      </c>
      <c r="T85" s="290">
        <f>T$92*('[6]China Soy Complex'!AW77/'[6]China Soy Complex'!AW$84)</f>
        <v>68.807242442882497</v>
      </c>
      <c r="U85" s="290">
        <f>U$92*('[6]China Soy Complex'!AX77/'[6]China Soy Complex'!AX$84)</f>
        <v>93.82652852230801</v>
      </c>
      <c r="V85" s="290">
        <f>V$92*('[6]China Soy Complex'!AY77/'[6]China Soy Complex'!AY$84)</f>
        <v>114.11323009957026</v>
      </c>
      <c r="W85" s="290">
        <f>W$92*('[6]China Soy Complex'!AZ77/'[6]China Soy Complex'!AZ$84)</f>
        <v>116.67649873889332</v>
      </c>
      <c r="X85" s="290">
        <f>X$92*('[6]China Soy Complex'!BA77/'[6]China Soy Complex'!BA$84)</f>
        <v>99.959576856376586</v>
      </c>
      <c r="Y85" s="290">
        <f>Y$92*('[6]China Soy Complex'!BB77/'[6]China Soy Complex'!BB$84)</f>
        <v>117.51396064308456</v>
      </c>
      <c r="Z85" s="290">
        <f>Z$92*('[6]China Soy Complex'!BC77/'[6]China Soy Complex'!BC$84)</f>
        <v>134.05167830072432</v>
      </c>
      <c r="AA85" s="290">
        <f>AA$92*('[6]China Soy Complex'!BD77/'[6]China Soy Complex'!BD$84)</f>
        <v>95.406579531848308</v>
      </c>
      <c r="AB85" s="290">
        <f>AB$92*('[6]China Soy Complex'!BE77/'[6]China Soy Complex'!BE$84)</f>
        <v>102.65684980736944</v>
      </c>
      <c r="AC85" s="290">
        <f>AC$92*('[6]China Soy Complex'!BF77/'[6]China Soy Complex'!BF$84)</f>
        <v>83.839020373051554</v>
      </c>
      <c r="AD85" s="252">
        <f t="shared" si="64"/>
        <v>129.86795275251768</v>
      </c>
      <c r="AE85" s="252">
        <f t="shared" si="64"/>
        <v>129.73595735270058</v>
      </c>
      <c r="AF85" s="252">
        <f t="shared" si="64"/>
        <v>132.06878073140186</v>
      </c>
      <c r="AG85" s="252">
        <f t="shared" si="60"/>
        <v>132.04456815134489</v>
      </c>
      <c r="AH85" s="252">
        <f t="shared" si="61"/>
        <v>132.76000990225495</v>
      </c>
    </row>
    <row r="86" spans="1:34">
      <c r="A86" s="240" t="s">
        <v>234</v>
      </c>
      <c r="B86" s="290">
        <f t="shared" si="62"/>
        <v>65.447651068494849</v>
      </c>
      <c r="C86" s="290">
        <f t="shared" si="62"/>
        <v>68.794254349918404</v>
      </c>
      <c r="D86" s="290">
        <f t="shared" si="62"/>
        <v>61.863152628619531</v>
      </c>
      <c r="E86" s="290">
        <f t="shared" si="62"/>
        <v>63.266096513163305</v>
      </c>
      <c r="F86" s="290">
        <f t="shared" si="62"/>
        <v>57.241357578524152</v>
      </c>
      <c r="G86" s="290">
        <f t="shared" si="62"/>
        <v>65.443135434289289</v>
      </c>
      <c r="H86" s="290">
        <f t="shared" si="62"/>
        <v>69.70717012427852</v>
      </c>
      <c r="I86" s="290">
        <f t="shared" si="62"/>
        <v>73.492731890624654</v>
      </c>
      <c r="J86" s="290">
        <f t="shared" si="62"/>
        <v>50.439353373396102</v>
      </c>
      <c r="K86" s="290">
        <f t="shared" si="62"/>
        <v>66.932444065690021</v>
      </c>
      <c r="L86" s="290">
        <f t="shared" si="62"/>
        <v>61.574758545016138</v>
      </c>
      <c r="M86" s="290">
        <f t="shared" si="62"/>
        <v>61.444356028185993</v>
      </c>
      <c r="N86" s="290">
        <f t="shared" si="62"/>
        <v>83.288571543420375</v>
      </c>
      <c r="O86" s="290">
        <f t="shared" si="62"/>
        <v>51.424736380223948</v>
      </c>
      <c r="P86" s="290">
        <f t="shared" si="62"/>
        <v>50.912648423040501</v>
      </c>
      <c r="Q86" s="290">
        <f t="shared" si="62"/>
        <v>69.626828128052352</v>
      </c>
      <c r="R86" s="290">
        <f t="shared" si="63"/>
        <v>69.578929202675894</v>
      </c>
      <c r="S86" s="290">
        <f>S$92*('[6]China Soy Complex'!AV78/'[6]China Soy Complex'!AV$84)</f>
        <v>66.635994292847755</v>
      </c>
      <c r="T86" s="290">
        <f>T$92*('[6]China Soy Complex'!AW78/'[6]China Soy Complex'!AW$84)</f>
        <v>83.199752077791629</v>
      </c>
      <c r="U86" s="290">
        <f>U$92*('[6]China Soy Complex'!AX78/'[6]China Soy Complex'!AX$84)</f>
        <v>112.92157802313986</v>
      </c>
      <c r="V86" s="290">
        <f>V$92*('[6]China Soy Complex'!AY78/'[6]China Soy Complex'!AY$84)</f>
        <v>99.153716993494541</v>
      </c>
      <c r="W86" s="290">
        <f>W$92*('[6]China Soy Complex'!AZ78/'[6]China Soy Complex'!AZ$84)</f>
        <v>87.020482349383485</v>
      </c>
      <c r="X86" s="290">
        <f>X$92*('[6]China Soy Complex'!BA78/'[6]China Soy Complex'!BA$84)</f>
        <v>106.56929580750482</v>
      </c>
      <c r="Y86" s="290">
        <f>Y$92*('[6]China Soy Complex'!BB78/'[6]China Soy Complex'!BB$84)</f>
        <v>130.2701315069379</v>
      </c>
      <c r="Z86" s="290">
        <f>Z$92*('[6]China Soy Complex'!BC78/'[6]China Soy Complex'!BC$84)</f>
        <v>160.73865903123971</v>
      </c>
      <c r="AA86" s="290">
        <f>AA$92*('[6]China Soy Complex'!BD78/'[6]China Soy Complex'!BD$84)</f>
        <v>126.1767498387354</v>
      </c>
      <c r="AB86" s="290">
        <f>AB$92*('[6]China Soy Complex'!BE78/'[6]China Soy Complex'!BE$84)</f>
        <v>82.295713981751035</v>
      </c>
      <c r="AC86" s="290">
        <f>AC$92*('[6]China Soy Complex'!BF78/'[6]China Soy Complex'!BF$84)</f>
        <v>108.88010536930275</v>
      </c>
      <c r="AD86" s="252">
        <f t="shared" si="64"/>
        <v>143.20991692732923</v>
      </c>
      <c r="AE86" s="252">
        <f t="shared" si="64"/>
        <v>147.94951206834324</v>
      </c>
      <c r="AF86" s="252">
        <f t="shared" si="64"/>
        <v>150.33192609519685</v>
      </c>
      <c r="AG86" s="252">
        <f t="shared" si="60"/>
        <v>148.38367557196023</v>
      </c>
      <c r="AH86" s="252">
        <f t="shared" si="61"/>
        <v>145.27407058590609</v>
      </c>
    </row>
    <row r="87" spans="1:34">
      <c r="A87" s="240" t="s">
        <v>46</v>
      </c>
      <c r="B87" s="290">
        <f t="shared" si="62"/>
        <v>69.005517173530379</v>
      </c>
      <c r="C87" s="290">
        <f t="shared" si="62"/>
        <v>72.492475164645683</v>
      </c>
      <c r="D87" s="290">
        <f t="shared" si="62"/>
        <v>65.269751542115003</v>
      </c>
      <c r="E87" s="290">
        <f t="shared" si="62"/>
        <v>66.785205348288216</v>
      </c>
      <c r="F87" s="290">
        <f t="shared" si="62"/>
        <v>60.376065079305171</v>
      </c>
      <c r="G87" s="290">
        <f t="shared" si="62"/>
        <v>68.895947618589332</v>
      </c>
      <c r="H87" s="290">
        <f t="shared" si="62"/>
        <v>73.263136302707835</v>
      </c>
      <c r="I87" s="290">
        <f t="shared" si="62"/>
        <v>77.95536455618489</v>
      </c>
      <c r="J87" s="290">
        <f t="shared" si="62"/>
        <v>53.428404439253391</v>
      </c>
      <c r="K87" s="290">
        <f t="shared" si="62"/>
        <v>70.325526882462512</v>
      </c>
      <c r="L87" s="290">
        <f t="shared" si="62"/>
        <v>64.17063222985044</v>
      </c>
      <c r="M87" s="290">
        <f t="shared" si="62"/>
        <v>64.01583649509756</v>
      </c>
      <c r="N87" s="290">
        <f t="shared" si="62"/>
        <v>91.393579937849267</v>
      </c>
      <c r="O87" s="290">
        <f t="shared" si="62"/>
        <v>53.999027463957951</v>
      </c>
      <c r="P87" s="290">
        <f t="shared" si="62"/>
        <v>50.712491813201297</v>
      </c>
      <c r="Q87" s="290">
        <f t="shared" si="62"/>
        <v>69.927548631100763</v>
      </c>
      <c r="R87" s="290">
        <f t="shared" si="63"/>
        <v>72.393453676652925</v>
      </c>
      <c r="S87" s="290">
        <f>S$92*('[6]China Soy Complex'!AV79/'[6]China Soy Complex'!AV$84)</f>
        <v>91.136257375600096</v>
      </c>
      <c r="T87" s="290">
        <f>T$92*('[6]China Soy Complex'!AW79/'[6]China Soy Complex'!AW$84)</f>
        <v>72.802299100323708</v>
      </c>
      <c r="U87" s="290">
        <f>U$92*('[6]China Soy Complex'!AX79/'[6]China Soy Complex'!AX$84)</f>
        <v>94.123256146418143</v>
      </c>
      <c r="V87" s="290">
        <f>V$92*('[6]China Soy Complex'!AY79/'[6]China Soy Complex'!AY$84)</f>
        <v>102.89832330828972</v>
      </c>
      <c r="W87" s="290">
        <f>W$92*('[6]China Soy Complex'!AZ79/'[6]China Soy Complex'!AZ$84)</f>
        <v>106.1310343423512</v>
      </c>
      <c r="X87" s="290">
        <f>X$92*('[6]China Soy Complex'!BA79/'[6]China Soy Complex'!BA$84)</f>
        <v>146.40845231193049</v>
      </c>
      <c r="Y87" s="290">
        <f>Y$92*('[6]China Soy Complex'!BB79/'[6]China Soy Complex'!BB$84)</f>
        <v>174.10767006760068</v>
      </c>
      <c r="Z87" s="290">
        <f>Z$92*('[6]China Soy Complex'!BC79/'[6]China Soy Complex'!BC$84)</f>
        <v>123.36291376729798</v>
      </c>
      <c r="AA87" s="290">
        <f>AA$92*('[6]China Soy Complex'!BD79/'[6]China Soy Complex'!BD$84)</f>
        <v>103.91479124618193</v>
      </c>
      <c r="AB87" s="290">
        <f>AB$92*('[6]China Soy Complex'!BE79/'[6]China Soy Complex'!BE$84)</f>
        <v>100.76650403251442</v>
      </c>
      <c r="AC87" s="290">
        <f>AC$92*('[6]China Soy Complex'!BF79/'[6]China Soy Complex'!BF$84)</f>
        <v>78.613311010800345</v>
      </c>
      <c r="AD87" s="252">
        <f t="shared" si="64"/>
        <v>153.25499029799477</v>
      </c>
      <c r="AE87" s="252">
        <f t="shared" si="64"/>
        <v>141.23830373382754</v>
      </c>
      <c r="AF87" s="252">
        <f t="shared" si="64"/>
        <v>135.47814418776429</v>
      </c>
      <c r="AG87" s="252">
        <f t="shared" si="60"/>
        <v>140.89170403596989</v>
      </c>
      <c r="AH87" s="252">
        <f t="shared" si="61"/>
        <v>139.92023065873667</v>
      </c>
    </row>
    <row r="88" spans="1:34">
      <c r="A88" s="240" t="s">
        <v>235</v>
      </c>
      <c r="B88" s="290">
        <f t="shared" si="62"/>
        <v>71.818894685366445</v>
      </c>
      <c r="C88" s="290">
        <f t="shared" si="62"/>
        <v>75.501353264551469</v>
      </c>
      <c r="D88" s="290">
        <f t="shared" si="62"/>
        <v>67.938294972735619</v>
      </c>
      <c r="E88" s="290">
        <f t="shared" si="62"/>
        <v>69.47210114807821</v>
      </c>
      <c r="F88" s="290">
        <f t="shared" si="62"/>
        <v>62.783090631662041</v>
      </c>
      <c r="G88" s="290">
        <f t="shared" si="62"/>
        <v>71.734532714860094</v>
      </c>
      <c r="H88" s="290">
        <f t="shared" si="62"/>
        <v>76.549608401282953</v>
      </c>
      <c r="I88" s="290">
        <f t="shared" si="62"/>
        <v>80.934698648703687</v>
      </c>
      <c r="J88" s="290">
        <f t="shared" si="62"/>
        <v>55.35118060013739</v>
      </c>
      <c r="K88" s="290">
        <f t="shared" si="62"/>
        <v>73.007433977859932</v>
      </c>
      <c r="L88" s="290">
        <f t="shared" si="62"/>
        <v>67.273191726784503</v>
      </c>
      <c r="M88" s="290">
        <f t="shared" si="62"/>
        <v>68.127878443482459</v>
      </c>
      <c r="N88" s="290">
        <f t="shared" si="62"/>
        <v>92.695991703344276</v>
      </c>
      <c r="O88" s="290">
        <f t="shared" si="62"/>
        <v>55.176512165989507</v>
      </c>
      <c r="P88" s="290">
        <f t="shared" si="62"/>
        <v>53.385051718341529</v>
      </c>
      <c r="Q88" s="290">
        <f t="shared" si="62"/>
        <v>76.620428692635329</v>
      </c>
      <c r="R88" s="290">
        <f t="shared" si="63"/>
        <v>82.28683694185807</v>
      </c>
      <c r="S88" s="290">
        <f>S$92*('[6]China Soy Complex'!AV80/'[6]China Soy Complex'!AV$84)</f>
        <v>75.519051579286952</v>
      </c>
      <c r="T88" s="290">
        <f>T$92*('[6]China Soy Complex'!AW80/'[6]China Soy Complex'!AW$84)</f>
        <v>76.944694606679022</v>
      </c>
      <c r="U88" s="290">
        <f>U$92*('[6]China Soy Complex'!AX80/'[6]China Soy Complex'!AX$84)</f>
        <v>110.11206893429454</v>
      </c>
      <c r="V88" s="290">
        <f>V$92*('[6]China Soy Complex'!AY80/'[6]China Soy Complex'!AY$84)</f>
        <v>129.96791845261725</v>
      </c>
      <c r="W88" s="290">
        <f>W$92*('[6]China Soy Complex'!AZ80/'[6]China Soy Complex'!AZ$84)</f>
        <v>138.38072179165675</v>
      </c>
      <c r="X88" s="290">
        <f>X$92*('[6]China Soy Complex'!BA80/'[6]China Soy Complex'!BA$84)</f>
        <v>116.17784898108789</v>
      </c>
      <c r="Y88" s="290">
        <f>Y$92*('[6]China Soy Complex'!BB80/'[6]China Soy Complex'!BB$84)</f>
        <v>137.46401856387843</v>
      </c>
      <c r="Z88" s="290">
        <f>Z$92*('[6]China Soy Complex'!BC80/'[6]China Soy Complex'!BC$84)</f>
        <v>137.65651653552692</v>
      </c>
      <c r="AA88" s="290">
        <f>AA$92*('[6]China Soy Complex'!BD80/'[6]China Soy Complex'!BD$84)</f>
        <v>105.54725020261144</v>
      </c>
      <c r="AB88" s="290">
        <f>AB$92*('[6]China Soy Complex'!BE80/'[6]China Soy Complex'!BE$84)</f>
        <v>131.08092845945572</v>
      </c>
      <c r="AC88" s="290">
        <f>AC$92*('[6]China Soy Complex'!BF80/'[6]China Soy Complex'!BF$84)</f>
        <v>101.64821645178446</v>
      </c>
      <c r="AD88" s="252">
        <f t="shared" si="64"/>
        <v>148.37922490486883</v>
      </c>
      <c r="AE88" s="252">
        <f t="shared" si="64"/>
        <v>149.17412994449759</v>
      </c>
      <c r="AF88" s="252">
        <f t="shared" si="64"/>
        <v>151.06047478859304</v>
      </c>
      <c r="AG88" s="252">
        <f t="shared" si="60"/>
        <v>155.04502067153629</v>
      </c>
      <c r="AH88" s="252">
        <f t="shared" si="61"/>
        <v>156.45108735913695</v>
      </c>
    </row>
    <row r="89" spans="1:34">
      <c r="A89" s="240" t="s">
        <v>236</v>
      </c>
      <c r="B89" s="290">
        <f t="shared" si="62"/>
        <v>78.45475652880539</v>
      </c>
      <c r="C89" s="290">
        <f t="shared" si="62"/>
        <v>82.459213321597758</v>
      </c>
      <c r="D89" s="290">
        <f t="shared" si="62"/>
        <v>74.155796496365667</v>
      </c>
      <c r="E89" s="290">
        <f t="shared" si="62"/>
        <v>75.838210378065767</v>
      </c>
      <c r="F89" s="290">
        <f t="shared" si="62"/>
        <v>68.63755985825857</v>
      </c>
      <c r="G89" s="290">
        <f t="shared" si="62"/>
        <v>78.440079729184987</v>
      </c>
      <c r="H89" s="290">
        <f t="shared" si="62"/>
        <v>83.52008880857386</v>
      </c>
      <c r="I89" s="290">
        <f t="shared" si="62"/>
        <v>88.119072250237593</v>
      </c>
      <c r="J89" s="290">
        <f t="shared" si="62"/>
        <v>60.466178879447604</v>
      </c>
      <c r="K89" s="290">
        <f t="shared" si="62"/>
        <v>80.375824882490804</v>
      </c>
      <c r="L89" s="290">
        <f t="shared" si="62"/>
        <v>73.643272558767819</v>
      </c>
      <c r="M89" s="290">
        <f t="shared" si="62"/>
        <v>73.47733380966622</v>
      </c>
      <c r="N89" s="290">
        <f t="shared" si="62"/>
        <v>100.13475764489766</v>
      </c>
      <c r="O89" s="290">
        <f t="shared" si="62"/>
        <v>61.573719266158172</v>
      </c>
      <c r="P89" s="290">
        <f t="shared" si="62"/>
        <v>61.80734748872878</v>
      </c>
      <c r="Q89" s="290">
        <f t="shared" si="62"/>
        <v>81.775908657265958</v>
      </c>
      <c r="R89" s="290">
        <f t="shared" si="63"/>
        <v>83.153517258413515</v>
      </c>
      <c r="S89" s="290">
        <f>S$92*('[6]China Soy Complex'!AV81/'[6]China Soy Complex'!AV$84)</f>
        <v>82.201842520915918</v>
      </c>
      <c r="T89" s="290">
        <f>T$92*('[6]China Soy Complex'!AW81/'[6]China Soy Complex'!AW$84)</f>
        <v>98.107545118739097</v>
      </c>
      <c r="U89" s="290">
        <f>U$92*('[6]China Soy Complex'!AX81/'[6]China Soy Complex'!AX$84)</f>
        <v>142.73956979947161</v>
      </c>
      <c r="V89" s="290">
        <f>V$92*('[6]China Soy Complex'!AY81/'[6]China Soy Complex'!AY$84)</f>
        <v>100.57753194868721</v>
      </c>
      <c r="W89" s="290">
        <f>W$92*('[6]China Soy Complex'!AZ81/'[6]China Soy Complex'!AZ$84)</f>
        <v>112.88989042227297</v>
      </c>
      <c r="X89" s="290">
        <f>X$92*('[6]China Soy Complex'!BA81/'[6]China Soy Complex'!BA$84)</f>
        <v>114.90034816141832</v>
      </c>
      <c r="Y89" s="290">
        <f>Y$92*('[6]China Soy Complex'!BB81/'[6]China Soy Complex'!BB$84)</f>
        <v>172.52229878687717</v>
      </c>
      <c r="Z89" s="290">
        <f>Z$92*('[6]China Soy Complex'!BC81/'[6]China Soy Complex'!BC$84)</f>
        <v>174.16199077489836</v>
      </c>
      <c r="AA89" s="290">
        <f>AA$92*('[6]China Soy Complex'!BD81/'[6]China Soy Complex'!BD$84)</f>
        <v>115.6602774036318</v>
      </c>
      <c r="AB89" s="290">
        <f>AB$92*('[6]China Soy Complex'!BE81/'[6]China Soy Complex'!BE$84)</f>
        <v>102.99551529700629</v>
      </c>
      <c r="AC89" s="290">
        <f>AC$92*('[6]China Soy Complex'!BF81/'[6]China Soy Complex'!BF$84)</f>
        <v>117.85300458177908</v>
      </c>
      <c r="AD89" s="252">
        <f t="shared" si="64"/>
        <v>160.74100667823416</v>
      </c>
      <c r="AE89" s="252">
        <f t="shared" si="64"/>
        <v>166.14809969565022</v>
      </c>
      <c r="AF89" s="252">
        <f t="shared" si="64"/>
        <v>162.45685219448023</v>
      </c>
      <c r="AG89" s="252">
        <f t="shared" si="60"/>
        <v>161.76742546537847</v>
      </c>
      <c r="AH89" s="252">
        <f t="shared" si="61"/>
        <v>163.07601683722723</v>
      </c>
    </row>
    <row r="90" spans="1:34">
      <c r="A90" s="240" t="s">
        <v>237</v>
      </c>
      <c r="B90" s="290">
        <f t="shared" si="62"/>
        <v>78.041079218367926</v>
      </c>
      <c r="C90" s="290">
        <f t="shared" si="62"/>
        <v>81.993478384883744</v>
      </c>
      <c r="D90" s="290">
        <f t="shared" si="62"/>
        <v>73.823138950479859</v>
      </c>
      <c r="E90" s="290">
        <f t="shared" si="62"/>
        <v>75.524503909400195</v>
      </c>
      <c r="F90" s="290">
        <f t="shared" si="62"/>
        <v>68.280666734754661</v>
      </c>
      <c r="G90" s="290">
        <f t="shared" si="62"/>
        <v>77.907876309254036</v>
      </c>
      <c r="H90" s="290">
        <f t="shared" si="62"/>
        <v>82.905942784106287</v>
      </c>
      <c r="I90" s="290">
        <f t="shared" si="62"/>
        <v>88.166076010973583</v>
      </c>
      <c r="J90" s="290">
        <f t="shared" si="62"/>
        <v>60.353918734804736</v>
      </c>
      <c r="K90" s="290">
        <f t="shared" si="62"/>
        <v>79.554766608232413</v>
      </c>
      <c r="L90" s="290">
        <f t="shared" si="62"/>
        <v>72.523940569060571</v>
      </c>
      <c r="M90" s="290">
        <f t="shared" si="62"/>
        <v>72.717549129532017</v>
      </c>
      <c r="N90" s="290">
        <f t="shared" si="62"/>
        <v>103.1542084834814</v>
      </c>
      <c r="O90" s="290">
        <f t="shared" si="62"/>
        <v>60.53185431287023</v>
      </c>
      <c r="P90" s="290">
        <f t="shared" si="62"/>
        <v>57.922738489716977</v>
      </c>
      <c r="Q90" s="290">
        <f t="shared" si="62"/>
        <v>78.685661956869552</v>
      </c>
      <c r="R90" s="290">
        <f t="shared" si="63"/>
        <v>84.134109616249447</v>
      </c>
      <c r="S90" s="290">
        <f>S$92*('[6]China Soy Complex'!AV82/'[6]China Soy Complex'!AV$84)</f>
        <v>100.41035298867637</v>
      </c>
      <c r="T90" s="290">
        <f>T$92*('[6]China Soy Complex'!AW82/'[6]China Soy Complex'!AW$84)</f>
        <v>79.005828230832464</v>
      </c>
      <c r="U90" s="290">
        <f>U$92*('[6]China Soy Complex'!AX82/'[6]China Soy Complex'!AX$84)</f>
        <v>115.0728532979381</v>
      </c>
      <c r="V90" s="290">
        <f>V$92*('[6]China Soy Complex'!AY82/'[6]China Soy Complex'!AY$84)</f>
        <v>109.0060481824939</v>
      </c>
      <c r="W90" s="290">
        <f>W$92*('[6]China Soy Complex'!AZ82/'[6]China Soy Complex'!AZ$84)</f>
        <v>139.34819558950466</v>
      </c>
      <c r="X90" s="290">
        <f>X$92*('[6]China Soy Complex'!BA82/'[6]China Soy Complex'!BA$84)</f>
        <v>140.124165093377</v>
      </c>
      <c r="Y90" s="290">
        <f>Y$92*('[6]China Soy Complex'!BB82/'[6]China Soy Complex'!BB$84)</f>
        <v>137.71925756107871</v>
      </c>
      <c r="Z90" s="290">
        <f>Z$92*('[6]China Soy Complex'!BC82/'[6]China Soy Complex'!BC$84)</f>
        <v>146.60757338874592</v>
      </c>
      <c r="AA90" s="290">
        <f>AA$92*('[6]China Soy Complex'!BD82/'[6]China Soy Complex'!BD$84)</f>
        <v>96.081229617731978</v>
      </c>
      <c r="AB90" s="290">
        <f>AB$92*('[6]China Soy Complex'!BE82/'[6]China Soy Complex'!BE$84)</f>
        <v>128.98197504459625</v>
      </c>
      <c r="AC90" s="290">
        <f>AC$92*('[6]China Soy Complex'!BF82/'[6]China Soy Complex'!BF$84)</f>
        <v>103.65707448442843</v>
      </c>
      <c r="AD90" s="252">
        <f t="shared" si="64"/>
        <v>153.48038987945134</v>
      </c>
      <c r="AE90" s="252">
        <f t="shared" si="64"/>
        <v>149.08905597530762</v>
      </c>
      <c r="AF90" s="252">
        <f t="shared" si="64"/>
        <v>152.14836631952934</v>
      </c>
      <c r="AG90" s="252">
        <f t="shared" si="60"/>
        <v>153.93795032121506</v>
      </c>
      <c r="AH90" s="252">
        <f t="shared" si="61"/>
        <v>157.83200595617495</v>
      </c>
    </row>
    <row r="91" spans="1:34">
      <c r="A91" s="240" t="s">
        <v>238</v>
      </c>
      <c r="B91" s="290">
        <f t="shared" si="62"/>
        <v>79.508254404846767</v>
      </c>
      <c r="C91" s="290">
        <f t="shared" si="62"/>
        <v>83.574859354470661</v>
      </c>
      <c r="D91" s="290">
        <f t="shared" si="62"/>
        <v>75.174793494182083</v>
      </c>
      <c r="E91" s="290">
        <f t="shared" si="62"/>
        <v>76.864762350916635</v>
      </c>
      <c r="F91" s="290">
        <f t="shared" si="62"/>
        <v>69.527310051335832</v>
      </c>
      <c r="G91" s="290">
        <f t="shared" si="62"/>
        <v>79.485510741793874</v>
      </c>
      <c r="H91" s="290">
        <f t="shared" si="62"/>
        <v>84.688639622116369</v>
      </c>
      <c r="I91" s="290">
        <f t="shared" si="62"/>
        <v>89.410486772675569</v>
      </c>
      <c r="J91" s="290">
        <f t="shared" si="62"/>
        <v>61.203682933873679</v>
      </c>
      <c r="K91" s="290">
        <f t="shared" si="62"/>
        <v>81.200445142135678</v>
      </c>
      <c r="L91" s="290">
        <f t="shared" si="62"/>
        <v>74.767358982942341</v>
      </c>
      <c r="M91" s="290">
        <f t="shared" si="62"/>
        <v>74.761563058160249</v>
      </c>
      <c r="N91" s="290">
        <f t="shared" si="62"/>
        <v>101.85201458989228</v>
      </c>
      <c r="O91" s="290">
        <f t="shared" si="62"/>
        <v>61.370646234876176</v>
      </c>
      <c r="P91" s="290">
        <f t="shared" si="62"/>
        <v>61.68741304206177</v>
      </c>
      <c r="Q91" s="290">
        <f t="shared" si="62"/>
        <v>84.878937894436532</v>
      </c>
      <c r="R91" s="290">
        <f t="shared" si="63"/>
        <v>85.445444504237926</v>
      </c>
      <c r="S91" s="290">
        <f>S$92*('[6]China Soy Complex'!AV83/'[6]China Soy Complex'!AV$84)</f>
        <v>83.483979707101426</v>
      </c>
      <c r="T91" s="290">
        <f>T$92*('[6]China Soy Complex'!AW83/'[6]China Soy Complex'!AW$84)</f>
        <v>90.207928452042168</v>
      </c>
      <c r="U91" s="290">
        <f>U$92*('[6]China Soy Complex'!AX83/'[6]China Soy Complex'!AX$84)</f>
        <v>143.01519214890914</v>
      </c>
      <c r="V91" s="290">
        <f>V$92*('[6]China Soy Complex'!AY83/'[6]China Soy Complex'!AY$84)</f>
        <v>123.8574918422552</v>
      </c>
      <c r="W91" s="290">
        <f>W$92*('[6]China Soy Complex'!AZ83/'[6]China Soy Complex'!AZ$84)</f>
        <v>110.73957474636059</v>
      </c>
      <c r="X91" s="290">
        <f>X$92*('[6]China Soy Complex'!BA83/'[6]China Soy Complex'!BA$84)</f>
        <v>108.83836109885168</v>
      </c>
      <c r="Y91" s="290">
        <f>Y$92*('[6]China Soy Complex'!BB83/'[6]China Soy Complex'!BB$84)</f>
        <v>145.08362500482849</v>
      </c>
      <c r="Z91" s="290">
        <f>Z$92*('[6]China Soy Complex'!BC83/'[6]China Soy Complex'!BC$84)</f>
        <v>146.83049051724137</v>
      </c>
      <c r="AA91" s="290">
        <f>AA$92*('[6]China Soy Complex'!BD83/'[6]China Soy Complex'!BD$84)</f>
        <v>136.8336809849643</v>
      </c>
      <c r="AB91" s="290">
        <f>AB$92*('[6]China Soy Complex'!BE83/'[6]China Soy Complex'!BE$84)</f>
        <v>106.90690854708953</v>
      </c>
      <c r="AC91" s="290">
        <f>AC$92*('[6]China Soy Complex'!BF83/'[6]China Soy Complex'!BF$84)</f>
        <v>96.291261698067231</v>
      </c>
      <c r="AD91" s="252">
        <f>AD92-SUM(AD80:AD90)</f>
        <v>139.47561004254544</v>
      </c>
      <c r="AE91" s="252">
        <f>AE92-SUM(AE80:AE90)</f>
        <v>153.68513456599476</v>
      </c>
      <c r="AF91" s="252">
        <f>AF92-SUM(AF80:AF90)</f>
        <v>151.55064724146587</v>
      </c>
      <c r="AG91" s="252">
        <f t="shared" ref="AG91:AH91" si="65">AG92-SUM(AG80:AG90)</f>
        <v>154.40195919827306</v>
      </c>
      <c r="AH91" s="252">
        <f t="shared" si="65"/>
        <v>148.77405255002145</v>
      </c>
    </row>
    <row r="92" spans="1:34" ht="15.75" thickBot="1">
      <c r="A92" s="240" t="s">
        <v>242</v>
      </c>
      <c r="B92" s="146">
        <f t="shared" ref="B92:AB92" si="66">B12</f>
        <v>843</v>
      </c>
      <c r="C92" s="146">
        <f t="shared" si="66"/>
        <v>885.95906843137266</v>
      </c>
      <c r="D92" s="146">
        <f t="shared" si="66"/>
        <v>797.13130823529411</v>
      </c>
      <c r="E92" s="146">
        <f t="shared" si="66"/>
        <v>815.33280434426229</v>
      </c>
      <c r="F92" s="146">
        <f t="shared" si="66"/>
        <v>737.33823101796418</v>
      </c>
      <c r="G92" s="146">
        <f t="shared" si="66"/>
        <v>842.3152904333333</v>
      </c>
      <c r="H92" s="146">
        <f t="shared" si="66"/>
        <v>897.03972814070335</v>
      </c>
      <c r="I92" s="146">
        <f t="shared" si="66"/>
        <v>949.20884567164194</v>
      </c>
      <c r="J92" s="146">
        <f t="shared" si="66"/>
        <v>650.67514086956521</v>
      </c>
      <c r="K92" s="146">
        <f t="shared" si="66"/>
        <v>860.22816007868857</v>
      </c>
      <c r="L92" s="146">
        <f t="shared" si="66"/>
        <v>789.17891350000002</v>
      </c>
      <c r="M92" s="146">
        <f t="shared" si="66"/>
        <v>789.97919131174092</v>
      </c>
      <c r="N92" s="146">
        <f t="shared" si="66"/>
        <v>1090.4802757052632</v>
      </c>
      <c r="O92" s="146">
        <f t="shared" si="66"/>
        <v>658.35839999999996</v>
      </c>
      <c r="P92" s="146">
        <f t="shared" si="66"/>
        <v>638.76679999999999</v>
      </c>
      <c r="Q92" s="146">
        <f t="shared" si="66"/>
        <v>881.39520000000005</v>
      </c>
      <c r="R92" s="146">
        <f t="shared" si="66"/>
        <v>907.30307407407395</v>
      </c>
      <c r="S92" s="146">
        <f t="shared" si="66"/>
        <v>949.10308823529408</v>
      </c>
      <c r="T92" s="146">
        <f t="shared" si="66"/>
        <v>975.65000000000009</v>
      </c>
      <c r="U92" s="146">
        <f t="shared" si="66"/>
        <v>1329.7094117647059</v>
      </c>
      <c r="V92" s="146">
        <f t="shared" si="66"/>
        <v>1300.3989270386267</v>
      </c>
      <c r="W92" s="146">
        <f t="shared" si="66"/>
        <v>1299.1658798283265</v>
      </c>
      <c r="X92" s="146">
        <f t="shared" si="66"/>
        <v>1409.914342629482</v>
      </c>
      <c r="Y92" s="146">
        <f t="shared" si="66"/>
        <v>1713.4078302134646</v>
      </c>
      <c r="Z92" s="146">
        <f t="shared" si="66"/>
        <v>1801.7695479069766</v>
      </c>
      <c r="AA92" s="146">
        <f t="shared" si="66"/>
        <v>1300.7963420600863</v>
      </c>
      <c r="AB92" s="146">
        <f t="shared" si="66"/>
        <v>1179.9430803571431</v>
      </c>
      <c r="AC92" s="146">
        <f>AC12</f>
        <v>1200</v>
      </c>
      <c r="AD92" s="253">
        <f>AD12</f>
        <v>1750</v>
      </c>
      <c r="AE92" s="253">
        <f>AE12</f>
        <v>1750</v>
      </c>
      <c r="AF92" s="253">
        <f>AF12</f>
        <v>1750</v>
      </c>
      <c r="AG92" s="253">
        <f t="shared" ref="AG92:AH92" si="67">AG12</f>
        <v>1751</v>
      </c>
      <c r="AH92" s="253">
        <f t="shared" si="67"/>
        <v>1752</v>
      </c>
    </row>
    <row r="93" spans="1:34">
      <c r="A93" s="248"/>
      <c r="B93" s="254">
        <f t="shared" ref="B93:AC93" si="68">SUM(B80:B91)-B12</f>
        <v>0</v>
      </c>
      <c r="C93" s="254">
        <f t="shared" si="68"/>
        <v>0</v>
      </c>
      <c r="D93" s="254">
        <f t="shared" si="68"/>
        <v>0</v>
      </c>
      <c r="E93" s="254">
        <f t="shared" si="68"/>
        <v>0</v>
      </c>
      <c r="F93" s="254">
        <f t="shared" si="68"/>
        <v>0</v>
      </c>
      <c r="G93" s="254">
        <f t="shared" si="68"/>
        <v>0</v>
      </c>
      <c r="H93" s="254">
        <f t="shared" si="68"/>
        <v>0</v>
      </c>
      <c r="I93" s="254">
        <f t="shared" si="68"/>
        <v>0</v>
      </c>
      <c r="J93" s="254">
        <f t="shared" si="68"/>
        <v>0</v>
      </c>
      <c r="K93" s="254">
        <f t="shared" si="68"/>
        <v>0</v>
      </c>
      <c r="L93" s="254">
        <f t="shared" si="68"/>
        <v>0</v>
      </c>
      <c r="M93" s="254">
        <f t="shared" si="68"/>
        <v>0</v>
      </c>
      <c r="N93" s="254">
        <f t="shared" si="68"/>
        <v>0</v>
      </c>
      <c r="O93" s="254">
        <f t="shared" si="68"/>
        <v>0</v>
      </c>
      <c r="P93" s="254">
        <f t="shared" si="68"/>
        <v>0</v>
      </c>
      <c r="Q93" s="254">
        <f t="shared" si="68"/>
        <v>0</v>
      </c>
      <c r="R93" s="254">
        <f t="shared" si="68"/>
        <v>0</v>
      </c>
      <c r="S93" s="254">
        <f t="shared" si="68"/>
        <v>0</v>
      </c>
      <c r="T93" s="254">
        <f t="shared" si="68"/>
        <v>0</v>
      </c>
      <c r="U93" s="254">
        <f t="shared" si="68"/>
        <v>0</v>
      </c>
      <c r="V93" s="254">
        <f t="shared" si="68"/>
        <v>0</v>
      </c>
      <c r="W93" s="254">
        <f t="shared" si="68"/>
        <v>0</v>
      </c>
      <c r="X93" s="254">
        <f t="shared" si="68"/>
        <v>0</v>
      </c>
      <c r="Y93" s="254">
        <f t="shared" si="68"/>
        <v>0</v>
      </c>
      <c r="Z93" s="254">
        <f>SUM(Z80:Z91)-Z12</f>
        <v>0</v>
      </c>
      <c r="AA93" s="254">
        <f t="shared" si="68"/>
        <v>0</v>
      </c>
      <c r="AB93" s="254">
        <f t="shared" si="68"/>
        <v>0</v>
      </c>
      <c r="AC93" s="254">
        <f t="shared" si="68"/>
        <v>0</v>
      </c>
      <c r="AD93" s="254">
        <f t="shared" ref="AD93:AE93" si="69">SUM(AD80:AD91)-AD12</f>
        <v>0</v>
      </c>
      <c r="AE93" s="254">
        <f t="shared" si="69"/>
        <v>0</v>
      </c>
      <c r="AF93" s="254">
        <f t="shared" ref="AF93:AH93" si="70">SUM(AF80:AF91)-AF12</f>
        <v>0</v>
      </c>
      <c r="AG93" s="254">
        <f t="shared" si="70"/>
        <v>0</v>
      </c>
      <c r="AH93" s="254">
        <f t="shared" si="70"/>
        <v>0</v>
      </c>
    </row>
    <row r="94" spans="1:34" ht="15.75" thickBot="1">
      <c r="A94" s="235" t="s">
        <v>252</v>
      </c>
    </row>
    <row r="95" spans="1:34" ht="15.75" thickBot="1">
      <c r="A95" s="236"/>
      <c r="B95" s="237" t="str">
        <f>B$2</f>
        <v xml:space="preserve">93/94 </v>
      </c>
      <c r="C95" s="237" t="str">
        <f t="shared" ref="C95:AH95" si="71">C$2</f>
        <v xml:space="preserve">94/95 </v>
      </c>
      <c r="D95" s="237" t="str">
        <f t="shared" si="71"/>
        <v xml:space="preserve">95/96 </v>
      </c>
      <c r="E95" s="237" t="str">
        <f t="shared" si="71"/>
        <v xml:space="preserve">96/97 </v>
      </c>
      <c r="F95" s="237" t="str">
        <f t="shared" si="71"/>
        <v xml:space="preserve">97/98 </v>
      </c>
      <c r="G95" s="237" t="str">
        <f t="shared" si="71"/>
        <v xml:space="preserve">98/99 </v>
      </c>
      <c r="H95" s="237" t="str">
        <f t="shared" si="71"/>
        <v xml:space="preserve">99/00 </v>
      </c>
      <c r="I95" s="237" t="str">
        <f t="shared" si="71"/>
        <v xml:space="preserve">00/01 </v>
      </c>
      <c r="J95" s="237" t="str">
        <f t="shared" si="71"/>
        <v xml:space="preserve">01/02 </v>
      </c>
      <c r="K95" s="237" t="str">
        <f t="shared" si="71"/>
        <v xml:space="preserve">02/03 </v>
      </c>
      <c r="L95" s="237" t="str">
        <f t="shared" si="71"/>
        <v xml:space="preserve">03/04 </v>
      </c>
      <c r="M95" s="237" t="str">
        <f t="shared" si="71"/>
        <v xml:space="preserve">04/05 </v>
      </c>
      <c r="N95" s="237" t="str">
        <f t="shared" si="71"/>
        <v xml:space="preserve">05/06 </v>
      </c>
      <c r="O95" s="237" t="str">
        <f t="shared" si="71"/>
        <v xml:space="preserve">06/07 </v>
      </c>
      <c r="P95" s="237" t="str">
        <f t="shared" si="71"/>
        <v xml:space="preserve">07/08 </v>
      </c>
      <c r="Q95" s="237" t="str">
        <f t="shared" si="71"/>
        <v xml:space="preserve">08/09 </v>
      </c>
      <c r="R95" s="237" t="str">
        <f t="shared" si="71"/>
        <v xml:space="preserve">09/10 </v>
      </c>
      <c r="S95" s="237" t="str">
        <f t="shared" si="71"/>
        <v xml:space="preserve">10/11 </v>
      </c>
      <c r="T95" s="237" t="str">
        <f t="shared" si="71"/>
        <v xml:space="preserve">11/12 </v>
      </c>
      <c r="U95" s="237" t="str">
        <f t="shared" si="71"/>
        <v xml:space="preserve">12/13 </v>
      </c>
      <c r="V95" s="237" t="str">
        <f t="shared" si="71"/>
        <v xml:space="preserve">13/14 </v>
      </c>
      <c r="W95" s="237" t="str">
        <f t="shared" si="71"/>
        <v xml:space="preserve">14/15 </v>
      </c>
      <c r="X95" s="237" t="str">
        <f t="shared" si="71"/>
        <v xml:space="preserve">15/16 </v>
      </c>
      <c r="Y95" s="237" t="str">
        <f t="shared" si="71"/>
        <v xml:space="preserve">16/17 </v>
      </c>
      <c r="Z95" s="237" t="str">
        <f t="shared" si="71"/>
        <v xml:space="preserve">17/18 </v>
      </c>
      <c r="AA95" s="237" t="str">
        <f t="shared" si="71"/>
        <v xml:space="preserve">18/19 </v>
      </c>
      <c r="AB95" s="237" t="str">
        <f t="shared" si="71"/>
        <v xml:space="preserve">19/20 </v>
      </c>
      <c r="AC95" s="237" t="str">
        <f t="shared" si="71"/>
        <v xml:space="preserve">20/21 </v>
      </c>
      <c r="AD95" s="237" t="str">
        <f t="shared" si="71"/>
        <v xml:space="preserve">21/22 </v>
      </c>
      <c r="AE95" s="237" t="str">
        <f t="shared" si="71"/>
        <v xml:space="preserve">22/23 </v>
      </c>
      <c r="AF95" s="237" t="str">
        <f t="shared" si="71"/>
        <v>23/24</v>
      </c>
      <c r="AG95" s="237" t="str">
        <f t="shared" si="71"/>
        <v>23/25</v>
      </c>
      <c r="AH95" s="237" t="str">
        <f t="shared" si="71"/>
        <v>23/26</v>
      </c>
    </row>
    <row r="96" spans="1:34">
      <c r="A96" s="240" t="s">
        <v>239</v>
      </c>
      <c r="B96" s="290">
        <f t="shared" ref="B96:AB105" si="72">B$124*B80</f>
        <v>41.656963079126683</v>
      </c>
      <c r="C96" s="290">
        <f t="shared" si="72"/>
        <v>43.756012669491419</v>
      </c>
      <c r="D96" s="290">
        <f t="shared" si="72"/>
        <v>39.339480089362702</v>
      </c>
      <c r="E96" s="290">
        <f t="shared" si="72"/>
        <v>38.493751373819933</v>
      </c>
      <c r="F96" s="290">
        <f t="shared" si="72"/>
        <v>34.501407921220022</v>
      </c>
      <c r="G96" s="290">
        <f t="shared" si="72"/>
        <v>39.243137276193842</v>
      </c>
      <c r="H96" s="290">
        <f t="shared" si="72"/>
        <v>41.657675166740539</v>
      </c>
      <c r="I96" s="290">
        <f t="shared" si="72"/>
        <v>44.024800005664055</v>
      </c>
      <c r="J96" s="290">
        <f t="shared" si="72"/>
        <v>30.371455076999759</v>
      </c>
      <c r="K96" s="290">
        <f t="shared" si="72"/>
        <v>40.124877819302242</v>
      </c>
      <c r="L96" s="290">
        <f t="shared" si="72"/>
        <v>36.68746906278362</v>
      </c>
      <c r="M96" s="290">
        <f t="shared" si="72"/>
        <v>36.183442604987519</v>
      </c>
      <c r="N96" s="290">
        <f t="shared" si="72"/>
        <v>50.12789938559478</v>
      </c>
      <c r="O96" s="290">
        <f t="shared" si="72"/>
        <v>31.331349872498926</v>
      </c>
      <c r="P96" s="290">
        <f t="shared" si="72"/>
        <v>30.43651101223551</v>
      </c>
      <c r="Q96" s="290">
        <f t="shared" si="72"/>
        <v>40.825216921767719</v>
      </c>
      <c r="R96" s="290">
        <f t="shared" si="72"/>
        <v>40.595148663439183</v>
      </c>
      <c r="S96" s="290">
        <f t="shared" si="72"/>
        <v>44.502562051539982</v>
      </c>
      <c r="T96" s="290">
        <f t="shared" si="72"/>
        <v>50.756806099355614</v>
      </c>
      <c r="U96" s="290">
        <f t="shared" si="72"/>
        <v>62.320300168013517</v>
      </c>
      <c r="V96" s="290">
        <f t="shared" si="72"/>
        <v>53.500287878561238</v>
      </c>
      <c r="W96" s="290">
        <f t="shared" si="72"/>
        <v>50.532822199091207</v>
      </c>
      <c r="X96" s="290">
        <f t="shared" si="72"/>
        <v>58.074222482913733</v>
      </c>
      <c r="Y96" s="290">
        <f t="shared" si="72"/>
        <v>86.33539306365418</v>
      </c>
      <c r="Z96" s="290">
        <f t="shared" si="72"/>
        <v>92.735536458819283</v>
      </c>
      <c r="AA96" s="290">
        <f t="shared" si="72"/>
        <v>75.903989790182095</v>
      </c>
      <c r="AB96" s="290">
        <f t="shared" si="72"/>
        <v>42.947352850807135</v>
      </c>
      <c r="AC96" s="290">
        <f>AC$124*AC80</f>
        <v>56.7144809033759</v>
      </c>
      <c r="AD96" s="290">
        <f>AD$124*AD80</f>
        <v>72.038747606505098</v>
      </c>
      <c r="AE96" s="252">
        <f t="shared" ref="AD96:AH107" si="73">AE$124*AE80</f>
        <v>86.338035130537079</v>
      </c>
      <c r="AF96" s="252">
        <f t="shared" si="73"/>
        <v>82.433255683904832</v>
      </c>
      <c r="AG96" s="252">
        <f t="shared" si="73"/>
        <v>81.39760038726358</v>
      </c>
      <c r="AH96" s="252">
        <f t="shared" si="73"/>
        <v>78.03563863878108</v>
      </c>
    </row>
    <row r="97" spans="1:34">
      <c r="A97" s="240" t="s">
        <v>240</v>
      </c>
      <c r="B97" s="290">
        <f t="shared" si="72"/>
        <v>42.829872765319678</v>
      </c>
      <c r="C97" s="290">
        <f t="shared" si="72"/>
        <v>44.963706009534775</v>
      </c>
      <c r="D97" s="290">
        <f t="shared" si="72"/>
        <v>40.466433070913162</v>
      </c>
      <c r="E97" s="290">
        <f t="shared" si="72"/>
        <v>39.613354888869132</v>
      </c>
      <c r="F97" s="290">
        <f t="shared" si="72"/>
        <v>35.484673880056171</v>
      </c>
      <c r="G97" s="290">
        <f t="shared" si="72"/>
        <v>40.305764465304236</v>
      </c>
      <c r="H97" s="290">
        <f t="shared" si="72"/>
        <v>42.702119475741718</v>
      </c>
      <c r="I97" s="290">
        <f t="shared" si="72"/>
        <v>45.484692341774036</v>
      </c>
      <c r="J97" s="290">
        <f t="shared" si="72"/>
        <v>31.341480199854214</v>
      </c>
      <c r="K97" s="290">
        <f t="shared" si="72"/>
        <v>41.157346494320052</v>
      </c>
      <c r="L97" s="290">
        <f t="shared" si="72"/>
        <v>37.403470884135515</v>
      </c>
      <c r="M97" s="290">
        <f t="shared" si="72"/>
        <v>36.706838519015712</v>
      </c>
      <c r="N97" s="290">
        <f t="shared" si="72"/>
        <v>53.297960373553622</v>
      </c>
      <c r="O97" s="290">
        <f t="shared" si="72"/>
        <v>32.093834681599809</v>
      </c>
      <c r="P97" s="290">
        <f t="shared" si="72"/>
        <v>29.998870447216326</v>
      </c>
      <c r="Q97" s="290">
        <f t="shared" si="72"/>
        <v>40.463477440433479</v>
      </c>
      <c r="R97" s="290">
        <f t="shared" si="72"/>
        <v>40.225633394268442</v>
      </c>
      <c r="S97" s="290">
        <f t="shared" si="72"/>
        <v>56.749885287106856</v>
      </c>
      <c r="T97" s="290">
        <f t="shared" si="72"/>
        <v>44.714946311716695</v>
      </c>
      <c r="U97" s="290">
        <f t="shared" si="72"/>
        <v>53.423755226346984</v>
      </c>
      <c r="V97" s="290">
        <f t="shared" si="72"/>
        <v>54.342433863877709</v>
      </c>
      <c r="W97" s="290">
        <f t="shared" si="72"/>
        <v>50.012059204285073</v>
      </c>
      <c r="X97" s="290">
        <f t="shared" si="72"/>
        <v>78.755409088038888</v>
      </c>
      <c r="Y97" s="290">
        <f t="shared" si="72"/>
        <v>75.921553593233682</v>
      </c>
      <c r="Z97" s="290">
        <f t="shared" si="72"/>
        <v>81.02516955220149</v>
      </c>
      <c r="AA97" s="290">
        <f t="shared" si="72"/>
        <v>56.827958901437263</v>
      </c>
      <c r="AB97" s="290">
        <f t="shared" si="72"/>
        <v>45.676450025077749</v>
      </c>
      <c r="AC97" s="290">
        <f t="shared" ref="AC97:AD107" si="74">AC$124*AC81</f>
        <v>72.178866836270061</v>
      </c>
      <c r="AD97" s="290">
        <f t="shared" si="74"/>
        <v>86.950878009069328</v>
      </c>
      <c r="AE97" s="252">
        <f t="shared" si="73"/>
        <v>80.737577792461792</v>
      </c>
      <c r="AF97" s="252">
        <f t="shared" si="73"/>
        <v>82.994890856044748</v>
      </c>
      <c r="AG97" s="252">
        <f t="shared" si="73"/>
        <v>83.455360822883137</v>
      </c>
      <c r="AH97" s="252">
        <f t="shared" si="73"/>
        <v>84.472556733533537</v>
      </c>
    </row>
    <row r="98" spans="1:34">
      <c r="A98" s="240" t="s">
        <v>241</v>
      </c>
      <c r="B98" s="290">
        <f t="shared" si="72"/>
        <v>43.94866496320423</v>
      </c>
      <c r="C98" s="290">
        <f t="shared" si="72"/>
        <v>46.196620608152308</v>
      </c>
      <c r="D98" s="290">
        <f t="shared" si="72"/>
        <v>41.530803427797458</v>
      </c>
      <c r="E98" s="290">
        <f t="shared" si="72"/>
        <v>40.604466403860442</v>
      </c>
      <c r="F98" s="290">
        <f t="shared" si="72"/>
        <v>36.352505095692429</v>
      </c>
      <c r="G98" s="290">
        <f t="shared" si="72"/>
        <v>41.398569695796418</v>
      </c>
      <c r="H98" s="290">
        <f t="shared" si="72"/>
        <v>44.126043553848326</v>
      </c>
      <c r="I98" s="290">
        <f t="shared" si="72"/>
        <v>46.462910934193538</v>
      </c>
      <c r="J98" s="290">
        <f t="shared" si="72"/>
        <v>31.86480132232807</v>
      </c>
      <c r="K98" s="290">
        <f t="shared" si="72"/>
        <v>42.054086880181252</v>
      </c>
      <c r="L98" s="290">
        <f t="shared" si="72"/>
        <v>38.950873409533074</v>
      </c>
      <c r="M98" s="290">
        <f t="shared" si="72"/>
        <v>39.15561716938236</v>
      </c>
      <c r="N98" s="290">
        <f t="shared" si="72"/>
        <v>52.181999004262394</v>
      </c>
      <c r="O98" s="290">
        <f t="shared" si="72"/>
        <v>31.661186292692598</v>
      </c>
      <c r="P98" s="290">
        <f t="shared" si="72"/>
        <v>31.685670560508061</v>
      </c>
      <c r="Q98" s="290">
        <f t="shared" si="72"/>
        <v>45.881547541712699</v>
      </c>
      <c r="R98" s="290">
        <f t="shared" si="72"/>
        <v>47.802622775371439</v>
      </c>
      <c r="S98" s="290">
        <f t="shared" si="72"/>
        <v>38.364871708535937</v>
      </c>
      <c r="T98" s="290">
        <f t="shared" si="72"/>
        <v>45.595327829525772</v>
      </c>
      <c r="U98" s="290">
        <f t="shared" si="72"/>
        <v>71.183766091370103</v>
      </c>
      <c r="V98" s="290">
        <f t="shared" si="72"/>
        <v>79.878917048628409</v>
      </c>
      <c r="W98" s="290">
        <f t="shared" si="72"/>
        <v>73.005466007557885</v>
      </c>
      <c r="X98" s="290">
        <f t="shared" si="72"/>
        <v>68.357865232275728</v>
      </c>
      <c r="Y98" s="290">
        <f t="shared" si="72"/>
        <v>79.216713409524687</v>
      </c>
      <c r="Z98" s="290">
        <f t="shared" si="72"/>
        <v>86.372223511039408</v>
      </c>
      <c r="AA98" s="290">
        <f t="shared" si="72"/>
        <v>69.630202033987544</v>
      </c>
      <c r="AB98" s="290">
        <f t="shared" si="72"/>
        <v>63.819076736100421</v>
      </c>
      <c r="AC98" s="290">
        <f t="shared" si="74"/>
        <v>56.228188013821551</v>
      </c>
      <c r="AD98" s="290">
        <f t="shared" si="74"/>
        <v>98.902511934653887</v>
      </c>
      <c r="AE98" s="252">
        <f t="shared" si="73"/>
        <v>86.492832122346712</v>
      </c>
      <c r="AF98" s="252">
        <f t="shared" si="73"/>
        <v>90.817048699434949</v>
      </c>
      <c r="AG98" s="252">
        <f t="shared" si="73"/>
        <v>91.427754207457355</v>
      </c>
      <c r="AH98" s="252">
        <f t="shared" si="73"/>
        <v>90.827464984403264</v>
      </c>
    </row>
    <row r="99" spans="1:34">
      <c r="A99" s="240" t="s">
        <v>231</v>
      </c>
      <c r="B99" s="290">
        <f t="shared" si="72"/>
        <v>38.523482181393121</v>
      </c>
      <c r="C99" s="290">
        <f t="shared" si="72"/>
        <v>40.471015583703839</v>
      </c>
      <c r="D99" s="290">
        <f t="shared" si="72"/>
        <v>36.401397142732371</v>
      </c>
      <c r="E99" s="290">
        <f t="shared" si="72"/>
        <v>35.605606663221884</v>
      </c>
      <c r="F99" s="290">
        <f t="shared" si="72"/>
        <v>31.893791183051189</v>
      </c>
      <c r="G99" s="290">
        <f t="shared" si="72"/>
        <v>36.270372623120274</v>
      </c>
      <c r="H99" s="290">
        <f t="shared" si="72"/>
        <v>38.557831513993627</v>
      </c>
      <c r="I99" s="290">
        <f t="shared" si="72"/>
        <v>40.810863047196719</v>
      </c>
      <c r="J99" s="290">
        <f t="shared" si="72"/>
        <v>28.024811269128652</v>
      </c>
      <c r="K99" s="290">
        <f t="shared" si="72"/>
        <v>36.987799643600908</v>
      </c>
      <c r="L99" s="290">
        <f t="shared" si="72"/>
        <v>33.87463881350196</v>
      </c>
      <c r="M99" s="290">
        <f t="shared" si="72"/>
        <v>33.747361095468612</v>
      </c>
      <c r="N99" s="290">
        <f t="shared" si="72"/>
        <v>46.73114863146364</v>
      </c>
      <c r="O99" s="290">
        <f t="shared" si="72"/>
        <v>28.079768327835467</v>
      </c>
      <c r="P99" s="290">
        <f t="shared" si="72"/>
        <v>27.876333299282074</v>
      </c>
      <c r="Q99" s="290">
        <f t="shared" si="72"/>
        <v>37.977132884033658</v>
      </c>
      <c r="R99" s="290">
        <f t="shared" si="72"/>
        <v>39.631895509389594</v>
      </c>
      <c r="S99" s="290">
        <f t="shared" si="72"/>
        <v>41.402706013760856</v>
      </c>
      <c r="T99" s="290">
        <f t="shared" si="72"/>
        <v>38.751723396177489</v>
      </c>
      <c r="U99" s="290">
        <f t="shared" si="72"/>
        <v>61.14200272269759</v>
      </c>
      <c r="V99" s="290">
        <f t="shared" si="72"/>
        <v>53.191347119921296</v>
      </c>
      <c r="W99" s="290">
        <f t="shared" si="72"/>
        <v>60.909082223356179</v>
      </c>
      <c r="X99" s="290">
        <f t="shared" si="72"/>
        <v>63.998939625674559</v>
      </c>
      <c r="Y99" s="290">
        <f t="shared" si="72"/>
        <v>71.007700351088502</v>
      </c>
      <c r="Z99" s="290">
        <f t="shared" si="72"/>
        <v>101.82834569128576</v>
      </c>
      <c r="AA99" s="290">
        <f t="shared" si="72"/>
        <v>52.426894956859918</v>
      </c>
      <c r="AB99" s="290">
        <f t="shared" si="72"/>
        <v>49.154631995655258</v>
      </c>
      <c r="AC99" s="290">
        <f t="shared" si="74"/>
        <v>57.856572379068915</v>
      </c>
      <c r="AD99" s="252">
        <f t="shared" si="73"/>
        <v>79.9855890515705</v>
      </c>
      <c r="AE99" s="252">
        <f t="shared" si="73"/>
        <v>80.897438329135198</v>
      </c>
      <c r="AF99" s="252">
        <f t="shared" si="73"/>
        <v>82.657015747576693</v>
      </c>
      <c r="AG99" s="252">
        <f t="shared" si="73"/>
        <v>78.079716830653396</v>
      </c>
      <c r="AH99" s="252">
        <f t="shared" si="73"/>
        <v>80.348470807531655</v>
      </c>
    </row>
    <row r="100" spans="1:34">
      <c r="A100" s="240" t="s">
        <v>232</v>
      </c>
      <c r="B100" s="290">
        <f t="shared" si="72"/>
        <v>29.079354000373698</v>
      </c>
      <c r="C100" s="290">
        <f t="shared" si="72"/>
        <v>30.545303113999584</v>
      </c>
      <c r="D100" s="290">
        <f t="shared" si="72"/>
        <v>27.452410117159364</v>
      </c>
      <c r="E100" s="290">
        <f t="shared" si="72"/>
        <v>26.873719080967863</v>
      </c>
      <c r="F100" s="290">
        <f t="shared" si="72"/>
        <v>24.084019135093691</v>
      </c>
      <c r="G100" s="290">
        <f t="shared" si="72"/>
        <v>27.400184310212921</v>
      </c>
      <c r="H100" s="290">
        <f t="shared" si="72"/>
        <v>29.083400175839618</v>
      </c>
      <c r="I100" s="290">
        <f t="shared" si="72"/>
        <v>30.67471987187303</v>
      </c>
      <c r="J100" s="290">
        <f t="shared" si="72"/>
        <v>21.26226427985274</v>
      </c>
      <c r="K100" s="290">
        <f t="shared" si="72"/>
        <v>27.995705640699896</v>
      </c>
      <c r="L100" s="290">
        <f t="shared" si="72"/>
        <v>25.646406871037566</v>
      </c>
      <c r="M100" s="290">
        <f t="shared" si="72"/>
        <v>25.249367446770236</v>
      </c>
      <c r="N100" s="290">
        <f t="shared" si="72"/>
        <v>34.667586646219952</v>
      </c>
      <c r="O100" s="290">
        <f t="shared" si="72"/>
        <v>22.580246102054026</v>
      </c>
      <c r="P100" s="290">
        <f t="shared" si="72"/>
        <v>20.771936870334969</v>
      </c>
      <c r="Q100" s="290">
        <f t="shared" si="72"/>
        <v>28.788015455925219</v>
      </c>
      <c r="R100" s="290">
        <f t="shared" si="72"/>
        <v>28.093940662313827</v>
      </c>
      <c r="S100" s="290">
        <f t="shared" si="72"/>
        <v>29.571765187460716</v>
      </c>
      <c r="T100" s="290">
        <f t="shared" si="72"/>
        <v>42.025038111344905</v>
      </c>
      <c r="U100" s="290">
        <f t="shared" si="72"/>
        <v>34.632591514696969</v>
      </c>
      <c r="V100" s="290">
        <f t="shared" si="72"/>
        <v>43.136774353437374</v>
      </c>
      <c r="W100" s="290">
        <f t="shared" si="72"/>
        <v>31.677072388912404</v>
      </c>
      <c r="X100" s="290">
        <f t="shared" si="72"/>
        <v>45.243843974916807</v>
      </c>
      <c r="Y100" s="290">
        <f t="shared" si="72"/>
        <v>68.530290588027498</v>
      </c>
      <c r="Z100" s="290">
        <f t="shared" si="72"/>
        <v>62.244775233913792</v>
      </c>
      <c r="AA100" s="290">
        <f t="shared" si="72"/>
        <v>29.452208404591708</v>
      </c>
      <c r="AB100" s="290">
        <f t="shared" si="72"/>
        <v>29.651755731816689</v>
      </c>
      <c r="AC100" s="290">
        <f t="shared" si="74"/>
        <v>34.679709892671227</v>
      </c>
      <c r="AD100" s="252">
        <f t="shared" si="73"/>
        <v>55.570724075658646</v>
      </c>
      <c r="AE100" s="252">
        <f t="shared" si="73"/>
        <v>54.671359977822476</v>
      </c>
      <c r="AF100" s="252">
        <f t="shared" si="73"/>
        <v>51.252918547383402</v>
      </c>
      <c r="AG100" s="252">
        <f t="shared" si="73"/>
        <v>49.731549772636278</v>
      </c>
      <c r="AH100" s="252">
        <f t="shared" si="73"/>
        <v>51.760486181674956</v>
      </c>
    </row>
    <row r="101" spans="1:34">
      <c r="A101" s="240" t="s">
        <v>233</v>
      </c>
      <c r="B101" s="290">
        <f t="shared" si="72"/>
        <v>35.93466099070961</v>
      </c>
      <c r="C101" s="290">
        <f t="shared" si="72"/>
        <v>37.762700233682168</v>
      </c>
      <c r="D101" s="290">
        <f t="shared" si="72"/>
        <v>33.960733860873866</v>
      </c>
      <c r="E101" s="290">
        <f t="shared" si="72"/>
        <v>33.216123761709646</v>
      </c>
      <c r="F101" s="290">
        <f t="shared" si="72"/>
        <v>29.734112967968017</v>
      </c>
      <c r="G101" s="290">
        <f t="shared" si="72"/>
        <v>33.83009463637417</v>
      </c>
      <c r="H101" s="290">
        <f t="shared" si="72"/>
        <v>36.026840811438838</v>
      </c>
      <c r="I101" s="290">
        <f t="shared" si="72"/>
        <v>38.051934678602954</v>
      </c>
      <c r="J101" s="290">
        <f t="shared" si="72"/>
        <v>26.132895201946695</v>
      </c>
      <c r="K101" s="290">
        <f t="shared" si="72"/>
        <v>34.377135886348917</v>
      </c>
      <c r="L101" s="290">
        <f t="shared" si="72"/>
        <v>31.673946429462266</v>
      </c>
      <c r="M101" s="290">
        <f t="shared" si="72"/>
        <v>31.821930628865783</v>
      </c>
      <c r="N101" s="290">
        <f t="shared" si="72"/>
        <v>43.233581374371319</v>
      </c>
      <c r="O101" s="290">
        <f t="shared" si="72"/>
        <v>26.20116108096758</v>
      </c>
      <c r="P101" s="290">
        <f t="shared" si="72"/>
        <v>25.351067384548926</v>
      </c>
      <c r="Q101" s="290">
        <f t="shared" si="72"/>
        <v>36.474887356110848</v>
      </c>
      <c r="R101" s="290">
        <f t="shared" si="72"/>
        <v>38.754332419746305</v>
      </c>
      <c r="S101" s="290">
        <f t="shared" si="72"/>
        <v>35.094948142205375</v>
      </c>
      <c r="T101" s="290">
        <f t="shared" si="72"/>
        <v>37.544054338065116</v>
      </c>
      <c r="U101" s="290">
        <f t="shared" si="72"/>
        <v>51.216586246011744</v>
      </c>
      <c r="V101" s="290">
        <f t="shared" si="72"/>
        <v>62.235600108150237</v>
      </c>
      <c r="W101" s="290">
        <f t="shared" si="72"/>
        <v>63.633567389134889</v>
      </c>
      <c r="X101" s="290">
        <f t="shared" si="72"/>
        <v>54.477969386725242</v>
      </c>
      <c r="Y101" s="290">
        <f t="shared" si="72"/>
        <v>64.079671480081984</v>
      </c>
      <c r="Z101" s="290">
        <f t="shared" si="72"/>
        <v>73.058164673894765</v>
      </c>
      <c r="AA101" s="290">
        <f t="shared" si="72"/>
        <v>52.033280683138806</v>
      </c>
      <c r="AB101" s="290">
        <f t="shared" si="72"/>
        <v>55.954826935003503</v>
      </c>
      <c r="AC101" s="290">
        <f t="shared" si="74"/>
        <v>45.714329003411272</v>
      </c>
      <c r="AD101" s="252">
        <f t="shared" si="73"/>
        <v>70.810682618132546</v>
      </c>
      <c r="AE101" s="252">
        <f t="shared" si="73"/>
        <v>70.808587194274253</v>
      </c>
      <c r="AF101" s="252">
        <f t="shared" si="73"/>
        <v>72.075766794782339</v>
      </c>
      <c r="AG101" s="252">
        <f t="shared" si="73"/>
        <v>71.987602676558367</v>
      </c>
      <c r="AH101" s="252">
        <f t="shared" si="73"/>
        <v>72.285246164345793</v>
      </c>
    </row>
    <row r="102" spans="1:34">
      <c r="A102" s="240" t="s">
        <v>234</v>
      </c>
      <c r="B102" s="290">
        <f t="shared" si="72"/>
        <v>37.88665921877282</v>
      </c>
      <c r="C102" s="290">
        <f t="shared" si="72"/>
        <v>39.807911224952782</v>
      </c>
      <c r="D102" s="290">
        <f t="shared" si="72"/>
        <v>35.780309898715082</v>
      </c>
      <c r="E102" s="290">
        <f t="shared" si="72"/>
        <v>34.998266156218001</v>
      </c>
      <c r="F102" s="290">
        <f t="shared" si="72"/>
        <v>31.365127440287203</v>
      </c>
      <c r="G102" s="290">
        <f t="shared" si="72"/>
        <v>35.703389235733368</v>
      </c>
      <c r="H102" s="290">
        <f t="shared" si="72"/>
        <v>37.951681512107193</v>
      </c>
      <c r="I102" s="290">
        <f t="shared" si="72"/>
        <v>39.995518302582049</v>
      </c>
      <c r="J102" s="290">
        <f t="shared" si="72"/>
        <v>27.547646842393252</v>
      </c>
      <c r="K102" s="290">
        <f t="shared" si="72"/>
        <v>36.459136198383995</v>
      </c>
      <c r="L102" s="290">
        <f t="shared" si="72"/>
        <v>33.515374904249292</v>
      </c>
      <c r="M102" s="290">
        <f t="shared" si="72"/>
        <v>33.201201023875718</v>
      </c>
      <c r="N102" s="290">
        <f t="shared" si="72"/>
        <v>45.062846544014754</v>
      </c>
      <c r="O102" s="290">
        <f t="shared" si="72"/>
        <v>28.135114128997902</v>
      </c>
      <c r="P102" s="290">
        <f t="shared" si="72"/>
        <v>27.973982650022254</v>
      </c>
      <c r="Q102" s="290">
        <f t="shared" si="72"/>
        <v>38.207919290223742</v>
      </c>
      <c r="R102" s="290">
        <f t="shared" si="72"/>
        <v>38.01497787563418</v>
      </c>
      <c r="S102" s="290">
        <f t="shared" si="72"/>
        <v>36.404295829461034</v>
      </c>
      <c r="T102" s="290">
        <f t="shared" si="72"/>
        <v>45.39719805680528</v>
      </c>
      <c r="U102" s="290">
        <f t="shared" si="72"/>
        <v>61.639898981052291</v>
      </c>
      <c r="V102" s="290">
        <f t="shared" si="72"/>
        <v>54.076911806452017</v>
      </c>
      <c r="W102" s="290">
        <f t="shared" si="72"/>
        <v>47.459632296702225</v>
      </c>
      <c r="X102" s="290">
        <f t="shared" si="72"/>
        <v>58.080266215090127</v>
      </c>
      <c r="Y102" s="290">
        <f t="shared" si="72"/>
        <v>71.035536415842017</v>
      </c>
      <c r="Z102" s="290">
        <f t="shared" si="72"/>
        <v>87.602569172025653</v>
      </c>
      <c r="AA102" s="290">
        <f t="shared" si="72"/>
        <v>68.814858181279533</v>
      </c>
      <c r="AB102" s="290">
        <f t="shared" si="72"/>
        <v>44.856650500986433</v>
      </c>
      <c r="AC102" s="290">
        <f t="shared" si="74"/>
        <v>59.368310085577718</v>
      </c>
      <c r="AD102" s="252">
        <f t="shared" si="73"/>
        <v>78.085407218476718</v>
      </c>
      <c r="AE102" s="252">
        <f t="shared" si="73"/>
        <v>80.749363086451552</v>
      </c>
      <c r="AF102" s="252">
        <f t="shared" si="73"/>
        <v>82.042771857524741</v>
      </c>
      <c r="AG102" s="252">
        <f t="shared" si="73"/>
        <v>80.895300960191875</v>
      </c>
      <c r="AH102" s="252">
        <f t="shared" si="73"/>
        <v>79.098909086631551</v>
      </c>
    </row>
    <row r="103" spans="1:34">
      <c r="A103" s="240" t="s">
        <v>46</v>
      </c>
      <c r="B103" s="290">
        <f t="shared" si="72"/>
        <v>39.946254306859821</v>
      </c>
      <c r="C103" s="290">
        <f t="shared" si="72"/>
        <v>41.947892932351152</v>
      </c>
      <c r="D103" s="290">
        <f t="shared" si="72"/>
        <v>37.750613054088134</v>
      </c>
      <c r="E103" s="290">
        <f t="shared" si="72"/>
        <v>36.945007213946674</v>
      </c>
      <c r="F103" s="290">
        <f t="shared" si="72"/>
        <v>33.082775385920641</v>
      </c>
      <c r="G103" s="290">
        <f t="shared" si="72"/>
        <v>37.587117705585314</v>
      </c>
      <c r="H103" s="290">
        <f t="shared" si="72"/>
        <v>39.887707542585375</v>
      </c>
      <c r="I103" s="290">
        <f t="shared" si="72"/>
        <v>42.424129974260616</v>
      </c>
      <c r="J103" s="290">
        <f t="shared" si="72"/>
        <v>29.180128578361465</v>
      </c>
      <c r="K103" s="290">
        <f t="shared" si="72"/>
        <v>38.307400822154371</v>
      </c>
      <c r="L103" s="290">
        <f t="shared" si="72"/>
        <v>34.928318808652769</v>
      </c>
      <c r="M103" s="290">
        <f t="shared" si="72"/>
        <v>34.59068974879191</v>
      </c>
      <c r="N103" s="290">
        <f t="shared" si="72"/>
        <v>49.448018996224413</v>
      </c>
      <c r="O103" s="290">
        <f t="shared" si="72"/>
        <v>29.54354086173991</v>
      </c>
      <c r="P103" s="290">
        <f t="shared" si="72"/>
        <v>27.864006490769945</v>
      </c>
      <c r="Q103" s="290">
        <f t="shared" si="72"/>
        <v>38.372940518653934</v>
      </c>
      <c r="R103" s="290">
        <f t="shared" si="72"/>
        <v>39.552714757111701</v>
      </c>
      <c r="S103" s="290">
        <f t="shared" si="72"/>
        <v>49.789176397827838</v>
      </c>
      <c r="T103" s="290">
        <f t="shared" si="72"/>
        <v>39.723921150125349</v>
      </c>
      <c r="U103" s="290">
        <f t="shared" si="72"/>
        <v>51.378559370150057</v>
      </c>
      <c r="V103" s="290">
        <f t="shared" si="72"/>
        <v>56.119162481213387</v>
      </c>
      <c r="W103" s="290">
        <f t="shared" si="72"/>
        <v>57.882233345174612</v>
      </c>
      <c r="X103" s="290">
        <f t="shared" si="72"/>
        <v>79.792606510002116</v>
      </c>
      <c r="Y103" s="290">
        <f t="shared" si="72"/>
        <v>94.939888325097542</v>
      </c>
      <c r="Z103" s="290">
        <f t="shared" si="72"/>
        <v>67.232788003177404</v>
      </c>
      <c r="AA103" s="290">
        <f t="shared" si="72"/>
        <v>56.673528456571532</v>
      </c>
      <c r="AB103" s="290">
        <f t="shared" si="72"/>
        <v>54.924462464655861</v>
      </c>
      <c r="AC103" s="290">
        <f t="shared" si="74"/>
        <v>42.864942214310084</v>
      </c>
      <c r="AD103" s="252">
        <f t="shared" si="73"/>
        <v>83.562497503264183</v>
      </c>
      <c r="AE103" s="252">
        <f t="shared" si="73"/>
        <v>77.086452739695616</v>
      </c>
      <c r="AF103" s="252">
        <f t="shared" si="73"/>
        <v>73.936407016025811</v>
      </c>
      <c r="AG103" s="252">
        <f t="shared" si="73"/>
        <v>76.81085373341314</v>
      </c>
      <c r="AH103" s="252">
        <f t="shared" si="73"/>
        <v>76.183847259317162</v>
      </c>
    </row>
    <row r="104" spans="1:34">
      <c r="A104" s="240" t="s">
        <v>235</v>
      </c>
      <c r="B104" s="290">
        <f t="shared" si="72"/>
        <v>41.574876164245346</v>
      </c>
      <c r="C104" s="290">
        <f t="shared" si="72"/>
        <v>43.688985316004498</v>
      </c>
      <c r="D104" s="290">
        <f t="shared" si="72"/>
        <v>39.294040876122764</v>
      </c>
      <c r="E104" s="290">
        <f t="shared" si="72"/>
        <v>38.431375103192202</v>
      </c>
      <c r="F104" s="290">
        <f t="shared" si="72"/>
        <v>34.401693496801116</v>
      </c>
      <c r="G104" s="290">
        <f t="shared" si="72"/>
        <v>39.135746265301371</v>
      </c>
      <c r="H104" s="290">
        <f t="shared" si="72"/>
        <v>41.677009018476269</v>
      </c>
      <c r="I104" s="290">
        <f t="shared" si="72"/>
        <v>44.045514948820852</v>
      </c>
      <c r="J104" s="290">
        <f t="shared" si="72"/>
        <v>30.230260173921188</v>
      </c>
      <c r="K104" s="290">
        <f t="shared" si="72"/>
        <v>39.768277044850528</v>
      </c>
      <c r="L104" s="290">
        <f t="shared" si="72"/>
        <v>36.617053724705492</v>
      </c>
      <c r="M104" s="290">
        <f t="shared" si="72"/>
        <v>36.812614432717467</v>
      </c>
      <c r="N104" s="290">
        <f t="shared" si="72"/>
        <v>50.152682078301936</v>
      </c>
      <c r="O104" s="290">
        <f t="shared" si="72"/>
        <v>30.187757416042889</v>
      </c>
      <c r="P104" s="290">
        <f t="shared" si="72"/>
        <v>29.332445999088755</v>
      </c>
      <c r="Q104" s="290">
        <f t="shared" si="72"/>
        <v>42.045677423169501</v>
      </c>
      <c r="R104" s="290">
        <f t="shared" si="72"/>
        <v>44.958040051015175</v>
      </c>
      <c r="S104" s="290">
        <f t="shared" si="72"/>
        <v>41.257250283842026</v>
      </c>
      <c r="T104" s="290">
        <f t="shared" si="72"/>
        <v>41.984182082823835</v>
      </c>
      <c r="U104" s="290">
        <f t="shared" si="72"/>
        <v>60.106287252855523</v>
      </c>
      <c r="V104" s="290">
        <f t="shared" si="72"/>
        <v>70.882503217619714</v>
      </c>
      <c r="W104" s="290">
        <f t="shared" si="72"/>
        <v>75.470716730988173</v>
      </c>
      <c r="X104" s="290">
        <f t="shared" si="72"/>
        <v>63.316927694692907</v>
      </c>
      <c r="Y104" s="290">
        <f t="shared" si="72"/>
        <v>74.958320711008994</v>
      </c>
      <c r="Z104" s="290">
        <f t="shared" si="72"/>
        <v>75.02280151186217</v>
      </c>
      <c r="AA104" s="290">
        <f t="shared" si="72"/>
        <v>57.563846456655007</v>
      </c>
      <c r="AB104" s="290">
        <f t="shared" si="72"/>
        <v>71.447844738967333</v>
      </c>
      <c r="AC104" s="290">
        <f t="shared" si="74"/>
        <v>55.425027496867742</v>
      </c>
      <c r="AD104" s="252">
        <f t="shared" si="73"/>
        <v>80.903979612934066</v>
      </c>
      <c r="AE104" s="252">
        <f t="shared" si="73"/>
        <v>81.417747267928732</v>
      </c>
      <c r="AF104" s="252">
        <f t="shared" si="73"/>
        <v>82.440373057695297</v>
      </c>
      <c r="AG104" s="252">
        <f t="shared" si="73"/>
        <v>84.52691012846978</v>
      </c>
      <c r="AH104" s="252">
        <f t="shared" si="73"/>
        <v>85.184577575439732</v>
      </c>
    </row>
    <row r="105" spans="1:34">
      <c r="A105" s="240" t="s">
        <v>236</v>
      </c>
      <c r="B105" s="290">
        <f t="shared" si="72"/>
        <v>45.416276614539775</v>
      </c>
      <c r="C105" s="290">
        <f t="shared" si="72"/>
        <v>47.715162764744768</v>
      </c>
      <c r="D105" s="290">
        <f t="shared" si="72"/>
        <v>42.890109324925007</v>
      </c>
      <c r="E105" s="290">
        <f t="shared" si="72"/>
        <v>41.953052549568298</v>
      </c>
      <c r="F105" s="290">
        <f t="shared" si="72"/>
        <v>37.609621840141678</v>
      </c>
      <c r="G105" s="290">
        <f t="shared" si="72"/>
        <v>42.794048293500204</v>
      </c>
      <c r="H105" s="290">
        <f t="shared" si="72"/>
        <v>45.472048351334657</v>
      </c>
      <c r="I105" s="290">
        <f t="shared" si="72"/>
        <v>47.955326687760881</v>
      </c>
      <c r="J105" s="290">
        <f t="shared" si="72"/>
        <v>33.023836157236765</v>
      </c>
      <c r="K105" s="290">
        <f t="shared" si="72"/>
        <v>43.781953391275472</v>
      </c>
      <c r="L105" s="290">
        <f t="shared" si="72"/>
        <v>40.084312911734386</v>
      </c>
      <c r="M105" s="290">
        <f t="shared" si="72"/>
        <v>39.703170286202933</v>
      </c>
      <c r="N105" s="290">
        <f t="shared" ref="N105:AK107" si="75">N$124*N89</f>
        <v>54.177387531754327</v>
      </c>
      <c r="O105" s="290">
        <f t="shared" si="75"/>
        <v>33.687749142578937</v>
      </c>
      <c r="P105" s="290">
        <f t="shared" si="75"/>
        <v>33.960081037763068</v>
      </c>
      <c r="Q105" s="290">
        <f t="shared" si="75"/>
        <v>44.87476166679901</v>
      </c>
      <c r="R105" s="290">
        <f t="shared" si="75"/>
        <v>45.431557442510695</v>
      </c>
      <c r="S105" s="290">
        <f t="shared" si="75"/>
        <v>44.908164493005643</v>
      </c>
      <c r="T105" s="290">
        <f t="shared" si="75"/>
        <v>53.531501541712004</v>
      </c>
      <c r="U105" s="290">
        <f t="shared" si="75"/>
        <v>77.916486973245412</v>
      </c>
      <c r="V105" s="290">
        <f t="shared" si="75"/>
        <v>54.853438578168635</v>
      </c>
      <c r="W105" s="290">
        <f t="shared" si="75"/>
        <v>61.568409468762717</v>
      </c>
      <c r="X105" s="290">
        <f t="shared" si="75"/>
        <v>62.620689747972989</v>
      </c>
      <c r="Y105" s="290">
        <f t="shared" si="75"/>
        <v>94.075394691432436</v>
      </c>
      <c r="Z105" s="290">
        <f t="shared" si="75"/>
        <v>94.918284972319611</v>
      </c>
      <c r="AA105" s="290">
        <f t="shared" si="75"/>
        <v>63.079335907057647</v>
      </c>
      <c r="AB105" s="290">
        <f t="shared" si="75"/>
        <v>56.139422204554897</v>
      </c>
      <c r="AC105" s="290">
        <f t="shared" si="74"/>
        <v>64.260901445643754</v>
      </c>
      <c r="AD105" s="252">
        <f t="shared" si="73"/>
        <v>87.644258389919855</v>
      </c>
      <c r="AE105" s="252">
        <f t="shared" si="73"/>
        <v>90.681970091597947</v>
      </c>
      <c r="AF105" s="252">
        <f t="shared" si="73"/>
        <v>88.659879557740908</v>
      </c>
      <c r="AG105" s="252">
        <f t="shared" si="73"/>
        <v>88.191807610473276</v>
      </c>
      <c r="AH105" s="252">
        <f t="shared" si="73"/>
        <v>88.791722968828651</v>
      </c>
    </row>
    <row r="106" spans="1:34">
      <c r="A106" s="240" t="s">
        <v>237</v>
      </c>
      <c r="B106" s="290">
        <f t="shared" ref="B106:N107" si="76">B$124*B90</f>
        <v>45.176805051676808</v>
      </c>
      <c r="C106" s="290">
        <f t="shared" si="76"/>
        <v>47.445664458668681</v>
      </c>
      <c r="D106" s="290">
        <f t="shared" si="76"/>
        <v>42.697707392980242</v>
      </c>
      <c r="E106" s="290">
        <f t="shared" si="76"/>
        <v>41.779512800944794</v>
      </c>
      <c r="F106" s="290">
        <f t="shared" si="76"/>
        <v>37.414063964249124</v>
      </c>
      <c r="G106" s="290">
        <f t="shared" si="76"/>
        <v>42.503697506847232</v>
      </c>
      <c r="H106" s="290">
        <f t="shared" si="76"/>
        <v>45.137679960235644</v>
      </c>
      <c r="I106" s="290">
        <f t="shared" si="76"/>
        <v>47.980906629129834</v>
      </c>
      <c r="J106" s="290">
        <f t="shared" si="76"/>
        <v>32.962524847470277</v>
      </c>
      <c r="K106" s="290">
        <f t="shared" si="76"/>
        <v>43.334710266272936</v>
      </c>
      <c r="L106" s="290">
        <f t="shared" si="76"/>
        <v>39.475056259108918</v>
      </c>
      <c r="M106" s="290">
        <f t="shared" si="76"/>
        <v>39.292623809185173</v>
      </c>
      <c r="N106" s="290">
        <f t="shared" si="76"/>
        <v>55.811045634719406</v>
      </c>
      <c r="O106" s="290">
        <f t="shared" si="75"/>
        <v>33.117731842907723</v>
      </c>
      <c r="P106" s="290">
        <f t="shared" si="75"/>
        <v>31.825680488855486</v>
      </c>
      <c r="Q106" s="290">
        <f t="shared" si="75"/>
        <v>43.178980030753813</v>
      </c>
      <c r="R106" s="290">
        <f t="shared" si="75"/>
        <v>45.967311545301854</v>
      </c>
      <c r="S106" s="290">
        <f t="shared" si="75"/>
        <v>54.855761264340032</v>
      </c>
      <c r="T106" s="290">
        <f t="shared" si="75"/>
        <v>43.108821147490126</v>
      </c>
      <c r="U106" s="290">
        <f t="shared" si="75"/>
        <v>62.814204131054936</v>
      </c>
      <c r="V106" s="290">
        <f t="shared" si="75"/>
        <v>59.450221662606282</v>
      </c>
      <c r="W106" s="290">
        <f t="shared" si="75"/>
        <v>75.998362056122147</v>
      </c>
      <c r="X106" s="290">
        <f t="shared" si="75"/>
        <v>76.367669975890465</v>
      </c>
      <c r="Y106" s="290">
        <f t="shared" si="75"/>
        <v>75.097501034776442</v>
      </c>
      <c r="Z106" s="290">
        <f t="shared" si="75"/>
        <v>79.901127496866536</v>
      </c>
      <c r="AA106" s="290">
        <f t="shared" si="75"/>
        <v>52.40122446074767</v>
      </c>
      <c r="AB106" s="290">
        <f t="shared" si="75"/>
        <v>70.303775197641272</v>
      </c>
      <c r="AC106" s="290">
        <f t="shared" si="74"/>
        <v>56.520383771509401</v>
      </c>
      <c r="AD106" s="252">
        <f t="shared" si="73"/>
        <v>83.685396939857256</v>
      </c>
      <c r="AE106" s="252">
        <f t="shared" si="73"/>
        <v>81.37131474692012</v>
      </c>
      <c r="AF106" s="252">
        <f t="shared" si="73"/>
        <v>83.034083515591121</v>
      </c>
      <c r="AG106" s="252">
        <f t="shared" si="73"/>
        <v>83.923361329532597</v>
      </c>
      <c r="AH106" s="252">
        <f t="shared" si="73"/>
        <v>85.936460923394492</v>
      </c>
    </row>
    <row r="107" spans="1:34">
      <c r="A107" s="240" t="s">
        <v>238</v>
      </c>
      <c r="B107" s="290">
        <f t="shared" si="76"/>
        <v>46.026130663778439</v>
      </c>
      <c r="C107" s="290">
        <f t="shared" si="76"/>
        <v>48.360733221968978</v>
      </c>
      <c r="D107" s="290">
        <f t="shared" si="76"/>
        <v>43.479475156094502</v>
      </c>
      <c r="E107" s="290">
        <f t="shared" si="76"/>
        <v>42.520932364336865</v>
      </c>
      <c r="F107" s="290">
        <f t="shared" si="76"/>
        <v>38.097156192512784</v>
      </c>
      <c r="G107" s="290">
        <f t="shared" si="76"/>
        <v>43.364397347141747</v>
      </c>
      <c r="H107" s="290">
        <f t="shared" si="76"/>
        <v>46.108259349818908</v>
      </c>
      <c r="I107" s="290">
        <f t="shared" si="76"/>
        <v>48.658128064708706</v>
      </c>
      <c r="J107" s="290">
        <f t="shared" si="76"/>
        <v>33.42662683311562</v>
      </c>
      <c r="K107" s="290">
        <f t="shared" si="76"/>
        <v>44.231136784740571</v>
      </c>
      <c r="L107" s="290">
        <f t="shared" si="76"/>
        <v>40.696157421095201</v>
      </c>
      <c r="M107" s="290">
        <f t="shared" si="76"/>
        <v>40.397098194250859</v>
      </c>
      <c r="N107" s="290">
        <f t="shared" si="76"/>
        <v>55.106500431098432</v>
      </c>
      <c r="O107" s="290">
        <f t="shared" si="75"/>
        <v>33.576645356467203</v>
      </c>
      <c r="P107" s="290">
        <f t="shared" si="75"/>
        <v>33.894182990143833</v>
      </c>
      <c r="Q107" s="290">
        <f t="shared" si="75"/>
        <v>46.577557756130709</v>
      </c>
      <c r="R107" s="290">
        <f t="shared" si="75"/>
        <v>46.683769348341912</v>
      </c>
      <c r="S107" s="290">
        <f t="shared" si="75"/>
        <v>45.608616282090146</v>
      </c>
      <c r="T107" s="290">
        <f t="shared" si="75"/>
        <v>49.221146601524552</v>
      </c>
      <c r="U107" s="290">
        <f t="shared" si="75"/>
        <v>78.066939473765444</v>
      </c>
      <c r="V107" s="290">
        <f t="shared" si="75"/>
        <v>67.549970550891487</v>
      </c>
      <c r="W107" s="290">
        <f t="shared" si="75"/>
        <v>60.395660380899734</v>
      </c>
      <c r="X107" s="290">
        <f t="shared" si="75"/>
        <v>59.316906798874172</v>
      </c>
      <c r="Y107" s="290">
        <f t="shared" si="75"/>
        <v>79.113247282044711</v>
      </c>
      <c r="Z107" s="290">
        <f t="shared" si="75"/>
        <v>80.022617331896555</v>
      </c>
      <c r="AA107" s="290">
        <f t="shared" si="75"/>
        <v>74.626984475645912</v>
      </c>
      <c r="AB107" s="290">
        <f t="shared" si="75"/>
        <v>58.271392285400267</v>
      </c>
      <c r="AC107" s="290">
        <f t="shared" si="74"/>
        <v>52.504077431156666</v>
      </c>
      <c r="AD107" s="252">
        <f t="shared" si="73"/>
        <v>76.049271174035951</v>
      </c>
      <c r="AE107" s="252">
        <f t="shared" si="73"/>
        <v>83.879808446593998</v>
      </c>
      <c r="AF107" s="252">
        <f t="shared" si="73"/>
        <v>82.707881814926424</v>
      </c>
      <c r="AG107" s="252">
        <f t="shared" si="73"/>
        <v>84.176328090283889</v>
      </c>
      <c r="AH107" s="252">
        <f t="shared" si="73"/>
        <v>81.004581269340179</v>
      </c>
    </row>
    <row r="108" spans="1:34" ht="15.75" thickBot="1">
      <c r="A108" s="240" t="s">
        <v>242</v>
      </c>
      <c r="B108" s="290">
        <f>SUM(B96:B107)</f>
        <v>488</v>
      </c>
      <c r="C108" s="290">
        <f t="shared" ref="C108:AC108" si="77">SUM(C96:C107)</f>
        <v>512.66170813725489</v>
      </c>
      <c r="D108" s="290">
        <f t="shared" si="77"/>
        <v>461.04351341176465</v>
      </c>
      <c r="E108" s="290">
        <f t="shared" si="77"/>
        <v>451.03516836065575</v>
      </c>
      <c r="F108" s="290">
        <f t="shared" si="77"/>
        <v>404.02094850299403</v>
      </c>
      <c r="G108" s="290">
        <f t="shared" si="77"/>
        <v>459.53651936111106</v>
      </c>
      <c r="H108" s="290">
        <f t="shared" si="77"/>
        <v>488.38829643216064</v>
      </c>
      <c r="I108" s="290">
        <f t="shared" si="77"/>
        <v>516.56944548656725</v>
      </c>
      <c r="J108" s="290">
        <f t="shared" si="77"/>
        <v>355.36873078260868</v>
      </c>
      <c r="K108" s="290">
        <f t="shared" si="77"/>
        <v>468.57956687213118</v>
      </c>
      <c r="L108" s="290">
        <f t="shared" si="77"/>
        <v>429.55307950000008</v>
      </c>
      <c r="M108" s="290">
        <f t="shared" si="77"/>
        <v>426.86195495951426</v>
      </c>
      <c r="N108" s="290">
        <f t="shared" si="77"/>
        <v>589.99865663157902</v>
      </c>
      <c r="O108" s="290">
        <f t="shared" si="77"/>
        <v>360.19608510638301</v>
      </c>
      <c r="P108" s="290">
        <f t="shared" si="77"/>
        <v>350.97076923076918</v>
      </c>
      <c r="Q108" s="290">
        <f t="shared" si="77"/>
        <v>483.66811428571435</v>
      </c>
      <c r="R108" s="290">
        <f t="shared" si="77"/>
        <v>495.71194444444438</v>
      </c>
      <c r="S108" s="290">
        <f t="shared" si="77"/>
        <v>518.51000294117637</v>
      </c>
      <c r="T108" s="290">
        <f t="shared" si="77"/>
        <v>532.35466666666684</v>
      </c>
      <c r="U108" s="290">
        <f t="shared" si="77"/>
        <v>725.84137815126041</v>
      </c>
      <c r="V108" s="290">
        <f t="shared" si="77"/>
        <v>709.21756866952774</v>
      </c>
      <c r="W108" s="290">
        <f t="shared" si="77"/>
        <v>708.54508369098721</v>
      </c>
      <c r="X108" s="290">
        <f t="shared" si="77"/>
        <v>768.40331673306775</v>
      </c>
      <c r="Y108" s="290">
        <f t="shared" si="77"/>
        <v>934.31121094581249</v>
      </c>
      <c r="Z108" s="290">
        <f t="shared" si="77"/>
        <v>981.96440360930251</v>
      </c>
      <c r="AA108" s="290">
        <f t="shared" si="77"/>
        <v>709.43431270815461</v>
      </c>
      <c r="AB108" s="290">
        <f t="shared" si="77"/>
        <v>643.14764166666669</v>
      </c>
      <c r="AC108" s="290">
        <f t="shared" si="77"/>
        <v>654.31578947368428</v>
      </c>
      <c r="AD108" s="253">
        <f>SUM(AD96:AD107)</f>
        <v>954.18994413407813</v>
      </c>
      <c r="AE108" s="253">
        <f>SUM(AE96:AE107)</f>
        <v>955.13248692576531</v>
      </c>
      <c r="AF108" s="253">
        <f>SUM(AF96:AF107)</f>
        <v>955.05229314863107</v>
      </c>
      <c r="AG108" s="253">
        <f t="shared" ref="AG108:AH108" si="78">SUM(AG96:AG107)</f>
        <v>954.60414654981662</v>
      </c>
      <c r="AH108" s="253">
        <f t="shared" si="78"/>
        <v>953.92996259322206</v>
      </c>
    </row>
    <row r="109" spans="1:34">
      <c r="A109" s="248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48"/>
      <c r="AA109" s="248"/>
      <c r="AB109" s="248"/>
      <c r="AC109" s="254"/>
      <c r="AD109" s="254"/>
      <c r="AE109" s="254"/>
      <c r="AF109" s="254"/>
      <c r="AG109" s="254"/>
      <c r="AH109" s="254"/>
    </row>
    <row r="110" spans="1:34" ht="15.75" thickBot="1">
      <c r="A110" s="235" t="s">
        <v>254</v>
      </c>
    </row>
    <row r="111" spans="1:34" ht="15.75" thickBot="1">
      <c r="A111" s="236"/>
      <c r="B111" s="237" t="str">
        <f>B$2</f>
        <v xml:space="preserve">93/94 </v>
      </c>
      <c r="C111" s="237" t="str">
        <f t="shared" ref="C111:AH111" si="79">C$2</f>
        <v xml:space="preserve">94/95 </v>
      </c>
      <c r="D111" s="237" t="str">
        <f t="shared" si="79"/>
        <v xml:space="preserve">95/96 </v>
      </c>
      <c r="E111" s="237" t="str">
        <f t="shared" si="79"/>
        <v xml:space="preserve">96/97 </v>
      </c>
      <c r="F111" s="237" t="str">
        <f t="shared" si="79"/>
        <v xml:space="preserve">97/98 </v>
      </c>
      <c r="G111" s="237" t="str">
        <f t="shared" si="79"/>
        <v xml:space="preserve">98/99 </v>
      </c>
      <c r="H111" s="237" t="str">
        <f t="shared" si="79"/>
        <v xml:space="preserve">99/00 </v>
      </c>
      <c r="I111" s="237" t="str">
        <f t="shared" si="79"/>
        <v xml:space="preserve">00/01 </v>
      </c>
      <c r="J111" s="237" t="str">
        <f t="shared" si="79"/>
        <v xml:space="preserve">01/02 </v>
      </c>
      <c r="K111" s="237" t="str">
        <f t="shared" si="79"/>
        <v xml:space="preserve">02/03 </v>
      </c>
      <c r="L111" s="237" t="str">
        <f t="shared" si="79"/>
        <v xml:space="preserve">03/04 </v>
      </c>
      <c r="M111" s="237" t="str">
        <f t="shared" si="79"/>
        <v xml:space="preserve">04/05 </v>
      </c>
      <c r="N111" s="237" t="str">
        <f t="shared" si="79"/>
        <v xml:space="preserve">05/06 </v>
      </c>
      <c r="O111" s="237" t="str">
        <f t="shared" si="79"/>
        <v xml:space="preserve">06/07 </v>
      </c>
      <c r="P111" s="237" t="str">
        <f t="shared" si="79"/>
        <v xml:space="preserve">07/08 </v>
      </c>
      <c r="Q111" s="237" t="str">
        <f t="shared" si="79"/>
        <v xml:space="preserve">08/09 </v>
      </c>
      <c r="R111" s="237" t="str">
        <f t="shared" si="79"/>
        <v xml:space="preserve">09/10 </v>
      </c>
      <c r="S111" s="237" t="str">
        <f t="shared" si="79"/>
        <v xml:space="preserve">10/11 </v>
      </c>
      <c r="T111" s="237" t="str">
        <f t="shared" si="79"/>
        <v xml:space="preserve">11/12 </v>
      </c>
      <c r="U111" s="237" t="str">
        <f t="shared" si="79"/>
        <v xml:space="preserve">12/13 </v>
      </c>
      <c r="V111" s="237" t="str">
        <f t="shared" si="79"/>
        <v xml:space="preserve">13/14 </v>
      </c>
      <c r="W111" s="237" t="str">
        <f t="shared" si="79"/>
        <v xml:space="preserve">14/15 </v>
      </c>
      <c r="X111" s="237" t="str">
        <f t="shared" si="79"/>
        <v xml:space="preserve">15/16 </v>
      </c>
      <c r="Y111" s="237" t="str">
        <f t="shared" si="79"/>
        <v xml:space="preserve">16/17 </v>
      </c>
      <c r="Z111" s="237" t="str">
        <f t="shared" si="79"/>
        <v xml:space="preserve">17/18 </v>
      </c>
      <c r="AA111" s="237" t="str">
        <f t="shared" si="79"/>
        <v xml:space="preserve">18/19 </v>
      </c>
      <c r="AB111" s="237" t="str">
        <f t="shared" si="79"/>
        <v xml:space="preserve">19/20 </v>
      </c>
      <c r="AC111" s="237" t="str">
        <f t="shared" si="79"/>
        <v xml:space="preserve">20/21 </v>
      </c>
      <c r="AD111" s="237" t="str">
        <f t="shared" si="79"/>
        <v xml:space="preserve">21/22 </v>
      </c>
      <c r="AE111" s="237" t="str">
        <f t="shared" si="79"/>
        <v xml:space="preserve">22/23 </v>
      </c>
      <c r="AF111" s="237" t="str">
        <f t="shared" si="79"/>
        <v>23/24</v>
      </c>
      <c r="AG111" s="237" t="str">
        <f t="shared" si="79"/>
        <v>23/25</v>
      </c>
      <c r="AH111" s="237" t="str">
        <f t="shared" si="79"/>
        <v>23/26</v>
      </c>
    </row>
    <row r="112" spans="1:34">
      <c r="A112" s="240" t="s">
        <v>239</v>
      </c>
      <c r="B112" s="298">
        <f t="shared" ref="B112:AC121" si="80">B96/B80</f>
        <v>0.5788849347568209</v>
      </c>
      <c r="C112" s="298">
        <f t="shared" si="80"/>
        <v>0.5786516853932584</v>
      </c>
      <c r="D112" s="298">
        <f t="shared" si="80"/>
        <v>0.57837837837837835</v>
      </c>
      <c r="E112" s="298">
        <f t="shared" si="80"/>
        <v>0.55319148936170215</v>
      </c>
      <c r="F112" s="298">
        <f t="shared" si="80"/>
        <v>0.54794520547945202</v>
      </c>
      <c r="G112" s="298">
        <f t="shared" si="80"/>
        <v>0.54556354916067151</v>
      </c>
      <c r="H112" s="298">
        <f t="shared" si="80"/>
        <v>0.5444444444444444</v>
      </c>
      <c r="I112" s="298">
        <f t="shared" si="80"/>
        <v>0.54421052631578948</v>
      </c>
      <c r="J112" s="298">
        <f t="shared" si="80"/>
        <v>0.5461538461538461</v>
      </c>
      <c r="K112" s="298">
        <f t="shared" si="80"/>
        <v>0.54471544715447151</v>
      </c>
      <c r="L112" s="298">
        <f t="shared" si="80"/>
        <v>0.54430379746835444</v>
      </c>
      <c r="M112" s="298">
        <f t="shared" si="80"/>
        <v>0.54034582132564846</v>
      </c>
      <c r="N112" s="298">
        <f t="shared" si="80"/>
        <v>0.54104477611940294</v>
      </c>
      <c r="O112" s="298">
        <f t="shared" si="80"/>
        <v>0.54711246200607899</v>
      </c>
      <c r="P112" s="298">
        <f t="shared" si="80"/>
        <v>0.5494505494505495</v>
      </c>
      <c r="Q112" s="298">
        <f t="shared" si="80"/>
        <v>0.5487528344671202</v>
      </c>
      <c r="R112" s="298">
        <f t="shared" si="80"/>
        <v>0.54635761589403975</v>
      </c>
      <c r="S112" s="298">
        <f t="shared" si="80"/>
        <v>0.5463157894736842</v>
      </c>
      <c r="T112" s="298">
        <f t="shared" si="80"/>
        <v>0.54564102564102568</v>
      </c>
      <c r="U112" s="298">
        <f t="shared" si="80"/>
        <v>0.54586466165413539</v>
      </c>
      <c r="V112" s="298">
        <f t="shared" si="80"/>
        <v>0.54538461538461536</v>
      </c>
      <c r="W112" s="298">
        <f t="shared" si="80"/>
        <v>0.54538461538461536</v>
      </c>
      <c r="X112" s="298">
        <f t="shared" si="80"/>
        <v>0.54500000000000004</v>
      </c>
      <c r="Y112" s="298">
        <f t="shared" si="80"/>
        <v>0.54529411764705882</v>
      </c>
      <c r="Z112" s="298">
        <f t="shared" si="80"/>
        <v>0.54500000000000004</v>
      </c>
      <c r="AA112" s="298">
        <f t="shared" si="80"/>
        <v>0.54538461538461536</v>
      </c>
      <c r="AB112" s="298">
        <f t="shared" si="80"/>
        <v>0.5450666666666667</v>
      </c>
      <c r="AC112" s="298">
        <f>AC96/AC80</f>
        <v>0.54526315789473689</v>
      </c>
      <c r="AD112" s="259">
        <f t="shared" ref="AD112:AH123" si="81">AD96/AD80</f>
        <v>0.54525139664804467</v>
      </c>
      <c r="AE112" s="259">
        <f t="shared" si="81"/>
        <v>0.54578999252900884</v>
      </c>
      <c r="AF112" s="259">
        <f t="shared" si="81"/>
        <v>0.54574416751350352</v>
      </c>
      <c r="AG112" s="259">
        <f t="shared" si="81"/>
        <v>0.54517655428316203</v>
      </c>
      <c r="AH112" s="259">
        <f t="shared" si="81"/>
        <v>0.54448057225640523</v>
      </c>
    </row>
    <row r="113" spans="1:34">
      <c r="A113" s="240" t="s">
        <v>240</v>
      </c>
      <c r="B113" s="298">
        <f t="shared" si="80"/>
        <v>0.5788849347568209</v>
      </c>
      <c r="C113" s="298">
        <f t="shared" si="80"/>
        <v>0.5786516853932584</v>
      </c>
      <c r="D113" s="298">
        <f t="shared" si="80"/>
        <v>0.57837837837837835</v>
      </c>
      <c r="E113" s="298">
        <f t="shared" si="80"/>
        <v>0.55319148936170215</v>
      </c>
      <c r="F113" s="298">
        <f t="shared" si="80"/>
        <v>0.54794520547945202</v>
      </c>
      <c r="G113" s="298">
        <f t="shared" si="80"/>
        <v>0.54556354916067151</v>
      </c>
      <c r="H113" s="298">
        <f t="shared" si="80"/>
        <v>0.5444444444444444</v>
      </c>
      <c r="I113" s="298">
        <f t="shared" si="80"/>
        <v>0.54421052631578948</v>
      </c>
      <c r="J113" s="298">
        <f t="shared" si="80"/>
        <v>0.5461538461538461</v>
      </c>
      <c r="K113" s="298">
        <f t="shared" si="80"/>
        <v>0.54471544715447151</v>
      </c>
      <c r="L113" s="298">
        <f t="shared" si="80"/>
        <v>0.54430379746835444</v>
      </c>
      <c r="M113" s="298">
        <f t="shared" si="80"/>
        <v>0.54034582132564846</v>
      </c>
      <c r="N113" s="298">
        <f t="shared" si="80"/>
        <v>0.54104477611940294</v>
      </c>
      <c r="O113" s="298">
        <f t="shared" si="80"/>
        <v>0.54711246200607899</v>
      </c>
      <c r="P113" s="298">
        <f t="shared" si="80"/>
        <v>0.5494505494505495</v>
      </c>
      <c r="Q113" s="298">
        <f t="shared" si="80"/>
        <v>0.5487528344671202</v>
      </c>
      <c r="R113" s="298">
        <f t="shared" si="80"/>
        <v>0.54635761589403975</v>
      </c>
      <c r="S113" s="298">
        <f t="shared" si="80"/>
        <v>0.5463157894736842</v>
      </c>
      <c r="T113" s="298">
        <f t="shared" si="80"/>
        <v>0.54564102564102568</v>
      </c>
      <c r="U113" s="298">
        <f t="shared" si="80"/>
        <v>0.54586466165413539</v>
      </c>
      <c r="V113" s="298">
        <f t="shared" si="80"/>
        <v>0.54538461538461536</v>
      </c>
      <c r="W113" s="298">
        <f t="shared" si="80"/>
        <v>0.54538461538461536</v>
      </c>
      <c r="X113" s="298">
        <f t="shared" si="80"/>
        <v>0.54500000000000004</v>
      </c>
      <c r="Y113" s="298">
        <f t="shared" si="80"/>
        <v>0.54529411764705882</v>
      </c>
      <c r="Z113" s="298">
        <f t="shared" si="80"/>
        <v>0.54500000000000004</v>
      </c>
      <c r="AA113" s="298">
        <f t="shared" si="80"/>
        <v>0.54538461538461536</v>
      </c>
      <c r="AB113" s="298">
        <f t="shared" si="80"/>
        <v>0.5450666666666667</v>
      </c>
      <c r="AC113" s="298">
        <f t="shared" si="80"/>
        <v>0.54526315789473689</v>
      </c>
      <c r="AD113" s="259">
        <f t="shared" si="81"/>
        <v>0.54525139664804467</v>
      </c>
      <c r="AE113" s="259">
        <f t="shared" si="81"/>
        <v>0.54578999252900884</v>
      </c>
      <c r="AF113" s="259">
        <f t="shared" si="81"/>
        <v>0.54574416751350352</v>
      </c>
      <c r="AG113" s="259">
        <f t="shared" si="81"/>
        <v>0.54517655428316203</v>
      </c>
      <c r="AH113" s="259">
        <f t="shared" si="81"/>
        <v>0.54448057225640523</v>
      </c>
    </row>
    <row r="114" spans="1:34">
      <c r="A114" s="240" t="s">
        <v>241</v>
      </c>
      <c r="B114" s="298">
        <f t="shared" si="80"/>
        <v>0.5788849347568209</v>
      </c>
      <c r="C114" s="298">
        <f t="shared" si="80"/>
        <v>0.5786516853932584</v>
      </c>
      <c r="D114" s="298">
        <f t="shared" si="80"/>
        <v>0.57837837837837835</v>
      </c>
      <c r="E114" s="298">
        <f t="shared" si="80"/>
        <v>0.55319148936170215</v>
      </c>
      <c r="F114" s="298">
        <f t="shared" si="80"/>
        <v>0.54794520547945202</v>
      </c>
      <c r="G114" s="298">
        <f t="shared" si="80"/>
        <v>0.54556354916067151</v>
      </c>
      <c r="H114" s="298">
        <f t="shared" si="80"/>
        <v>0.5444444444444444</v>
      </c>
      <c r="I114" s="298">
        <f t="shared" si="80"/>
        <v>0.54421052631578948</v>
      </c>
      <c r="J114" s="298">
        <f t="shared" si="80"/>
        <v>0.5461538461538461</v>
      </c>
      <c r="K114" s="298">
        <f t="shared" si="80"/>
        <v>0.54471544715447151</v>
      </c>
      <c r="L114" s="298">
        <f t="shared" si="80"/>
        <v>0.54430379746835444</v>
      </c>
      <c r="M114" s="298">
        <f t="shared" si="80"/>
        <v>0.54034582132564846</v>
      </c>
      <c r="N114" s="298">
        <f t="shared" si="80"/>
        <v>0.54104477611940294</v>
      </c>
      <c r="O114" s="298">
        <f t="shared" si="80"/>
        <v>0.54711246200607899</v>
      </c>
      <c r="P114" s="298">
        <f t="shared" si="80"/>
        <v>0.5494505494505495</v>
      </c>
      <c r="Q114" s="298">
        <f t="shared" si="80"/>
        <v>0.5487528344671202</v>
      </c>
      <c r="R114" s="298">
        <f t="shared" si="80"/>
        <v>0.54635761589403975</v>
      </c>
      <c r="S114" s="298">
        <f t="shared" si="80"/>
        <v>0.5463157894736842</v>
      </c>
      <c r="T114" s="298">
        <f t="shared" si="80"/>
        <v>0.54564102564102568</v>
      </c>
      <c r="U114" s="298">
        <f t="shared" si="80"/>
        <v>0.54586466165413539</v>
      </c>
      <c r="V114" s="298">
        <f t="shared" si="80"/>
        <v>0.54538461538461536</v>
      </c>
      <c r="W114" s="298">
        <f t="shared" si="80"/>
        <v>0.54538461538461536</v>
      </c>
      <c r="X114" s="298">
        <f t="shared" si="80"/>
        <v>0.54500000000000004</v>
      </c>
      <c r="Y114" s="298">
        <f t="shared" si="80"/>
        <v>0.54529411764705882</v>
      </c>
      <c r="Z114" s="298">
        <f t="shared" si="80"/>
        <v>0.54500000000000004</v>
      </c>
      <c r="AA114" s="298">
        <f t="shared" si="80"/>
        <v>0.54538461538461536</v>
      </c>
      <c r="AB114" s="298">
        <f t="shared" si="80"/>
        <v>0.5450666666666667</v>
      </c>
      <c r="AC114" s="298">
        <f t="shared" si="80"/>
        <v>0.54526315789473689</v>
      </c>
      <c r="AD114" s="259">
        <f t="shared" si="81"/>
        <v>0.54525139664804467</v>
      </c>
      <c r="AE114" s="259">
        <f t="shared" si="81"/>
        <v>0.54578999252900884</v>
      </c>
      <c r="AF114" s="259">
        <f t="shared" si="81"/>
        <v>0.54574416751350352</v>
      </c>
      <c r="AG114" s="259">
        <f t="shared" si="81"/>
        <v>0.54517655428316203</v>
      </c>
      <c r="AH114" s="259">
        <f t="shared" si="81"/>
        <v>0.54448057225640523</v>
      </c>
    </row>
    <row r="115" spans="1:34">
      <c r="A115" s="240" t="s">
        <v>231</v>
      </c>
      <c r="B115" s="298">
        <f t="shared" si="80"/>
        <v>0.5788849347568209</v>
      </c>
      <c r="C115" s="298">
        <f t="shared" si="80"/>
        <v>0.5786516853932584</v>
      </c>
      <c r="D115" s="298">
        <f t="shared" si="80"/>
        <v>0.57837837837837835</v>
      </c>
      <c r="E115" s="298">
        <f t="shared" si="80"/>
        <v>0.55319148936170215</v>
      </c>
      <c r="F115" s="298">
        <f t="shared" si="80"/>
        <v>0.54794520547945202</v>
      </c>
      <c r="G115" s="298">
        <f t="shared" si="80"/>
        <v>0.54556354916067151</v>
      </c>
      <c r="H115" s="298">
        <f t="shared" si="80"/>
        <v>0.5444444444444444</v>
      </c>
      <c r="I115" s="298">
        <f t="shared" si="80"/>
        <v>0.54421052631578948</v>
      </c>
      <c r="J115" s="298">
        <f t="shared" si="80"/>
        <v>0.5461538461538461</v>
      </c>
      <c r="K115" s="298">
        <f t="shared" si="80"/>
        <v>0.54471544715447151</v>
      </c>
      <c r="L115" s="298">
        <f t="shared" si="80"/>
        <v>0.54430379746835444</v>
      </c>
      <c r="M115" s="298">
        <f t="shared" si="80"/>
        <v>0.54034582132564846</v>
      </c>
      <c r="N115" s="298">
        <f t="shared" si="80"/>
        <v>0.54104477611940294</v>
      </c>
      <c r="O115" s="298">
        <f t="shared" si="80"/>
        <v>0.54711246200607899</v>
      </c>
      <c r="P115" s="298">
        <f t="shared" si="80"/>
        <v>0.5494505494505495</v>
      </c>
      <c r="Q115" s="298">
        <f t="shared" si="80"/>
        <v>0.5487528344671202</v>
      </c>
      <c r="R115" s="298">
        <f t="shared" si="80"/>
        <v>0.54635761589403975</v>
      </c>
      <c r="S115" s="298">
        <f t="shared" si="80"/>
        <v>0.5463157894736842</v>
      </c>
      <c r="T115" s="298">
        <f t="shared" si="80"/>
        <v>0.54564102564102568</v>
      </c>
      <c r="U115" s="298">
        <f t="shared" si="80"/>
        <v>0.54586466165413539</v>
      </c>
      <c r="V115" s="298">
        <f t="shared" si="80"/>
        <v>0.54538461538461536</v>
      </c>
      <c r="W115" s="298">
        <f t="shared" si="80"/>
        <v>0.54538461538461536</v>
      </c>
      <c r="X115" s="298">
        <f t="shared" si="80"/>
        <v>0.54500000000000004</v>
      </c>
      <c r="Y115" s="298">
        <f t="shared" si="80"/>
        <v>0.54529411764705882</v>
      </c>
      <c r="Z115" s="298">
        <f t="shared" si="80"/>
        <v>0.54500000000000004</v>
      </c>
      <c r="AA115" s="298">
        <f t="shared" si="80"/>
        <v>0.54538461538461536</v>
      </c>
      <c r="AB115" s="298">
        <f t="shared" si="80"/>
        <v>0.5450666666666667</v>
      </c>
      <c r="AC115" s="298">
        <f t="shared" si="80"/>
        <v>0.54526315789473689</v>
      </c>
      <c r="AD115" s="259">
        <f t="shared" si="81"/>
        <v>0.54525139664804467</v>
      </c>
      <c r="AE115" s="259">
        <f t="shared" si="81"/>
        <v>0.54578999252900884</v>
      </c>
      <c r="AF115" s="259">
        <f t="shared" si="81"/>
        <v>0.54574416751350352</v>
      </c>
      <c r="AG115" s="259">
        <f t="shared" si="81"/>
        <v>0.54517655428316203</v>
      </c>
      <c r="AH115" s="259">
        <f t="shared" si="81"/>
        <v>0.54448057225640523</v>
      </c>
    </row>
    <row r="116" spans="1:34">
      <c r="A116" s="240" t="s">
        <v>232</v>
      </c>
      <c r="B116" s="298">
        <f t="shared" si="80"/>
        <v>0.5788849347568209</v>
      </c>
      <c r="C116" s="298">
        <f t="shared" si="80"/>
        <v>0.5786516853932584</v>
      </c>
      <c r="D116" s="298">
        <f t="shared" si="80"/>
        <v>0.57837837837837835</v>
      </c>
      <c r="E116" s="298">
        <f t="shared" si="80"/>
        <v>0.55319148936170215</v>
      </c>
      <c r="F116" s="298">
        <f t="shared" si="80"/>
        <v>0.54794520547945202</v>
      </c>
      <c r="G116" s="298">
        <f t="shared" si="80"/>
        <v>0.54556354916067151</v>
      </c>
      <c r="H116" s="298">
        <f t="shared" si="80"/>
        <v>0.5444444444444444</v>
      </c>
      <c r="I116" s="298">
        <f t="shared" si="80"/>
        <v>0.54421052631578948</v>
      </c>
      <c r="J116" s="298">
        <f t="shared" si="80"/>
        <v>0.5461538461538461</v>
      </c>
      <c r="K116" s="298">
        <f t="shared" si="80"/>
        <v>0.54471544715447151</v>
      </c>
      <c r="L116" s="298">
        <f t="shared" si="80"/>
        <v>0.54430379746835444</v>
      </c>
      <c r="M116" s="298">
        <f t="shared" si="80"/>
        <v>0.54034582132564846</v>
      </c>
      <c r="N116" s="298">
        <f t="shared" si="80"/>
        <v>0.54104477611940294</v>
      </c>
      <c r="O116" s="298">
        <f t="shared" si="80"/>
        <v>0.54711246200607899</v>
      </c>
      <c r="P116" s="298">
        <f t="shared" si="80"/>
        <v>0.5494505494505495</v>
      </c>
      <c r="Q116" s="298">
        <f t="shared" si="80"/>
        <v>0.5487528344671202</v>
      </c>
      <c r="R116" s="298">
        <f t="shared" si="80"/>
        <v>0.54635761589403975</v>
      </c>
      <c r="S116" s="298">
        <f t="shared" si="80"/>
        <v>0.5463157894736842</v>
      </c>
      <c r="T116" s="298">
        <f t="shared" si="80"/>
        <v>0.54564102564102568</v>
      </c>
      <c r="U116" s="298">
        <f t="shared" si="80"/>
        <v>0.54586466165413539</v>
      </c>
      <c r="V116" s="298">
        <f t="shared" si="80"/>
        <v>0.54538461538461536</v>
      </c>
      <c r="W116" s="298">
        <f t="shared" si="80"/>
        <v>0.54538461538461536</v>
      </c>
      <c r="X116" s="298">
        <f t="shared" si="80"/>
        <v>0.54500000000000004</v>
      </c>
      <c r="Y116" s="298">
        <f t="shared" si="80"/>
        <v>0.54529411764705882</v>
      </c>
      <c r="Z116" s="298">
        <f t="shared" si="80"/>
        <v>0.54500000000000004</v>
      </c>
      <c r="AA116" s="298">
        <f t="shared" si="80"/>
        <v>0.54538461538461536</v>
      </c>
      <c r="AB116" s="298">
        <f t="shared" si="80"/>
        <v>0.5450666666666667</v>
      </c>
      <c r="AC116" s="298">
        <f t="shared" si="80"/>
        <v>0.54526315789473689</v>
      </c>
      <c r="AD116" s="259">
        <f t="shared" si="81"/>
        <v>0.54525139664804467</v>
      </c>
      <c r="AE116" s="259">
        <f t="shared" si="81"/>
        <v>0.54578999252900884</v>
      </c>
      <c r="AF116" s="259">
        <f t="shared" si="81"/>
        <v>0.54574416751350352</v>
      </c>
      <c r="AG116" s="259">
        <f t="shared" si="81"/>
        <v>0.54517655428316203</v>
      </c>
      <c r="AH116" s="259">
        <f t="shared" si="81"/>
        <v>0.54448057225640523</v>
      </c>
    </row>
    <row r="117" spans="1:34">
      <c r="A117" s="240" t="s">
        <v>233</v>
      </c>
      <c r="B117" s="298">
        <f t="shared" si="80"/>
        <v>0.5788849347568209</v>
      </c>
      <c r="C117" s="298">
        <f t="shared" si="80"/>
        <v>0.5786516853932584</v>
      </c>
      <c r="D117" s="298">
        <f t="shared" si="80"/>
        <v>0.57837837837837835</v>
      </c>
      <c r="E117" s="298">
        <f t="shared" si="80"/>
        <v>0.55319148936170215</v>
      </c>
      <c r="F117" s="298">
        <f t="shared" si="80"/>
        <v>0.54794520547945202</v>
      </c>
      <c r="G117" s="298">
        <f t="shared" si="80"/>
        <v>0.54556354916067151</v>
      </c>
      <c r="H117" s="298">
        <f t="shared" si="80"/>
        <v>0.5444444444444444</v>
      </c>
      <c r="I117" s="298">
        <f t="shared" si="80"/>
        <v>0.54421052631578948</v>
      </c>
      <c r="J117" s="298">
        <f t="shared" si="80"/>
        <v>0.5461538461538461</v>
      </c>
      <c r="K117" s="298">
        <f t="shared" si="80"/>
        <v>0.54471544715447151</v>
      </c>
      <c r="L117" s="298">
        <f t="shared" si="80"/>
        <v>0.54430379746835444</v>
      </c>
      <c r="M117" s="298">
        <f t="shared" si="80"/>
        <v>0.54034582132564846</v>
      </c>
      <c r="N117" s="298">
        <f t="shared" si="80"/>
        <v>0.54104477611940294</v>
      </c>
      <c r="O117" s="298">
        <f t="shared" si="80"/>
        <v>0.54711246200607899</v>
      </c>
      <c r="P117" s="298">
        <f t="shared" si="80"/>
        <v>0.5494505494505495</v>
      </c>
      <c r="Q117" s="298">
        <f t="shared" si="80"/>
        <v>0.5487528344671202</v>
      </c>
      <c r="R117" s="298">
        <f t="shared" si="80"/>
        <v>0.54635761589403975</v>
      </c>
      <c r="S117" s="298">
        <f t="shared" si="80"/>
        <v>0.5463157894736842</v>
      </c>
      <c r="T117" s="298">
        <f t="shared" si="80"/>
        <v>0.54564102564102568</v>
      </c>
      <c r="U117" s="298">
        <f t="shared" si="80"/>
        <v>0.54586466165413539</v>
      </c>
      <c r="V117" s="298">
        <f t="shared" si="80"/>
        <v>0.54538461538461536</v>
      </c>
      <c r="W117" s="298">
        <f t="shared" si="80"/>
        <v>0.54538461538461536</v>
      </c>
      <c r="X117" s="298">
        <f t="shared" si="80"/>
        <v>0.54500000000000004</v>
      </c>
      <c r="Y117" s="298">
        <f t="shared" si="80"/>
        <v>0.54529411764705871</v>
      </c>
      <c r="Z117" s="298">
        <f t="shared" si="80"/>
        <v>0.54500000000000004</v>
      </c>
      <c r="AA117" s="298">
        <f t="shared" si="80"/>
        <v>0.54538461538461536</v>
      </c>
      <c r="AB117" s="298">
        <f t="shared" si="80"/>
        <v>0.5450666666666667</v>
      </c>
      <c r="AC117" s="298">
        <f t="shared" si="80"/>
        <v>0.54526315789473689</v>
      </c>
      <c r="AD117" s="259">
        <f t="shared" si="81"/>
        <v>0.54525139664804467</v>
      </c>
      <c r="AE117" s="259">
        <f t="shared" si="81"/>
        <v>0.54578999252900884</v>
      </c>
      <c r="AF117" s="259">
        <f t="shared" si="81"/>
        <v>0.54574416751350352</v>
      </c>
      <c r="AG117" s="259">
        <f t="shared" si="81"/>
        <v>0.54517655428316203</v>
      </c>
      <c r="AH117" s="259">
        <f t="shared" si="81"/>
        <v>0.54448057225640523</v>
      </c>
    </row>
    <row r="118" spans="1:34">
      <c r="A118" s="240" t="s">
        <v>234</v>
      </c>
      <c r="B118" s="298">
        <f t="shared" si="80"/>
        <v>0.5788849347568209</v>
      </c>
      <c r="C118" s="298">
        <f t="shared" si="80"/>
        <v>0.5786516853932584</v>
      </c>
      <c r="D118" s="298">
        <f t="shared" si="80"/>
        <v>0.57837837837837835</v>
      </c>
      <c r="E118" s="298">
        <f t="shared" si="80"/>
        <v>0.55319148936170215</v>
      </c>
      <c r="F118" s="298">
        <f t="shared" si="80"/>
        <v>0.54794520547945202</v>
      </c>
      <c r="G118" s="298">
        <f t="shared" si="80"/>
        <v>0.54556354916067151</v>
      </c>
      <c r="H118" s="298">
        <f t="shared" si="80"/>
        <v>0.5444444444444444</v>
      </c>
      <c r="I118" s="298">
        <f t="shared" si="80"/>
        <v>0.54421052631578948</v>
      </c>
      <c r="J118" s="298">
        <f t="shared" si="80"/>
        <v>0.5461538461538461</v>
      </c>
      <c r="K118" s="298">
        <f t="shared" si="80"/>
        <v>0.54471544715447151</v>
      </c>
      <c r="L118" s="298">
        <f t="shared" si="80"/>
        <v>0.54430379746835444</v>
      </c>
      <c r="M118" s="298">
        <f t="shared" si="80"/>
        <v>0.54034582132564846</v>
      </c>
      <c r="N118" s="298">
        <f t="shared" si="80"/>
        <v>0.54104477611940294</v>
      </c>
      <c r="O118" s="298">
        <f t="shared" si="80"/>
        <v>0.54711246200607899</v>
      </c>
      <c r="P118" s="298">
        <f t="shared" si="80"/>
        <v>0.5494505494505495</v>
      </c>
      <c r="Q118" s="298">
        <f t="shared" si="80"/>
        <v>0.5487528344671202</v>
      </c>
      <c r="R118" s="298">
        <f t="shared" si="80"/>
        <v>0.54635761589403975</v>
      </c>
      <c r="S118" s="298">
        <f t="shared" si="80"/>
        <v>0.5463157894736842</v>
      </c>
      <c r="T118" s="298">
        <f t="shared" si="80"/>
        <v>0.54564102564102568</v>
      </c>
      <c r="U118" s="298">
        <f t="shared" si="80"/>
        <v>0.54586466165413539</v>
      </c>
      <c r="V118" s="298">
        <f t="shared" si="80"/>
        <v>0.54538461538461536</v>
      </c>
      <c r="W118" s="298">
        <f t="shared" si="80"/>
        <v>0.54538461538461536</v>
      </c>
      <c r="X118" s="298">
        <f t="shared" si="80"/>
        <v>0.54500000000000004</v>
      </c>
      <c r="Y118" s="298">
        <f t="shared" si="80"/>
        <v>0.54529411764705882</v>
      </c>
      <c r="Z118" s="298">
        <f t="shared" si="80"/>
        <v>0.54500000000000004</v>
      </c>
      <c r="AA118" s="298">
        <f t="shared" si="80"/>
        <v>0.54538461538461536</v>
      </c>
      <c r="AB118" s="298">
        <f t="shared" si="80"/>
        <v>0.5450666666666667</v>
      </c>
      <c r="AC118" s="298">
        <f t="shared" si="80"/>
        <v>0.54526315789473689</v>
      </c>
      <c r="AD118" s="259">
        <f t="shared" si="81"/>
        <v>0.54525139664804467</v>
      </c>
      <c r="AE118" s="259">
        <f t="shared" si="81"/>
        <v>0.54578999252900884</v>
      </c>
      <c r="AF118" s="259">
        <f t="shared" si="81"/>
        <v>0.54574416751350352</v>
      </c>
      <c r="AG118" s="259">
        <f t="shared" si="81"/>
        <v>0.54517655428316203</v>
      </c>
      <c r="AH118" s="259">
        <f t="shared" si="81"/>
        <v>0.54448057225640523</v>
      </c>
    </row>
    <row r="119" spans="1:34">
      <c r="A119" s="240" t="s">
        <v>46</v>
      </c>
      <c r="B119" s="298">
        <f t="shared" si="80"/>
        <v>0.5788849347568209</v>
      </c>
      <c r="C119" s="298">
        <f t="shared" si="80"/>
        <v>0.5786516853932584</v>
      </c>
      <c r="D119" s="298">
        <f t="shared" si="80"/>
        <v>0.57837837837837835</v>
      </c>
      <c r="E119" s="298">
        <f t="shared" si="80"/>
        <v>0.55319148936170215</v>
      </c>
      <c r="F119" s="298">
        <f t="shared" si="80"/>
        <v>0.54794520547945202</v>
      </c>
      <c r="G119" s="298">
        <f t="shared" si="80"/>
        <v>0.54556354916067151</v>
      </c>
      <c r="H119" s="298">
        <f t="shared" si="80"/>
        <v>0.5444444444444444</v>
      </c>
      <c r="I119" s="298">
        <f t="shared" si="80"/>
        <v>0.54421052631578948</v>
      </c>
      <c r="J119" s="298">
        <f t="shared" si="80"/>
        <v>0.5461538461538461</v>
      </c>
      <c r="K119" s="298">
        <f t="shared" si="80"/>
        <v>0.54471544715447151</v>
      </c>
      <c r="L119" s="298">
        <f t="shared" si="80"/>
        <v>0.54430379746835444</v>
      </c>
      <c r="M119" s="298">
        <f t="shared" si="80"/>
        <v>0.54034582132564846</v>
      </c>
      <c r="N119" s="298">
        <f t="shared" si="80"/>
        <v>0.54104477611940294</v>
      </c>
      <c r="O119" s="298">
        <f t="shared" si="80"/>
        <v>0.54711246200607899</v>
      </c>
      <c r="P119" s="298">
        <f t="shared" si="80"/>
        <v>0.5494505494505495</v>
      </c>
      <c r="Q119" s="298">
        <f t="shared" si="80"/>
        <v>0.5487528344671202</v>
      </c>
      <c r="R119" s="298">
        <f t="shared" si="80"/>
        <v>0.54635761589403975</v>
      </c>
      <c r="S119" s="298">
        <f t="shared" si="80"/>
        <v>0.5463157894736842</v>
      </c>
      <c r="T119" s="298">
        <f t="shared" si="80"/>
        <v>0.54564102564102568</v>
      </c>
      <c r="U119" s="298">
        <f t="shared" si="80"/>
        <v>0.54586466165413539</v>
      </c>
      <c r="V119" s="298">
        <f t="shared" si="80"/>
        <v>0.54538461538461536</v>
      </c>
      <c r="W119" s="298">
        <f t="shared" si="80"/>
        <v>0.54538461538461536</v>
      </c>
      <c r="X119" s="298">
        <f t="shared" si="80"/>
        <v>0.54500000000000004</v>
      </c>
      <c r="Y119" s="298">
        <f t="shared" si="80"/>
        <v>0.54529411764705882</v>
      </c>
      <c r="Z119" s="298">
        <f t="shared" si="80"/>
        <v>0.54500000000000004</v>
      </c>
      <c r="AA119" s="298">
        <f t="shared" si="80"/>
        <v>0.54538461538461536</v>
      </c>
      <c r="AB119" s="298">
        <f t="shared" si="80"/>
        <v>0.5450666666666667</v>
      </c>
      <c r="AC119" s="298">
        <f t="shared" si="80"/>
        <v>0.54526315789473689</v>
      </c>
      <c r="AD119" s="259">
        <f t="shared" si="81"/>
        <v>0.54525139664804467</v>
      </c>
      <c r="AE119" s="259">
        <f t="shared" si="81"/>
        <v>0.54578999252900884</v>
      </c>
      <c r="AF119" s="259">
        <f t="shared" si="81"/>
        <v>0.54574416751350352</v>
      </c>
      <c r="AG119" s="259">
        <f t="shared" si="81"/>
        <v>0.54517655428316203</v>
      </c>
      <c r="AH119" s="259">
        <f t="shared" si="81"/>
        <v>0.54448057225640523</v>
      </c>
    </row>
    <row r="120" spans="1:34">
      <c r="A120" s="240" t="s">
        <v>235</v>
      </c>
      <c r="B120" s="298">
        <f t="shared" si="80"/>
        <v>0.5788849347568209</v>
      </c>
      <c r="C120" s="298">
        <f t="shared" si="80"/>
        <v>0.5786516853932584</v>
      </c>
      <c r="D120" s="298">
        <f t="shared" si="80"/>
        <v>0.57837837837837835</v>
      </c>
      <c r="E120" s="298">
        <f t="shared" si="80"/>
        <v>0.55319148936170215</v>
      </c>
      <c r="F120" s="298">
        <f t="shared" si="80"/>
        <v>0.54794520547945202</v>
      </c>
      <c r="G120" s="298">
        <f t="shared" si="80"/>
        <v>0.54556354916067151</v>
      </c>
      <c r="H120" s="298">
        <f t="shared" si="80"/>
        <v>0.5444444444444444</v>
      </c>
      <c r="I120" s="298">
        <f t="shared" si="80"/>
        <v>0.54421052631578948</v>
      </c>
      <c r="J120" s="298">
        <f t="shared" si="80"/>
        <v>0.5461538461538461</v>
      </c>
      <c r="K120" s="298">
        <f t="shared" si="80"/>
        <v>0.54471544715447151</v>
      </c>
      <c r="L120" s="298">
        <f t="shared" si="80"/>
        <v>0.54430379746835444</v>
      </c>
      <c r="M120" s="298">
        <f t="shared" si="80"/>
        <v>0.54034582132564846</v>
      </c>
      <c r="N120" s="298">
        <f t="shared" si="80"/>
        <v>0.54104477611940294</v>
      </c>
      <c r="O120" s="298">
        <f t="shared" si="80"/>
        <v>0.54711246200607899</v>
      </c>
      <c r="P120" s="298">
        <f t="shared" si="80"/>
        <v>0.5494505494505495</v>
      </c>
      <c r="Q120" s="298">
        <f t="shared" si="80"/>
        <v>0.5487528344671202</v>
      </c>
      <c r="R120" s="298">
        <f t="shared" si="80"/>
        <v>0.54635761589403975</v>
      </c>
      <c r="S120" s="298">
        <f t="shared" si="80"/>
        <v>0.5463157894736842</v>
      </c>
      <c r="T120" s="298">
        <f t="shared" si="80"/>
        <v>0.54564102564102568</v>
      </c>
      <c r="U120" s="298">
        <f t="shared" si="80"/>
        <v>0.54586466165413539</v>
      </c>
      <c r="V120" s="298">
        <f t="shared" si="80"/>
        <v>0.54538461538461536</v>
      </c>
      <c r="W120" s="298">
        <f t="shared" si="80"/>
        <v>0.54538461538461536</v>
      </c>
      <c r="X120" s="298">
        <f t="shared" si="80"/>
        <v>0.54500000000000004</v>
      </c>
      <c r="Y120" s="298">
        <f t="shared" si="80"/>
        <v>0.54529411764705882</v>
      </c>
      <c r="Z120" s="298">
        <f t="shared" si="80"/>
        <v>0.54500000000000004</v>
      </c>
      <c r="AA120" s="298">
        <f t="shared" si="80"/>
        <v>0.54538461538461536</v>
      </c>
      <c r="AB120" s="298">
        <f t="shared" si="80"/>
        <v>0.5450666666666667</v>
      </c>
      <c r="AC120" s="259">
        <f t="shared" si="80"/>
        <v>0.54526315789473689</v>
      </c>
      <c r="AD120" s="259">
        <f t="shared" si="81"/>
        <v>0.54525139664804467</v>
      </c>
      <c r="AE120" s="259">
        <f t="shared" si="81"/>
        <v>0.54578999252900884</v>
      </c>
      <c r="AF120" s="259">
        <f t="shared" si="81"/>
        <v>0.54574416751350352</v>
      </c>
      <c r="AG120" s="259">
        <f t="shared" si="81"/>
        <v>0.54517655428316203</v>
      </c>
      <c r="AH120" s="259">
        <f t="shared" si="81"/>
        <v>0.54448057225640523</v>
      </c>
    </row>
    <row r="121" spans="1:34">
      <c r="A121" s="240" t="s">
        <v>236</v>
      </c>
      <c r="B121" s="298">
        <f t="shared" si="80"/>
        <v>0.5788849347568209</v>
      </c>
      <c r="C121" s="298">
        <f t="shared" si="80"/>
        <v>0.5786516853932584</v>
      </c>
      <c r="D121" s="298">
        <f t="shared" si="80"/>
        <v>0.57837837837837835</v>
      </c>
      <c r="E121" s="298">
        <f t="shared" si="80"/>
        <v>0.55319148936170215</v>
      </c>
      <c r="F121" s="298">
        <f t="shared" ref="F121:AD123" si="82">F105/F89</f>
        <v>0.54794520547945202</v>
      </c>
      <c r="G121" s="298">
        <f t="shared" si="82"/>
        <v>0.54556354916067151</v>
      </c>
      <c r="H121" s="298">
        <f t="shared" si="82"/>
        <v>0.5444444444444444</v>
      </c>
      <c r="I121" s="298">
        <f t="shared" si="82"/>
        <v>0.54421052631578948</v>
      </c>
      <c r="J121" s="298">
        <f t="shared" si="82"/>
        <v>0.5461538461538461</v>
      </c>
      <c r="K121" s="298">
        <f t="shared" si="82"/>
        <v>0.54471544715447151</v>
      </c>
      <c r="L121" s="298">
        <f t="shared" si="82"/>
        <v>0.54430379746835444</v>
      </c>
      <c r="M121" s="298">
        <f t="shared" si="82"/>
        <v>0.54034582132564846</v>
      </c>
      <c r="N121" s="298">
        <f t="shared" si="82"/>
        <v>0.54104477611940294</v>
      </c>
      <c r="O121" s="298">
        <f t="shared" si="82"/>
        <v>0.54711246200607899</v>
      </c>
      <c r="P121" s="298">
        <f t="shared" si="82"/>
        <v>0.5494505494505495</v>
      </c>
      <c r="Q121" s="298">
        <f t="shared" si="82"/>
        <v>0.5487528344671202</v>
      </c>
      <c r="R121" s="298">
        <f t="shared" si="82"/>
        <v>0.54635761589403975</v>
      </c>
      <c r="S121" s="298">
        <f t="shared" si="82"/>
        <v>0.5463157894736842</v>
      </c>
      <c r="T121" s="298">
        <f t="shared" si="82"/>
        <v>0.54564102564102568</v>
      </c>
      <c r="U121" s="298">
        <f t="shared" si="82"/>
        <v>0.54586466165413539</v>
      </c>
      <c r="V121" s="298">
        <f t="shared" si="82"/>
        <v>0.54538461538461536</v>
      </c>
      <c r="W121" s="298">
        <f t="shared" si="82"/>
        <v>0.54538461538461536</v>
      </c>
      <c r="X121" s="298">
        <f t="shared" si="82"/>
        <v>0.54500000000000004</v>
      </c>
      <c r="Y121" s="298">
        <f t="shared" si="82"/>
        <v>0.54529411764705882</v>
      </c>
      <c r="Z121" s="298">
        <f t="shared" si="82"/>
        <v>0.54500000000000004</v>
      </c>
      <c r="AA121" s="298">
        <f t="shared" si="82"/>
        <v>0.54538461538461536</v>
      </c>
      <c r="AB121" s="298">
        <f t="shared" si="82"/>
        <v>0.5450666666666667</v>
      </c>
      <c r="AC121" s="259">
        <f t="shared" si="82"/>
        <v>0.54526315789473689</v>
      </c>
      <c r="AD121" s="259">
        <f t="shared" si="81"/>
        <v>0.54525139664804467</v>
      </c>
      <c r="AE121" s="259">
        <f t="shared" si="81"/>
        <v>0.54578999252900884</v>
      </c>
      <c r="AF121" s="259">
        <f t="shared" si="81"/>
        <v>0.54574416751350352</v>
      </c>
      <c r="AG121" s="259">
        <f t="shared" si="81"/>
        <v>0.54517655428316203</v>
      </c>
      <c r="AH121" s="259">
        <f t="shared" si="81"/>
        <v>0.54448057225640523</v>
      </c>
    </row>
    <row r="122" spans="1:34">
      <c r="A122" s="240" t="s">
        <v>237</v>
      </c>
      <c r="B122" s="298">
        <f t="shared" ref="B122:Q123" si="83">B106/B90</f>
        <v>0.5788849347568209</v>
      </c>
      <c r="C122" s="298">
        <f t="shared" si="83"/>
        <v>0.5786516853932584</v>
      </c>
      <c r="D122" s="298">
        <f t="shared" si="83"/>
        <v>0.57837837837837835</v>
      </c>
      <c r="E122" s="298">
        <f t="shared" si="83"/>
        <v>0.55319148936170215</v>
      </c>
      <c r="F122" s="298">
        <f t="shared" si="83"/>
        <v>0.54794520547945202</v>
      </c>
      <c r="G122" s="298">
        <f t="shared" si="83"/>
        <v>0.54556354916067151</v>
      </c>
      <c r="H122" s="298">
        <f t="shared" si="83"/>
        <v>0.5444444444444444</v>
      </c>
      <c r="I122" s="298">
        <f t="shared" si="83"/>
        <v>0.54421052631578948</v>
      </c>
      <c r="J122" s="298">
        <f t="shared" si="83"/>
        <v>0.5461538461538461</v>
      </c>
      <c r="K122" s="298">
        <f t="shared" si="83"/>
        <v>0.54471544715447151</v>
      </c>
      <c r="L122" s="298">
        <f t="shared" si="83"/>
        <v>0.54430379746835444</v>
      </c>
      <c r="M122" s="298">
        <f t="shared" si="83"/>
        <v>0.54034582132564846</v>
      </c>
      <c r="N122" s="298">
        <f t="shared" si="83"/>
        <v>0.54104477611940294</v>
      </c>
      <c r="O122" s="298">
        <f t="shared" si="83"/>
        <v>0.54711246200607899</v>
      </c>
      <c r="P122" s="298">
        <f t="shared" si="83"/>
        <v>0.5494505494505495</v>
      </c>
      <c r="Q122" s="298">
        <f t="shared" si="83"/>
        <v>0.5487528344671202</v>
      </c>
      <c r="R122" s="298">
        <f t="shared" si="82"/>
        <v>0.54635761589403975</v>
      </c>
      <c r="S122" s="298">
        <f t="shared" si="82"/>
        <v>0.5463157894736842</v>
      </c>
      <c r="T122" s="298">
        <f t="shared" si="82"/>
        <v>0.54564102564102568</v>
      </c>
      <c r="U122" s="298">
        <f t="shared" si="82"/>
        <v>0.54586466165413539</v>
      </c>
      <c r="V122" s="298">
        <f t="shared" si="82"/>
        <v>0.54538461538461536</v>
      </c>
      <c r="W122" s="298">
        <f t="shared" si="82"/>
        <v>0.54538461538461536</v>
      </c>
      <c r="X122" s="298">
        <f t="shared" si="82"/>
        <v>0.54500000000000004</v>
      </c>
      <c r="Y122" s="298">
        <f t="shared" si="82"/>
        <v>0.54529411764705882</v>
      </c>
      <c r="Z122" s="298">
        <f t="shared" si="82"/>
        <v>0.54500000000000004</v>
      </c>
      <c r="AA122" s="298">
        <f t="shared" si="82"/>
        <v>0.54538461538461536</v>
      </c>
      <c r="AB122" s="298">
        <f t="shared" si="82"/>
        <v>0.5450666666666667</v>
      </c>
      <c r="AC122" s="259">
        <f t="shared" si="82"/>
        <v>0.54526315789473689</v>
      </c>
      <c r="AD122" s="259">
        <f t="shared" si="81"/>
        <v>0.54525139664804467</v>
      </c>
      <c r="AE122" s="259">
        <f t="shared" si="81"/>
        <v>0.54578999252900884</v>
      </c>
      <c r="AF122" s="259">
        <f t="shared" si="81"/>
        <v>0.54574416751350352</v>
      </c>
      <c r="AG122" s="259">
        <f t="shared" si="81"/>
        <v>0.54517655428316203</v>
      </c>
      <c r="AH122" s="259">
        <f t="shared" si="81"/>
        <v>0.54448057225640523</v>
      </c>
    </row>
    <row r="123" spans="1:34">
      <c r="A123" s="240" t="s">
        <v>238</v>
      </c>
      <c r="B123" s="298">
        <f t="shared" si="83"/>
        <v>0.5788849347568209</v>
      </c>
      <c r="C123" s="298">
        <f t="shared" si="83"/>
        <v>0.5786516853932584</v>
      </c>
      <c r="D123" s="298">
        <f t="shared" si="83"/>
        <v>0.57837837837837835</v>
      </c>
      <c r="E123" s="298">
        <f t="shared" si="83"/>
        <v>0.55319148936170215</v>
      </c>
      <c r="F123" s="298">
        <f t="shared" si="83"/>
        <v>0.54794520547945202</v>
      </c>
      <c r="G123" s="298">
        <f t="shared" si="83"/>
        <v>0.54556354916067151</v>
      </c>
      <c r="H123" s="298">
        <f t="shared" si="83"/>
        <v>0.5444444444444444</v>
      </c>
      <c r="I123" s="298">
        <f t="shared" si="83"/>
        <v>0.54421052631578948</v>
      </c>
      <c r="J123" s="298">
        <f t="shared" si="83"/>
        <v>0.5461538461538461</v>
      </c>
      <c r="K123" s="298">
        <f t="shared" si="83"/>
        <v>0.54471544715447151</v>
      </c>
      <c r="L123" s="298">
        <f t="shared" si="83"/>
        <v>0.54430379746835444</v>
      </c>
      <c r="M123" s="298">
        <f t="shared" si="83"/>
        <v>0.54034582132564846</v>
      </c>
      <c r="N123" s="298">
        <f t="shared" si="83"/>
        <v>0.54104477611940294</v>
      </c>
      <c r="O123" s="298">
        <f t="shared" si="83"/>
        <v>0.54711246200607899</v>
      </c>
      <c r="P123" s="298">
        <f t="shared" si="83"/>
        <v>0.5494505494505495</v>
      </c>
      <c r="Q123" s="298">
        <f t="shared" si="83"/>
        <v>0.5487528344671202</v>
      </c>
      <c r="R123" s="298">
        <f t="shared" si="82"/>
        <v>0.54635761589403975</v>
      </c>
      <c r="S123" s="298">
        <f t="shared" si="82"/>
        <v>0.5463157894736842</v>
      </c>
      <c r="T123" s="298">
        <f t="shared" si="82"/>
        <v>0.54564102564102568</v>
      </c>
      <c r="U123" s="298">
        <f t="shared" si="82"/>
        <v>0.54586466165413539</v>
      </c>
      <c r="V123" s="298">
        <f t="shared" si="82"/>
        <v>0.54538461538461536</v>
      </c>
      <c r="W123" s="298">
        <f t="shared" si="82"/>
        <v>0.54538461538461536</v>
      </c>
      <c r="X123" s="298">
        <f t="shared" si="82"/>
        <v>0.54500000000000004</v>
      </c>
      <c r="Y123" s="298">
        <f t="shared" si="82"/>
        <v>0.54529411764705882</v>
      </c>
      <c r="Z123" s="298">
        <f t="shared" si="82"/>
        <v>0.54500000000000004</v>
      </c>
      <c r="AA123" s="298">
        <f t="shared" si="82"/>
        <v>0.54538461538461536</v>
      </c>
      <c r="AB123" s="298">
        <f t="shared" si="82"/>
        <v>0.5450666666666667</v>
      </c>
      <c r="AC123" s="259">
        <f t="shared" si="82"/>
        <v>0.54526315789473689</v>
      </c>
      <c r="AD123" s="259">
        <f t="shared" si="81"/>
        <v>0.54525139664804467</v>
      </c>
      <c r="AE123" s="259">
        <f t="shared" si="81"/>
        <v>0.54578999252900884</v>
      </c>
      <c r="AF123" s="259">
        <f t="shared" si="81"/>
        <v>0.54574416751350352</v>
      </c>
      <c r="AG123" s="259">
        <f t="shared" si="81"/>
        <v>0.54517655428316203</v>
      </c>
      <c r="AH123" s="259">
        <f t="shared" si="81"/>
        <v>0.54448057225640523</v>
      </c>
    </row>
    <row r="124" spans="1:34" ht="15.75" thickBot="1">
      <c r="A124" s="240" t="s">
        <v>255</v>
      </c>
      <c r="B124" s="258">
        <v>0.5788849347568209</v>
      </c>
      <c r="C124" s="258">
        <v>0.5786516853932584</v>
      </c>
      <c r="D124" s="258">
        <v>0.57837837837837835</v>
      </c>
      <c r="E124" s="258">
        <v>0.55319148936170215</v>
      </c>
      <c r="F124" s="258">
        <v>0.54794520547945202</v>
      </c>
      <c r="G124" s="258">
        <v>0.54556354916067151</v>
      </c>
      <c r="H124" s="258">
        <v>0.5444444444444444</v>
      </c>
      <c r="I124" s="258">
        <v>0.54421052631578948</v>
      </c>
      <c r="J124" s="258">
        <v>0.5461538461538461</v>
      </c>
      <c r="K124" s="258">
        <v>0.54471544715447151</v>
      </c>
      <c r="L124" s="258">
        <v>0.54430379746835444</v>
      </c>
      <c r="M124" s="258">
        <v>0.54034582132564846</v>
      </c>
      <c r="N124" s="258">
        <v>0.54104477611940294</v>
      </c>
      <c r="O124" s="258">
        <v>0.54711246200607899</v>
      </c>
      <c r="P124" s="258">
        <v>0.5494505494505495</v>
      </c>
      <c r="Q124" s="258">
        <v>0.5487528344671202</v>
      </c>
      <c r="R124" s="258">
        <v>0.54635761589403975</v>
      </c>
      <c r="S124" s="258">
        <v>0.5463157894736842</v>
      </c>
      <c r="T124" s="258">
        <v>0.54564102564102568</v>
      </c>
      <c r="U124" s="258">
        <v>0.54586466165413539</v>
      </c>
      <c r="V124" s="258">
        <v>0.54538461538461536</v>
      </c>
      <c r="W124" s="258">
        <v>0.54538461538461536</v>
      </c>
      <c r="X124" s="258">
        <v>0.54500000000000004</v>
      </c>
      <c r="Y124" s="258">
        <v>0.54529411764705882</v>
      </c>
      <c r="Z124" s="258">
        <v>0.54500000000000004</v>
      </c>
      <c r="AA124" s="258">
        <v>0.54538461538461536</v>
      </c>
      <c r="AB124" s="258">
        <v>0.5450666666666667</v>
      </c>
      <c r="AC124" s="259">
        <v>0.54526315789473689</v>
      </c>
      <c r="AD124" s="259">
        <v>0.54525139664804467</v>
      </c>
      <c r="AE124" s="259">
        <f>FORECAST(AE45,L124:AD124,L45:AD45)</f>
        <v>0.54578999252900884</v>
      </c>
      <c r="AF124" s="259">
        <f>FORECAST(AF45,M124:AE124,M45:AE45)</f>
        <v>0.54574416751350352</v>
      </c>
      <c r="AG124" s="259">
        <f t="shared" ref="AG124:AH124" si="84">FORECAST(AG45,N124:AF124,N45:AF45)</f>
        <v>0.54517655428316203</v>
      </c>
      <c r="AH124" s="259">
        <f t="shared" si="84"/>
        <v>0.54448057225640523</v>
      </c>
    </row>
    <row r="125" spans="1:34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  <c r="AE125" s="248"/>
      <c r="AF125" s="248"/>
      <c r="AG125" s="248"/>
      <c r="AH125" s="248"/>
    </row>
    <row r="126" spans="1:34" ht="15.75" thickBot="1">
      <c r="A126" s="235" t="s">
        <v>256</v>
      </c>
    </row>
    <row r="127" spans="1:34" ht="15.75" thickBot="1">
      <c r="A127" s="236"/>
      <c r="B127" s="237" t="str">
        <f>B$2</f>
        <v xml:space="preserve">93/94 </v>
      </c>
      <c r="C127" s="237" t="str">
        <f t="shared" ref="C127:AH127" si="85">C$2</f>
        <v xml:space="preserve">94/95 </v>
      </c>
      <c r="D127" s="237" t="str">
        <f t="shared" si="85"/>
        <v xml:space="preserve">95/96 </v>
      </c>
      <c r="E127" s="237" t="str">
        <f t="shared" si="85"/>
        <v xml:space="preserve">96/97 </v>
      </c>
      <c r="F127" s="237" t="str">
        <f t="shared" si="85"/>
        <v xml:space="preserve">97/98 </v>
      </c>
      <c r="G127" s="237" t="str">
        <f t="shared" si="85"/>
        <v xml:space="preserve">98/99 </v>
      </c>
      <c r="H127" s="237" t="str">
        <f t="shared" si="85"/>
        <v xml:space="preserve">99/00 </v>
      </c>
      <c r="I127" s="237" t="str">
        <f t="shared" si="85"/>
        <v xml:space="preserve">00/01 </v>
      </c>
      <c r="J127" s="237" t="str">
        <f t="shared" si="85"/>
        <v xml:space="preserve">01/02 </v>
      </c>
      <c r="K127" s="237" t="str">
        <f t="shared" si="85"/>
        <v xml:space="preserve">02/03 </v>
      </c>
      <c r="L127" s="237" t="str">
        <f t="shared" si="85"/>
        <v xml:space="preserve">03/04 </v>
      </c>
      <c r="M127" s="237" t="str">
        <f t="shared" si="85"/>
        <v xml:space="preserve">04/05 </v>
      </c>
      <c r="N127" s="237" t="str">
        <f t="shared" si="85"/>
        <v xml:space="preserve">05/06 </v>
      </c>
      <c r="O127" s="237" t="str">
        <f t="shared" si="85"/>
        <v xml:space="preserve">06/07 </v>
      </c>
      <c r="P127" s="237" t="str">
        <f t="shared" si="85"/>
        <v xml:space="preserve">07/08 </v>
      </c>
      <c r="Q127" s="237" t="str">
        <f t="shared" si="85"/>
        <v xml:space="preserve">08/09 </v>
      </c>
      <c r="R127" s="237" t="str">
        <f t="shared" si="85"/>
        <v xml:space="preserve">09/10 </v>
      </c>
      <c r="S127" s="237" t="str">
        <f t="shared" si="85"/>
        <v xml:space="preserve">10/11 </v>
      </c>
      <c r="T127" s="237" t="str">
        <f t="shared" si="85"/>
        <v xml:space="preserve">11/12 </v>
      </c>
      <c r="U127" s="237" t="str">
        <f t="shared" si="85"/>
        <v xml:space="preserve">12/13 </v>
      </c>
      <c r="V127" s="237" t="str">
        <f t="shared" si="85"/>
        <v xml:space="preserve">13/14 </v>
      </c>
      <c r="W127" s="237" t="str">
        <f t="shared" si="85"/>
        <v xml:space="preserve">14/15 </v>
      </c>
      <c r="X127" s="237" t="str">
        <f t="shared" si="85"/>
        <v xml:space="preserve">15/16 </v>
      </c>
      <c r="Y127" s="237" t="str">
        <f t="shared" si="85"/>
        <v xml:space="preserve">16/17 </v>
      </c>
      <c r="Z127" s="237" t="str">
        <f t="shared" si="85"/>
        <v xml:space="preserve">17/18 </v>
      </c>
      <c r="AA127" s="237" t="str">
        <f t="shared" si="85"/>
        <v xml:space="preserve">18/19 </v>
      </c>
      <c r="AB127" s="237" t="str">
        <f t="shared" si="85"/>
        <v xml:space="preserve">19/20 </v>
      </c>
      <c r="AC127" s="237" t="str">
        <f t="shared" si="85"/>
        <v xml:space="preserve">20/21 </v>
      </c>
      <c r="AD127" s="237" t="str">
        <f t="shared" si="85"/>
        <v xml:space="preserve">21/22 </v>
      </c>
      <c r="AE127" s="237" t="str">
        <f t="shared" si="85"/>
        <v xml:space="preserve">22/23 </v>
      </c>
      <c r="AF127" s="237" t="str">
        <f t="shared" si="85"/>
        <v>23/24</v>
      </c>
      <c r="AG127" s="237" t="str">
        <f t="shared" si="85"/>
        <v>23/25</v>
      </c>
      <c r="AH127" s="237" t="str">
        <f t="shared" si="85"/>
        <v>23/26</v>
      </c>
    </row>
    <row r="128" spans="1:34">
      <c r="A128" s="240" t="s">
        <v>239</v>
      </c>
      <c r="B128" s="241">
        <f>(SUM(K128:O128)/SUM(K$60:O$60))*B$60</f>
        <v>0</v>
      </c>
      <c r="C128" s="241">
        <v>0</v>
      </c>
      <c r="D128" s="242">
        <f>'[2]China Sun Meal Imports'!BD$290</f>
        <v>0</v>
      </c>
      <c r="E128" s="242">
        <f>'[2]China Sun Meal Imports'!BP$290</f>
        <v>0</v>
      </c>
      <c r="F128" s="242">
        <f>'[2]China Sun Meal Imports'!CB$290</f>
        <v>0</v>
      </c>
      <c r="G128" s="242">
        <f>'[2]China Sun Meal Imports'!CN$290</f>
        <v>0</v>
      </c>
      <c r="H128" s="242">
        <f>'[2]China Sun Meal Imports'!CZ$290</f>
        <v>0</v>
      </c>
      <c r="I128" s="242">
        <f>'[2]China Sun Meal Imports'!DL$290</f>
        <v>0</v>
      </c>
      <c r="J128" s="242">
        <f>'[2]China Sun Meal Imports'!DX$290</f>
        <v>0</v>
      </c>
      <c r="K128" s="242">
        <f>'[2]China Sun Meal Imports'!EJ$290</f>
        <v>0</v>
      </c>
      <c r="L128" s="242">
        <f>'[2]China Sun Meal Imports'!EV$290</f>
        <v>0.46523999999999999</v>
      </c>
      <c r="M128" s="242">
        <f>'[2]China Sun Meal Imports'!FH$290</f>
        <v>0.86238000000000004</v>
      </c>
      <c r="N128" s="242">
        <f>'[2]China Sun Meal Imports'!FT$290</f>
        <v>0.19572000000000001</v>
      </c>
      <c r="O128" s="242">
        <f>'[2]China Sun Meal Imports'!GF$290</f>
        <v>0.16300000000000001</v>
      </c>
      <c r="P128" s="242">
        <f>'[2]China Sun Meal Imports'!GR$290</f>
        <v>0</v>
      </c>
      <c r="Q128" s="242">
        <f>'[2]China Sun Meal Imports'!HD$290</f>
        <v>0</v>
      </c>
      <c r="R128" s="242">
        <f>'[2]China Sun Meal Imports'!HP$290</f>
        <v>0</v>
      </c>
      <c r="S128" s="242">
        <f>'[2]China Sun Meal Imports'!IB$290</f>
        <v>0</v>
      </c>
      <c r="T128" s="242">
        <f>'[2]China Sun Meal Imports'!IN$290</f>
        <v>0</v>
      </c>
      <c r="U128" s="242">
        <f>'[2]China Sun Meal Imports'!IZ$290</f>
        <v>0</v>
      </c>
      <c r="V128" s="242">
        <f>'[2]China Sun Meal Imports'!JL$290</f>
        <v>0</v>
      </c>
      <c r="W128" s="242">
        <f>'[2]China Sun Meal Imports'!JX$290</f>
        <v>0</v>
      </c>
      <c r="X128" s="242">
        <f>'[2]China Sun Meal Imports'!KJ$290</f>
        <v>0</v>
      </c>
      <c r="Y128" s="242">
        <f>'[2]China Sun Meal Imports'!KV$290</f>
        <v>0</v>
      </c>
      <c r="Z128" s="242">
        <f>'[2]China Sun Meal Imports'!LH$290</f>
        <v>0</v>
      </c>
      <c r="AA128" s="242">
        <f>'[2]China Sun Meal Imports'!LT$290</f>
        <v>4.1289999999999996</v>
      </c>
      <c r="AB128" s="242">
        <f>'[2]China Sun Meal Imports'!MF$290</f>
        <v>5.32</v>
      </c>
      <c r="AC128" s="242">
        <f>'[2]China Sun Meal Imports'!MR$290</f>
        <v>79.95</v>
      </c>
      <c r="AD128" s="242">
        <f>'[2]China Sun Meal Imports'!ND$290</f>
        <v>16.667999999999999</v>
      </c>
      <c r="AE128" s="243">
        <f t="shared" ref="AE128:AF138" si="86">(SUM(Y128:AC128)/SUM(Y$140:AC$140))*AE$140</f>
        <v>27.107692121094505</v>
      </c>
      <c r="AF128" s="243">
        <f t="shared" si="86"/>
        <v>28.392956570155903</v>
      </c>
      <c r="AG128" s="243">
        <f t="shared" ref="AG128:AG138" si="87">(SUM(AA128:AE128)/SUM(AA$140:AE$140))*AG$140</f>
        <v>29.572549255589703</v>
      </c>
      <c r="AH128" s="243">
        <f t="shared" ref="AH128:AH138" si="88">(SUM(AB128:AF128)/SUM(AB$140:AF$140))*AH$140</f>
        <v>32.375131776824965</v>
      </c>
    </row>
    <row r="129" spans="1:34">
      <c r="A129" s="240" t="s">
        <v>240</v>
      </c>
      <c r="B129" s="241">
        <f t="shared" ref="B129:B138" si="89">(SUM(K129:O129)/SUM(K$60:O$60))*B$60</f>
        <v>0</v>
      </c>
      <c r="C129" s="241">
        <v>0</v>
      </c>
      <c r="D129" s="242">
        <f>'[2]China Sun Meal Imports'!BE$290</f>
        <v>0</v>
      </c>
      <c r="E129" s="242">
        <f>'[2]China Sun Meal Imports'!BQ$290</f>
        <v>0</v>
      </c>
      <c r="F129" s="242">
        <f>'[2]China Sun Meal Imports'!CC$290</f>
        <v>0</v>
      </c>
      <c r="G129" s="242">
        <f>'[2]China Sun Meal Imports'!CO$290</f>
        <v>0</v>
      </c>
      <c r="H129" s="242">
        <f>'[2]China Sun Meal Imports'!DA$290</f>
        <v>0</v>
      </c>
      <c r="I129" s="242">
        <f>'[2]China Sun Meal Imports'!DM$290</f>
        <v>0</v>
      </c>
      <c r="J129" s="242">
        <f>'[2]China Sun Meal Imports'!DY$290</f>
        <v>0</v>
      </c>
      <c r="K129" s="242">
        <f>'[2]China Sun Meal Imports'!EK$290</f>
        <v>0</v>
      </c>
      <c r="L129" s="242">
        <f>'[2]China Sun Meal Imports'!EW$290</f>
        <v>1.1592</v>
      </c>
      <c r="M129" s="242">
        <f>'[2]China Sun Meal Imports'!FI$290</f>
        <v>1.3856200000000001</v>
      </c>
      <c r="N129" s="242">
        <f>'[2]China Sun Meal Imports'!FU$290</f>
        <v>0.35499999999999998</v>
      </c>
      <c r="O129" s="242">
        <f>'[2]China Sun Meal Imports'!GG$290</f>
        <v>0.85499999999999998</v>
      </c>
      <c r="P129" s="242">
        <f>'[2]China Sun Meal Imports'!GS$290</f>
        <v>0</v>
      </c>
      <c r="Q129" s="242">
        <f>'[2]China Sun Meal Imports'!HE$290</f>
        <v>0</v>
      </c>
      <c r="R129" s="242">
        <f>'[2]China Sun Meal Imports'!HQ$290</f>
        <v>0</v>
      </c>
      <c r="S129" s="242">
        <f>'[2]China Sun Meal Imports'!IC$290</f>
        <v>0</v>
      </c>
      <c r="T129" s="242">
        <f>'[2]China Sun Meal Imports'!IO$290</f>
        <v>0</v>
      </c>
      <c r="U129" s="242">
        <f>'[2]China Sun Meal Imports'!JA$290</f>
        <v>0</v>
      </c>
      <c r="V129" s="242">
        <f>'[2]China Sun Meal Imports'!JM$290</f>
        <v>0</v>
      </c>
      <c r="W129" s="242">
        <f>'[2]China Sun Meal Imports'!JY$290</f>
        <v>0</v>
      </c>
      <c r="X129" s="242">
        <f>'[2]China Sun Meal Imports'!KK$290</f>
        <v>0</v>
      </c>
      <c r="Y129" s="242">
        <f>'[2]China Sun Meal Imports'!KW$290</f>
        <v>0</v>
      </c>
      <c r="Z129" s="242">
        <f>'[2]China Sun Meal Imports'!LI$290</f>
        <v>1</v>
      </c>
      <c r="AA129" s="242">
        <f>'[2]China Sun Meal Imports'!LU$290</f>
        <v>20.7</v>
      </c>
      <c r="AB129" s="242">
        <f>'[2]China Sun Meal Imports'!MG$290</f>
        <v>120.56399999999999</v>
      </c>
      <c r="AC129" s="242">
        <f>'[2]China Sun Meal Imports'!MS$290</f>
        <v>186.57</v>
      </c>
      <c r="AD129" s="242">
        <f>'[2]China Sun Meal Imports'!NE$290</f>
        <v>286.49900000000002</v>
      </c>
      <c r="AE129" s="243">
        <f t="shared" si="86"/>
        <v>99.709513875412355</v>
      </c>
      <c r="AF129" s="243">
        <f t="shared" si="86"/>
        <v>164.71780238136029</v>
      </c>
      <c r="AG129" s="243">
        <f t="shared" si="87"/>
        <v>158.55908563291504</v>
      </c>
      <c r="AH129" s="243">
        <f t="shared" si="88"/>
        <v>176.44851529280797</v>
      </c>
    </row>
    <row r="130" spans="1:34">
      <c r="A130" s="240" t="s">
        <v>241</v>
      </c>
      <c r="B130" s="241">
        <f t="shared" si="89"/>
        <v>0</v>
      </c>
      <c r="C130" s="241">
        <v>0</v>
      </c>
      <c r="D130" s="242">
        <f>'[2]China Sun Meal Imports'!BF$290</f>
        <v>0</v>
      </c>
      <c r="E130" s="242">
        <f>'[2]China Sun Meal Imports'!BR$290</f>
        <v>0</v>
      </c>
      <c r="F130" s="242">
        <f>'[2]China Sun Meal Imports'!CD$290</f>
        <v>0</v>
      </c>
      <c r="G130" s="242">
        <f>'[2]China Sun Meal Imports'!CP$290</f>
        <v>0</v>
      </c>
      <c r="H130" s="242">
        <f>'[2]China Sun Meal Imports'!DB$290</f>
        <v>0</v>
      </c>
      <c r="I130" s="242">
        <f>'[2]China Sun Meal Imports'!DN$290</f>
        <v>0</v>
      </c>
      <c r="J130" s="242">
        <f>'[2]China Sun Meal Imports'!DZ$290</f>
        <v>0</v>
      </c>
      <c r="K130" s="242">
        <f>'[2]China Sun Meal Imports'!EL$290</f>
        <v>0</v>
      </c>
      <c r="L130" s="242">
        <f>'[2]China Sun Meal Imports'!EX$290</f>
        <v>0</v>
      </c>
      <c r="M130" s="242">
        <f>'[2]China Sun Meal Imports'!FJ$290</f>
        <v>1.7009000000000001</v>
      </c>
      <c r="N130" s="242">
        <f>'[2]China Sun Meal Imports'!FV$290</f>
        <v>0.92200000000000004</v>
      </c>
      <c r="O130" s="242">
        <f>'[2]China Sun Meal Imports'!GH$290</f>
        <v>0.59699999999999998</v>
      </c>
      <c r="P130" s="242">
        <f>'[2]China Sun Meal Imports'!GT$290</f>
        <v>0</v>
      </c>
      <c r="Q130" s="242">
        <f>'[2]China Sun Meal Imports'!HF$290</f>
        <v>0</v>
      </c>
      <c r="R130" s="242">
        <f>'[2]China Sun Meal Imports'!HR$290</f>
        <v>0</v>
      </c>
      <c r="S130" s="242">
        <f>'[2]China Sun Meal Imports'!ID$290</f>
        <v>0</v>
      </c>
      <c r="T130" s="242">
        <f>'[2]China Sun Meal Imports'!IP$290</f>
        <v>0</v>
      </c>
      <c r="U130" s="242">
        <f>'[2]China Sun Meal Imports'!JB$290</f>
        <v>0</v>
      </c>
      <c r="V130" s="242">
        <f>'[2]China Sun Meal Imports'!JN$290</f>
        <v>0</v>
      </c>
      <c r="W130" s="242">
        <f>'[2]China Sun Meal Imports'!JZ$290</f>
        <v>8.1000000000000003E-2</v>
      </c>
      <c r="X130" s="242">
        <f>'[2]China Sun Meal Imports'!KL$290</f>
        <v>0</v>
      </c>
      <c r="Y130" s="242">
        <f>'[2]China Sun Meal Imports'!KX$290</f>
        <v>0</v>
      </c>
      <c r="Z130" s="242">
        <f>'[2]China Sun Meal Imports'!LJ$290</f>
        <v>1.5609999999999999</v>
      </c>
      <c r="AA130" s="242">
        <f>'[2]China Sun Meal Imports'!LV$290</f>
        <v>159.096</v>
      </c>
      <c r="AB130" s="242">
        <f>'[2]China Sun Meal Imports'!MH$290</f>
        <v>228.81800000000001</v>
      </c>
      <c r="AC130" s="242">
        <f>'[2]China Sun Meal Imports'!MT$290</f>
        <v>224.19900000000001</v>
      </c>
      <c r="AD130" s="242">
        <f>'[2]China Sun Meal Imports'!NF$290</f>
        <v>228.57499999999999</v>
      </c>
      <c r="AE130" s="243">
        <f t="shared" si="86"/>
        <v>186.07910440520084</v>
      </c>
      <c r="AF130" s="243">
        <f t="shared" si="86"/>
        <v>225.46069256467362</v>
      </c>
      <c r="AG130" s="243">
        <f t="shared" si="87"/>
        <v>228.00218484028633</v>
      </c>
      <c r="AH130" s="243">
        <f t="shared" si="88"/>
        <v>224.7877904855516</v>
      </c>
    </row>
    <row r="131" spans="1:34">
      <c r="A131" s="240" t="s">
        <v>231</v>
      </c>
      <c r="B131" s="241">
        <f t="shared" si="89"/>
        <v>0</v>
      </c>
      <c r="C131" s="242">
        <f>'[2]China Sun Meal Imports'!AU$290</f>
        <v>0</v>
      </c>
      <c r="D131" s="242">
        <f>'[2]China Sun Meal Imports'!BG$290</f>
        <v>0</v>
      </c>
      <c r="E131" s="242">
        <f>'[2]China Sun Meal Imports'!BS$290</f>
        <v>0</v>
      </c>
      <c r="F131" s="242">
        <f>'[2]China Sun Meal Imports'!CE$290</f>
        <v>5.1360000000000001</v>
      </c>
      <c r="G131" s="242">
        <f>'[2]China Sun Meal Imports'!CQ$290</f>
        <v>0</v>
      </c>
      <c r="H131" s="242">
        <f>'[2]China Sun Meal Imports'!DC$290</f>
        <v>0</v>
      </c>
      <c r="I131" s="242">
        <f>'[2]China Sun Meal Imports'!DO$290</f>
        <v>0</v>
      </c>
      <c r="J131" s="242">
        <f>'[2]China Sun Meal Imports'!EA$290</f>
        <v>0</v>
      </c>
      <c r="K131" s="242">
        <f>'[2]China Sun Meal Imports'!EM$290</f>
        <v>0</v>
      </c>
      <c r="L131" s="242">
        <f>'[2]China Sun Meal Imports'!EY$290</f>
        <v>1.26728</v>
      </c>
      <c r="M131" s="242">
        <f>'[2]China Sun Meal Imports'!FK$290</f>
        <v>1.4875400000000001</v>
      </c>
      <c r="N131" s="242">
        <f>'[2]China Sun Meal Imports'!FW$290</f>
        <v>0.872</v>
      </c>
      <c r="O131" s="242">
        <f>'[2]China Sun Meal Imports'!GI$290</f>
        <v>0.71199999999999997</v>
      </c>
      <c r="P131" s="242">
        <f>'[2]China Sun Meal Imports'!GU$290</f>
        <v>0</v>
      </c>
      <c r="Q131" s="242">
        <f>'[2]China Sun Meal Imports'!HG$290</f>
        <v>0</v>
      </c>
      <c r="R131" s="242">
        <f>'[2]China Sun Meal Imports'!HS$290</f>
        <v>0.27900000000000003</v>
      </c>
      <c r="S131" s="242">
        <f>'[2]China Sun Meal Imports'!IE$290</f>
        <v>0</v>
      </c>
      <c r="T131" s="242">
        <f>'[2]China Sun Meal Imports'!IQ$290</f>
        <v>0</v>
      </c>
      <c r="U131" s="242">
        <f>'[2]China Sun Meal Imports'!JC$290</f>
        <v>0</v>
      </c>
      <c r="V131" s="242">
        <f>'[2]China Sun Meal Imports'!JO$290</f>
        <v>0</v>
      </c>
      <c r="W131" s="242">
        <f>'[2]China Sun Meal Imports'!KA$290</f>
        <v>0.13800000000000001</v>
      </c>
      <c r="X131" s="242">
        <f>'[2]China Sun Meal Imports'!KM$290</f>
        <v>0</v>
      </c>
      <c r="Y131" s="242">
        <f>'[2]China Sun Meal Imports'!KY$290</f>
        <v>0</v>
      </c>
      <c r="Z131" s="242">
        <f>'[2]China Sun Meal Imports'!LK$290</f>
        <v>2.2090000000000001</v>
      </c>
      <c r="AA131" s="242">
        <f>'[2]China Sun Meal Imports'!LW$290</f>
        <v>330.24299999999999</v>
      </c>
      <c r="AB131" s="242">
        <f>'[2]China Sun Meal Imports'!MI$290</f>
        <v>192.87299999999999</v>
      </c>
      <c r="AC131" s="242">
        <f>'[2]China Sun Meal Imports'!MU$290</f>
        <v>327.66800000000001</v>
      </c>
      <c r="AD131" s="242">
        <f>'[2]China Sun Meal Imports'!NG$290</f>
        <v>283.15699999999998</v>
      </c>
      <c r="AE131" s="243">
        <f t="shared" si="86"/>
        <v>258.64575247428678</v>
      </c>
      <c r="AF131" s="243">
        <f t="shared" si="86"/>
        <v>304.13472246016789</v>
      </c>
      <c r="AG131" s="243">
        <f t="shared" si="87"/>
        <v>309.23548366667768</v>
      </c>
      <c r="AH131" s="243">
        <f t="shared" si="88"/>
        <v>280.9978430579377</v>
      </c>
    </row>
    <row r="132" spans="1:34">
      <c r="A132" s="240" t="s">
        <v>232</v>
      </c>
      <c r="B132" s="241">
        <f t="shared" si="89"/>
        <v>0</v>
      </c>
      <c r="C132" s="242">
        <f>'[2]China Sun Meal Imports'!AV$290</f>
        <v>0</v>
      </c>
      <c r="D132" s="242">
        <f>'[2]China Sun Meal Imports'!BH$290</f>
        <v>0</v>
      </c>
      <c r="E132" s="242">
        <f>'[2]China Sun Meal Imports'!BT$290</f>
        <v>0</v>
      </c>
      <c r="F132" s="242">
        <f>'[2]China Sun Meal Imports'!CF$290</f>
        <v>0</v>
      </c>
      <c r="G132" s="242">
        <f>'[2]China Sun Meal Imports'!CR$290</f>
        <v>0</v>
      </c>
      <c r="H132" s="242">
        <f>'[2]China Sun Meal Imports'!DD$290</f>
        <v>0</v>
      </c>
      <c r="I132" s="242">
        <f>'[2]China Sun Meal Imports'!DP$290</f>
        <v>0</v>
      </c>
      <c r="J132" s="242">
        <f>'[2]China Sun Meal Imports'!EB$290</f>
        <v>0</v>
      </c>
      <c r="K132" s="242">
        <f>'[2]China Sun Meal Imports'!EN$290</f>
        <v>1.6896599999999999</v>
      </c>
      <c r="L132" s="242">
        <f>'[2]China Sun Meal Imports'!EZ$290</f>
        <v>3.0746600000000002</v>
      </c>
      <c r="M132" s="242">
        <f>'[2]China Sun Meal Imports'!FL$290</f>
        <v>0.79801999999999995</v>
      </c>
      <c r="N132" s="242">
        <f>'[2]China Sun Meal Imports'!FX$290</f>
        <v>0.63400000000000001</v>
      </c>
      <c r="O132" s="242">
        <f>'[2]China Sun Meal Imports'!GJ$290</f>
        <v>1.0609999999999999</v>
      </c>
      <c r="P132" s="242">
        <f>'[2]China Sun Meal Imports'!GV$290</f>
        <v>0</v>
      </c>
      <c r="Q132" s="242">
        <f>'[2]China Sun Meal Imports'!HH$290</f>
        <v>0</v>
      </c>
      <c r="R132" s="242">
        <f>'[2]China Sun Meal Imports'!HT$290</f>
        <v>0.36</v>
      </c>
      <c r="S132" s="242">
        <f>'[2]China Sun Meal Imports'!IF$290</f>
        <v>0</v>
      </c>
      <c r="T132" s="242">
        <f>'[2]China Sun Meal Imports'!IR$290</f>
        <v>0</v>
      </c>
      <c r="U132" s="242">
        <f>'[2]China Sun Meal Imports'!JD$290</f>
        <v>0</v>
      </c>
      <c r="V132" s="242">
        <f>'[2]China Sun Meal Imports'!JP$290</f>
        <v>0</v>
      </c>
      <c r="W132" s="242">
        <f>'[2]China Sun Meal Imports'!KB$290</f>
        <v>0</v>
      </c>
      <c r="X132" s="242">
        <f>'[2]China Sun Meal Imports'!KN$290</f>
        <v>0</v>
      </c>
      <c r="Y132" s="242">
        <f>'[2]China Sun Meal Imports'!KZ$290</f>
        <v>0</v>
      </c>
      <c r="Z132" s="242">
        <f>'[2]China Sun Meal Imports'!LL$290</f>
        <v>3.7650000000000001</v>
      </c>
      <c r="AA132" s="242">
        <f>'[2]China Sun Meal Imports'!LX$290</f>
        <v>99.710999999999999</v>
      </c>
      <c r="AB132" s="242">
        <f>'[2]China Sun Meal Imports'!MJ$290</f>
        <v>276.97000000000003</v>
      </c>
      <c r="AC132" s="242">
        <f>'[2]China Sun Meal Imports'!MV$290</f>
        <v>71.965000000000003</v>
      </c>
      <c r="AD132" s="242">
        <f>'[2]China Sun Meal Imports'!NH$290</f>
        <v>346.30200000000002</v>
      </c>
      <c r="AE132" s="243">
        <f t="shared" si="86"/>
        <v>137.18070784009316</v>
      </c>
      <c r="AF132" s="243">
        <f t="shared" si="86"/>
        <v>213.80658942950146</v>
      </c>
      <c r="AG132" s="243">
        <f t="shared" si="87"/>
        <v>206.9869408827719</v>
      </c>
      <c r="AH132" s="243">
        <f t="shared" si="88"/>
        <v>215.1418966930045</v>
      </c>
    </row>
    <row r="133" spans="1:34">
      <c r="A133" s="240" t="s">
        <v>233</v>
      </c>
      <c r="B133" s="241">
        <f t="shared" si="89"/>
        <v>0</v>
      </c>
      <c r="C133" s="242">
        <f>'[2]China Sun Meal Imports'!AW$290</f>
        <v>0</v>
      </c>
      <c r="D133" s="242">
        <f>'[2]China Sun Meal Imports'!BI$290</f>
        <v>0</v>
      </c>
      <c r="E133" s="242">
        <f>'[2]China Sun Meal Imports'!BU$290</f>
        <v>0</v>
      </c>
      <c r="F133" s="242">
        <f>'[2]China Sun Meal Imports'!CG$290</f>
        <v>0</v>
      </c>
      <c r="G133" s="242">
        <f>'[2]China Sun Meal Imports'!CS$290</f>
        <v>0</v>
      </c>
      <c r="H133" s="242">
        <f>'[2]China Sun Meal Imports'!DE$290</f>
        <v>0</v>
      </c>
      <c r="I133" s="242">
        <f>'[2]China Sun Meal Imports'!DQ$290</f>
        <v>0</v>
      </c>
      <c r="J133" s="242">
        <f>'[2]China Sun Meal Imports'!EC$290</f>
        <v>0</v>
      </c>
      <c r="K133" s="242">
        <f>'[2]China Sun Meal Imports'!EO$290</f>
        <v>1.81548</v>
      </c>
      <c r="L133" s="242">
        <f>'[2]China Sun Meal Imports'!FA$290</f>
        <v>2.2421000000000002</v>
      </c>
      <c r="M133" s="242">
        <f>'[2]China Sun Meal Imports'!FM$290</f>
        <v>0.85975999999999997</v>
      </c>
      <c r="N133" s="242">
        <f>'[2]China Sun Meal Imports'!FY$290</f>
        <v>1.581</v>
      </c>
      <c r="O133" s="242">
        <f>'[2]China Sun Meal Imports'!GK$290</f>
        <v>0.56200000000000006</v>
      </c>
      <c r="P133" s="242">
        <f>'[2]China Sun Meal Imports'!GW$290</f>
        <v>0</v>
      </c>
      <c r="Q133" s="242">
        <f>'[2]China Sun Meal Imports'!HI$290</f>
        <v>0</v>
      </c>
      <c r="R133" s="242">
        <f>'[2]China Sun Meal Imports'!HU$290</f>
        <v>0.35099999999999998</v>
      </c>
      <c r="S133" s="242">
        <f>'[2]China Sun Meal Imports'!IG$290</f>
        <v>0</v>
      </c>
      <c r="T133" s="242">
        <f>'[2]China Sun Meal Imports'!IS$290</f>
        <v>0</v>
      </c>
      <c r="U133" s="242">
        <f>'[2]China Sun Meal Imports'!JE$290</f>
        <v>0</v>
      </c>
      <c r="V133" s="242">
        <f>'[2]China Sun Meal Imports'!JQ$290</f>
        <v>0</v>
      </c>
      <c r="W133" s="242">
        <f>'[2]China Sun Meal Imports'!KC$290</f>
        <v>0</v>
      </c>
      <c r="X133" s="242">
        <f>'[2]China Sun Meal Imports'!KO$290</f>
        <v>0</v>
      </c>
      <c r="Y133" s="242">
        <f>'[2]China Sun Meal Imports'!LA$290</f>
        <v>0</v>
      </c>
      <c r="Z133" s="242">
        <f>'[2]China Sun Meal Imports'!LM$290</f>
        <v>14.263999999999999</v>
      </c>
      <c r="AA133" s="242">
        <f>'[2]China Sun Meal Imports'!LY$290</f>
        <v>149.28800000000001</v>
      </c>
      <c r="AB133" s="242">
        <f>'[2]China Sun Meal Imports'!MK$290</f>
        <v>141.131</v>
      </c>
      <c r="AC133" s="242">
        <f>'[2]China Sun Meal Imports'!MW$290</f>
        <v>210.346</v>
      </c>
      <c r="AD133" s="242">
        <f>'[2]China Sun Meal Imports'!NI$290</f>
        <v>292.95499999999998</v>
      </c>
      <c r="AE133" s="243">
        <f t="shared" si="86"/>
        <v>156.16782699398405</v>
      </c>
      <c r="AF133" s="243">
        <f t="shared" si="86"/>
        <v>216.28833304779849</v>
      </c>
      <c r="AG133" s="243">
        <f t="shared" si="87"/>
        <v>210.93050116100238</v>
      </c>
      <c r="AH133" s="243">
        <f t="shared" si="88"/>
        <v>209.10931627854731</v>
      </c>
    </row>
    <row r="134" spans="1:34">
      <c r="A134" s="240" t="s">
        <v>234</v>
      </c>
      <c r="B134" s="241">
        <f t="shared" si="89"/>
        <v>0</v>
      </c>
      <c r="C134" s="242">
        <f>'[2]China Sun Meal Imports'!AX$290</f>
        <v>0</v>
      </c>
      <c r="D134" s="242">
        <f>'[2]China Sun Meal Imports'!BJ$290</f>
        <v>0</v>
      </c>
      <c r="E134" s="242">
        <f>'[2]China Sun Meal Imports'!BV$290</f>
        <v>0</v>
      </c>
      <c r="F134" s="242">
        <f>'[2]China Sun Meal Imports'!CH$290</f>
        <v>1.7874999999999999E-2</v>
      </c>
      <c r="G134" s="242">
        <f>'[2]China Sun Meal Imports'!CT$290</f>
        <v>0</v>
      </c>
      <c r="H134" s="242">
        <f>'[2]China Sun Meal Imports'!DF$290</f>
        <v>0</v>
      </c>
      <c r="I134" s="242">
        <f>'[2]China Sun Meal Imports'!DR$290</f>
        <v>0</v>
      </c>
      <c r="J134" s="242">
        <f>'[2]China Sun Meal Imports'!ED$290</f>
        <v>0</v>
      </c>
      <c r="K134" s="242">
        <f>'[2]China Sun Meal Imports'!EP$290</f>
        <v>3.4921099999999998</v>
      </c>
      <c r="L134" s="242">
        <f>'[2]China Sun Meal Imports'!FB$290</f>
        <v>1.4135200000000001</v>
      </c>
      <c r="M134" s="242">
        <f>'[2]China Sun Meal Imports'!FN$290</f>
        <v>0.49822</v>
      </c>
      <c r="N134" s="242">
        <f>'[2]China Sun Meal Imports'!FZ$290</f>
        <v>1.1539999999999999</v>
      </c>
      <c r="O134" s="242">
        <f>'[2]China Sun Meal Imports'!GL$290</f>
        <v>0.23200000000000001</v>
      </c>
      <c r="P134" s="242">
        <f>'[2]China Sun Meal Imports'!GX$290</f>
        <v>0</v>
      </c>
      <c r="Q134" s="242">
        <f>'[2]China Sun Meal Imports'!HJ$290</f>
        <v>0</v>
      </c>
      <c r="R134" s="242">
        <f>'[2]China Sun Meal Imports'!HV$290</f>
        <v>0.83</v>
      </c>
      <c r="S134" s="242">
        <f>'[2]China Sun Meal Imports'!IH$290</f>
        <v>0</v>
      </c>
      <c r="T134" s="242">
        <f>'[2]China Sun Meal Imports'!IT$290</f>
        <v>0</v>
      </c>
      <c r="U134" s="242">
        <f>'[2]China Sun Meal Imports'!JF$290</f>
        <v>0</v>
      </c>
      <c r="V134" s="242">
        <f>'[2]China Sun Meal Imports'!JR$290</f>
        <v>0.40100000000000002</v>
      </c>
      <c r="W134" s="242">
        <f>'[2]China Sun Meal Imports'!KD$290</f>
        <v>0</v>
      </c>
      <c r="X134" s="242">
        <f>'[2]China Sun Meal Imports'!KP$290</f>
        <v>0</v>
      </c>
      <c r="Y134" s="242">
        <f>'[2]China Sun Meal Imports'!LB$290</f>
        <v>0</v>
      </c>
      <c r="Z134" s="242">
        <f>'[2]China Sun Meal Imports'!LN$290</f>
        <v>32.633000000000003</v>
      </c>
      <c r="AA134" s="242">
        <f>'[2]China Sun Meal Imports'!LZ$290</f>
        <v>6.2930000000000001</v>
      </c>
      <c r="AB134" s="242">
        <f>'[2]China Sun Meal Imports'!ML$290</f>
        <v>277.68599999999998</v>
      </c>
      <c r="AC134" s="242">
        <f>'[2]China Sun Meal Imports'!MX$290</f>
        <v>275.601</v>
      </c>
      <c r="AD134" s="243">
        <f>(SUM(X134:AB134)/SUM(X$140:AB$140))*AD$140*0.5</f>
        <v>76.053957801275814</v>
      </c>
      <c r="AE134" s="243">
        <f t="shared" si="86"/>
        <v>179.57166941587423</v>
      </c>
      <c r="AF134" s="243">
        <f t="shared" si="86"/>
        <v>178.88763432662213</v>
      </c>
      <c r="AG134" s="243">
        <f t="shared" si="87"/>
        <v>181.02319727829479</v>
      </c>
      <c r="AH134" s="243">
        <f t="shared" si="88"/>
        <v>203.12778280622447</v>
      </c>
    </row>
    <row r="135" spans="1:34">
      <c r="A135" s="240" t="s">
        <v>46</v>
      </c>
      <c r="B135" s="241">
        <f t="shared" si="89"/>
        <v>0</v>
      </c>
      <c r="C135" s="242">
        <f>'[2]China Sun Meal Imports'!AY$290</f>
        <v>0</v>
      </c>
      <c r="D135" s="242">
        <f>'[2]China Sun Meal Imports'!BK$290</f>
        <v>0</v>
      </c>
      <c r="E135" s="242">
        <f>'[2]China Sun Meal Imports'!BW$290</f>
        <v>0</v>
      </c>
      <c r="F135" s="242">
        <f>'[2]China Sun Meal Imports'!CI$290</f>
        <v>0</v>
      </c>
      <c r="G135" s="242">
        <f>'[2]China Sun Meal Imports'!CU$290</f>
        <v>0</v>
      </c>
      <c r="H135" s="242">
        <f>'[2]China Sun Meal Imports'!DG$290</f>
        <v>0</v>
      </c>
      <c r="I135" s="242">
        <f>'[2]China Sun Meal Imports'!DS$290</f>
        <v>0</v>
      </c>
      <c r="J135" s="242">
        <f>'[2]China Sun Meal Imports'!EE$290</f>
        <v>0</v>
      </c>
      <c r="K135" s="242">
        <f>'[2]China Sun Meal Imports'!EQ$290</f>
        <v>0.92747000000000002</v>
      </c>
      <c r="L135" s="242">
        <f>'[2]China Sun Meal Imports'!FC$290</f>
        <v>1.1557200000000001</v>
      </c>
      <c r="M135" s="242">
        <f>'[2]China Sun Meal Imports'!FO$290</f>
        <v>0.50802999999999998</v>
      </c>
      <c r="N135" s="242">
        <f>'[2]China Sun Meal Imports'!GA$290</f>
        <v>1.1399999999999999</v>
      </c>
      <c r="O135" s="242">
        <f>'[2]China Sun Meal Imports'!GM$290</f>
        <v>3.3000000000000002E-2</v>
      </c>
      <c r="P135" s="242">
        <f>'[2]China Sun Meal Imports'!GY$290</f>
        <v>0</v>
      </c>
      <c r="Q135" s="242">
        <f>'[2]China Sun Meal Imports'!HK$290</f>
        <v>0</v>
      </c>
      <c r="R135" s="242">
        <f>'[2]China Sun Meal Imports'!HW$290</f>
        <v>0.16500000000000001</v>
      </c>
      <c r="S135" s="242">
        <f>'[2]China Sun Meal Imports'!II$290</f>
        <v>0</v>
      </c>
      <c r="T135" s="242">
        <f>'[2]China Sun Meal Imports'!IU$290</f>
        <v>0</v>
      </c>
      <c r="U135" s="242">
        <f>'[2]China Sun Meal Imports'!JG$290</f>
        <v>0</v>
      </c>
      <c r="V135" s="242">
        <f>'[2]China Sun Meal Imports'!JS$290</f>
        <v>0.38600000000000001</v>
      </c>
      <c r="W135" s="242">
        <f>'[2]China Sun Meal Imports'!KE$290</f>
        <v>0</v>
      </c>
      <c r="X135" s="242">
        <f>'[2]China Sun Meal Imports'!KQ$290</f>
        <v>0</v>
      </c>
      <c r="Y135" s="242">
        <f>'[2]China Sun Meal Imports'!LC$290</f>
        <v>0</v>
      </c>
      <c r="Z135" s="242">
        <f>'[2]China Sun Meal Imports'!LO$290</f>
        <v>72.457999999999998</v>
      </c>
      <c r="AA135" s="242">
        <f>'[2]China Sun Meal Imports'!MA$290</f>
        <v>3.1190000000000002</v>
      </c>
      <c r="AB135" s="242">
        <f>'[2]China Sun Meal Imports'!MM$290</f>
        <v>119.437</v>
      </c>
      <c r="AC135" s="242">
        <f>'[2]China Sun Meal Imports'!MY$290</f>
        <v>139.56200000000001</v>
      </c>
      <c r="AD135" s="243">
        <f>(SUM(X135:AB135)/SUM(X$140:AB$140))*AD$140*0.5+20</f>
        <v>66.84467590191781</v>
      </c>
      <c r="AE135" s="243">
        <f t="shared" si="86"/>
        <v>101.45061129439161</v>
      </c>
      <c r="AF135" s="243">
        <f t="shared" si="86"/>
        <v>107.45585165268915</v>
      </c>
      <c r="AG135" s="243">
        <f t="shared" si="87"/>
        <v>95.576854229175183</v>
      </c>
      <c r="AH135" s="243">
        <f t="shared" si="88"/>
        <v>109.96414385430327</v>
      </c>
    </row>
    <row r="136" spans="1:34">
      <c r="A136" s="240" t="s">
        <v>235</v>
      </c>
      <c r="B136" s="241">
        <f t="shared" si="89"/>
        <v>0</v>
      </c>
      <c r="C136" s="242">
        <f>'[2]China Sun Meal Imports'!AZ$290</f>
        <v>0</v>
      </c>
      <c r="D136" s="242">
        <f>'[2]China Sun Meal Imports'!BL$290</f>
        <v>0</v>
      </c>
      <c r="E136" s="242">
        <f>'[2]China Sun Meal Imports'!BX$290</f>
        <v>0</v>
      </c>
      <c r="F136" s="242">
        <f>'[2]China Sun Meal Imports'!CJ$290</f>
        <v>0</v>
      </c>
      <c r="G136" s="242">
        <f>'[2]China Sun Meal Imports'!CV$290</f>
        <v>0</v>
      </c>
      <c r="H136" s="242">
        <f>'[2]China Sun Meal Imports'!DH$290</f>
        <v>0</v>
      </c>
      <c r="I136" s="242">
        <f>'[2]China Sun Meal Imports'!DT$290</f>
        <v>0</v>
      </c>
      <c r="J136" s="242">
        <f>'[2]China Sun Meal Imports'!EF$290</f>
        <v>0</v>
      </c>
      <c r="K136" s="242">
        <f>'[2]China Sun Meal Imports'!ER$290</f>
        <v>1.7799400000000001</v>
      </c>
      <c r="L136" s="242">
        <f>'[2]China Sun Meal Imports'!FD$290</f>
        <v>1.3722399999999999</v>
      </c>
      <c r="M136" s="242">
        <f>'[2]China Sun Meal Imports'!FP$290</f>
        <v>0.37486000000000003</v>
      </c>
      <c r="N136" s="242">
        <f>'[2]China Sun Meal Imports'!GB$290</f>
        <v>1.369</v>
      </c>
      <c r="O136" s="242">
        <f>'[2]China Sun Meal Imports'!GN$290</f>
        <v>0</v>
      </c>
      <c r="P136" s="242">
        <f>'[2]China Sun Meal Imports'!GZ$290</f>
        <v>0</v>
      </c>
      <c r="Q136" s="242">
        <f>'[2]China Sun Meal Imports'!HL$290</f>
        <v>0</v>
      </c>
      <c r="R136" s="242">
        <f>'[2]China Sun Meal Imports'!HX$290</f>
        <v>0.36899999999999999</v>
      </c>
      <c r="S136" s="242">
        <f>'[2]China Sun Meal Imports'!IJ$290</f>
        <v>0</v>
      </c>
      <c r="T136" s="242">
        <f>'[2]China Sun Meal Imports'!IV$290</f>
        <v>5.5E-2</v>
      </c>
      <c r="U136" s="242">
        <f>'[2]China Sun Meal Imports'!JH$290</f>
        <v>0</v>
      </c>
      <c r="V136" s="242">
        <f>'[2]China Sun Meal Imports'!JT$290</f>
        <v>0.12</v>
      </c>
      <c r="W136" s="242">
        <f>'[2]China Sun Meal Imports'!KF$290</f>
        <v>0</v>
      </c>
      <c r="X136" s="242">
        <f>'[2]China Sun Meal Imports'!KR$290</f>
        <v>0</v>
      </c>
      <c r="Y136" s="242">
        <f>'[2]China Sun Meal Imports'!LD$290</f>
        <v>0</v>
      </c>
      <c r="Z136" s="242">
        <f>'[2]China Sun Meal Imports'!LP$290</f>
        <v>30.449000000000002</v>
      </c>
      <c r="AA136" s="242">
        <f>'[2]China Sun Meal Imports'!MB$290</f>
        <v>114.499</v>
      </c>
      <c r="AB136" s="242">
        <f>'[2]China Sun Meal Imports'!MN$290</f>
        <v>288.226</v>
      </c>
      <c r="AC136" s="242">
        <f>'[2]China Sun Meal Imports'!MZ$290</f>
        <v>353.23500000000001</v>
      </c>
      <c r="AD136" s="243">
        <f>(SUM(X136:AB136)/SUM(X$140:AB$140))*AD$140*0.5+50</f>
        <v>154.05353276758257</v>
      </c>
      <c r="AE136" s="243">
        <f t="shared" si="86"/>
        <v>238.45605715117404</v>
      </c>
      <c r="AF136" s="243">
        <f t="shared" si="86"/>
        <v>251.75136327725679</v>
      </c>
      <c r="AG136" s="243">
        <f t="shared" si="87"/>
        <v>255.02723509611673</v>
      </c>
      <c r="AH136" s="243">
        <f t="shared" si="88"/>
        <v>264.39135503956487</v>
      </c>
    </row>
    <row r="137" spans="1:34">
      <c r="A137" s="240" t="s">
        <v>236</v>
      </c>
      <c r="B137" s="241">
        <f t="shared" si="89"/>
        <v>0</v>
      </c>
      <c r="C137" s="242">
        <f>'[2]China Sun Meal Imports'!BA$290</f>
        <v>0</v>
      </c>
      <c r="D137" s="242">
        <f>'[2]China Sun Meal Imports'!BM$290</f>
        <v>0</v>
      </c>
      <c r="E137" s="242">
        <f>'[2]China Sun Meal Imports'!BY$290</f>
        <v>0</v>
      </c>
      <c r="F137" s="242">
        <f>'[2]China Sun Meal Imports'!CK$290</f>
        <v>0</v>
      </c>
      <c r="G137" s="242">
        <f>'[2]China Sun Meal Imports'!CW$290</f>
        <v>0</v>
      </c>
      <c r="H137" s="242">
        <f>'[2]China Sun Meal Imports'!DI$290</f>
        <v>0</v>
      </c>
      <c r="I137" s="242">
        <f>'[2]China Sun Meal Imports'!DU$290</f>
        <v>0</v>
      </c>
      <c r="J137" s="242">
        <f>'[2]China Sun Meal Imports'!EG$290</f>
        <v>0</v>
      </c>
      <c r="K137" s="242">
        <f>'[2]China Sun Meal Imports'!ES$290</f>
        <v>1.7270000000000001</v>
      </c>
      <c r="L137" s="242">
        <f>'[2]China Sun Meal Imports'!FE$290</f>
        <v>0.70704</v>
      </c>
      <c r="M137" s="242">
        <f>'[2]China Sun Meal Imports'!FQ$290</f>
        <v>0.47595999999999999</v>
      </c>
      <c r="N137" s="242">
        <f>'[2]China Sun Meal Imports'!GC$290</f>
        <v>0.187</v>
      </c>
      <c r="O137" s="242">
        <f>'[2]China Sun Meal Imports'!GO$290</f>
        <v>8.8999999999999996E-2</v>
      </c>
      <c r="P137" s="242">
        <f>'[2]China Sun Meal Imports'!HA$290</f>
        <v>0</v>
      </c>
      <c r="Q137" s="242">
        <f>'[2]China Sun Meal Imports'!HM$290</f>
        <v>0</v>
      </c>
      <c r="R137" s="242">
        <f>'[2]China Sun Meal Imports'!HY$290</f>
        <v>5.6000000000000001E-2</v>
      </c>
      <c r="S137" s="242">
        <f>'[2]China Sun Meal Imports'!IK$290</f>
        <v>0</v>
      </c>
      <c r="T137" s="242">
        <f>'[2]China Sun Meal Imports'!IW$290</f>
        <v>0</v>
      </c>
      <c r="U137" s="242">
        <f>'[2]China Sun Meal Imports'!JI$290</f>
        <v>0</v>
      </c>
      <c r="V137" s="242">
        <f>'[2]China Sun Meal Imports'!JU$290</f>
        <v>0.6</v>
      </c>
      <c r="W137" s="242">
        <f>'[2]China Sun Meal Imports'!KG$290</f>
        <v>0</v>
      </c>
      <c r="X137" s="242">
        <f>'[2]China Sun Meal Imports'!KS$290</f>
        <v>0</v>
      </c>
      <c r="Y137" s="242">
        <f>'[2]China Sun Meal Imports'!LE$290</f>
        <v>0</v>
      </c>
      <c r="Z137" s="242">
        <f>'[2]China Sun Meal Imports'!LQ$290</f>
        <v>22.596</v>
      </c>
      <c r="AA137" s="242">
        <f>'[2]China Sun Meal Imports'!MC$290</f>
        <v>61.656999999999996</v>
      </c>
      <c r="AB137" s="242">
        <f>'[2]China Sun Meal Imports'!MO$290</f>
        <v>144.01300000000001</v>
      </c>
      <c r="AC137" s="242">
        <f>'[2]China Sun Meal Imports'!NA$290</f>
        <v>90.346999999999994</v>
      </c>
      <c r="AD137" s="243">
        <f>(SUM(X137:AB137)/SUM(X$140:AB$140))*AD$140</f>
        <v>109.6644014217151</v>
      </c>
      <c r="AE137" s="243">
        <f t="shared" si="86"/>
        <v>96.610287696487475</v>
      </c>
      <c r="AF137" s="243">
        <f t="shared" si="86"/>
        <v>114.64509846178342</v>
      </c>
      <c r="AG137" s="243">
        <f t="shared" si="87"/>
        <v>111.53805186660202</v>
      </c>
      <c r="AH137" s="243">
        <f t="shared" si="88"/>
        <v>114.18578884759253</v>
      </c>
    </row>
    <row r="138" spans="1:34">
      <c r="A138" s="240" t="s">
        <v>237</v>
      </c>
      <c r="B138" s="241">
        <f t="shared" si="89"/>
        <v>0</v>
      </c>
      <c r="C138" s="242">
        <f>'[2]China Sun Meal Imports'!BB$290</f>
        <v>0</v>
      </c>
      <c r="D138" s="242">
        <f>'[2]China Sun Meal Imports'!BN$290</f>
        <v>0</v>
      </c>
      <c r="E138" s="242">
        <f>'[2]China Sun Meal Imports'!BZ$290</f>
        <v>0</v>
      </c>
      <c r="F138" s="242">
        <f>'[2]China Sun Meal Imports'!CL$290</f>
        <v>0</v>
      </c>
      <c r="G138" s="242">
        <f>'[2]China Sun Meal Imports'!CX$290</f>
        <v>0</v>
      </c>
      <c r="H138" s="242">
        <f>'[2]China Sun Meal Imports'!DJ$290</f>
        <v>0</v>
      </c>
      <c r="I138" s="242">
        <f>'[2]China Sun Meal Imports'!DV$290</f>
        <v>0</v>
      </c>
      <c r="J138" s="242">
        <f>'[2]China Sun Meal Imports'!EH$290</f>
        <v>0</v>
      </c>
      <c r="K138" s="242">
        <f>'[2]China Sun Meal Imports'!ET$290</f>
        <v>1.2635799999999999</v>
      </c>
      <c r="L138" s="242">
        <f>'[2]China Sun Meal Imports'!FF$290</f>
        <v>0.67396</v>
      </c>
      <c r="M138" s="242">
        <f>'[2]China Sun Meal Imports'!FR$290</f>
        <v>0.38175999999999999</v>
      </c>
      <c r="N138" s="242">
        <f>'[2]China Sun Meal Imports'!GD$290</f>
        <v>0.51900000000000002</v>
      </c>
      <c r="O138" s="242">
        <f>'[2]China Sun Meal Imports'!GP$290</f>
        <v>0</v>
      </c>
      <c r="P138" s="242">
        <f>'[2]China Sun Meal Imports'!HB$290</f>
        <v>0</v>
      </c>
      <c r="Q138" s="242">
        <f>'[2]China Sun Meal Imports'!HN$290</f>
        <v>0</v>
      </c>
      <c r="R138" s="242">
        <f>'[2]China Sun Meal Imports'!HZ$290</f>
        <v>0.29299999999999998</v>
      </c>
      <c r="S138" s="242">
        <f>'[2]China Sun Meal Imports'!IL$290</f>
        <v>0</v>
      </c>
      <c r="T138" s="242">
        <f>'[2]China Sun Meal Imports'!IX$290</f>
        <v>0</v>
      </c>
      <c r="U138" s="242">
        <f>'[2]China Sun Meal Imports'!JJ$290</f>
        <v>0</v>
      </c>
      <c r="V138" s="242">
        <f>'[2]China Sun Meal Imports'!JV$290</f>
        <v>0</v>
      </c>
      <c r="W138" s="242">
        <f>'[2]China Sun Meal Imports'!KH$290</f>
        <v>0</v>
      </c>
      <c r="X138" s="242">
        <f>'[2]China Sun Meal Imports'!KT$290</f>
        <v>0</v>
      </c>
      <c r="Y138" s="242">
        <f>'[2]China Sun Meal Imports'!LF$290</f>
        <v>0</v>
      </c>
      <c r="Z138" s="242">
        <f>'[2]China Sun Meal Imports'!LR$290</f>
        <v>19.788</v>
      </c>
      <c r="AA138" s="242">
        <f>'[2]China Sun Meal Imports'!MD$290</f>
        <v>144.874</v>
      </c>
      <c r="AB138" s="242">
        <f>'[2]China Sun Meal Imports'!MP$290</f>
        <v>180.864</v>
      </c>
      <c r="AC138" s="242">
        <f>'[2]China Sun Meal Imports'!NB$290</f>
        <v>150.53200000000001</v>
      </c>
      <c r="AD138" s="243">
        <f>(SUM(X138:AB138)/SUM(X$140:AB$140))*AD$140-75+10</f>
        <v>100.99888711257711</v>
      </c>
      <c r="AE138" s="243">
        <f t="shared" si="86"/>
        <v>150.41541335144575</v>
      </c>
      <c r="AF138" s="243">
        <f t="shared" si="86"/>
        <v>159.82549016847724</v>
      </c>
      <c r="AG138" s="243">
        <f t="shared" si="87"/>
        <v>161.58835793233288</v>
      </c>
      <c r="AH138" s="243">
        <f t="shared" si="88"/>
        <v>152.71302049259754</v>
      </c>
    </row>
    <row r="139" spans="1:34">
      <c r="A139" s="240" t="s">
        <v>238</v>
      </c>
      <c r="B139" s="241">
        <f>(SUM(K139:O139)/SUM(K$60:O$60))*B$60</f>
        <v>0</v>
      </c>
      <c r="C139" s="242">
        <f>'[2]China Sun Meal Imports'!BC$290</f>
        <v>0</v>
      </c>
      <c r="D139" s="242">
        <f>'[2]China Sun Meal Imports'!BO$290</f>
        <v>0</v>
      </c>
      <c r="E139" s="242">
        <f>'[2]China Sun Meal Imports'!CA$290</f>
        <v>0</v>
      </c>
      <c r="F139" s="242">
        <f>'[2]China Sun Meal Imports'!CM$290</f>
        <v>0</v>
      </c>
      <c r="G139" s="242">
        <f>'[2]China Sun Meal Imports'!CY$290</f>
        <v>0</v>
      </c>
      <c r="H139" s="242">
        <f>'[2]China Sun Meal Imports'!DK$290</f>
        <v>0</v>
      </c>
      <c r="I139" s="242">
        <f>'[2]China Sun Meal Imports'!DW$290</f>
        <v>0</v>
      </c>
      <c r="J139" s="242">
        <f>'[2]China Sun Meal Imports'!EI$290</f>
        <v>0</v>
      </c>
      <c r="K139" s="242">
        <f>'[2]China Sun Meal Imports'!EU$290</f>
        <v>0.73677999999999999</v>
      </c>
      <c r="L139" s="242">
        <f>'[2]China Sun Meal Imports'!FG$290</f>
        <v>0.37546000000000002</v>
      </c>
      <c r="M139" s="242">
        <f>'[2]China Sun Meal Imports'!FS$290</f>
        <v>0.58962000000000003</v>
      </c>
      <c r="N139" s="242">
        <f>'[2]China Sun Meal Imports'!GE$290</f>
        <v>0.14599999999999999</v>
      </c>
      <c r="O139" s="242">
        <f>'[2]China Sun Meal Imports'!GQ$290</f>
        <v>0</v>
      </c>
      <c r="P139" s="242">
        <f>'[2]China Sun Meal Imports'!HC$290</f>
        <v>0</v>
      </c>
      <c r="Q139" s="242">
        <f>'[2]China Sun Meal Imports'!HO$290</f>
        <v>0</v>
      </c>
      <c r="R139" s="242">
        <f>'[2]China Sun Meal Imports'!IA$290</f>
        <v>0</v>
      </c>
      <c r="S139" s="242">
        <f>'[2]China Sun Meal Imports'!IM$290</f>
        <v>0</v>
      </c>
      <c r="T139" s="242">
        <f>'[2]China Sun Meal Imports'!IY$290</f>
        <v>0</v>
      </c>
      <c r="U139" s="242">
        <f>'[2]China Sun Meal Imports'!JK$290</f>
        <v>0</v>
      </c>
      <c r="V139" s="242">
        <f>'[2]China Sun Meal Imports'!JW$290</f>
        <v>0</v>
      </c>
      <c r="W139" s="242">
        <f>'[2]China Sun Meal Imports'!KI$290</f>
        <v>0</v>
      </c>
      <c r="X139" s="242">
        <f>'[2]China Sun Meal Imports'!KU$290</f>
        <v>0</v>
      </c>
      <c r="Y139" s="242">
        <f>'[2]China Sun Meal Imports'!LG$290</f>
        <v>0</v>
      </c>
      <c r="Z139" s="242">
        <f>'[2]China Sun Meal Imports'!LS$290</f>
        <v>9.4909999999999997</v>
      </c>
      <c r="AA139" s="242">
        <f>'[2]China Sun Meal Imports'!ME$290</f>
        <v>181.911</v>
      </c>
      <c r="AB139" s="242">
        <f>'[2]China Sun Meal Imports'!MQ$290</f>
        <v>76.906999999999996</v>
      </c>
      <c r="AC139" s="242">
        <f>'[2]China Sun Meal Imports'!NC$290</f>
        <v>122.842</v>
      </c>
      <c r="AD139" s="243">
        <f t="shared" ref="AD139:AE139" si="90">AD140-SUM(AD128:AD138)</f>
        <v>-261.77145500506822</v>
      </c>
      <c r="AE139" s="243">
        <f t="shared" si="90"/>
        <v>118.60536338055545</v>
      </c>
      <c r="AF139" s="243">
        <f t="shared" ref="AF139:AH139" si="91">AF140-SUM(AF128:AF138)</f>
        <v>34.633465659513604</v>
      </c>
      <c r="AG139" s="243">
        <f t="shared" si="91"/>
        <v>52.959558158235041</v>
      </c>
      <c r="AH139" s="243">
        <f t="shared" si="91"/>
        <v>18.757415375043365</v>
      </c>
    </row>
    <row r="140" spans="1:34" ht="15.75" thickBot="1">
      <c r="A140" s="240" t="s">
        <v>242</v>
      </c>
      <c r="B140" s="242">
        <f t="shared" ref="B140:C140" si="92">B24</f>
        <v>0</v>
      </c>
      <c r="C140" s="242">
        <f t="shared" si="92"/>
        <v>0</v>
      </c>
      <c r="D140" s="242">
        <f t="shared" ref="D140:G140" si="93">SUM(D128:D139)</f>
        <v>0</v>
      </c>
      <c r="E140" s="242">
        <f t="shared" si="93"/>
        <v>0</v>
      </c>
      <c r="F140" s="242">
        <f t="shared" si="93"/>
        <v>5.1538750000000002</v>
      </c>
      <c r="G140" s="242">
        <f t="shared" si="93"/>
        <v>0</v>
      </c>
      <c r="H140" s="242">
        <f t="shared" ref="H140:AB140" si="94">SUM(H128:H139)</f>
        <v>0</v>
      </c>
      <c r="I140" s="242">
        <f t="shared" si="94"/>
        <v>0</v>
      </c>
      <c r="J140" s="242">
        <f t="shared" si="94"/>
        <v>0</v>
      </c>
      <c r="K140" s="242">
        <f t="shared" si="94"/>
        <v>13.432019999999998</v>
      </c>
      <c r="L140" s="242">
        <f t="shared" si="94"/>
        <v>13.906419999999999</v>
      </c>
      <c r="M140" s="242">
        <f t="shared" si="94"/>
        <v>9.9226700000000001</v>
      </c>
      <c r="N140" s="242">
        <f t="shared" si="94"/>
        <v>9.074720000000001</v>
      </c>
      <c r="O140" s="242">
        <f t="shared" si="94"/>
        <v>4.3040000000000012</v>
      </c>
      <c r="P140" s="242">
        <f t="shared" si="94"/>
        <v>0</v>
      </c>
      <c r="Q140" s="242">
        <f t="shared" si="94"/>
        <v>0</v>
      </c>
      <c r="R140" s="242">
        <f t="shared" si="94"/>
        <v>2.7030000000000003</v>
      </c>
      <c r="S140" s="242">
        <f t="shared" si="94"/>
        <v>0</v>
      </c>
      <c r="T140" s="242">
        <f t="shared" si="94"/>
        <v>5.5E-2</v>
      </c>
      <c r="U140" s="242">
        <f t="shared" si="94"/>
        <v>0</v>
      </c>
      <c r="V140" s="242">
        <f t="shared" si="94"/>
        <v>1.5070000000000001</v>
      </c>
      <c r="W140" s="242">
        <f t="shared" si="94"/>
        <v>0.21900000000000003</v>
      </c>
      <c r="X140" s="242">
        <f t="shared" si="94"/>
        <v>0</v>
      </c>
      <c r="Y140" s="242">
        <f t="shared" si="94"/>
        <v>0</v>
      </c>
      <c r="Z140" s="242">
        <f t="shared" si="94"/>
        <v>210.214</v>
      </c>
      <c r="AA140" s="242">
        <f t="shared" si="94"/>
        <v>1275.5200000000002</v>
      </c>
      <c r="AB140" s="242">
        <f t="shared" si="94"/>
        <v>2052.8090000000002</v>
      </c>
      <c r="AC140" s="242">
        <f>SUM(AC128:AC139)</f>
        <v>2232.817</v>
      </c>
      <c r="AD140" s="243">
        <f>AD24</f>
        <v>1700</v>
      </c>
      <c r="AE140" s="243">
        <f>AE24</f>
        <v>1750</v>
      </c>
      <c r="AF140" s="243">
        <f>AF24</f>
        <v>2000</v>
      </c>
      <c r="AG140" s="243">
        <f t="shared" ref="AG140:AH140" si="95">AG24</f>
        <v>2001</v>
      </c>
      <c r="AH140" s="243">
        <f t="shared" si="95"/>
        <v>2002</v>
      </c>
    </row>
    <row r="141" spans="1:34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  <c r="AE141" s="248"/>
      <c r="AF141" s="248"/>
      <c r="AG141" s="248"/>
      <c r="AH141" s="248"/>
    </row>
    <row r="142" spans="1:34" ht="15.75" thickBot="1">
      <c r="A142" s="235" t="s">
        <v>257</v>
      </c>
    </row>
    <row r="143" spans="1:34" ht="15.75" thickBot="1">
      <c r="A143" s="236"/>
      <c r="B143" s="237" t="str">
        <f>B$2</f>
        <v xml:space="preserve">93/94 </v>
      </c>
      <c r="C143" s="237" t="str">
        <f t="shared" ref="C143:AH143" si="96">C$2</f>
        <v xml:space="preserve">94/95 </v>
      </c>
      <c r="D143" s="237" t="str">
        <f t="shared" si="96"/>
        <v xml:space="preserve">95/96 </v>
      </c>
      <c r="E143" s="237" t="str">
        <f t="shared" si="96"/>
        <v xml:space="preserve">96/97 </v>
      </c>
      <c r="F143" s="237" t="str">
        <f t="shared" si="96"/>
        <v xml:space="preserve">97/98 </v>
      </c>
      <c r="G143" s="237" t="str">
        <f t="shared" si="96"/>
        <v xml:space="preserve">98/99 </v>
      </c>
      <c r="H143" s="237" t="str">
        <f t="shared" si="96"/>
        <v xml:space="preserve">99/00 </v>
      </c>
      <c r="I143" s="237" t="str">
        <f t="shared" si="96"/>
        <v xml:space="preserve">00/01 </v>
      </c>
      <c r="J143" s="237" t="str">
        <f t="shared" si="96"/>
        <v xml:space="preserve">01/02 </v>
      </c>
      <c r="K143" s="237" t="str">
        <f t="shared" si="96"/>
        <v xml:space="preserve">02/03 </v>
      </c>
      <c r="L143" s="237" t="str">
        <f t="shared" si="96"/>
        <v xml:space="preserve">03/04 </v>
      </c>
      <c r="M143" s="237" t="str">
        <f t="shared" si="96"/>
        <v xml:space="preserve">04/05 </v>
      </c>
      <c r="N143" s="237" t="str">
        <f t="shared" si="96"/>
        <v xml:space="preserve">05/06 </v>
      </c>
      <c r="O143" s="237" t="str">
        <f t="shared" si="96"/>
        <v xml:space="preserve">06/07 </v>
      </c>
      <c r="P143" s="237" t="str">
        <f t="shared" si="96"/>
        <v xml:space="preserve">07/08 </v>
      </c>
      <c r="Q143" s="237" t="str">
        <f t="shared" si="96"/>
        <v xml:space="preserve">08/09 </v>
      </c>
      <c r="R143" s="237" t="str">
        <f t="shared" si="96"/>
        <v xml:space="preserve">09/10 </v>
      </c>
      <c r="S143" s="237" t="str">
        <f t="shared" si="96"/>
        <v xml:space="preserve">10/11 </v>
      </c>
      <c r="T143" s="237" t="str">
        <f t="shared" si="96"/>
        <v xml:space="preserve">11/12 </v>
      </c>
      <c r="U143" s="237" t="str">
        <f t="shared" si="96"/>
        <v xml:space="preserve">12/13 </v>
      </c>
      <c r="V143" s="237" t="str">
        <f t="shared" si="96"/>
        <v xml:space="preserve">13/14 </v>
      </c>
      <c r="W143" s="237" t="str">
        <f t="shared" si="96"/>
        <v xml:space="preserve">14/15 </v>
      </c>
      <c r="X143" s="237" t="str">
        <f t="shared" si="96"/>
        <v xml:space="preserve">15/16 </v>
      </c>
      <c r="Y143" s="237" t="str">
        <f t="shared" si="96"/>
        <v xml:space="preserve">16/17 </v>
      </c>
      <c r="Z143" s="237" t="str">
        <f t="shared" si="96"/>
        <v xml:space="preserve">17/18 </v>
      </c>
      <c r="AA143" s="237" t="str">
        <f t="shared" si="96"/>
        <v xml:space="preserve">18/19 </v>
      </c>
      <c r="AB143" s="237" t="str">
        <f t="shared" si="96"/>
        <v xml:space="preserve">19/20 </v>
      </c>
      <c r="AC143" s="237" t="str">
        <f t="shared" si="96"/>
        <v xml:space="preserve">20/21 </v>
      </c>
      <c r="AD143" s="237" t="str">
        <f t="shared" si="96"/>
        <v xml:space="preserve">21/22 </v>
      </c>
      <c r="AE143" s="237" t="str">
        <f t="shared" si="96"/>
        <v xml:space="preserve">22/23 </v>
      </c>
      <c r="AF143" s="237" t="str">
        <f t="shared" si="96"/>
        <v>23/24</v>
      </c>
      <c r="AG143" s="237" t="str">
        <f t="shared" si="96"/>
        <v>23/25</v>
      </c>
      <c r="AH143" s="237" t="str">
        <f t="shared" si="96"/>
        <v>23/26</v>
      </c>
    </row>
    <row r="144" spans="1:34">
      <c r="A144" s="240" t="s">
        <v>239</v>
      </c>
      <c r="B144" s="241">
        <f>(SUM(U144:Y144)/SUM(U$156:Y$156))*B$156</f>
        <v>5.2663092046470066</v>
      </c>
      <c r="C144" s="241">
        <v>51.477149329290221</v>
      </c>
      <c r="D144" s="242">
        <f>'[2]China Sun Meal Exports'!BD$290</f>
        <v>0</v>
      </c>
      <c r="E144" s="242">
        <f>'[2]China Sun Meal Exports'!BP$290</f>
        <v>2.6124000000000001</v>
      </c>
      <c r="F144" s="242">
        <f>'[2]China Sun Meal Exports'!CB$290</f>
        <v>0</v>
      </c>
      <c r="G144" s="242">
        <f>'[2]China Sun Meal Exports'!CN$290</f>
        <v>0</v>
      </c>
      <c r="H144" s="242">
        <f>'[2]China Sun Meal Exports'!CZ$290</f>
        <v>0</v>
      </c>
      <c r="I144" s="242">
        <f>'[2]China Sun Meal Exports'!DL$290</f>
        <v>0</v>
      </c>
      <c r="J144" s="242">
        <f>'[2]China Sun Meal Exports'!DX$290</f>
        <v>0</v>
      </c>
      <c r="K144" s="242">
        <f>'[2]China Sun Meal Exports'!EJ$290</f>
        <v>0</v>
      </c>
      <c r="L144" s="242">
        <f>'[2]China Sun Meal Exports'!EV$290</f>
        <v>0</v>
      </c>
      <c r="M144" s="242">
        <f>'[2]China Sun Meal Exports'!FH$290</f>
        <v>0</v>
      </c>
      <c r="N144" s="242">
        <f>'[2]China Sun Meal Exports'!FT$290</f>
        <v>0</v>
      </c>
      <c r="O144" s="242">
        <f>'[2]China Sun Meal Exports'!GF$290</f>
        <v>0</v>
      </c>
      <c r="P144" s="242">
        <f>'[2]China Sun Meal Exports'!GR$290</f>
        <v>0</v>
      </c>
      <c r="Q144" s="242">
        <f>'[2]China Sun Meal Exports'!HD$290</f>
        <v>0.83299999999999996</v>
      </c>
      <c r="R144" s="242">
        <f>'[2]China Sun Meal Exports'!HP$290</f>
        <v>0</v>
      </c>
      <c r="S144" s="242">
        <f>'[2]China Sun Meal Exports'!IB$290</f>
        <v>0</v>
      </c>
      <c r="T144" s="242">
        <f>'[2]China Sun Meal Exports'!IN$290</f>
        <v>0.19800000000000001</v>
      </c>
      <c r="U144" s="242">
        <f>'[2]China Sun Meal Exports'!IZ$290</f>
        <v>2.5999999999999999E-2</v>
      </c>
      <c r="V144" s="242">
        <f>'[2]China Sun Meal Exports'!JL$290</f>
        <v>5.3999999999999999E-2</v>
      </c>
      <c r="W144" s="242">
        <f>'[2]China Sun Meal Exports'!JX$290</f>
        <v>0.11899999999999999</v>
      </c>
      <c r="X144" s="242">
        <f>'[2]China Sun Meal Exports'!KJ$290</f>
        <v>2.8690000000000002</v>
      </c>
      <c r="Y144" s="242">
        <f>'[2]China Sun Meal Exports'!KV$290</f>
        <v>2.8250000000000002</v>
      </c>
      <c r="Z144" s="242">
        <f>'[2]China Sun Meal Exports'!LH$290</f>
        <v>3.6669999999999998</v>
      </c>
      <c r="AA144" s="242">
        <f>'[2]China Sun Meal Exports'!LT$290</f>
        <v>0.76800000000000002</v>
      </c>
      <c r="AB144" s="242">
        <f>'[2]China Sun Meal Exports'!MF$290</f>
        <v>1.056</v>
      </c>
      <c r="AC144" s="242">
        <f>'[2]China Sun Meal Exports'!MR$290</f>
        <v>0.92400000000000004</v>
      </c>
      <c r="AD144" s="242">
        <f>'[2]China Sun Meal Exports'!ND$290</f>
        <v>0.128</v>
      </c>
      <c r="AE144" s="243">
        <f t="shared" ref="AD144:AF154" si="97">(SUM(Y144:AC144)/SUM(Y$156:AC$156))*AE$156</f>
        <v>1.0480943738656987</v>
      </c>
      <c r="AF144" s="243">
        <f t="shared" si="97"/>
        <v>1.0642658468745425</v>
      </c>
      <c r="AG144" s="243">
        <f t="shared" ref="AG144:AG154" si="98">(SUM(AA144:AE144)/SUM(AA$156:AE$156))*AG$156</f>
        <v>0.81791157718608887</v>
      </c>
      <c r="AH144" s="243">
        <f t="shared" ref="AH144:AH154" si="99">(SUM(AB144:AF144)/SUM(AB$156:AF$156))*AH$156</f>
        <v>0.95205400995741873</v>
      </c>
    </row>
    <row r="145" spans="1:34">
      <c r="A145" s="240" t="s">
        <v>240</v>
      </c>
      <c r="B145" s="241">
        <f t="shared" ref="B145:B155" si="100">(SUM(U145:Y145)/SUM(U$156:Y$156))*B$156</f>
        <v>4.9714030384271677</v>
      </c>
      <c r="C145" s="241">
        <v>12.217054273526236</v>
      </c>
      <c r="D145" s="242">
        <f>'[2]China Sun Meal Exports'!BE$290</f>
        <v>0.02</v>
      </c>
      <c r="E145" s="242">
        <f>'[2]China Sun Meal Exports'!BQ$290</f>
        <v>0.6</v>
      </c>
      <c r="F145" s="242">
        <f>'[2]China Sun Meal Exports'!CC$290</f>
        <v>0</v>
      </c>
      <c r="G145" s="242">
        <f>'[2]China Sun Meal Exports'!CO$290</f>
        <v>0</v>
      </c>
      <c r="H145" s="242">
        <f>'[2]China Sun Meal Exports'!DA$290</f>
        <v>0</v>
      </c>
      <c r="I145" s="242">
        <f>'[2]China Sun Meal Exports'!DM$290</f>
        <v>0</v>
      </c>
      <c r="J145" s="242">
        <f>'[2]China Sun Meal Exports'!DY$290</f>
        <v>0</v>
      </c>
      <c r="K145" s="242">
        <f>'[2]China Sun Meal Exports'!EK$290</f>
        <v>9.6140000000000003E-2</v>
      </c>
      <c r="L145" s="242">
        <f>'[2]China Sun Meal Exports'!EW$290</f>
        <v>0</v>
      </c>
      <c r="M145" s="242">
        <f>'[2]China Sun Meal Exports'!FI$290</f>
        <v>0</v>
      </c>
      <c r="N145" s="242">
        <f>'[2]China Sun Meal Exports'!FU$290</f>
        <v>0</v>
      </c>
      <c r="O145" s="242">
        <f>'[2]China Sun Meal Exports'!GG$290</f>
        <v>1.2E-2</v>
      </c>
      <c r="P145" s="242">
        <f>'[2]China Sun Meal Exports'!GS$290</f>
        <v>0</v>
      </c>
      <c r="Q145" s="242">
        <f>'[2]China Sun Meal Exports'!HE$290</f>
        <v>1.1100000000000001</v>
      </c>
      <c r="R145" s="242">
        <f>'[2]China Sun Meal Exports'!HQ$290</f>
        <v>0</v>
      </c>
      <c r="S145" s="242">
        <f>'[2]China Sun Meal Exports'!IC$290</f>
        <v>0</v>
      </c>
      <c r="T145" s="242">
        <f>'[2]China Sun Meal Exports'!IO$290</f>
        <v>0</v>
      </c>
      <c r="U145" s="242">
        <f>'[2]China Sun Meal Exports'!JA$290</f>
        <v>7.8E-2</v>
      </c>
      <c r="V145" s="242">
        <f>'[2]China Sun Meal Exports'!JM$290</f>
        <v>0.17199999999999999</v>
      </c>
      <c r="W145" s="242">
        <f>'[2]China Sun Meal Exports'!JY$290</f>
        <v>0.10199999999999999</v>
      </c>
      <c r="X145" s="242">
        <f>'[2]China Sun Meal Exports'!KK$290</f>
        <v>2.2930000000000001</v>
      </c>
      <c r="Y145" s="242">
        <f>'[2]China Sun Meal Exports'!KW$290</f>
        <v>2.9180000000000001</v>
      </c>
      <c r="Z145" s="242">
        <f>'[2]China Sun Meal Exports'!LI$290</f>
        <v>2.8050000000000002</v>
      </c>
      <c r="AA145" s="242">
        <f>'[2]China Sun Meal Exports'!LU$290</f>
        <v>1.726</v>
      </c>
      <c r="AB145" s="242">
        <f>'[2]China Sun Meal Exports'!MG$290</f>
        <v>0.58799999999999997</v>
      </c>
      <c r="AC145" s="242">
        <f>'[2]China Sun Meal Exports'!MS$290</f>
        <v>0.59299999999999997</v>
      </c>
      <c r="AD145" s="242">
        <f>'[2]China Sun Meal Exports'!NE$290</f>
        <v>4.8000000000000001E-2</v>
      </c>
      <c r="AE145" s="243">
        <f t="shared" si="97"/>
        <v>0.97890199637023612</v>
      </c>
      <c r="AF145" s="243">
        <f t="shared" si="97"/>
        <v>0.9369052847313718</v>
      </c>
      <c r="AG145" s="243">
        <f t="shared" si="98"/>
        <v>0.81995581140342999</v>
      </c>
      <c r="AH145" s="243">
        <f t="shared" si="99"/>
        <v>0.70942436804385567</v>
      </c>
    </row>
    <row r="146" spans="1:34">
      <c r="A146" s="240" t="s">
        <v>241</v>
      </c>
      <c r="B146" s="241">
        <f t="shared" si="100"/>
        <v>5.901697944593387</v>
      </c>
      <c r="C146" s="241">
        <v>12.985546397183532</v>
      </c>
      <c r="D146" s="242">
        <f>'[2]China Sun Meal Exports'!BF$290</f>
        <v>0</v>
      </c>
      <c r="E146" s="242">
        <f>'[2]China Sun Meal Exports'!BR$290</f>
        <v>0.65900000000000003</v>
      </c>
      <c r="F146" s="242">
        <f>'[2]China Sun Meal Exports'!CD$290</f>
        <v>0</v>
      </c>
      <c r="G146" s="242">
        <f>'[2]China Sun Meal Exports'!CP$290</f>
        <v>0</v>
      </c>
      <c r="H146" s="242">
        <f>'[2]China Sun Meal Exports'!DB$290</f>
        <v>0</v>
      </c>
      <c r="I146" s="242">
        <f>'[2]China Sun Meal Exports'!DN$290</f>
        <v>0</v>
      </c>
      <c r="J146" s="242">
        <f>'[2]China Sun Meal Exports'!DZ$290</f>
        <v>0</v>
      </c>
      <c r="K146" s="242">
        <f>'[2]China Sun Meal Exports'!EL$290</f>
        <v>2.8800000000000002E-3</v>
      </c>
      <c r="L146" s="242">
        <f>'[2]China Sun Meal Exports'!EX$290</f>
        <v>0</v>
      </c>
      <c r="M146" s="242">
        <f>'[2]China Sun Meal Exports'!FJ$290</f>
        <v>4.0000000000000001E-3</v>
      </c>
      <c r="N146" s="242">
        <f>'[2]China Sun Meal Exports'!FV$290</f>
        <v>0</v>
      </c>
      <c r="O146" s="242">
        <f>'[2]China Sun Meal Exports'!GH$290</f>
        <v>0</v>
      </c>
      <c r="P146" s="242">
        <f>'[2]China Sun Meal Exports'!GT$290</f>
        <v>1.2E-2</v>
      </c>
      <c r="Q146" s="242">
        <f>'[2]China Sun Meal Exports'!HF$290</f>
        <v>0.315</v>
      </c>
      <c r="R146" s="242">
        <f>'[2]China Sun Meal Exports'!HR$290</f>
        <v>7.4999999999999997E-2</v>
      </c>
      <c r="S146" s="242">
        <f>'[2]China Sun Meal Exports'!ID$290</f>
        <v>0</v>
      </c>
      <c r="T146" s="242">
        <f>'[2]China Sun Meal Exports'!IP$290</f>
        <v>7.0000000000000007E-2</v>
      </c>
      <c r="U146" s="242">
        <f>'[2]China Sun Meal Exports'!JB$290</f>
        <v>0</v>
      </c>
      <c r="V146" s="242">
        <f>'[2]China Sun Meal Exports'!JN$290</f>
        <v>7.9000000000000001E-2</v>
      </c>
      <c r="W146" s="242">
        <f>'[2]China Sun Meal Exports'!JZ$290</f>
        <v>0.187</v>
      </c>
      <c r="X146" s="242">
        <f>'[2]China Sun Meal Exports'!KL$290</f>
        <v>3.2629999999999999</v>
      </c>
      <c r="Y146" s="242">
        <f>'[2]China Sun Meal Exports'!KX$290</f>
        <v>3.0750000000000002</v>
      </c>
      <c r="Z146" s="242">
        <f>'[2]China Sun Meal Exports'!LJ$290</f>
        <v>3.383</v>
      </c>
      <c r="AA146" s="242">
        <f>'[2]China Sun Meal Exports'!LV$290</f>
        <v>1.411</v>
      </c>
      <c r="AB146" s="242">
        <f>'[2]China Sun Meal Exports'!MH$290</f>
        <v>0.45700000000000002</v>
      </c>
      <c r="AC146" s="242">
        <f>'[2]China Sun Meal Exports'!MT$290</f>
        <v>0.04</v>
      </c>
      <c r="AD146" s="242">
        <f>'[2]China Sun Meal Exports'!NF$290</f>
        <v>1.1100000000000001</v>
      </c>
      <c r="AE146" s="243">
        <f t="shared" si="97"/>
        <v>0.94895644283121594</v>
      </c>
      <c r="AF146" s="243">
        <f t="shared" si="97"/>
        <v>1.0411685290912345</v>
      </c>
      <c r="AG146" s="243">
        <f t="shared" si="98"/>
        <v>0.82684545570402823</v>
      </c>
      <c r="AH146" s="243">
        <f t="shared" si="99"/>
        <v>0.81146088834001473</v>
      </c>
    </row>
    <row r="147" spans="1:34">
      <c r="A147" s="240" t="s">
        <v>231</v>
      </c>
      <c r="B147" s="241">
        <f t="shared" si="100"/>
        <v>3.1170688114387848</v>
      </c>
      <c r="C147" s="242">
        <f>'[2]China Sun Meal Exports'!AU$290</f>
        <v>2.5499999999999998</v>
      </c>
      <c r="D147" s="242">
        <f>'[2]China Sun Meal Exports'!BG$290</f>
        <v>0.97355999999999998</v>
      </c>
      <c r="E147" s="242">
        <f>'[2]China Sun Meal Exports'!BS$290</f>
        <v>0</v>
      </c>
      <c r="F147" s="242">
        <f>'[2]China Sun Meal Exports'!CE$290</f>
        <v>0</v>
      </c>
      <c r="G147" s="242">
        <f>'[2]China Sun Meal Exports'!CQ$290</f>
        <v>0</v>
      </c>
      <c r="H147" s="242">
        <f>'[2]China Sun Meal Exports'!DC$290</f>
        <v>0</v>
      </c>
      <c r="I147" s="242">
        <f>'[2]China Sun Meal Exports'!DO$290</f>
        <v>0</v>
      </c>
      <c r="J147" s="242">
        <f>'[2]China Sun Meal Exports'!EA$290</f>
        <v>0</v>
      </c>
      <c r="K147" s="242">
        <f>'[2]China Sun Meal Exports'!EM$290</f>
        <v>6.0999999999999999E-2</v>
      </c>
      <c r="L147" s="242">
        <f>'[2]China Sun Meal Exports'!EY$290</f>
        <v>0</v>
      </c>
      <c r="M147" s="242">
        <f>'[2]China Sun Meal Exports'!FK$290</f>
        <v>0</v>
      </c>
      <c r="N147" s="242">
        <f>'[2]China Sun Meal Exports'!FW$290</f>
        <v>1.7999999999999999E-2</v>
      </c>
      <c r="O147" s="242">
        <f>'[2]China Sun Meal Exports'!GI$290</f>
        <v>1.4E-2</v>
      </c>
      <c r="P147" s="242">
        <f>'[2]China Sun Meal Exports'!GU$290</f>
        <v>0</v>
      </c>
      <c r="Q147" s="242">
        <f>'[2]China Sun Meal Exports'!HG$290</f>
        <v>0</v>
      </c>
      <c r="R147" s="242">
        <f>'[2]China Sun Meal Exports'!HS$290</f>
        <v>0.158</v>
      </c>
      <c r="S147" s="242">
        <f>'[2]China Sun Meal Exports'!IE$290</f>
        <v>0.11799999999999999</v>
      </c>
      <c r="T147" s="242">
        <f>'[2]China Sun Meal Exports'!IQ$290</f>
        <v>5.3999999999999999E-2</v>
      </c>
      <c r="U147" s="242">
        <f>'[2]China Sun Meal Exports'!JC$290</f>
        <v>3.3000000000000002E-2</v>
      </c>
      <c r="V147" s="242">
        <f>'[2]China Sun Meal Exports'!JO$290</f>
        <v>0.108</v>
      </c>
      <c r="W147" s="242">
        <f>'[2]China Sun Meal Exports'!KA$290</f>
        <v>8.5000000000000006E-2</v>
      </c>
      <c r="X147" s="242">
        <f>'[2]China Sun Meal Exports'!KM$290</f>
        <v>1.831</v>
      </c>
      <c r="Y147" s="242">
        <f>'[2]China Sun Meal Exports'!KY$290</f>
        <v>1.431</v>
      </c>
      <c r="Z147" s="242">
        <f>'[2]China Sun Meal Exports'!LK$290</f>
        <v>2.407</v>
      </c>
      <c r="AA147" s="242">
        <f>'[2]China Sun Meal Exports'!LW$290</f>
        <v>0</v>
      </c>
      <c r="AB147" s="242">
        <f>'[2]China Sun Meal Exports'!MI$290</f>
        <v>1.42</v>
      </c>
      <c r="AC147" s="242">
        <f>'[2]China Sun Meal Exports'!MU$290</f>
        <v>1.6E-2</v>
      </c>
      <c r="AD147" s="242">
        <f>'[2]China Sun Meal Exports'!NG$290</f>
        <v>3.2000000000000001E-2</v>
      </c>
      <c r="AE147" s="243">
        <f t="shared" si="97"/>
        <v>0.59823049001814887</v>
      </c>
      <c r="AF147" s="243">
        <f t="shared" si="97"/>
        <v>0.63029652401633074</v>
      </c>
      <c r="AG147" s="243">
        <f t="shared" si="98"/>
        <v>0.43067104863125011</v>
      </c>
      <c r="AH147" s="243">
        <f t="shared" si="99"/>
        <v>0.60829863385920713</v>
      </c>
    </row>
    <row r="148" spans="1:34">
      <c r="A148" s="240" t="s">
        <v>232</v>
      </c>
      <c r="B148" s="241">
        <f t="shared" si="100"/>
        <v>1.9579982126899014</v>
      </c>
      <c r="C148" s="242">
        <f>'[2]China Sun Meal Exports'!AV$290</f>
        <v>6.9599999999999995E-2</v>
      </c>
      <c r="D148" s="242">
        <f>'[2]China Sun Meal Exports'!BH$290</f>
        <v>0</v>
      </c>
      <c r="E148" s="242">
        <f>'[2]China Sun Meal Exports'!BT$290</f>
        <v>0</v>
      </c>
      <c r="F148" s="242">
        <f>'[2]China Sun Meal Exports'!CF$290</f>
        <v>0</v>
      </c>
      <c r="G148" s="242">
        <f>'[2]China Sun Meal Exports'!CR$290</f>
        <v>0</v>
      </c>
      <c r="H148" s="242">
        <f>'[2]China Sun Meal Exports'!DD$290</f>
        <v>0</v>
      </c>
      <c r="I148" s="242">
        <f>'[2]China Sun Meal Exports'!DP$290</f>
        <v>0</v>
      </c>
      <c r="J148" s="242">
        <f>'[2]China Sun Meal Exports'!EB$290</f>
        <v>0</v>
      </c>
      <c r="K148" s="242">
        <f>'[2]China Sun Meal Exports'!EN$290</f>
        <v>0</v>
      </c>
      <c r="L148" s="242">
        <f>'[2]China Sun Meal Exports'!EZ$290</f>
        <v>0</v>
      </c>
      <c r="M148" s="242">
        <f>'[2]China Sun Meal Exports'!FL$290</f>
        <v>0</v>
      </c>
      <c r="N148" s="242">
        <f>'[2]China Sun Meal Exports'!FX$290</f>
        <v>0</v>
      </c>
      <c r="O148" s="242">
        <f>'[2]China Sun Meal Exports'!GJ$290</f>
        <v>0</v>
      </c>
      <c r="P148" s="242">
        <f>'[2]China Sun Meal Exports'!GV$290</f>
        <v>0</v>
      </c>
      <c r="Q148" s="242">
        <f>'[2]China Sun Meal Exports'!HH$290</f>
        <v>0.52700000000000002</v>
      </c>
      <c r="R148" s="242">
        <f>'[2]China Sun Meal Exports'!HT$290</f>
        <v>0</v>
      </c>
      <c r="S148" s="242">
        <f>'[2]China Sun Meal Exports'!IF$290</f>
        <v>1.7999999999999999E-2</v>
      </c>
      <c r="T148" s="242">
        <f>'[2]China Sun Meal Exports'!IR$290</f>
        <v>0</v>
      </c>
      <c r="U148" s="242">
        <f>'[2]China Sun Meal Exports'!JD$290</f>
        <v>0</v>
      </c>
      <c r="V148" s="242">
        <f>'[2]China Sun Meal Exports'!JP$290</f>
        <v>0</v>
      </c>
      <c r="W148" s="242">
        <f>'[2]China Sun Meal Exports'!KB$290</f>
        <v>0.13600000000000001</v>
      </c>
      <c r="X148" s="242">
        <f>'[2]China Sun Meal Exports'!KN$290</f>
        <v>0.61799999999999999</v>
      </c>
      <c r="Y148" s="242">
        <f>'[2]China Sun Meal Exports'!KZ$290</f>
        <v>1.4370000000000001</v>
      </c>
      <c r="Z148" s="242">
        <f>'[2]China Sun Meal Exports'!LL$290</f>
        <v>3.4710000000000001</v>
      </c>
      <c r="AA148" s="242">
        <f>'[2]China Sun Meal Exports'!LX$290</f>
        <v>0.35699999999999998</v>
      </c>
      <c r="AB148" s="242">
        <f>'[2]China Sun Meal Exports'!MJ$290</f>
        <v>1.6E-2</v>
      </c>
      <c r="AC148" s="242">
        <f>'[2]China Sun Meal Exports'!MV$290</f>
        <v>0</v>
      </c>
      <c r="AD148" s="242">
        <f>'[2]China Sun Meal Exports'!NH$290</f>
        <v>3.4000000000000002E-2</v>
      </c>
      <c r="AE148" s="243">
        <f t="shared" si="97"/>
        <v>0.59902450090744108</v>
      </c>
      <c r="AF148" s="243">
        <f t="shared" si="97"/>
        <v>0.63078449551879512</v>
      </c>
      <c r="AG148" s="243">
        <f t="shared" si="98"/>
        <v>0.20968891362682973</v>
      </c>
      <c r="AH148" s="243">
        <f t="shared" si="99"/>
        <v>0.28870694047378381</v>
      </c>
    </row>
    <row r="149" spans="1:34">
      <c r="A149" s="240" t="s">
        <v>233</v>
      </c>
      <c r="B149" s="241">
        <f t="shared" si="100"/>
        <v>3.8373547810545134</v>
      </c>
      <c r="C149" s="242">
        <f>'[2]China Sun Meal Exports'!AW$290</f>
        <v>0</v>
      </c>
      <c r="D149" s="242">
        <f>'[2]China Sun Meal Exports'!BI$290</f>
        <v>0</v>
      </c>
      <c r="E149" s="242">
        <f>'[2]China Sun Meal Exports'!BU$290</f>
        <v>0</v>
      </c>
      <c r="F149" s="242">
        <f>'[2]China Sun Meal Exports'!CG$290</f>
        <v>0</v>
      </c>
      <c r="G149" s="242">
        <f>'[2]China Sun Meal Exports'!CS$290</f>
        <v>0</v>
      </c>
      <c r="H149" s="242">
        <f>'[2]China Sun Meal Exports'!DE$290</f>
        <v>0</v>
      </c>
      <c r="I149" s="242">
        <f>'[2]China Sun Meal Exports'!DQ$290</f>
        <v>0</v>
      </c>
      <c r="J149" s="242">
        <f>'[2]China Sun Meal Exports'!EC$290</f>
        <v>0.02</v>
      </c>
      <c r="K149" s="242">
        <f>'[2]China Sun Meal Exports'!EO$290</f>
        <v>0</v>
      </c>
      <c r="L149" s="242">
        <f>'[2]China Sun Meal Exports'!FA$290</f>
        <v>0</v>
      </c>
      <c r="M149" s="242">
        <f>'[2]China Sun Meal Exports'!FM$290</f>
        <v>0</v>
      </c>
      <c r="N149" s="242">
        <f>'[2]China Sun Meal Exports'!FY$290</f>
        <v>0</v>
      </c>
      <c r="O149" s="242">
        <f>'[2]China Sun Meal Exports'!GK$290</f>
        <v>0.36699999999999999</v>
      </c>
      <c r="P149" s="242">
        <f>'[2]China Sun Meal Exports'!GW$290</f>
        <v>1.4950000000000001</v>
      </c>
      <c r="Q149" s="242">
        <f>'[2]China Sun Meal Exports'!HI$290</f>
        <v>0.52800000000000002</v>
      </c>
      <c r="R149" s="242">
        <f>'[2]China Sun Meal Exports'!HU$290</f>
        <v>7.1999999999999995E-2</v>
      </c>
      <c r="S149" s="242">
        <f>'[2]China Sun Meal Exports'!IG$290</f>
        <v>0.1</v>
      </c>
      <c r="T149" s="242">
        <f>'[2]China Sun Meal Exports'!IS$290</f>
        <v>0.159</v>
      </c>
      <c r="U149" s="242">
        <f>'[2]China Sun Meal Exports'!JE$290</f>
        <v>0.14299999999999999</v>
      </c>
      <c r="V149" s="242">
        <f>'[2]China Sun Meal Exports'!JQ$290</f>
        <v>0.23400000000000001</v>
      </c>
      <c r="W149" s="242">
        <f>'[2]China Sun Meal Exports'!KC$290</f>
        <v>0</v>
      </c>
      <c r="X149" s="242">
        <f>'[2]China Sun Meal Exports'!KO$290</f>
        <v>0.92700000000000005</v>
      </c>
      <c r="Y149" s="242">
        <f>'[2]China Sun Meal Exports'!LA$290</f>
        <v>2.99</v>
      </c>
      <c r="Z149" s="242">
        <f>'[2]China Sun Meal Exports'!LM$290</f>
        <v>1.98</v>
      </c>
      <c r="AA149" s="242">
        <f>'[2]China Sun Meal Exports'!LY$290</f>
        <v>1.2310000000000001</v>
      </c>
      <c r="AB149" s="242">
        <f>'[2]China Sun Meal Exports'!MK$290</f>
        <v>2.488</v>
      </c>
      <c r="AC149" s="242">
        <f>'[2]China Sun Meal Exports'!MW$290</f>
        <v>2.0880000000000001</v>
      </c>
      <c r="AD149" s="242">
        <f>'[2]China Sun Meal Exports'!NI$290</f>
        <v>6.4000000000000001E-2</v>
      </c>
      <c r="AE149" s="243">
        <f t="shared" si="97"/>
        <v>1.2224364791288569</v>
      </c>
      <c r="AF149" s="243">
        <f t="shared" si="97"/>
        <v>1.2770214219489582</v>
      </c>
      <c r="AG149" s="243">
        <f t="shared" si="98"/>
        <v>1.4785077181001014</v>
      </c>
      <c r="AH149" s="243">
        <f t="shared" si="99"/>
        <v>1.6105614611378138</v>
      </c>
    </row>
    <row r="150" spans="1:34">
      <c r="A150" s="240" t="s">
        <v>234</v>
      </c>
      <c r="B150" s="241">
        <f t="shared" si="100"/>
        <v>4.8543342269883833</v>
      </c>
      <c r="C150" s="242">
        <f>'[2]China Sun Meal Exports'!AX$290</f>
        <v>0</v>
      </c>
      <c r="D150" s="242">
        <f>'[2]China Sun Meal Exports'!BJ$290</f>
        <v>0</v>
      </c>
      <c r="E150" s="242">
        <f>'[2]China Sun Meal Exports'!BV$290</f>
        <v>0.65847</v>
      </c>
      <c r="F150" s="242">
        <f>'[2]China Sun Meal Exports'!CH$290</f>
        <v>0</v>
      </c>
      <c r="G150" s="242">
        <f>'[2]China Sun Meal Exports'!CT$290</f>
        <v>0</v>
      </c>
      <c r="H150" s="242">
        <f>'[2]China Sun Meal Exports'!DF$290</f>
        <v>2.234</v>
      </c>
      <c r="I150" s="242">
        <f>'[2]China Sun Meal Exports'!DR$290</f>
        <v>0</v>
      </c>
      <c r="J150" s="242">
        <f>'[2]China Sun Meal Exports'!ED$290</f>
        <v>0</v>
      </c>
      <c r="K150" s="242">
        <f>'[2]China Sun Meal Exports'!EP$290</f>
        <v>0.06</v>
      </c>
      <c r="L150" s="242">
        <f>'[2]China Sun Meal Exports'!FB$290</f>
        <v>0</v>
      </c>
      <c r="M150" s="242">
        <f>'[2]China Sun Meal Exports'!FN$290</f>
        <v>1.2E-2</v>
      </c>
      <c r="N150" s="242">
        <f>'[2]China Sun Meal Exports'!FZ$290</f>
        <v>0</v>
      </c>
      <c r="O150" s="242">
        <f>'[2]China Sun Meal Exports'!GL$290</f>
        <v>0</v>
      </c>
      <c r="P150" s="242">
        <f>'[2]China Sun Meal Exports'!GX$290</f>
        <v>0</v>
      </c>
      <c r="Q150" s="242">
        <f>'[2]China Sun Meal Exports'!HJ$290</f>
        <v>0.51900000000000002</v>
      </c>
      <c r="R150" s="242">
        <f>'[2]China Sun Meal Exports'!HV$290</f>
        <v>0</v>
      </c>
      <c r="S150" s="242">
        <f>'[2]China Sun Meal Exports'!IH$290</f>
        <v>0.12</v>
      </c>
      <c r="T150" s="242">
        <f>'[2]China Sun Meal Exports'!IT$290</f>
        <v>2.4E-2</v>
      </c>
      <c r="U150" s="242">
        <f>'[2]China Sun Meal Exports'!JF$290</f>
        <v>6.5000000000000002E-2</v>
      </c>
      <c r="V150" s="242">
        <f>'[2]China Sun Meal Exports'!JR$290</f>
        <v>0</v>
      </c>
      <c r="W150" s="242">
        <f>'[2]China Sun Meal Exports'!KD$290</f>
        <v>0.28199999999999997</v>
      </c>
      <c r="X150" s="242">
        <f>'[2]China Sun Meal Exports'!KP$290</f>
        <v>1.841</v>
      </c>
      <c r="Y150" s="242">
        <f>'[2]China Sun Meal Exports'!LB$290</f>
        <v>3.2440000000000002</v>
      </c>
      <c r="Z150" s="242">
        <f>'[2]China Sun Meal Exports'!LN$290</f>
        <v>0.54700000000000004</v>
      </c>
      <c r="AA150" s="242">
        <f>'[2]China Sun Meal Exports'!LZ$290</f>
        <v>0.81899999999999995</v>
      </c>
      <c r="AB150" s="242">
        <f>'[2]China Sun Meal Exports'!ML$290</f>
        <v>0.60899999999999999</v>
      </c>
      <c r="AC150" s="242">
        <f>'[2]China Sun Meal Exports'!MX$290</f>
        <v>1.6E-2</v>
      </c>
      <c r="AD150" s="243">
        <f t="shared" si="97"/>
        <v>0.33162354621122447</v>
      </c>
      <c r="AE150" s="243">
        <f t="shared" si="97"/>
        <v>0.5938067150635209</v>
      </c>
      <c r="AF150" s="243">
        <f t="shared" si="97"/>
        <v>0.37779136716785</v>
      </c>
      <c r="AG150" s="243">
        <f t="shared" si="98"/>
        <v>0.49386794949136981</v>
      </c>
      <c r="AH150" s="243">
        <f t="shared" si="99"/>
        <v>0.43497972623848846</v>
      </c>
    </row>
    <row r="151" spans="1:34">
      <c r="A151" s="240" t="s">
        <v>46</v>
      </c>
      <c r="B151" s="241">
        <f t="shared" si="100"/>
        <v>5.885612153708669</v>
      </c>
      <c r="C151" s="242">
        <f>'[2]China Sun Meal Exports'!AY$290</f>
        <v>0</v>
      </c>
      <c r="D151" s="242">
        <f>'[2]China Sun Meal Exports'!BK$290</f>
        <v>0</v>
      </c>
      <c r="E151" s="242">
        <f>'[2]China Sun Meal Exports'!BW$290</f>
        <v>0</v>
      </c>
      <c r="F151" s="242">
        <f>'[2]China Sun Meal Exports'!CI$290</f>
        <v>0</v>
      </c>
      <c r="G151" s="242">
        <f>'[2]China Sun Meal Exports'!CU$290</f>
        <v>0</v>
      </c>
      <c r="H151" s="242">
        <f>'[2]China Sun Meal Exports'!DG$290</f>
        <v>1</v>
      </c>
      <c r="I151" s="242">
        <f>'[2]China Sun Meal Exports'!DS$290</f>
        <v>0</v>
      </c>
      <c r="J151" s="242">
        <f>'[2]China Sun Meal Exports'!EE$290</f>
        <v>0</v>
      </c>
      <c r="K151" s="242">
        <f>'[2]China Sun Meal Exports'!EQ$290</f>
        <v>0.30847999999999998</v>
      </c>
      <c r="L151" s="242">
        <f>'[2]China Sun Meal Exports'!FC$290</f>
        <v>0</v>
      </c>
      <c r="M151" s="242">
        <f>'[2]China Sun Meal Exports'!FO$290</f>
        <v>0</v>
      </c>
      <c r="N151" s="242">
        <f>'[2]China Sun Meal Exports'!GA$290</f>
        <v>0</v>
      </c>
      <c r="O151" s="242">
        <f>'[2]China Sun Meal Exports'!GM$290</f>
        <v>0</v>
      </c>
      <c r="P151" s="242">
        <f>'[2]China Sun Meal Exports'!GY$290</f>
        <v>3.2000000000000001E-2</v>
      </c>
      <c r="Q151" s="242">
        <f>'[2]China Sun Meal Exports'!HK$290</f>
        <v>1.0720000000000001</v>
      </c>
      <c r="R151" s="242">
        <f>'[2]China Sun Meal Exports'!HW$290</f>
        <v>1.7999999999999999E-2</v>
      </c>
      <c r="S151" s="242">
        <f>'[2]China Sun Meal Exports'!II$290</f>
        <v>0</v>
      </c>
      <c r="T151" s="242">
        <f>'[2]China Sun Meal Exports'!IU$290</f>
        <v>1.2999999999999999E-2</v>
      </c>
      <c r="U151" s="242">
        <f>'[2]China Sun Meal Exports'!JG$290</f>
        <v>0.11600000000000001</v>
      </c>
      <c r="V151" s="242">
        <f>'[2]China Sun Meal Exports'!JS$290</f>
        <v>0.14799999999999999</v>
      </c>
      <c r="W151" s="242">
        <f>'[2]China Sun Meal Exports'!KE$290</f>
        <v>1.5960000000000001</v>
      </c>
      <c r="X151" s="242">
        <f>'[2]China Sun Meal Exports'!KQ$290</f>
        <v>3.3559999999999999</v>
      </c>
      <c r="Y151" s="242">
        <f>'[2]China Sun Meal Exports'!LC$290</f>
        <v>1.37</v>
      </c>
      <c r="Z151" s="242">
        <f>'[2]China Sun Meal Exports'!LO$290</f>
        <v>0.86199999999999999</v>
      </c>
      <c r="AA151" s="242">
        <f>'[2]China Sun Meal Exports'!MA$290</f>
        <v>3.4319999999999999</v>
      </c>
      <c r="AB151" s="242">
        <f>'[2]China Sun Meal Exports'!MM$290</f>
        <v>3.1240000000000001</v>
      </c>
      <c r="AC151" s="242">
        <f>'[2]China Sun Meal Exports'!MY$290</f>
        <v>0.94199999999999995</v>
      </c>
      <c r="AD151" s="243">
        <f t="shared" si="97"/>
        <v>0.57043007722225358</v>
      </c>
      <c r="AE151" s="243">
        <f t="shared" si="97"/>
        <v>1.1036751361161525</v>
      </c>
      <c r="AF151" s="243">
        <f t="shared" si="97"/>
        <v>1.4525984608113751</v>
      </c>
      <c r="AG151" s="243">
        <f t="shared" si="98"/>
        <v>1.9117713098648115</v>
      </c>
      <c r="AH151" s="243">
        <f t="shared" si="99"/>
        <v>1.6225729599471637</v>
      </c>
    </row>
    <row r="152" spans="1:34">
      <c r="A152" s="240" t="s">
        <v>235</v>
      </c>
      <c r="B152" s="241">
        <f t="shared" si="100"/>
        <v>4.2278820375335116</v>
      </c>
      <c r="C152" s="242">
        <f>'[2]China Sun Meal Exports'!AZ$290</f>
        <v>0</v>
      </c>
      <c r="D152" s="242">
        <f>'[2]China Sun Meal Exports'!BL$290</f>
        <v>0</v>
      </c>
      <c r="E152" s="242">
        <f>'[2]China Sun Meal Exports'!BX$290</f>
        <v>0.65379200000000004</v>
      </c>
      <c r="F152" s="242">
        <f>'[2]China Sun Meal Exports'!CJ$290</f>
        <v>0</v>
      </c>
      <c r="G152" s="242">
        <f>'[2]China Sun Meal Exports'!CV$290</f>
        <v>0</v>
      </c>
      <c r="H152" s="242">
        <f>'[2]China Sun Meal Exports'!DH$290</f>
        <v>4.0144399999999996</v>
      </c>
      <c r="I152" s="242">
        <f>'[2]China Sun Meal Exports'!DT$290</f>
        <v>0</v>
      </c>
      <c r="J152" s="242">
        <f>'[2]China Sun Meal Exports'!EF$290</f>
        <v>0.06</v>
      </c>
      <c r="K152" s="242">
        <f>'[2]China Sun Meal Exports'!ER$290</f>
        <v>0</v>
      </c>
      <c r="L152" s="242">
        <f>'[2]China Sun Meal Exports'!FD$290</f>
        <v>0</v>
      </c>
      <c r="M152" s="242">
        <f>'[2]China Sun Meal Exports'!FP$290</f>
        <v>0</v>
      </c>
      <c r="N152" s="242">
        <f>'[2]China Sun Meal Exports'!GB$290</f>
        <v>0</v>
      </c>
      <c r="O152" s="242">
        <f>'[2]China Sun Meal Exports'!GN$290</f>
        <v>0</v>
      </c>
      <c r="P152" s="242">
        <f>'[2]China Sun Meal Exports'!GZ$290</f>
        <v>0.437</v>
      </c>
      <c r="Q152" s="242">
        <f>'[2]China Sun Meal Exports'!HL$290</f>
        <v>0.27800000000000002</v>
      </c>
      <c r="R152" s="242">
        <f>'[2]China Sun Meal Exports'!HX$290</f>
        <v>0</v>
      </c>
      <c r="S152" s="242">
        <f>'[2]China Sun Meal Exports'!IJ$290</f>
        <v>3.5999999999999997E-2</v>
      </c>
      <c r="T152" s="242">
        <f>'[2]China Sun Meal Exports'!IV$290</f>
        <v>0.124</v>
      </c>
      <c r="U152" s="242">
        <f>'[2]China Sun Meal Exports'!JH$290</f>
        <v>7.1999999999999995E-2</v>
      </c>
      <c r="V152" s="242">
        <f>'[2]China Sun Meal Exports'!JT$290</f>
        <v>0.18</v>
      </c>
      <c r="W152" s="242">
        <f>'[2]China Sun Meal Exports'!KF$290</f>
        <v>1.29</v>
      </c>
      <c r="X152" s="242">
        <f>'[2]China Sun Meal Exports'!KR$290</f>
        <v>0.92700000000000005</v>
      </c>
      <c r="Y152" s="242">
        <f>'[2]China Sun Meal Exports'!LD$290</f>
        <v>2.262</v>
      </c>
      <c r="Z152" s="242">
        <f>'[2]China Sun Meal Exports'!LP$290</f>
        <v>0.99399999999999999</v>
      </c>
      <c r="AA152" s="242">
        <f>'[2]China Sun Meal Exports'!MB$290</f>
        <v>0.83599999999999997</v>
      </c>
      <c r="AB152" s="242">
        <f>'[2]China Sun Meal Exports'!MN$290</f>
        <v>1.4119999999999999</v>
      </c>
      <c r="AC152" s="242">
        <f>'[2]China Sun Meal Exports'!MZ$290</f>
        <v>8.2000000000000003E-2</v>
      </c>
      <c r="AD152" s="243">
        <f t="shared" si="97"/>
        <v>0.30207804896379387</v>
      </c>
      <c r="AE152" s="243">
        <f t="shared" si="97"/>
        <v>0.63362068965517238</v>
      </c>
      <c r="AF152" s="243">
        <f t="shared" si="97"/>
        <v>0.58980758453517357</v>
      </c>
      <c r="AG152" s="243">
        <f t="shared" si="98"/>
        <v>0.68068006307584161</v>
      </c>
      <c r="AH152" s="243">
        <f t="shared" si="99"/>
        <v>0.68115823121526309</v>
      </c>
    </row>
    <row r="153" spans="1:34">
      <c r="A153" s="240" t="s">
        <v>236</v>
      </c>
      <c r="B153" s="241">
        <f t="shared" si="100"/>
        <v>6.0563002680965141</v>
      </c>
      <c r="C153" s="242">
        <f>'[2]China Sun Meal Exports'!BA$290</f>
        <v>0.49664999999999998</v>
      </c>
      <c r="D153" s="242">
        <f>'[2]China Sun Meal Exports'!BM$290</f>
        <v>0</v>
      </c>
      <c r="E153" s="242">
        <f>'[2]China Sun Meal Exports'!BY$290</f>
        <v>0.99864399999999998</v>
      </c>
      <c r="F153" s="242">
        <f>'[2]China Sun Meal Exports'!CK$290</f>
        <v>0</v>
      </c>
      <c r="G153" s="242">
        <f>'[2]China Sun Meal Exports'!CW$290</f>
        <v>0</v>
      </c>
      <c r="H153" s="242">
        <f>'[2]China Sun Meal Exports'!DI$290</f>
        <v>0.84913000000000005</v>
      </c>
      <c r="I153" s="242">
        <f>'[2]China Sun Meal Exports'!DU$290</f>
        <v>0</v>
      </c>
      <c r="J153" s="242">
        <f>'[2]China Sun Meal Exports'!EG$290</f>
        <v>0.06</v>
      </c>
      <c r="K153" s="242">
        <f>'[2]China Sun Meal Exports'!ES$290</f>
        <v>0</v>
      </c>
      <c r="L153" s="242">
        <f>'[2]China Sun Meal Exports'!FE$290</f>
        <v>0</v>
      </c>
      <c r="M153" s="242">
        <f>'[2]China Sun Meal Exports'!FQ$290</f>
        <v>0</v>
      </c>
      <c r="N153" s="242">
        <f>'[2]China Sun Meal Exports'!GC$290</f>
        <v>0</v>
      </c>
      <c r="O153" s="242">
        <f>'[2]China Sun Meal Exports'!GO$290</f>
        <v>0</v>
      </c>
      <c r="P153" s="242">
        <f>'[2]China Sun Meal Exports'!HA$290</f>
        <v>0.32200000000000001</v>
      </c>
      <c r="Q153" s="242">
        <f>'[2]China Sun Meal Exports'!HM$290</f>
        <v>0.755</v>
      </c>
      <c r="R153" s="242">
        <f>'[2]China Sun Meal Exports'!HY$290</f>
        <v>0.108</v>
      </c>
      <c r="S153" s="242">
        <f>'[2]China Sun Meal Exports'!IK$290</f>
        <v>3.4000000000000002E-2</v>
      </c>
      <c r="T153" s="242">
        <f>'[2]China Sun Meal Exports'!IW$290</f>
        <v>3.5999999999999997E-2</v>
      </c>
      <c r="U153" s="242">
        <f>'[2]China Sun Meal Exports'!JI$290</f>
        <v>0.10100000000000001</v>
      </c>
      <c r="V153" s="242">
        <f>'[2]China Sun Meal Exports'!JU$290</f>
        <v>0.18</v>
      </c>
      <c r="W153" s="242">
        <f>'[2]China Sun Meal Exports'!KG$290</f>
        <v>1.2170000000000001</v>
      </c>
      <c r="X153" s="242">
        <f>'[2]China Sun Meal Exports'!KS$290</f>
        <v>1.1779999999999999</v>
      </c>
      <c r="Y153" s="242">
        <f>'[2]China Sun Meal Exports'!LE$290</f>
        <v>4.101</v>
      </c>
      <c r="Z153" s="242">
        <f>'[2]China Sun Meal Exports'!LQ$290</f>
        <v>0.84699999999999998</v>
      </c>
      <c r="AA153" s="242">
        <f>'[2]China Sun Meal Exports'!MC$290</f>
        <v>1.18</v>
      </c>
      <c r="AB153" s="242">
        <f>'[2]China Sun Meal Exports'!MO$290</f>
        <v>0.995</v>
      </c>
      <c r="AC153" s="242">
        <f>'[2]China Sun Meal Exports'!NA$290</f>
        <v>0</v>
      </c>
      <c r="AD153" s="243">
        <f t="shared" si="97"/>
        <v>0.38991601375345242</v>
      </c>
      <c r="AE153" s="243">
        <f t="shared" si="97"/>
        <v>0.80796279491833034</v>
      </c>
      <c r="AF153" s="243">
        <f t="shared" si="97"/>
        <v>0.55497259450437586</v>
      </c>
      <c r="AG153" s="243">
        <f t="shared" si="98"/>
        <v>0.70301994886545272</v>
      </c>
      <c r="AH153" s="243">
        <f t="shared" si="99"/>
        <v>0.61987669543101775</v>
      </c>
    </row>
    <row r="154" spans="1:34">
      <c r="A154" s="240" t="s">
        <v>237</v>
      </c>
      <c r="B154" s="241">
        <f t="shared" si="100"/>
        <v>6.9463806970509374</v>
      </c>
      <c r="C154" s="242">
        <f>'[2]China Sun Meal Exports'!BB$290</f>
        <v>0.20399999999999999</v>
      </c>
      <c r="D154" s="242">
        <f>'[2]China Sun Meal Exports'!BN$290</f>
        <v>1.8643000000000001</v>
      </c>
      <c r="E154" s="242">
        <f>'[2]China Sun Meal Exports'!BZ$290</f>
        <v>0</v>
      </c>
      <c r="F154" s="242">
        <f>'[2]China Sun Meal Exports'!CL$290</f>
        <v>0</v>
      </c>
      <c r="G154" s="242">
        <f>'[2]China Sun Meal Exports'!CX$290</f>
        <v>0</v>
      </c>
      <c r="H154" s="242">
        <f>'[2]China Sun Meal Exports'!DJ$290</f>
        <v>0</v>
      </c>
      <c r="I154" s="242">
        <f>'[2]China Sun Meal Exports'!DV$290</f>
        <v>0</v>
      </c>
      <c r="J154" s="242">
        <f>'[2]China Sun Meal Exports'!EH$290</f>
        <v>0</v>
      </c>
      <c r="K154" s="242">
        <f>'[2]China Sun Meal Exports'!ET$290</f>
        <v>0</v>
      </c>
      <c r="L154" s="242">
        <f>'[2]China Sun Meal Exports'!FF$290</f>
        <v>0</v>
      </c>
      <c r="M154" s="242">
        <f>'[2]China Sun Meal Exports'!FR$290</f>
        <v>0</v>
      </c>
      <c r="N154" s="242">
        <f>'[2]China Sun Meal Exports'!GD$290</f>
        <v>1.7000000000000001E-2</v>
      </c>
      <c r="O154" s="242">
        <f>'[2]China Sun Meal Exports'!GP$290</f>
        <v>0</v>
      </c>
      <c r="P154" s="242">
        <f>'[2]China Sun Meal Exports'!HB$290</f>
        <v>0.152</v>
      </c>
      <c r="Q154" s="242">
        <f>'[2]China Sun Meal Exports'!HN$290</f>
        <v>0.30099999999999999</v>
      </c>
      <c r="R154" s="242">
        <f>'[2]China Sun Meal Exports'!HZ$290</f>
        <v>0</v>
      </c>
      <c r="S154" s="242">
        <f>'[2]China Sun Meal Exports'!IL$290</f>
        <v>0</v>
      </c>
      <c r="T154" s="242">
        <f>'[2]China Sun Meal Exports'!IX$290</f>
        <v>3.3000000000000002E-2</v>
      </c>
      <c r="U154" s="242">
        <f>'[2]China Sun Meal Exports'!JJ$290</f>
        <v>0.17399999999999999</v>
      </c>
      <c r="V154" s="242">
        <f>'[2]China Sun Meal Exports'!JV$290</f>
        <v>0.151</v>
      </c>
      <c r="W154" s="242">
        <f>'[2]China Sun Meal Exports'!KH$290</f>
        <v>2.548</v>
      </c>
      <c r="X154" s="242">
        <f>'[2]China Sun Meal Exports'!KT$290</f>
        <v>1.7789999999999999</v>
      </c>
      <c r="Y154" s="242">
        <f>'[2]China Sun Meal Exports'!LF$290</f>
        <v>3.121</v>
      </c>
      <c r="Z154" s="242">
        <f>'[2]China Sun Meal Exports'!LR$290</f>
        <v>0.70299999999999996</v>
      </c>
      <c r="AA154" s="242">
        <f>'[2]China Sun Meal Exports'!MD$290</f>
        <v>0.27</v>
      </c>
      <c r="AB154" s="242">
        <f>'[2]China Sun Meal Exports'!MP$290</f>
        <v>0.81200000000000006</v>
      </c>
      <c r="AC154" s="242">
        <f>'[2]China Sun Meal Exports'!NB$290</f>
        <v>0.30099999999999999</v>
      </c>
      <c r="AD154" s="243">
        <f t="shared" si="97"/>
        <v>0.31400898107960851</v>
      </c>
      <c r="AE154" s="243">
        <f t="shared" si="97"/>
        <v>0.59063067150635207</v>
      </c>
      <c r="AF154" s="243">
        <f t="shared" si="97"/>
        <v>0.39037866280837502</v>
      </c>
      <c r="AG154" s="243">
        <f t="shared" si="98"/>
        <v>0.47682007057255782</v>
      </c>
      <c r="AH154" s="243">
        <f t="shared" si="99"/>
        <v>0.54321512224375357</v>
      </c>
    </row>
    <row r="155" spans="1:34">
      <c r="A155" s="240" t="s">
        <v>238</v>
      </c>
      <c r="B155" s="241">
        <f t="shared" si="100"/>
        <v>6.9776586237712239</v>
      </c>
      <c r="C155" s="242">
        <f>'[2]China Sun Meal Exports'!BC$290</f>
        <v>0</v>
      </c>
      <c r="D155" s="242">
        <f>'[2]China Sun Meal Exports'!BO$290</f>
        <v>2.0880999999999998</v>
      </c>
      <c r="E155" s="242">
        <f>'[2]China Sun Meal Exports'!CA$290</f>
        <v>0</v>
      </c>
      <c r="F155" s="242">
        <f>'[2]China Sun Meal Exports'!CM$290</f>
        <v>0</v>
      </c>
      <c r="G155" s="242">
        <f>'[2]China Sun Meal Exports'!CY$290</f>
        <v>0</v>
      </c>
      <c r="H155" s="242">
        <f>'[2]China Sun Meal Exports'!DK$290</f>
        <v>0</v>
      </c>
      <c r="I155" s="242">
        <f>'[2]China Sun Meal Exports'!DW$290</f>
        <v>0</v>
      </c>
      <c r="J155" s="242">
        <f>'[2]China Sun Meal Exports'!EI$290</f>
        <v>2.1000000000000001E-2</v>
      </c>
      <c r="K155" s="242">
        <f>'[2]China Sun Meal Exports'!EU$290</f>
        <v>0.22</v>
      </c>
      <c r="L155" s="242">
        <f>'[2]China Sun Meal Exports'!FG$290</f>
        <v>0</v>
      </c>
      <c r="M155" s="242">
        <f>'[2]China Sun Meal Exports'!FS$290</f>
        <v>0</v>
      </c>
      <c r="N155" s="242">
        <f>'[2]China Sun Meal Exports'!GE$290</f>
        <v>1.7999999999999999E-2</v>
      </c>
      <c r="O155" s="242">
        <f>'[2]China Sun Meal Exports'!GQ$290</f>
        <v>6.0000000000000001E-3</v>
      </c>
      <c r="P155" s="242">
        <f>'[2]China Sun Meal Exports'!HC$290</f>
        <v>0.29599999999999999</v>
      </c>
      <c r="Q155" s="242">
        <f>'[2]China Sun Meal Exports'!HO$290</f>
        <v>7.6999999999999999E-2</v>
      </c>
      <c r="R155" s="242">
        <f>'[2]China Sun Meal Exports'!IA$290</f>
        <v>1.7999999999999999E-2</v>
      </c>
      <c r="S155" s="242">
        <f>'[2]China Sun Meal Exports'!IM$290</f>
        <v>3.5999999999999997E-2</v>
      </c>
      <c r="T155" s="242">
        <f>'[2]China Sun Meal Exports'!IY$290</f>
        <v>5.2999999999999999E-2</v>
      </c>
      <c r="U155" s="242">
        <f>'[2]China Sun Meal Exports'!JK$290</f>
        <v>0.22</v>
      </c>
      <c r="V155" s="242">
        <f>'[2]China Sun Meal Exports'!JW$290</f>
        <v>0.08</v>
      </c>
      <c r="W155" s="242">
        <f>'[2]China Sun Meal Exports'!KI$290</f>
        <v>2.1949999999999998</v>
      </c>
      <c r="X155" s="242">
        <f>'[2]China Sun Meal Exports'!KU$290</f>
        <v>2.4060000000000001</v>
      </c>
      <c r="Y155" s="242">
        <f>'[2]China Sun Meal Exports'!LG$290</f>
        <v>2.907</v>
      </c>
      <c r="Z155" s="242">
        <f>'[2]China Sun Meal Exports'!LS$290</f>
        <v>1.8360000000000001</v>
      </c>
      <c r="AA155" s="242">
        <f>'[2]China Sun Meal Exports'!ME$290</f>
        <v>1.6180000000000001</v>
      </c>
      <c r="AB155" s="242">
        <f>'[2]China Sun Meal Exports'!MQ$290</f>
        <v>1.35</v>
      </c>
      <c r="AC155" s="242">
        <f>'[2]China Sun Meal Exports'!NC$290</f>
        <v>0</v>
      </c>
      <c r="AD155" s="243">
        <f t="shared" ref="AD155:AE155" si="101">AD156-SUM(AD144:AD154)</f>
        <v>1.6759433327696671</v>
      </c>
      <c r="AE155" s="243">
        <f t="shared" si="101"/>
        <v>0.87465970961887507</v>
      </c>
      <c r="AF155" s="243">
        <f t="shared" ref="AF155:AH155" si="102">AF156-SUM(AF144:AF154)</f>
        <v>1.0540092279916173</v>
      </c>
      <c r="AG155" s="243">
        <f t="shared" si="102"/>
        <v>1.1502601334782376</v>
      </c>
      <c r="AH155" s="243">
        <f t="shared" si="102"/>
        <v>1.1176909631122207</v>
      </c>
    </row>
    <row r="156" spans="1:34" ht="15.75" thickBot="1">
      <c r="A156" s="240" t="s">
        <v>242</v>
      </c>
      <c r="B156" s="242">
        <f t="shared" ref="B156:C156" si="103">B27</f>
        <v>60</v>
      </c>
      <c r="C156" s="242">
        <f t="shared" si="103"/>
        <v>80</v>
      </c>
      <c r="D156" s="242">
        <f t="shared" ref="D156:G156" si="104">SUM(D144:D155)</f>
        <v>4.9459599999999995</v>
      </c>
      <c r="E156" s="242">
        <f t="shared" si="104"/>
        <v>6.1823060000000005</v>
      </c>
      <c r="F156" s="242">
        <f t="shared" si="104"/>
        <v>0</v>
      </c>
      <c r="G156" s="242">
        <f t="shared" si="104"/>
        <v>0</v>
      </c>
      <c r="H156" s="242">
        <f t="shared" ref="H156:AB156" si="105">SUM(H144:H155)</f>
        <v>8.0975699999999993</v>
      </c>
      <c r="I156" s="242">
        <f t="shared" si="105"/>
        <v>0</v>
      </c>
      <c r="J156" s="242">
        <f t="shared" si="105"/>
        <v>0.161</v>
      </c>
      <c r="K156" s="242">
        <f t="shared" si="105"/>
        <v>0.74849999999999994</v>
      </c>
      <c r="L156" s="242">
        <f t="shared" si="105"/>
        <v>0</v>
      </c>
      <c r="M156" s="242">
        <f t="shared" si="105"/>
        <v>1.6E-2</v>
      </c>
      <c r="N156" s="242">
        <f t="shared" si="105"/>
        <v>5.3000000000000005E-2</v>
      </c>
      <c r="O156" s="242">
        <f t="shared" si="105"/>
        <v>0.39900000000000002</v>
      </c>
      <c r="P156" s="242">
        <f t="shared" si="105"/>
        <v>2.746</v>
      </c>
      <c r="Q156" s="242">
        <f t="shared" si="105"/>
        <v>6.3150000000000004</v>
      </c>
      <c r="R156" s="242">
        <f t="shared" si="105"/>
        <v>0.44900000000000001</v>
      </c>
      <c r="S156" s="242">
        <f t="shared" si="105"/>
        <v>0.46199999999999991</v>
      </c>
      <c r="T156" s="242">
        <f t="shared" si="105"/>
        <v>0.76400000000000012</v>
      </c>
      <c r="U156" s="242">
        <f t="shared" si="105"/>
        <v>1.028</v>
      </c>
      <c r="V156" s="242">
        <f t="shared" si="105"/>
        <v>1.3860000000000001</v>
      </c>
      <c r="W156" s="242">
        <f t="shared" si="105"/>
        <v>9.7569999999999997</v>
      </c>
      <c r="X156" s="242">
        <f t="shared" si="105"/>
        <v>23.287999999999997</v>
      </c>
      <c r="Y156" s="242">
        <f t="shared" si="105"/>
        <v>31.681000000000001</v>
      </c>
      <c r="Z156" s="242">
        <f t="shared" si="105"/>
        <v>23.501999999999999</v>
      </c>
      <c r="AA156" s="242">
        <f t="shared" si="105"/>
        <v>13.648</v>
      </c>
      <c r="AB156" s="242">
        <f t="shared" si="105"/>
        <v>14.327</v>
      </c>
      <c r="AC156" s="242">
        <f>SUM(AC144:AC155)</f>
        <v>5.0019999999999998</v>
      </c>
      <c r="AD156" s="243">
        <f>AD27</f>
        <v>5</v>
      </c>
      <c r="AE156" s="243">
        <f>AE27</f>
        <v>10</v>
      </c>
      <c r="AF156" s="243">
        <f>AF27</f>
        <v>10</v>
      </c>
      <c r="AG156" s="243">
        <f t="shared" ref="AG156:AH156" si="106">AG27</f>
        <v>10</v>
      </c>
      <c r="AH156" s="243">
        <f t="shared" si="106"/>
        <v>10</v>
      </c>
    </row>
    <row r="157" spans="1:34">
      <c r="A157" s="248"/>
      <c r="B157" s="248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  <c r="AE157" s="248"/>
      <c r="AF157" s="248"/>
      <c r="AG157" s="248"/>
      <c r="AH157" s="248"/>
    </row>
    <row r="158" spans="1:34" ht="15.75" thickBot="1">
      <c r="A158" s="235" t="s">
        <v>258</v>
      </c>
      <c r="D158" s="264"/>
      <c r="E158" s="264"/>
      <c r="F158" s="264"/>
      <c r="G158" s="264"/>
      <c r="H158" s="264"/>
      <c r="I158" s="264"/>
      <c r="J158" s="264"/>
    </row>
    <row r="159" spans="1:34" ht="15.75" thickBot="1">
      <c r="A159" s="236"/>
      <c r="B159" s="237" t="str">
        <f>B$2</f>
        <v xml:space="preserve">93/94 </v>
      </c>
      <c r="C159" s="237" t="str">
        <f t="shared" ref="C159:AH159" si="107">C$2</f>
        <v xml:space="preserve">94/95 </v>
      </c>
      <c r="D159" s="237" t="str">
        <f t="shared" si="107"/>
        <v xml:space="preserve">95/96 </v>
      </c>
      <c r="E159" s="237" t="str">
        <f t="shared" si="107"/>
        <v xml:space="preserve">96/97 </v>
      </c>
      <c r="F159" s="237" t="str">
        <f t="shared" si="107"/>
        <v xml:space="preserve">97/98 </v>
      </c>
      <c r="G159" s="237" t="str">
        <f t="shared" si="107"/>
        <v xml:space="preserve">98/99 </v>
      </c>
      <c r="H159" s="237" t="str">
        <f t="shared" si="107"/>
        <v xml:space="preserve">99/00 </v>
      </c>
      <c r="I159" s="237" t="str">
        <f t="shared" si="107"/>
        <v xml:space="preserve">00/01 </v>
      </c>
      <c r="J159" s="237" t="str">
        <f t="shared" si="107"/>
        <v xml:space="preserve">01/02 </v>
      </c>
      <c r="K159" s="237" t="str">
        <f t="shared" si="107"/>
        <v xml:space="preserve">02/03 </v>
      </c>
      <c r="L159" s="237" t="str">
        <f t="shared" si="107"/>
        <v xml:space="preserve">03/04 </v>
      </c>
      <c r="M159" s="237" t="str">
        <f t="shared" si="107"/>
        <v xml:space="preserve">04/05 </v>
      </c>
      <c r="N159" s="237" t="str">
        <f t="shared" si="107"/>
        <v xml:space="preserve">05/06 </v>
      </c>
      <c r="O159" s="237" t="str">
        <f t="shared" si="107"/>
        <v xml:space="preserve">06/07 </v>
      </c>
      <c r="P159" s="237" t="str">
        <f t="shared" si="107"/>
        <v xml:space="preserve">07/08 </v>
      </c>
      <c r="Q159" s="237" t="str">
        <f t="shared" si="107"/>
        <v xml:space="preserve">08/09 </v>
      </c>
      <c r="R159" s="237" t="str">
        <f t="shared" si="107"/>
        <v xml:space="preserve">09/10 </v>
      </c>
      <c r="S159" s="237" t="str">
        <f t="shared" si="107"/>
        <v xml:space="preserve">10/11 </v>
      </c>
      <c r="T159" s="237" t="str">
        <f t="shared" si="107"/>
        <v xml:space="preserve">11/12 </v>
      </c>
      <c r="U159" s="237" t="str">
        <f t="shared" si="107"/>
        <v xml:space="preserve">12/13 </v>
      </c>
      <c r="V159" s="237" t="str">
        <f t="shared" si="107"/>
        <v xml:space="preserve">13/14 </v>
      </c>
      <c r="W159" s="237" t="str">
        <f t="shared" si="107"/>
        <v xml:space="preserve">14/15 </v>
      </c>
      <c r="X159" s="237" t="str">
        <f t="shared" si="107"/>
        <v xml:space="preserve">15/16 </v>
      </c>
      <c r="Y159" s="237" t="str">
        <f t="shared" si="107"/>
        <v xml:space="preserve">16/17 </v>
      </c>
      <c r="Z159" s="237" t="str">
        <f t="shared" si="107"/>
        <v xml:space="preserve">17/18 </v>
      </c>
      <c r="AA159" s="237" t="str">
        <f t="shared" si="107"/>
        <v xml:space="preserve">18/19 </v>
      </c>
      <c r="AB159" s="237" t="str">
        <f t="shared" si="107"/>
        <v xml:space="preserve">19/20 </v>
      </c>
      <c r="AC159" s="237" t="str">
        <f t="shared" si="107"/>
        <v xml:space="preserve">20/21 </v>
      </c>
      <c r="AD159" s="237" t="str">
        <f t="shared" si="107"/>
        <v xml:space="preserve">21/22 </v>
      </c>
      <c r="AE159" s="237" t="str">
        <f t="shared" si="107"/>
        <v xml:space="preserve">22/23 </v>
      </c>
      <c r="AF159" s="237" t="str">
        <f t="shared" si="107"/>
        <v>23/24</v>
      </c>
      <c r="AG159" s="237" t="str">
        <f t="shared" si="107"/>
        <v>23/25</v>
      </c>
      <c r="AH159" s="237" t="str">
        <f t="shared" si="107"/>
        <v>23/26</v>
      </c>
    </row>
    <row r="160" spans="1:34">
      <c r="A160" s="240" t="s">
        <v>239</v>
      </c>
      <c r="B160" s="290">
        <f>B22+B96+B128-B144-B176</f>
        <v>36.390653874479675</v>
      </c>
      <c r="C160" s="290">
        <f>B187+C96+C128-C144-C176</f>
        <v>-7.7211366597988018</v>
      </c>
      <c r="D160" s="290">
        <f t="shared" ref="D160:AD160" si="108">C187+D96+D128-D144-D176</f>
        <v>39.339480089362702</v>
      </c>
      <c r="E160" s="290">
        <f t="shared" si="108"/>
        <v>35.881351373819932</v>
      </c>
      <c r="F160" s="290">
        <f t="shared" si="108"/>
        <v>34.501407921220022</v>
      </c>
      <c r="G160" s="290">
        <f t="shared" si="108"/>
        <v>39.243137276193842</v>
      </c>
      <c r="H160" s="290">
        <f t="shared" si="108"/>
        <v>41.657675166740539</v>
      </c>
      <c r="I160" s="290">
        <f t="shared" si="108"/>
        <v>44.024800005664055</v>
      </c>
      <c r="J160" s="290">
        <f t="shared" si="108"/>
        <v>30.371455076999759</v>
      </c>
      <c r="K160" s="290">
        <f t="shared" si="108"/>
        <v>40.124877819302242</v>
      </c>
      <c r="L160" s="290">
        <f t="shared" si="108"/>
        <v>37.152709062783622</v>
      </c>
      <c r="M160" s="290">
        <f t="shared" si="108"/>
        <v>37.045822604987521</v>
      </c>
      <c r="N160" s="290">
        <f t="shared" si="108"/>
        <v>50.323619385594782</v>
      </c>
      <c r="O160" s="290">
        <f t="shared" si="108"/>
        <v>31.494349872498926</v>
      </c>
      <c r="P160" s="290">
        <f t="shared" si="108"/>
        <v>30.43651101223551</v>
      </c>
      <c r="Q160" s="290">
        <f t="shared" si="108"/>
        <v>39.992216921767721</v>
      </c>
      <c r="R160" s="290">
        <f t="shared" si="108"/>
        <v>40.595148663439183</v>
      </c>
      <c r="S160" s="290">
        <f t="shared" si="108"/>
        <v>44.502562051539982</v>
      </c>
      <c r="T160" s="290">
        <f t="shared" si="108"/>
        <v>50.558806099355614</v>
      </c>
      <c r="U160" s="290">
        <f t="shared" si="108"/>
        <v>62.294300168013514</v>
      </c>
      <c r="V160" s="290">
        <f t="shared" si="108"/>
        <v>53.446287878561236</v>
      </c>
      <c r="W160" s="290">
        <f t="shared" si="108"/>
        <v>50.413822199091207</v>
      </c>
      <c r="X160" s="290">
        <f t="shared" si="108"/>
        <v>55.205222482913733</v>
      </c>
      <c r="Y160" s="290">
        <f t="shared" si="108"/>
        <v>83.510393063654178</v>
      </c>
      <c r="Z160" s="290">
        <f t="shared" si="108"/>
        <v>89.068536458819281</v>
      </c>
      <c r="AA160" s="290">
        <f t="shared" si="108"/>
        <v>79.264989790182099</v>
      </c>
      <c r="AB160" s="290">
        <f t="shared" si="108"/>
        <v>47.211352850807138</v>
      </c>
      <c r="AC160" s="290">
        <f t="shared" si="108"/>
        <v>135.7404809033759</v>
      </c>
      <c r="AD160" s="290">
        <f t="shared" si="108"/>
        <v>88.578747606505104</v>
      </c>
      <c r="AE160" s="253">
        <f>AE22+AE96+AE128-AE144-AE176</f>
        <v>112.39763287776589</v>
      </c>
      <c r="AF160" s="253">
        <f>AF22+AF96+AF128-AF144-AF176</f>
        <v>109.76194640718619</v>
      </c>
      <c r="AG160" s="253">
        <f t="shared" ref="AG160:AH160" si="109">AG22+AG96+AG128-AG144-AG176</f>
        <v>110.15223806566719</v>
      </c>
      <c r="AH160" s="253">
        <f t="shared" si="109"/>
        <v>109.45871640564862</v>
      </c>
    </row>
    <row r="161" spans="1:34">
      <c r="A161" s="240" t="s">
        <v>240</v>
      </c>
      <c r="B161" s="290">
        <f>B176+B97+B129-B145-B177</f>
        <v>37.858469726892508</v>
      </c>
      <c r="C161" s="290">
        <f>C176+C97+C129-C145-C177</f>
        <v>32.746651736008538</v>
      </c>
      <c r="D161" s="290">
        <f t="shared" ref="D161:AH169" si="110">D176+D97+D129-D145-D177</f>
        <v>40.446433070913159</v>
      </c>
      <c r="E161" s="290">
        <f t="shared" si="110"/>
        <v>39.013354888869131</v>
      </c>
      <c r="F161" s="290">
        <f t="shared" si="110"/>
        <v>35.484673880056171</v>
      </c>
      <c r="G161" s="290">
        <f t="shared" si="110"/>
        <v>40.305764465304236</v>
      </c>
      <c r="H161" s="290">
        <f t="shared" si="110"/>
        <v>42.702119475741718</v>
      </c>
      <c r="I161" s="290">
        <f t="shared" si="110"/>
        <v>45.484692341774036</v>
      </c>
      <c r="J161" s="290">
        <f t="shared" si="110"/>
        <v>31.341480199854214</v>
      </c>
      <c r="K161" s="290">
        <f t="shared" si="110"/>
        <v>41.061206494320054</v>
      </c>
      <c r="L161" s="290">
        <f t="shared" si="110"/>
        <v>38.562670884135514</v>
      </c>
      <c r="M161" s="290">
        <f t="shared" si="110"/>
        <v>38.092458519015715</v>
      </c>
      <c r="N161" s="290">
        <f t="shared" si="110"/>
        <v>53.652960373553618</v>
      </c>
      <c r="O161" s="290">
        <f t="shared" si="110"/>
        <v>32.936834681599805</v>
      </c>
      <c r="P161" s="290">
        <f t="shared" si="110"/>
        <v>29.998870447216326</v>
      </c>
      <c r="Q161" s="290">
        <f t="shared" si="110"/>
        <v>39.35347744043348</v>
      </c>
      <c r="R161" s="290">
        <f t="shared" si="110"/>
        <v>40.225633394268442</v>
      </c>
      <c r="S161" s="290">
        <f t="shared" si="110"/>
        <v>56.749885287106856</v>
      </c>
      <c r="T161" s="290">
        <f t="shared" si="110"/>
        <v>44.714946311716695</v>
      </c>
      <c r="U161" s="290">
        <f t="shared" si="110"/>
        <v>53.345755226346981</v>
      </c>
      <c r="V161" s="290">
        <f t="shared" si="110"/>
        <v>54.170433863877712</v>
      </c>
      <c r="W161" s="290">
        <f t="shared" si="110"/>
        <v>49.910059204285076</v>
      </c>
      <c r="X161" s="290">
        <f t="shared" si="110"/>
        <v>76.462409088038882</v>
      </c>
      <c r="Y161" s="290">
        <f t="shared" si="110"/>
        <v>73.003553593233676</v>
      </c>
      <c r="Z161" s="290">
        <f t="shared" si="110"/>
        <v>79.220169552201483</v>
      </c>
      <c r="AA161" s="290">
        <f t="shared" si="110"/>
        <v>75.80195890143726</v>
      </c>
      <c r="AB161" s="290">
        <f t="shared" si="110"/>
        <v>165.65245002507774</v>
      </c>
      <c r="AC161" s="290">
        <f t="shared" si="110"/>
        <v>258.15586683627004</v>
      </c>
      <c r="AD161" s="290">
        <f t="shared" si="110"/>
        <v>373.40187800906938</v>
      </c>
      <c r="AE161" s="253">
        <f t="shared" si="110"/>
        <v>179.46818967150389</v>
      </c>
      <c r="AF161" s="253">
        <f t="shared" si="110"/>
        <v>246.77578795267365</v>
      </c>
      <c r="AG161" s="253">
        <f t="shared" si="110"/>
        <v>241.19449064439476</v>
      </c>
      <c r="AH161" s="253">
        <f t="shared" si="110"/>
        <v>260.21164765829764</v>
      </c>
    </row>
    <row r="162" spans="1:34">
      <c r="A162" s="240" t="s">
        <v>241</v>
      </c>
      <c r="B162" s="290">
        <f t="shared" ref="B162:Q171" si="111">B177+B98+B130-B146-B178</f>
        <v>38.046967018610843</v>
      </c>
      <c r="C162" s="290">
        <f t="shared" si="111"/>
        <v>33.211074210968775</v>
      </c>
      <c r="D162" s="290">
        <f t="shared" si="110"/>
        <v>41.530803427797458</v>
      </c>
      <c r="E162" s="290">
        <f t="shared" si="110"/>
        <v>39.945466403860443</v>
      </c>
      <c r="F162" s="290">
        <f t="shared" si="110"/>
        <v>36.352505095692429</v>
      </c>
      <c r="G162" s="290">
        <f t="shared" si="110"/>
        <v>41.398569695796418</v>
      </c>
      <c r="H162" s="290">
        <f t="shared" si="110"/>
        <v>44.126043553848326</v>
      </c>
      <c r="I162" s="290">
        <f t="shared" si="110"/>
        <v>46.462910934193538</v>
      </c>
      <c r="J162" s="290">
        <f t="shared" si="110"/>
        <v>31.86480132232807</v>
      </c>
      <c r="K162" s="290">
        <f t="shared" si="110"/>
        <v>42.051206880181255</v>
      </c>
      <c r="L162" s="290">
        <f t="shared" si="110"/>
        <v>38.950873409533074</v>
      </c>
      <c r="M162" s="290">
        <f t="shared" si="110"/>
        <v>40.852517169382359</v>
      </c>
      <c r="N162" s="290">
        <f t="shared" si="110"/>
        <v>53.103999004262391</v>
      </c>
      <c r="O162" s="290">
        <f t="shared" si="110"/>
        <v>32.258186292692599</v>
      </c>
      <c r="P162" s="290">
        <f t="shared" si="110"/>
        <v>31.673670560508061</v>
      </c>
      <c r="Q162" s="290">
        <f t="shared" si="110"/>
        <v>45.566547541712701</v>
      </c>
      <c r="R162" s="290">
        <f t="shared" si="110"/>
        <v>47.727622775371437</v>
      </c>
      <c r="S162" s="290">
        <f t="shared" si="110"/>
        <v>38.364871708535937</v>
      </c>
      <c r="T162" s="290">
        <f t="shared" si="110"/>
        <v>45.525327829525772</v>
      </c>
      <c r="U162" s="290">
        <f t="shared" si="110"/>
        <v>71.183766091370103</v>
      </c>
      <c r="V162" s="290">
        <f t="shared" si="110"/>
        <v>79.799917048628416</v>
      </c>
      <c r="W162" s="290">
        <f t="shared" si="110"/>
        <v>72.899466007557891</v>
      </c>
      <c r="X162" s="290">
        <f t="shared" si="110"/>
        <v>65.094865232275723</v>
      </c>
      <c r="Y162" s="290">
        <f t="shared" si="110"/>
        <v>76.141713409524684</v>
      </c>
      <c r="Z162" s="290">
        <f t="shared" si="110"/>
        <v>84.55022351103942</v>
      </c>
      <c r="AA162" s="290">
        <f t="shared" si="110"/>
        <v>227.31520203398753</v>
      </c>
      <c r="AB162" s="290">
        <f t="shared" si="110"/>
        <v>292.18007673610043</v>
      </c>
      <c r="AC162" s="290">
        <f t="shared" si="110"/>
        <v>280.38718801382157</v>
      </c>
      <c r="AD162" s="290">
        <f t="shared" si="110"/>
        <v>326.36751193465386</v>
      </c>
      <c r="AE162" s="253">
        <f t="shared" si="110"/>
        <v>271.62298008471635</v>
      </c>
      <c r="AF162" s="253">
        <f t="shared" si="110"/>
        <v>315.23657273501732</v>
      </c>
      <c r="AG162" s="253">
        <f t="shared" si="110"/>
        <v>318.60309359203967</v>
      </c>
      <c r="AH162" s="253">
        <f t="shared" si="110"/>
        <v>314.8037945816148</v>
      </c>
    </row>
    <row r="163" spans="1:34">
      <c r="A163" s="240" t="s">
        <v>231</v>
      </c>
      <c r="B163" s="290">
        <f t="shared" si="111"/>
        <v>35.406413369954336</v>
      </c>
      <c r="C163" s="290">
        <f t="shared" si="111"/>
        <v>37.921015583703841</v>
      </c>
      <c r="D163" s="290">
        <f t="shared" si="110"/>
        <v>35.427837142732372</v>
      </c>
      <c r="E163" s="290">
        <f t="shared" si="110"/>
        <v>35.605606663221884</v>
      </c>
      <c r="F163" s="290">
        <f t="shared" si="110"/>
        <v>37.029791183051188</v>
      </c>
      <c r="G163" s="290">
        <f t="shared" si="110"/>
        <v>36.270372623120274</v>
      </c>
      <c r="H163" s="290">
        <f t="shared" si="110"/>
        <v>38.557831513993627</v>
      </c>
      <c r="I163" s="290">
        <f t="shared" si="110"/>
        <v>40.810863047196719</v>
      </c>
      <c r="J163" s="290">
        <f t="shared" si="110"/>
        <v>28.024811269128652</v>
      </c>
      <c r="K163" s="290">
        <f t="shared" si="110"/>
        <v>36.926799643600908</v>
      </c>
      <c r="L163" s="290">
        <f t="shared" si="110"/>
        <v>35.14191881350196</v>
      </c>
      <c r="M163" s="290">
        <f t="shared" si="110"/>
        <v>35.234901095468615</v>
      </c>
      <c r="N163" s="290">
        <f t="shared" si="110"/>
        <v>47.585148631463639</v>
      </c>
      <c r="O163" s="290">
        <f t="shared" si="110"/>
        <v>28.777768327835467</v>
      </c>
      <c r="P163" s="290">
        <f t="shared" si="110"/>
        <v>27.876333299282074</v>
      </c>
      <c r="Q163" s="290">
        <f t="shared" si="110"/>
        <v>37.977132884033658</v>
      </c>
      <c r="R163" s="290">
        <f t="shared" si="110"/>
        <v>39.752895509389596</v>
      </c>
      <c r="S163" s="290">
        <f t="shared" si="110"/>
        <v>41.284706013760854</v>
      </c>
      <c r="T163" s="290">
        <f t="shared" si="110"/>
        <v>38.697723396177487</v>
      </c>
      <c r="U163" s="290">
        <f t="shared" si="110"/>
        <v>61.109002722697589</v>
      </c>
      <c r="V163" s="290">
        <f t="shared" si="110"/>
        <v>53.083347119921299</v>
      </c>
      <c r="W163" s="290">
        <f t="shared" si="110"/>
        <v>60.962082223356177</v>
      </c>
      <c r="X163" s="290">
        <f t="shared" si="110"/>
        <v>62.167939625674556</v>
      </c>
      <c r="Y163" s="290">
        <f t="shared" si="110"/>
        <v>69.576700351088505</v>
      </c>
      <c r="Z163" s="290">
        <f t="shared" si="110"/>
        <v>101.63034569128577</v>
      </c>
      <c r="AA163" s="290">
        <f t="shared" si="110"/>
        <v>382.66989495685993</v>
      </c>
      <c r="AB163" s="290">
        <f t="shared" si="110"/>
        <v>240.60763199565525</v>
      </c>
      <c r="AC163" s="290">
        <f t="shared" si="110"/>
        <v>385.50857237906888</v>
      </c>
      <c r="AD163" s="253">
        <f t="shared" si="110"/>
        <v>363.11058905157051</v>
      </c>
      <c r="AE163" s="253">
        <f t="shared" si="110"/>
        <v>338.94496031340384</v>
      </c>
      <c r="AF163" s="253">
        <f t="shared" si="110"/>
        <v>386.16144168372824</v>
      </c>
      <c r="AG163" s="253">
        <f t="shared" si="110"/>
        <v>386.88452944869982</v>
      </c>
      <c r="AH163" s="253">
        <f t="shared" si="110"/>
        <v>360.73801523161018</v>
      </c>
    </row>
    <row r="164" spans="1:34">
      <c r="A164" s="240" t="s">
        <v>232</v>
      </c>
      <c r="B164" s="290">
        <f t="shared" si="111"/>
        <v>27.121355787683797</v>
      </c>
      <c r="C164" s="290">
        <f t="shared" si="111"/>
        <v>30.475703113999582</v>
      </c>
      <c r="D164" s="290">
        <f t="shared" si="110"/>
        <v>27.452410117159364</v>
      </c>
      <c r="E164" s="290">
        <f t="shared" si="110"/>
        <v>26.873719080967863</v>
      </c>
      <c r="F164" s="290">
        <f t="shared" si="110"/>
        <v>24.084019135093691</v>
      </c>
      <c r="G164" s="290">
        <f t="shared" si="110"/>
        <v>27.400184310212921</v>
      </c>
      <c r="H164" s="290">
        <f t="shared" si="110"/>
        <v>29.083400175839618</v>
      </c>
      <c r="I164" s="290">
        <f t="shared" si="110"/>
        <v>30.67471987187303</v>
      </c>
      <c r="J164" s="290">
        <f t="shared" si="110"/>
        <v>21.26226427985274</v>
      </c>
      <c r="K164" s="290">
        <f t="shared" si="110"/>
        <v>29.685365640699896</v>
      </c>
      <c r="L164" s="290">
        <f t="shared" si="110"/>
        <v>28.721066871037568</v>
      </c>
      <c r="M164" s="290">
        <f t="shared" si="110"/>
        <v>26.047387446770237</v>
      </c>
      <c r="N164" s="290">
        <f t="shared" si="110"/>
        <v>35.301586646219953</v>
      </c>
      <c r="O164" s="290">
        <f t="shared" si="110"/>
        <v>23.641246102054026</v>
      </c>
      <c r="P164" s="290">
        <f t="shared" si="110"/>
        <v>20.771936870334969</v>
      </c>
      <c r="Q164" s="290">
        <f t="shared" si="110"/>
        <v>28.261015455925218</v>
      </c>
      <c r="R164" s="290">
        <f t="shared" si="110"/>
        <v>28.453940662313826</v>
      </c>
      <c r="S164" s="290">
        <f t="shared" si="110"/>
        <v>29.553765187460716</v>
      </c>
      <c r="T164" s="290">
        <f t="shared" si="110"/>
        <v>42.025038111344905</v>
      </c>
      <c r="U164" s="290">
        <f t="shared" si="110"/>
        <v>34.632591514696969</v>
      </c>
      <c r="V164" s="290">
        <f t="shared" si="110"/>
        <v>43.136774353437374</v>
      </c>
      <c r="W164" s="290">
        <f t="shared" si="110"/>
        <v>31.541072388912404</v>
      </c>
      <c r="X164" s="290">
        <f t="shared" si="110"/>
        <v>44.625843974916805</v>
      </c>
      <c r="Y164" s="290">
        <f t="shared" si="110"/>
        <v>67.0932905880275</v>
      </c>
      <c r="Z164" s="290">
        <f t="shared" si="110"/>
        <v>62.538775233913782</v>
      </c>
      <c r="AA164" s="290">
        <f t="shared" si="110"/>
        <v>128.8062084045917</v>
      </c>
      <c r="AB164" s="290">
        <f t="shared" si="110"/>
        <v>306.60575573181671</v>
      </c>
      <c r="AC164" s="290">
        <f t="shared" si="110"/>
        <v>106.64470989267123</v>
      </c>
      <c r="AD164" s="253">
        <f t="shared" si="110"/>
        <v>401.83872407565866</v>
      </c>
      <c r="AE164" s="253">
        <f t="shared" si="110"/>
        <v>191.25304331700821</v>
      </c>
      <c r="AF164" s="253">
        <f t="shared" si="110"/>
        <v>264.42872348136603</v>
      </c>
      <c r="AG164" s="253">
        <f t="shared" si="110"/>
        <v>256.50880174178133</v>
      </c>
      <c r="AH164" s="253">
        <f t="shared" si="110"/>
        <v>266.61367593420567</v>
      </c>
    </row>
    <row r="165" spans="1:34">
      <c r="A165" s="240" t="s">
        <v>233</v>
      </c>
      <c r="B165" s="290">
        <f t="shared" si="111"/>
        <v>32.097306209655095</v>
      </c>
      <c r="C165" s="290">
        <f t="shared" si="111"/>
        <v>37.762700233682168</v>
      </c>
      <c r="D165" s="290">
        <f t="shared" si="110"/>
        <v>33.960733860873866</v>
      </c>
      <c r="E165" s="290">
        <f t="shared" si="110"/>
        <v>33.216123761709646</v>
      </c>
      <c r="F165" s="290">
        <f t="shared" si="110"/>
        <v>29.734112967968017</v>
      </c>
      <c r="G165" s="290">
        <f t="shared" si="110"/>
        <v>33.83009463637417</v>
      </c>
      <c r="H165" s="290">
        <f t="shared" si="110"/>
        <v>36.026840811438838</v>
      </c>
      <c r="I165" s="290">
        <f t="shared" si="110"/>
        <v>38.051934678602954</v>
      </c>
      <c r="J165" s="290">
        <f t="shared" si="110"/>
        <v>26.112895201946696</v>
      </c>
      <c r="K165" s="290">
        <f t="shared" si="110"/>
        <v>36.192615886348918</v>
      </c>
      <c r="L165" s="290">
        <f t="shared" si="110"/>
        <v>33.916046429462263</v>
      </c>
      <c r="M165" s="290">
        <f t="shared" si="110"/>
        <v>32.68169062886578</v>
      </c>
      <c r="N165" s="290">
        <f t="shared" si="110"/>
        <v>44.814581374371322</v>
      </c>
      <c r="O165" s="290">
        <f t="shared" si="110"/>
        <v>26.39616108096758</v>
      </c>
      <c r="P165" s="290">
        <f t="shared" si="110"/>
        <v>23.856067384548926</v>
      </c>
      <c r="Q165" s="290">
        <f t="shared" si="110"/>
        <v>35.94688735611085</v>
      </c>
      <c r="R165" s="290">
        <f t="shared" si="110"/>
        <v>39.033332419746301</v>
      </c>
      <c r="S165" s="290">
        <f t="shared" si="110"/>
        <v>34.994948142205374</v>
      </c>
      <c r="T165" s="290">
        <f t="shared" si="110"/>
        <v>37.385054338065117</v>
      </c>
      <c r="U165" s="290">
        <f t="shared" si="110"/>
        <v>51.073586246011743</v>
      </c>
      <c r="V165" s="290">
        <f t="shared" si="110"/>
        <v>62.001600108150235</v>
      </c>
      <c r="W165" s="290">
        <f t="shared" si="110"/>
        <v>63.633567389134889</v>
      </c>
      <c r="X165" s="290">
        <f t="shared" si="110"/>
        <v>53.550969386725242</v>
      </c>
      <c r="Y165" s="290">
        <f t="shared" si="110"/>
        <v>61.089671480081982</v>
      </c>
      <c r="Z165" s="290">
        <f t="shared" si="110"/>
        <v>85.342164673894757</v>
      </c>
      <c r="AA165" s="290">
        <f t="shared" si="110"/>
        <v>200.09028068313881</v>
      </c>
      <c r="AB165" s="290">
        <f t="shared" si="110"/>
        <v>194.5978269350035</v>
      </c>
      <c r="AC165" s="290">
        <f t="shared" si="110"/>
        <v>253.97232900341126</v>
      </c>
      <c r="AD165" s="253">
        <f t="shared" si="110"/>
        <v>363.70168261813251</v>
      </c>
      <c r="AE165" s="253">
        <f t="shared" si="110"/>
        <v>225.75397770912946</v>
      </c>
      <c r="AF165" s="253">
        <f t="shared" si="110"/>
        <v>287.08707842063183</v>
      </c>
      <c r="AG165" s="253">
        <f t="shared" si="110"/>
        <v>281.43959611946065</v>
      </c>
      <c r="AH165" s="253">
        <f t="shared" si="110"/>
        <v>279.7840009817553</v>
      </c>
    </row>
    <row r="166" spans="1:34">
      <c r="A166" s="240" t="s">
        <v>234</v>
      </c>
      <c r="B166" s="290">
        <f t="shared" si="111"/>
        <v>33.032324991784435</v>
      </c>
      <c r="C166" s="290">
        <f t="shared" si="111"/>
        <v>39.807911224952782</v>
      </c>
      <c r="D166" s="290">
        <f t="shared" si="110"/>
        <v>35.780309898715082</v>
      </c>
      <c r="E166" s="290">
        <f t="shared" si="110"/>
        <v>34.339796156218</v>
      </c>
      <c r="F166" s="290">
        <f t="shared" si="110"/>
        <v>31.383002440287203</v>
      </c>
      <c r="G166" s="290">
        <f t="shared" si="110"/>
        <v>35.703389235733368</v>
      </c>
      <c r="H166" s="290">
        <f t="shared" si="110"/>
        <v>35.717681512107191</v>
      </c>
      <c r="I166" s="290">
        <f t="shared" si="110"/>
        <v>39.995518302582049</v>
      </c>
      <c r="J166" s="290">
        <f t="shared" si="110"/>
        <v>27.547646842393252</v>
      </c>
      <c r="K166" s="290">
        <f t="shared" si="110"/>
        <v>39.891246198383989</v>
      </c>
      <c r="L166" s="290">
        <f t="shared" si="110"/>
        <v>34.92889490424929</v>
      </c>
      <c r="M166" s="290">
        <f t="shared" si="110"/>
        <v>33.687421023875721</v>
      </c>
      <c r="N166" s="290">
        <f t="shared" si="110"/>
        <v>46.216846544014757</v>
      </c>
      <c r="O166" s="290">
        <f t="shared" si="110"/>
        <v>28.367114128997901</v>
      </c>
      <c r="P166" s="290">
        <f t="shared" si="110"/>
        <v>27.973982650022254</v>
      </c>
      <c r="Q166" s="290">
        <f t="shared" si="110"/>
        <v>37.688919290223744</v>
      </c>
      <c r="R166" s="290">
        <f t="shared" si="110"/>
        <v>38.844977875634179</v>
      </c>
      <c r="S166" s="290">
        <f t="shared" si="110"/>
        <v>36.284295829461037</v>
      </c>
      <c r="T166" s="290">
        <f t="shared" si="110"/>
        <v>45.373198056805279</v>
      </c>
      <c r="U166" s="290">
        <f t="shared" si="110"/>
        <v>61.574898981052293</v>
      </c>
      <c r="V166" s="290">
        <f t="shared" si="110"/>
        <v>54.47791180645202</v>
      </c>
      <c r="W166" s="290">
        <f t="shared" si="110"/>
        <v>47.177632296702228</v>
      </c>
      <c r="X166" s="290">
        <f t="shared" si="110"/>
        <v>56.239266215090126</v>
      </c>
      <c r="Y166" s="290">
        <f t="shared" si="110"/>
        <v>67.791536415842018</v>
      </c>
      <c r="Z166" s="290">
        <f t="shared" si="110"/>
        <v>119.68856917202567</v>
      </c>
      <c r="AA166" s="290">
        <f t="shared" si="110"/>
        <v>74.288858181279537</v>
      </c>
      <c r="AB166" s="290">
        <f t="shared" si="110"/>
        <v>321.9336505009864</v>
      </c>
      <c r="AC166" s="290">
        <f t="shared" si="110"/>
        <v>334.9533100855777</v>
      </c>
      <c r="AD166" s="253">
        <f t="shared" si="110"/>
        <v>153.80774147354128</v>
      </c>
      <c r="AE166" s="253">
        <f t="shared" si="110"/>
        <v>259.72722578726228</v>
      </c>
      <c r="AF166" s="253">
        <f t="shared" si="110"/>
        <v>260.55261481697903</v>
      </c>
      <c r="AG166" s="253">
        <f t="shared" si="110"/>
        <v>261.42463028899533</v>
      </c>
      <c r="AH166" s="253">
        <f t="shared" si="110"/>
        <v>281.79171216661751</v>
      </c>
    </row>
    <row r="167" spans="1:34">
      <c r="A167" s="240" t="s">
        <v>46</v>
      </c>
      <c r="B167" s="290">
        <f t="shared" si="111"/>
        <v>34.06064215315115</v>
      </c>
      <c r="C167" s="290">
        <f t="shared" si="111"/>
        <v>41.947892932351152</v>
      </c>
      <c r="D167" s="290">
        <f t="shared" si="110"/>
        <v>37.750613054088134</v>
      </c>
      <c r="E167" s="290">
        <f t="shared" si="110"/>
        <v>36.945007213946674</v>
      </c>
      <c r="F167" s="290">
        <f t="shared" si="110"/>
        <v>33.082775385920641</v>
      </c>
      <c r="G167" s="290">
        <f t="shared" si="110"/>
        <v>37.587117705585314</v>
      </c>
      <c r="H167" s="290">
        <f t="shared" si="110"/>
        <v>38.887707542585375</v>
      </c>
      <c r="I167" s="290">
        <f t="shared" si="110"/>
        <v>42.424129974260616</v>
      </c>
      <c r="J167" s="290">
        <f t="shared" si="110"/>
        <v>29.180128578361465</v>
      </c>
      <c r="K167" s="290">
        <f t="shared" si="110"/>
        <v>38.926390822154367</v>
      </c>
      <c r="L167" s="290">
        <f t="shared" si="110"/>
        <v>36.084038808652771</v>
      </c>
      <c r="M167" s="290">
        <f t="shared" si="110"/>
        <v>35.098719748791908</v>
      </c>
      <c r="N167" s="290">
        <f t="shared" si="110"/>
        <v>50.588018996224413</v>
      </c>
      <c r="O167" s="290">
        <f t="shared" si="110"/>
        <v>29.576540861739911</v>
      </c>
      <c r="P167" s="290">
        <f t="shared" si="110"/>
        <v>27.832006490769945</v>
      </c>
      <c r="Q167" s="290">
        <f t="shared" si="110"/>
        <v>37.300940518653931</v>
      </c>
      <c r="R167" s="290">
        <f t="shared" si="110"/>
        <v>39.6997147571117</v>
      </c>
      <c r="S167" s="290">
        <f t="shared" si="110"/>
        <v>49.789176397827838</v>
      </c>
      <c r="T167" s="290">
        <f t="shared" si="110"/>
        <v>39.710921150125351</v>
      </c>
      <c r="U167" s="290">
        <f t="shared" si="110"/>
        <v>51.262559370150058</v>
      </c>
      <c r="V167" s="290">
        <f t="shared" si="110"/>
        <v>56.357162481213386</v>
      </c>
      <c r="W167" s="290">
        <f t="shared" si="110"/>
        <v>56.286233345174608</v>
      </c>
      <c r="X167" s="290">
        <f t="shared" si="110"/>
        <v>76.436606510002122</v>
      </c>
      <c r="Y167" s="290">
        <f t="shared" si="110"/>
        <v>93.569888325097537</v>
      </c>
      <c r="Z167" s="290">
        <f t="shared" si="110"/>
        <v>138.82878800317741</v>
      </c>
      <c r="AA167" s="290">
        <f t="shared" si="110"/>
        <v>56.360528456571529</v>
      </c>
      <c r="AB167" s="290">
        <f t="shared" si="110"/>
        <v>171.23746246465586</v>
      </c>
      <c r="AC167" s="290">
        <f t="shared" si="110"/>
        <v>181.48494221431008</v>
      </c>
      <c r="AD167" s="253">
        <f t="shared" si="110"/>
        <v>149.83674332795974</v>
      </c>
      <c r="AE167" s="253">
        <f t="shared" si="110"/>
        <v>177.43338889797107</v>
      </c>
      <c r="AF167" s="253">
        <f t="shared" si="110"/>
        <v>179.93966020790359</v>
      </c>
      <c r="AG167" s="253">
        <f t="shared" si="110"/>
        <v>170.4759366527235</v>
      </c>
      <c r="AH167" s="253">
        <f t="shared" si="110"/>
        <v>184.52541815367326</v>
      </c>
    </row>
    <row r="168" spans="1:34">
      <c r="A168" s="240" t="s">
        <v>235</v>
      </c>
      <c r="B168" s="290">
        <f t="shared" si="111"/>
        <v>37.346994126711834</v>
      </c>
      <c r="C168" s="290">
        <f t="shared" si="111"/>
        <v>43.688985316004498</v>
      </c>
      <c r="D168" s="290">
        <f t="shared" si="110"/>
        <v>39.294040876122764</v>
      </c>
      <c r="E168" s="290">
        <f t="shared" si="110"/>
        <v>37.7775831031922</v>
      </c>
      <c r="F168" s="290">
        <f t="shared" si="110"/>
        <v>34.401693496801116</v>
      </c>
      <c r="G168" s="290">
        <f t="shared" si="110"/>
        <v>39.135746265301371</v>
      </c>
      <c r="H168" s="290">
        <f t="shared" si="110"/>
        <v>37.662569018476269</v>
      </c>
      <c r="I168" s="290">
        <f t="shared" si="110"/>
        <v>44.045514948820852</v>
      </c>
      <c r="J168" s="290">
        <f t="shared" si="110"/>
        <v>30.170260173921189</v>
      </c>
      <c r="K168" s="290">
        <f t="shared" si="110"/>
        <v>41.548217044850531</v>
      </c>
      <c r="L168" s="290">
        <f t="shared" si="110"/>
        <v>37.98929372470549</v>
      </c>
      <c r="M168" s="290">
        <f t="shared" si="110"/>
        <v>37.187474432717465</v>
      </c>
      <c r="N168" s="290">
        <f t="shared" si="110"/>
        <v>51.521682078301936</v>
      </c>
      <c r="O168" s="290">
        <f t="shared" si="110"/>
        <v>30.187757416042889</v>
      </c>
      <c r="P168" s="290">
        <f t="shared" si="110"/>
        <v>28.895445999088754</v>
      </c>
      <c r="Q168" s="290">
        <f t="shared" si="110"/>
        <v>41.767677423169502</v>
      </c>
      <c r="R168" s="290">
        <f t="shared" si="110"/>
        <v>45.327040051015175</v>
      </c>
      <c r="S168" s="290">
        <f t="shared" si="110"/>
        <v>41.221250283842025</v>
      </c>
      <c r="T168" s="290">
        <f t="shared" si="110"/>
        <v>41.915182082823833</v>
      </c>
      <c r="U168" s="290">
        <f t="shared" si="110"/>
        <v>60.03428725285552</v>
      </c>
      <c r="V168" s="290">
        <f t="shared" si="110"/>
        <v>70.822503217619712</v>
      </c>
      <c r="W168" s="290">
        <f t="shared" si="110"/>
        <v>74.180716730988166</v>
      </c>
      <c r="X168" s="290">
        <f t="shared" si="110"/>
        <v>62.389927694692908</v>
      </c>
      <c r="Y168" s="290">
        <f t="shared" si="110"/>
        <v>72.696320711008994</v>
      </c>
      <c r="Z168" s="290">
        <f t="shared" si="110"/>
        <v>104.47780151186217</v>
      </c>
      <c r="AA168" s="290">
        <f t="shared" si="110"/>
        <v>171.22684645665498</v>
      </c>
      <c r="AB168" s="290">
        <f t="shared" si="110"/>
        <v>358.26184473896734</v>
      </c>
      <c r="AC168" s="290">
        <f t="shared" si="110"/>
        <v>408.57802749686778</v>
      </c>
      <c r="AD168" s="253">
        <f t="shared" si="110"/>
        <v>234.65543433155281</v>
      </c>
      <c r="AE168" s="253">
        <f t="shared" si="110"/>
        <v>319.24018372944761</v>
      </c>
      <c r="AF168" s="253">
        <f t="shared" si="110"/>
        <v>333.60192875041696</v>
      </c>
      <c r="AG168" s="253">
        <f t="shared" si="110"/>
        <v>338.87346516151064</v>
      </c>
      <c r="AH168" s="253">
        <f t="shared" si="110"/>
        <v>348.89477438378935</v>
      </c>
    </row>
    <row r="169" spans="1:34">
      <c r="A169" s="240" t="s">
        <v>236</v>
      </c>
      <c r="B169" s="290">
        <f t="shared" si="111"/>
        <v>39.359976346443261</v>
      </c>
      <c r="C169" s="290">
        <f t="shared" si="111"/>
        <v>47.218512764744766</v>
      </c>
      <c r="D169" s="290">
        <f t="shared" si="110"/>
        <v>42.890109324925007</v>
      </c>
      <c r="E169" s="290">
        <f t="shared" si="110"/>
        <v>40.954408549568299</v>
      </c>
      <c r="F169" s="290">
        <f t="shared" si="110"/>
        <v>37.609621840141678</v>
      </c>
      <c r="G169" s="290">
        <f t="shared" si="110"/>
        <v>42.794048293500204</v>
      </c>
      <c r="H169" s="290">
        <f t="shared" si="110"/>
        <v>44.622918351334654</v>
      </c>
      <c r="I169" s="290">
        <f t="shared" si="110"/>
        <v>47.955326687760881</v>
      </c>
      <c r="J169" s="290">
        <f t="shared" si="110"/>
        <v>32.963836157236763</v>
      </c>
      <c r="K169" s="290">
        <f t="shared" ref="K169:AI171" si="112">K184+K105+K137-K153-K185</f>
        <v>45.508953391275469</v>
      </c>
      <c r="L169" s="290">
        <f t="shared" si="112"/>
        <v>40.791352911734386</v>
      </c>
      <c r="M169" s="290">
        <f t="shared" si="112"/>
        <v>40.179130286202934</v>
      </c>
      <c r="N169" s="290">
        <f t="shared" si="112"/>
        <v>54.364387531754325</v>
      </c>
      <c r="O169" s="290">
        <f t="shared" si="112"/>
        <v>33.776749142578936</v>
      </c>
      <c r="P169" s="290">
        <f t="shared" si="112"/>
        <v>33.638081037763065</v>
      </c>
      <c r="Q169" s="290">
        <f t="shared" si="112"/>
        <v>44.119761666799008</v>
      </c>
      <c r="R169" s="290">
        <f t="shared" si="112"/>
        <v>45.379557442510695</v>
      </c>
      <c r="S169" s="290">
        <f t="shared" si="112"/>
        <v>44.874164493005644</v>
      </c>
      <c r="T169" s="290">
        <f t="shared" si="112"/>
        <v>53.495501541712002</v>
      </c>
      <c r="U169" s="290">
        <f t="shared" si="112"/>
        <v>77.815486973245413</v>
      </c>
      <c r="V169" s="290">
        <f t="shared" si="112"/>
        <v>55.273438578168637</v>
      </c>
      <c r="W169" s="290">
        <f t="shared" si="112"/>
        <v>60.351409468762718</v>
      </c>
      <c r="X169" s="290">
        <f t="shared" si="112"/>
        <v>61.442689747972992</v>
      </c>
      <c r="Y169" s="290">
        <f t="shared" si="112"/>
        <v>89.974394691432437</v>
      </c>
      <c r="Z169" s="290">
        <f t="shared" si="112"/>
        <v>116.66728497231962</v>
      </c>
      <c r="AA169" s="290">
        <f t="shared" si="112"/>
        <v>123.55633590705764</v>
      </c>
      <c r="AB169" s="290">
        <f t="shared" si="112"/>
        <v>199.1574222045549</v>
      </c>
      <c r="AC169" s="290">
        <f t="shared" si="112"/>
        <v>154.60790144564373</v>
      </c>
      <c r="AD169" s="253">
        <f t="shared" si="112"/>
        <v>196.91874379788149</v>
      </c>
      <c r="AE169" s="253">
        <f t="shared" si="112"/>
        <v>186.48429499316708</v>
      </c>
      <c r="AF169" s="253">
        <f t="shared" si="112"/>
        <v>202.75000542501996</v>
      </c>
      <c r="AG169" s="253">
        <f t="shared" si="112"/>
        <v>199.02683952820985</v>
      </c>
      <c r="AH169" s="253">
        <f t="shared" si="112"/>
        <v>202.35763512099015</v>
      </c>
    </row>
    <row r="170" spans="1:34">
      <c r="A170" s="240" t="s">
        <v>237</v>
      </c>
      <c r="B170" s="290">
        <f t="shared" si="111"/>
        <v>38.230424354625868</v>
      </c>
      <c r="C170" s="290">
        <f t="shared" si="111"/>
        <v>47.24166445866868</v>
      </c>
      <c r="D170" s="290">
        <f t="shared" si="111"/>
        <v>40.833407392980241</v>
      </c>
      <c r="E170" s="290">
        <f t="shared" si="111"/>
        <v>41.779512800944794</v>
      </c>
      <c r="F170" s="290">
        <f t="shared" si="111"/>
        <v>37.414063964249124</v>
      </c>
      <c r="G170" s="290">
        <f t="shared" si="111"/>
        <v>42.503697506847232</v>
      </c>
      <c r="H170" s="290">
        <f t="shared" si="111"/>
        <v>45.137679960235644</v>
      </c>
      <c r="I170" s="290">
        <f t="shared" si="111"/>
        <v>47.980906629129834</v>
      </c>
      <c r="J170" s="290">
        <f t="shared" si="111"/>
        <v>32.962524847470277</v>
      </c>
      <c r="K170" s="290">
        <f t="shared" si="111"/>
        <v>44.598290266272933</v>
      </c>
      <c r="L170" s="290">
        <f t="shared" si="111"/>
        <v>40.149016259108919</v>
      </c>
      <c r="M170" s="290">
        <f t="shared" si="111"/>
        <v>39.674383809185173</v>
      </c>
      <c r="N170" s="290">
        <f t="shared" si="111"/>
        <v>56.313045634719401</v>
      </c>
      <c r="O170" s="290">
        <f t="shared" si="111"/>
        <v>33.117731842907723</v>
      </c>
      <c r="P170" s="290">
        <f t="shared" si="111"/>
        <v>31.673680488855485</v>
      </c>
      <c r="Q170" s="290">
        <f t="shared" si="111"/>
        <v>42.877980030753811</v>
      </c>
      <c r="R170" s="290">
        <f t="shared" si="112"/>
        <v>46.260311545301853</v>
      </c>
      <c r="S170" s="290">
        <f t="shared" si="112"/>
        <v>54.855761264340032</v>
      </c>
      <c r="T170" s="290">
        <f t="shared" si="112"/>
        <v>43.075821147490124</v>
      </c>
      <c r="U170" s="290">
        <f t="shared" si="112"/>
        <v>62.640204131054936</v>
      </c>
      <c r="V170" s="290">
        <f t="shared" si="112"/>
        <v>59.299221662606278</v>
      </c>
      <c r="W170" s="290">
        <f t="shared" si="112"/>
        <v>73.450362056122145</v>
      </c>
      <c r="X170" s="290">
        <f t="shared" si="112"/>
        <v>74.588669975890468</v>
      </c>
      <c r="Y170" s="290">
        <f t="shared" si="112"/>
        <v>71.976501034776447</v>
      </c>
      <c r="Z170" s="290">
        <f t="shared" si="112"/>
        <v>98.98612749686653</v>
      </c>
      <c r="AA170" s="290">
        <f t="shared" si="112"/>
        <v>197.00522446074766</v>
      </c>
      <c r="AB170" s="290">
        <f t="shared" si="112"/>
        <v>250.35577519764126</v>
      </c>
      <c r="AC170" s="290">
        <f t="shared" si="112"/>
        <v>206.75138377150944</v>
      </c>
      <c r="AD170" s="253">
        <f t="shared" si="112"/>
        <v>184.37027507135474</v>
      </c>
      <c r="AE170" s="253">
        <f t="shared" si="112"/>
        <v>231.19609742685952</v>
      </c>
      <c r="AF170" s="253">
        <f t="shared" si="112"/>
        <v>242.46919502125999</v>
      </c>
      <c r="AG170" s="253">
        <f t="shared" si="112"/>
        <v>245.03489919129294</v>
      </c>
      <c r="AH170" s="253">
        <f t="shared" si="112"/>
        <v>238.10626629374826</v>
      </c>
    </row>
    <row r="171" spans="1:34">
      <c r="A171" s="240" t="s">
        <v>238</v>
      </c>
      <c r="B171" s="290">
        <f t="shared" si="111"/>
        <v>39.048472040007212</v>
      </c>
      <c r="C171" s="290">
        <f t="shared" si="111"/>
        <v>48.360733221968978</v>
      </c>
      <c r="D171" s="290">
        <f t="shared" si="111"/>
        <v>41.391375156094504</v>
      </c>
      <c r="E171" s="290">
        <f t="shared" si="111"/>
        <v>42.520932364336865</v>
      </c>
      <c r="F171" s="290">
        <f t="shared" si="111"/>
        <v>38.097156192512784</v>
      </c>
      <c r="G171" s="290">
        <f t="shared" si="111"/>
        <v>43.364397347141747</v>
      </c>
      <c r="H171" s="290">
        <f t="shared" si="111"/>
        <v>46.108259349818908</v>
      </c>
      <c r="I171" s="290">
        <f t="shared" si="111"/>
        <v>48.658128064708706</v>
      </c>
      <c r="J171" s="290">
        <f t="shared" si="111"/>
        <v>33.405626833115619</v>
      </c>
      <c r="K171" s="290">
        <f t="shared" si="111"/>
        <v>44.747916784740575</v>
      </c>
      <c r="L171" s="290">
        <f t="shared" si="111"/>
        <v>41.071617421095198</v>
      </c>
      <c r="M171" s="290">
        <f t="shared" si="111"/>
        <v>40.986718194250855</v>
      </c>
      <c r="N171" s="290">
        <f t="shared" si="111"/>
        <v>55.234500431098432</v>
      </c>
      <c r="O171" s="290">
        <f t="shared" si="111"/>
        <v>33.570645356467203</v>
      </c>
      <c r="P171" s="290">
        <f t="shared" si="111"/>
        <v>33.598182990143833</v>
      </c>
      <c r="Q171" s="290">
        <f t="shared" si="111"/>
        <v>46.500557756130711</v>
      </c>
      <c r="R171" s="290">
        <f t="shared" si="112"/>
        <v>46.665769348341911</v>
      </c>
      <c r="S171" s="290">
        <f t="shared" si="112"/>
        <v>45.572616282090145</v>
      </c>
      <c r="T171" s="290">
        <f t="shared" si="112"/>
        <v>49.168146601524555</v>
      </c>
      <c r="U171" s="290">
        <f t="shared" si="112"/>
        <v>77.846939473765445</v>
      </c>
      <c r="V171" s="290">
        <f t="shared" si="112"/>
        <v>67.469970550891489</v>
      </c>
      <c r="W171" s="290">
        <f t="shared" si="112"/>
        <v>58.200660380899734</v>
      </c>
      <c r="X171" s="290">
        <f t="shared" si="112"/>
        <v>56.910906798874173</v>
      </c>
      <c r="Y171" s="290">
        <f t="shared" si="112"/>
        <v>76.206247282044714</v>
      </c>
      <c r="Z171" s="290">
        <f t="shared" si="112"/>
        <v>87.677617331896556</v>
      </c>
      <c r="AA171" s="290">
        <f t="shared" si="112"/>
        <v>254.91998447564589</v>
      </c>
      <c r="AB171" s="290">
        <f t="shared" si="112"/>
        <v>133.82839228540027</v>
      </c>
      <c r="AC171" s="290">
        <f t="shared" si="112"/>
        <v>175.34607743115666</v>
      </c>
      <c r="AD171" s="253">
        <f t="shared" si="112"/>
        <v>-187.39812716380195</v>
      </c>
      <c r="AE171" s="253">
        <f t="shared" si="112"/>
        <v>201.61051211753056</v>
      </c>
      <c r="AF171" s="253">
        <f t="shared" si="112"/>
        <v>116.28733824644841</v>
      </c>
      <c r="AG171" s="253">
        <f t="shared" si="112"/>
        <v>135.9856261150407</v>
      </c>
      <c r="AH171" s="253">
        <f t="shared" si="112"/>
        <v>98.644305681271319</v>
      </c>
    </row>
    <row r="172" spans="1:34" ht="15.75" thickBot="1">
      <c r="A172" s="240" t="s">
        <v>242</v>
      </c>
      <c r="B172" s="146">
        <f>SUM(B160:B171)</f>
        <v>428.00000000000006</v>
      </c>
      <c r="C172" s="146">
        <f t="shared" ref="C172:AH172" si="113">SUM(C160:C171)</f>
        <v>432.661708137255</v>
      </c>
      <c r="D172" s="146">
        <f t="shared" si="113"/>
        <v>456.09755341176464</v>
      </c>
      <c r="E172" s="146">
        <f t="shared" si="113"/>
        <v>444.85286236065576</v>
      </c>
      <c r="F172" s="146">
        <f t="shared" si="113"/>
        <v>409.17482350299406</v>
      </c>
      <c r="G172" s="146">
        <f t="shared" si="113"/>
        <v>459.53651936111106</v>
      </c>
      <c r="H172" s="146">
        <f t="shared" si="113"/>
        <v>480.29072643216068</v>
      </c>
      <c r="I172" s="146">
        <f t="shared" si="113"/>
        <v>516.56944548656725</v>
      </c>
      <c r="J172" s="146">
        <f t="shared" si="113"/>
        <v>355.20773078260862</v>
      </c>
      <c r="K172" s="146">
        <f t="shared" si="113"/>
        <v>481.26308687213117</v>
      </c>
      <c r="L172" s="146">
        <f t="shared" si="113"/>
        <v>443.45949950000005</v>
      </c>
      <c r="M172" s="146">
        <f t="shared" si="113"/>
        <v>436.76862495951428</v>
      </c>
      <c r="N172" s="146">
        <f t="shared" si="113"/>
        <v>599.02037663157898</v>
      </c>
      <c r="O172" s="146">
        <f t="shared" si="113"/>
        <v>364.10108510638298</v>
      </c>
      <c r="P172" s="146">
        <f t="shared" si="113"/>
        <v>348.2247692307692</v>
      </c>
      <c r="Q172" s="146">
        <f t="shared" si="113"/>
        <v>477.35311428571435</v>
      </c>
      <c r="R172" s="146">
        <f t="shared" si="113"/>
        <v>497.96594444444429</v>
      </c>
      <c r="S172" s="146">
        <f t="shared" si="113"/>
        <v>518.04800294117649</v>
      </c>
      <c r="T172" s="146">
        <f t="shared" si="113"/>
        <v>531.64566666666678</v>
      </c>
      <c r="U172" s="146">
        <f t="shared" si="113"/>
        <v>724.81337815126062</v>
      </c>
      <c r="V172" s="146">
        <f t="shared" si="113"/>
        <v>709.33856866952794</v>
      </c>
      <c r="W172" s="146">
        <f t="shared" si="113"/>
        <v>699.00708369098732</v>
      </c>
      <c r="X172" s="146">
        <f t="shared" si="113"/>
        <v>745.11531673306774</v>
      </c>
      <c r="Y172" s="146">
        <f t="shared" si="113"/>
        <v>902.63021094581268</v>
      </c>
      <c r="Z172" s="146">
        <f t="shared" si="113"/>
        <v>1168.6764036093025</v>
      </c>
      <c r="AA172" s="146">
        <f t="shared" si="113"/>
        <v>1971.3063127081546</v>
      </c>
      <c r="AB172" s="146">
        <f t="shared" si="113"/>
        <v>2681.6296416666669</v>
      </c>
      <c r="AC172" s="146">
        <f t="shared" si="113"/>
        <v>2882.1307894736842</v>
      </c>
      <c r="AD172" s="253">
        <f t="shared" si="113"/>
        <v>2649.1899441340784</v>
      </c>
      <c r="AE172" s="253">
        <f t="shared" si="113"/>
        <v>2695.132486925766</v>
      </c>
      <c r="AF172" s="253">
        <f t="shared" si="113"/>
        <v>2945.0522931486312</v>
      </c>
      <c r="AG172" s="253">
        <f t="shared" si="113"/>
        <v>2945.6041465498161</v>
      </c>
      <c r="AH172" s="253">
        <f t="shared" si="113"/>
        <v>2945.9299625932226</v>
      </c>
    </row>
    <row r="173" spans="1:34">
      <c r="A173" s="248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254"/>
      <c r="AG173" s="254"/>
      <c r="AH173" s="254"/>
    </row>
    <row r="174" spans="1:34" ht="15.75" thickBot="1">
      <c r="A174" s="235" t="s">
        <v>259</v>
      </c>
      <c r="Y174" s="146"/>
    </row>
    <row r="175" spans="1:34" ht="15.75" thickBot="1">
      <c r="A175" s="236"/>
      <c r="B175" s="237" t="str">
        <f>B$2</f>
        <v xml:space="preserve">93/94 </v>
      </c>
      <c r="C175" s="237" t="str">
        <f t="shared" ref="C175:AH175" si="114">C$2</f>
        <v xml:space="preserve">94/95 </v>
      </c>
      <c r="D175" s="237" t="str">
        <f t="shared" si="114"/>
        <v xml:space="preserve">95/96 </v>
      </c>
      <c r="E175" s="237" t="str">
        <f t="shared" si="114"/>
        <v xml:space="preserve">96/97 </v>
      </c>
      <c r="F175" s="237" t="str">
        <f t="shared" si="114"/>
        <v xml:space="preserve">97/98 </v>
      </c>
      <c r="G175" s="237" t="str">
        <f t="shared" si="114"/>
        <v xml:space="preserve">98/99 </v>
      </c>
      <c r="H175" s="237" t="str">
        <f t="shared" si="114"/>
        <v xml:space="preserve">99/00 </v>
      </c>
      <c r="I175" s="237" t="str">
        <f t="shared" si="114"/>
        <v xml:space="preserve">00/01 </v>
      </c>
      <c r="J175" s="237" t="str">
        <f t="shared" si="114"/>
        <v xml:space="preserve">01/02 </v>
      </c>
      <c r="K175" s="237" t="str">
        <f t="shared" si="114"/>
        <v xml:space="preserve">02/03 </v>
      </c>
      <c r="L175" s="237" t="str">
        <f t="shared" si="114"/>
        <v xml:space="preserve">03/04 </v>
      </c>
      <c r="M175" s="237" t="str">
        <f t="shared" si="114"/>
        <v xml:space="preserve">04/05 </v>
      </c>
      <c r="N175" s="237" t="str">
        <f t="shared" si="114"/>
        <v xml:space="preserve">05/06 </v>
      </c>
      <c r="O175" s="237" t="str">
        <f t="shared" si="114"/>
        <v xml:space="preserve">06/07 </v>
      </c>
      <c r="P175" s="237" t="str">
        <f t="shared" si="114"/>
        <v xml:space="preserve">07/08 </v>
      </c>
      <c r="Q175" s="237" t="str">
        <f t="shared" si="114"/>
        <v xml:space="preserve">08/09 </v>
      </c>
      <c r="R175" s="237" t="str">
        <f t="shared" si="114"/>
        <v xml:space="preserve">09/10 </v>
      </c>
      <c r="S175" s="237" t="str">
        <f t="shared" si="114"/>
        <v xml:space="preserve">10/11 </v>
      </c>
      <c r="T175" s="237" t="str">
        <f t="shared" si="114"/>
        <v xml:space="preserve">11/12 </v>
      </c>
      <c r="U175" s="237" t="str">
        <f t="shared" si="114"/>
        <v xml:space="preserve">12/13 </v>
      </c>
      <c r="V175" s="237" t="str">
        <f t="shared" si="114"/>
        <v xml:space="preserve">13/14 </v>
      </c>
      <c r="W175" s="237" t="str">
        <f t="shared" si="114"/>
        <v xml:space="preserve">14/15 </v>
      </c>
      <c r="X175" s="237" t="str">
        <f t="shared" si="114"/>
        <v xml:space="preserve">15/16 </v>
      </c>
      <c r="Y175" s="237" t="str">
        <f t="shared" si="114"/>
        <v xml:space="preserve">16/17 </v>
      </c>
      <c r="Z175" s="237" t="str">
        <f t="shared" si="114"/>
        <v xml:space="preserve">17/18 </v>
      </c>
      <c r="AA175" s="237" t="str">
        <f t="shared" si="114"/>
        <v xml:space="preserve">18/19 </v>
      </c>
      <c r="AB175" s="237" t="str">
        <f t="shared" si="114"/>
        <v xml:space="preserve">19/20 </v>
      </c>
      <c r="AC175" s="237" t="str">
        <f t="shared" si="114"/>
        <v xml:space="preserve">20/21 </v>
      </c>
      <c r="AD175" s="237" t="str">
        <f t="shared" si="114"/>
        <v xml:space="preserve">21/22 </v>
      </c>
      <c r="AE175" s="237" t="str">
        <f t="shared" si="114"/>
        <v xml:space="preserve">22/23 </v>
      </c>
      <c r="AF175" s="237" t="str">
        <f t="shared" si="114"/>
        <v>23/24</v>
      </c>
      <c r="AG175" s="237" t="str">
        <f t="shared" si="114"/>
        <v>23/25</v>
      </c>
      <c r="AH175" s="237" t="str">
        <f t="shared" si="114"/>
        <v>23/26</v>
      </c>
    </row>
    <row r="176" spans="1:34">
      <c r="A176" s="240" t="s">
        <v>239</v>
      </c>
      <c r="B176" s="290">
        <f>(B$187-B$22)/13+B22</f>
        <v>0</v>
      </c>
      <c r="C176" s="290">
        <f>(C$187-B$187)/13+B187</f>
        <v>0</v>
      </c>
      <c r="D176" s="290">
        <f t="shared" ref="D176:AH176" si="115">(D$187-C$187)/13+C187</f>
        <v>0</v>
      </c>
      <c r="E176" s="290">
        <f t="shared" si="115"/>
        <v>0</v>
      </c>
      <c r="F176" s="290">
        <f t="shared" si="115"/>
        <v>0</v>
      </c>
      <c r="G176" s="290">
        <f t="shared" si="115"/>
        <v>0</v>
      </c>
      <c r="H176" s="290">
        <f t="shared" si="115"/>
        <v>0</v>
      </c>
      <c r="I176" s="290">
        <f t="shared" si="115"/>
        <v>0</v>
      </c>
      <c r="J176" s="290">
        <f t="shared" si="115"/>
        <v>0</v>
      </c>
      <c r="K176" s="290">
        <f t="shared" si="115"/>
        <v>0</v>
      </c>
      <c r="L176" s="290">
        <f t="shared" si="115"/>
        <v>0</v>
      </c>
      <c r="M176" s="290">
        <f t="shared" si="115"/>
        <v>0</v>
      </c>
      <c r="N176" s="290">
        <f t="shared" si="115"/>
        <v>0</v>
      </c>
      <c r="O176" s="290">
        <f t="shared" si="115"/>
        <v>0</v>
      </c>
      <c r="P176" s="290">
        <f t="shared" si="115"/>
        <v>0</v>
      </c>
      <c r="Q176" s="290">
        <f t="shared" si="115"/>
        <v>0</v>
      </c>
      <c r="R176" s="290">
        <f t="shared" si="115"/>
        <v>0</v>
      </c>
      <c r="S176" s="290">
        <f t="shared" si="115"/>
        <v>0</v>
      </c>
      <c r="T176" s="290">
        <f t="shared" si="115"/>
        <v>0</v>
      </c>
      <c r="U176" s="290">
        <f t="shared" si="115"/>
        <v>0</v>
      </c>
      <c r="V176" s="290">
        <f t="shared" si="115"/>
        <v>0</v>
      </c>
      <c r="W176" s="290">
        <f t="shared" si="115"/>
        <v>0</v>
      </c>
      <c r="X176" s="290">
        <f t="shared" si="115"/>
        <v>0</v>
      </c>
      <c r="Y176" s="290">
        <f t="shared" si="115"/>
        <v>0</v>
      </c>
      <c r="Z176" s="290">
        <f t="shared" si="115"/>
        <v>0</v>
      </c>
      <c r="AA176" s="290">
        <f t="shared" si="115"/>
        <v>0</v>
      </c>
      <c r="AB176" s="290">
        <f t="shared" si="115"/>
        <v>0</v>
      </c>
      <c r="AC176" s="290">
        <f t="shared" si="115"/>
        <v>0</v>
      </c>
      <c r="AD176" s="290">
        <f t="shared" si="115"/>
        <v>0</v>
      </c>
      <c r="AE176" s="252">
        <f t="shared" si="115"/>
        <v>0</v>
      </c>
      <c r="AF176" s="252">
        <f t="shared" si="115"/>
        <v>0</v>
      </c>
      <c r="AG176" s="252">
        <f t="shared" si="115"/>
        <v>0</v>
      </c>
      <c r="AH176" s="252">
        <f t="shared" si="115"/>
        <v>0</v>
      </c>
    </row>
    <row r="177" spans="1:34">
      <c r="A177" s="240" t="s">
        <v>240</v>
      </c>
      <c r="B177" s="290">
        <f>(B$187-B$22)/13+B176</f>
        <v>0</v>
      </c>
      <c r="C177" s="290">
        <f>(C$187-B$187)/13+C176</f>
        <v>0</v>
      </c>
      <c r="D177" s="290">
        <f t="shared" ref="D177:AH185" si="116">(D$187-C$187)/13+D176</f>
        <v>0</v>
      </c>
      <c r="E177" s="290">
        <f t="shared" si="116"/>
        <v>0</v>
      </c>
      <c r="F177" s="290">
        <f t="shared" si="116"/>
        <v>0</v>
      </c>
      <c r="G177" s="290">
        <f t="shared" si="116"/>
        <v>0</v>
      </c>
      <c r="H177" s="290">
        <f t="shared" si="116"/>
        <v>0</v>
      </c>
      <c r="I177" s="290">
        <f t="shared" si="116"/>
        <v>0</v>
      </c>
      <c r="J177" s="290">
        <f t="shared" si="116"/>
        <v>0</v>
      </c>
      <c r="K177" s="290">
        <f t="shared" si="116"/>
        <v>0</v>
      </c>
      <c r="L177" s="290">
        <f t="shared" si="116"/>
        <v>0</v>
      </c>
      <c r="M177" s="290">
        <f t="shared" si="116"/>
        <v>0</v>
      </c>
      <c r="N177" s="290">
        <f t="shared" si="116"/>
        <v>0</v>
      </c>
      <c r="O177" s="290">
        <f t="shared" si="116"/>
        <v>0</v>
      </c>
      <c r="P177" s="290">
        <f t="shared" si="116"/>
        <v>0</v>
      </c>
      <c r="Q177" s="290">
        <f t="shared" si="116"/>
        <v>0</v>
      </c>
      <c r="R177" s="290">
        <f t="shared" si="116"/>
        <v>0</v>
      </c>
      <c r="S177" s="290">
        <f t="shared" si="116"/>
        <v>0</v>
      </c>
      <c r="T177" s="290">
        <f t="shared" si="116"/>
        <v>0</v>
      </c>
      <c r="U177" s="290">
        <f t="shared" si="116"/>
        <v>0</v>
      </c>
      <c r="V177" s="290">
        <f t="shared" si="116"/>
        <v>0</v>
      </c>
      <c r="W177" s="290">
        <f t="shared" si="116"/>
        <v>0</v>
      </c>
      <c r="X177" s="290">
        <f t="shared" si="116"/>
        <v>0</v>
      </c>
      <c r="Y177" s="290">
        <f t="shared" si="116"/>
        <v>0</v>
      </c>
      <c r="Z177" s="290">
        <f t="shared" si="116"/>
        <v>0</v>
      </c>
      <c r="AA177" s="290">
        <f t="shared" si="116"/>
        <v>0</v>
      </c>
      <c r="AB177" s="290">
        <f t="shared" si="116"/>
        <v>0</v>
      </c>
      <c r="AC177" s="290">
        <f t="shared" si="116"/>
        <v>0</v>
      </c>
      <c r="AD177" s="290">
        <f t="shared" si="116"/>
        <v>0</v>
      </c>
      <c r="AE177" s="252">
        <f t="shared" si="116"/>
        <v>0</v>
      </c>
      <c r="AF177" s="252">
        <f t="shared" si="116"/>
        <v>0</v>
      </c>
      <c r="AG177" s="252">
        <f t="shared" si="116"/>
        <v>0</v>
      </c>
      <c r="AH177" s="252">
        <f t="shared" si="116"/>
        <v>0</v>
      </c>
    </row>
    <row r="178" spans="1:34">
      <c r="A178" s="240" t="s">
        <v>241</v>
      </c>
      <c r="B178" s="290">
        <f t="shared" ref="B178:B186" si="117">(B$187-B$22)/13+B177</f>
        <v>0</v>
      </c>
      <c r="C178" s="290">
        <f t="shared" ref="C178:C186" si="118">(C$187-B$187)/13+C177</f>
        <v>0</v>
      </c>
      <c r="D178" s="290">
        <f t="shared" si="116"/>
        <v>0</v>
      </c>
      <c r="E178" s="290">
        <f t="shared" si="116"/>
        <v>0</v>
      </c>
      <c r="F178" s="290">
        <f t="shared" si="116"/>
        <v>0</v>
      </c>
      <c r="G178" s="290">
        <f t="shared" si="116"/>
        <v>0</v>
      </c>
      <c r="H178" s="290">
        <f t="shared" si="116"/>
        <v>0</v>
      </c>
      <c r="I178" s="290">
        <f t="shared" si="116"/>
        <v>0</v>
      </c>
      <c r="J178" s="290">
        <f t="shared" si="116"/>
        <v>0</v>
      </c>
      <c r="K178" s="290">
        <f t="shared" si="116"/>
        <v>0</v>
      </c>
      <c r="L178" s="290">
        <f t="shared" si="116"/>
        <v>0</v>
      </c>
      <c r="M178" s="290">
        <f t="shared" si="116"/>
        <v>0</v>
      </c>
      <c r="N178" s="290">
        <f t="shared" si="116"/>
        <v>0</v>
      </c>
      <c r="O178" s="290">
        <f t="shared" si="116"/>
        <v>0</v>
      </c>
      <c r="P178" s="290">
        <f t="shared" si="116"/>
        <v>0</v>
      </c>
      <c r="Q178" s="290">
        <f t="shared" si="116"/>
        <v>0</v>
      </c>
      <c r="R178" s="290">
        <f t="shared" si="116"/>
        <v>0</v>
      </c>
      <c r="S178" s="290">
        <f t="shared" si="116"/>
        <v>0</v>
      </c>
      <c r="T178" s="290">
        <f t="shared" si="116"/>
        <v>0</v>
      </c>
      <c r="U178" s="290">
        <f t="shared" si="116"/>
        <v>0</v>
      </c>
      <c r="V178" s="290">
        <f t="shared" si="116"/>
        <v>0</v>
      </c>
      <c r="W178" s="290">
        <f t="shared" si="116"/>
        <v>0</v>
      </c>
      <c r="X178" s="290">
        <f t="shared" si="116"/>
        <v>0</v>
      </c>
      <c r="Y178" s="290">
        <f t="shared" si="116"/>
        <v>0</v>
      </c>
      <c r="Z178" s="290">
        <f t="shared" si="116"/>
        <v>0</v>
      </c>
      <c r="AA178" s="290">
        <f t="shared" si="116"/>
        <v>0</v>
      </c>
      <c r="AB178" s="290">
        <f t="shared" si="116"/>
        <v>0</v>
      </c>
      <c r="AC178" s="290">
        <f t="shared" si="116"/>
        <v>0</v>
      </c>
      <c r="AD178" s="290">
        <f t="shared" si="116"/>
        <v>0</v>
      </c>
      <c r="AE178" s="252">
        <f t="shared" si="116"/>
        <v>0</v>
      </c>
      <c r="AF178" s="252">
        <f t="shared" si="116"/>
        <v>0</v>
      </c>
      <c r="AG178" s="252">
        <f t="shared" si="116"/>
        <v>0</v>
      </c>
      <c r="AH178" s="252">
        <f t="shared" si="116"/>
        <v>0</v>
      </c>
    </row>
    <row r="179" spans="1:34">
      <c r="A179" s="240" t="s">
        <v>231</v>
      </c>
      <c r="B179" s="290">
        <f t="shared" si="117"/>
        <v>0</v>
      </c>
      <c r="C179" s="290">
        <f t="shared" si="118"/>
        <v>0</v>
      </c>
      <c r="D179" s="290">
        <f t="shared" si="116"/>
        <v>0</v>
      </c>
      <c r="E179" s="290">
        <f t="shared" si="116"/>
        <v>0</v>
      </c>
      <c r="F179" s="290">
        <f t="shared" si="116"/>
        <v>0</v>
      </c>
      <c r="G179" s="290">
        <f t="shared" si="116"/>
        <v>0</v>
      </c>
      <c r="H179" s="290">
        <f t="shared" si="116"/>
        <v>0</v>
      </c>
      <c r="I179" s="290">
        <f t="shared" si="116"/>
        <v>0</v>
      </c>
      <c r="J179" s="290">
        <f t="shared" si="116"/>
        <v>0</v>
      </c>
      <c r="K179" s="290">
        <f t="shared" si="116"/>
        <v>0</v>
      </c>
      <c r="L179" s="290">
        <f t="shared" si="116"/>
        <v>0</v>
      </c>
      <c r="M179" s="290">
        <f t="shared" si="116"/>
        <v>0</v>
      </c>
      <c r="N179" s="290">
        <f t="shared" si="116"/>
        <v>0</v>
      </c>
      <c r="O179" s="290">
        <f t="shared" si="116"/>
        <v>0</v>
      </c>
      <c r="P179" s="290">
        <f t="shared" si="116"/>
        <v>0</v>
      </c>
      <c r="Q179" s="290">
        <f t="shared" si="116"/>
        <v>0</v>
      </c>
      <c r="R179" s="290">
        <f t="shared" si="116"/>
        <v>0</v>
      </c>
      <c r="S179" s="290">
        <f t="shared" si="116"/>
        <v>0</v>
      </c>
      <c r="T179" s="290">
        <f t="shared" si="116"/>
        <v>0</v>
      </c>
      <c r="U179" s="290">
        <f t="shared" si="116"/>
        <v>0</v>
      </c>
      <c r="V179" s="290">
        <f t="shared" si="116"/>
        <v>0</v>
      </c>
      <c r="W179" s="290">
        <f t="shared" si="116"/>
        <v>0</v>
      </c>
      <c r="X179" s="290">
        <f t="shared" si="116"/>
        <v>0</v>
      </c>
      <c r="Y179" s="290">
        <f t="shared" si="116"/>
        <v>0</v>
      </c>
      <c r="Z179" s="290">
        <f t="shared" si="116"/>
        <v>0</v>
      </c>
      <c r="AA179" s="290">
        <f t="shared" si="116"/>
        <v>0</v>
      </c>
      <c r="AB179" s="290">
        <f t="shared" si="116"/>
        <v>0</v>
      </c>
      <c r="AC179" s="290">
        <f t="shared" si="116"/>
        <v>0</v>
      </c>
      <c r="AD179" s="252">
        <f t="shared" si="116"/>
        <v>0</v>
      </c>
      <c r="AE179" s="252">
        <f t="shared" si="116"/>
        <v>0</v>
      </c>
      <c r="AF179" s="252">
        <f t="shared" si="116"/>
        <v>0</v>
      </c>
      <c r="AG179" s="252">
        <f t="shared" si="116"/>
        <v>0</v>
      </c>
      <c r="AH179" s="252">
        <f t="shared" si="116"/>
        <v>0</v>
      </c>
    </row>
    <row r="180" spans="1:34">
      <c r="A180" s="240" t="s">
        <v>232</v>
      </c>
      <c r="B180" s="290">
        <f t="shared" si="117"/>
        <v>0</v>
      </c>
      <c r="C180" s="290">
        <f t="shared" si="118"/>
        <v>0</v>
      </c>
      <c r="D180" s="290">
        <f t="shared" si="116"/>
        <v>0</v>
      </c>
      <c r="E180" s="290">
        <f t="shared" si="116"/>
        <v>0</v>
      </c>
      <c r="F180" s="290">
        <f t="shared" si="116"/>
        <v>0</v>
      </c>
      <c r="G180" s="290">
        <f t="shared" si="116"/>
        <v>0</v>
      </c>
      <c r="H180" s="290">
        <f t="shared" si="116"/>
        <v>0</v>
      </c>
      <c r="I180" s="290">
        <f t="shared" si="116"/>
        <v>0</v>
      </c>
      <c r="J180" s="290">
        <f t="shared" si="116"/>
        <v>0</v>
      </c>
      <c r="K180" s="290">
        <f t="shared" si="116"/>
        <v>0</v>
      </c>
      <c r="L180" s="290">
        <f t="shared" si="116"/>
        <v>0</v>
      </c>
      <c r="M180" s="290">
        <f t="shared" si="116"/>
        <v>0</v>
      </c>
      <c r="N180" s="290">
        <f t="shared" si="116"/>
        <v>0</v>
      </c>
      <c r="O180" s="290">
        <f t="shared" si="116"/>
        <v>0</v>
      </c>
      <c r="P180" s="290">
        <f t="shared" si="116"/>
        <v>0</v>
      </c>
      <c r="Q180" s="290">
        <f t="shared" si="116"/>
        <v>0</v>
      </c>
      <c r="R180" s="290">
        <f t="shared" si="116"/>
        <v>0</v>
      </c>
      <c r="S180" s="290">
        <f t="shared" si="116"/>
        <v>0</v>
      </c>
      <c r="T180" s="290">
        <f t="shared" si="116"/>
        <v>0</v>
      </c>
      <c r="U180" s="290">
        <f t="shared" si="116"/>
        <v>0</v>
      </c>
      <c r="V180" s="290">
        <f t="shared" si="116"/>
        <v>0</v>
      </c>
      <c r="W180" s="290">
        <f t="shared" si="116"/>
        <v>0</v>
      </c>
      <c r="X180" s="290">
        <f t="shared" si="116"/>
        <v>0</v>
      </c>
      <c r="Y180" s="290">
        <f t="shared" si="116"/>
        <v>0</v>
      </c>
      <c r="Z180" s="290">
        <f t="shared" si="116"/>
        <v>0</v>
      </c>
      <c r="AA180" s="290">
        <f t="shared" si="116"/>
        <v>0</v>
      </c>
      <c r="AB180" s="290">
        <f t="shared" si="116"/>
        <v>0</v>
      </c>
      <c r="AC180" s="290">
        <f t="shared" si="116"/>
        <v>0</v>
      </c>
      <c r="AD180" s="252">
        <f t="shared" si="116"/>
        <v>0</v>
      </c>
      <c r="AE180" s="252">
        <f t="shared" si="116"/>
        <v>0</v>
      </c>
      <c r="AF180" s="252">
        <f t="shared" si="116"/>
        <v>0</v>
      </c>
      <c r="AG180" s="252">
        <f t="shared" si="116"/>
        <v>0</v>
      </c>
      <c r="AH180" s="252">
        <f t="shared" si="116"/>
        <v>0</v>
      </c>
    </row>
    <row r="181" spans="1:34">
      <c r="A181" s="240" t="s">
        <v>233</v>
      </c>
      <c r="B181" s="290">
        <f t="shared" si="117"/>
        <v>0</v>
      </c>
      <c r="C181" s="290">
        <f t="shared" si="118"/>
        <v>0</v>
      </c>
      <c r="D181" s="290">
        <f t="shared" si="116"/>
        <v>0</v>
      </c>
      <c r="E181" s="290">
        <f t="shared" si="116"/>
        <v>0</v>
      </c>
      <c r="F181" s="290">
        <f t="shared" si="116"/>
        <v>0</v>
      </c>
      <c r="G181" s="290">
        <f t="shared" si="116"/>
        <v>0</v>
      </c>
      <c r="H181" s="290">
        <f t="shared" si="116"/>
        <v>0</v>
      </c>
      <c r="I181" s="290">
        <f t="shared" si="116"/>
        <v>0</v>
      </c>
      <c r="J181" s="290">
        <f t="shared" si="116"/>
        <v>0</v>
      </c>
      <c r="K181" s="290">
        <f t="shared" si="116"/>
        <v>0</v>
      </c>
      <c r="L181" s="290">
        <f t="shared" si="116"/>
        <v>0</v>
      </c>
      <c r="M181" s="290">
        <f t="shared" si="116"/>
        <v>0</v>
      </c>
      <c r="N181" s="290">
        <f t="shared" si="116"/>
        <v>0</v>
      </c>
      <c r="O181" s="290">
        <f t="shared" si="116"/>
        <v>0</v>
      </c>
      <c r="P181" s="290">
        <f t="shared" si="116"/>
        <v>0</v>
      </c>
      <c r="Q181" s="290">
        <f t="shared" si="116"/>
        <v>0</v>
      </c>
      <c r="R181" s="290">
        <f t="shared" si="116"/>
        <v>0</v>
      </c>
      <c r="S181" s="290">
        <f t="shared" si="116"/>
        <v>0</v>
      </c>
      <c r="T181" s="290">
        <f t="shared" si="116"/>
        <v>0</v>
      </c>
      <c r="U181" s="290">
        <f t="shared" si="116"/>
        <v>0</v>
      </c>
      <c r="V181" s="290">
        <f t="shared" si="116"/>
        <v>0</v>
      </c>
      <c r="W181" s="290">
        <f t="shared" si="116"/>
        <v>0</v>
      </c>
      <c r="X181" s="290">
        <f t="shared" si="116"/>
        <v>0</v>
      </c>
      <c r="Y181" s="290">
        <f t="shared" si="116"/>
        <v>0</v>
      </c>
      <c r="Z181" s="290">
        <f t="shared" si="116"/>
        <v>0</v>
      </c>
      <c r="AA181" s="290">
        <f t="shared" si="116"/>
        <v>0</v>
      </c>
      <c r="AB181" s="290">
        <f t="shared" si="116"/>
        <v>0</v>
      </c>
      <c r="AC181" s="290">
        <f t="shared" si="116"/>
        <v>0</v>
      </c>
      <c r="AD181" s="252">
        <f t="shared" si="116"/>
        <v>0</v>
      </c>
      <c r="AE181" s="252">
        <f t="shared" si="116"/>
        <v>0</v>
      </c>
      <c r="AF181" s="252">
        <f t="shared" si="116"/>
        <v>0</v>
      </c>
      <c r="AG181" s="252">
        <f t="shared" si="116"/>
        <v>0</v>
      </c>
      <c r="AH181" s="252">
        <f t="shared" si="116"/>
        <v>0</v>
      </c>
    </row>
    <row r="182" spans="1:34">
      <c r="A182" s="240" t="s">
        <v>234</v>
      </c>
      <c r="B182" s="290">
        <f t="shared" si="117"/>
        <v>0</v>
      </c>
      <c r="C182" s="290">
        <f t="shared" si="118"/>
        <v>0</v>
      </c>
      <c r="D182" s="290">
        <f t="shared" si="116"/>
        <v>0</v>
      </c>
      <c r="E182" s="290">
        <f t="shared" si="116"/>
        <v>0</v>
      </c>
      <c r="F182" s="290">
        <f t="shared" si="116"/>
        <v>0</v>
      </c>
      <c r="G182" s="290">
        <f t="shared" si="116"/>
        <v>0</v>
      </c>
      <c r="H182" s="290">
        <f t="shared" si="116"/>
        <v>0</v>
      </c>
      <c r="I182" s="290">
        <f t="shared" si="116"/>
        <v>0</v>
      </c>
      <c r="J182" s="290">
        <f t="shared" si="116"/>
        <v>0</v>
      </c>
      <c r="K182" s="290">
        <f t="shared" si="116"/>
        <v>0</v>
      </c>
      <c r="L182" s="290">
        <f t="shared" si="116"/>
        <v>0</v>
      </c>
      <c r="M182" s="290">
        <f t="shared" si="116"/>
        <v>0</v>
      </c>
      <c r="N182" s="290">
        <f t="shared" si="116"/>
        <v>0</v>
      </c>
      <c r="O182" s="290">
        <f t="shared" si="116"/>
        <v>0</v>
      </c>
      <c r="P182" s="290">
        <f t="shared" si="116"/>
        <v>0</v>
      </c>
      <c r="Q182" s="290">
        <f t="shared" si="116"/>
        <v>0</v>
      </c>
      <c r="R182" s="290">
        <f t="shared" si="116"/>
        <v>0</v>
      </c>
      <c r="S182" s="290">
        <f t="shared" si="116"/>
        <v>0</v>
      </c>
      <c r="T182" s="290">
        <f t="shared" si="116"/>
        <v>0</v>
      </c>
      <c r="U182" s="290">
        <f t="shared" si="116"/>
        <v>0</v>
      </c>
      <c r="V182" s="290">
        <f t="shared" si="116"/>
        <v>0</v>
      </c>
      <c r="W182" s="290">
        <f t="shared" si="116"/>
        <v>0</v>
      </c>
      <c r="X182" s="290">
        <f t="shared" si="116"/>
        <v>0</v>
      </c>
      <c r="Y182" s="290">
        <f t="shared" si="116"/>
        <v>0</v>
      </c>
      <c r="Z182" s="290">
        <f t="shared" si="116"/>
        <v>0</v>
      </c>
      <c r="AA182" s="290">
        <f t="shared" si="116"/>
        <v>0</v>
      </c>
      <c r="AB182" s="290">
        <f t="shared" si="116"/>
        <v>0</v>
      </c>
      <c r="AC182" s="290">
        <f t="shared" si="116"/>
        <v>0</v>
      </c>
      <c r="AD182" s="252">
        <f t="shared" si="116"/>
        <v>0</v>
      </c>
      <c r="AE182" s="252">
        <f t="shared" si="116"/>
        <v>0</v>
      </c>
      <c r="AF182" s="252">
        <f t="shared" si="116"/>
        <v>0</v>
      </c>
      <c r="AG182" s="252">
        <f t="shared" si="116"/>
        <v>0</v>
      </c>
      <c r="AH182" s="252">
        <f t="shared" si="116"/>
        <v>0</v>
      </c>
    </row>
    <row r="183" spans="1:34">
      <c r="A183" s="240" t="s">
        <v>46</v>
      </c>
      <c r="B183" s="290">
        <f t="shared" si="117"/>
        <v>0</v>
      </c>
      <c r="C183" s="290">
        <f t="shared" si="118"/>
        <v>0</v>
      </c>
      <c r="D183" s="290">
        <f t="shared" si="116"/>
        <v>0</v>
      </c>
      <c r="E183" s="290">
        <f t="shared" si="116"/>
        <v>0</v>
      </c>
      <c r="F183" s="290">
        <f t="shared" si="116"/>
        <v>0</v>
      </c>
      <c r="G183" s="290">
        <f t="shared" si="116"/>
        <v>0</v>
      </c>
      <c r="H183" s="290">
        <f t="shared" si="116"/>
        <v>0</v>
      </c>
      <c r="I183" s="290">
        <f t="shared" si="116"/>
        <v>0</v>
      </c>
      <c r="J183" s="290">
        <f t="shared" si="116"/>
        <v>0</v>
      </c>
      <c r="K183" s="290">
        <f t="shared" si="116"/>
        <v>0</v>
      </c>
      <c r="L183" s="290">
        <f t="shared" si="116"/>
        <v>0</v>
      </c>
      <c r="M183" s="290">
        <f t="shared" si="116"/>
        <v>0</v>
      </c>
      <c r="N183" s="290">
        <f t="shared" si="116"/>
        <v>0</v>
      </c>
      <c r="O183" s="290">
        <f t="shared" si="116"/>
        <v>0</v>
      </c>
      <c r="P183" s="290">
        <f t="shared" si="116"/>
        <v>0</v>
      </c>
      <c r="Q183" s="290">
        <f t="shared" si="116"/>
        <v>0</v>
      </c>
      <c r="R183" s="290">
        <f t="shared" si="116"/>
        <v>0</v>
      </c>
      <c r="S183" s="290">
        <f t="shared" si="116"/>
        <v>0</v>
      </c>
      <c r="T183" s="290">
        <f t="shared" si="116"/>
        <v>0</v>
      </c>
      <c r="U183" s="290">
        <f t="shared" si="116"/>
        <v>0</v>
      </c>
      <c r="V183" s="290">
        <f t="shared" si="116"/>
        <v>0</v>
      </c>
      <c r="W183" s="290">
        <f t="shared" si="116"/>
        <v>0</v>
      </c>
      <c r="X183" s="290">
        <f t="shared" si="116"/>
        <v>0</v>
      </c>
      <c r="Y183" s="290">
        <f t="shared" si="116"/>
        <v>0</v>
      </c>
      <c r="Z183" s="290">
        <f t="shared" si="116"/>
        <v>0</v>
      </c>
      <c r="AA183" s="290">
        <f t="shared" si="116"/>
        <v>0</v>
      </c>
      <c r="AB183" s="290">
        <f t="shared" si="116"/>
        <v>0</v>
      </c>
      <c r="AC183" s="290">
        <f t="shared" si="116"/>
        <v>0</v>
      </c>
      <c r="AD183" s="252">
        <f t="shared" si="116"/>
        <v>0</v>
      </c>
      <c r="AE183" s="252">
        <f t="shared" si="116"/>
        <v>0</v>
      </c>
      <c r="AF183" s="252">
        <f t="shared" si="116"/>
        <v>0</v>
      </c>
      <c r="AG183" s="252">
        <f t="shared" si="116"/>
        <v>0</v>
      </c>
      <c r="AH183" s="252">
        <f t="shared" si="116"/>
        <v>0</v>
      </c>
    </row>
    <row r="184" spans="1:34">
      <c r="A184" s="240" t="s">
        <v>235</v>
      </c>
      <c r="B184" s="290">
        <f t="shared" si="117"/>
        <v>0</v>
      </c>
      <c r="C184" s="290">
        <f t="shared" si="118"/>
        <v>0</v>
      </c>
      <c r="D184" s="290">
        <f t="shared" si="116"/>
        <v>0</v>
      </c>
      <c r="E184" s="290">
        <f t="shared" si="116"/>
        <v>0</v>
      </c>
      <c r="F184" s="290">
        <f t="shared" si="116"/>
        <v>0</v>
      </c>
      <c r="G184" s="290">
        <f t="shared" si="116"/>
        <v>0</v>
      </c>
      <c r="H184" s="290">
        <f t="shared" si="116"/>
        <v>0</v>
      </c>
      <c r="I184" s="290">
        <f t="shared" si="116"/>
        <v>0</v>
      </c>
      <c r="J184" s="290">
        <f t="shared" si="116"/>
        <v>0</v>
      </c>
      <c r="K184" s="290">
        <f t="shared" si="116"/>
        <v>0</v>
      </c>
      <c r="L184" s="290">
        <f t="shared" si="116"/>
        <v>0</v>
      </c>
      <c r="M184" s="290">
        <f t="shared" si="116"/>
        <v>0</v>
      </c>
      <c r="N184" s="290">
        <f t="shared" si="116"/>
        <v>0</v>
      </c>
      <c r="O184" s="290">
        <f t="shared" si="116"/>
        <v>0</v>
      </c>
      <c r="P184" s="290">
        <f t="shared" si="116"/>
        <v>0</v>
      </c>
      <c r="Q184" s="290">
        <f t="shared" si="116"/>
        <v>0</v>
      </c>
      <c r="R184" s="290">
        <f t="shared" si="116"/>
        <v>0</v>
      </c>
      <c r="S184" s="290">
        <f t="shared" si="116"/>
        <v>0</v>
      </c>
      <c r="T184" s="290">
        <f t="shared" si="116"/>
        <v>0</v>
      </c>
      <c r="U184" s="290">
        <f t="shared" si="116"/>
        <v>0</v>
      </c>
      <c r="V184" s="290">
        <f t="shared" si="116"/>
        <v>0</v>
      </c>
      <c r="W184" s="290">
        <f t="shared" si="116"/>
        <v>0</v>
      </c>
      <c r="X184" s="290">
        <f t="shared" si="116"/>
        <v>0</v>
      </c>
      <c r="Y184" s="290">
        <f t="shared" si="116"/>
        <v>0</v>
      </c>
      <c r="Z184" s="290">
        <f t="shared" si="116"/>
        <v>0</v>
      </c>
      <c r="AA184" s="290">
        <f t="shared" si="116"/>
        <v>0</v>
      </c>
      <c r="AB184" s="290">
        <f t="shared" si="116"/>
        <v>0</v>
      </c>
      <c r="AC184" s="290">
        <f t="shared" si="116"/>
        <v>0</v>
      </c>
      <c r="AD184" s="252">
        <f t="shared" si="116"/>
        <v>0</v>
      </c>
      <c r="AE184" s="252">
        <f t="shared" si="116"/>
        <v>0</v>
      </c>
      <c r="AF184" s="252">
        <f t="shared" si="116"/>
        <v>0</v>
      </c>
      <c r="AG184" s="252">
        <f t="shared" si="116"/>
        <v>0</v>
      </c>
      <c r="AH184" s="252">
        <f t="shared" si="116"/>
        <v>0</v>
      </c>
    </row>
    <row r="185" spans="1:34">
      <c r="A185" s="240" t="s">
        <v>236</v>
      </c>
      <c r="B185" s="290">
        <f t="shared" si="117"/>
        <v>0</v>
      </c>
      <c r="C185" s="290">
        <f t="shared" si="118"/>
        <v>0</v>
      </c>
      <c r="D185" s="290">
        <f t="shared" si="116"/>
        <v>0</v>
      </c>
      <c r="E185" s="290">
        <f t="shared" si="116"/>
        <v>0</v>
      </c>
      <c r="F185" s="290">
        <f t="shared" si="116"/>
        <v>0</v>
      </c>
      <c r="G185" s="290">
        <f t="shared" si="116"/>
        <v>0</v>
      </c>
      <c r="H185" s="290">
        <f t="shared" si="116"/>
        <v>0</v>
      </c>
      <c r="I185" s="290">
        <f t="shared" si="116"/>
        <v>0</v>
      </c>
      <c r="J185" s="290">
        <f t="shared" si="116"/>
        <v>0</v>
      </c>
      <c r="K185" s="290">
        <f t="shared" ref="D185:AH186" si="119">(K$187-J$187)/13+K184</f>
        <v>0</v>
      </c>
      <c r="L185" s="290">
        <f t="shared" si="119"/>
        <v>0</v>
      </c>
      <c r="M185" s="290">
        <f t="shared" si="119"/>
        <v>0</v>
      </c>
      <c r="N185" s="290">
        <f t="shared" si="119"/>
        <v>0</v>
      </c>
      <c r="O185" s="290">
        <f t="shared" si="119"/>
        <v>0</v>
      </c>
      <c r="P185" s="290">
        <f t="shared" si="119"/>
        <v>0</v>
      </c>
      <c r="Q185" s="290">
        <f t="shared" si="119"/>
        <v>0</v>
      </c>
      <c r="R185" s="290">
        <f t="shared" si="119"/>
        <v>0</v>
      </c>
      <c r="S185" s="290">
        <f t="shared" si="119"/>
        <v>0</v>
      </c>
      <c r="T185" s="290">
        <f t="shared" si="119"/>
        <v>0</v>
      </c>
      <c r="U185" s="290">
        <f t="shared" si="119"/>
        <v>0</v>
      </c>
      <c r="V185" s="290">
        <f t="shared" si="119"/>
        <v>0</v>
      </c>
      <c r="W185" s="290">
        <f t="shared" si="119"/>
        <v>0</v>
      </c>
      <c r="X185" s="290">
        <f t="shared" si="119"/>
        <v>0</v>
      </c>
      <c r="Y185" s="290">
        <f t="shared" si="119"/>
        <v>0</v>
      </c>
      <c r="Z185" s="290">
        <f t="shared" si="119"/>
        <v>0</v>
      </c>
      <c r="AA185" s="290">
        <f t="shared" si="119"/>
        <v>0</v>
      </c>
      <c r="AB185" s="290">
        <f t="shared" si="119"/>
        <v>0</v>
      </c>
      <c r="AC185" s="290">
        <f t="shared" si="119"/>
        <v>0</v>
      </c>
      <c r="AD185" s="252">
        <f t="shared" si="119"/>
        <v>0</v>
      </c>
      <c r="AE185" s="252">
        <f t="shared" si="119"/>
        <v>0</v>
      </c>
      <c r="AF185" s="252">
        <f t="shared" si="119"/>
        <v>0</v>
      </c>
      <c r="AG185" s="252">
        <f t="shared" si="119"/>
        <v>0</v>
      </c>
      <c r="AH185" s="252">
        <f t="shared" si="119"/>
        <v>0</v>
      </c>
    </row>
    <row r="186" spans="1:34">
      <c r="A186" s="240" t="s">
        <v>237</v>
      </c>
      <c r="B186" s="290">
        <f t="shared" si="117"/>
        <v>0</v>
      </c>
      <c r="C186" s="290">
        <f t="shared" si="118"/>
        <v>0</v>
      </c>
      <c r="D186" s="290">
        <f t="shared" si="119"/>
        <v>0</v>
      </c>
      <c r="E186" s="290">
        <f t="shared" si="119"/>
        <v>0</v>
      </c>
      <c r="F186" s="290">
        <f t="shared" si="119"/>
        <v>0</v>
      </c>
      <c r="G186" s="290">
        <f t="shared" si="119"/>
        <v>0</v>
      </c>
      <c r="H186" s="290">
        <f t="shared" si="119"/>
        <v>0</v>
      </c>
      <c r="I186" s="290">
        <f t="shared" si="119"/>
        <v>0</v>
      </c>
      <c r="J186" s="290">
        <f t="shared" si="119"/>
        <v>0</v>
      </c>
      <c r="K186" s="290">
        <f t="shared" si="119"/>
        <v>0</v>
      </c>
      <c r="L186" s="290">
        <f t="shared" si="119"/>
        <v>0</v>
      </c>
      <c r="M186" s="290">
        <f t="shared" si="119"/>
        <v>0</v>
      </c>
      <c r="N186" s="290">
        <f t="shared" si="119"/>
        <v>0</v>
      </c>
      <c r="O186" s="290">
        <f t="shared" si="119"/>
        <v>0</v>
      </c>
      <c r="P186" s="290">
        <f t="shared" si="119"/>
        <v>0</v>
      </c>
      <c r="Q186" s="290">
        <f t="shared" si="119"/>
        <v>0</v>
      </c>
      <c r="R186" s="290">
        <f t="shared" si="119"/>
        <v>0</v>
      </c>
      <c r="S186" s="290">
        <f t="shared" si="119"/>
        <v>0</v>
      </c>
      <c r="T186" s="290">
        <f t="shared" si="119"/>
        <v>0</v>
      </c>
      <c r="U186" s="290">
        <f t="shared" si="119"/>
        <v>0</v>
      </c>
      <c r="V186" s="290">
        <f t="shared" si="119"/>
        <v>0</v>
      </c>
      <c r="W186" s="290">
        <f t="shared" si="119"/>
        <v>0</v>
      </c>
      <c r="X186" s="290">
        <f t="shared" si="119"/>
        <v>0</v>
      </c>
      <c r="Y186" s="290">
        <f t="shared" si="119"/>
        <v>0</v>
      </c>
      <c r="Z186" s="290">
        <f t="shared" si="119"/>
        <v>0</v>
      </c>
      <c r="AA186" s="290">
        <f t="shared" si="119"/>
        <v>0</v>
      </c>
      <c r="AB186" s="290">
        <f t="shared" si="119"/>
        <v>0</v>
      </c>
      <c r="AC186" s="290">
        <f t="shared" si="119"/>
        <v>0</v>
      </c>
      <c r="AD186" s="252">
        <f t="shared" si="119"/>
        <v>0</v>
      </c>
      <c r="AE186" s="252">
        <f t="shared" si="119"/>
        <v>0</v>
      </c>
      <c r="AF186" s="252">
        <f t="shared" si="119"/>
        <v>0</v>
      </c>
      <c r="AG186" s="252">
        <f t="shared" si="119"/>
        <v>0</v>
      </c>
      <c r="AH186" s="252">
        <f t="shared" si="119"/>
        <v>0</v>
      </c>
    </row>
    <row r="187" spans="1:34" ht="15.75" thickBot="1">
      <c r="A187" s="240" t="s">
        <v>238</v>
      </c>
      <c r="B187" s="267">
        <f>B29</f>
        <v>0</v>
      </c>
      <c r="C187" s="267">
        <f t="shared" ref="C187:AH187" si="120">C29</f>
        <v>0</v>
      </c>
      <c r="D187" s="267">
        <f t="shared" si="120"/>
        <v>0</v>
      </c>
      <c r="E187" s="267">
        <f t="shared" si="120"/>
        <v>0</v>
      </c>
      <c r="F187" s="267">
        <f t="shared" si="120"/>
        <v>0</v>
      </c>
      <c r="G187" s="267">
        <f t="shared" si="120"/>
        <v>0</v>
      </c>
      <c r="H187" s="267">
        <f t="shared" si="120"/>
        <v>0</v>
      </c>
      <c r="I187" s="267">
        <f t="shared" si="120"/>
        <v>0</v>
      </c>
      <c r="J187" s="267">
        <f t="shared" si="120"/>
        <v>0</v>
      </c>
      <c r="K187" s="267">
        <f t="shared" si="120"/>
        <v>0</v>
      </c>
      <c r="L187" s="267">
        <f t="shared" si="120"/>
        <v>0</v>
      </c>
      <c r="M187" s="267">
        <f t="shared" si="120"/>
        <v>0</v>
      </c>
      <c r="N187" s="267">
        <f t="shared" si="120"/>
        <v>0</v>
      </c>
      <c r="O187" s="267">
        <f t="shared" si="120"/>
        <v>0</v>
      </c>
      <c r="P187" s="267">
        <f t="shared" si="120"/>
        <v>0</v>
      </c>
      <c r="Q187" s="267">
        <f t="shared" si="120"/>
        <v>0</v>
      </c>
      <c r="R187" s="267">
        <f t="shared" si="120"/>
        <v>0</v>
      </c>
      <c r="S187" s="267">
        <f t="shared" si="120"/>
        <v>0</v>
      </c>
      <c r="T187" s="267">
        <f t="shared" si="120"/>
        <v>0</v>
      </c>
      <c r="U187" s="267">
        <f t="shared" si="120"/>
        <v>0</v>
      </c>
      <c r="V187" s="267">
        <f t="shared" si="120"/>
        <v>0</v>
      </c>
      <c r="W187" s="267">
        <f t="shared" si="120"/>
        <v>0</v>
      </c>
      <c r="X187" s="267">
        <f t="shared" si="120"/>
        <v>0</v>
      </c>
      <c r="Y187" s="267">
        <f t="shared" si="120"/>
        <v>0</v>
      </c>
      <c r="Z187" s="267">
        <f t="shared" si="120"/>
        <v>0</v>
      </c>
      <c r="AA187" s="267">
        <f t="shared" si="120"/>
        <v>0</v>
      </c>
      <c r="AB187" s="267">
        <f t="shared" si="120"/>
        <v>0</v>
      </c>
      <c r="AC187" s="267">
        <f t="shared" si="120"/>
        <v>0</v>
      </c>
      <c r="AD187" s="268">
        <f t="shared" si="120"/>
        <v>0</v>
      </c>
      <c r="AE187" s="268">
        <f t="shared" si="120"/>
        <v>0</v>
      </c>
      <c r="AF187" s="268">
        <f t="shared" si="120"/>
        <v>0</v>
      </c>
      <c r="AG187" s="268">
        <f t="shared" si="120"/>
        <v>0</v>
      </c>
      <c r="AH187" s="268">
        <f t="shared" si="120"/>
        <v>0</v>
      </c>
    </row>
    <row r="188" spans="1:34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  <c r="AD188" s="248"/>
      <c r="AE188" s="248"/>
      <c r="AF188" s="248"/>
      <c r="AG188" s="248"/>
      <c r="AH188" s="248"/>
    </row>
    <row r="189" spans="1:34" ht="15.75" thickBot="1">
      <c r="A189" s="235" t="s">
        <v>261</v>
      </c>
    </row>
    <row r="190" spans="1:34" ht="15.75" thickBot="1">
      <c r="A190" s="236"/>
      <c r="B190" s="237" t="str">
        <f>B$2</f>
        <v xml:space="preserve">93/94 </v>
      </c>
      <c r="C190" s="237" t="str">
        <f t="shared" ref="C190:AH190" si="121">C$2</f>
        <v xml:space="preserve">94/95 </v>
      </c>
      <c r="D190" s="237" t="str">
        <f t="shared" si="121"/>
        <v xml:space="preserve">95/96 </v>
      </c>
      <c r="E190" s="237" t="str">
        <f t="shared" si="121"/>
        <v xml:space="preserve">96/97 </v>
      </c>
      <c r="F190" s="237" t="str">
        <f t="shared" si="121"/>
        <v xml:space="preserve">97/98 </v>
      </c>
      <c r="G190" s="237" t="str">
        <f t="shared" si="121"/>
        <v xml:space="preserve">98/99 </v>
      </c>
      <c r="H190" s="237" t="str">
        <f t="shared" si="121"/>
        <v xml:space="preserve">99/00 </v>
      </c>
      <c r="I190" s="237" t="str">
        <f t="shared" si="121"/>
        <v xml:space="preserve">00/01 </v>
      </c>
      <c r="J190" s="237" t="str">
        <f t="shared" si="121"/>
        <v xml:space="preserve">01/02 </v>
      </c>
      <c r="K190" s="237" t="str">
        <f t="shared" si="121"/>
        <v xml:space="preserve">02/03 </v>
      </c>
      <c r="L190" s="237" t="str">
        <f t="shared" si="121"/>
        <v xml:space="preserve">03/04 </v>
      </c>
      <c r="M190" s="237" t="str">
        <f t="shared" si="121"/>
        <v xml:space="preserve">04/05 </v>
      </c>
      <c r="N190" s="237" t="str">
        <f t="shared" si="121"/>
        <v xml:space="preserve">05/06 </v>
      </c>
      <c r="O190" s="237" t="str">
        <f t="shared" si="121"/>
        <v xml:space="preserve">06/07 </v>
      </c>
      <c r="P190" s="237" t="str">
        <f t="shared" si="121"/>
        <v xml:space="preserve">07/08 </v>
      </c>
      <c r="Q190" s="237" t="str">
        <f t="shared" si="121"/>
        <v xml:space="preserve">08/09 </v>
      </c>
      <c r="R190" s="237" t="str">
        <f t="shared" si="121"/>
        <v xml:space="preserve">09/10 </v>
      </c>
      <c r="S190" s="237" t="str">
        <f t="shared" si="121"/>
        <v xml:space="preserve">10/11 </v>
      </c>
      <c r="T190" s="237" t="str">
        <f t="shared" si="121"/>
        <v xml:space="preserve">11/12 </v>
      </c>
      <c r="U190" s="237" t="str">
        <f t="shared" si="121"/>
        <v xml:space="preserve">12/13 </v>
      </c>
      <c r="V190" s="237" t="str">
        <f t="shared" si="121"/>
        <v xml:space="preserve">13/14 </v>
      </c>
      <c r="W190" s="237" t="str">
        <f t="shared" si="121"/>
        <v xml:space="preserve">14/15 </v>
      </c>
      <c r="X190" s="237" t="str">
        <f t="shared" si="121"/>
        <v xml:space="preserve">15/16 </v>
      </c>
      <c r="Y190" s="237" t="str">
        <f t="shared" si="121"/>
        <v xml:space="preserve">16/17 </v>
      </c>
      <c r="Z190" s="237" t="str">
        <f t="shared" si="121"/>
        <v xml:space="preserve">17/18 </v>
      </c>
      <c r="AA190" s="237" t="str">
        <f t="shared" si="121"/>
        <v xml:space="preserve">18/19 </v>
      </c>
      <c r="AB190" s="237" t="str">
        <f t="shared" si="121"/>
        <v xml:space="preserve">19/20 </v>
      </c>
      <c r="AC190" s="237" t="str">
        <f t="shared" si="121"/>
        <v xml:space="preserve">20/21 </v>
      </c>
      <c r="AD190" s="237" t="str">
        <f t="shared" si="121"/>
        <v xml:space="preserve">21/22 </v>
      </c>
      <c r="AE190" s="237" t="str">
        <f t="shared" si="121"/>
        <v xml:space="preserve">22/23 </v>
      </c>
      <c r="AF190" s="237" t="str">
        <f t="shared" si="121"/>
        <v>23/24</v>
      </c>
      <c r="AG190" s="237" t="str">
        <f t="shared" si="121"/>
        <v>23/25</v>
      </c>
      <c r="AH190" s="237" t="str">
        <f t="shared" si="121"/>
        <v>23/26</v>
      </c>
    </row>
    <row r="191" spans="1:34">
      <c r="A191" s="240" t="s">
        <v>239</v>
      </c>
    </row>
    <row r="192" spans="1:34">
      <c r="A192" s="240" t="s">
        <v>240</v>
      </c>
    </row>
    <row r="193" spans="1:36">
      <c r="A193" s="240" t="s">
        <v>241</v>
      </c>
    </row>
    <row r="194" spans="1:36">
      <c r="A194" s="240" t="s">
        <v>231</v>
      </c>
    </row>
    <row r="195" spans="1:36">
      <c r="A195" s="240" t="s">
        <v>232</v>
      </c>
    </row>
    <row r="196" spans="1:36">
      <c r="A196" s="240" t="s">
        <v>233</v>
      </c>
    </row>
    <row r="197" spans="1:36">
      <c r="A197" s="240" t="s">
        <v>234</v>
      </c>
    </row>
    <row r="198" spans="1:36">
      <c r="A198" s="240" t="s">
        <v>46</v>
      </c>
      <c r="AJ198" s="363"/>
    </row>
    <row r="199" spans="1:36">
      <c r="A199" s="240" t="s">
        <v>235</v>
      </c>
      <c r="AJ199" s="364"/>
    </row>
    <row r="200" spans="1:36">
      <c r="A200" s="240" t="s">
        <v>236</v>
      </c>
      <c r="AJ200" s="363"/>
    </row>
    <row r="201" spans="1:36">
      <c r="A201" s="240" t="s">
        <v>237</v>
      </c>
      <c r="AJ201" s="363"/>
    </row>
    <row r="202" spans="1:36">
      <c r="A202" s="240" t="s">
        <v>238</v>
      </c>
      <c r="AJ202" s="300"/>
    </row>
    <row r="203" spans="1:36" ht="15.75" thickBot="1">
      <c r="A203" s="240" t="s">
        <v>255</v>
      </c>
      <c r="AJ203" s="300"/>
    </row>
    <row r="204" spans="1:36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  <c r="AD204" s="248"/>
      <c r="AE204" s="248"/>
      <c r="AF204" s="248"/>
      <c r="AG204" s="248"/>
      <c r="AH204" s="248"/>
      <c r="AJ204" s="365"/>
    </row>
    <row r="205" spans="1:36" ht="15.75" thickBot="1">
      <c r="A205" s="235" t="s">
        <v>262</v>
      </c>
    </row>
    <row r="206" spans="1:36" ht="15.75" thickBot="1">
      <c r="A206" s="236"/>
      <c r="B206" s="237" t="str">
        <f>B$2</f>
        <v xml:space="preserve">93/94 </v>
      </c>
      <c r="C206" s="237" t="str">
        <f t="shared" ref="C206:AH206" si="122">C$2</f>
        <v xml:space="preserve">94/95 </v>
      </c>
      <c r="D206" s="237" t="str">
        <f t="shared" si="122"/>
        <v xml:space="preserve">95/96 </v>
      </c>
      <c r="E206" s="237" t="str">
        <f t="shared" si="122"/>
        <v xml:space="preserve">96/97 </v>
      </c>
      <c r="F206" s="237" t="str">
        <f t="shared" si="122"/>
        <v xml:space="preserve">97/98 </v>
      </c>
      <c r="G206" s="237" t="str">
        <f t="shared" si="122"/>
        <v xml:space="preserve">98/99 </v>
      </c>
      <c r="H206" s="237" t="str">
        <f t="shared" si="122"/>
        <v xml:space="preserve">99/00 </v>
      </c>
      <c r="I206" s="237" t="str">
        <f t="shared" si="122"/>
        <v xml:space="preserve">00/01 </v>
      </c>
      <c r="J206" s="237" t="str">
        <f t="shared" si="122"/>
        <v xml:space="preserve">01/02 </v>
      </c>
      <c r="K206" s="237" t="str">
        <f t="shared" si="122"/>
        <v xml:space="preserve">02/03 </v>
      </c>
      <c r="L206" s="237" t="str">
        <f t="shared" si="122"/>
        <v xml:space="preserve">03/04 </v>
      </c>
      <c r="M206" s="237" t="str">
        <f t="shared" si="122"/>
        <v xml:space="preserve">04/05 </v>
      </c>
      <c r="N206" s="237" t="str">
        <f t="shared" si="122"/>
        <v xml:space="preserve">05/06 </v>
      </c>
      <c r="O206" s="237" t="str">
        <f t="shared" si="122"/>
        <v xml:space="preserve">06/07 </v>
      </c>
      <c r="P206" s="237" t="str">
        <f t="shared" si="122"/>
        <v xml:space="preserve">07/08 </v>
      </c>
      <c r="Q206" s="237" t="str">
        <f t="shared" si="122"/>
        <v xml:space="preserve">08/09 </v>
      </c>
      <c r="R206" s="237" t="str">
        <f t="shared" si="122"/>
        <v xml:space="preserve">09/10 </v>
      </c>
      <c r="S206" s="237" t="str">
        <f t="shared" si="122"/>
        <v xml:space="preserve">10/11 </v>
      </c>
      <c r="T206" s="237" t="str">
        <f t="shared" si="122"/>
        <v xml:space="preserve">11/12 </v>
      </c>
      <c r="U206" s="237" t="str">
        <f t="shared" si="122"/>
        <v xml:space="preserve">12/13 </v>
      </c>
      <c r="V206" s="237" t="str">
        <f t="shared" si="122"/>
        <v xml:space="preserve">13/14 </v>
      </c>
      <c r="W206" s="237" t="str">
        <f t="shared" si="122"/>
        <v xml:space="preserve">14/15 </v>
      </c>
      <c r="X206" s="237" t="str">
        <f t="shared" si="122"/>
        <v xml:space="preserve">15/16 </v>
      </c>
      <c r="Y206" s="237" t="str">
        <f t="shared" si="122"/>
        <v xml:space="preserve">16/17 </v>
      </c>
      <c r="Z206" s="237" t="str">
        <f t="shared" si="122"/>
        <v xml:space="preserve">17/18 </v>
      </c>
      <c r="AA206" s="237" t="str">
        <f t="shared" si="122"/>
        <v xml:space="preserve">18/19 </v>
      </c>
      <c r="AB206" s="237" t="str">
        <f t="shared" si="122"/>
        <v xml:space="preserve">19/20 </v>
      </c>
      <c r="AC206" s="237" t="str">
        <f t="shared" si="122"/>
        <v xml:space="preserve">20/21 </v>
      </c>
      <c r="AD206" s="237" t="str">
        <f t="shared" si="122"/>
        <v xml:space="preserve">21/22 </v>
      </c>
      <c r="AE206" s="237" t="str">
        <f t="shared" si="122"/>
        <v xml:space="preserve">22/23 </v>
      </c>
      <c r="AF206" s="237" t="str">
        <f t="shared" si="122"/>
        <v>23/24</v>
      </c>
      <c r="AG206" s="237" t="str">
        <f t="shared" si="122"/>
        <v>23/25</v>
      </c>
      <c r="AH206" s="237" t="str">
        <f t="shared" si="122"/>
        <v>23/26</v>
      </c>
    </row>
    <row r="207" spans="1:36">
      <c r="A207" s="240" t="s">
        <v>239</v>
      </c>
      <c r="B207" s="290">
        <f>B223*B80</f>
        <v>15.792086413193516</v>
      </c>
      <c r="C207" s="290">
        <f>C223*C80</f>
        <v>17.332478805002424</v>
      </c>
      <c r="D207" s="290">
        <f>D223*D80</f>
        <v>15.625494428017898</v>
      </c>
      <c r="E207" s="290">
        <f>E223*E80</f>
        <v>15.937458147984271</v>
      </c>
      <c r="F207" s="290">
        <f t="shared" ref="F207:AH216" si="123">F223*F80</f>
        <v>14.404337807109361</v>
      </c>
      <c r="G207" s="290">
        <f t="shared" si="123"/>
        <v>15.524757603768991</v>
      </c>
      <c r="H207" s="290">
        <f t="shared" si="123"/>
        <v>16.918117057512998</v>
      </c>
      <c r="I207" s="290">
        <f t="shared" si="123"/>
        <v>28.526707934037635</v>
      </c>
      <c r="J207" s="290">
        <f t="shared" si="123"/>
        <v>19.677280754112523</v>
      </c>
      <c r="K207" s="290">
        <f t="shared" si="123"/>
        <v>26.094003699119796</v>
      </c>
      <c r="L207" s="290">
        <f t="shared" si="123"/>
        <v>23.889514738556777</v>
      </c>
      <c r="M207" s="290">
        <f t="shared" si="123"/>
        <v>23.832827529151782</v>
      </c>
      <c r="N207" s="290">
        <f t="shared" si="123"/>
        <v>32.84241683883797</v>
      </c>
      <c r="O207" s="290">
        <f t="shared" si="123"/>
        <v>20.452408944547912</v>
      </c>
      <c r="P207" s="290">
        <f t="shared" si="123"/>
        <v>19.783732157953079</v>
      </c>
      <c r="Q207" s="290">
        <f t="shared" si="123"/>
        <v>26.570130847844691</v>
      </c>
      <c r="R207" s="290">
        <f t="shared" si="123"/>
        <v>26.571370034251103</v>
      </c>
      <c r="S207" s="290">
        <f t="shared" si="123"/>
        <v>29.153894214881682</v>
      </c>
      <c r="T207" s="290">
        <f t="shared" si="123"/>
        <v>33.201820531157431</v>
      </c>
      <c r="U207" s="290">
        <f t="shared" si="123"/>
        <v>40.860141707953765</v>
      </c>
      <c r="V207" s="290">
        <f t="shared" si="123"/>
        <v>35.163799931466201</v>
      </c>
      <c r="W207" s="290">
        <f t="shared" si="123"/>
        <v>33.21339230574965</v>
      </c>
      <c r="X207" s="290">
        <f t="shared" si="123"/>
        <v>38.208728291510738</v>
      </c>
      <c r="Y207" s="290">
        <f t="shared" si="123"/>
        <v>56.718721009455656</v>
      </c>
      <c r="Z207" s="290">
        <f t="shared" si="123"/>
        <v>60.972906234391878</v>
      </c>
      <c r="AA207" s="290">
        <f t="shared" si="123"/>
        <v>49.888941103279066</v>
      </c>
      <c r="AB207" s="290">
        <f t="shared" si="123"/>
        <v>28.239355299160852</v>
      </c>
      <c r="AC207" s="290">
        <f t="shared" si="123"/>
        <v>37.280464763705588</v>
      </c>
      <c r="AD207" s="290">
        <f t="shared" si="123"/>
        <v>47.386143405098643</v>
      </c>
      <c r="AE207" s="290">
        <f t="shared" si="123"/>
        <v>56.856854372212638</v>
      </c>
      <c r="AF207" s="290">
        <f t="shared" si="123"/>
        <v>54.293981640176092</v>
      </c>
      <c r="AG207" s="290">
        <f t="shared" si="123"/>
        <v>53.686487474886128</v>
      </c>
      <c r="AH207" s="290">
        <f t="shared" si="123"/>
        <v>51.522649890735785</v>
      </c>
      <c r="AI207" s="240"/>
    </row>
    <row r="208" spans="1:36">
      <c r="A208" s="240" t="s">
        <v>240</v>
      </c>
      <c r="B208" s="290">
        <f t="shared" ref="B208:Q218" si="124">B224*B81</f>
        <v>16.236734552426515</v>
      </c>
      <c r="C208" s="290">
        <f t="shared" si="124"/>
        <v>17.810866069796301</v>
      </c>
      <c r="D208" s="290">
        <f t="shared" si="124"/>
        <v>16.073115939381399</v>
      </c>
      <c r="E208" s="290">
        <f t="shared" si="124"/>
        <v>16.401004399690159</v>
      </c>
      <c r="F208" s="290">
        <f t="shared" si="124"/>
        <v>14.814851344923452</v>
      </c>
      <c r="G208" s="290">
        <f t="shared" si="124"/>
        <v>15.945137590669805</v>
      </c>
      <c r="H208" s="290">
        <f t="shared" si="123"/>
        <v>17.342289338107353</v>
      </c>
      <c r="I208" s="290">
        <f t="shared" si="123"/>
        <v>29.472672987416445</v>
      </c>
      <c r="J208" s="290">
        <f t="shared" si="123"/>
        <v>20.305747735116817</v>
      </c>
      <c r="K208" s="290">
        <f t="shared" si="123"/>
        <v>26.765438551743319</v>
      </c>
      <c r="L208" s="290">
        <f t="shared" si="123"/>
        <v>24.355748482692896</v>
      </c>
      <c r="M208" s="290">
        <f t="shared" si="123"/>
        <v>24.177570971191681</v>
      </c>
      <c r="N208" s="290">
        <f t="shared" si="123"/>
        <v>34.919353348190306</v>
      </c>
      <c r="O208" s="290">
        <f t="shared" si="123"/>
        <v>20.950142083822097</v>
      </c>
      <c r="P208" s="290">
        <f t="shared" si="123"/>
        <v>19.499265790690611</v>
      </c>
      <c r="Q208" s="290">
        <f t="shared" si="123"/>
        <v>26.334701226728399</v>
      </c>
      <c r="R208" s="290">
        <f t="shared" si="123"/>
        <v>26.329505494430251</v>
      </c>
      <c r="S208" s="290">
        <f t="shared" si="123"/>
        <v>37.177188820070008</v>
      </c>
      <c r="T208" s="290">
        <f t="shared" si="123"/>
        <v>29.249626534731966</v>
      </c>
      <c r="U208" s="290">
        <f t="shared" si="123"/>
        <v>35.027145299918956</v>
      </c>
      <c r="V208" s="290">
        <f t="shared" si="123"/>
        <v>35.717311961307487</v>
      </c>
      <c r="W208" s="290">
        <f t="shared" si="123"/>
        <v>32.871113666004014</v>
      </c>
      <c r="X208" s="290">
        <f t="shared" si="123"/>
        <v>51.815485402615366</v>
      </c>
      <c r="Y208" s="290">
        <f t="shared" si="123"/>
        <v>49.877266600085555</v>
      </c>
      <c r="Z208" s="290">
        <f t="shared" si="123"/>
        <v>53.273429522089657</v>
      </c>
      <c r="AA208" s="290">
        <f t="shared" si="123"/>
        <v>37.350957472594871</v>
      </c>
      <c r="AB208" s="290">
        <f t="shared" si="123"/>
        <v>30.033830153475776</v>
      </c>
      <c r="AC208" s="290">
        <f t="shared" si="123"/>
        <v>47.445760922297211</v>
      </c>
      <c r="AD208" s="290">
        <f t="shared" si="123"/>
        <v>57.195147214982086</v>
      </c>
      <c r="AE208" s="290">
        <f t="shared" si="123"/>
        <v>53.168741864123938</v>
      </c>
      <c r="AF208" s="290">
        <f t="shared" si="123"/>
        <v>54.663897998224236</v>
      </c>
      <c r="AG208" s="290">
        <f t="shared" si="123"/>
        <v>55.043701069975008</v>
      </c>
      <c r="AH208" s="290">
        <f t="shared" si="123"/>
        <v>55.772593674837218</v>
      </c>
      <c r="AI208" s="240"/>
    </row>
    <row r="209" spans="1:35">
      <c r="A209" s="240" t="s">
        <v>241</v>
      </c>
      <c r="B209" s="290">
        <f t="shared" si="124"/>
        <v>16.660866840558977</v>
      </c>
      <c r="C209" s="290">
        <f t="shared" si="124"/>
        <v>18.299243891384606</v>
      </c>
      <c r="D209" s="290">
        <f t="shared" si="124"/>
        <v>16.495879866181234</v>
      </c>
      <c r="E209" s="290">
        <f t="shared" si="124"/>
        <v>16.811351474901496</v>
      </c>
      <c r="F209" s="290">
        <f t="shared" si="124"/>
        <v>15.177170877451591</v>
      </c>
      <c r="G209" s="290">
        <f t="shared" si="124"/>
        <v>16.377456143391985</v>
      </c>
      <c r="H209" s="290">
        <f t="shared" si="123"/>
        <v>17.920576871869017</v>
      </c>
      <c r="I209" s="290">
        <f t="shared" si="123"/>
        <v>30.106528361614767</v>
      </c>
      <c r="J209" s="290">
        <f t="shared" si="123"/>
        <v>20.644800856719598</v>
      </c>
      <c r="K209" s="290">
        <f t="shared" si="123"/>
        <v>27.348606606514458</v>
      </c>
      <c r="L209" s="290">
        <f t="shared" si="123"/>
        <v>25.363359429463397</v>
      </c>
      <c r="M209" s="290">
        <f t="shared" si="123"/>
        <v>25.790499842233181</v>
      </c>
      <c r="N209" s="290">
        <f t="shared" si="123"/>
        <v>34.188206244171916</v>
      </c>
      <c r="O209" s="290">
        <f t="shared" si="123"/>
        <v>20.667718829952115</v>
      </c>
      <c r="P209" s="290">
        <f t="shared" si="123"/>
        <v>20.595685864330239</v>
      </c>
      <c r="Q209" s="290">
        <f t="shared" si="123"/>
        <v>29.86092453644525</v>
      </c>
      <c r="R209" s="290">
        <f t="shared" si="123"/>
        <v>31.288989452970394</v>
      </c>
      <c r="S209" s="290">
        <f t="shared" si="123"/>
        <v>25.133056610601578</v>
      </c>
      <c r="T209" s="290">
        <f t="shared" si="123"/>
        <v>29.825515196757458</v>
      </c>
      <c r="U209" s="290">
        <f t="shared" si="123"/>
        <v>46.671449944204085</v>
      </c>
      <c r="V209" s="290">
        <f t="shared" si="123"/>
        <v>52.501516706150689</v>
      </c>
      <c r="W209" s="290">
        <f t="shared" si="123"/>
        <v>47.983846487337061</v>
      </c>
      <c r="X209" s="290">
        <f t="shared" si="123"/>
        <v>44.974637413633573</v>
      </c>
      <c r="Y209" s="290">
        <f t="shared" si="123"/>
        <v>52.04204796806961</v>
      </c>
      <c r="Z209" s="290">
        <f t="shared" si="123"/>
        <v>56.789076620408174</v>
      </c>
      <c r="AA209" s="290">
        <f t="shared" si="123"/>
        <v>45.76540782487757</v>
      </c>
      <c r="AB209" s="290">
        <f t="shared" si="123"/>
        <v>41.963228538805751</v>
      </c>
      <c r="AC209" s="290">
        <f t="shared" si="123"/>
        <v>36.960806985919376</v>
      </c>
      <c r="AD209" s="290">
        <f t="shared" si="123"/>
        <v>65.056775268491606</v>
      </c>
      <c r="AE209" s="290">
        <f t="shared" si="123"/>
        <v>56.958794033073232</v>
      </c>
      <c r="AF209" s="290">
        <f t="shared" si="123"/>
        <v>59.815897525746344</v>
      </c>
      <c r="AG209" s="290">
        <f t="shared" si="123"/>
        <v>60.301961701117392</v>
      </c>
      <c r="AH209" s="290">
        <f t="shared" si="123"/>
        <v>59.968390859414761</v>
      </c>
      <c r="AI209" s="240"/>
    </row>
    <row r="210" spans="1:35">
      <c r="A210" s="240" t="s">
        <v>231</v>
      </c>
      <c r="B210" s="290">
        <f t="shared" si="124"/>
        <v>14.604188941716652</v>
      </c>
      <c r="C210" s="290">
        <f t="shared" si="124"/>
        <v>16.03123724092346</v>
      </c>
      <c r="D210" s="290">
        <f t="shared" si="124"/>
        <v>14.458498865103982</v>
      </c>
      <c r="E210" s="290">
        <f t="shared" si="124"/>
        <v>14.741687826628064</v>
      </c>
      <c r="F210" s="290">
        <f t="shared" si="124"/>
        <v>13.315657818923873</v>
      </c>
      <c r="G210" s="290">
        <f t="shared" si="124"/>
        <v>14.34871883991571</v>
      </c>
      <c r="H210" s="290">
        <f t="shared" si="123"/>
        <v>15.659200961805578</v>
      </c>
      <c r="I210" s="290">
        <f t="shared" si="123"/>
        <v>26.444176249150679</v>
      </c>
      <c r="J210" s="290">
        <f t="shared" si="123"/>
        <v>18.156919977181946</v>
      </c>
      <c r="K210" s="290">
        <f t="shared" si="123"/>
        <v>24.053899555006986</v>
      </c>
      <c r="L210" s="290">
        <f t="shared" si="123"/>
        <v>22.057904343675695</v>
      </c>
      <c r="M210" s="290">
        <f t="shared" si="123"/>
        <v>22.228261841548658</v>
      </c>
      <c r="N210" s="290">
        <f t="shared" si="123"/>
        <v>30.616959448200319</v>
      </c>
      <c r="O210" s="290">
        <f t="shared" si="123"/>
        <v>18.329848769559266</v>
      </c>
      <c r="P210" s="290">
        <f t="shared" si="123"/>
        <v>18.119616644533348</v>
      </c>
      <c r="Q210" s="290">
        <f t="shared" si="123"/>
        <v>24.716522434856618</v>
      </c>
      <c r="R210" s="290">
        <f t="shared" si="123"/>
        <v>25.940877060691367</v>
      </c>
      <c r="S210" s="290">
        <f t="shared" si="123"/>
        <v>27.123160009014818</v>
      </c>
      <c r="T210" s="290">
        <f t="shared" si="123"/>
        <v>25.348871695243918</v>
      </c>
      <c r="U210" s="290">
        <f t="shared" si="123"/>
        <v>40.087594071630924</v>
      </c>
      <c r="V210" s="290">
        <f t="shared" si="123"/>
        <v>34.960744369369991</v>
      </c>
      <c r="W210" s="290">
        <f t="shared" si="123"/>
        <v>40.033331898566964</v>
      </c>
      <c r="X210" s="290">
        <f t="shared" si="123"/>
        <v>42.106772859880252</v>
      </c>
      <c r="Y210" s="290">
        <f t="shared" si="123"/>
        <v>46.649071751685973</v>
      </c>
      <c r="Z210" s="290">
        <f t="shared" si="123"/>
        <v>66.951358787848434</v>
      </c>
      <c r="AA210" s="290">
        <f t="shared" si="123"/>
        <v>34.458297672632895</v>
      </c>
      <c r="AB210" s="290">
        <f t="shared" si="123"/>
        <v>32.3208539149514</v>
      </c>
      <c r="AC210" s="290">
        <f t="shared" si="123"/>
        <v>38.031202500140864</v>
      </c>
      <c r="AD210" s="290">
        <f t="shared" si="123"/>
        <v>52.613471486791255</v>
      </c>
      <c r="AE210" s="290">
        <f t="shared" si="123"/>
        <v>53.274016060366193</v>
      </c>
      <c r="AF210" s="290">
        <f t="shared" si="123"/>
        <v>54.441359354279612</v>
      </c>
      <c r="AG210" s="290">
        <f t="shared" si="123"/>
        <v>51.498148836429721</v>
      </c>
      <c r="AH210" s="290">
        <f t="shared" si="123"/>
        <v>53.049686052228125</v>
      </c>
      <c r="AI210" s="240"/>
    </row>
    <row r="211" spans="1:35">
      <c r="A211" s="240" t="s">
        <v>232</v>
      </c>
      <c r="B211" s="290">
        <f t="shared" si="124"/>
        <v>11.023935430469535</v>
      </c>
      <c r="C211" s="290">
        <f t="shared" si="124"/>
        <v>12.099498709234787</v>
      </c>
      <c r="D211" s="290">
        <f t="shared" si="124"/>
        <v>10.903994672703487</v>
      </c>
      <c r="E211" s="290">
        <f t="shared" si="124"/>
        <v>11.126449302753663</v>
      </c>
      <c r="F211" s="290">
        <f t="shared" si="124"/>
        <v>10.055077988901617</v>
      </c>
      <c r="G211" s="290">
        <f t="shared" si="124"/>
        <v>10.839633353490825</v>
      </c>
      <c r="H211" s="290">
        <f t="shared" si="123"/>
        <v>11.811421704065479</v>
      </c>
      <c r="I211" s="290">
        <f t="shared" si="123"/>
        <v>19.876269162625658</v>
      </c>
      <c r="J211" s="290">
        <f t="shared" si="123"/>
        <v>13.775551505256708</v>
      </c>
      <c r="K211" s="290">
        <f t="shared" si="123"/>
        <v>18.206162516873068</v>
      </c>
      <c r="L211" s="290">
        <f t="shared" si="123"/>
        <v>16.699985869512833</v>
      </c>
      <c r="M211" s="290">
        <f t="shared" si="123"/>
        <v>16.630916691605993</v>
      </c>
      <c r="N211" s="290">
        <f t="shared" si="123"/>
        <v>22.713246423385492</v>
      </c>
      <c r="O211" s="290">
        <f t="shared" si="123"/>
        <v>14.739882872174157</v>
      </c>
      <c r="P211" s="290">
        <f t="shared" si="123"/>
        <v>13.501758965717729</v>
      </c>
      <c r="Q211" s="290">
        <f t="shared" si="123"/>
        <v>18.736001794662076</v>
      </c>
      <c r="R211" s="290">
        <f t="shared" si="123"/>
        <v>18.388761160787233</v>
      </c>
      <c r="S211" s="290">
        <f t="shared" si="123"/>
        <v>19.372640007199699</v>
      </c>
      <c r="T211" s="290">
        <f t="shared" si="123"/>
        <v>27.490062523962454</v>
      </c>
      <c r="U211" s="290">
        <f t="shared" si="123"/>
        <v>22.706767990352279</v>
      </c>
      <c r="V211" s="290">
        <f t="shared" si="123"/>
        <v>28.352238150496216</v>
      </c>
      <c r="W211" s="290">
        <f t="shared" si="123"/>
        <v>20.820191443206177</v>
      </c>
      <c r="X211" s="290">
        <f t="shared" si="123"/>
        <v>29.767247281006863</v>
      </c>
      <c r="Y211" s="290">
        <f t="shared" si="123"/>
        <v>45.021517764950104</v>
      </c>
      <c r="Z211" s="290">
        <f t="shared" si="123"/>
        <v>40.925463838811815</v>
      </c>
      <c r="AA211" s="290">
        <f t="shared" si="123"/>
        <v>19.357868993709076</v>
      </c>
      <c r="AB211" s="290">
        <f t="shared" si="123"/>
        <v>19.497044864756177</v>
      </c>
      <c r="AC211" s="290">
        <f t="shared" si="123"/>
        <v>22.796218568445084</v>
      </c>
      <c r="AD211" s="290">
        <f t="shared" si="123"/>
        <v>36.553693500586938</v>
      </c>
      <c r="AE211" s="290">
        <f t="shared" si="123"/>
        <v>36.003153742034094</v>
      </c>
      <c r="AF211" s="290">
        <f t="shared" si="123"/>
        <v>33.75731063307262</v>
      </c>
      <c r="AG211" s="290">
        <f t="shared" si="123"/>
        <v>32.80087141724978</v>
      </c>
      <c r="AH211" s="290">
        <f t="shared" si="123"/>
        <v>34.174608604886565</v>
      </c>
      <c r="AI211" s="240"/>
    </row>
    <row r="212" spans="1:35">
      <c r="A212" s="240" t="s">
        <v>233</v>
      </c>
      <c r="B212" s="290">
        <f t="shared" si="124"/>
        <v>13.622771072297699</v>
      </c>
      <c r="C212" s="290">
        <f t="shared" si="124"/>
        <v>14.958428830429442</v>
      </c>
      <c r="D212" s="290">
        <f t="shared" si="124"/>
        <v>13.489076533524667</v>
      </c>
      <c r="E212" s="290">
        <f t="shared" si="124"/>
        <v>13.752377032563043</v>
      </c>
      <c r="F212" s="290">
        <f t="shared" si="124"/>
        <v>12.413992164126647</v>
      </c>
      <c r="G212" s="290">
        <f t="shared" si="124"/>
        <v>13.383334141862308</v>
      </c>
      <c r="H212" s="290">
        <f t="shared" si="123"/>
        <v>14.631308819339447</v>
      </c>
      <c r="I212" s="290">
        <f t="shared" si="123"/>
        <v>24.656476048998048</v>
      </c>
      <c r="J212" s="290">
        <f t="shared" si="123"/>
        <v>16.931171539289412</v>
      </c>
      <c r="K212" s="290">
        <f t="shared" si="123"/>
        <v>22.35613314570665</v>
      </c>
      <c r="L212" s="290">
        <f t="shared" si="123"/>
        <v>20.624895349417287</v>
      </c>
      <c r="M212" s="290">
        <f t="shared" si="123"/>
        <v>20.960044974212927</v>
      </c>
      <c r="N212" s="290">
        <f t="shared" si="123"/>
        <v>28.325449865967421</v>
      </c>
      <c r="O212" s="290">
        <f t="shared" si="123"/>
        <v>17.103535705631614</v>
      </c>
      <c r="P212" s="290">
        <f t="shared" si="123"/>
        <v>16.478193799956802</v>
      </c>
      <c r="Q212" s="290">
        <f t="shared" si="123"/>
        <v>23.7388213164771</v>
      </c>
      <c r="R212" s="290">
        <f t="shared" si="123"/>
        <v>25.366472129288493</v>
      </c>
      <c r="S212" s="290">
        <f t="shared" si="123"/>
        <v>22.990910150963057</v>
      </c>
      <c r="T212" s="290">
        <f t="shared" si="123"/>
        <v>24.55889268730575</v>
      </c>
      <c r="U212" s="290">
        <f t="shared" si="123"/>
        <v>33.580020734299708</v>
      </c>
      <c r="V212" s="290">
        <f t="shared" si="123"/>
        <v>40.905204020307494</v>
      </c>
      <c r="W212" s="290">
        <f t="shared" si="123"/>
        <v>41.824037240249446</v>
      </c>
      <c r="X212" s="290">
        <f t="shared" si="123"/>
        <v>35.842648272786462</v>
      </c>
      <c r="Y212" s="290">
        <f t="shared" si="123"/>
        <v>42.097648253904993</v>
      </c>
      <c r="Z212" s="290">
        <f t="shared" si="123"/>
        <v>48.035184724426216</v>
      </c>
      <c r="AA212" s="290">
        <f t="shared" si="123"/>
        <v>34.199589278339467</v>
      </c>
      <c r="AB212" s="290">
        <f t="shared" si="123"/>
        <v>36.792214970961204</v>
      </c>
      <c r="AC212" s="290">
        <f t="shared" si="123"/>
        <v>30.049669933709534</v>
      </c>
      <c r="AD212" s="290">
        <f t="shared" si="123"/>
        <v>46.578338361517517</v>
      </c>
      <c r="AE212" s="290">
        <f t="shared" si="123"/>
        <v>46.630126853362043</v>
      </c>
      <c r="AF212" s="290">
        <f t="shared" si="123"/>
        <v>47.472107301733047</v>
      </c>
      <c r="AG212" s="290">
        <f t="shared" si="123"/>
        <v>47.480042544925631</v>
      </c>
      <c r="AH212" s="290">
        <f t="shared" si="123"/>
        <v>47.725981299784934</v>
      </c>
      <c r="AI212" s="240"/>
    </row>
    <row r="213" spans="1:35">
      <c r="A213" s="240" t="s">
        <v>234</v>
      </c>
      <c r="B213" s="290">
        <f t="shared" si="124"/>
        <v>14.362770400559366</v>
      </c>
      <c r="C213" s="290">
        <f t="shared" si="124"/>
        <v>15.768570659981297</v>
      </c>
      <c r="D213" s="290">
        <f t="shared" si="124"/>
        <v>14.211805333601784</v>
      </c>
      <c r="E213" s="290">
        <f t="shared" si="124"/>
        <v>14.490232367845914</v>
      </c>
      <c r="F213" s="290">
        <f t="shared" si="124"/>
        <v>13.094940706319909</v>
      </c>
      <c r="G213" s="290">
        <f t="shared" si="124"/>
        <v>14.124417719630781</v>
      </c>
      <c r="H213" s="290">
        <f t="shared" si="123"/>
        <v>15.413029838590473</v>
      </c>
      <c r="I213" s="290">
        <f t="shared" si="123"/>
        <v>25.915858087746589</v>
      </c>
      <c r="J213" s="290">
        <f t="shared" si="123"/>
        <v>17.847771193663238</v>
      </c>
      <c r="K213" s="290">
        <f t="shared" si="123"/>
        <v>23.710099233490656</v>
      </c>
      <c r="L213" s="290">
        <f t="shared" si="123"/>
        <v>21.823965053929772</v>
      </c>
      <c r="M213" s="290">
        <f t="shared" si="123"/>
        <v>21.868524407726142</v>
      </c>
      <c r="N213" s="290">
        <f t="shared" si="123"/>
        <v>29.523933942630357</v>
      </c>
      <c r="O213" s="290">
        <f t="shared" si="123"/>
        <v>18.36597727865141</v>
      </c>
      <c r="P213" s="290">
        <f t="shared" si="123"/>
        <v>18.183088722514466</v>
      </c>
      <c r="Q213" s="290">
        <f t="shared" si="123"/>
        <v>24.866724331447269</v>
      </c>
      <c r="R213" s="290">
        <f t="shared" si="123"/>
        <v>24.882530973142373</v>
      </c>
      <c r="S213" s="290">
        <f t="shared" si="123"/>
        <v>23.848671641650775</v>
      </c>
      <c r="T213" s="290">
        <f t="shared" si="123"/>
        <v>29.695911510842549</v>
      </c>
      <c r="U213" s="290">
        <f t="shared" si="123"/>
        <v>40.414038450386897</v>
      </c>
      <c r="V213" s="290">
        <f t="shared" si="123"/>
        <v>35.542793937668044</v>
      </c>
      <c r="W213" s="290">
        <f t="shared" si="123"/>
        <v>31.193495980625155</v>
      </c>
      <c r="X213" s="290">
        <f t="shared" si="123"/>
        <v>38.212704639548157</v>
      </c>
      <c r="Y213" s="290">
        <f t="shared" si="123"/>
        <v>46.667358875132457</v>
      </c>
      <c r="Z213" s="290">
        <f t="shared" si="123"/>
        <v>57.598019486194225</v>
      </c>
      <c r="AA213" s="290">
        <f t="shared" si="123"/>
        <v>45.229511865269764</v>
      </c>
      <c r="AB213" s="290">
        <f t="shared" si="123"/>
        <v>29.494783891059569</v>
      </c>
      <c r="AC213" s="290">
        <f t="shared" si="123"/>
        <v>39.024921977102728</v>
      </c>
      <c r="AD213" s="290">
        <f t="shared" si="123"/>
        <v>51.363556797399646</v>
      </c>
      <c r="AE213" s="290">
        <f t="shared" si="123"/>
        <v>53.17650292497153</v>
      </c>
      <c r="AF213" s="290">
        <f t="shared" si="123"/>
        <v>54.036792699567428</v>
      </c>
      <c r="AG213" s="290">
        <f t="shared" si="123"/>
        <v>53.355191567244766</v>
      </c>
      <c r="AH213" s="290">
        <f t="shared" si="123"/>
        <v>52.224669019166946</v>
      </c>
      <c r="AI213" s="240"/>
    </row>
    <row r="214" spans="1:35">
      <c r="A214" s="240" t="s">
        <v>46</v>
      </c>
      <c r="B214" s="290">
        <f t="shared" si="124"/>
        <v>15.143559522067758</v>
      </c>
      <c r="C214" s="290">
        <f t="shared" si="124"/>
        <v>16.616252734368224</v>
      </c>
      <c r="D214" s="290">
        <f t="shared" si="124"/>
        <v>14.994402381296691</v>
      </c>
      <c r="E214" s="290">
        <f t="shared" si="124"/>
        <v>15.296236018443985</v>
      </c>
      <c r="F214" s="290">
        <f t="shared" si="124"/>
        <v>13.812058723621869</v>
      </c>
      <c r="G214" s="290">
        <f t="shared" si="124"/>
        <v>14.869628982429351</v>
      </c>
      <c r="H214" s="290">
        <f t="shared" si="123"/>
        <v>16.19929347137651</v>
      </c>
      <c r="I214" s="290">
        <f t="shared" si="123"/>
        <v>27.489523290865197</v>
      </c>
      <c r="J214" s="290">
        <f t="shared" si="123"/>
        <v>18.905435416966586</v>
      </c>
      <c r="K214" s="290">
        <f t="shared" si="123"/>
        <v>24.912062368351993</v>
      </c>
      <c r="L214" s="290">
        <f t="shared" si="123"/>
        <v>22.74402154982041</v>
      </c>
      <c r="M214" s="290">
        <f t="shared" si="123"/>
        <v>22.783734314537607</v>
      </c>
      <c r="N214" s="290">
        <f t="shared" si="123"/>
        <v>32.396977963043582</v>
      </c>
      <c r="O214" s="290">
        <f t="shared" si="123"/>
        <v>19.285366951413554</v>
      </c>
      <c r="P214" s="290">
        <f t="shared" si="123"/>
        <v>18.111604219000462</v>
      </c>
      <c r="Q214" s="290">
        <f t="shared" si="123"/>
        <v>24.974124511107416</v>
      </c>
      <c r="R214" s="290">
        <f t="shared" si="123"/>
        <v>25.889049659200385</v>
      </c>
      <c r="S214" s="290">
        <f t="shared" si="123"/>
        <v>32.617186850214772</v>
      </c>
      <c r="T214" s="290">
        <f t="shared" si="123"/>
        <v>25.98482060196169</v>
      </c>
      <c r="U214" s="290">
        <f t="shared" si="123"/>
        <v>33.68621798924439</v>
      </c>
      <c r="V214" s="290">
        <f t="shared" si="123"/>
        <v>36.88509127820231</v>
      </c>
      <c r="W214" s="290">
        <f t="shared" si="123"/>
        <v>38.04389384887358</v>
      </c>
      <c r="X214" s="290">
        <f t="shared" si="123"/>
        <v>52.497887900420793</v>
      </c>
      <c r="Y214" s="290">
        <f t="shared" si="123"/>
        <v>62.37151239480518</v>
      </c>
      <c r="Z214" s="290">
        <f t="shared" si="123"/>
        <v>44.205044099948445</v>
      </c>
      <c r="AA214" s="290">
        <f t="shared" si="123"/>
        <v>37.249455939015981</v>
      </c>
      <c r="AB214" s="290">
        <f t="shared" si="123"/>
        <v>36.11471504525317</v>
      </c>
      <c r="AC214" s="290">
        <f t="shared" si="123"/>
        <v>28.176665683344758</v>
      </c>
      <c r="AD214" s="290">
        <f t="shared" si="123"/>
        <v>54.966314956040584</v>
      </c>
      <c r="AE214" s="290">
        <f t="shared" si="123"/>
        <v>50.764338230128786</v>
      </c>
      <c r="AF214" s="290">
        <f t="shared" si="123"/>
        <v>48.697602584832623</v>
      </c>
      <c r="AG214" s="290">
        <f t="shared" si="123"/>
        <v>50.661259266550047</v>
      </c>
      <c r="AH214" s="290">
        <f t="shared" si="123"/>
        <v>50.30001366222433</v>
      </c>
      <c r="AI214" s="240"/>
    </row>
    <row r="215" spans="1:35">
      <c r="A215" s="240" t="s">
        <v>235</v>
      </c>
      <c r="B215" s="290">
        <f t="shared" si="124"/>
        <v>15.760967398330713</v>
      </c>
      <c r="C215" s="290">
        <f t="shared" si="124"/>
        <v>17.305928164009551</v>
      </c>
      <c r="D215" s="290">
        <f t="shared" si="124"/>
        <v>15.607446142385211</v>
      </c>
      <c r="E215" s="290">
        <f t="shared" si="124"/>
        <v>15.91163267847098</v>
      </c>
      <c r="F215" s="290">
        <f t="shared" si="124"/>
        <v>14.362707034914468</v>
      </c>
      <c r="G215" s="290">
        <f t="shared" si="124"/>
        <v>15.482273247811531</v>
      </c>
      <c r="H215" s="290">
        <f t="shared" si="123"/>
        <v>16.925968968728121</v>
      </c>
      <c r="I215" s="290">
        <f t="shared" si="123"/>
        <v>28.540130576121825</v>
      </c>
      <c r="J215" s="290">
        <f t="shared" si="123"/>
        <v>19.585802366202461</v>
      </c>
      <c r="K215" s="290">
        <f t="shared" si="123"/>
        <v>25.86209914430578</v>
      </c>
      <c r="L215" s="290">
        <f t="shared" si="123"/>
        <v>23.8436628905059</v>
      </c>
      <c r="M215" s="290">
        <f t="shared" si="123"/>
        <v>24.24724203968324</v>
      </c>
      <c r="N215" s="290">
        <f t="shared" si="123"/>
        <v>32.858653775439201</v>
      </c>
      <c r="O215" s="290">
        <f t="shared" si="123"/>
        <v>19.705897202139109</v>
      </c>
      <c r="P215" s="290">
        <f t="shared" si="123"/>
        <v>19.06608989940769</v>
      </c>
      <c r="Q215" s="290">
        <f t="shared" si="123"/>
        <v>27.364438818798334</v>
      </c>
      <c r="R215" s="290">
        <f t="shared" si="123"/>
        <v>29.427080760664474</v>
      </c>
      <c r="S215" s="290">
        <f t="shared" si="123"/>
        <v>27.027871091534276</v>
      </c>
      <c r="T215" s="290">
        <f t="shared" si="123"/>
        <v>27.463337151922357</v>
      </c>
      <c r="U215" s="290">
        <f t="shared" si="123"/>
        <v>39.408529934379096</v>
      </c>
      <c r="V215" s="290">
        <f t="shared" si="123"/>
        <v>46.588499999168953</v>
      </c>
      <c r="W215" s="290">
        <f t="shared" si="123"/>
        <v>49.604166426855421</v>
      </c>
      <c r="X215" s="290">
        <f t="shared" si="123"/>
        <v>41.658057277504376</v>
      </c>
      <c r="Y215" s="290">
        <f t="shared" si="123"/>
        <v>49.244463120824683</v>
      </c>
      <c r="Z215" s="290">
        <f t="shared" si="123"/>
        <v>49.326918425230481</v>
      </c>
      <c r="AA215" s="290">
        <f t="shared" si="123"/>
        <v>37.834629688013024</v>
      </c>
      <c r="AB215" s="290">
        <f t="shared" si="123"/>
        <v>46.979404759868927</v>
      </c>
      <c r="AC215" s="290">
        <f t="shared" si="123"/>
        <v>36.432860738771168</v>
      </c>
      <c r="AD215" s="290">
        <f t="shared" si="123"/>
        <v>53.217576753589832</v>
      </c>
      <c r="AE215" s="290">
        <f t="shared" si="123"/>
        <v>53.616659132064747</v>
      </c>
      <c r="AF215" s="290">
        <f t="shared" si="123"/>
        <v>54.298669439519934</v>
      </c>
      <c r="AG215" s="290">
        <f t="shared" si="123"/>
        <v>55.750450631379785</v>
      </c>
      <c r="AH215" s="290">
        <f t="shared" si="123"/>
        <v>56.242701963721117</v>
      </c>
      <c r="AI215" s="240"/>
    </row>
    <row r="216" spans="1:35">
      <c r="A216" s="240" t="s">
        <v>236</v>
      </c>
      <c r="B216" s="290">
        <f t="shared" si="124"/>
        <v>17.217236011659544</v>
      </c>
      <c r="C216" s="290">
        <f t="shared" si="124"/>
        <v>18.900763502928026</v>
      </c>
      <c r="D216" s="290">
        <f t="shared" si="124"/>
        <v>17.035791087002924</v>
      </c>
      <c r="E216" s="290">
        <f t="shared" si="124"/>
        <v>17.369702752423073</v>
      </c>
      <c r="F216" s="290">
        <f t="shared" si="124"/>
        <v>15.702017118259153</v>
      </c>
      <c r="G216" s="290">
        <f t="shared" si="124"/>
        <v>16.929513610615466</v>
      </c>
      <c r="H216" s="290">
        <f t="shared" si="123"/>
        <v>18.467219636562444</v>
      </c>
      <c r="I216" s="290">
        <f t="shared" si="123"/>
        <v>31.073567582978519</v>
      </c>
      <c r="J216" s="290">
        <f t="shared" si="123"/>
        <v>21.395724834266076</v>
      </c>
      <c r="K216" s="290">
        <f t="shared" si="123"/>
        <v>28.472272461277228</v>
      </c>
      <c r="L216" s="290">
        <f t="shared" si="123"/>
        <v>26.101413058803786</v>
      </c>
      <c r="M216" s="290">
        <f t="shared" si="123"/>
        <v>26.151154828512333</v>
      </c>
      <c r="N216" s="290">
        <f t="shared" si="123"/>
        <v>35.495529762183878</v>
      </c>
      <c r="O216" s="290">
        <f t="shared" si="123"/>
        <v>21.99061402362792</v>
      </c>
      <c r="P216" s="290">
        <f t="shared" si="123"/>
        <v>22.074052674545992</v>
      </c>
      <c r="Q216" s="290">
        <f t="shared" si="123"/>
        <v>29.205681663309271</v>
      </c>
      <c r="R216" s="290">
        <f t="shared" ref="R216:AH218" si="125">R232*R89</f>
        <v>29.737019416916091</v>
      </c>
      <c r="S216" s="290">
        <f t="shared" si="125"/>
        <v>29.419606796959382</v>
      </c>
      <c r="T216" s="290">
        <f t="shared" si="125"/>
        <v>35.016846873149952</v>
      </c>
      <c r="U216" s="290">
        <f t="shared" si="125"/>
        <v>51.08574077033721</v>
      </c>
      <c r="V216" s="290">
        <f t="shared" si="125"/>
        <v>36.05317683699095</v>
      </c>
      <c r="W216" s="290">
        <f t="shared" si="125"/>
        <v>40.466683797522464</v>
      </c>
      <c r="X216" s="290">
        <f t="shared" si="125"/>
        <v>41.199981983594284</v>
      </c>
      <c r="Y216" s="290">
        <f t="shared" si="125"/>
        <v>61.803576447769522</v>
      </c>
      <c r="Z216" s="290">
        <f t="shared" si="125"/>
        <v>62.40804669433858</v>
      </c>
      <c r="AA216" s="290">
        <f t="shared" si="125"/>
        <v>41.459760976994161</v>
      </c>
      <c r="AB216" s="290">
        <f t="shared" si="125"/>
        <v>36.913592682447053</v>
      </c>
      <c r="AC216" s="290">
        <f t="shared" si="125"/>
        <v>42.240997957995553</v>
      </c>
      <c r="AD216" s="290">
        <f t="shared" si="125"/>
        <v>57.651243735992367</v>
      </c>
      <c r="AE216" s="290">
        <f t="shared" si="125"/>
        <v>59.717499476192373</v>
      </c>
      <c r="AF216" s="290">
        <f t="shared" si="125"/>
        <v>58.395095923259611</v>
      </c>
      <c r="AG216" s="290">
        <f t="shared" si="125"/>
        <v>58.167665289161128</v>
      </c>
      <c r="AH216" s="290">
        <f t="shared" si="125"/>
        <v>58.624302120398717</v>
      </c>
      <c r="AI216" s="240"/>
    </row>
    <row r="217" spans="1:35">
      <c r="A217" s="240" t="s">
        <v>237</v>
      </c>
      <c r="B217" s="290">
        <f t="shared" si="124"/>
        <v>17.126452734754526</v>
      </c>
      <c r="C217" s="290">
        <f t="shared" si="124"/>
        <v>18.794010775860993</v>
      </c>
      <c r="D217" s="290">
        <f t="shared" si="124"/>
        <v>16.959369758894024</v>
      </c>
      <c r="E217" s="290">
        <f t="shared" si="124"/>
        <v>17.297852585006552</v>
      </c>
      <c r="F217" s="290">
        <f t="shared" si="124"/>
        <v>15.620371705074012</v>
      </c>
      <c r="G217" s="290">
        <f t="shared" si="124"/>
        <v>16.814649563148354</v>
      </c>
      <c r="H217" s="290">
        <f t="shared" si="124"/>
        <v>18.331425126707945</v>
      </c>
      <c r="I217" s="290">
        <f t="shared" si="124"/>
        <v>31.090142593343316</v>
      </c>
      <c r="J217" s="290">
        <f t="shared" si="124"/>
        <v>21.356002013853985</v>
      </c>
      <c r="K217" s="290">
        <f t="shared" si="124"/>
        <v>28.181421388514384</v>
      </c>
      <c r="L217" s="290">
        <f t="shared" si="124"/>
        <v>25.704687796629063</v>
      </c>
      <c r="M217" s="290">
        <f t="shared" si="124"/>
        <v>25.880741548983298</v>
      </c>
      <c r="N217" s="290">
        <f t="shared" si="124"/>
        <v>36.565857484816171</v>
      </c>
      <c r="O217" s="290">
        <f t="shared" si="124"/>
        <v>21.618519397453653</v>
      </c>
      <c r="P217" s="290">
        <f t="shared" si="124"/>
        <v>20.686692317756062</v>
      </c>
      <c r="Q217" s="290">
        <f t="shared" si="124"/>
        <v>28.102022127453413</v>
      </c>
      <c r="R217" s="290">
        <f t="shared" si="125"/>
        <v>30.087694829652119</v>
      </c>
      <c r="S217" s="290">
        <f t="shared" si="125"/>
        <v>35.936336859105225</v>
      </c>
      <c r="T217" s="290">
        <f t="shared" si="125"/>
        <v>28.199003307004816</v>
      </c>
      <c r="U217" s="290">
        <f t="shared" si="125"/>
        <v>41.183968548735741</v>
      </c>
      <c r="V217" s="290">
        <f t="shared" si="125"/>
        <v>39.074475733109352</v>
      </c>
      <c r="W217" s="290">
        <f t="shared" si="125"/>
        <v>49.950968572853206</v>
      </c>
      <c r="X217" s="290">
        <f t="shared" si="125"/>
        <v>50.244522054910902</v>
      </c>
      <c r="Y217" s="290">
        <f t="shared" si="125"/>
        <v>49.335898738057018</v>
      </c>
      <c r="Z217" s="290">
        <f t="shared" si="125"/>
        <v>52.534380464300625</v>
      </c>
      <c r="AA217" s="290">
        <f t="shared" si="125"/>
        <v>34.441425386048536</v>
      </c>
      <c r="AB217" s="290">
        <f t="shared" si="125"/>
        <v>46.227139855983296</v>
      </c>
      <c r="AC217" s="290">
        <f t="shared" si="125"/>
        <v>37.152877749418828</v>
      </c>
      <c r="AD217" s="290">
        <f t="shared" si="125"/>
        <v>55.04715659363562</v>
      </c>
      <c r="AE217" s="290">
        <f t="shared" si="125"/>
        <v>53.586081564702582</v>
      </c>
      <c r="AF217" s="290">
        <f t="shared" si="125"/>
        <v>54.689711919076764</v>
      </c>
      <c r="AG217" s="290">
        <f t="shared" si="125"/>
        <v>55.352374829630556</v>
      </c>
      <c r="AH217" s="290">
        <f t="shared" si="125"/>
        <v>56.739129277844427</v>
      </c>
      <c r="AI217" s="240"/>
    </row>
    <row r="218" spans="1:35">
      <c r="A218" s="240" t="s">
        <v>238</v>
      </c>
      <c r="B218" s="290">
        <f t="shared" si="124"/>
        <v>17.448430681965185</v>
      </c>
      <c r="C218" s="290">
        <f t="shared" si="124"/>
        <v>19.156484616080913</v>
      </c>
      <c r="D218" s="290">
        <f t="shared" si="124"/>
        <v>17.269884991906697</v>
      </c>
      <c r="E218" s="290">
        <f t="shared" si="124"/>
        <v>17.604820413288792</v>
      </c>
      <c r="F218" s="290">
        <f t="shared" si="124"/>
        <v>15.905562710374088</v>
      </c>
      <c r="G218" s="290">
        <f t="shared" si="124"/>
        <v>17.155146203264863</v>
      </c>
      <c r="H218" s="290">
        <f t="shared" si="124"/>
        <v>18.725599205334621</v>
      </c>
      <c r="I218" s="290">
        <f t="shared" si="124"/>
        <v>31.528961125101382</v>
      </c>
      <c r="J218" s="290">
        <f t="shared" si="124"/>
        <v>21.656687807370687</v>
      </c>
      <c r="K218" s="290">
        <f t="shared" si="124"/>
        <v>28.764385329095681</v>
      </c>
      <c r="L218" s="290">
        <f t="shared" si="124"/>
        <v>26.499823436992223</v>
      </c>
      <c r="M218" s="290">
        <f t="shared" si="124"/>
        <v>26.608222010613233</v>
      </c>
      <c r="N218" s="290">
        <f t="shared" si="124"/>
        <v>36.104258903133456</v>
      </c>
      <c r="O218" s="290">
        <f t="shared" si="124"/>
        <v>21.918087941027206</v>
      </c>
      <c r="P218" s="290">
        <f t="shared" si="124"/>
        <v>22.03121894359349</v>
      </c>
      <c r="Q218" s="290">
        <f t="shared" si="124"/>
        <v>30.313906390870191</v>
      </c>
      <c r="R218" s="290">
        <f t="shared" si="125"/>
        <v>30.556649028005616</v>
      </c>
      <c r="S218" s="290">
        <f t="shared" si="125"/>
        <v>29.878476947804721</v>
      </c>
      <c r="T218" s="290">
        <f t="shared" si="125"/>
        <v>32.197291385959666</v>
      </c>
      <c r="U218" s="290">
        <f t="shared" si="125"/>
        <v>51.184384558556957</v>
      </c>
      <c r="V218" s="290">
        <f t="shared" si="125"/>
        <v>44.398147075762246</v>
      </c>
      <c r="W218" s="290">
        <f t="shared" si="125"/>
        <v>39.695878332156944</v>
      </c>
      <c r="X218" s="290">
        <f t="shared" si="125"/>
        <v>39.02632662258825</v>
      </c>
      <c r="Y218" s="290">
        <f t="shared" si="125"/>
        <v>51.974075075259144</v>
      </c>
      <c r="Z218" s="290">
        <f t="shared" si="125"/>
        <v>52.614259102011495</v>
      </c>
      <c r="AA218" s="290">
        <f t="shared" si="125"/>
        <v>49.049611799225666</v>
      </c>
      <c r="AB218" s="290">
        <f t="shared" si="125"/>
        <v>38.315436023276888</v>
      </c>
      <c r="AC218" s="290">
        <f t="shared" si="125"/>
        <v>34.512815377044099</v>
      </c>
      <c r="AD218" s="290">
        <f t="shared" si="125"/>
        <v>50.024213210790045</v>
      </c>
      <c r="AE218" s="290">
        <f t="shared" si="125"/>
        <v>55.238019331879364</v>
      </c>
      <c r="AF218" s="290">
        <f t="shared" si="125"/>
        <v>54.474861868572923</v>
      </c>
      <c r="AG218" s="290">
        <f t="shared" si="125"/>
        <v>55.519221232571461</v>
      </c>
      <c r="AH218" s="290">
        <f t="shared" si="125"/>
        <v>53.482879785284979</v>
      </c>
      <c r="AI218" s="240"/>
    </row>
    <row r="219" spans="1:35" ht="15.75" thickBot="1">
      <c r="A219" s="240" t="s">
        <v>242</v>
      </c>
      <c r="B219" s="146">
        <f t="shared" ref="B219:AB219" si="126">SUM(B207:B218)</f>
        <v>185</v>
      </c>
      <c r="C219" s="146">
        <f t="shared" si="126"/>
        <v>203.07376399999998</v>
      </c>
      <c r="D219" s="146">
        <f t="shared" si="126"/>
        <v>183.12476000000001</v>
      </c>
      <c r="E219" s="146">
        <f t="shared" si="126"/>
        <v>186.74080500000002</v>
      </c>
      <c r="F219" s="146">
        <f t="shared" si="126"/>
        <v>168.67874600000002</v>
      </c>
      <c r="G219" s="146">
        <f t="shared" si="126"/>
        <v>181.79466699999995</v>
      </c>
      <c r="H219" s="146">
        <f t="shared" si="126"/>
        <v>198.345451</v>
      </c>
      <c r="I219" s="146">
        <f t="shared" si="126"/>
        <v>334.72101400000008</v>
      </c>
      <c r="J219" s="146">
        <f t="shared" si="126"/>
        <v>230.23889600000007</v>
      </c>
      <c r="K219" s="146">
        <f t="shared" si="126"/>
        <v>304.72658399999995</v>
      </c>
      <c r="L219" s="146">
        <f t="shared" si="126"/>
        <v>279.70898200000005</v>
      </c>
      <c r="M219" s="146">
        <f t="shared" si="126"/>
        <v>281.15974100000005</v>
      </c>
      <c r="N219" s="146">
        <f t="shared" si="126"/>
        <v>386.55084399999998</v>
      </c>
      <c r="O219" s="146">
        <f t="shared" si="126"/>
        <v>235.12800000000001</v>
      </c>
      <c r="P219" s="146">
        <f t="shared" si="126"/>
        <v>228.131</v>
      </c>
      <c r="Q219" s="146">
        <f t="shared" si="126"/>
        <v>314.78400000000011</v>
      </c>
      <c r="R219" s="146">
        <f t="shared" si="126"/>
        <v>324.46599999999984</v>
      </c>
      <c r="S219" s="146">
        <f t="shared" si="126"/>
        <v>339.67899999999997</v>
      </c>
      <c r="T219" s="146">
        <f t="shared" si="126"/>
        <v>348.23200000000008</v>
      </c>
      <c r="U219" s="146">
        <f t="shared" si="126"/>
        <v>475.89599999999996</v>
      </c>
      <c r="V219" s="146">
        <f t="shared" si="126"/>
        <v>466.14299999999992</v>
      </c>
      <c r="W219" s="146">
        <f t="shared" si="126"/>
        <v>465.70100000000014</v>
      </c>
      <c r="X219" s="146">
        <f t="shared" si="126"/>
        <v>505.55500000000006</v>
      </c>
      <c r="Y219" s="146">
        <f t="shared" si="126"/>
        <v>613.80315799999994</v>
      </c>
      <c r="Z219" s="146">
        <f t="shared" si="126"/>
        <v>645.63408800000002</v>
      </c>
      <c r="AA219" s="146">
        <f t="shared" si="126"/>
        <v>466.28545800000012</v>
      </c>
      <c r="AB219" s="146">
        <f t="shared" si="126"/>
        <v>422.8916000000001</v>
      </c>
      <c r="AC219" s="146">
        <f t="shared" ref="AC219:AH219" si="127">SUM(AC207:AC218)</f>
        <v>430.1052631578948</v>
      </c>
      <c r="AD219" s="253">
        <f t="shared" si="127"/>
        <v>627.65363128491617</v>
      </c>
      <c r="AE219" s="253">
        <f t="shared" si="127"/>
        <v>628.99078758511155</v>
      </c>
      <c r="AF219" s="253">
        <f t="shared" si="127"/>
        <v>629.0372888880612</v>
      </c>
      <c r="AG219" s="253">
        <f t="shared" si="127"/>
        <v>629.61737586112145</v>
      </c>
      <c r="AH219" s="253">
        <f t="shared" si="127"/>
        <v>629.82760621052785</v>
      </c>
      <c r="AI219" s="240"/>
    </row>
    <row r="220" spans="1:35">
      <c r="A220" s="248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  <c r="AF220" s="254"/>
      <c r="AG220" s="254"/>
      <c r="AH220" s="254"/>
    </row>
    <row r="221" spans="1:35" ht="15.75" thickBot="1">
      <c r="A221" s="235" t="s">
        <v>263</v>
      </c>
    </row>
    <row r="222" spans="1:35" ht="15.75" thickBot="1">
      <c r="A222" s="236"/>
      <c r="B222" s="237" t="str">
        <f>B$2</f>
        <v xml:space="preserve">93/94 </v>
      </c>
      <c r="C222" s="237" t="str">
        <f t="shared" ref="C222:AH222" si="128">C$2</f>
        <v xml:space="preserve">94/95 </v>
      </c>
      <c r="D222" s="237" t="str">
        <f t="shared" si="128"/>
        <v xml:space="preserve">95/96 </v>
      </c>
      <c r="E222" s="237" t="str">
        <f t="shared" si="128"/>
        <v xml:space="preserve">96/97 </v>
      </c>
      <c r="F222" s="237" t="str">
        <f t="shared" si="128"/>
        <v xml:space="preserve">97/98 </v>
      </c>
      <c r="G222" s="237" t="str">
        <f t="shared" si="128"/>
        <v xml:space="preserve">98/99 </v>
      </c>
      <c r="H222" s="237" t="str">
        <f t="shared" si="128"/>
        <v xml:space="preserve">99/00 </v>
      </c>
      <c r="I222" s="237" t="str">
        <f t="shared" si="128"/>
        <v xml:space="preserve">00/01 </v>
      </c>
      <c r="J222" s="237" t="str">
        <f t="shared" si="128"/>
        <v xml:space="preserve">01/02 </v>
      </c>
      <c r="K222" s="237" t="str">
        <f t="shared" si="128"/>
        <v xml:space="preserve">02/03 </v>
      </c>
      <c r="L222" s="237" t="str">
        <f t="shared" si="128"/>
        <v xml:space="preserve">03/04 </v>
      </c>
      <c r="M222" s="237" t="str">
        <f t="shared" si="128"/>
        <v xml:space="preserve">04/05 </v>
      </c>
      <c r="N222" s="237" t="str">
        <f t="shared" si="128"/>
        <v xml:space="preserve">05/06 </v>
      </c>
      <c r="O222" s="237" t="str">
        <f t="shared" si="128"/>
        <v xml:space="preserve">06/07 </v>
      </c>
      <c r="P222" s="237" t="str">
        <f t="shared" si="128"/>
        <v xml:space="preserve">07/08 </v>
      </c>
      <c r="Q222" s="237" t="str">
        <f t="shared" si="128"/>
        <v xml:space="preserve">08/09 </v>
      </c>
      <c r="R222" s="237" t="str">
        <f t="shared" si="128"/>
        <v xml:space="preserve">09/10 </v>
      </c>
      <c r="S222" s="237" t="str">
        <f t="shared" si="128"/>
        <v xml:space="preserve">10/11 </v>
      </c>
      <c r="T222" s="237" t="str">
        <f t="shared" si="128"/>
        <v xml:space="preserve">11/12 </v>
      </c>
      <c r="U222" s="237" t="str">
        <f t="shared" si="128"/>
        <v xml:space="preserve">12/13 </v>
      </c>
      <c r="V222" s="237" t="str">
        <f t="shared" si="128"/>
        <v xml:space="preserve">13/14 </v>
      </c>
      <c r="W222" s="237" t="str">
        <f t="shared" si="128"/>
        <v xml:space="preserve">14/15 </v>
      </c>
      <c r="X222" s="237" t="str">
        <f t="shared" si="128"/>
        <v xml:space="preserve">15/16 </v>
      </c>
      <c r="Y222" s="237" t="str">
        <f t="shared" si="128"/>
        <v xml:space="preserve">16/17 </v>
      </c>
      <c r="Z222" s="237" t="str">
        <f t="shared" si="128"/>
        <v xml:space="preserve">17/18 </v>
      </c>
      <c r="AA222" s="237" t="str">
        <f t="shared" si="128"/>
        <v xml:space="preserve">18/19 </v>
      </c>
      <c r="AB222" s="237" t="str">
        <f t="shared" si="128"/>
        <v xml:space="preserve">19/20 </v>
      </c>
      <c r="AC222" s="237" t="str">
        <f t="shared" si="128"/>
        <v xml:space="preserve">20/21 </v>
      </c>
      <c r="AD222" s="237" t="str">
        <f t="shared" si="128"/>
        <v xml:space="preserve">21/22 </v>
      </c>
      <c r="AE222" s="237" t="str">
        <f t="shared" si="128"/>
        <v xml:space="preserve">22/23 </v>
      </c>
      <c r="AF222" s="237" t="str">
        <f t="shared" si="128"/>
        <v>23/24</v>
      </c>
      <c r="AG222" s="237" t="str">
        <f t="shared" si="128"/>
        <v>23/25</v>
      </c>
      <c r="AH222" s="237" t="str">
        <f t="shared" si="128"/>
        <v>23/26</v>
      </c>
    </row>
    <row r="223" spans="1:35">
      <c r="A223" s="240" t="s">
        <v>239</v>
      </c>
      <c r="B223" s="298">
        <f>B$235</f>
        <v>0.21945432977461446</v>
      </c>
      <c r="C223" s="298">
        <f t="shared" ref="C223:AE232" si="129">C$235</f>
        <v>0.2292134831460674</v>
      </c>
      <c r="D223" s="298">
        <f t="shared" si="129"/>
        <v>0.22972972972972974</v>
      </c>
      <c r="E223" s="298">
        <f t="shared" si="129"/>
        <v>0.22903629536921152</v>
      </c>
      <c r="F223" s="298">
        <f t="shared" si="129"/>
        <v>0.22876712328767124</v>
      </c>
      <c r="G223" s="298">
        <f t="shared" si="129"/>
        <v>0.21582733812949639</v>
      </c>
      <c r="H223" s="298">
        <f t="shared" si="129"/>
        <v>0.22111111111111112</v>
      </c>
      <c r="I223" s="298">
        <f t="shared" si="129"/>
        <v>0.35263157894736841</v>
      </c>
      <c r="J223" s="298">
        <f t="shared" si="129"/>
        <v>0.35384615384615387</v>
      </c>
      <c r="K223" s="298">
        <f t="shared" si="129"/>
        <v>0.35423925667828104</v>
      </c>
      <c r="L223" s="298">
        <f t="shared" si="129"/>
        <v>0.35443037974683544</v>
      </c>
      <c r="M223" s="298">
        <f t="shared" si="129"/>
        <v>0.35590778097982712</v>
      </c>
      <c r="N223" s="298">
        <f t="shared" si="129"/>
        <v>0.35447761194029853</v>
      </c>
      <c r="O223" s="298">
        <f t="shared" si="129"/>
        <v>0.35714285714285715</v>
      </c>
      <c r="P223" s="298">
        <f t="shared" si="129"/>
        <v>0.35714285714285715</v>
      </c>
      <c r="Q223" s="298">
        <f t="shared" si="129"/>
        <v>0.35714285714285715</v>
      </c>
      <c r="R223" s="298">
        <f t="shared" si="129"/>
        <v>0.35761589403973509</v>
      </c>
      <c r="S223" s="298">
        <f t="shared" si="129"/>
        <v>0.35789473684210527</v>
      </c>
      <c r="T223" s="298">
        <f t="shared" si="129"/>
        <v>0.3569230769230769</v>
      </c>
      <c r="U223" s="298">
        <f t="shared" si="129"/>
        <v>0.35789473684210527</v>
      </c>
      <c r="V223" s="298">
        <f t="shared" si="129"/>
        <v>0.35846153846153844</v>
      </c>
      <c r="W223" s="298">
        <f t="shared" si="129"/>
        <v>0.35846153846153844</v>
      </c>
      <c r="X223" s="298">
        <f t="shared" si="129"/>
        <v>0.3585714285714286</v>
      </c>
      <c r="Y223" s="298">
        <f t="shared" si="129"/>
        <v>0.35823529411764704</v>
      </c>
      <c r="Z223" s="298">
        <f t="shared" si="129"/>
        <v>0.35833333333333334</v>
      </c>
      <c r="AA223" s="298">
        <f t="shared" si="129"/>
        <v>0.35846153846153844</v>
      </c>
      <c r="AB223" s="298">
        <f t="shared" si="129"/>
        <v>0.3584</v>
      </c>
      <c r="AC223" s="298">
        <f t="shared" si="129"/>
        <v>0.35842105263157897</v>
      </c>
      <c r="AD223" s="298">
        <f t="shared" si="129"/>
        <v>0.35865921787709498</v>
      </c>
      <c r="AE223" s="298">
        <f t="shared" si="129"/>
        <v>0.35942330719149229</v>
      </c>
      <c r="AF223" s="298">
        <f t="shared" ref="AF223:AH234" si="130">AF$235</f>
        <v>0.35944987936460637</v>
      </c>
      <c r="AG223" s="298">
        <f t="shared" si="130"/>
        <v>0.35957588570024068</v>
      </c>
      <c r="AH223" s="298">
        <f t="shared" si="130"/>
        <v>0.35949064281422821</v>
      </c>
      <c r="AI223" s="240"/>
    </row>
    <row r="224" spans="1:35">
      <c r="A224" s="240" t="s">
        <v>240</v>
      </c>
      <c r="B224" s="298">
        <f t="shared" ref="B224:Q234" si="131">B$235</f>
        <v>0.21945432977461446</v>
      </c>
      <c r="C224" s="298">
        <f t="shared" si="131"/>
        <v>0.2292134831460674</v>
      </c>
      <c r="D224" s="298">
        <f t="shared" si="131"/>
        <v>0.22972972972972974</v>
      </c>
      <c r="E224" s="298">
        <f t="shared" si="131"/>
        <v>0.22903629536921152</v>
      </c>
      <c r="F224" s="298">
        <f t="shared" si="131"/>
        <v>0.22876712328767124</v>
      </c>
      <c r="G224" s="298">
        <f t="shared" si="131"/>
        <v>0.21582733812949639</v>
      </c>
      <c r="H224" s="298">
        <f t="shared" si="131"/>
        <v>0.22111111111111112</v>
      </c>
      <c r="I224" s="298">
        <f t="shared" si="131"/>
        <v>0.35263157894736841</v>
      </c>
      <c r="J224" s="298">
        <f t="shared" si="131"/>
        <v>0.35384615384615387</v>
      </c>
      <c r="K224" s="298">
        <f t="shared" si="131"/>
        <v>0.35423925667828104</v>
      </c>
      <c r="L224" s="298">
        <f t="shared" si="131"/>
        <v>0.35443037974683544</v>
      </c>
      <c r="M224" s="298">
        <f t="shared" si="131"/>
        <v>0.35590778097982712</v>
      </c>
      <c r="N224" s="298">
        <f t="shared" si="131"/>
        <v>0.35447761194029853</v>
      </c>
      <c r="O224" s="298">
        <f t="shared" si="131"/>
        <v>0.35714285714285715</v>
      </c>
      <c r="P224" s="298">
        <f t="shared" si="131"/>
        <v>0.35714285714285715</v>
      </c>
      <c r="Q224" s="298">
        <f t="shared" si="131"/>
        <v>0.35714285714285715</v>
      </c>
      <c r="R224" s="298">
        <f t="shared" si="129"/>
        <v>0.35761589403973509</v>
      </c>
      <c r="S224" s="298">
        <f t="shared" si="129"/>
        <v>0.35789473684210527</v>
      </c>
      <c r="T224" s="298">
        <f t="shared" si="129"/>
        <v>0.3569230769230769</v>
      </c>
      <c r="U224" s="298">
        <f t="shared" si="129"/>
        <v>0.35789473684210527</v>
      </c>
      <c r="V224" s="298">
        <f t="shared" si="129"/>
        <v>0.35846153846153844</v>
      </c>
      <c r="W224" s="298">
        <f t="shared" si="129"/>
        <v>0.35846153846153844</v>
      </c>
      <c r="X224" s="298">
        <f t="shared" si="129"/>
        <v>0.3585714285714286</v>
      </c>
      <c r="Y224" s="298">
        <f t="shared" si="129"/>
        <v>0.35823529411764704</v>
      </c>
      <c r="Z224" s="298">
        <f t="shared" si="129"/>
        <v>0.35833333333333334</v>
      </c>
      <c r="AA224" s="298">
        <f t="shared" si="129"/>
        <v>0.35846153846153844</v>
      </c>
      <c r="AB224" s="298">
        <f t="shared" si="129"/>
        <v>0.3584</v>
      </c>
      <c r="AC224" s="298">
        <f t="shared" si="129"/>
        <v>0.35842105263157897</v>
      </c>
      <c r="AD224" s="298">
        <f t="shared" si="129"/>
        <v>0.35865921787709498</v>
      </c>
      <c r="AE224" s="298">
        <f t="shared" si="129"/>
        <v>0.35942330719149229</v>
      </c>
      <c r="AF224" s="298">
        <f t="shared" si="130"/>
        <v>0.35944987936460637</v>
      </c>
      <c r="AG224" s="298">
        <f t="shared" si="130"/>
        <v>0.35957588570024068</v>
      </c>
      <c r="AH224" s="298">
        <f t="shared" si="130"/>
        <v>0.35949064281422821</v>
      </c>
      <c r="AI224" s="240"/>
    </row>
    <row r="225" spans="1:35">
      <c r="A225" s="240" t="s">
        <v>241</v>
      </c>
      <c r="B225" s="298">
        <f t="shared" si="131"/>
        <v>0.21945432977461446</v>
      </c>
      <c r="C225" s="298">
        <f t="shared" si="129"/>
        <v>0.2292134831460674</v>
      </c>
      <c r="D225" s="298">
        <f t="shared" si="129"/>
        <v>0.22972972972972974</v>
      </c>
      <c r="E225" s="298">
        <f t="shared" si="129"/>
        <v>0.22903629536921152</v>
      </c>
      <c r="F225" s="298">
        <f t="shared" si="129"/>
        <v>0.22876712328767124</v>
      </c>
      <c r="G225" s="298">
        <f t="shared" si="129"/>
        <v>0.21582733812949639</v>
      </c>
      <c r="H225" s="298">
        <f t="shared" si="129"/>
        <v>0.22111111111111112</v>
      </c>
      <c r="I225" s="298">
        <f t="shared" si="129"/>
        <v>0.35263157894736841</v>
      </c>
      <c r="J225" s="298">
        <f t="shared" si="129"/>
        <v>0.35384615384615387</v>
      </c>
      <c r="K225" s="298">
        <f t="shared" si="129"/>
        <v>0.35423925667828104</v>
      </c>
      <c r="L225" s="298">
        <f t="shared" si="129"/>
        <v>0.35443037974683544</v>
      </c>
      <c r="M225" s="298">
        <f t="shared" si="129"/>
        <v>0.35590778097982712</v>
      </c>
      <c r="N225" s="298">
        <f t="shared" si="129"/>
        <v>0.35447761194029853</v>
      </c>
      <c r="O225" s="298">
        <f t="shared" si="129"/>
        <v>0.35714285714285715</v>
      </c>
      <c r="P225" s="298">
        <f t="shared" si="129"/>
        <v>0.35714285714285715</v>
      </c>
      <c r="Q225" s="298">
        <f t="shared" si="129"/>
        <v>0.35714285714285715</v>
      </c>
      <c r="R225" s="298">
        <f t="shared" si="129"/>
        <v>0.35761589403973509</v>
      </c>
      <c r="S225" s="298">
        <f t="shared" si="129"/>
        <v>0.35789473684210527</v>
      </c>
      <c r="T225" s="298">
        <f t="shared" si="129"/>
        <v>0.3569230769230769</v>
      </c>
      <c r="U225" s="298">
        <f t="shared" si="129"/>
        <v>0.35789473684210527</v>
      </c>
      <c r="V225" s="298">
        <f t="shared" si="129"/>
        <v>0.35846153846153844</v>
      </c>
      <c r="W225" s="298">
        <f t="shared" si="129"/>
        <v>0.35846153846153844</v>
      </c>
      <c r="X225" s="298">
        <f t="shared" si="129"/>
        <v>0.3585714285714286</v>
      </c>
      <c r="Y225" s="298">
        <f t="shared" si="129"/>
        <v>0.35823529411764704</v>
      </c>
      <c r="Z225" s="298">
        <f t="shared" si="129"/>
        <v>0.35833333333333334</v>
      </c>
      <c r="AA225" s="298">
        <f t="shared" si="129"/>
        <v>0.35846153846153844</v>
      </c>
      <c r="AB225" s="298">
        <f t="shared" si="129"/>
        <v>0.3584</v>
      </c>
      <c r="AC225" s="298">
        <f t="shared" si="129"/>
        <v>0.35842105263157897</v>
      </c>
      <c r="AD225" s="298">
        <f t="shared" si="129"/>
        <v>0.35865921787709498</v>
      </c>
      <c r="AE225" s="298">
        <f t="shared" si="129"/>
        <v>0.35942330719149229</v>
      </c>
      <c r="AF225" s="298">
        <f t="shared" si="130"/>
        <v>0.35944987936460637</v>
      </c>
      <c r="AG225" s="298">
        <f t="shared" si="130"/>
        <v>0.35957588570024068</v>
      </c>
      <c r="AH225" s="298">
        <f t="shared" si="130"/>
        <v>0.35949064281422821</v>
      </c>
      <c r="AI225" s="240"/>
    </row>
    <row r="226" spans="1:35">
      <c r="A226" s="240" t="s">
        <v>231</v>
      </c>
      <c r="B226" s="298">
        <f t="shared" si="131"/>
        <v>0.21945432977461446</v>
      </c>
      <c r="C226" s="298">
        <f t="shared" si="129"/>
        <v>0.2292134831460674</v>
      </c>
      <c r="D226" s="298">
        <f t="shared" si="129"/>
        <v>0.22972972972972974</v>
      </c>
      <c r="E226" s="298">
        <f t="shared" si="129"/>
        <v>0.22903629536921152</v>
      </c>
      <c r="F226" s="298">
        <f t="shared" si="129"/>
        <v>0.22876712328767124</v>
      </c>
      <c r="G226" s="298">
        <f t="shared" si="129"/>
        <v>0.21582733812949639</v>
      </c>
      <c r="H226" s="298">
        <f t="shared" si="129"/>
        <v>0.22111111111111112</v>
      </c>
      <c r="I226" s="298">
        <f t="shared" si="129"/>
        <v>0.35263157894736841</v>
      </c>
      <c r="J226" s="298">
        <f t="shared" si="129"/>
        <v>0.35384615384615387</v>
      </c>
      <c r="K226" s="298">
        <f t="shared" si="129"/>
        <v>0.35423925667828104</v>
      </c>
      <c r="L226" s="298">
        <f t="shared" si="129"/>
        <v>0.35443037974683544</v>
      </c>
      <c r="M226" s="298">
        <f t="shared" si="129"/>
        <v>0.35590778097982712</v>
      </c>
      <c r="N226" s="298">
        <f t="shared" si="129"/>
        <v>0.35447761194029853</v>
      </c>
      <c r="O226" s="298">
        <f t="shared" si="129"/>
        <v>0.35714285714285715</v>
      </c>
      <c r="P226" s="298">
        <f t="shared" si="129"/>
        <v>0.35714285714285715</v>
      </c>
      <c r="Q226" s="298">
        <f t="shared" si="129"/>
        <v>0.35714285714285715</v>
      </c>
      <c r="R226" s="298">
        <f t="shared" si="129"/>
        <v>0.35761589403973509</v>
      </c>
      <c r="S226" s="298">
        <f t="shared" si="129"/>
        <v>0.35789473684210527</v>
      </c>
      <c r="T226" s="298">
        <f t="shared" si="129"/>
        <v>0.3569230769230769</v>
      </c>
      <c r="U226" s="298">
        <f t="shared" si="129"/>
        <v>0.35789473684210527</v>
      </c>
      <c r="V226" s="298">
        <f t="shared" si="129"/>
        <v>0.35846153846153844</v>
      </c>
      <c r="W226" s="298">
        <f t="shared" si="129"/>
        <v>0.35846153846153844</v>
      </c>
      <c r="X226" s="298">
        <f t="shared" si="129"/>
        <v>0.3585714285714286</v>
      </c>
      <c r="Y226" s="298">
        <f t="shared" si="129"/>
        <v>0.35823529411764704</v>
      </c>
      <c r="Z226" s="298">
        <f t="shared" si="129"/>
        <v>0.35833333333333334</v>
      </c>
      <c r="AA226" s="298">
        <f t="shared" si="129"/>
        <v>0.35846153846153844</v>
      </c>
      <c r="AB226" s="298">
        <f t="shared" si="129"/>
        <v>0.3584</v>
      </c>
      <c r="AC226" s="298">
        <f t="shared" si="129"/>
        <v>0.35842105263157897</v>
      </c>
      <c r="AD226" s="298">
        <f t="shared" si="129"/>
        <v>0.35865921787709498</v>
      </c>
      <c r="AE226" s="298">
        <f t="shared" si="129"/>
        <v>0.35942330719149229</v>
      </c>
      <c r="AF226" s="298">
        <f t="shared" si="130"/>
        <v>0.35944987936460637</v>
      </c>
      <c r="AG226" s="298">
        <f t="shared" si="130"/>
        <v>0.35957588570024068</v>
      </c>
      <c r="AH226" s="298">
        <f t="shared" si="130"/>
        <v>0.35949064281422821</v>
      </c>
      <c r="AI226" s="240"/>
    </row>
    <row r="227" spans="1:35">
      <c r="A227" s="240" t="s">
        <v>232</v>
      </c>
      <c r="B227" s="298">
        <f t="shared" si="131"/>
        <v>0.21945432977461446</v>
      </c>
      <c r="C227" s="298">
        <f t="shared" si="129"/>
        <v>0.2292134831460674</v>
      </c>
      <c r="D227" s="298">
        <f t="shared" si="129"/>
        <v>0.22972972972972974</v>
      </c>
      <c r="E227" s="298">
        <f t="shared" si="129"/>
        <v>0.22903629536921152</v>
      </c>
      <c r="F227" s="298">
        <f t="shared" si="129"/>
        <v>0.22876712328767124</v>
      </c>
      <c r="G227" s="298">
        <f t="shared" si="129"/>
        <v>0.21582733812949639</v>
      </c>
      <c r="H227" s="298">
        <f t="shared" si="129"/>
        <v>0.22111111111111112</v>
      </c>
      <c r="I227" s="298">
        <f t="shared" si="129"/>
        <v>0.35263157894736841</v>
      </c>
      <c r="J227" s="298">
        <f t="shared" si="129"/>
        <v>0.35384615384615387</v>
      </c>
      <c r="K227" s="298">
        <f t="shared" si="129"/>
        <v>0.35423925667828104</v>
      </c>
      <c r="L227" s="298">
        <f t="shared" si="129"/>
        <v>0.35443037974683544</v>
      </c>
      <c r="M227" s="298">
        <f t="shared" si="129"/>
        <v>0.35590778097982712</v>
      </c>
      <c r="N227" s="298">
        <f t="shared" si="129"/>
        <v>0.35447761194029853</v>
      </c>
      <c r="O227" s="298">
        <f t="shared" si="129"/>
        <v>0.35714285714285715</v>
      </c>
      <c r="P227" s="298">
        <f t="shared" si="129"/>
        <v>0.35714285714285715</v>
      </c>
      <c r="Q227" s="298">
        <f t="shared" si="129"/>
        <v>0.35714285714285715</v>
      </c>
      <c r="R227" s="298">
        <f t="shared" si="129"/>
        <v>0.35761589403973509</v>
      </c>
      <c r="S227" s="298">
        <f t="shared" si="129"/>
        <v>0.35789473684210527</v>
      </c>
      <c r="T227" s="298">
        <f t="shared" si="129"/>
        <v>0.3569230769230769</v>
      </c>
      <c r="U227" s="298">
        <f t="shared" si="129"/>
        <v>0.35789473684210527</v>
      </c>
      <c r="V227" s="298">
        <f t="shared" si="129"/>
        <v>0.35846153846153844</v>
      </c>
      <c r="W227" s="298">
        <f t="shared" si="129"/>
        <v>0.35846153846153844</v>
      </c>
      <c r="X227" s="298">
        <f t="shared" si="129"/>
        <v>0.3585714285714286</v>
      </c>
      <c r="Y227" s="298">
        <f t="shared" si="129"/>
        <v>0.35823529411764704</v>
      </c>
      <c r="Z227" s="298">
        <f t="shared" si="129"/>
        <v>0.35833333333333334</v>
      </c>
      <c r="AA227" s="298">
        <f t="shared" si="129"/>
        <v>0.35846153846153844</v>
      </c>
      <c r="AB227" s="298">
        <f t="shared" si="129"/>
        <v>0.3584</v>
      </c>
      <c r="AC227" s="298">
        <f t="shared" si="129"/>
        <v>0.35842105263157897</v>
      </c>
      <c r="AD227" s="298">
        <f t="shared" si="129"/>
        <v>0.35865921787709498</v>
      </c>
      <c r="AE227" s="298">
        <f t="shared" si="129"/>
        <v>0.35942330719149229</v>
      </c>
      <c r="AF227" s="298">
        <f t="shared" si="130"/>
        <v>0.35944987936460637</v>
      </c>
      <c r="AG227" s="298">
        <f t="shared" si="130"/>
        <v>0.35957588570024068</v>
      </c>
      <c r="AH227" s="298">
        <f t="shared" si="130"/>
        <v>0.35949064281422821</v>
      </c>
      <c r="AI227" s="240"/>
    </row>
    <row r="228" spans="1:35">
      <c r="A228" s="240" t="s">
        <v>233</v>
      </c>
      <c r="B228" s="298">
        <f t="shared" si="131"/>
        <v>0.21945432977461446</v>
      </c>
      <c r="C228" s="298">
        <f t="shared" si="129"/>
        <v>0.2292134831460674</v>
      </c>
      <c r="D228" s="298">
        <f t="shared" si="129"/>
        <v>0.22972972972972974</v>
      </c>
      <c r="E228" s="298">
        <f t="shared" si="129"/>
        <v>0.22903629536921152</v>
      </c>
      <c r="F228" s="298">
        <f t="shared" si="129"/>
        <v>0.22876712328767124</v>
      </c>
      <c r="G228" s="298">
        <f t="shared" si="129"/>
        <v>0.21582733812949639</v>
      </c>
      <c r="H228" s="298">
        <f t="shared" si="129"/>
        <v>0.22111111111111112</v>
      </c>
      <c r="I228" s="298">
        <f t="shared" si="129"/>
        <v>0.35263157894736841</v>
      </c>
      <c r="J228" s="298">
        <f t="shared" si="129"/>
        <v>0.35384615384615387</v>
      </c>
      <c r="K228" s="298">
        <f t="shared" si="129"/>
        <v>0.35423925667828104</v>
      </c>
      <c r="L228" s="298">
        <f t="shared" si="129"/>
        <v>0.35443037974683544</v>
      </c>
      <c r="M228" s="298">
        <f t="shared" si="129"/>
        <v>0.35590778097982712</v>
      </c>
      <c r="N228" s="298">
        <f t="shared" si="129"/>
        <v>0.35447761194029853</v>
      </c>
      <c r="O228" s="298">
        <f t="shared" si="129"/>
        <v>0.35714285714285715</v>
      </c>
      <c r="P228" s="298">
        <f t="shared" si="129"/>
        <v>0.35714285714285715</v>
      </c>
      <c r="Q228" s="298">
        <f t="shared" si="129"/>
        <v>0.35714285714285715</v>
      </c>
      <c r="R228" s="298">
        <f t="shared" si="129"/>
        <v>0.35761589403973509</v>
      </c>
      <c r="S228" s="298">
        <f t="shared" si="129"/>
        <v>0.35789473684210527</v>
      </c>
      <c r="T228" s="298">
        <f t="shared" si="129"/>
        <v>0.3569230769230769</v>
      </c>
      <c r="U228" s="298">
        <f t="shared" si="129"/>
        <v>0.35789473684210527</v>
      </c>
      <c r="V228" s="298">
        <f t="shared" si="129"/>
        <v>0.35846153846153844</v>
      </c>
      <c r="W228" s="298">
        <f t="shared" si="129"/>
        <v>0.35846153846153844</v>
      </c>
      <c r="X228" s="298">
        <f t="shared" si="129"/>
        <v>0.3585714285714286</v>
      </c>
      <c r="Y228" s="298">
        <f t="shared" si="129"/>
        <v>0.35823529411764704</v>
      </c>
      <c r="Z228" s="298">
        <f t="shared" si="129"/>
        <v>0.35833333333333334</v>
      </c>
      <c r="AA228" s="298">
        <f t="shared" si="129"/>
        <v>0.35846153846153844</v>
      </c>
      <c r="AB228" s="298">
        <f t="shared" si="129"/>
        <v>0.3584</v>
      </c>
      <c r="AC228" s="298">
        <f t="shared" si="129"/>
        <v>0.35842105263157897</v>
      </c>
      <c r="AD228" s="298">
        <f t="shared" si="129"/>
        <v>0.35865921787709498</v>
      </c>
      <c r="AE228" s="298">
        <f t="shared" si="129"/>
        <v>0.35942330719149229</v>
      </c>
      <c r="AF228" s="298">
        <f t="shared" si="130"/>
        <v>0.35944987936460637</v>
      </c>
      <c r="AG228" s="298">
        <f t="shared" si="130"/>
        <v>0.35957588570024068</v>
      </c>
      <c r="AH228" s="298">
        <f t="shared" si="130"/>
        <v>0.35949064281422821</v>
      </c>
      <c r="AI228" s="240"/>
    </row>
    <row r="229" spans="1:35">
      <c r="A229" s="240" t="s">
        <v>234</v>
      </c>
      <c r="B229" s="298">
        <f t="shared" si="131"/>
        <v>0.21945432977461446</v>
      </c>
      <c r="C229" s="298">
        <f t="shared" si="129"/>
        <v>0.2292134831460674</v>
      </c>
      <c r="D229" s="298">
        <f t="shared" si="129"/>
        <v>0.22972972972972974</v>
      </c>
      <c r="E229" s="298">
        <f t="shared" si="129"/>
        <v>0.22903629536921152</v>
      </c>
      <c r="F229" s="298">
        <f t="shared" si="129"/>
        <v>0.22876712328767124</v>
      </c>
      <c r="G229" s="298">
        <f t="shared" si="129"/>
        <v>0.21582733812949639</v>
      </c>
      <c r="H229" s="298">
        <f t="shared" si="129"/>
        <v>0.22111111111111112</v>
      </c>
      <c r="I229" s="298">
        <f t="shared" si="129"/>
        <v>0.35263157894736841</v>
      </c>
      <c r="J229" s="298">
        <f t="shared" si="129"/>
        <v>0.35384615384615387</v>
      </c>
      <c r="K229" s="298">
        <f t="shared" si="129"/>
        <v>0.35423925667828104</v>
      </c>
      <c r="L229" s="298">
        <f t="shared" si="129"/>
        <v>0.35443037974683544</v>
      </c>
      <c r="M229" s="298">
        <f t="shared" si="129"/>
        <v>0.35590778097982712</v>
      </c>
      <c r="N229" s="298">
        <f t="shared" si="129"/>
        <v>0.35447761194029853</v>
      </c>
      <c r="O229" s="298">
        <f t="shared" si="129"/>
        <v>0.35714285714285715</v>
      </c>
      <c r="P229" s="298">
        <f t="shared" si="129"/>
        <v>0.35714285714285715</v>
      </c>
      <c r="Q229" s="298">
        <f t="shared" si="129"/>
        <v>0.35714285714285715</v>
      </c>
      <c r="R229" s="298">
        <f t="shared" si="129"/>
        <v>0.35761589403973509</v>
      </c>
      <c r="S229" s="298">
        <f t="shared" si="129"/>
        <v>0.35789473684210527</v>
      </c>
      <c r="T229" s="298">
        <f t="shared" si="129"/>
        <v>0.3569230769230769</v>
      </c>
      <c r="U229" s="298">
        <f t="shared" si="129"/>
        <v>0.35789473684210527</v>
      </c>
      <c r="V229" s="298">
        <f t="shared" si="129"/>
        <v>0.35846153846153844</v>
      </c>
      <c r="W229" s="298">
        <f t="shared" si="129"/>
        <v>0.35846153846153844</v>
      </c>
      <c r="X229" s="298">
        <f t="shared" si="129"/>
        <v>0.3585714285714286</v>
      </c>
      <c r="Y229" s="298">
        <f t="shared" si="129"/>
        <v>0.35823529411764704</v>
      </c>
      <c r="Z229" s="298">
        <f t="shared" si="129"/>
        <v>0.35833333333333334</v>
      </c>
      <c r="AA229" s="298">
        <f t="shared" si="129"/>
        <v>0.35846153846153844</v>
      </c>
      <c r="AB229" s="298">
        <f t="shared" si="129"/>
        <v>0.3584</v>
      </c>
      <c r="AC229" s="298">
        <f t="shared" si="129"/>
        <v>0.35842105263157897</v>
      </c>
      <c r="AD229" s="298">
        <f t="shared" si="129"/>
        <v>0.35865921787709498</v>
      </c>
      <c r="AE229" s="298">
        <f t="shared" si="129"/>
        <v>0.35942330719149229</v>
      </c>
      <c r="AF229" s="298">
        <f t="shared" si="130"/>
        <v>0.35944987936460637</v>
      </c>
      <c r="AG229" s="298">
        <f t="shared" si="130"/>
        <v>0.35957588570024068</v>
      </c>
      <c r="AH229" s="298">
        <f t="shared" si="130"/>
        <v>0.35949064281422821</v>
      </c>
      <c r="AI229" s="240"/>
    </row>
    <row r="230" spans="1:35">
      <c r="A230" s="240" t="s">
        <v>46</v>
      </c>
      <c r="B230" s="298">
        <f t="shared" si="131"/>
        <v>0.21945432977461446</v>
      </c>
      <c r="C230" s="298">
        <f t="shared" si="129"/>
        <v>0.2292134831460674</v>
      </c>
      <c r="D230" s="298">
        <f t="shared" si="129"/>
        <v>0.22972972972972974</v>
      </c>
      <c r="E230" s="298">
        <f t="shared" si="129"/>
        <v>0.22903629536921152</v>
      </c>
      <c r="F230" s="298">
        <f t="shared" si="129"/>
        <v>0.22876712328767124</v>
      </c>
      <c r="G230" s="298">
        <f t="shared" si="129"/>
        <v>0.21582733812949639</v>
      </c>
      <c r="H230" s="298">
        <f t="shared" si="129"/>
        <v>0.22111111111111112</v>
      </c>
      <c r="I230" s="298">
        <f t="shared" si="129"/>
        <v>0.35263157894736841</v>
      </c>
      <c r="J230" s="298">
        <f t="shared" si="129"/>
        <v>0.35384615384615387</v>
      </c>
      <c r="K230" s="298">
        <f t="shared" si="129"/>
        <v>0.35423925667828104</v>
      </c>
      <c r="L230" s="298">
        <f t="shared" si="129"/>
        <v>0.35443037974683544</v>
      </c>
      <c r="M230" s="298">
        <f t="shared" si="129"/>
        <v>0.35590778097982712</v>
      </c>
      <c r="N230" s="298">
        <f t="shared" si="129"/>
        <v>0.35447761194029853</v>
      </c>
      <c r="O230" s="298">
        <f t="shared" si="129"/>
        <v>0.35714285714285715</v>
      </c>
      <c r="P230" s="298">
        <f t="shared" si="129"/>
        <v>0.35714285714285715</v>
      </c>
      <c r="Q230" s="298">
        <f t="shared" si="129"/>
        <v>0.35714285714285715</v>
      </c>
      <c r="R230" s="298">
        <f t="shared" si="129"/>
        <v>0.35761589403973509</v>
      </c>
      <c r="S230" s="298">
        <f t="shared" si="129"/>
        <v>0.35789473684210527</v>
      </c>
      <c r="T230" s="298">
        <f t="shared" si="129"/>
        <v>0.3569230769230769</v>
      </c>
      <c r="U230" s="298">
        <f t="shared" si="129"/>
        <v>0.35789473684210527</v>
      </c>
      <c r="V230" s="298">
        <f t="shared" si="129"/>
        <v>0.35846153846153844</v>
      </c>
      <c r="W230" s="298">
        <f t="shared" si="129"/>
        <v>0.35846153846153844</v>
      </c>
      <c r="X230" s="298">
        <f t="shared" si="129"/>
        <v>0.3585714285714286</v>
      </c>
      <c r="Y230" s="298">
        <f t="shared" si="129"/>
        <v>0.35823529411764704</v>
      </c>
      <c r="Z230" s="298">
        <f t="shared" si="129"/>
        <v>0.35833333333333334</v>
      </c>
      <c r="AA230" s="298">
        <f t="shared" si="129"/>
        <v>0.35846153846153844</v>
      </c>
      <c r="AB230" s="298">
        <f t="shared" si="129"/>
        <v>0.3584</v>
      </c>
      <c r="AC230" s="298">
        <f t="shared" si="129"/>
        <v>0.35842105263157897</v>
      </c>
      <c r="AD230" s="298">
        <f t="shared" si="129"/>
        <v>0.35865921787709498</v>
      </c>
      <c r="AE230" s="298">
        <f t="shared" si="129"/>
        <v>0.35942330719149229</v>
      </c>
      <c r="AF230" s="298">
        <f t="shared" si="130"/>
        <v>0.35944987936460637</v>
      </c>
      <c r="AG230" s="298">
        <f t="shared" si="130"/>
        <v>0.35957588570024068</v>
      </c>
      <c r="AH230" s="298">
        <f t="shared" si="130"/>
        <v>0.35949064281422821</v>
      </c>
      <c r="AI230" s="240"/>
    </row>
    <row r="231" spans="1:35">
      <c r="A231" s="240" t="s">
        <v>235</v>
      </c>
      <c r="B231" s="298">
        <f t="shared" si="131"/>
        <v>0.21945432977461446</v>
      </c>
      <c r="C231" s="298">
        <f t="shared" si="129"/>
        <v>0.2292134831460674</v>
      </c>
      <c r="D231" s="298">
        <f t="shared" si="129"/>
        <v>0.22972972972972974</v>
      </c>
      <c r="E231" s="298">
        <f t="shared" si="129"/>
        <v>0.22903629536921152</v>
      </c>
      <c r="F231" s="298">
        <f t="shared" si="129"/>
        <v>0.22876712328767124</v>
      </c>
      <c r="G231" s="298">
        <f t="shared" si="129"/>
        <v>0.21582733812949639</v>
      </c>
      <c r="H231" s="298">
        <f t="shared" si="129"/>
        <v>0.22111111111111112</v>
      </c>
      <c r="I231" s="298">
        <f t="shared" si="129"/>
        <v>0.35263157894736841</v>
      </c>
      <c r="J231" s="298">
        <f t="shared" si="129"/>
        <v>0.35384615384615387</v>
      </c>
      <c r="K231" s="298">
        <f t="shared" si="129"/>
        <v>0.35423925667828104</v>
      </c>
      <c r="L231" s="298">
        <f t="shared" si="129"/>
        <v>0.35443037974683544</v>
      </c>
      <c r="M231" s="298">
        <f t="shared" si="129"/>
        <v>0.35590778097982712</v>
      </c>
      <c r="N231" s="298">
        <f t="shared" si="129"/>
        <v>0.35447761194029853</v>
      </c>
      <c r="O231" s="298">
        <f t="shared" si="129"/>
        <v>0.35714285714285715</v>
      </c>
      <c r="P231" s="298">
        <f t="shared" si="129"/>
        <v>0.35714285714285715</v>
      </c>
      <c r="Q231" s="298">
        <f t="shared" si="129"/>
        <v>0.35714285714285715</v>
      </c>
      <c r="R231" s="298">
        <f t="shared" si="129"/>
        <v>0.35761589403973509</v>
      </c>
      <c r="S231" s="298">
        <f t="shared" si="129"/>
        <v>0.35789473684210527</v>
      </c>
      <c r="T231" s="298">
        <f t="shared" si="129"/>
        <v>0.3569230769230769</v>
      </c>
      <c r="U231" s="298">
        <f t="shared" si="129"/>
        <v>0.35789473684210527</v>
      </c>
      <c r="V231" s="298">
        <f t="shared" si="129"/>
        <v>0.35846153846153844</v>
      </c>
      <c r="W231" s="298">
        <f t="shared" si="129"/>
        <v>0.35846153846153844</v>
      </c>
      <c r="X231" s="298">
        <f t="shared" si="129"/>
        <v>0.3585714285714286</v>
      </c>
      <c r="Y231" s="298">
        <f t="shared" si="129"/>
        <v>0.35823529411764704</v>
      </c>
      <c r="Z231" s="298">
        <f t="shared" si="129"/>
        <v>0.35833333333333334</v>
      </c>
      <c r="AA231" s="298">
        <f t="shared" si="129"/>
        <v>0.35846153846153844</v>
      </c>
      <c r="AB231" s="298">
        <f t="shared" si="129"/>
        <v>0.3584</v>
      </c>
      <c r="AC231" s="298">
        <f t="shared" si="129"/>
        <v>0.35842105263157897</v>
      </c>
      <c r="AD231" s="298">
        <f t="shared" si="129"/>
        <v>0.35865921787709498</v>
      </c>
      <c r="AE231" s="298">
        <f t="shared" si="129"/>
        <v>0.35942330719149229</v>
      </c>
      <c r="AF231" s="298">
        <f t="shared" si="130"/>
        <v>0.35944987936460637</v>
      </c>
      <c r="AG231" s="298">
        <f t="shared" si="130"/>
        <v>0.35957588570024068</v>
      </c>
      <c r="AH231" s="298">
        <f t="shared" si="130"/>
        <v>0.35949064281422821</v>
      </c>
      <c r="AI231" s="240"/>
    </row>
    <row r="232" spans="1:35">
      <c r="A232" s="240" t="s">
        <v>236</v>
      </c>
      <c r="B232" s="298">
        <f t="shared" si="131"/>
        <v>0.21945432977461446</v>
      </c>
      <c r="C232" s="298">
        <f t="shared" si="129"/>
        <v>0.2292134831460674</v>
      </c>
      <c r="D232" s="298">
        <f t="shared" si="129"/>
        <v>0.22972972972972974</v>
      </c>
      <c r="E232" s="298">
        <f t="shared" si="129"/>
        <v>0.22903629536921152</v>
      </c>
      <c r="F232" s="298">
        <f t="shared" si="129"/>
        <v>0.22876712328767124</v>
      </c>
      <c r="G232" s="298">
        <f t="shared" si="129"/>
        <v>0.21582733812949639</v>
      </c>
      <c r="H232" s="298">
        <f t="shared" si="129"/>
        <v>0.22111111111111112</v>
      </c>
      <c r="I232" s="298">
        <f t="shared" si="129"/>
        <v>0.35263157894736841</v>
      </c>
      <c r="J232" s="298">
        <f t="shared" si="129"/>
        <v>0.35384615384615387</v>
      </c>
      <c r="K232" s="298">
        <f t="shared" si="129"/>
        <v>0.35423925667828104</v>
      </c>
      <c r="L232" s="298">
        <f t="shared" ref="L232:AP234" si="132">L$235</f>
        <v>0.35443037974683544</v>
      </c>
      <c r="M232" s="298">
        <f t="shared" si="132"/>
        <v>0.35590778097982712</v>
      </c>
      <c r="N232" s="298">
        <f t="shared" si="132"/>
        <v>0.35447761194029853</v>
      </c>
      <c r="O232" s="298">
        <f t="shared" si="132"/>
        <v>0.35714285714285715</v>
      </c>
      <c r="P232" s="298">
        <f t="shared" si="132"/>
        <v>0.35714285714285715</v>
      </c>
      <c r="Q232" s="298">
        <f t="shared" si="132"/>
        <v>0.35714285714285715</v>
      </c>
      <c r="R232" s="298">
        <f t="shared" si="132"/>
        <v>0.35761589403973509</v>
      </c>
      <c r="S232" s="298">
        <f t="shared" si="132"/>
        <v>0.35789473684210527</v>
      </c>
      <c r="T232" s="298">
        <f t="shared" si="132"/>
        <v>0.3569230769230769</v>
      </c>
      <c r="U232" s="298">
        <f t="shared" si="132"/>
        <v>0.35789473684210527</v>
      </c>
      <c r="V232" s="298">
        <f t="shared" si="132"/>
        <v>0.35846153846153844</v>
      </c>
      <c r="W232" s="298">
        <f t="shared" si="132"/>
        <v>0.35846153846153844</v>
      </c>
      <c r="X232" s="298">
        <f t="shared" si="132"/>
        <v>0.3585714285714286</v>
      </c>
      <c r="Y232" s="298">
        <f t="shared" si="132"/>
        <v>0.35823529411764704</v>
      </c>
      <c r="Z232" s="298">
        <f t="shared" si="132"/>
        <v>0.35833333333333334</v>
      </c>
      <c r="AA232" s="298">
        <f t="shared" si="132"/>
        <v>0.35846153846153844</v>
      </c>
      <c r="AB232" s="298">
        <f t="shared" si="132"/>
        <v>0.3584</v>
      </c>
      <c r="AC232" s="298">
        <f t="shared" si="132"/>
        <v>0.35842105263157897</v>
      </c>
      <c r="AD232" s="298">
        <f t="shared" si="132"/>
        <v>0.35865921787709498</v>
      </c>
      <c r="AE232" s="298">
        <f t="shared" si="132"/>
        <v>0.35942330719149229</v>
      </c>
      <c r="AF232" s="298">
        <f t="shared" si="132"/>
        <v>0.35944987936460637</v>
      </c>
      <c r="AG232" s="298">
        <f t="shared" si="132"/>
        <v>0.35957588570024068</v>
      </c>
      <c r="AH232" s="298">
        <f t="shared" si="130"/>
        <v>0.35949064281422821</v>
      </c>
      <c r="AI232" s="240"/>
    </row>
    <row r="233" spans="1:35">
      <c r="A233" s="240" t="s">
        <v>237</v>
      </c>
      <c r="B233" s="298">
        <f t="shared" si="131"/>
        <v>0.21945432977461446</v>
      </c>
      <c r="C233" s="298">
        <f t="shared" si="131"/>
        <v>0.2292134831460674</v>
      </c>
      <c r="D233" s="298">
        <f t="shared" si="131"/>
        <v>0.22972972972972974</v>
      </c>
      <c r="E233" s="298">
        <f t="shared" si="131"/>
        <v>0.22903629536921152</v>
      </c>
      <c r="F233" s="298">
        <f t="shared" si="131"/>
        <v>0.22876712328767124</v>
      </c>
      <c r="G233" s="298">
        <f t="shared" si="131"/>
        <v>0.21582733812949639</v>
      </c>
      <c r="H233" s="298">
        <f t="shared" si="131"/>
        <v>0.22111111111111112</v>
      </c>
      <c r="I233" s="298">
        <f t="shared" si="131"/>
        <v>0.35263157894736841</v>
      </c>
      <c r="J233" s="298">
        <f t="shared" si="131"/>
        <v>0.35384615384615387</v>
      </c>
      <c r="K233" s="298">
        <f t="shared" si="131"/>
        <v>0.35423925667828104</v>
      </c>
      <c r="L233" s="298">
        <f t="shared" si="131"/>
        <v>0.35443037974683544</v>
      </c>
      <c r="M233" s="298">
        <f t="shared" si="131"/>
        <v>0.35590778097982712</v>
      </c>
      <c r="N233" s="298">
        <f t="shared" si="131"/>
        <v>0.35447761194029853</v>
      </c>
      <c r="O233" s="298">
        <f t="shared" si="131"/>
        <v>0.35714285714285715</v>
      </c>
      <c r="P233" s="298">
        <f t="shared" si="131"/>
        <v>0.35714285714285715</v>
      </c>
      <c r="Q233" s="298">
        <f t="shared" si="131"/>
        <v>0.35714285714285715</v>
      </c>
      <c r="R233" s="298">
        <f t="shared" si="132"/>
        <v>0.35761589403973509</v>
      </c>
      <c r="S233" s="298">
        <f t="shared" si="132"/>
        <v>0.35789473684210527</v>
      </c>
      <c r="T233" s="298">
        <f t="shared" si="132"/>
        <v>0.3569230769230769</v>
      </c>
      <c r="U233" s="298">
        <f t="shared" si="132"/>
        <v>0.35789473684210527</v>
      </c>
      <c r="V233" s="298">
        <f t="shared" si="132"/>
        <v>0.35846153846153844</v>
      </c>
      <c r="W233" s="298">
        <f t="shared" si="132"/>
        <v>0.35846153846153844</v>
      </c>
      <c r="X233" s="298">
        <f t="shared" si="132"/>
        <v>0.3585714285714286</v>
      </c>
      <c r="Y233" s="298">
        <f t="shared" si="132"/>
        <v>0.35823529411764704</v>
      </c>
      <c r="Z233" s="298">
        <f t="shared" si="132"/>
        <v>0.35833333333333334</v>
      </c>
      <c r="AA233" s="298">
        <f t="shared" si="132"/>
        <v>0.35846153846153844</v>
      </c>
      <c r="AB233" s="298">
        <f t="shared" si="132"/>
        <v>0.3584</v>
      </c>
      <c r="AC233" s="298">
        <f t="shared" si="132"/>
        <v>0.35842105263157897</v>
      </c>
      <c r="AD233" s="298">
        <f t="shared" si="132"/>
        <v>0.35865921787709498</v>
      </c>
      <c r="AE233" s="298">
        <f t="shared" si="132"/>
        <v>0.35942330719149229</v>
      </c>
      <c r="AF233" s="298">
        <f t="shared" si="132"/>
        <v>0.35944987936460637</v>
      </c>
      <c r="AG233" s="298">
        <f t="shared" si="130"/>
        <v>0.35957588570024068</v>
      </c>
      <c r="AH233" s="298">
        <f t="shared" si="130"/>
        <v>0.35949064281422821</v>
      </c>
      <c r="AI233" s="240"/>
    </row>
    <row r="234" spans="1:35">
      <c r="A234" s="240" t="s">
        <v>238</v>
      </c>
      <c r="B234" s="298">
        <f t="shared" si="131"/>
        <v>0.21945432977461446</v>
      </c>
      <c r="C234" s="298">
        <f t="shared" si="131"/>
        <v>0.2292134831460674</v>
      </c>
      <c r="D234" s="298">
        <f t="shared" si="131"/>
        <v>0.22972972972972974</v>
      </c>
      <c r="E234" s="298">
        <f t="shared" si="131"/>
        <v>0.22903629536921152</v>
      </c>
      <c r="F234" s="298">
        <f t="shared" si="131"/>
        <v>0.22876712328767124</v>
      </c>
      <c r="G234" s="298">
        <f t="shared" si="131"/>
        <v>0.21582733812949639</v>
      </c>
      <c r="H234" s="298">
        <f t="shared" si="131"/>
        <v>0.22111111111111112</v>
      </c>
      <c r="I234" s="298">
        <f t="shared" si="131"/>
        <v>0.35263157894736841</v>
      </c>
      <c r="J234" s="298">
        <f t="shared" si="131"/>
        <v>0.35384615384615387</v>
      </c>
      <c r="K234" s="298">
        <f t="shared" si="131"/>
        <v>0.35423925667828104</v>
      </c>
      <c r="L234" s="298">
        <f t="shared" si="131"/>
        <v>0.35443037974683544</v>
      </c>
      <c r="M234" s="298">
        <f t="shared" si="131"/>
        <v>0.35590778097982712</v>
      </c>
      <c r="N234" s="298">
        <f t="shared" si="131"/>
        <v>0.35447761194029853</v>
      </c>
      <c r="O234" s="298">
        <f t="shared" si="131"/>
        <v>0.35714285714285715</v>
      </c>
      <c r="P234" s="298">
        <f t="shared" si="131"/>
        <v>0.35714285714285715</v>
      </c>
      <c r="Q234" s="298">
        <f t="shared" si="131"/>
        <v>0.35714285714285715</v>
      </c>
      <c r="R234" s="298">
        <f t="shared" si="132"/>
        <v>0.35761589403973509</v>
      </c>
      <c r="S234" s="298">
        <f t="shared" si="132"/>
        <v>0.35789473684210527</v>
      </c>
      <c r="T234" s="298">
        <f t="shared" si="132"/>
        <v>0.3569230769230769</v>
      </c>
      <c r="U234" s="298">
        <f t="shared" si="132"/>
        <v>0.35789473684210527</v>
      </c>
      <c r="V234" s="298">
        <f t="shared" si="132"/>
        <v>0.35846153846153844</v>
      </c>
      <c r="W234" s="298">
        <f t="shared" si="132"/>
        <v>0.35846153846153844</v>
      </c>
      <c r="X234" s="298">
        <f t="shared" si="132"/>
        <v>0.3585714285714286</v>
      </c>
      <c r="Y234" s="298">
        <f t="shared" si="132"/>
        <v>0.35823529411764704</v>
      </c>
      <c r="Z234" s="298">
        <f t="shared" si="132"/>
        <v>0.35833333333333334</v>
      </c>
      <c r="AA234" s="298">
        <f t="shared" si="132"/>
        <v>0.35846153846153844</v>
      </c>
      <c r="AB234" s="298">
        <f t="shared" si="132"/>
        <v>0.3584</v>
      </c>
      <c r="AC234" s="298">
        <f t="shared" si="132"/>
        <v>0.35842105263157897</v>
      </c>
      <c r="AD234" s="298">
        <f t="shared" si="132"/>
        <v>0.35865921787709498</v>
      </c>
      <c r="AE234" s="298">
        <f t="shared" si="132"/>
        <v>0.35942330719149229</v>
      </c>
      <c r="AF234" s="298">
        <f t="shared" si="132"/>
        <v>0.35944987936460637</v>
      </c>
      <c r="AG234" s="298">
        <f t="shared" si="130"/>
        <v>0.35957588570024068</v>
      </c>
      <c r="AH234" s="298">
        <f t="shared" si="130"/>
        <v>0.35949064281422821</v>
      </c>
      <c r="AI234" s="240"/>
    </row>
    <row r="235" spans="1:35" ht="15.75" thickBot="1">
      <c r="A235" s="240" t="s">
        <v>255</v>
      </c>
      <c r="B235" s="258">
        <v>0.21945432977461446</v>
      </c>
      <c r="C235" s="258">
        <v>0.2292134831460674</v>
      </c>
      <c r="D235" s="258">
        <v>0.22972972972972974</v>
      </c>
      <c r="E235" s="258">
        <v>0.22903629536921152</v>
      </c>
      <c r="F235" s="258">
        <v>0.22876712328767124</v>
      </c>
      <c r="G235" s="258">
        <v>0.21582733812949639</v>
      </c>
      <c r="H235" s="258">
        <v>0.22111111111111112</v>
      </c>
      <c r="I235" s="258">
        <v>0.35263157894736841</v>
      </c>
      <c r="J235" s="258">
        <v>0.35384615384615387</v>
      </c>
      <c r="K235" s="258">
        <v>0.35423925667828104</v>
      </c>
      <c r="L235" s="258">
        <v>0.35443037974683544</v>
      </c>
      <c r="M235" s="258">
        <v>0.35590778097982712</v>
      </c>
      <c r="N235" s="258">
        <v>0.35447761194029853</v>
      </c>
      <c r="O235" s="258">
        <v>0.35714285714285715</v>
      </c>
      <c r="P235" s="258">
        <v>0.35714285714285715</v>
      </c>
      <c r="Q235" s="258">
        <v>0.35714285714285715</v>
      </c>
      <c r="R235" s="258">
        <v>0.35761589403973509</v>
      </c>
      <c r="S235" s="258">
        <v>0.35789473684210527</v>
      </c>
      <c r="T235" s="258">
        <v>0.3569230769230769</v>
      </c>
      <c r="U235" s="258">
        <v>0.35789473684210527</v>
      </c>
      <c r="V235" s="258">
        <v>0.35846153846153844</v>
      </c>
      <c r="W235" s="258">
        <v>0.35846153846153844</v>
      </c>
      <c r="X235" s="258">
        <v>0.3585714285714286</v>
      </c>
      <c r="Y235" s="258">
        <v>0.35823529411764704</v>
      </c>
      <c r="Z235" s="258">
        <v>0.35833333333333334</v>
      </c>
      <c r="AA235" s="258">
        <v>0.35846153846153844</v>
      </c>
      <c r="AB235" s="258">
        <v>0.3584</v>
      </c>
      <c r="AC235" s="259">
        <v>0.35842105263157897</v>
      </c>
      <c r="AD235" s="259">
        <v>0.35865921787709498</v>
      </c>
      <c r="AE235" s="259">
        <f>FORECAST(AE45,L235:AD235,L45:AD45)</f>
        <v>0.35942330719149229</v>
      </c>
      <c r="AF235" s="259">
        <f>FORECAST(AF45,M235:AE235,M45:AE45)</f>
        <v>0.35944987936460637</v>
      </c>
      <c r="AG235" s="259">
        <f t="shared" ref="AG235:AH235" si="133">FORECAST(AG45,N235:AF235,N45:AF45)</f>
        <v>0.35957588570024068</v>
      </c>
      <c r="AH235" s="259">
        <f t="shared" si="133"/>
        <v>0.35949064281422821</v>
      </c>
    </row>
    <row r="236" spans="1:35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  <c r="AD236" s="248"/>
      <c r="AE236" s="248"/>
      <c r="AF236" s="248"/>
      <c r="AG236" s="248"/>
      <c r="AH236" s="248"/>
    </row>
    <row r="237" spans="1:35" ht="15.75" thickBot="1">
      <c r="A237" s="235" t="s">
        <v>264</v>
      </c>
    </row>
    <row r="238" spans="1:35" ht="15.75" thickBot="1">
      <c r="A238" s="236"/>
      <c r="B238" s="237" t="str">
        <f>B$2</f>
        <v xml:space="preserve">93/94 </v>
      </c>
      <c r="C238" s="237" t="str">
        <f t="shared" ref="C238:AH238" si="134">C$2</f>
        <v xml:space="preserve">94/95 </v>
      </c>
      <c r="D238" s="237" t="str">
        <f t="shared" si="134"/>
        <v xml:space="preserve">95/96 </v>
      </c>
      <c r="E238" s="237" t="str">
        <f t="shared" si="134"/>
        <v xml:space="preserve">96/97 </v>
      </c>
      <c r="F238" s="237" t="str">
        <f t="shared" si="134"/>
        <v xml:space="preserve">97/98 </v>
      </c>
      <c r="G238" s="237" t="str">
        <f t="shared" si="134"/>
        <v xml:space="preserve">98/99 </v>
      </c>
      <c r="H238" s="237" t="str">
        <f t="shared" si="134"/>
        <v xml:space="preserve">99/00 </v>
      </c>
      <c r="I238" s="237" t="str">
        <f t="shared" si="134"/>
        <v xml:space="preserve">00/01 </v>
      </c>
      <c r="J238" s="237" t="str">
        <f t="shared" si="134"/>
        <v xml:space="preserve">01/02 </v>
      </c>
      <c r="K238" s="237" t="str">
        <f t="shared" si="134"/>
        <v xml:space="preserve">02/03 </v>
      </c>
      <c r="L238" s="237" t="str">
        <f t="shared" si="134"/>
        <v xml:space="preserve">03/04 </v>
      </c>
      <c r="M238" s="237" t="str">
        <f t="shared" si="134"/>
        <v xml:space="preserve">04/05 </v>
      </c>
      <c r="N238" s="237" t="str">
        <f t="shared" si="134"/>
        <v xml:space="preserve">05/06 </v>
      </c>
      <c r="O238" s="237" t="str">
        <f t="shared" si="134"/>
        <v xml:space="preserve">06/07 </v>
      </c>
      <c r="P238" s="237" t="str">
        <f t="shared" si="134"/>
        <v xml:space="preserve">07/08 </v>
      </c>
      <c r="Q238" s="237" t="str">
        <f t="shared" si="134"/>
        <v xml:space="preserve">08/09 </v>
      </c>
      <c r="R238" s="237" t="str">
        <f t="shared" si="134"/>
        <v xml:space="preserve">09/10 </v>
      </c>
      <c r="S238" s="237" t="str">
        <f t="shared" si="134"/>
        <v xml:space="preserve">10/11 </v>
      </c>
      <c r="T238" s="237" t="str">
        <f t="shared" si="134"/>
        <v xml:space="preserve">11/12 </v>
      </c>
      <c r="U238" s="237" t="str">
        <f t="shared" si="134"/>
        <v xml:space="preserve">12/13 </v>
      </c>
      <c r="V238" s="237" t="str">
        <f t="shared" si="134"/>
        <v xml:space="preserve">13/14 </v>
      </c>
      <c r="W238" s="237" t="str">
        <f t="shared" si="134"/>
        <v xml:space="preserve">14/15 </v>
      </c>
      <c r="X238" s="237" t="str">
        <f t="shared" si="134"/>
        <v xml:space="preserve">15/16 </v>
      </c>
      <c r="Y238" s="237" t="str">
        <f t="shared" si="134"/>
        <v xml:space="preserve">16/17 </v>
      </c>
      <c r="Z238" s="237" t="str">
        <f t="shared" si="134"/>
        <v xml:space="preserve">17/18 </v>
      </c>
      <c r="AA238" s="237" t="str">
        <f t="shared" si="134"/>
        <v xml:space="preserve">18/19 </v>
      </c>
      <c r="AB238" s="237" t="str">
        <f t="shared" si="134"/>
        <v xml:space="preserve">19/20 </v>
      </c>
      <c r="AC238" s="237" t="str">
        <f t="shared" si="134"/>
        <v xml:space="preserve">20/21 </v>
      </c>
      <c r="AD238" s="237" t="str">
        <f t="shared" si="134"/>
        <v xml:space="preserve">21/22 </v>
      </c>
      <c r="AE238" s="237" t="str">
        <f t="shared" si="134"/>
        <v xml:space="preserve">22/23 </v>
      </c>
      <c r="AF238" s="237" t="str">
        <f t="shared" si="134"/>
        <v>23/24</v>
      </c>
      <c r="AG238" s="237" t="str">
        <f t="shared" si="134"/>
        <v>23/25</v>
      </c>
      <c r="AH238" s="237" t="str">
        <f t="shared" si="134"/>
        <v>23/26</v>
      </c>
    </row>
    <row r="239" spans="1:35">
      <c r="A239" s="240" t="s">
        <v>239</v>
      </c>
      <c r="B239" s="298">
        <f t="shared" ref="B239:AH246" si="135">B223+B112</f>
        <v>0.79833926453143533</v>
      </c>
      <c r="C239" s="298">
        <f t="shared" si="135"/>
        <v>0.80786516853932577</v>
      </c>
      <c r="D239" s="298">
        <f t="shared" si="135"/>
        <v>0.80810810810810807</v>
      </c>
      <c r="E239" s="298">
        <f t="shared" si="135"/>
        <v>0.7822277847309137</v>
      </c>
      <c r="F239" s="298">
        <f t="shared" si="135"/>
        <v>0.77671232876712326</v>
      </c>
      <c r="G239" s="298">
        <f t="shared" si="135"/>
        <v>0.76139088729016791</v>
      </c>
      <c r="H239" s="298">
        <f t="shared" si="135"/>
        <v>0.76555555555555554</v>
      </c>
      <c r="I239" s="298">
        <f t="shared" si="135"/>
        <v>0.89684210526315788</v>
      </c>
      <c r="J239" s="298">
        <f t="shared" si="135"/>
        <v>0.89999999999999991</v>
      </c>
      <c r="K239" s="298">
        <f t="shared" si="135"/>
        <v>0.89895470383275256</v>
      </c>
      <c r="L239" s="298">
        <f t="shared" si="135"/>
        <v>0.89873417721518989</v>
      </c>
      <c r="M239" s="298">
        <f t="shared" si="135"/>
        <v>0.89625360230547557</v>
      </c>
      <c r="N239" s="298">
        <f t="shared" si="135"/>
        <v>0.89552238805970141</v>
      </c>
      <c r="O239" s="298">
        <f t="shared" si="135"/>
        <v>0.9042553191489362</v>
      </c>
      <c r="P239" s="298">
        <f t="shared" si="135"/>
        <v>0.9065934065934067</v>
      </c>
      <c r="Q239" s="298">
        <f t="shared" si="135"/>
        <v>0.9058956916099774</v>
      </c>
      <c r="R239" s="298">
        <f t="shared" si="135"/>
        <v>0.9039735099337749</v>
      </c>
      <c r="S239" s="298">
        <f t="shared" si="135"/>
        <v>0.90421052631578946</v>
      </c>
      <c r="T239" s="298">
        <f t="shared" si="135"/>
        <v>0.90256410256410258</v>
      </c>
      <c r="U239" s="298">
        <f t="shared" si="135"/>
        <v>0.90375939849624065</v>
      </c>
      <c r="V239" s="298">
        <f t="shared" si="135"/>
        <v>0.90384615384615374</v>
      </c>
      <c r="W239" s="298">
        <f t="shared" si="135"/>
        <v>0.90384615384615374</v>
      </c>
      <c r="X239" s="298">
        <f t="shared" si="135"/>
        <v>0.90357142857142869</v>
      </c>
      <c r="Y239" s="298">
        <f t="shared" si="135"/>
        <v>0.90352941176470591</v>
      </c>
      <c r="Z239" s="298">
        <f t="shared" si="135"/>
        <v>0.90333333333333332</v>
      </c>
      <c r="AA239" s="298">
        <f t="shared" si="135"/>
        <v>0.90384615384615374</v>
      </c>
      <c r="AB239" s="298">
        <f t="shared" si="135"/>
        <v>0.90346666666666664</v>
      </c>
      <c r="AC239" s="298">
        <f t="shared" si="135"/>
        <v>0.90368421052631587</v>
      </c>
      <c r="AD239" s="259">
        <f t="shared" si="135"/>
        <v>0.90391061452513966</v>
      </c>
      <c r="AE239" s="259">
        <f t="shared" si="135"/>
        <v>0.90521329972050113</v>
      </c>
      <c r="AF239" s="259">
        <f t="shared" si="135"/>
        <v>0.90519404687810989</v>
      </c>
      <c r="AG239" s="259">
        <f t="shared" si="135"/>
        <v>0.90475243998340271</v>
      </c>
      <c r="AH239" s="259">
        <f t="shared" si="135"/>
        <v>0.90397121507063338</v>
      </c>
    </row>
    <row r="240" spans="1:35">
      <c r="A240" s="240" t="s">
        <v>240</v>
      </c>
      <c r="B240" s="298">
        <f t="shared" si="135"/>
        <v>0.79833926453143533</v>
      </c>
      <c r="C240" s="298">
        <f t="shared" si="135"/>
        <v>0.80786516853932577</v>
      </c>
      <c r="D240" s="298">
        <f t="shared" si="135"/>
        <v>0.80810810810810807</v>
      </c>
      <c r="E240" s="298">
        <f t="shared" si="135"/>
        <v>0.7822277847309137</v>
      </c>
      <c r="F240" s="298">
        <f t="shared" si="135"/>
        <v>0.77671232876712326</v>
      </c>
      <c r="G240" s="298">
        <f t="shared" si="135"/>
        <v>0.76139088729016791</v>
      </c>
      <c r="H240" s="298">
        <f t="shared" si="135"/>
        <v>0.76555555555555554</v>
      </c>
      <c r="I240" s="298">
        <f t="shared" si="135"/>
        <v>0.89684210526315788</v>
      </c>
      <c r="J240" s="298">
        <f t="shared" si="135"/>
        <v>0.89999999999999991</v>
      </c>
      <c r="K240" s="298">
        <f t="shared" si="135"/>
        <v>0.89895470383275256</v>
      </c>
      <c r="L240" s="298">
        <f t="shared" si="135"/>
        <v>0.89873417721518989</v>
      </c>
      <c r="M240" s="298">
        <f t="shared" si="135"/>
        <v>0.89625360230547557</v>
      </c>
      <c r="N240" s="298">
        <f t="shared" si="135"/>
        <v>0.89552238805970141</v>
      </c>
      <c r="O240" s="298">
        <f t="shared" si="135"/>
        <v>0.9042553191489362</v>
      </c>
      <c r="P240" s="298">
        <f t="shared" si="135"/>
        <v>0.9065934065934067</v>
      </c>
      <c r="Q240" s="298">
        <f t="shared" si="135"/>
        <v>0.9058956916099774</v>
      </c>
      <c r="R240" s="298">
        <f t="shared" si="135"/>
        <v>0.9039735099337749</v>
      </c>
      <c r="S240" s="298">
        <f t="shared" si="135"/>
        <v>0.90421052631578946</v>
      </c>
      <c r="T240" s="298">
        <f t="shared" si="135"/>
        <v>0.90256410256410258</v>
      </c>
      <c r="U240" s="298">
        <f t="shared" si="135"/>
        <v>0.90375939849624065</v>
      </c>
      <c r="V240" s="298">
        <f t="shared" si="135"/>
        <v>0.90384615384615374</v>
      </c>
      <c r="W240" s="298">
        <f t="shared" si="135"/>
        <v>0.90384615384615374</v>
      </c>
      <c r="X240" s="298">
        <f t="shared" si="135"/>
        <v>0.90357142857142869</v>
      </c>
      <c r="Y240" s="298">
        <f t="shared" si="135"/>
        <v>0.90352941176470591</v>
      </c>
      <c r="Z240" s="298">
        <f t="shared" si="135"/>
        <v>0.90333333333333332</v>
      </c>
      <c r="AA240" s="298">
        <f t="shared" si="135"/>
        <v>0.90384615384615374</v>
      </c>
      <c r="AB240" s="298">
        <f t="shared" si="135"/>
        <v>0.90346666666666664</v>
      </c>
      <c r="AC240" s="298">
        <f t="shared" si="135"/>
        <v>0.90368421052631587</v>
      </c>
      <c r="AD240" s="259">
        <f t="shared" si="135"/>
        <v>0.90391061452513966</v>
      </c>
      <c r="AE240" s="259">
        <f t="shared" si="135"/>
        <v>0.90521329972050113</v>
      </c>
      <c r="AF240" s="259">
        <f t="shared" si="135"/>
        <v>0.90519404687810989</v>
      </c>
      <c r="AG240" s="259">
        <f t="shared" si="135"/>
        <v>0.90475243998340271</v>
      </c>
      <c r="AH240" s="259">
        <f t="shared" si="135"/>
        <v>0.90397121507063338</v>
      </c>
    </row>
    <row r="241" spans="1:34">
      <c r="A241" s="240" t="s">
        <v>241</v>
      </c>
      <c r="B241" s="298">
        <f t="shared" si="135"/>
        <v>0.79833926453143533</v>
      </c>
      <c r="C241" s="298">
        <f t="shared" si="135"/>
        <v>0.80786516853932577</v>
      </c>
      <c r="D241" s="298">
        <f t="shared" si="135"/>
        <v>0.80810810810810807</v>
      </c>
      <c r="E241" s="298">
        <f t="shared" si="135"/>
        <v>0.7822277847309137</v>
      </c>
      <c r="F241" s="298">
        <f t="shared" si="135"/>
        <v>0.77671232876712326</v>
      </c>
      <c r="G241" s="298">
        <f t="shared" si="135"/>
        <v>0.76139088729016791</v>
      </c>
      <c r="H241" s="298">
        <f t="shared" si="135"/>
        <v>0.76555555555555554</v>
      </c>
      <c r="I241" s="298">
        <f t="shared" si="135"/>
        <v>0.89684210526315788</v>
      </c>
      <c r="J241" s="298">
        <f t="shared" si="135"/>
        <v>0.89999999999999991</v>
      </c>
      <c r="K241" s="298">
        <f t="shared" si="135"/>
        <v>0.89895470383275256</v>
      </c>
      <c r="L241" s="298">
        <f t="shared" si="135"/>
        <v>0.89873417721518989</v>
      </c>
      <c r="M241" s="298">
        <f t="shared" si="135"/>
        <v>0.89625360230547557</v>
      </c>
      <c r="N241" s="298">
        <f t="shared" si="135"/>
        <v>0.89552238805970141</v>
      </c>
      <c r="O241" s="298">
        <f t="shared" si="135"/>
        <v>0.9042553191489362</v>
      </c>
      <c r="P241" s="298">
        <f t="shared" si="135"/>
        <v>0.9065934065934067</v>
      </c>
      <c r="Q241" s="298">
        <f t="shared" si="135"/>
        <v>0.9058956916099774</v>
      </c>
      <c r="R241" s="298">
        <f t="shared" si="135"/>
        <v>0.9039735099337749</v>
      </c>
      <c r="S241" s="298">
        <f t="shared" si="135"/>
        <v>0.90421052631578946</v>
      </c>
      <c r="T241" s="298">
        <f t="shared" si="135"/>
        <v>0.90256410256410258</v>
      </c>
      <c r="U241" s="298">
        <f t="shared" si="135"/>
        <v>0.90375939849624065</v>
      </c>
      <c r="V241" s="298">
        <f t="shared" si="135"/>
        <v>0.90384615384615374</v>
      </c>
      <c r="W241" s="298">
        <f t="shared" si="135"/>
        <v>0.90384615384615374</v>
      </c>
      <c r="X241" s="298">
        <f t="shared" si="135"/>
        <v>0.90357142857142869</v>
      </c>
      <c r="Y241" s="298">
        <f t="shared" si="135"/>
        <v>0.90352941176470591</v>
      </c>
      <c r="Z241" s="298">
        <f t="shared" si="135"/>
        <v>0.90333333333333332</v>
      </c>
      <c r="AA241" s="298">
        <f t="shared" si="135"/>
        <v>0.90384615384615374</v>
      </c>
      <c r="AB241" s="298">
        <f t="shared" si="135"/>
        <v>0.90346666666666664</v>
      </c>
      <c r="AC241" s="298">
        <f t="shared" si="135"/>
        <v>0.90368421052631587</v>
      </c>
      <c r="AD241" s="259">
        <f t="shared" si="135"/>
        <v>0.90391061452513966</v>
      </c>
      <c r="AE241" s="259">
        <f t="shared" si="135"/>
        <v>0.90521329972050113</v>
      </c>
      <c r="AF241" s="259">
        <f t="shared" si="135"/>
        <v>0.90519404687810989</v>
      </c>
      <c r="AG241" s="259">
        <f t="shared" si="135"/>
        <v>0.90475243998340271</v>
      </c>
      <c r="AH241" s="259">
        <f t="shared" si="135"/>
        <v>0.90397121507063338</v>
      </c>
    </row>
    <row r="242" spans="1:34">
      <c r="A242" s="240" t="s">
        <v>231</v>
      </c>
      <c r="B242" s="298">
        <f t="shared" si="135"/>
        <v>0.79833926453143533</v>
      </c>
      <c r="C242" s="298">
        <f t="shared" si="135"/>
        <v>0.80786516853932577</v>
      </c>
      <c r="D242" s="298">
        <f t="shared" si="135"/>
        <v>0.80810810810810807</v>
      </c>
      <c r="E242" s="298">
        <f t="shared" si="135"/>
        <v>0.7822277847309137</v>
      </c>
      <c r="F242" s="298">
        <f t="shared" si="135"/>
        <v>0.77671232876712326</v>
      </c>
      <c r="G242" s="298">
        <f t="shared" si="135"/>
        <v>0.76139088729016791</v>
      </c>
      <c r="H242" s="298">
        <f t="shared" si="135"/>
        <v>0.76555555555555554</v>
      </c>
      <c r="I242" s="298">
        <f t="shared" si="135"/>
        <v>0.89684210526315788</v>
      </c>
      <c r="J242" s="298">
        <f t="shared" si="135"/>
        <v>0.89999999999999991</v>
      </c>
      <c r="K242" s="298">
        <f t="shared" si="135"/>
        <v>0.89895470383275256</v>
      </c>
      <c r="L242" s="298">
        <f t="shared" si="135"/>
        <v>0.89873417721518989</v>
      </c>
      <c r="M242" s="298">
        <f t="shared" si="135"/>
        <v>0.89625360230547557</v>
      </c>
      <c r="N242" s="298">
        <f t="shared" si="135"/>
        <v>0.89552238805970141</v>
      </c>
      <c r="O242" s="298">
        <f t="shared" si="135"/>
        <v>0.9042553191489362</v>
      </c>
      <c r="P242" s="298">
        <f t="shared" si="135"/>
        <v>0.9065934065934067</v>
      </c>
      <c r="Q242" s="298">
        <f t="shared" si="135"/>
        <v>0.9058956916099774</v>
      </c>
      <c r="R242" s="298">
        <f t="shared" si="135"/>
        <v>0.9039735099337749</v>
      </c>
      <c r="S242" s="298">
        <f t="shared" si="135"/>
        <v>0.90421052631578946</v>
      </c>
      <c r="T242" s="298">
        <f t="shared" si="135"/>
        <v>0.90256410256410258</v>
      </c>
      <c r="U242" s="298">
        <f t="shared" si="135"/>
        <v>0.90375939849624065</v>
      </c>
      <c r="V242" s="298">
        <f t="shared" si="135"/>
        <v>0.90384615384615374</v>
      </c>
      <c r="W242" s="298">
        <f t="shared" si="135"/>
        <v>0.90384615384615374</v>
      </c>
      <c r="X242" s="298">
        <f t="shared" si="135"/>
        <v>0.90357142857142869</v>
      </c>
      <c r="Y242" s="298">
        <f t="shared" si="135"/>
        <v>0.90352941176470591</v>
      </c>
      <c r="Z242" s="298">
        <f t="shared" si="135"/>
        <v>0.90333333333333332</v>
      </c>
      <c r="AA242" s="298">
        <f t="shared" si="135"/>
        <v>0.90384615384615374</v>
      </c>
      <c r="AB242" s="298">
        <f t="shared" si="135"/>
        <v>0.90346666666666664</v>
      </c>
      <c r="AC242" s="298">
        <f t="shared" si="135"/>
        <v>0.90368421052631587</v>
      </c>
      <c r="AD242" s="259">
        <f t="shared" si="135"/>
        <v>0.90391061452513966</v>
      </c>
      <c r="AE242" s="259">
        <f t="shared" si="135"/>
        <v>0.90521329972050113</v>
      </c>
      <c r="AF242" s="259">
        <f t="shared" si="135"/>
        <v>0.90519404687810989</v>
      </c>
      <c r="AG242" s="259">
        <f t="shared" si="135"/>
        <v>0.90475243998340271</v>
      </c>
      <c r="AH242" s="259">
        <f t="shared" si="135"/>
        <v>0.90397121507063338</v>
      </c>
    </row>
    <row r="243" spans="1:34">
      <c r="A243" s="240" t="s">
        <v>232</v>
      </c>
      <c r="B243" s="298">
        <f t="shared" si="135"/>
        <v>0.79833926453143533</v>
      </c>
      <c r="C243" s="298">
        <f t="shared" si="135"/>
        <v>0.80786516853932577</v>
      </c>
      <c r="D243" s="298">
        <f t="shared" si="135"/>
        <v>0.80810810810810807</v>
      </c>
      <c r="E243" s="298">
        <f t="shared" si="135"/>
        <v>0.7822277847309137</v>
      </c>
      <c r="F243" s="298">
        <f t="shared" si="135"/>
        <v>0.77671232876712326</v>
      </c>
      <c r="G243" s="298">
        <f t="shared" si="135"/>
        <v>0.76139088729016791</v>
      </c>
      <c r="H243" s="298">
        <f t="shared" si="135"/>
        <v>0.76555555555555554</v>
      </c>
      <c r="I243" s="298">
        <f t="shared" si="135"/>
        <v>0.89684210526315788</v>
      </c>
      <c r="J243" s="298">
        <f t="shared" si="135"/>
        <v>0.89999999999999991</v>
      </c>
      <c r="K243" s="298">
        <f t="shared" si="135"/>
        <v>0.89895470383275256</v>
      </c>
      <c r="L243" s="298">
        <f t="shared" si="135"/>
        <v>0.89873417721518989</v>
      </c>
      <c r="M243" s="298">
        <f t="shared" si="135"/>
        <v>0.89625360230547557</v>
      </c>
      <c r="N243" s="298">
        <f t="shared" si="135"/>
        <v>0.89552238805970141</v>
      </c>
      <c r="O243" s="298">
        <f t="shared" si="135"/>
        <v>0.9042553191489362</v>
      </c>
      <c r="P243" s="298">
        <f t="shared" si="135"/>
        <v>0.9065934065934067</v>
      </c>
      <c r="Q243" s="298">
        <f t="shared" si="135"/>
        <v>0.9058956916099774</v>
      </c>
      <c r="R243" s="298">
        <f t="shared" si="135"/>
        <v>0.9039735099337749</v>
      </c>
      <c r="S243" s="298">
        <f t="shared" si="135"/>
        <v>0.90421052631578946</v>
      </c>
      <c r="T243" s="298">
        <f t="shared" si="135"/>
        <v>0.90256410256410258</v>
      </c>
      <c r="U243" s="298">
        <f t="shared" si="135"/>
        <v>0.90375939849624065</v>
      </c>
      <c r="V243" s="298">
        <f t="shared" si="135"/>
        <v>0.90384615384615374</v>
      </c>
      <c r="W243" s="298">
        <f t="shared" si="135"/>
        <v>0.90384615384615374</v>
      </c>
      <c r="X243" s="298">
        <f t="shared" si="135"/>
        <v>0.90357142857142869</v>
      </c>
      <c r="Y243" s="298">
        <f t="shared" si="135"/>
        <v>0.90352941176470591</v>
      </c>
      <c r="Z243" s="298">
        <f t="shared" si="135"/>
        <v>0.90333333333333332</v>
      </c>
      <c r="AA243" s="298">
        <f t="shared" si="135"/>
        <v>0.90384615384615374</v>
      </c>
      <c r="AB243" s="298">
        <f t="shared" si="135"/>
        <v>0.90346666666666664</v>
      </c>
      <c r="AC243" s="298">
        <f t="shared" si="135"/>
        <v>0.90368421052631587</v>
      </c>
      <c r="AD243" s="259">
        <f t="shared" si="135"/>
        <v>0.90391061452513966</v>
      </c>
      <c r="AE243" s="259">
        <f t="shared" si="135"/>
        <v>0.90521329972050113</v>
      </c>
      <c r="AF243" s="259">
        <f t="shared" si="135"/>
        <v>0.90519404687810989</v>
      </c>
      <c r="AG243" s="259">
        <f t="shared" si="135"/>
        <v>0.90475243998340271</v>
      </c>
      <c r="AH243" s="259">
        <f t="shared" si="135"/>
        <v>0.90397121507063338</v>
      </c>
    </row>
    <row r="244" spans="1:34">
      <c r="A244" s="240" t="s">
        <v>233</v>
      </c>
      <c r="B244" s="298">
        <f t="shared" si="135"/>
        <v>0.79833926453143533</v>
      </c>
      <c r="C244" s="298">
        <f t="shared" si="135"/>
        <v>0.80786516853932577</v>
      </c>
      <c r="D244" s="298">
        <f t="shared" si="135"/>
        <v>0.80810810810810807</v>
      </c>
      <c r="E244" s="298">
        <f t="shared" si="135"/>
        <v>0.7822277847309137</v>
      </c>
      <c r="F244" s="298">
        <f t="shared" si="135"/>
        <v>0.77671232876712326</v>
      </c>
      <c r="G244" s="298">
        <f t="shared" si="135"/>
        <v>0.76139088729016791</v>
      </c>
      <c r="H244" s="298">
        <f t="shared" si="135"/>
        <v>0.76555555555555554</v>
      </c>
      <c r="I244" s="298">
        <f t="shared" si="135"/>
        <v>0.89684210526315788</v>
      </c>
      <c r="J244" s="298">
        <f t="shared" si="135"/>
        <v>0.89999999999999991</v>
      </c>
      <c r="K244" s="298">
        <f t="shared" si="135"/>
        <v>0.89895470383275256</v>
      </c>
      <c r="L244" s="298">
        <f t="shared" si="135"/>
        <v>0.89873417721518989</v>
      </c>
      <c r="M244" s="298">
        <f t="shared" si="135"/>
        <v>0.89625360230547557</v>
      </c>
      <c r="N244" s="298">
        <f t="shared" si="135"/>
        <v>0.89552238805970141</v>
      </c>
      <c r="O244" s="298">
        <f t="shared" si="135"/>
        <v>0.9042553191489362</v>
      </c>
      <c r="P244" s="298">
        <f t="shared" si="135"/>
        <v>0.9065934065934067</v>
      </c>
      <c r="Q244" s="298">
        <f t="shared" si="135"/>
        <v>0.9058956916099774</v>
      </c>
      <c r="R244" s="298">
        <f t="shared" si="135"/>
        <v>0.9039735099337749</v>
      </c>
      <c r="S244" s="298">
        <f t="shared" si="135"/>
        <v>0.90421052631578946</v>
      </c>
      <c r="T244" s="298">
        <f t="shared" si="135"/>
        <v>0.90256410256410258</v>
      </c>
      <c r="U244" s="298">
        <f t="shared" si="135"/>
        <v>0.90375939849624065</v>
      </c>
      <c r="V244" s="298">
        <f t="shared" si="135"/>
        <v>0.90384615384615374</v>
      </c>
      <c r="W244" s="298">
        <f t="shared" si="135"/>
        <v>0.90384615384615374</v>
      </c>
      <c r="X244" s="298">
        <f t="shared" si="135"/>
        <v>0.90357142857142869</v>
      </c>
      <c r="Y244" s="298">
        <f t="shared" si="135"/>
        <v>0.90352941176470569</v>
      </c>
      <c r="Z244" s="298">
        <f t="shared" si="135"/>
        <v>0.90333333333333332</v>
      </c>
      <c r="AA244" s="298">
        <f t="shared" si="135"/>
        <v>0.90384615384615374</v>
      </c>
      <c r="AB244" s="298">
        <f t="shared" si="135"/>
        <v>0.90346666666666664</v>
      </c>
      <c r="AC244" s="298">
        <f t="shared" si="135"/>
        <v>0.90368421052631587</v>
      </c>
      <c r="AD244" s="259">
        <f t="shared" si="135"/>
        <v>0.90391061452513966</v>
      </c>
      <c r="AE244" s="259">
        <f t="shared" si="135"/>
        <v>0.90521329972050113</v>
      </c>
      <c r="AF244" s="259">
        <f t="shared" si="135"/>
        <v>0.90519404687810989</v>
      </c>
      <c r="AG244" s="259">
        <f t="shared" si="135"/>
        <v>0.90475243998340271</v>
      </c>
      <c r="AH244" s="259">
        <f t="shared" si="135"/>
        <v>0.90397121507063338</v>
      </c>
    </row>
    <row r="245" spans="1:34">
      <c r="A245" s="240" t="s">
        <v>234</v>
      </c>
      <c r="B245" s="298">
        <f t="shared" si="135"/>
        <v>0.79833926453143533</v>
      </c>
      <c r="C245" s="298">
        <f t="shared" si="135"/>
        <v>0.80786516853932577</v>
      </c>
      <c r="D245" s="298">
        <f t="shared" si="135"/>
        <v>0.80810810810810807</v>
      </c>
      <c r="E245" s="298">
        <f t="shared" si="135"/>
        <v>0.7822277847309137</v>
      </c>
      <c r="F245" s="298">
        <f t="shared" si="135"/>
        <v>0.77671232876712326</v>
      </c>
      <c r="G245" s="298">
        <f t="shared" si="135"/>
        <v>0.76139088729016791</v>
      </c>
      <c r="H245" s="298">
        <f t="shared" si="135"/>
        <v>0.76555555555555554</v>
      </c>
      <c r="I245" s="298">
        <f t="shared" si="135"/>
        <v>0.89684210526315788</v>
      </c>
      <c r="J245" s="298">
        <f t="shared" si="135"/>
        <v>0.89999999999999991</v>
      </c>
      <c r="K245" s="298">
        <f t="shared" si="135"/>
        <v>0.89895470383275256</v>
      </c>
      <c r="L245" s="298">
        <f t="shared" si="135"/>
        <v>0.89873417721518989</v>
      </c>
      <c r="M245" s="298">
        <f t="shared" si="135"/>
        <v>0.89625360230547557</v>
      </c>
      <c r="N245" s="298">
        <f t="shared" si="135"/>
        <v>0.89552238805970141</v>
      </c>
      <c r="O245" s="298">
        <f t="shared" si="135"/>
        <v>0.9042553191489362</v>
      </c>
      <c r="P245" s="298">
        <f t="shared" si="135"/>
        <v>0.9065934065934067</v>
      </c>
      <c r="Q245" s="298">
        <f t="shared" si="135"/>
        <v>0.9058956916099774</v>
      </c>
      <c r="R245" s="298">
        <f t="shared" si="135"/>
        <v>0.9039735099337749</v>
      </c>
      <c r="S245" s="298">
        <f t="shared" si="135"/>
        <v>0.90421052631578946</v>
      </c>
      <c r="T245" s="298">
        <f t="shared" si="135"/>
        <v>0.90256410256410258</v>
      </c>
      <c r="U245" s="298">
        <f t="shared" si="135"/>
        <v>0.90375939849624065</v>
      </c>
      <c r="V245" s="298">
        <f t="shared" si="135"/>
        <v>0.90384615384615374</v>
      </c>
      <c r="W245" s="298">
        <f t="shared" si="135"/>
        <v>0.90384615384615374</v>
      </c>
      <c r="X245" s="298">
        <f t="shared" si="135"/>
        <v>0.90357142857142869</v>
      </c>
      <c r="Y245" s="298">
        <f t="shared" si="135"/>
        <v>0.90352941176470591</v>
      </c>
      <c r="Z245" s="298">
        <f t="shared" si="135"/>
        <v>0.90333333333333332</v>
      </c>
      <c r="AA245" s="298">
        <f t="shared" si="135"/>
        <v>0.90384615384615374</v>
      </c>
      <c r="AB245" s="298">
        <f t="shared" si="135"/>
        <v>0.90346666666666664</v>
      </c>
      <c r="AC245" s="298">
        <f t="shared" si="135"/>
        <v>0.90368421052631587</v>
      </c>
      <c r="AD245" s="259">
        <f t="shared" si="135"/>
        <v>0.90391061452513966</v>
      </c>
      <c r="AE245" s="259">
        <f t="shared" si="135"/>
        <v>0.90521329972050113</v>
      </c>
      <c r="AF245" s="259">
        <f t="shared" si="135"/>
        <v>0.90519404687810989</v>
      </c>
      <c r="AG245" s="259">
        <f t="shared" si="135"/>
        <v>0.90475243998340271</v>
      </c>
      <c r="AH245" s="259">
        <f t="shared" si="135"/>
        <v>0.90397121507063338</v>
      </c>
    </row>
    <row r="246" spans="1:34">
      <c r="A246" s="240" t="s">
        <v>46</v>
      </c>
      <c r="B246" s="298">
        <f t="shared" si="135"/>
        <v>0.79833926453143533</v>
      </c>
      <c r="C246" s="298">
        <f t="shared" si="135"/>
        <v>0.80786516853932577</v>
      </c>
      <c r="D246" s="298">
        <f t="shared" si="135"/>
        <v>0.80810810810810807</v>
      </c>
      <c r="E246" s="298">
        <f t="shared" si="135"/>
        <v>0.7822277847309137</v>
      </c>
      <c r="F246" s="298">
        <f t="shared" si="135"/>
        <v>0.77671232876712326</v>
      </c>
      <c r="G246" s="298">
        <f t="shared" si="135"/>
        <v>0.76139088729016791</v>
      </c>
      <c r="H246" s="298">
        <f t="shared" si="135"/>
        <v>0.76555555555555554</v>
      </c>
      <c r="I246" s="298">
        <f t="shared" si="135"/>
        <v>0.89684210526315788</v>
      </c>
      <c r="J246" s="298">
        <f t="shared" si="135"/>
        <v>0.89999999999999991</v>
      </c>
      <c r="K246" s="298">
        <f t="shared" si="135"/>
        <v>0.89895470383275256</v>
      </c>
      <c r="L246" s="298">
        <f t="shared" si="135"/>
        <v>0.89873417721518989</v>
      </c>
      <c r="M246" s="298">
        <f t="shared" si="135"/>
        <v>0.89625360230547557</v>
      </c>
      <c r="N246" s="298">
        <f t="shared" si="135"/>
        <v>0.89552238805970141</v>
      </c>
      <c r="O246" s="298">
        <f t="shared" si="135"/>
        <v>0.9042553191489362</v>
      </c>
      <c r="P246" s="298">
        <f t="shared" si="135"/>
        <v>0.9065934065934067</v>
      </c>
      <c r="Q246" s="298">
        <f t="shared" si="135"/>
        <v>0.9058956916099774</v>
      </c>
      <c r="R246" s="298">
        <f t="shared" si="135"/>
        <v>0.9039735099337749</v>
      </c>
      <c r="S246" s="298">
        <f t="shared" si="135"/>
        <v>0.90421052631578946</v>
      </c>
      <c r="T246" s="298">
        <f t="shared" si="135"/>
        <v>0.90256410256410258</v>
      </c>
      <c r="U246" s="298">
        <f t="shared" si="135"/>
        <v>0.90375939849624065</v>
      </c>
      <c r="V246" s="298">
        <f t="shared" si="135"/>
        <v>0.90384615384615374</v>
      </c>
      <c r="W246" s="298">
        <f t="shared" si="135"/>
        <v>0.90384615384615374</v>
      </c>
      <c r="X246" s="298">
        <f t="shared" si="135"/>
        <v>0.90357142857142869</v>
      </c>
      <c r="Y246" s="298">
        <f t="shared" si="135"/>
        <v>0.90352941176470591</v>
      </c>
      <c r="Z246" s="298">
        <f t="shared" ref="Z246:AH251" si="136">Z230+Z119</f>
        <v>0.90333333333333332</v>
      </c>
      <c r="AA246" s="298">
        <f t="shared" si="136"/>
        <v>0.90384615384615374</v>
      </c>
      <c r="AB246" s="298">
        <f t="shared" si="136"/>
        <v>0.90346666666666664</v>
      </c>
      <c r="AC246" s="298">
        <f t="shared" si="136"/>
        <v>0.90368421052631587</v>
      </c>
      <c r="AD246" s="259">
        <f t="shared" si="136"/>
        <v>0.90391061452513966</v>
      </c>
      <c r="AE246" s="259">
        <f t="shared" si="136"/>
        <v>0.90521329972050113</v>
      </c>
      <c r="AF246" s="259">
        <f t="shared" si="136"/>
        <v>0.90519404687810989</v>
      </c>
      <c r="AG246" s="259">
        <f t="shared" si="136"/>
        <v>0.90475243998340271</v>
      </c>
      <c r="AH246" s="259">
        <f t="shared" si="136"/>
        <v>0.90397121507063338</v>
      </c>
    </row>
    <row r="247" spans="1:34">
      <c r="A247" s="240" t="s">
        <v>235</v>
      </c>
      <c r="B247" s="298">
        <f t="shared" ref="B247:AC251" si="137">B231+B120</f>
        <v>0.79833926453143533</v>
      </c>
      <c r="C247" s="298">
        <f t="shared" si="137"/>
        <v>0.80786516853932577</v>
      </c>
      <c r="D247" s="298">
        <f t="shared" si="137"/>
        <v>0.80810810810810807</v>
      </c>
      <c r="E247" s="298">
        <f t="shared" si="137"/>
        <v>0.7822277847309137</v>
      </c>
      <c r="F247" s="298">
        <f t="shared" si="137"/>
        <v>0.77671232876712326</v>
      </c>
      <c r="G247" s="298">
        <f t="shared" si="137"/>
        <v>0.76139088729016791</v>
      </c>
      <c r="H247" s="298">
        <f t="shared" si="137"/>
        <v>0.76555555555555554</v>
      </c>
      <c r="I247" s="298">
        <f t="shared" si="137"/>
        <v>0.89684210526315788</v>
      </c>
      <c r="J247" s="298">
        <f t="shared" si="137"/>
        <v>0.89999999999999991</v>
      </c>
      <c r="K247" s="298">
        <f t="shared" si="137"/>
        <v>0.89895470383275256</v>
      </c>
      <c r="L247" s="298">
        <f t="shared" si="137"/>
        <v>0.89873417721518989</v>
      </c>
      <c r="M247" s="298">
        <f t="shared" si="137"/>
        <v>0.89625360230547557</v>
      </c>
      <c r="N247" s="298">
        <f t="shared" si="137"/>
        <v>0.89552238805970141</v>
      </c>
      <c r="O247" s="298">
        <f t="shared" si="137"/>
        <v>0.9042553191489362</v>
      </c>
      <c r="P247" s="298">
        <f t="shared" si="137"/>
        <v>0.9065934065934067</v>
      </c>
      <c r="Q247" s="298">
        <f t="shared" si="137"/>
        <v>0.9058956916099774</v>
      </c>
      <c r="R247" s="298">
        <f t="shared" si="137"/>
        <v>0.9039735099337749</v>
      </c>
      <c r="S247" s="298">
        <f t="shared" si="137"/>
        <v>0.90421052631578946</v>
      </c>
      <c r="T247" s="298">
        <f t="shared" si="137"/>
        <v>0.90256410256410258</v>
      </c>
      <c r="U247" s="298">
        <f t="shared" si="137"/>
        <v>0.90375939849624065</v>
      </c>
      <c r="V247" s="298">
        <f t="shared" si="137"/>
        <v>0.90384615384615374</v>
      </c>
      <c r="W247" s="298">
        <f t="shared" si="137"/>
        <v>0.90384615384615374</v>
      </c>
      <c r="X247" s="298">
        <f t="shared" si="137"/>
        <v>0.90357142857142869</v>
      </c>
      <c r="Y247" s="298">
        <f t="shared" si="137"/>
        <v>0.90352941176470591</v>
      </c>
      <c r="Z247" s="298">
        <f t="shared" si="136"/>
        <v>0.90333333333333332</v>
      </c>
      <c r="AA247" s="298">
        <f t="shared" si="136"/>
        <v>0.90384615384615374</v>
      </c>
      <c r="AB247" s="298">
        <f t="shared" si="136"/>
        <v>0.90346666666666664</v>
      </c>
      <c r="AC247" s="259">
        <f t="shared" si="137"/>
        <v>0.90368421052631587</v>
      </c>
      <c r="AD247" s="259">
        <f t="shared" si="136"/>
        <v>0.90391061452513966</v>
      </c>
      <c r="AE247" s="259">
        <f t="shared" si="136"/>
        <v>0.90521329972050113</v>
      </c>
      <c r="AF247" s="259">
        <f t="shared" si="136"/>
        <v>0.90519404687810989</v>
      </c>
      <c r="AG247" s="259">
        <f t="shared" si="136"/>
        <v>0.90475243998340271</v>
      </c>
      <c r="AH247" s="259">
        <f t="shared" si="136"/>
        <v>0.90397121507063338</v>
      </c>
    </row>
    <row r="248" spans="1:34">
      <c r="A248" s="240" t="s">
        <v>236</v>
      </c>
      <c r="B248" s="298">
        <f t="shared" si="137"/>
        <v>0.79833926453143533</v>
      </c>
      <c r="C248" s="298">
        <f t="shared" si="137"/>
        <v>0.80786516853932577</v>
      </c>
      <c r="D248" s="298">
        <f t="shared" si="137"/>
        <v>0.80810810810810807</v>
      </c>
      <c r="E248" s="298">
        <f t="shared" si="137"/>
        <v>0.7822277847309137</v>
      </c>
      <c r="F248" s="298">
        <f t="shared" si="137"/>
        <v>0.77671232876712326</v>
      </c>
      <c r="G248" s="298">
        <f t="shared" si="137"/>
        <v>0.76139088729016791</v>
      </c>
      <c r="H248" s="298">
        <f t="shared" si="137"/>
        <v>0.76555555555555554</v>
      </c>
      <c r="I248" s="298">
        <f t="shared" si="137"/>
        <v>0.89684210526315788</v>
      </c>
      <c r="J248" s="298">
        <f t="shared" si="137"/>
        <v>0.89999999999999991</v>
      </c>
      <c r="K248" s="298">
        <f t="shared" si="137"/>
        <v>0.89895470383275256</v>
      </c>
      <c r="L248" s="298">
        <f t="shared" si="137"/>
        <v>0.89873417721518989</v>
      </c>
      <c r="M248" s="298">
        <f t="shared" si="137"/>
        <v>0.89625360230547557</v>
      </c>
      <c r="N248" s="298">
        <f t="shared" si="137"/>
        <v>0.89552238805970141</v>
      </c>
      <c r="O248" s="298">
        <f t="shared" si="137"/>
        <v>0.9042553191489362</v>
      </c>
      <c r="P248" s="298">
        <f t="shared" si="137"/>
        <v>0.9065934065934067</v>
      </c>
      <c r="Q248" s="298">
        <f t="shared" si="137"/>
        <v>0.9058956916099774</v>
      </c>
      <c r="R248" s="298">
        <f t="shared" si="137"/>
        <v>0.9039735099337749</v>
      </c>
      <c r="S248" s="298">
        <f t="shared" si="137"/>
        <v>0.90421052631578946</v>
      </c>
      <c r="T248" s="298">
        <f t="shared" si="137"/>
        <v>0.90256410256410258</v>
      </c>
      <c r="U248" s="298">
        <f t="shared" si="137"/>
        <v>0.90375939849624065</v>
      </c>
      <c r="V248" s="298">
        <f t="shared" si="137"/>
        <v>0.90384615384615374</v>
      </c>
      <c r="W248" s="298">
        <f t="shared" si="137"/>
        <v>0.90384615384615374</v>
      </c>
      <c r="X248" s="298">
        <f t="shared" si="137"/>
        <v>0.90357142857142869</v>
      </c>
      <c r="Y248" s="298">
        <f t="shared" si="137"/>
        <v>0.90352941176470591</v>
      </c>
      <c r="Z248" s="298">
        <f t="shared" si="136"/>
        <v>0.90333333333333332</v>
      </c>
      <c r="AA248" s="298">
        <f t="shared" si="136"/>
        <v>0.90384615384615374</v>
      </c>
      <c r="AB248" s="298">
        <f t="shared" si="136"/>
        <v>0.90346666666666664</v>
      </c>
      <c r="AC248" s="259">
        <f t="shared" si="137"/>
        <v>0.90368421052631587</v>
      </c>
      <c r="AD248" s="259">
        <f t="shared" si="136"/>
        <v>0.90391061452513966</v>
      </c>
      <c r="AE248" s="259">
        <f t="shared" si="136"/>
        <v>0.90521329972050113</v>
      </c>
      <c r="AF248" s="259">
        <f t="shared" si="136"/>
        <v>0.90519404687810989</v>
      </c>
      <c r="AG248" s="259">
        <f t="shared" si="136"/>
        <v>0.90475243998340271</v>
      </c>
      <c r="AH248" s="259">
        <f t="shared" si="136"/>
        <v>0.90397121507063338</v>
      </c>
    </row>
    <row r="249" spans="1:34">
      <c r="A249" s="240" t="s">
        <v>237</v>
      </c>
      <c r="B249" s="298">
        <f t="shared" si="137"/>
        <v>0.79833926453143533</v>
      </c>
      <c r="C249" s="298">
        <f t="shared" si="137"/>
        <v>0.80786516853932577</v>
      </c>
      <c r="D249" s="298">
        <f t="shared" si="137"/>
        <v>0.80810810810810807</v>
      </c>
      <c r="E249" s="298">
        <f t="shared" si="137"/>
        <v>0.7822277847309137</v>
      </c>
      <c r="F249" s="298">
        <f t="shared" si="137"/>
        <v>0.77671232876712326</v>
      </c>
      <c r="G249" s="298">
        <f t="shared" si="137"/>
        <v>0.76139088729016791</v>
      </c>
      <c r="H249" s="298">
        <f t="shared" si="137"/>
        <v>0.76555555555555554</v>
      </c>
      <c r="I249" s="298">
        <f t="shared" si="137"/>
        <v>0.89684210526315788</v>
      </c>
      <c r="J249" s="298">
        <f t="shared" si="137"/>
        <v>0.89999999999999991</v>
      </c>
      <c r="K249" s="298">
        <f t="shared" si="137"/>
        <v>0.89895470383275256</v>
      </c>
      <c r="L249" s="298">
        <f t="shared" si="137"/>
        <v>0.89873417721518989</v>
      </c>
      <c r="M249" s="298">
        <f t="shared" si="137"/>
        <v>0.89625360230547557</v>
      </c>
      <c r="N249" s="298">
        <f t="shared" si="137"/>
        <v>0.89552238805970141</v>
      </c>
      <c r="O249" s="298">
        <f t="shared" si="137"/>
        <v>0.9042553191489362</v>
      </c>
      <c r="P249" s="298">
        <f t="shared" si="137"/>
        <v>0.9065934065934067</v>
      </c>
      <c r="Q249" s="298">
        <f t="shared" si="137"/>
        <v>0.9058956916099774</v>
      </c>
      <c r="R249" s="298">
        <f t="shared" si="137"/>
        <v>0.9039735099337749</v>
      </c>
      <c r="S249" s="298">
        <f t="shared" si="137"/>
        <v>0.90421052631578946</v>
      </c>
      <c r="T249" s="298">
        <f t="shared" si="137"/>
        <v>0.90256410256410258</v>
      </c>
      <c r="U249" s="298">
        <f t="shared" si="137"/>
        <v>0.90375939849624065</v>
      </c>
      <c r="V249" s="298">
        <f t="shared" si="137"/>
        <v>0.90384615384615374</v>
      </c>
      <c r="W249" s="298">
        <f t="shared" si="137"/>
        <v>0.90384615384615374</v>
      </c>
      <c r="X249" s="298">
        <f t="shared" si="137"/>
        <v>0.90357142857142869</v>
      </c>
      <c r="Y249" s="298">
        <f t="shared" si="137"/>
        <v>0.90352941176470591</v>
      </c>
      <c r="Z249" s="298">
        <f t="shared" si="136"/>
        <v>0.90333333333333332</v>
      </c>
      <c r="AA249" s="298">
        <f t="shared" si="136"/>
        <v>0.90384615384615374</v>
      </c>
      <c r="AB249" s="298">
        <f t="shared" si="136"/>
        <v>0.90346666666666664</v>
      </c>
      <c r="AC249" s="259">
        <f t="shared" si="137"/>
        <v>0.90368421052631587</v>
      </c>
      <c r="AD249" s="259">
        <f t="shared" si="136"/>
        <v>0.90391061452513966</v>
      </c>
      <c r="AE249" s="259">
        <f t="shared" si="136"/>
        <v>0.90521329972050113</v>
      </c>
      <c r="AF249" s="259">
        <f t="shared" si="136"/>
        <v>0.90519404687810989</v>
      </c>
      <c r="AG249" s="259">
        <f t="shared" si="136"/>
        <v>0.90475243998340271</v>
      </c>
      <c r="AH249" s="259">
        <f t="shared" si="136"/>
        <v>0.90397121507063338</v>
      </c>
    </row>
    <row r="250" spans="1:34">
      <c r="A250" s="240" t="s">
        <v>238</v>
      </c>
      <c r="B250" s="298">
        <f t="shared" si="137"/>
        <v>0.79833926453143533</v>
      </c>
      <c r="C250" s="298">
        <f t="shared" si="137"/>
        <v>0.80786516853932577</v>
      </c>
      <c r="D250" s="298">
        <f t="shared" si="137"/>
        <v>0.80810810810810807</v>
      </c>
      <c r="E250" s="298">
        <f t="shared" si="137"/>
        <v>0.7822277847309137</v>
      </c>
      <c r="F250" s="298">
        <f t="shared" si="137"/>
        <v>0.77671232876712326</v>
      </c>
      <c r="G250" s="298">
        <f t="shared" si="137"/>
        <v>0.76139088729016791</v>
      </c>
      <c r="H250" s="298">
        <f t="shared" si="137"/>
        <v>0.76555555555555554</v>
      </c>
      <c r="I250" s="298">
        <f t="shared" si="137"/>
        <v>0.89684210526315788</v>
      </c>
      <c r="J250" s="298">
        <f t="shared" si="137"/>
        <v>0.89999999999999991</v>
      </c>
      <c r="K250" s="298">
        <f t="shared" si="137"/>
        <v>0.89895470383275256</v>
      </c>
      <c r="L250" s="298">
        <f t="shared" si="137"/>
        <v>0.89873417721518989</v>
      </c>
      <c r="M250" s="298">
        <f t="shared" si="137"/>
        <v>0.89625360230547557</v>
      </c>
      <c r="N250" s="298">
        <f t="shared" si="137"/>
        <v>0.89552238805970141</v>
      </c>
      <c r="O250" s="298">
        <f t="shared" si="137"/>
        <v>0.9042553191489362</v>
      </c>
      <c r="P250" s="298">
        <f t="shared" si="137"/>
        <v>0.9065934065934067</v>
      </c>
      <c r="Q250" s="298">
        <f t="shared" si="137"/>
        <v>0.9058956916099774</v>
      </c>
      <c r="R250" s="298">
        <f t="shared" si="137"/>
        <v>0.9039735099337749</v>
      </c>
      <c r="S250" s="298">
        <f t="shared" si="137"/>
        <v>0.90421052631578946</v>
      </c>
      <c r="T250" s="298">
        <f t="shared" si="137"/>
        <v>0.90256410256410258</v>
      </c>
      <c r="U250" s="298">
        <f t="shared" si="137"/>
        <v>0.90375939849624065</v>
      </c>
      <c r="V250" s="298">
        <f t="shared" si="137"/>
        <v>0.90384615384615374</v>
      </c>
      <c r="W250" s="298">
        <f t="shared" si="137"/>
        <v>0.90384615384615374</v>
      </c>
      <c r="X250" s="298">
        <f t="shared" si="137"/>
        <v>0.90357142857142869</v>
      </c>
      <c r="Y250" s="298">
        <f t="shared" si="137"/>
        <v>0.90352941176470591</v>
      </c>
      <c r="Z250" s="298">
        <f t="shared" si="136"/>
        <v>0.90333333333333332</v>
      </c>
      <c r="AA250" s="298">
        <f t="shared" si="136"/>
        <v>0.90384615384615374</v>
      </c>
      <c r="AB250" s="298">
        <f t="shared" si="136"/>
        <v>0.90346666666666664</v>
      </c>
      <c r="AC250" s="259">
        <f t="shared" si="137"/>
        <v>0.90368421052631587</v>
      </c>
      <c r="AD250" s="259">
        <f t="shared" si="136"/>
        <v>0.90391061452513966</v>
      </c>
      <c r="AE250" s="259">
        <f t="shared" si="136"/>
        <v>0.90521329972050113</v>
      </c>
      <c r="AF250" s="259">
        <f t="shared" si="136"/>
        <v>0.90519404687810989</v>
      </c>
      <c r="AG250" s="259">
        <f t="shared" si="136"/>
        <v>0.90475243998340271</v>
      </c>
      <c r="AH250" s="259">
        <f t="shared" si="136"/>
        <v>0.90397121507063338</v>
      </c>
    </row>
    <row r="251" spans="1:34" ht="15.75" thickBot="1">
      <c r="A251" s="240" t="s">
        <v>255</v>
      </c>
      <c r="B251" s="258">
        <f>B235+B124</f>
        <v>0.79833926453143533</v>
      </c>
      <c r="C251" s="258">
        <f t="shared" si="137"/>
        <v>0.80786516853932577</v>
      </c>
      <c r="D251" s="258">
        <f t="shared" si="137"/>
        <v>0.80810810810810807</v>
      </c>
      <c r="E251" s="258">
        <f t="shared" si="137"/>
        <v>0.7822277847309137</v>
      </c>
      <c r="F251" s="258">
        <f t="shared" si="137"/>
        <v>0.77671232876712326</v>
      </c>
      <c r="G251" s="258">
        <f t="shared" si="137"/>
        <v>0.76139088729016791</v>
      </c>
      <c r="H251" s="258">
        <f t="shared" si="137"/>
        <v>0.76555555555555554</v>
      </c>
      <c r="I251" s="258">
        <f t="shared" si="137"/>
        <v>0.89684210526315788</v>
      </c>
      <c r="J251" s="258">
        <f t="shared" si="137"/>
        <v>0.89999999999999991</v>
      </c>
      <c r="K251" s="258">
        <f t="shared" si="137"/>
        <v>0.89895470383275256</v>
      </c>
      <c r="L251" s="258">
        <f t="shared" si="137"/>
        <v>0.89873417721518989</v>
      </c>
      <c r="M251" s="258">
        <f t="shared" si="137"/>
        <v>0.89625360230547557</v>
      </c>
      <c r="N251" s="258">
        <f t="shared" si="137"/>
        <v>0.89552238805970141</v>
      </c>
      <c r="O251" s="258">
        <f t="shared" si="137"/>
        <v>0.9042553191489362</v>
      </c>
      <c r="P251" s="258">
        <f t="shared" si="137"/>
        <v>0.9065934065934067</v>
      </c>
      <c r="Q251" s="258">
        <f t="shared" si="137"/>
        <v>0.9058956916099774</v>
      </c>
      <c r="R251" s="258">
        <f t="shared" si="137"/>
        <v>0.9039735099337749</v>
      </c>
      <c r="S251" s="258">
        <f t="shared" si="137"/>
        <v>0.90421052631578946</v>
      </c>
      <c r="T251" s="258">
        <f t="shared" si="137"/>
        <v>0.90256410256410258</v>
      </c>
      <c r="U251" s="258">
        <f t="shared" si="137"/>
        <v>0.90375939849624065</v>
      </c>
      <c r="V251" s="258">
        <f t="shared" si="137"/>
        <v>0.90384615384615374</v>
      </c>
      <c r="W251" s="258">
        <f t="shared" si="137"/>
        <v>0.90384615384615374</v>
      </c>
      <c r="X251" s="258">
        <f t="shared" si="137"/>
        <v>0.90357142857142869</v>
      </c>
      <c r="Y251" s="258">
        <f t="shared" si="137"/>
        <v>0.90352941176470591</v>
      </c>
      <c r="Z251" s="258">
        <f t="shared" si="137"/>
        <v>0.90333333333333332</v>
      </c>
      <c r="AA251" s="258">
        <f t="shared" si="137"/>
        <v>0.90384615384615374</v>
      </c>
      <c r="AB251" s="258">
        <f t="shared" si="137"/>
        <v>0.90346666666666664</v>
      </c>
      <c r="AC251" s="259">
        <f t="shared" si="137"/>
        <v>0.90368421052631587</v>
      </c>
      <c r="AD251" s="259">
        <f t="shared" si="136"/>
        <v>0.90391061452513966</v>
      </c>
      <c r="AE251" s="259">
        <f t="shared" si="136"/>
        <v>0.90521329972050113</v>
      </c>
      <c r="AF251" s="259">
        <f t="shared" si="136"/>
        <v>0.90519404687810989</v>
      </c>
      <c r="AG251" s="259">
        <f t="shared" si="136"/>
        <v>0.90475243998340271</v>
      </c>
      <c r="AH251" s="259">
        <f t="shared" si="136"/>
        <v>0.90397121507063338</v>
      </c>
    </row>
    <row r="252" spans="1:34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  <c r="AD252" s="248"/>
      <c r="AE252" s="248"/>
      <c r="AF252" s="248"/>
      <c r="AG252" s="248"/>
      <c r="AH252" s="248"/>
    </row>
    <row r="253" spans="1:34" ht="15.75" thickBot="1">
      <c r="A253" s="235" t="s">
        <v>265</v>
      </c>
    </row>
    <row r="254" spans="1:34" ht="15.75" thickBot="1">
      <c r="A254" s="236"/>
      <c r="B254" s="237" t="str">
        <f>B$2</f>
        <v xml:space="preserve">93/94 </v>
      </c>
      <c r="C254" s="237" t="str">
        <f t="shared" ref="C254:AH254" si="138">C$2</f>
        <v xml:space="preserve">94/95 </v>
      </c>
      <c r="D254" s="237" t="str">
        <f t="shared" si="138"/>
        <v xml:space="preserve">95/96 </v>
      </c>
      <c r="E254" s="237" t="str">
        <f t="shared" si="138"/>
        <v xml:space="preserve">96/97 </v>
      </c>
      <c r="F254" s="237" t="str">
        <f t="shared" si="138"/>
        <v xml:space="preserve">97/98 </v>
      </c>
      <c r="G254" s="237" t="str">
        <f t="shared" si="138"/>
        <v xml:space="preserve">98/99 </v>
      </c>
      <c r="H254" s="237" t="str">
        <f t="shared" si="138"/>
        <v xml:space="preserve">99/00 </v>
      </c>
      <c r="I254" s="237" t="str">
        <f t="shared" si="138"/>
        <v xml:space="preserve">00/01 </v>
      </c>
      <c r="J254" s="237" t="str">
        <f t="shared" si="138"/>
        <v xml:space="preserve">01/02 </v>
      </c>
      <c r="K254" s="237" t="str">
        <f t="shared" si="138"/>
        <v xml:space="preserve">02/03 </v>
      </c>
      <c r="L254" s="237" t="str">
        <f t="shared" si="138"/>
        <v xml:space="preserve">03/04 </v>
      </c>
      <c r="M254" s="237" t="str">
        <f t="shared" si="138"/>
        <v xml:space="preserve">04/05 </v>
      </c>
      <c r="N254" s="237" t="str">
        <f t="shared" si="138"/>
        <v xml:space="preserve">05/06 </v>
      </c>
      <c r="O254" s="237" t="str">
        <f t="shared" si="138"/>
        <v xml:space="preserve">06/07 </v>
      </c>
      <c r="P254" s="237" t="str">
        <f t="shared" si="138"/>
        <v xml:space="preserve">07/08 </v>
      </c>
      <c r="Q254" s="237" t="str">
        <f t="shared" si="138"/>
        <v xml:space="preserve">08/09 </v>
      </c>
      <c r="R254" s="237" t="str">
        <f t="shared" si="138"/>
        <v xml:space="preserve">09/10 </v>
      </c>
      <c r="S254" s="237" t="str">
        <f t="shared" si="138"/>
        <v xml:space="preserve">10/11 </v>
      </c>
      <c r="T254" s="237" t="str">
        <f t="shared" si="138"/>
        <v xml:space="preserve">11/12 </v>
      </c>
      <c r="U254" s="237" t="str">
        <f t="shared" si="138"/>
        <v xml:space="preserve">12/13 </v>
      </c>
      <c r="V254" s="237" t="str">
        <f t="shared" si="138"/>
        <v xml:space="preserve">13/14 </v>
      </c>
      <c r="W254" s="237" t="str">
        <f t="shared" si="138"/>
        <v xml:space="preserve">14/15 </v>
      </c>
      <c r="X254" s="237" t="str">
        <f t="shared" si="138"/>
        <v xml:space="preserve">15/16 </v>
      </c>
      <c r="Y254" s="237" t="str">
        <f t="shared" si="138"/>
        <v xml:space="preserve">16/17 </v>
      </c>
      <c r="Z254" s="237" t="str">
        <f t="shared" si="138"/>
        <v xml:space="preserve">17/18 </v>
      </c>
      <c r="AA254" s="237" t="str">
        <f t="shared" si="138"/>
        <v xml:space="preserve">18/19 </v>
      </c>
      <c r="AB254" s="237" t="str">
        <f t="shared" si="138"/>
        <v xml:space="preserve">19/20 </v>
      </c>
      <c r="AC254" s="237" t="str">
        <f t="shared" si="138"/>
        <v xml:space="preserve">20/21 </v>
      </c>
      <c r="AD254" s="237" t="str">
        <f t="shared" si="138"/>
        <v xml:space="preserve">21/22 </v>
      </c>
      <c r="AE254" s="237" t="str">
        <f t="shared" si="138"/>
        <v xml:space="preserve">22/23 </v>
      </c>
      <c r="AF254" s="237" t="str">
        <f t="shared" si="138"/>
        <v>23/24</v>
      </c>
      <c r="AG254" s="237" t="str">
        <f t="shared" si="138"/>
        <v>23/25</v>
      </c>
      <c r="AH254" s="237" t="str">
        <f t="shared" si="138"/>
        <v>23/26</v>
      </c>
    </row>
    <row r="255" spans="1:34">
      <c r="A255" s="240" t="s">
        <v>239</v>
      </c>
      <c r="B255" s="290">
        <f>(SUM(K255:O255)/SUM(K$60:O$60))*B$60</f>
        <v>0</v>
      </c>
      <c r="C255" s="290">
        <v>0</v>
      </c>
      <c r="D255" s="146">
        <f>'[2]China Sun Oil Imports'!BD$290</f>
        <v>0</v>
      </c>
      <c r="E255" s="146">
        <f>'[2]China Sun Oil Imports'!BP$290</f>
        <v>2.2100000000000001E-4</v>
      </c>
      <c r="F255" s="146">
        <f>'[2]China Sun Oil Imports'!CB$290</f>
        <v>0</v>
      </c>
      <c r="G255" s="146">
        <f>'[2]China Sun Oil Imports'!CN$290</f>
        <v>0</v>
      </c>
      <c r="H255" s="146">
        <f>'[2]China Sun Oil Imports'!CZ$290</f>
        <v>6.7000000000000002E-5</v>
      </c>
      <c r="I255" s="146">
        <f>'[2]China Sun Oil Imports'!DL$290</f>
        <v>6.2904000000000002E-2</v>
      </c>
      <c r="J255" s="146">
        <f>'[2]China Sun Oil Imports'!DX$290</f>
        <v>4.6386999999999998E-2</v>
      </c>
      <c r="K255" s="146">
        <f>'[2]China Sun Oil Imports'!EJ$290</f>
        <v>4.0750000000000001E-2</v>
      </c>
      <c r="L255" s="146">
        <f>'[2]China Sun Oil Imports'!EV$290</f>
        <v>0.275177</v>
      </c>
      <c r="M255" s="146">
        <f>'[2]China Sun Oil Imports'!FH$290</f>
        <v>6.7969000000000002E-2</v>
      </c>
      <c r="N255" s="146">
        <f>'[2]China Sun Oil Imports'!FT$290</f>
        <v>2.3511000000000001E-2</v>
      </c>
      <c r="O255" s="146">
        <f>'[2]China Sun Oil Imports'!GF$290</f>
        <v>2.024</v>
      </c>
      <c r="P255" s="146">
        <f>'[2]China Sun Oil Imports'!GR$290</f>
        <v>3.9E-2</v>
      </c>
      <c r="Q255" s="146">
        <f>'[2]China Sun Oil Imports'!HD$290</f>
        <v>3.5000000000000003E-2</v>
      </c>
      <c r="R255" s="146">
        <f>'[2]China Sun Oil Imports'!HP$290</f>
        <v>18.026</v>
      </c>
      <c r="S255" s="146">
        <f>'[2]China Sun Oil Imports'!IB$290</f>
        <v>0.27</v>
      </c>
      <c r="T255" s="146">
        <f>'[2]China Sun Oil Imports'!IN$290</f>
        <v>1.3089999999999999</v>
      </c>
      <c r="U255" s="146">
        <f>'[2]China Sun Oil Imports'!IZ$290</f>
        <v>2.76</v>
      </c>
      <c r="V255" s="146">
        <f>'[2]China Sun Oil Imports'!JL$290</f>
        <v>5.173</v>
      </c>
      <c r="W255" s="146">
        <f>'[2]China Sun Oil Imports'!JX$290</f>
        <v>2.633</v>
      </c>
      <c r="X255" s="146">
        <f>'[2]China Sun Oil Imports'!KJ$290</f>
        <v>18.385000000000002</v>
      </c>
      <c r="Y255" s="146">
        <f>'[2]China Sun Oil Imports'!KV$290</f>
        <v>20.504999999999999</v>
      </c>
      <c r="Z255" s="146">
        <f>'[2]China Sun Oil Imports'!LH$290</f>
        <v>38.468795999999998</v>
      </c>
      <c r="AA255" s="146">
        <f>'[2]China Sun Oil Imports'!LT$290</f>
        <v>18.235833</v>
      </c>
      <c r="AB255" s="146">
        <f>'[2]China Sun Oil Imports'!MF$290</f>
        <v>76.996108000000007</v>
      </c>
      <c r="AC255" s="146">
        <f>'[2]China Sun Oil Imports'!MR$290</f>
        <v>113.224493</v>
      </c>
      <c r="AD255" s="146">
        <f>'[2]China Sun Oil Imports'!ND$290</f>
        <v>0.70599999999999996</v>
      </c>
      <c r="AE255" s="253">
        <f t="shared" ref="AE255:AF265" si="139">(SUM(Y255:AC255)/SUM(Y$267:AC$267))*AE$267</f>
        <v>83.496061296337984</v>
      </c>
      <c r="AF255" s="253">
        <f t="shared" si="139"/>
        <v>89.407179322086662</v>
      </c>
      <c r="AG255" s="253">
        <f t="shared" ref="AG255:AG265" si="140">(SUM(AA255:AE255)/SUM(AA$267:AE$267))*AG$267</f>
        <v>88.976212339470266</v>
      </c>
      <c r="AH255" s="253">
        <f t="shared" ref="AH255:AH265" si="141">(SUM(AB255:AF255)/SUM(AB$267:AF$267))*AH$267</f>
        <v>96.09964269112001</v>
      </c>
    </row>
    <row r="256" spans="1:34">
      <c r="A256" s="240" t="s">
        <v>240</v>
      </c>
      <c r="B256" s="290">
        <f t="shared" ref="B256:B265" si="142">(SUM(K256:O256)/SUM(K$60:O$60))*B$60</f>
        <v>0</v>
      </c>
      <c r="C256" s="290">
        <v>0</v>
      </c>
      <c r="D256" s="146">
        <f>'[2]China Sun Oil Imports'!BE$290</f>
        <v>9.3000000000000005E-4</v>
      </c>
      <c r="E256" s="146">
        <f>'[2]China Sun Oil Imports'!BQ$290</f>
        <v>4.1399999999999998E-4</v>
      </c>
      <c r="F256" s="146">
        <f>'[2]China Sun Oil Imports'!CC$290</f>
        <v>3.388E-2</v>
      </c>
      <c r="G256" s="146">
        <f>'[2]China Sun Oil Imports'!CO$290</f>
        <v>2.042E-3</v>
      </c>
      <c r="H256" s="146">
        <f>'[2]China Sun Oil Imports'!DA$290</f>
        <v>3.1678999999999999E-2</v>
      </c>
      <c r="I256" s="146">
        <f>'[2]China Sun Oil Imports'!DM$290</f>
        <v>1.6390999999999999E-2</v>
      </c>
      <c r="J256" s="146">
        <f>'[2]China Sun Oil Imports'!DY$290</f>
        <v>0.18687999999999999</v>
      </c>
      <c r="K256" s="146">
        <f>'[2]China Sun Oil Imports'!EK$290</f>
        <v>2.2766000000000002E-2</v>
      </c>
      <c r="L256" s="146">
        <f>'[2]China Sun Oil Imports'!EW$290</f>
        <v>11.231563</v>
      </c>
      <c r="M256" s="146">
        <f>'[2]China Sun Oil Imports'!FI$290</f>
        <v>1.8124999999999999E-2</v>
      </c>
      <c r="N256" s="146">
        <f>'[2]China Sun Oil Imports'!FU$290</f>
        <v>0.189</v>
      </c>
      <c r="O256" s="146">
        <f>'[2]China Sun Oil Imports'!GG$290</f>
        <v>2.5499999999999998</v>
      </c>
      <c r="P256" s="146">
        <f>'[2]China Sun Oil Imports'!GS$290</f>
        <v>7.0999999999999994E-2</v>
      </c>
      <c r="Q256" s="146">
        <f>'[2]China Sun Oil Imports'!HE$290</f>
        <v>8.5999999999999993E-2</v>
      </c>
      <c r="R256" s="146">
        <f>'[2]China Sun Oil Imports'!HQ$290</f>
        <v>9.3179999999999996</v>
      </c>
      <c r="S256" s="146">
        <f>'[2]China Sun Oil Imports'!IC$290</f>
        <v>9.0999999999999998E-2</v>
      </c>
      <c r="T256" s="146">
        <f>'[2]China Sun Oil Imports'!IO$290</f>
        <v>1.855</v>
      </c>
      <c r="U256" s="146">
        <f>'[2]China Sun Oil Imports'!JA$290</f>
        <v>29.51</v>
      </c>
      <c r="V256" s="146">
        <f>'[2]China Sun Oil Imports'!JM$290</f>
        <v>26.077999999999999</v>
      </c>
      <c r="W256" s="146">
        <f>'[2]China Sun Oil Imports'!JY$290</f>
        <v>4.4189999999999996</v>
      </c>
      <c r="X256" s="146">
        <f>'[2]China Sun Oil Imports'!KK$290</f>
        <v>25.305</v>
      </c>
      <c r="Y256" s="146">
        <f>'[2]China Sun Oil Imports'!KW$290</f>
        <v>53.783999999999999</v>
      </c>
      <c r="Z256" s="146">
        <f>'[2]China Sun Oil Imports'!LI$290</f>
        <v>127.13846599999999</v>
      </c>
      <c r="AA256" s="146">
        <f>'[2]China Sun Oil Imports'!LU$290</f>
        <v>42.783413000000003</v>
      </c>
      <c r="AB256" s="146">
        <f>'[2]China Sun Oil Imports'!MG$290</f>
        <v>158.24731700000001</v>
      </c>
      <c r="AC256" s="146">
        <f>'[2]China Sun Oil Imports'!MS$290</f>
        <v>123.04556599999999</v>
      </c>
      <c r="AD256" s="146">
        <f>'[2]China Sun Oil Imports'!NE$290</f>
        <v>32.231000000000002</v>
      </c>
      <c r="AE256" s="253">
        <f t="shared" si="139"/>
        <v>157.66881547582258</v>
      </c>
      <c r="AF256" s="253">
        <f t="shared" si="139"/>
        <v>174.54794347076836</v>
      </c>
      <c r="AG256" s="253">
        <f t="shared" si="140"/>
        <v>156.26284002376701</v>
      </c>
      <c r="AH256" s="253">
        <f t="shared" si="141"/>
        <v>170.56172381616787</v>
      </c>
    </row>
    <row r="257" spans="1:38">
      <c r="A257" s="240" t="s">
        <v>241</v>
      </c>
      <c r="B257" s="290">
        <f t="shared" si="142"/>
        <v>0</v>
      </c>
      <c r="C257" s="290">
        <v>0</v>
      </c>
      <c r="D257" s="146">
        <f>'[2]China Sun Oil Imports'!BF$290</f>
        <v>0</v>
      </c>
      <c r="E257" s="146">
        <f>'[2]China Sun Oil Imports'!BR$290</f>
        <v>5.7010000000000003E-3</v>
      </c>
      <c r="F257" s="146">
        <f>'[2]China Sun Oil Imports'!CD$290</f>
        <v>2.5475999999999999E-2</v>
      </c>
      <c r="G257" s="146">
        <f>'[2]China Sun Oil Imports'!CP$290</f>
        <v>9.5200000000000005E-4</v>
      </c>
      <c r="H257" s="146">
        <f>'[2]China Sun Oil Imports'!DB$290</f>
        <v>5.8710000000000004E-3</v>
      </c>
      <c r="I257" s="146">
        <f>'[2]China Sun Oil Imports'!DN$290</f>
        <v>1.95E-2</v>
      </c>
      <c r="J257" s="146">
        <f>'[2]China Sun Oil Imports'!DZ$290</f>
        <v>4.84E-4</v>
      </c>
      <c r="K257" s="146">
        <f>'[2]China Sun Oil Imports'!EL$290</f>
        <v>6.1876E-2</v>
      </c>
      <c r="L257" s="146">
        <f>'[2]China Sun Oil Imports'!EX$290</f>
        <v>15.574750999999999</v>
      </c>
      <c r="M257" s="146">
        <f>'[2]China Sun Oil Imports'!FJ$290</f>
        <v>5.9385E-2</v>
      </c>
      <c r="N257" s="146">
        <f>'[2]China Sun Oil Imports'!FV$290</f>
        <v>0.19500000000000001</v>
      </c>
      <c r="O257" s="146">
        <f>'[2]China Sun Oil Imports'!GH$290</f>
        <v>21.981000000000002</v>
      </c>
      <c r="P257" s="146">
        <f>'[2]China Sun Oil Imports'!GT$290</f>
        <v>1.115</v>
      </c>
      <c r="Q257" s="146">
        <f>'[2]China Sun Oil Imports'!HF$290</f>
        <v>5.0830000000000002</v>
      </c>
      <c r="R257" s="146">
        <f>'[2]China Sun Oil Imports'!HR$290</f>
        <v>5.8719999999999999</v>
      </c>
      <c r="S257" s="146">
        <f>'[2]China Sun Oil Imports'!ID$290</f>
        <v>0.995</v>
      </c>
      <c r="T257" s="146">
        <f>'[2]China Sun Oil Imports'!IP$290</f>
        <v>47.017000000000003</v>
      </c>
      <c r="U257" s="146">
        <f>'[2]China Sun Oil Imports'!JB$290</f>
        <v>2.7189999999999999</v>
      </c>
      <c r="V257" s="146">
        <f>'[2]China Sun Oil Imports'!JN$290</f>
        <v>77.471999999999994</v>
      </c>
      <c r="W257" s="146">
        <f>'[2]China Sun Oil Imports'!JZ$290</f>
        <v>26.029</v>
      </c>
      <c r="X257" s="146">
        <f>'[2]China Sun Oil Imports'!KL$290</f>
        <v>106.39100000000001</v>
      </c>
      <c r="Y257" s="146">
        <f>'[2]China Sun Oil Imports'!KX$290</f>
        <v>148.625</v>
      </c>
      <c r="Z257" s="146">
        <f>'[2]China Sun Oil Imports'!LJ$290</f>
        <v>82.799885000000003</v>
      </c>
      <c r="AA257" s="146">
        <f>'[2]China Sun Oil Imports'!LV$290</f>
        <v>105.677339</v>
      </c>
      <c r="AB257" s="146">
        <f>'[2]China Sun Oil Imports'!MH$290</f>
        <v>128.28048899999999</v>
      </c>
      <c r="AC257" s="146">
        <f>'[2]China Sun Oil Imports'!MT$290</f>
        <v>331.76877999999999</v>
      </c>
      <c r="AD257" s="146">
        <f>'[2]China Sun Oil Imports'!NF$290</f>
        <v>178.42</v>
      </c>
      <c r="AE257" s="253">
        <f t="shared" si="139"/>
        <v>248.88364311691819</v>
      </c>
      <c r="AF257" s="253">
        <f t="shared" si="139"/>
        <v>298.56877660148797</v>
      </c>
      <c r="AG257" s="253">
        <f t="shared" si="140"/>
        <v>301.90844244391218</v>
      </c>
      <c r="AH257" s="253">
        <f t="shared" si="141"/>
        <v>313.2416242673512</v>
      </c>
    </row>
    <row r="258" spans="1:38">
      <c r="A258" s="240" t="s">
        <v>231</v>
      </c>
      <c r="B258" s="290">
        <f t="shared" si="142"/>
        <v>0</v>
      </c>
      <c r="C258" s="146">
        <f>'[2]China Sun Oil Imports'!AU$290</f>
        <v>0</v>
      </c>
      <c r="D258" s="146">
        <f>'[2]China Sun Oil Imports'!BG$290</f>
        <v>1.98E-3</v>
      </c>
      <c r="E258" s="146">
        <f>'[2]China Sun Oil Imports'!BS$290</f>
        <v>6.5860000000000002E-2</v>
      </c>
      <c r="F258" s="146">
        <f>'[2]China Sun Oil Imports'!CE$290</f>
        <v>0.232623</v>
      </c>
      <c r="G258" s="146">
        <f>'[2]China Sun Oil Imports'!CQ$290</f>
        <v>9.6888000000000002E-2</v>
      </c>
      <c r="H258" s="146">
        <f>'[2]China Sun Oil Imports'!DC$290</f>
        <v>4.1799999999999997E-3</v>
      </c>
      <c r="I258" s="146">
        <f>'[2]China Sun Oil Imports'!DO$290</f>
        <v>0.11554</v>
      </c>
      <c r="J258" s="146">
        <f>'[2]China Sun Oil Imports'!EA$290</f>
        <v>1.8679999999999999E-2</v>
      </c>
      <c r="K258" s="146">
        <f>'[2]China Sun Oil Imports'!EM$290</f>
        <v>0.12548899999999999</v>
      </c>
      <c r="L258" s="146">
        <f>'[2]China Sun Oil Imports'!EY$290</f>
        <v>9.3032900000000005</v>
      </c>
      <c r="M258" s="146">
        <f>'[2]China Sun Oil Imports'!FK$290</f>
        <v>3.4849999999999999E-2</v>
      </c>
      <c r="N258" s="146">
        <f>'[2]China Sun Oil Imports'!FW$290</f>
        <v>0.17299999999999999</v>
      </c>
      <c r="O258" s="146">
        <f>'[2]China Sun Oil Imports'!GI$290</f>
        <v>11.417999999999999</v>
      </c>
      <c r="P258" s="146">
        <f>'[2]China Sun Oil Imports'!GU$290</f>
        <v>6.6000000000000003E-2</v>
      </c>
      <c r="Q258" s="146">
        <f>'[2]China Sun Oil Imports'!HG$290</f>
        <v>7.6999999999999999E-2</v>
      </c>
      <c r="R258" s="146">
        <f>'[2]China Sun Oil Imports'!HS$290</f>
        <v>7.0119999999999996</v>
      </c>
      <c r="S258" s="146">
        <f>'[2]China Sun Oil Imports'!IE$290</f>
        <v>1.2809999999999999</v>
      </c>
      <c r="T258" s="146">
        <f>'[2]China Sun Oil Imports'!IQ$290</f>
        <v>3.82</v>
      </c>
      <c r="U258" s="146">
        <f>'[2]China Sun Oil Imports'!JC$290</f>
        <v>4.93</v>
      </c>
      <c r="V258" s="146">
        <f>'[2]China Sun Oil Imports'!JO$290</f>
        <v>63.411999999999999</v>
      </c>
      <c r="W258" s="146">
        <f>'[2]China Sun Oil Imports'!KA$290</f>
        <v>34.216000000000001</v>
      </c>
      <c r="X258" s="146">
        <f>'[2]China Sun Oil Imports'!KM$290</f>
        <v>58.246000000000002</v>
      </c>
      <c r="Y258" s="146">
        <f>'[2]China Sun Oil Imports'!KY$290</f>
        <v>33.828000000000003</v>
      </c>
      <c r="Z258" s="146">
        <f>'[2]China Sun Oil Imports'!LK$290</f>
        <v>92.116755999999995</v>
      </c>
      <c r="AA258" s="146">
        <f>'[2]China Sun Oil Imports'!LW$290</f>
        <v>97.451886000000002</v>
      </c>
      <c r="AB258" s="146">
        <f>'[2]China Sun Oil Imports'!MI$290</f>
        <v>109.14098199999999</v>
      </c>
      <c r="AC258" s="146">
        <f>'[2]China Sun Oil Imports'!MU$290</f>
        <v>225.958</v>
      </c>
      <c r="AD258" s="146">
        <f>'[2]China Sun Oil Imports'!NG$290</f>
        <v>112.726</v>
      </c>
      <c r="AE258" s="253">
        <f t="shared" si="139"/>
        <v>174.37140466595918</v>
      </c>
      <c r="AF258" s="253">
        <f t="shared" si="139"/>
        <v>230.130771630552</v>
      </c>
      <c r="AG258" s="253">
        <f t="shared" si="140"/>
        <v>218.79282012170114</v>
      </c>
      <c r="AH258" s="253">
        <f t="shared" si="141"/>
        <v>225.12813958272216</v>
      </c>
      <c r="AK258"/>
      <c r="AL258">
        <v>157.17019768069088</v>
      </c>
    </row>
    <row r="259" spans="1:38">
      <c r="A259" s="240" t="s">
        <v>232</v>
      </c>
      <c r="B259" s="290">
        <f t="shared" si="142"/>
        <v>0</v>
      </c>
      <c r="C259" s="146">
        <f>'[2]China Sun Oil Imports'!AV$290</f>
        <v>0</v>
      </c>
      <c r="D259" s="146">
        <f>'[2]China Sun Oil Imports'!BH$290</f>
        <v>0</v>
      </c>
      <c r="E259" s="146">
        <f>'[2]China Sun Oil Imports'!BT$290</f>
        <v>0</v>
      </c>
      <c r="F259" s="146">
        <f>'[2]China Sun Oil Imports'!CF$290</f>
        <v>9.8001000000000005E-2</v>
      </c>
      <c r="G259" s="146">
        <f>'[2]China Sun Oil Imports'!CR$290</f>
        <v>0.93947199999999997</v>
      </c>
      <c r="H259" s="146">
        <f>'[2]China Sun Oil Imports'!DD$290</f>
        <v>0</v>
      </c>
      <c r="I259" s="146">
        <f>'[2]China Sun Oil Imports'!DP$290</f>
        <v>1.5599999999999999E-2</v>
      </c>
      <c r="J259" s="146">
        <f>'[2]China Sun Oil Imports'!EB$290</f>
        <v>6.0000000000000002E-6</v>
      </c>
      <c r="K259" s="146">
        <f>'[2]China Sun Oil Imports'!EN$290</f>
        <v>3.2062050000000002</v>
      </c>
      <c r="L259" s="146">
        <f>'[2]China Sun Oil Imports'!EZ$290</f>
        <v>3.563415</v>
      </c>
      <c r="M259" s="146">
        <f>'[2]China Sun Oil Imports'!FL$290</f>
        <v>1.6559999999999998E-2</v>
      </c>
      <c r="N259" s="146">
        <f>'[2]China Sun Oil Imports'!FX$290</f>
        <v>8.2000000000000003E-2</v>
      </c>
      <c r="O259" s="146">
        <f>'[2]China Sun Oil Imports'!GJ$290</f>
        <v>5.851</v>
      </c>
      <c r="P259" s="146">
        <f>'[2]China Sun Oil Imports'!GV$290</f>
        <v>7.1999999999999995E-2</v>
      </c>
      <c r="Q259" s="146">
        <f>'[2]China Sun Oil Imports'!HH$290</f>
        <v>3.9750000000000001</v>
      </c>
      <c r="R259" s="146">
        <f>'[2]China Sun Oil Imports'!HT$290</f>
        <v>18.861000000000001</v>
      </c>
      <c r="S259" s="146">
        <f>'[2]China Sun Oil Imports'!IF$290</f>
        <v>1.0780000000000001</v>
      </c>
      <c r="T259" s="146">
        <f>'[2]China Sun Oil Imports'!IR$290</f>
        <v>33.213999999999999</v>
      </c>
      <c r="U259" s="146">
        <f>'[2]China Sun Oil Imports'!JD$290</f>
        <v>7.5190000000000001</v>
      </c>
      <c r="V259" s="146">
        <f>'[2]China Sun Oil Imports'!JP$290</f>
        <v>25.388000000000002</v>
      </c>
      <c r="W259" s="146">
        <f>'[2]China Sun Oil Imports'!KB$290</f>
        <v>29.033999999999999</v>
      </c>
      <c r="X259" s="146">
        <f>'[2]China Sun Oil Imports'!KN$290</f>
        <v>65.019000000000005</v>
      </c>
      <c r="Y259" s="146">
        <f>'[2]China Sun Oil Imports'!KZ$290</f>
        <v>47.037999999999997</v>
      </c>
      <c r="Z259" s="146">
        <f>'[2]China Sun Oil Imports'!LL$290</f>
        <v>45.173012999999997</v>
      </c>
      <c r="AA259" s="146">
        <f>'[2]China Sun Oil Imports'!LX$290</f>
        <v>48.621076000000002</v>
      </c>
      <c r="AB259" s="146">
        <f>'[2]China Sun Oil Imports'!MJ$290</f>
        <v>109.14098199999999</v>
      </c>
      <c r="AC259" s="146">
        <f>'[2]China Sun Oil Imports'!MV$290</f>
        <v>136.947</v>
      </c>
      <c r="AD259" s="146">
        <f>'[2]China Sun Oil Imports'!NH$290</f>
        <v>48.938000000000002</v>
      </c>
      <c r="AE259" s="253">
        <f t="shared" si="139"/>
        <v>120.8027303607354</v>
      </c>
      <c r="AF259" s="253">
        <f t="shared" si="139"/>
        <v>140.38336687954694</v>
      </c>
      <c r="AG259" s="253">
        <f t="shared" si="140"/>
        <v>141.20547892642676</v>
      </c>
      <c r="AH259" s="253">
        <f t="shared" si="141"/>
        <v>146.91423286695351</v>
      </c>
      <c r="AK259"/>
      <c r="AL259">
        <v>100.66952647667809</v>
      </c>
    </row>
    <row r="260" spans="1:38">
      <c r="A260" s="240" t="s">
        <v>233</v>
      </c>
      <c r="B260" s="290">
        <f t="shared" si="142"/>
        <v>0</v>
      </c>
      <c r="C260" s="146">
        <f>'[2]China Sun Oil Imports'!AW$290</f>
        <v>5.0000000000000002E-5</v>
      </c>
      <c r="D260" s="146">
        <f>'[2]China Sun Oil Imports'!BI$290</f>
        <v>8.9999999999999998E-4</v>
      </c>
      <c r="E260" s="146">
        <f>'[2]China Sun Oil Imports'!BU$290</f>
        <v>8.9999999999999998E-4</v>
      </c>
      <c r="F260" s="146">
        <f>'[2]China Sun Oil Imports'!CG$290</f>
        <v>7.6548000000000005E-2</v>
      </c>
      <c r="G260" s="146">
        <f>'[2]China Sun Oil Imports'!CS$290</f>
        <v>0.14208699999999999</v>
      </c>
      <c r="H260" s="146">
        <f>'[2]China Sun Oil Imports'!DE$290</f>
        <v>1.8079000000000001E-2</v>
      </c>
      <c r="I260" s="146">
        <f>'[2]China Sun Oil Imports'!DQ$290</f>
        <v>1.5636000000000001E-2</v>
      </c>
      <c r="J260" s="146">
        <f>'[2]China Sun Oil Imports'!EC$290</f>
        <v>4.9865E-2</v>
      </c>
      <c r="K260" s="146">
        <f>'[2]China Sun Oil Imports'!EO$290</f>
        <v>3.9994350000000001</v>
      </c>
      <c r="L260" s="146">
        <f>'[2]China Sun Oil Imports'!FA$290</f>
        <v>0.14319000000000001</v>
      </c>
      <c r="M260" s="146">
        <f>'[2]China Sun Oil Imports'!FM$290</f>
        <v>8.4737999999999994E-2</v>
      </c>
      <c r="N260" s="146">
        <f>'[2]China Sun Oil Imports'!FY$290</f>
        <v>1.7000000000000001E-2</v>
      </c>
      <c r="O260" s="146">
        <f>'[2]China Sun Oil Imports'!GK$290</f>
        <v>6.78</v>
      </c>
      <c r="P260" s="146">
        <f>'[2]China Sun Oil Imports'!GW$290</f>
        <v>3.7999999999999999E-2</v>
      </c>
      <c r="Q260" s="146">
        <f>'[2]China Sun Oil Imports'!HI$290</f>
        <v>4.351</v>
      </c>
      <c r="R260" s="146">
        <f>'[2]China Sun Oil Imports'!HU$290</f>
        <v>2.4289999999999998</v>
      </c>
      <c r="S260" s="146">
        <f>'[2]China Sun Oil Imports'!IG$290</f>
        <v>0.879</v>
      </c>
      <c r="T260" s="146">
        <f>'[2]China Sun Oil Imports'!IS$290</f>
        <v>2.16</v>
      </c>
      <c r="U260" s="146">
        <f>'[2]China Sun Oil Imports'!JE$290</f>
        <v>50.222999999999999</v>
      </c>
      <c r="V260" s="146">
        <f>'[2]China Sun Oil Imports'!JQ$290</f>
        <v>28.882000000000001</v>
      </c>
      <c r="W260" s="146">
        <f>'[2]China Sun Oil Imports'!KC$290</f>
        <v>108.333</v>
      </c>
      <c r="X260" s="146">
        <f>'[2]China Sun Oil Imports'!KO$290</f>
        <v>34.433999999999997</v>
      </c>
      <c r="Y260" s="146">
        <f>'[2]China Sun Oil Imports'!LA$290</f>
        <v>36.953000000000003</v>
      </c>
      <c r="Z260" s="146">
        <f>'[2]China Sun Oil Imports'!LM$290</f>
        <v>5.1904659999999998</v>
      </c>
      <c r="AA260" s="146">
        <f>'[2]China Sun Oil Imports'!LY$290</f>
        <v>58.005198</v>
      </c>
      <c r="AB260" s="146">
        <f>'[2]China Sun Oil Imports'!MK$290</f>
        <v>72.289733999999996</v>
      </c>
      <c r="AC260" s="146">
        <f>'[2]China Sun Oil Imports'!MW$290</f>
        <v>138.18799999999999</v>
      </c>
      <c r="AD260" s="146">
        <f>'[2]China Sun Oil Imports'!NI$290</f>
        <v>48.524999999999999</v>
      </c>
      <c r="AE260" s="253">
        <f t="shared" si="139"/>
        <v>96.982606520095644</v>
      </c>
      <c r="AF260" s="253">
        <f t="shared" si="139"/>
        <v>116.32963236210172</v>
      </c>
      <c r="AG260" s="253">
        <f t="shared" si="140"/>
        <v>125.8644825074948</v>
      </c>
      <c r="AH260" s="253">
        <f t="shared" si="141"/>
        <v>124.75419808815003</v>
      </c>
      <c r="AK260"/>
      <c r="AL260">
        <v>74.144881773087192</v>
      </c>
    </row>
    <row r="261" spans="1:38">
      <c r="A261" s="240" t="s">
        <v>234</v>
      </c>
      <c r="B261" s="290">
        <f t="shared" si="142"/>
        <v>0</v>
      </c>
      <c r="C261" s="146">
        <f>'[2]China Sun Oil Imports'!AX$290</f>
        <v>8.9999999999999998E-4</v>
      </c>
      <c r="D261" s="146">
        <f>'[2]China Sun Oil Imports'!BJ$290</f>
        <v>6.0000309999999999</v>
      </c>
      <c r="E261" s="146">
        <f>'[2]China Sun Oil Imports'!BV$290</f>
        <v>2.2567719999999998</v>
      </c>
      <c r="F261" s="146">
        <f>'[2]China Sun Oil Imports'!CH$290</f>
        <v>0</v>
      </c>
      <c r="G261" s="146">
        <f>'[2]China Sun Oil Imports'!CT$290</f>
        <v>1.4519999999999999E-3</v>
      </c>
      <c r="H261" s="146">
        <f>'[2]China Sun Oil Imports'!DF$290</f>
        <v>2.1271000000000002E-2</v>
      </c>
      <c r="I261" s="146">
        <f>'[2]China Sun Oil Imports'!DR$290</f>
        <v>2.2290000000000001E-2</v>
      </c>
      <c r="J261" s="146">
        <f>'[2]China Sun Oil Imports'!ED$290</f>
        <v>5.0212E-2</v>
      </c>
      <c r="K261" s="146">
        <f>'[2]China Sun Oil Imports'!EP$290</f>
        <v>1.6886999999999999E-2</v>
      </c>
      <c r="L261" s="146">
        <f>'[2]China Sun Oil Imports'!FB$290</f>
        <v>0.119585</v>
      </c>
      <c r="M261" s="146">
        <f>'[2]China Sun Oil Imports'!FN$290</f>
        <v>8.9862999999999998E-2</v>
      </c>
      <c r="N261" s="146">
        <f>'[2]China Sun Oil Imports'!FZ$290</f>
        <v>1.7000000000000001E-2</v>
      </c>
      <c r="O261" s="146">
        <f>'[2]China Sun Oil Imports'!GL$290</f>
        <v>20.646000000000001</v>
      </c>
      <c r="P261" s="146">
        <f>'[2]China Sun Oil Imports'!GX$290</f>
        <v>0.126</v>
      </c>
      <c r="Q261" s="146">
        <f>'[2]China Sun Oil Imports'!HJ$290</f>
        <v>9.6929999999999996</v>
      </c>
      <c r="R261" s="146">
        <f>'[2]China Sun Oil Imports'!HV$290</f>
        <v>4.01</v>
      </c>
      <c r="S261" s="146">
        <f>'[2]China Sun Oil Imports'!IH$290</f>
        <v>0.79300000000000004</v>
      </c>
      <c r="T261" s="146">
        <f>'[2]China Sun Oil Imports'!IT$290</f>
        <v>0.74099999999999999</v>
      </c>
      <c r="U261" s="146">
        <f>'[2]China Sun Oil Imports'!JF$290</f>
        <v>66.632999999999996</v>
      </c>
      <c r="V261" s="146">
        <f>'[2]China Sun Oil Imports'!JR$290</f>
        <v>35.228999999999999</v>
      </c>
      <c r="W261" s="146">
        <f>'[2]China Sun Oil Imports'!KD$290</f>
        <v>81.403999999999996</v>
      </c>
      <c r="X261" s="146">
        <f>'[2]China Sun Oil Imports'!KP$290</f>
        <v>135.875</v>
      </c>
      <c r="Y261" s="146">
        <f>'[2]China Sun Oil Imports'!LB$290</f>
        <v>106.419</v>
      </c>
      <c r="Z261" s="146">
        <f>'[2]China Sun Oil Imports'!LN$290</f>
        <v>55.959074999999999</v>
      </c>
      <c r="AA261" s="146">
        <f>'[2]China Sun Oil Imports'!LZ$290</f>
        <v>118.86772999999999</v>
      </c>
      <c r="AB261" s="146">
        <f>'[2]China Sun Oil Imports'!ML$290</f>
        <v>250.773539</v>
      </c>
      <c r="AC261" s="146">
        <f>'[2]China Sun Oil Imports'!MX$290</f>
        <v>189.61099999999999</v>
      </c>
      <c r="AD261" s="146">
        <f>'[2]China Sun Oil Imports'!NJ$290</f>
        <v>14.173999999999999</v>
      </c>
      <c r="AE261" s="253">
        <f t="shared" si="139"/>
        <v>225.30471381609127</v>
      </c>
      <c r="AF261" s="253">
        <f t="shared" si="139"/>
        <v>227.23938460306968</v>
      </c>
      <c r="AG261" s="253">
        <f t="shared" si="140"/>
        <v>242.83613382620842</v>
      </c>
      <c r="AH261" s="253">
        <f t="shared" si="141"/>
        <v>239.59617757681883</v>
      </c>
      <c r="AK261"/>
      <c r="AL261">
        <v>207.09386146717179</v>
      </c>
    </row>
    <row r="262" spans="1:38">
      <c r="A262" s="240" t="s">
        <v>46</v>
      </c>
      <c r="B262" s="290">
        <f t="shared" si="142"/>
        <v>0</v>
      </c>
      <c r="C262" s="146">
        <f>'[2]China Sun Oil Imports'!AY$290</f>
        <v>0</v>
      </c>
      <c r="D262" s="146">
        <f>'[2]China Sun Oil Imports'!BK$290</f>
        <v>7.8999999999999996E-5</v>
      </c>
      <c r="E262" s="146">
        <f>'[2]China Sun Oil Imports'!BW$290</f>
        <v>0</v>
      </c>
      <c r="F262" s="146">
        <f>'[2]China Sun Oil Imports'!CI$290</f>
        <v>1.1748E-2</v>
      </c>
      <c r="G262" s="146">
        <f>'[2]China Sun Oil Imports'!CU$290</f>
        <v>1.7663999999999999E-2</v>
      </c>
      <c r="H262" s="146">
        <f>'[2]China Sun Oil Imports'!DG$290</f>
        <v>5.1983000000000001E-2</v>
      </c>
      <c r="I262" s="146">
        <f>'[2]China Sun Oil Imports'!DS$290</f>
        <v>3.4669999999999999E-2</v>
      </c>
      <c r="J262" s="146">
        <f>'[2]China Sun Oil Imports'!EE$290</f>
        <v>4.41E-2</v>
      </c>
      <c r="K262" s="146">
        <f>'[2]China Sun Oil Imports'!EQ$290</f>
        <v>1.1453960000000001</v>
      </c>
      <c r="L262" s="146">
        <f>'[2]China Sun Oil Imports'!FC$290</f>
        <v>2.6608079999999998</v>
      </c>
      <c r="M262" s="146">
        <f>'[2]China Sun Oil Imports'!FO$290</f>
        <v>0.17180599999999999</v>
      </c>
      <c r="N262" s="146">
        <f>'[2]China Sun Oil Imports'!GA$290</f>
        <v>0.107</v>
      </c>
      <c r="O262" s="146">
        <f>'[2]China Sun Oil Imports'!GM$290</f>
        <v>10.147</v>
      </c>
      <c r="P262" s="146">
        <f>'[2]China Sun Oil Imports'!GY$290</f>
        <v>1.6E-2</v>
      </c>
      <c r="Q262" s="146">
        <f>'[2]China Sun Oil Imports'!HK$290</f>
        <v>12.864000000000001</v>
      </c>
      <c r="R262" s="146">
        <f>'[2]China Sun Oil Imports'!HW$290</f>
        <v>42.790999999999997</v>
      </c>
      <c r="S262" s="146">
        <f>'[2]China Sun Oil Imports'!II$290</f>
        <v>3.3889999999999998</v>
      </c>
      <c r="T262" s="146">
        <f>'[2]China Sun Oil Imports'!IU$290</f>
        <v>3.9750000000000001</v>
      </c>
      <c r="U262" s="146">
        <f>'[2]China Sun Oil Imports'!JG$290</f>
        <v>24.539000000000001</v>
      </c>
      <c r="V262" s="146">
        <f>'[2]China Sun Oil Imports'!JS$290</f>
        <v>88.677000000000007</v>
      </c>
      <c r="W262" s="146">
        <f>'[2]China Sun Oil Imports'!KE$290</f>
        <v>57.555999999999997</v>
      </c>
      <c r="X262" s="146">
        <f>'[2]China Sun Oil Imports'!KQ$290</f>
        <v>90.796999999999997</v>
      </c>
      <c r="Y262" s="146">
        <f>'[2]China Sun Oil Imports'!LC$290</f>
        <v>79.879000000000005</v>
      </c>
      <c r="Z262" s="146">
        <f>'[2]China Sun Oil Imports'!LO$290</f>
        <v>96.437887000000003</v>
      </c>
      <c r="AA262" s="146">
        <f>'[2]China Sun Oil Imports'!MA$290</f>
        <v>75.621148000000005</v>
      </c>
      <c r="AB262" s="146">
        <f>'[2]China Sun Oil Imports'!MM$290</f>
        <v>166.01485700000001</v>
      </c>
      <c r="AC262" s="146">
        <f>'[2]China Sun Oil Imports'!MY$290</f>
        <v>125.581</v>
      </c>
      <c r="AD262" s="146">
        <f>'[2]China Sun Oil Imports'!NK$290</f>
        <v>15.506</v>
      </c>
      <c r="AE262" s="253">
        <f t="shared" si="139"/>
        <v>169.70010893334367</v>
      </c>
      <c r="AF262" s="253">
        <f t="shared" si="139"/>
        <v>173.00089247699091</v>
      </c>
      <c r="AG262" s="253">
        <f t="shared" si="140"/>
        <v>167.95178365416692</v>
      </c>
      <c r="AH262" s="253">
        <f t="shared" si="141"/>
        <v>171.63469119279435</v>
      </c>
      <c r="AK262"/>
      <c r="AL262">
        <v>157.74797406472217</v>
      </c>
    </row>
    <row r="263" spans="1:38">
      <c r="A263" s="240" t="s">
        <v>235</v>
      </c>
      <c r="B263" s="290">
        <f t="shared" si="142"/>
        <v>0</v>
      </c>
      <c r="C263" s="146">
        <f>'[2]China Sun Oil Imports'!AZ$290</f>
        <v>6.7999999999999999E-5</v>
      </c>
      <c r="D263" s="146">
        <f>'[2]China Sun Oil Imports'!BL$290</f>
        <v>1.684E-3</v>
      </c>
      <c r="E263" s="146">
        <f>'[2]China Sun Oil Imports'!BX$290</f>
        <v>1.4949E-2</v>
      </c>
      <c r="F263" s="146">
        <f>'[2]China Sun Oil Imports'!CJ$290</f>
        <v>0.151421</v>
      </c>
      <c r="G263" s="146">
        <f>'[2]China Sun Oil Imports'!CV$290</f>
        <v>3.6600000000000001E-3</v>
      </c>
      <c r="H263" s="146">
        <f>'[2]China Sun Oil Imports'!DH$290</f>
        <v>1.8917E-2</v>
      </c>
      <c r="I263" s="146">
        <f>'[2]China Sun Oil Imports'!DT$290</f>
        <v>2.8465000000000001E-2</v>
      </c>
      <c r="J263" s="146">
        <f>'[2]China Sun Oil Imports'!EF$290</f>
        <v>2.3397000000000001E-2</v>
      </c>
      <c r="K263" s="146">
        <f>'[2]China Sun Oil Imports'!ER$290</f>
        <v>5.9533000000000003E-2</v>
      </c>
      <c r="L263" s="146">
        <f>'[2]China Sun Oil Imports'!FD$290</f>
        <v>3.6253760000000002</v>
      </c>
      <c r="M263" s="146">
        <f>'[2]China Sun Oil Imports'!FP$290</f>
        <v>0.24419399999999999</v>
      </c>
      <c r="N263" s="146">
        <f>'[2]China Sun Oil Imports'!GB$290</f>
        <v>1.569</v>
      </c>
      <c r="O263" s="146">
        <f>'[2]China Sun Oil Imports'!GN$290</f>
        <v>0.17</v>
      </c>
      <c r="P263" s="146">
        <f>'[2]China Sun Oil Imports'!GZ$290</f>
        <v>4.3999999999999997E-2</v>
      </c>
      <c r="Q263" s="146">
        <f>'[2]China Sun Oil Imports'!HL$290</f>
        <v>31.706</v>
      </c>
      <c r="R263" s="146">
        <f>'[2]China Sun Oil Imports'!HX$290</f>
        <v>6.78</v>
      </c>
      <c r="S263" s="146">
        <f>'[2]China Sun Oil Imports'!IJ$290</f>
        <v>5.1059999999999999</v>
      </c>
      <c r="T263" s="146">
        <f>'[2]China Sun Oil Imports'!IV$290</f>
        <v>12.177</v>
      </c>
      <c r="U263" s="146">
        <f>'[2]China Sun Oil Imports'!JH$290</f>
        <v>6.798</v>
      </c>
      <c r="V263" s="146">
        <f>'[2]China Sun Oil Imports'!JT$290</f>
        <v>81.909000000000006</v>
      </c>
      <c r="W263" s="146">
        <f>'[2]China Sun Oil Imports'!KF$290</f>
        <v>72.921000000000006</v>
      </c>
      <c r="X263" s="146">
        <f>'[2]China Sun Oil Imports'!KR$290</f>
        <v>85.367999999999995</v>
      </c>
      <c r="Y263" s="146">
        <f>'[2]China Sun Oil Imports'!LD$290</f>
        <v>47.838999999999999</v>
      </c>
      <c r="Z263" s="146">
        <f>'[2]China Sun Oil Imports'!LP$290</f>
        <v>52.392695000000003</v>
      </c>
      <c r="AA263" s="146">
        <f>'[2]China Sun Oil Imports'!MB$290</f>
        <v>147.116895</v>
      </c>
      <c r="AB263" s="146">
        <f>'[2]China Sun Oil Imports'!MN$290</f>
        <v>203.71003899999999</v>
      </c>
      <c r="AC263" s="146">
        <f>'[2]China Sun Oil Imports'!MZ$290</f>
        <v>91.103999999999999</v>
      </c>
      <c r="AD263" s="146">
        <f>'[2]China Sun Oil Imports'!NL$290</f>
        <v>1.86</v>
      </c>
      <c r="AE263" s="253">
        <f t="shared" si="139"/>
        <v>169.27197835326155</v>
      </c>
      <c r="AF263" s="253">
        <f t="shared" si="139"/>
        <v>179.14694642790704</v>
      </c>
      <c r="AG263" s="253">
        <f t="shared" si="140"/>
        <v>186.38794616832845</v>
      </c>
      <c r="AH263" s="253">
        <f t="shared" si="141"/>
        <v>170.39065032753084</v>
      </c>
      <c r="AK263"/>
      <c r="AL263">
        <v>166.32969419700308</v>
      </c>
    </row>
    <row r="264" spans="1:38">
      <c r="A264" s="240" t="s">
        <v>236</v>
      </c>
      <c r="B264" s="290">
        <f t="shared" si="142"/>
        <v>0</v>
      </c>
      <c r="C264" s="146">
        <f>'[2]China Sun Oil Imports'!BA$290</f>
        <v>7.43E-3</v>
      </c>
      <c r="D264" s="146">
        <f>'[2]China Sun Oil Imports'!BM$290</f>
        <v>1.737E-3</v>
      </c>
      <c r="E264" s="146">
        <f>'[2]China Sun Oil Imports'!BY$290</f>
        <v>3.6480000000000002E-3</v>
      </c>
      <c r="F264" s="146">
        <f>'[2]China Sun Oil Imports'!CK$290</f>
        <v>4.6843999999999997E-2</v>
      </c>
      <c r="G264" s="146">
        <f>'[2]China Sun Oil Imports'!CW$290</f>
        <v>1.1850000000000001E-3</v>
      </c>
      <c r="H264" s="146">
        <f>'[2]China Sun Oil Imports'!DI$290</f>
        <v>0.51139100000000004</v>
      </c>
      <c r="I264" s="146">
        <f>'[2]China Sun Oil Imports'!DU$290</f>
        <v>9.92E-3</v>
      </c>
      <c r="J264" s="146">
        <f>'[2]China Sun Oil Imports'!EG$290</f>
        <v>3.6955000000000002E-2</v>
      </c>
      <c r="K264" s="146">
        <f>'[2]China Sun Oil Imports'!ES$290</f>
        <v>7.2971999999999995E-2</v>
      </c>
      <c r="L264" s="146">
        <f>'[2]China Sun Oil Imports'!FE$290</f>
        <v>2.4419E-2</v>
      </c>
      <c r="M264" s="146">
        <f>'[2]China Sun Oil Imports'!FQ$290</f>
        <v>3.8452E-2</v>
      </c>
      <c r="N264" s="146">
        <f>'[2]China Sun Oil Imports'!GC$290</f>
        <v>0.186</v>
      </c>
      <c r="O264" s="146">
        <f>'[2]China Sun Oil Imports'!GO$290</f>
        <v>0.112</v>
      </c>
      <c r="P264" s="146">
        <f>'[2]China Sun Oil Imports'!HA$290</f>
        <v>2.5000000000000001E-2</v>
      </c>
      <c r="Q264" s="146">
        <f>'[2]China Sun Oil Imports'!HM$290</f>
        <v>21.936</v>
      </c>
      <c r="R264" s="146">
        <f>'[2]China Sun Oil Imports'!HY$290</f>
        <v>30.927</v>
      </c>
      <c r="S264" s="146">
        <f>'[2]China Sun Oil Imports'!IK$290</f>
        <v>6.6180000000000003</v>
      </c>
      <c r="T264" s="146">
        <f>'[2]China Sun Oil Imports'!IW$290</f>
        <v>2.4049999999999998</v>
      </c>
      <c r="U264" s="146">
        <f>'[2]China Sun Oil Imports'!JI$290</f>
        <v>108.712</v>
      </c>
      <c r="V264" s="146">
        <f>'[2]China Sun Oil Imports'!JU$290</f>
        <v>58.555</v>
      </c>
      <c r="W264" s="146">
        <f>'[2]China Sun Oil Imports'!KG$290</f>
        <v>63.19</v>
      </c>
      <c r="X264" s="146">
        <f>'[2]China Sun Oil Imports'!KS$290</f>
        <v>72.893000000000001</v>
      </c>
      <c r="Y264" s="146">
        <f>'[2]China Sun Oil Imports'!LE$290</f>
        <v>44.203000000000003</v>
      </c>
      <c r="Z264" s="146">
        <f>'[2]China Sun Oil Imports'!LQ$290</f>
        <v>39.656092999999998</v>
      </c>
      <c r="AA264" s="146">
        <f>'[2]China Sun Oil Imports'!MC$290</f>
        <v>107.72737100000001</v>
      </c>
      <c r="AB264" s="146">
        <f>'[2]China Sun Oil Imports'!MO$290</f>
        <v>202.36111099999999</v>
      </c>
      <c r="AC264" s="146">
        <f>'[2]China Sun Oil Imports'!NA$290</f>
        <v>68.429000000000002</v>
      </c>
      <c r="AD264" s="146">
        <f>'[2]China Sun Oil Imports'!NM$290</f>
        <v>7.0856260000000004</v>
      </c>
      <c r="AE264" s="253">
        <f t="shared" si="139"/>
        <v>144.36147644262513</v>
      </c>
      <c r="AF264" s="253">
        <f t="shared" si="139"/>
        <v>153.53970354294287</v>
      </c>
      <c r="AG264" s="253">
        <f t="shared" si="140"/>
        <v>161.12377448677526</v>
      </c>
      <c r="AH264" s="253">
        <f t="shared" si="141"/>
        <v>152.08196157295552</v>
      </c>
      <c r="AJ264">
        <f>SUM(AD259:AD264)/SUM(AC259:AC264)-1</f>
        <v>-0.81851462139599396</v>
      </c>
      <c r="AK264"/>
      <c r="AL264">
        <v>144.75316078781592</v>
      </c>
    </row>
    <row r="265" spans="1:38">
      <c r="A265" s="240" t="s">
        <v>237</v>
      </c>
      <c r="B265" s="290">
        <f t="shared" si="142"/>
        <v>0</v>
      </c>
      <c r="C265" s="146">
        <f>'[2]China Sun Oil Imports'!BB$290</f>
        <v>1.3000080000000001</v>
      </c>
      <c r="D265" s="146">
        <f>'[2]China Sun Oil Imports'!BN$290</f>
        <v>9.6500000000000004E-4</v>
      </c>
      <c r="E265" s="146">
        <f>'[2]China Sun Oil Imports'!BZ$290</f>
        <v>8.5000000000000006E-5</v>
      </c>
      <c r="F265" s="146">
        <f>'[2]China Sun Oil Imports'!CL$290</f>
        <v>0</v>
      </c>
      <c r="G265" s="146">
        <f>'[2]China Sun Oil Imports'!CX$290</f>
        <v>0</v>
      </c>
      <c r="H265" s="146">
        <f>'[2]China Sun Oil Imports'!DJ$290</f>
        <v>1.5599999999999999E-2</v>
      </c>
      <c r="I265" s="146">
        <f>'[2]China Sun Oil Imports'!DV$290</f>
        <v>3.3708000000000002E-2</v>
      </c>
      <c r="J265" s="146">
        <f>'[2]China Sun Oil Imports'!EH$290</f>
        <v>3.1080000000000001E-3</v>
      </c>
      <c r="K265" s="146">
        <f>'[2]China Sun Oil Imports'!ET$290</f>
        <v>0.146228</v>
      </c>
      <c r="L265" s="146">
        <f>'[2]China Sun Oil Imports'!FF$290</f>
        <v>0.37554199999999999</v>
      </c>
      <c r="M265" s="146">
        <f>'[2]China Sun Oil Imports'!FR$290</f>
        <v>7.5786000000000006E-2</v>
      </c>
      <c r="N265" s="146">
        <f>'[2]China Sun Oil Imports'!GD$290</f>
        <v>0.125</v>
      </c>
      <c r="O265" s="146">
        <f>'[2]China Sun Oil Imports'!GP$290</f>
        <v>6.0960000000000001</v>
      </c>
      <c r="P265" s="146">
        <f>'[2]China Sun Oil Imports'!HB$290</f>
        <v>6.0000000000000001E-3</v>
      </c>
      <c r="Q265" s="146">
        <f>'[2]China Sun Oil Imports'!HN$290</f>
        <v>23.510999999999999</v>
      </c>
      <c r="R265" s="146">
        <f>'[2]China Sun Oil Imports'!HZ$290</f>
        <v>22.155999999999999</v>
      </c>
      <c r="S265" s="146">
        <f>'[2]China Sun Oil Imports'!IL$290</f>
        <v>0.69599999999999995</v>
      </c>
      <c r="T265" s="146">
        <f>'[2]China Sun Oil Imports'!IX$290</f>
        <v>6.1459999999999999</v>
      </c>
      <c r="U265" s="146">
        <f>'[2]China Sun Oil Imports'!JJ$290</f>
        <v>52.475999999999999</v>
      </c>
      <c r="V265" s="146">
        <f>'[2]China Sun Oil Imports'!JV$290</f>
        <v>34.527999999999999</v>
      </c>
      <c r="W265" s="146">
        <f>'[2]China Sun Oil Imports'!KH$290</f>
        <v>4.5650000000000004</v>
      </c>
      <c r="X265" s="146">
        <f>'[2]China Sun Oil Imports'!KT$290</f>
        <v>106.288</v>
      </c>
      <c r="Y265" s="146">
        <f>'[2]China Sun Oil Imports'!LF$290</f>
        <v>70.925073999999995</v>
      </c>
      <c r="Z265" s="146">
        <f>'[2]China Sun Oil Imports'!LR$290</f>
        <v>88.936334000000002</v>
      </c>
      <c r="AA265" s="146">
        <f>'[2]China Sun Oil Imports'!MD$290</f>
        <v>78.745281000000006</v>
      </c>
      <c r="AB265" s="146">
        <f>'[2]China Sun Oil Imports'!MP$290</f>
        <v>141.63383899999999</v>
      </c>
      <c r="AC265" s="146">
        <f>'[2]China Sun Oil Imports'!NB$290</f>
        <v>57.603999999999999</v>
      </c>
      <c r="AD265" s="253">
        <f>(SUM(X265:AB265)/SUM(X$267:AB$267))*AD$267+2-15-25</f>
        <v>6.7859094679773833</v>
      </c>
      <c r="AE265" s="253">
        <f t="shared" si="139"/>
        <v>136.70217292994204</v>
      </c>
      <c r="AF265" s="253">
        <f t="shared" si="139"/>
        <v>134.92620638037874</v>
      </c>
      <c r="AG265" s="253">
        <f t="shared" si="140"/>
        <v>128.13880957583936</v>
      </c>
      <c r="AH265" s="253">
        <f t="shared" si="141"/>
        <v>126.16391939144094</v>
      </c>
      <c r="AK265"/>
      <c r="AL265">
        <v>150.857800313187</v>
      </c>
    </row>
    <row r="266" spans="1:38">
      <c r="A266" s="240" t="s">
        <v>238</v>
      </c>
      <c r="B266" s="290">
        <f>(SUM(K266:O266)/SUM(K$60:O$60))*B$60</f>
        <v>0</v>
      </c>
      <c r="C266" s="146">
        <f>'[2]China Sun Oil Imports'!BC$290</f>
        <v>0</v>
      </c>
      <c r="D266" s="146">
        <f>'[2]China Sun Oil Imports'!BO$290</f>
        <v>1.27E-4</v>
      </c>
      <c r="E266" s="146">
        <f>'[2]China Sun Oil Imports'!CA$290</f>
        <v>1.7253000000000001E-2</v>
      </c>
      <c r="F266" s="146">
        <f>'[2]China Sun Oil Imports'!CM$290</f>
        <v>0</v>
      </c>
      <c r="G266" s="146">
        <f>'[2]China Sun Oil Imports'!CY$290</f>
        <v>0</v>
      </c>
      <c r="H266" s="146">
        <f>'[2]China Sun Oil Imports'!DK$290</f>
        <v>2.0664999999999999E-2</v>
      </c>
      <c r="I266" s="146">
        <f>'[2]China Sun Oil Imports'!DW$290</f>
        <v>8.1961999999999993E-2</v>
      </c>
      <c r="J266" s="146">
        <f>'[2]China Sun Oil Imports'!EI$290</f>
        <v>4.3569999999999998E-2</v>
      </c>
      <c r="K266" s="146">
        <f>'[2]China Sun Oil Imports'!EU$290</f>
        <v>9.9927000000000002E-2</v>
      </c>
      <c r="L266" s="146">
        <f>'[2]China Sun Oil Imports'!FG$290</f>
        <v>2.4165480000000001</v>
      </c>
      <c r="M266" s="146">
        <f>'[2]China Sun Oil Imports'!FS$290</f>
        <v>3.4111000000000002E-2</v>
      </c>
      <c r="N266" s="146">
        <f>'[2]China Sun Oil Imports'!GE$290</f>
        <v>2.0270000000000001</v>
      </c>
      <c r="O266" s="146">
        <f>'[2]China Sun Oil Imports'!GQ$290</f>
        <v>6.1710000000000003</v>
      </c>
      <c r="P266" s="146">
        <f>'[2]China Sun Oil Imports'!HC$290</f>
        <v>0.11</v>
      </c>
      <c r="Q266" s="146">
        <f>'[2]China Sun Oil Imports'!HO$290</f>
        <v>11.451000000000001</v>
      </c>
      <c r="R266" s="146">
        <f>'[2]China Sun Oil Imports'!IA$290</f>
        <v>0.53100000000000003</v>
      </c>
      <c r="S266" s="146">
        <f>'[2]China Sun Oil Imports'!IM$290</f>
        <v>1.9670000000000001</v>
      </c>
      <c r="T266" s="146">
        <f>'[2]China Sun Oil Imports'!IY$290</f>
        <v>7.1680000000000001</v>
      </c>
      <c r="U266" s="146">
        <f>'[2]China Sun Oil Imports'!JK$290</f>
        <v>5.4550000000000001</v>
      </c>
      <c r="V266" s="146">
        <f>'[2]China Sun Oil Imports'!JW$290</f>
        <v>5.3849999999999998</v>
      </c>
      <c r="W266" s="146">
        <f>'[2]China Sun Oil Imports'!KI$290</f>
        <v>49.640999999999998</v>
      </c>
      <c r="X266" s="146">
        <f>'[2]China Sun Oil Imports'!KU$290</f>
        <v>75.522000000000006</v>
      </c>
      <c r="Y266" s="146">
        <f>'[2]China Sun Oil Imports'!LG$290</f>
        <v>29.723835999999999</v>
      </c>
      <c r="Z266" s="146">
        <f>'[2]China Sun Oil Imports'!LS$290</f>
        <v>60.287368000000001</v>
      </c>
      <c r="AA266" s="146">
        <f>'[2]China Sun Oil Imports'!ME$290</f>
        <v>133.235175</v>
      </c>
      <c r="AB266" s="146">
        <f>'[2]China Sun Oil Imports'!MQ$290</f>
        <v>130.64948000000001</v>
      </c>
      <c r="AC266" s="146">
        <f>'[2]China Sun Oil Imports'!NC$290</f>
        <v>38.314</v>
      </c>
      <c r="AD266" s="253">
        <f>AD267-SUM(AD255:AD265)</f>
        <v>8.0424645320227341</v>
      </c>
      <c r="AE266" s="253">
        <f>AE267-SUM(AE255:AE265)</f>
        <v>122.45428808886732</v>
      </c>
      <c r="AF266" s="253">
        <f>AF267-SUM(AF255:AF265)</f>
        <v>133.77919630216707</v>
      </c>
      <c r="AG266" s="253">
        <f t="shared" ref="AG266:AH266" si="143">AG267-SUM(AG255:AG265)</f>
        <v>131.55127592590952</v>
      </c>
      <c r="AH266" s="253">
        <f t="shared" si="143"/>
        <v>114.43303862599441</v>
      </c>
    </row>
    <row r="267" spans="1:38" ht="15.75" thickBot="1">
      <c r="A267" s="240" t="s">
        <v>242</v>
      </c>
      <c r="B267" s="292">
        <f t="shared" ref="B267:C267" si="144">B34</f>
        <v>0</v>
      </c>
      <c r="C267" s="292">
        <f t="shared" si="144"/>
        <v>1.3</v>
      </c>
      <c r="D267" s="292">
        <f t="shared" ref="D267:G267" si="145">SUM(D255:D266)</f>
        <v>6.0084330000000001</v>
      </c>
      <c r="E267" s="292">
        <f t="shared" si="145"/>
        <v>2.3658030000000001</v>
      </c>
      <c r="F267" s="292">
        <f t="shared" si="145"/>
        <v>0.67654099999999995</v>
      </c>
      <c r="G267" s="292">
        <f t="shared" si="145"/>
        <v>1.2054019999999999</v>
      </c>
      <c r="H267" s="292">
        <f t="shared" ref="H267:AB267" si="146">SUM(H255:H266)</f>
        <v>0.69970299999999996</v>
      </c>
      <c r="I267" s="292">
        <f t="shared" si="146"/>
        <v>0.45658599999999999</v>
      </c>
      <c r="J267" s="292">
        <f t="shared" si="146"/>
        <v>0.50364399999999998</v>
      </c>
      <c r="K267" s="292">
        <f t="shared" si="146"/>
        <v>8.9974640000000008</v>
      </c>
      <c r="L267" s="292">
        <f t="shared" si="146"/>
        <v>49.31366400000001</v>
      </c>
      <c r="M267" s="292">
        <f t="shared" si="146"/>
        <v>0.93583900000000009</v>
      </c>
      <c r="N267" s="292">
        <f t="shared" si="146"/>
        <v>4.7105110000000003</v>
      </c>
      <c r="O267" s="292">
        <f t="shared" si="146"/>
        <v>93.946000000000012</v>
      </c>
      <c r="P267" s="292">
        <f t="shared" si="146"/>
        <v>1.7280000000000002</v>
      </c>
      <c r="Q267" s="292">
        <f t="shared" si="146"/>
        <v>124.768</v>
      </c>
      <c r="R267" s="292">
        <f t="shared" si="146"/>
        <v>168.71300000000002</v>
      </c>
      <c r="S267" s="292">
        <f t="shared" si="146"/>
        <v>23.163</v>
      </c>
      <c r="T267" s="292">
        <f t="shared" si="146"/>
        <v>121.98700000000001</v>
      </c>
      <c r="U267" s="292">
        <f t="shared" si="146"/>
        <v>362.27399999999994</v>
      </c>
      <c r="V267" s="292">
        <f t="shared" si="146"/>
        <v>530.68799999999999</v>
      </c>
      <c r="W267" s="292">
        <f t="shared" si="146"/>
        <v>533.94099999999992</v>
      </c>
      <c r="X267" s="292">
        <f t="shared" si="146"/>
        <v>874.52300000000002</v>
      </c>
      <c r="Y267" s="292">
        <f t="shared" si="146"/>
        <v>719.72190999999987</v>
      </c>
      <c r="Z267" s="292">
        <f t="shared" si="146"/>
        <v>784.55683399999998</v>
      </c>
      <c r="AA267" s="292">
        <f t="shared" si="146"/>
        <v>1032.0883450000001</v>
      </c>
      <c r="AB267" s="292">
        <f t="shared" si="146"/>
        <v>1749.2384770000001</v>
      </c>
      <c r="AC267" s="146">
        <f>SUM(AC255:AC266)</f>
        <v>1639.7748390000002</v>
      </c>
      <c r="AD267" s="253">
        <f>AD34</f>
        <v>475</v>
      </c>
      <c r="AE267" s="253">
        <f>AE34</f>
        <v>1850</v>
      </c>
      <c r="AF267" s="253">
        <f>AF34</f>
        <v>2051</v>
      </c>
      <c r="AG267" s="253">
        <f t="shared" ref="AG267:AH267" si="147">AG34</f>
        <v>2051</v>
      </c>
      <c r="AH267" s="253">
        <f t="shared" si="147"/>
        <v>2051</v>
      </c>
    </row>
    <row r="268" spans="1:38">
      <c r="A268" s="248"/>
      <c r="B268" s="248"/>
      <c r="C268" s="248"/>
      <c r="E268" s="248"/>
      <c r="F268" s="248"/>
      <c r="G268" s="263"/>
      <c r="H268" s="254"/>
      <c r="I268" s="254"/>
      <c r="J268" s="254"/>
      <c r="K268" s="254"/>
      <c r="L268" s="254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  <c r="AD268" s="248"/>
      <c r="AE268" s="248"/>
      <c r="AF268" s="248"/>
      <c r="AG268" s="248"/>
      <c r="AH268" s="248"/>
    </row>
    <row r="269" spans="1:38" ht="15.75" thickBot="1">
      <c r="A269" s="235" t="s">
        <v>267</v>
      </c>
      <c r="D269" s="271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</row>
    <row r="270" spans="1:38" ht="15.75" thickBot="1">
      <c r="A270" s="236"/>
      <c r="B270" s="237" t="str">
        <f>B$2</f>
        <v xml:space="preserve">93/94 </v>
      </c>
      <c r="C270" s="237" t="str">
        <f t="shared" ref="C270:AH270" si="148">C$2</f>
        <v xml:space="preserve">94/95 </v>
      </c>
      <c r="D270" s="237" t="str">
        <f t="shared" si="148"/>
        <v xml:space="preserve">95/96 </v>
      </c>
      <c r="E270" s="237" t="str">
        <f t="shared" si="148"/>
        <v xml:space="preserve">96/97 </v>
      </c>
      <c r="F270" s="237" t="str">
        <f t="shared" si="148"/>
        <v xml:space="preserve">97/98 </v>
      </c>
      <c r="G270" s="237" t="str">
        <f t="shared" si="148"/>
        <v xml:space="preserve">98/99 </v>
      </c>
      <c r="H270" s="237" t="str">
        <f t="shared" si="148"/>
        <v xml:space="preserve">99/00 </v>
      </c>
      <c r="I270" s="237" t="str">
        <f t="shared" si="148"/>
        <v xml:space="preserve">00/01 </v>
      </c>
      <c r="J270" s="237" t="str">
        <f t="shared" si="148"/>
        <v xml:space="preserve">01/02 </v>
      </c>
      <c r="K270" s="237" t="str">
        <f t="shared" si="148"/>
        <v xml:space="preserve">02/03 </v>
      </c>
      <c r="L270" s="237" t="str">
        <f t="shared" si="148"/>
        <v xml:space="preserve">03/04 </v>
      </c>
      <c r="M270" s="237" t="str">
        <f t="shared" si="148"/>
        <v xml:space="preserve">04/05 </v>
      </c>
      <c r="N270" s="237" t="str">
        <f t="shared" si="148"/>
        <v xml:space="preserve">05/06 </v>
      </c>
      <c r="O270" s="237" t="str">
        <f t="shared" si="148"/>
        <v xml:space="preserve">06/07 </v>
      </c>
      <c r="P270" s="237" t="str">
        <f t="shared" si="148"/>
        <v xml:space="preserve">07/08 </v>
      </c>
      <c r="Q270" s="237" t="str">
        <f t="shared" si="148"/>
        <v xml:space="preserve">08/09 </v>
      </c>
      <c r="R270" s="237" t="str">
        <f t="shared" si="148"/>
        <v xml:space="preserve">09/10 </v>
      </c>
      <c r="S270" s="237" t="str">
        <f t="shared" si="148"/>
        <v xml:space="preserve">10/11 </v>
      </c>
      <c r="T270" s="237" t="str">
        <f t="shared" si="148"/>
        <v xml:space="preserve">11/12 </v>
      </c>
      <c r="U270" s="237" t="str">
        <f t="shared" si="148"/>
        <v xml:space="preserve">12/13 </v>
      </c>
      <c r="V270" s="237" t="str">
        <f t="shared" si="148"/>
        <v xml:space="preserve">13/14 </v>
      </c>
      <c r="W270" s="237" t="str">
        <f t="shared" si="148"/>
        <v xml:space="preserve">14/15 </v>
      </c>
      <c r="X270" s="237" t="str">
        <f t="shared" si="148"/>
        <v xml:space="preserve">15/16 </v>
      </c>
      <c r="Y270" s="237" t="str">
        <f t="shared" si="148"/>
        <v xml:space="preserve">16/17 </v>
      </c>
      <c r="Z270" s="237" t="str">
        <f t="shared" si="148"/>
        <v xml:space="preserve">17/18 </v>
      </c>
      <c r="AA270" s="237" t="str">
        <f t="shared" si="148"/>
        <v xml:space="preserve">18/19 </v>
      </c>
      <c r="AB270" s="237" t="str">
        <f t="shared" si="148"/>
        <v xml:space="preserve">19/20 </v>
      </c>
      <c r="AC270" s="237" t="str">
        <f t="shared" si="148"/>
        <v xml:space="preserve">20/21 </v>
      </c>
      <c r="AD270" s="237" t="str">
        <f t="shared" si="148"/>
        <v xml:space="preserve">21/22 </v>
      </c>
      <c r="AE270" s="237" t="str">
        <f t="shared" si="148"/>
        <v xml:space="preserve">22/23 </v>
      </c>
      <c r="AF270" s="237" t="str">
        <f t="shared" si="148"/>
        <v>23/24</v>
      </c>
      <c r="AG270" s="237" t="str">
        <f t="shared" si="148"/>
        <v>23/25</v>
      </c>
      <c r="AH270" s="237" t="str">
        <f t="shared" si="148"/>
        <v>23/26</v>
      </c>
    </row>
    <row r="271" spans="1:38">
      <c r="A271" s="240" t="s">
        <v>239</v>
      </c>
      <c r="B271" s="241">
        <f>(SUM(K271:O271)/SUM(K$60:O$60))*B$60</f>
        <v>0</v>
      </c>
      <c r="C271" s="241">
        <v>0</v>
      </c>
      <c r="D271" s="242">
        <f>'[2]China Sun Oil Exports'!BD$290</f>
        <v>0.32700000000000001</v>
      </c>
      <c r="E271" s="242">
        <f>'[2]China Sun Oil Exports'!BP$290</f>
        <v>0.02</v>
      </c>
      <c r="F271" s="242">
        <f>'[2]China Sun Oil Exports'!CB$290</f>
        <v>0.04</v>
      </c>
      <c r="G271" s="242">
        <f>'[2]China Sun Oil Exports'!CN$290</f>
        <v>0</v>
      </c>
      <c r="H271" s="242">
        <f>'[2]China Sun Oil Exports'!CZ$290</f>
        <v>0</v>
      </c>
      <c r="I271" s="242">
        <f>'[2]China Sun Oil Exports'!DL$290</f>
        <v>0</v>
      </c>
      <c r="J271" s="242">
        <f>'[2]China Sun Oil Exports'!DX$290</f>
        <v>0</v>
      </c>
      <c r="K271" s="242">
        <f>'[2]China Sun Oil Exports'!EJ$290</f>
        <v>0.12074</v>
      </c>
      <c r="L271" s="242">
        <f>'[2]China Sun Oil Exports'!EV$290</f>
        <v>0</v>
      </c>
      <c r="M271" s="242">
        <f>'[2]China Sun Oil Exports'!FH$290</f>
        <v>9.5E-4</v>
      </c>
      <c r="N271" s="242">
        <f>'[2]China Sun Oil Exports'!FT$290</f>
        <v>1.017355</v>
      </c>
      <c r="O271" s="242">
        <f>'[2]China Sun Oil Exports'!GF$290</f>
        <v>3.6999999999999998E-2</v>
      </c>
      <c r="P271" s="242">
        <f>'[2]China Sun Oil Exports'!GR$290</f>
        <v>5.0000000000000001E-3</v>
      </c>
      <c r="Q271" s="242">
        <f>'[2]China Sun Oil Exports'!HD$290</f>
        <v>0.371</v>
      </c>
      <c r="R271" s="242">
        <f>'[2]China Sun Oil Exports'!HP$290</f>
        <v>6.0000000000000001E-3</v>
      </c>
      <c r="S271" s="242">
        <f>'[2]China Sun Oil Exports'!IB$290</f>
        <v>1E-3</v>
      </c>
      <c r="T271" s="242">
        <f>'[2]China Sun Oil Exports'!IN$290</f>
        <v>0.123</v>
      </c>
      <c r="U271" s="242">
        <f>'[2]China Sun Oil Exports'!IZ$290</f>
        <v>6.0000000000000001E-3</v>
      </c>
      <c r="V271" s="242">
        <f>'[2]China Sun Oil Exports'!JL$290</f>
        <v>0.159</v>
      </c>
      <c r="W271" s="242">
        <f>'[2]China Sun Oil Exports'!JX$290</f>
        <v>9.4E-2</v>
      </c>
      <c r="X271" s="242">
        <f>'[2]China Sun Oil Exports'!KJ$290</f>
        <v>1.7000000000000001E-2</v>
      </c>
      <c r="Y271" s="242">
        <f>'[2]China Sun Oil Exports'!KV$290</f>
        <v>3.0000000000000001E-3</v>
      </c>
      <c r="Z271" s="242">
        <f>'[2]China Sun Oil Exports'!LH$290</f>
        <v>4.9910999999999997E-2</v>
      </c>
      <c r="AA271" s="242">
        <f>'[2]China Sun Oil Exports'!LT$290</f>
        <v>0.134683</v>
      </c>
      <c r="AB271" s="242">
        <f>'[2]China Sun Oil Exports'!MF$290</f>
        <v>0.38439299999999998</v>
      </c>
      <c r="AC271" s="242">
        <f>'[2]China Sun Oil Exports'!MR$290</f>
        <v>0.29863000000000001</v>
      </c>
      <c r="AD271" s="242">
        <f>'[2]China Sun Oil Exports'!ND$290</f>
        <v>0.22800000000000001</v>
      </c>
      <c r="AE271" s="243">
        <f t="shared" ref="AD271:AF281" si="149">(SUM(Y271:AC271)/SUM(Y$283:AC$283))*AE$283</f>
        <v>0.21930484220114715</v>
      </c>
      <c r="AF271" s="243">
        <f t="shared" si="149"/>
        <v>0.24930288200103212</v>
      </c>
      <c r="AG271" s="243">
        <f t="shared" ref="AG271:AG281" si="150">(SUM(AA271:AE271)/SUM(AA$283:AE$283))*AG$283</f>
        <v>0.3234414458185087</v>
      </c>
      <c r="AH271" s="243">
        <f t="shared" ref="AH271:AH281" si="151">(SUM(AB271:AF271)/SUM(AB$283:AF$283))*AH$283</f>
        <v>0.35652844803266437</v>
      </c>
    </row>
    <row r="272" spans="1:38">
      <c r="A272" s="240" t="s">
        <v>240</v>
      </c>
      <c r="B272" s="241">
        <f t="shared" ref="B272:B281" si="152">(SUM(K272:O272)/SUM(K$60:O$60))*B$60</f>
        <v>0</v>
      </c>
      <c r="C272" s="241">
        <v>0</v>
      </c>
      <c r="D272" s="242">
        <f>'[2]China Sun Oil Exports'!BE$290</f>
        <v>6.4854999999999996E-2</v>
      </c>
      <c r="E272" s="242">
        <f>'[2]China Sun Oil Exports'!BQ$290</f>
        <v>0</v>
      </c>
      <c r="F272" s="242">
        <f>'[2]China Sun Oil Exports'!CC$290</f>
        <v>1E-3</v>
      </c>
      <c r="G272" s="242">
        <f>'[2]China Sun Oil Exports'!CO$290</f>
        <v>2.0000000000000002E-5</v>
      </c>
      <c r="H272" s="242">
        <f>'[2]China Sun Oil Exports'!DA$290</f>
        <v>0</v>
      </c>
      <c r="I272" s="242">
        <f>'[2]China Sun Oil Exports'!DM$290</f>
        <v>0</v>
      </c>
      <c r="J272" s="242">
        <f>'[2]China Sun Oil Exports'!DY$290</f>
        <v>5.9200000000000003E-2</v>
      </c>
      <c r="K272" s="242">
        <f>'[2]China Sun Oil Exports'!EK$290</f>
        <v>4.2199999999999998E-3</v>
      </c>
      <c r="L272" s="242">
        <f>'[2]China Sun Oil Exports'!EW$290</f>
        <v>1.1247999999999999E-2</v>
      </c>
      <c r="M272" s="242">
        <f>'[2]China Sun Oil Exports'!FI$290</f>
        <v>0</v>
      </c>
      <c r="N272" s="242">
        <f>'[2]China Sun Oil Exports'!FU$290</f>
        <v>0</v>
      </c>
      <c r="O272" s="242">
        <f>'[2]China Sun Oil Exports'!GG$290</f>
        <v>3.0000000000000001E-3</v>
      </c>
      <c r="P272" s="242">
        <f>'[2]China Sun Oil Exports'!GS$290</f>
        <v>6.0000000000000001E-3</v>
      </c>
      <c r="Q272" s="242">
        <f>'[2]China Sun Oil Exports'!HE$290</f>
        <v>0</v>
      </c>
      <c r="R272" s="242">
        <f>'[2]China Sun Oil Exports'!HQ$290</f>
        <v>1.4E-2</v>
      </c>
      <c r="S272" s="242">
        <f>'[2]China Sun Oil Exports'!IC$290</f>
        <v>1.0999999999999999E-2</v>
      </c>
      <c r="T272" s="242">
        <f>'[2]China Sun Oil Exports'!IO$290</f>
        <v>0.115</v>
      </c>
      <c r="U272" s="242">
        <f>'[2]China Sun Oil Exports'!JA$290</f>
        <v>0.24199999999999999</v>
      </c>
      <c r="V272" s="242">
        <f>'[2]China Sun Oil Exports'!JM$290</f>
        <v>0.126</v>
      </c>
      <c r="W272" s="242">
        <f>'[2]China Sun Oil Exports'!JY$290</f>
        <v>5.5E-2</v>
      </c>
      <c r="X272" s="242">
        <f>'[2]China Sun Oil Exports'!KK$290</f>
        <v>2E-3</v>
      </c>
      <c r="Y272" s="242">
        <f>'[2]China Sun Oil Exports'!KW$290</f>
        <v>1.4E-2</v>
      </c>
      <c r="Z272" s="242">
        <f>'[2]China Sun Oil Exports'!LI$290</f>
        <v>0.17143800000000001</v>
      </c>
      <c r="AA272" s="242">
        <f>'[2]China Sun Oil Exports'!LU$290</f>
        <v>0.21498300000000001</v>
      </c>
      <c r="AB272" s="242">
        <f>'[2]China Sun Oil Exports'!MG$290</f>
        <v>0.26899600000000001</v>
      </c>
      <c r="AC272" s="242">
        <f>'[2]China Sun Oil Exports'!MS$290</f>
        <v>0.27554699999999999</v>
      </c>
      <c r="AD272" s="242">
        <f>'[2]China Sun Oil Exports'!NE$290</f>
        <v>0.26100000000000001</v>
      </c>
      <c r="AE272" s="243">
        <f t="shared" si="149"/>
        <v>0.23803254577588631</v>
      </c>
      <c r="AF272" s="243">
        <f t="shared" si="149"/>
        <v>0.27122622270508606</v>
      </c>
      <c r="AG272" s="243">
        <f t="shared" si="150"/>
        <v>0.32179170495067183</v>
      </c>
      <c r="AH272" s="243">
        <f t="shared" si="151"/>
        <v>0.33977514835225442</v>
      </c>
    </row>
    <row r="273" spans="1:34">
      <c r="A273" s="240" t="s">
        <v>241</v>
      </c>
      <c r="B273" s="241">
        <f t="shared" si="152"/>
        <v>0</v>
      </c>
      <c r="C273" s="241">
        <v>0</v>
      </c>
      <c r="D273" s="242">
        <f>'[2]China Sun Oil Exports'!BF$290</f>
        <v>0.42582799999999998</v>
      </c>
      <c r="E273" s="242">
        <f>'[2]China Sun Oil Exports'!BR$290</f>
        <v>0</v>
      </c>
      <c r="F273" s="242">
        <f>'[2]China Sun Oil Exports'!CD$290</f>
        <v>0</v>
      </c>
      <c r="G273" s="242">
        <f>'[2]China Sun Oil Exports'!CP$290</f>
        <v>0</v>
      </c>
      <c r="H273" s="242">
        <f>'[2]China Sun Oil Exports'!DB$290</f>
        <v>5.3999999999999998E-5</v>
      </c>
      <c r="I273" s="242">
        <f>'[2]China Sun Oil Exports'!DN$290</f>
        <v>0</v>
      </c>
      <c r="J273" s="242">
        <f>'[2]China Sun Oil Exports'!DZ$290</f>
        <v>0</v>
      </c>
      <c r="K273" s="242">
        <f>'[2]China Sun Oil Exports'!EL$290</f>
        <v>0</v>
      </c>
      <c r="L273" s="242">
        <f>'[2]China Sun Oil Exports'!EX$290</f>
        <v>0</v>
      </c>
      <c r="M273" s="242">
        <f>'[2]China Sun Oil Exports'!FJ$290</f>
        <v>1.5200000000000001E-3</v>
      </c>
      <c r="N273" s="242">
        <f>'[2]China Sun Oil Exports'!FV$290</f>
        <v>1.0999999999999999E-2</v>
      </c>
      <c r="O273" s="242">
        <f>'[2]China Sun Oil Exports'!GH$290</f>
        <v>0.01</v>
      </c>
      <c r="P273" s="242">
        <f>'[2]China Sun Oil Exports'!GT$290</f>
        <v>2.4E-2</v>
      </c>
      <c r="Q273" s="242">
        <f>'[2]China Sun Oil Exports'!HF$290</f>
        <v>0</v>
      </c>
      <c r="R273" s="242">
        <f>'[2]China Sun Oil Exports'!HR$290</f>
        <v>9.7000000000000003E-2</v>
      </c>
      <c r="S273" s="242">
        <f>'[2]China Sun Oil Exports'!ID$290</f>
        <v>1.6E-2</v>
      </c>
      <c r="T273" s="242">
        <f>'[2]China Sun Oil Exports'!IP$290</f>
        <v>0.108</v>
      </c>
      <c r="U273" s="242">
        <f>'[2]China Sun Oil Exports'!JB$290</f>
        <v>6.9000000000000006E-2</v>
      </c>
      <c r="V273" s="242">
        <f>'[2]China Sun Oil Exports'!JN$290</f>
        <v>0.16400000000000001</v>
      </c>
      <c r="W273" s="242">
        <f>'[2]China Sun Oil Exports'!JZ$290</f>
        <v>0.20899999999999999</v>
      </c>
      <c r="X273" s="242">
        <f>'[2]China Sun Oil Exports'!KL$290</f>
        <v>0.17699999999999999</v>
      </c>
      <c r="Y273" s="242">
        <f>'[2]China Sun Oil Exports'!KX$290</f>
        <v>0.125</v>
      </c>
      <c r="Z273" s="242">
        <f>'[2]China Sun Oil Exports'!LJ$290</f>
        <v>0.41975200000000001</v>
      </c>
      <c r="AA273" s="242">
        <f>'[2]China Sun Oil Exports'!LV$290</f>
        <v>6.6975000000000007E-2</v>
      </c>
      <c r="AB273" s="242">
        <f>'[2]China Sun Oil Exports'!MH$290</f>
        <v>0.49840800000000002</v>
      </c>
      <c r="AC273" s="242">
        <f>'[2]China Sun Oil Exports'!MT$290</f>
        <v>0.47606300000000001</v>
      </c>
      <c r="AD273" s="242">
        <f>'[2]China Sun Oil Exports'!NF$290</f>
        <v>0.23799999999999999</v>
      </c>
      <c r="AE273" s="243">
        <f t="shared" si="149"/>
        <v>0.39955675353200687</v>
      </c>
      <c r="AF273" s="243">
        <f t="shared" si="149"/>
        <v>0.3866451127450467</v>
      </c>
      <c r="AG273" s="243">
        <f t="shared" si="150"/>
        <v>0.42929203451783432</v>
      </c>
      <c r="AH273" s="243">
        <f t="shared" si="151"/>
        <v>0.51650323716212676</v>
      </c>
    </row>
    <row r="274" spans="1:34">
      <c r="A274" s="240" t="s">
        <v>231</v>
      </c>
      <c r="B274" s="241">
        <f t="shared" si="152"/>
        <v>0</v>
      </c>
      <c r="C274" s="242">
        <f>'[2]China Sun Oil Exports'!AU$290</f>
        <v>8.9990000000000001E-2</v>
      </c>
      <c r="D274" s="242">
        <f>'[2]China Sun Oil Exports'!BG$290</f>
        <v>0.28020499999999998</v>
      </c>
      <c r="E274" s="242">
        <f>'[2]China Sun Oil Exports'!BS$290</f>
        <v>0</v>
      </c>
      <c r="F274" s="242">
        <f>'[2]China Sun Oil Exports'!CE$290</f>
        <v>0</v>
      </c>
      <c r="G274" s="242">
        <f>'[2]China Sun Oil Exports'!CQ$290</f>
        <v>0</v>
      </c>
      <c r="H274" s="242">
        <f>'[2]China Sun Oil Exports'!DC$290</f>
        <v>0</v>
      </c>
      <c r="I274" s="242">
        <f>'[2]China Sun Oil Exports'!DO$290</f>
        <v>0</v>
      </c>
      <c r="J274" s="242">
        <f>'[2]China Sun Oil Exports'!EA$290</f>
        <v>5.9200000000000003E-2</v>
      </c>
      <c r="K274" s="242">
        <f>'[2]China Sun Oil Exports'!EM$290</f>
        <v>8.0890000000000004E-2</v>
      </c>
      <c r="L274" s="242">
        <f>'[2]China Sun Oil Exports'!EY$290</f>
        <v>0</v>
      </c>
      <c r="M274" s="242">
        <f>'[2]China Sun Oil Exports'!FK$290</f>
        <v>4.5199999999999997E-3</v>
      </c>
      <c r="N274" s="242">
        <f>'[2]China Sun Oil Exports'!FW$290</f>
        <v>1.2999999999999999E-2</v>
      </c>
      <c r="O274" s="242">
        <f>'[2]China Sun Oil Exports'!GI$290</f>
        <v>1.4E-2</v>
      </c>
      <c r="P274" s="242">
        <f>'[2]China Sun Oil Exports'!GU$290</f>
        <v>0.873</v>
      </c>
      <c r="Q274" s="242">
        <f>'[2]China Sun Oil Exports'!HG$290</f>
        <v>8.0000000000000002E-3</v>
      </c>
      <c r="R274" s="242">
        <f>'[2]China Sun Oil Exports'!HS$290</f>
        <v>1.0999999999999999E-2</v>
      </c>
      <c r="S274" s="242">
        <f>'[2]China Sun Oil Exports'!IE$290</f>
        <v>4.3999999999999997E-2</v>
      </c>
      <c r="T274" s="242">
        <f>'[2]China Sun Oil Exports'!IQ$290</f>
        <v>7.0000000000000001E-3</v>
      </c>
      <c r="U274" s="242">
        <f>'[2]China Sun Oil Exports'!JC$290</f>
        <v>0.105</v>
      </c>
      <c r="V274" s="242">
        <f>'[2]China Sun Oil Exports'!JO$290</f>
        <v>0.13</v>
      </c>
      <c r="W274" s="242">
        <f>'[2]China Sun Oil Exports'!KA$290</f>
        <v>8.7999999999999995E-2</v>
      </c>
      <c r="X274" s="242">
        <f>'[2]China Sun Oil Exports'!KM$290</f>
        <v>0.17</v>
      </c>
      <c r="Y274" s="242">
        <f>'[2]China Sun Oil Exports'!KY$290</f>
        <v>0.247</v>
      </c>
      <c r="Z274" s="242">
        <f>'[2]China Sun Oil Exports'!LK$290</f>
        <v>3.6367999999999998E-2</v>
      </c>
      <c r="AA274" s="242">
        <f>'[2]China Sun Oil Exports'!LW$290</f>
        <v>0.15679299999999999</v>
      </c>
      <c r="AB274" s="242">
        <f>'[2]China Sun Oil Exports'!MI$290</f>
        <v>7.2607000000000005E-2</v>
      </c>
      <c r="AC274" s="242">
        <f>'[2]China Sun Oil Exports'!MU$290</f>
        <v>0.114</v>
      </c>
      <c r="AD274" s="242">
        <f>'[2]China Sun Oil Exports'!NG$290</f>
        <v>0.183</v>
      </c>
      <c r="AE274" s="243">
        <f t="shared" si="149"/>
        <v>0.15788028184233549</v>
      </c>
      <c r="AF274" s="243">
        <f t="shared" si="149"/>
        <v>0.12805541014602442</v>
      </c>
      <c r="AG274" s="243">
        <f t="shared" si="150"/>
        <v>0.17495866147603276</v>
      </c>
      <c r="AH274" s="243">
        <f t="shared" si="151"/>
        <v>0.16940737437470568</v>
      </c>
    </row>
    <row r="275" spans="1:34">
      <c r="A275" s="240" t="s">
        <v>232</v>
      </c>
      <c r="B275" s="241">
        <f t="shared" si="152"/>
        <v>0</v>
      </c>
      <c r="C275" s="242">
        <f>'[2]China Sun Oil Exports'!AV$290</f>
        <v>0.1</v>
      </c>
      <c r="D275" s="242">
        <f>'[2]China Sun Oil Exports'!BH$290</f>
        <v>0</v>
      </c>
      <c r="E275" s="242">
        <f>'[2]China Sun Oil Exports'!BT$290</f>
        <v>0</v>
      </c>
      <c r="F275" s="242">
        <f>'[2]China Sun Oil Exports'!CF$290</f>
        <v>9.1787999999999995E-2</v>
      </c>
      <c r="G275" s="242">
        <f>'[2]China Sun Oil Exports'!CR$290</f>
        <v>0</v>
      </c>
      <c r="H275" s="242">
        <f>'[2]China Sun Oil Exports'!DD$290</f>
        <v>0</v>
      </c>
      <c r="I275" s="242">
        <f>'[2]China Sun Oil Exports'!DP$290</f>
        <v>0</v>
      </c>
      <c r="J275" s="242">
        <f>'[2]China Sun Oil Exports'!EB$290</f>
        <v>0.46428000000000003</v>
      </c>
      <c r="K275" s="242">
        <f>'[2]China Sun Oil Exports'!EN$290</f>
        <v>0</v>
      </c>
      <c r="L275" s="242">
        <f>'[2]China Sun Oil Exports'!EZ$290</f>
        <v>2.2799999999999999E-3</v>
      </c>
      <c r="M275" s="242">
        <f>'[2]China Sun Oil Exports'!FL$290</f>
        <v>2.7359999999999999E-2</v>
      </c>
      <c r="N275" s="242">
        <f>'[2]China Sun Oil Exports'!FX$290</f>
        <v>0</v>
      </c>
      <c r="O275" s="242">
        <f>'[2]China Sun Oil Exports'!GJ$290</f>
        <v>0</v>
      </c>
      <c r="P275" s="242">
        <f>'[2]China Sun Oil Exports'!GV$290</f>
        <v>0.13</v>
      </c>
      <c r="Q275" s="242">
        <f>'[2]China Sun Oil Exports'!HH$290</f>
        <v>0</v>
      </c>
      <c r="R275" s="242">
        <f>'[2]China Sun Oil Exports'!HT$290</f>
        <v>3.0000000000000001E-3</v>
      </c>
      <c r="S275" s="242">
        <f>'[2]China Sun Oil Exports'!IF$290</f>
        <v>1.9E-2</v>
      </c>
      <c r="T275" s="242">
        <f>'[2]China Sun Oil Exports'!IR$290</f>
        <v>0.10299999999999999</v>
      </c>
      <c r="U275" s="242">
        <f>'[2]China Sun Oil Exports'!JD$290</f>
        <v>0.114</v>
      </c>
      <c r="V275" s="242">
        <f>'[2]China Sun Oil Exports'!JP$290</f>
        <v>0.16</v>
      </c>
      <c r="W275" s="242">
        <f>'[2]China Sun Oil Exports'!KB$290</f>
        <v>0.25800000000000001</v>
      </c>
      <c r="X275" s="242">
        <f>'[2]China Sun Oil Exports'!KN$290</f>
        <v>0.123</v>
      </c>
      <c r="Y275" s="242">
        <f>'[2]China Sun Oil Exports'!KZ$290</f>
        <v>1E-3</v>
      </c>
      <c r="Z275" s="242">
        <f>'[2]China Sun Oil Exports'!LL$290</f>
        <v>0.243809</v>
      </c>
      <c r="AA275" s="242">
        <f>'[2]China Sun Oil Exports'!LX$290</f>
        <v>4.8661999999999997E-2</v>
      </c>
      <c r="AB275" s="242">
        <f>'[2]China Sun Oil Exports'!MJ$290</f>
        <v>7.2607000000000005E-2</v>
      </c>
      <c r="AC275" s="242">
        <f>'[2]China Sun Oil Exports'!MV$290</f>
        <v>0.28999999999999998</v>
      </c>
      <c r="AD275" s="242">
        <f>'[2]China Sun Oil Exports'!NH$290</f>
        <v>0.13500000000000001</v>
      </c>
      <c r="AE275" s="243">
        <f t="shared" si="149"/>
        <v>0.1652633503155167</v>
      </c>
      <c r="AF275" s="243">
        <f t="shared" si="149"/>
        <v>0.17977881176141983</v>
      </c>
      <c r="AG275" s="243">
        <f t="shared" si="150"/>
        <v>0.18192654517667631</v>
      </c>
      <c r="AH275" s="243">
        <f t="shared" si="151"/>
        <v>0.21776000832762601</v>
      </c>
    </row>
    <row r="276" spans="1:34">
      <c r="A276" s="240" t="s">
        <v>233</v>
      </c>
      <c r="B276" s="241">
        <f t="shared" si="152"/>
        <v>0</v>
      </c>
      <c r="C276" s="242">
        <f>'[2]China Sun Oil Exports'!AW$290</f>
        <v>0</v>
      </c>
      <c r="D276" s="242">
        <f>'[2]China Sun Oil Exports'!BI$290</f>
        <v>1.1999999999999999E-3</v>
      </c>
      <c r="E276" s="242">
        <f>'[2]China Sun Oil Exports'!BU$290</f>
        <v>1.8E-5</v>
      </c>
      <c r="F276" s="242">
        <f>'[2]China Sun Oil Exports'!CG$290</f>
        <v>0.22159899999999999</v>
      </c>
      <c r="G276" s="242">
        <f>'[2]China Sun Oil Exports'!CS$290</f>
        <v>3.0000000000000001E-5</v>
      </c>
      <c r="H276" s="242">
        <f>'[2]China Sun Oil Exports'!DE$290</f>
        <v>2.0000000000000001E-4</v>
      </c>
      <c r="I276" s="242">
        <f>'[2]China Sun Oil Exports'!DQ$290</f>
        <v>4.4400000000000002E-2</v>
      </c>
      <c r="J276" s="242">
        <f>'[2]China Sun Oil Exports'!EC$290</f>
        <v>5.586E-2</v>
      </c>
      <c r="K276" s="242">
        <f>'[2]China Sun Oil Exports'!EO$290</f>
        <v>0.14188999999999999</v>
      </c>
      <c r="L276" s="242">
        <f>'[2]China Sun Oil Exports'!FA$290</f>
        <v>0</v>
      </c>
      <c r="M276" s="242">
        <f>'[2]China Sun Oil Exports'!FM$290</f>
        <v>2.8879999999999999E-2</v>
      </c>
      <c r="N276" s="242">
        <f>'[2]China Sun Oil Exports'!FY$290</f>
        <v>3.3000000000000002E-2</v>
      </c>
      <c r="O276" s="242">
        <f>'[2]China Sun Oil Exports'!GK$290</f>
        <v>0</v>
      </c>
      <c r="P276" s="242">
        <f>'[2]China Sun Oil Exports'!GW$290</f>
        <v>4.2000000000000003E-2</v>
      </c>
      <c r="Q276" s="242">
        <f>'[2]China Sun Oil Exports'!HI$290</f>
        <v>1.4999999999999999E-2</v>
      </c>
      <c r="R276" s="242">
        <f>'[2]China Sun Oil Exports'!HU$290</f>
        <v>1E-3</v>
      </c>
      <c r="S276" s="242">
        <f>'[2]China Sun Oil Exports'!IG$290</f>
        <v>0.10199999999999999</v>
      </c>
      <c r="T276" s="242">
        <f>'[2]China Sun Oil Exports'!IS$290</f>
        <v>0.12</v>
      </c>
      <c r="U276" s="242">
        <f>'[2]China Sun Oil Exports'!JE$290</f>
        <v>0.16300000000000001</v>
      </c>
      <c r="V276" s="242">
        <f>'[2]China Sun Oil Exports'!JQ$290</f>
        <v>8.0000000000000002E-3</v>
      </c>
      <c r="W276" s="242">
        <f>'[2]China Sun Oil Exports'!KC$290</f>
        <v>0.04</v>
      </c>
      <c r="X276" s="242">
        <f>'[2]China Sun Oil Exports'!KO$290</f>
        <v>6.0000000000000001E-3</v>
      </c>
      <c r="Y276" s="242">
        <f>'[2]China Sun Oil Exports'!LA$290</f>
        <v>0.126</v>
      </c>
      <c r="Z276" s="242">
        <f>'[2]China Sun Oil Exports'!LM$290</f>
        <v>0.13297999999999999</v>
      </c>
      <c r="AA276" s="242">
        <f>'[2]China Sun Oil Exports'!LY$290</f>
        <v>0.47912399999999999</v>
      </c>
      <c r="AB276" s="242">
        <f>'[2]China Sun Oil Exports'!MK$290</f>
        <v>0.274229</v>
      </c>
      <c r="AC276" s="242">
        <f>'[2]China Sun Oil Exports'!MW$290</f>
        <v>0.38200000000000001</v>
      </c>
      <c r="AD276" s="242">
        <f>'[2]China Sun Oil Exports'!NI$290</f>
        <v>0.25700000000000001</v>
      </c>
      <c r="AE276" s="243">
        <f t="shared" si="149"/>
        <v>0.35122674900771766</v>
      </c>
      <c r="AF276" s="243">
        <f t="shared" si="149"/>
        <v>0.34708288837365653</v>
      </c>
      <c r="AG276" s="243">
        <f t="shared" si="150"/>
        <v>0.445803258047694</v>
      </c>
      <c r="AH276" s="243">
        <f t="shared" si="151"/>
        <v>0.4164588097749965</v>
      </c>
    </row>
    <row r="277" spans="1:34">
      <c r="A277" s="240" t="s">
        <v>234</v>
      </c>
      <c r="B277" s="241">
        <f t="shared" si="152"/>
        <v>0</v>
      </c>
      <c r="C277" s="242">
        <f>'[2]China Sun Oil Exports'!AX$290</f>
        <v>9.5600000000000004E-2</v>
      </c>
      <c r="D277" s="242">
        <f>'[2]China Sun Oil Exports'!BJ$290</f>
        <v>0</v>
      </c>
      <c r="E277" s="242">
        <f>'[2]China Sun Oil Exports'!BV$290</f>
        <v>0</v>
      </c>
      <c r="F277" s="242">
        <f>'[2]China Sun Oil Exports'!CH$290</f>
        <v>0</v>
      </c>
      <c r="G277" s="242">
        <f>'[2]China Sun Oil Exports'!CT$290</f>
        <v>0</v>
      </c>
      <c r="H277" s="242">
        <f>'[2]China Sun Oil Exports'!DF$290</f>
        <v>0</v>
      </c>
      <c r="I277" s="242">
        <f>'[2]China Sun Oil Exports'!DR$290</f>
        <v>0</v>
      </c>
      <c r="J277" s="242">
        <f>'[2]China Sun Oil Exports'!ED$290</f>
        <v>2.0140000000000002E-2</v>
      </c>
      <c r="K277" s="242">
        <f>'[2]China Sun Oil Exports'!EP$290</f>
        <v>6.5409999999999996E-2</v>
      </c>
      <c r="L277" s="242">
        <f>'[2]China Sun Oil Exports'!FB$290</f>
        <v>0</v>
      </c>
      <c r="M277" s="242">
        <f>'[2]China Sun Oil Exports'!FN$290</f>
        <v>1.3679999999999999E-2</v>
      </c>
      <c r="N277" s="242">
        <f>'[2]China Sun Oil Exports'!FZ$290</f>
        <v>2E-3</v>
      </c>
      <c r="O277" s="242">
        <f>'[2]China Sun Oil Exports'!GL$290</f>
        <v>1E-3</v>
      </c>
      <c r="P277" s="242">
        <f>'[2]China Sun Oil Exports'!GX$290</f>
        <v>0</v>
      </c>
      <c r="Q277" s="242">
        <f>'[2]China Sun Oil Exports'!HJ$290</f>
        <v>6.3E-2</v>
      </c>
      <c r="R277" s="242">
        <f>'[2]China Sun Oil Exports'!HV$290</f>
        <v>0</v>
      </c>
      <c r="S277" s="242">
        <f>'[2]China Sun Oil Exports'!IH$290</f>
        <v>1.7000000000000001E-2</v>
      </c>
      <c r="T277" s="242">
        <f>'[2]China Sun Oil Exports'!IT$290</f>
        <v>0.104</v>
      </c>
      <c r="U277" s="242">
        <f>'[2]China Sun Oil Exports'!JF$290</f>
        <v>5.0000000000000001E-3</v>
      </c>
      <c r="V277" s="242">
        <f>'[2]China Sun Oil Exports'!JR$290</f>
        <v>0.13300000000000001</v>
      </c>
      <c r="W277" s="242">
        <f>'[2]China Sun Oil Exports'!KD$290</f>
        <v>1E-3</v>
      </c>
      <c r="X277" s="242">
        <f>'[2]China Sun Oil Exports'!KP$290</f>
        <v>0.188</v>
      </c>
      <c r="Y277" s="242">
        <f>'[2]China Sun Oil Exports'!LB$290</f>
        <v>0.187</v>
      </c>
      <c r="Z277" s="242">
        <f>'[2]China Sun Oil Exports'!LN$290</f>
        <v>0.12687000000000001</v>
      </c>
      <c r="AA277" s="242">
        <f>'[2]China Sun Oil Exports'!LZ$290</f>
        <v>0.16939899999999999</v>
      </c>
      <c r="AB277" s="242">
        <f>'[2]China Sun Oil Exports'!ML$290</f>
        <v>0.174065</v>
      </c>
      <c r="AC277" s="242">
        <f>'[2]China Sun Oil Exports'!MX$290</f>
        <v>0.22</v>
      </c>
      <c r="AD277" s="243">
        <f t="shared" si="149"/>
        <v>0.24626471299404637</v>
      </c>
      <c r="AE277" s="243">
        <f t="shared" si="149"/>
        <v>0.22099682687990382</v>
      </c>
      <c r="AF277" s="243">
        <f t="shared" si="149"/>
        <v>0.21311896258261176</v>
      </c>
      <c r="AG277" s="243">
        <f t="shared" si="150"/>
        <v>0.26353873637857983</v>
      </c>
      <c r="AH277" s="243">
        <f t="shared" si="151"/>
        <v>0.2776615370812639</v>
      </c>
    </row>
    <row r="278" spans="1:34">
      <c r="A278" s="240" t="s">
        <v>46</v>
      </c>
      <c r="B278" s="241">
        <f t="shared" si="152"/>
        <v>0</v>
      </c>
      <c r="C278" s="242">
        <f>'[2]China Sun Oil Exports'!AY$290</f>
        <v>2.1080000000000002E-2</v>
      </c>
      <c r="D278" s="242">
        <f>'[2]China Sun Oil Exports'!BK$290</f>
        <v>2.1344999999999999E-2</v>
      </c>
      <c r="E278" s="242">
        <f>'[2]China Sun Oil Exports'!BW$290</f>
        <v>7.0000000000000007E-2</v>
      </c>
      <c r="F278" s="242">
        <f>'[2]China Sun Oil Exports'!CI$290</f>
        <v>0</v>
      </c>
      <c r="G278" s="242">
        <f>'[2]China Sun Oil Exports'!CU$290</f>
        <v>0</v>
      </c>
      <c r="H278" s="242">
        <f>'[2]China Sun Oil Exports'!DG$290</f>
        <v>0</v>
      </c>
      <c r="I278" s="242">
        <f>'[2]China Sun Oil Exports'!DS$290</f>
        <v>5.9200000000000003E-2</v>
      </c>
      <c r="J278" s="242">
        <f>'[2]China Sun Oil Exports'!EE$290</f>
        <v>0</v>
      </c>
      <c r="K278" s="242">
        <f>'[2]China Sun Oil Exports'!EQ$290</f>
        <v>8.0199999999999994E-2</v>
      </c>
      <c r="L278" s="242">
        <f>'[2]China Sun Oil Exports'!FC$290</f>
        <v>4.7999999999999996E-3</v>
      </c>
      <c r="M278" s="242">
        <f>'[2]China Sun Oil Exports'!FO$290</f>
        <v>3.2699999999999999E-3</v>
      </c>
      <c r="N278" s="242">
        <f>'[2]China Sun Oil Exports'!GA$290</f>
        <v>0</v>
      </c>
      <c r="O278" s="242">
        <f>'[2]China Sun Oil Exports'!GM$290</f>
        <v>0</v>
      </c>
      <c r="P278" s="242">
        <f>'[2]China Sun Oil Exports'!GY$290</f>
        <v>7.2999999999999995E-2</v>
      </c>
      <c r="Q278" s="242">
        <f>'[2]China Sun Oil Exports'!HK$290</f>
        <v>0</v>
      </c>
      <c r="R278" s="242">
        <f>'[2]China Sun Oil Exports'!HW$290</f>
        <v>4.2000000000000003E-2</v>
      </c>
      <c r="S278" s="242">
        <f>'[2]China Sun Oil Exports'!II$290</f>
        <v>0.104</v>
      </c>
      <c r="T278" s="242">
        <f>'[2]China Sun Oil Exports'!IU$290</f>
        <v>0.123</v>
      </c>
      <c r="U278" s="242">
        <f>'[2]China Sun Oil Exports'!JG$290</f>
        <v>1.9E-2</v>
      </c>
      <c r="V278" s="242">
        <f>'[2]China Sun Oil Exports'!JS$290</f>
        <v>0.65200000000000002</v>
      </c>
      <c r="W278" s="242">
        <f>'[2]China Sun Oil Exports'!KE$290</f>
        <v>0.128</v>
      </c>
      <c r="X278" s="242">
        <f>'[2]China Sun Oil Exports'!KQ$290</f>
        <v>8.9999999999999993E-3</v>
      </c>
      <c r="Y278" s="242">
        <f>'[2]China Sun Oil Exports'!LC$290</f>
        <v>5.0000000000000001E-3</v>
      </c>
      <c r="Z278" s="242">
        <f>'[2]China Sun Oil Exports'!LO$290</f>
        <v>2.2672000000000001E-2</v>
      </c>
      <c r="AA278" s="242">
        <f>'[2]China Sun Oil Exports'!MA$290</f>
        <v>0.43900499999999998</v>
      </c>
      <c r="AB278" s="242">
        <f>'[2]China Sun Oil Exports'!MM$290</f>
        <v>0.188276</v>
      </c>
      <c r="AC278" s="242">
        <f>'[2]China Sun Oil Exports'!MY$290</f>
        <v>0.121</v>
      </c>
      <c r="AD278" s="243">
        <f t="shared" si="149"/>
        <v>0.19342436834024901</v>
      </c>
      <c r="AE278" s="243">
        <f t="shared" si="149"/>
        <v>0.19545936987275314</v>
      </c>
      <c r="AF278" s="243">
        <f t="shared" si="149"/>
        <v>0.21943987475896687</v>
      </c>
      <c r="AG278" s="243">
        <f t="shared" si="150"/>
        <v>0.29075340288898105</v>
      </c>
      <c r="AH278" s="243">
        <f t="shared" si="151"/>
        <v>0.23712893616330269</v>
      </c>
    </row>
    <row r="279" spans="1:34">
      <c r="A279" s="240" t="s">
        <v>235</v>
      </c>
      <c r="B279" s="241">
        <f t="shared" si="152"/>
        <v>0</v>
      </c>
      <c r="C279" s="242">
        <f>'[2]China Sun Oil Exports'!AZ$290</f>
        <v>0</v>
      </c>
      <c r="D279" s="242">
        <f>'[2]China Sun Oil Exports'!BL$290</f>
        <v>1.9000000000000001E-4</v>
      </c>
      <c r="E279" s="242">
        <f>'[2]China Sun Oil Exports'!BX$290</f>
        <v>2.0139999999999998</v>
      </c>
      <c r="F279" s="242">
        <f>'[2]China Sun Oil Exports'!CJ$290</f>
        <v>8.9999999999999998E-4</v>
      </c>
      <c r="G279" s="242">
        <f>'[2]China Sun Oil Exports'!CV$290</f>
        <v>1.9000000000000001E-5</v>
      </c>
      <c r="H279" s="242">
        <f>'[2]China Sun Oil Exports'!DH$290</f>
        <v>0</v>
      </c>
      <c r="I279" s="242">
        <f>'[2]China Sun Oil Exports'!DT$290</f>
        <v>0</v>
      </c>
      <c r="J279" s="242">
        <f>'[2]China Sun Oil Exports'!EF$290</f>
        <v>4.4639999999999999E-2</v>
      </c>
      <c r="K279" s="242">
        <f>'[2]China Sun Oil Exports'!ER$290</f>
        <v>1.6E-2</v>
      </c>
      <c r="L279" s="242">
        <f>'[2]China Sun Oil Exports'!FD$290</f>
        <v>4.3E-3</v>
      </c>
      <c r="M279" s="242">
        <f>'[2]China Sun Oil Exports'!FP$290</f>
        <v>0</v>
      </c>
      <c r="N279" s="242">
        <f>'[2]China Sun Oil Exports'!GB$290</f>
        <v>2.7E-2</v>
      </c>
      <c r="O279" s="242">
        <f>'[2]China Sun Oil Exports'!GN$290</f>
        <v>6.0000000000000001E-3</v>
      </c>
      <c r="P279" s="242">
        <f>'[2]China Sun Oil Exports'!GZ$290</f>
        <v>0.12</v>
      </c>
      <c r="Q279" s="242">
        <f>'[2]China Sun Oil Exports'!HL$290</f>
        <v>0</v>
      </c>
      <c r="R279" s="242">
        <f>'[2]China Sun Oil Exports'!HX$290</f>
        <v>0</v>
      </c>
      <c r="S279" s="242">
        <f>'[2]China Sun Oil Exports'!IJ$290</f>
        <v>0.15</v>
      </c>
      <c r="T279" s="242">
        <f>'[2]China Sun Oil Exports'!IV$290</f>
        <v>0.182</v>
      </c>
      <c r="U279" s="242">
        <f>'[2]China Sun Oil Exports'!JH$290</f>
        <v>4.0000000000000001E-3</v>
      </c>
      <c r="V279" s="242">
        <f>'[2]China Sun Oil Exports'!JT$290</f>
        <v>0.13200000000000001</v>
      </c>
      <c r="W279" s="242">
        <f>'[2]China Sun Oil Exports'!KF$290</f>
        <v>0.16800000000000001</v>
      </c>
      <c r="X279" s="242">
        <f>'[2]China Sun Oil Exports'!KR$290</f>
        <v>0.254</v>
      </c>
      <c r="Y279" s="242">
        <f>'[2]China Sun Oil Exports'!LD$290</f>
        <v>0.219</v>
      </c>
      <c r="Z279" s="242">
        <f>'[2]China Sun Oil Exports'!LP$290</f>
        <v>0.242975</v>
      </c>
      <c r="AA279" s="242">
        <f>'[2]China Sun Oil Exports'!MB$290</f>
        <v>0.10831499999999999</v>
      </c>
      <c r="AB279" s="242">
        <f>'[2]China Sun Oil Exports'!MN$290</f>
        <v>0.34442099999999998</v>
      </c>
      <c r="AC279" s="242">
        <f>'[2]China Sun Oil Exports'!MZ$290</f>
        <v>9.2999999999999999E-2</v>
      </c>
      <c r="AD279" s="243">
        <f t="shared" si="149"/>
        <v>0.34047167035513171</v>
      </c>
      <c r="AE279" s="243">
        <f t="shared" si="149"/>
        <v>0.25383825705144764</v>
      </c>
      <c r="AF279" s="243">
        <f t="shared" si="149"/>
        <v>0.25694060426696169</v>
      </c>
      <c r="AG279" s="243">
        <f t="shared" si="150"/>
        <v>0.29149007325366011</v>
      </c>
      <c r="AH279" s="243">
        <f t="shared" si="151"/>
        <v>0.3330224915635569</v>
      </c>
    </row>
    <row r="280" spans="1:34">
      <c r="A280" s="240" t="s">
        <v>236</v>
      </c>
      <c r="B280" s="241">
        <f t="shared" si="152"/>
        <v>0</v>
      </c>
      <c r="C280" s="242">
        <f>'[2]China Sun Oil Exports'!BA$290</f>
        <v>1.5E-3</v>
      </c>
      <c r="D280" s="242">
        <f>'[2]China Sun Oil Exports'!BM$290</f>
        <v>2.0000000000000001E-4</v>
      </c>
      <c r="E280" s="242">
        <f>'[2]China Sun Oil Exports'!BY$290</f>
        <v>0</v>
      </c>
      <c r="F280" s="242">
        <f>'[2]China Sun Oil Exports'!CK$290</f>
        <v>0</v>
      </c>
      <c r="G280" s="242">
        <f>'[2]China Sun Oil Exports'!CW$290</f>
        <v>0</v>
      </c>
      <c r="H280" s="242">
        <f>'[2]China Sun Oil Exports'!DI$290</f>
        <v>0</v>
      </c>
      <c r="I280" s="242">
        <f>'[2]China Sun Oil Exports'!DU$290</f>
        <v>0</v>
      </c>
      <c r="J280" s="242">
        <f>'[2]China Sun Oil Exports'!EG$290</f>
        <v>0</v>
      </c>
      <c r="K280" s="242">
        <f>'[2]China Sun Oil Exports'!ES$290</f>
        <v>0.119338</v>
      </c>
      <c r="L280" s="242">
        <f>'[2]China Sun Oil Exports'!FE$290</f>
        <v>0</v>
      </c>
      <c r="M280" s="242">
        <f>'[2]China Sun Oil Exports'!FQ$290</f>
        <v>7.4000000000000003E-3</v>
      </c>
      <c r="N280" s="242">
        <f>'[2]China Sun Oil Exports'!GC$290</f>
        <v>2.5000000000000001E-2</v>
      </c>
      <c r="O280" s="242">
        <f>'[2]China Sun Oil Exports'!GO$290</f>
        <v>2E-3</v>
      </c>
      <c r="P280" s="242">
        <f>'[2]China Sun Oil Exports'!HA$290</f>
        <v>0.50700000000000001</v>
      </c>
      <c r="Q280" s="242">
        <f>'[2]China Sun Oil Exports'!HM$290</f>
        <v>7.0000000000000001E-3</v>
      </c>
      <c r="R280" s="242">
        <f>'[2]China Sun Oil Exports'!HY$290</f>
        <v>4.0000000000000001E-3</v>
      </c>
      <c r="S280" s="242">
        <f>'[2]China Sun Oil Exports'!IK$290</f>
        <v>0.113</v>
      </c>
      <c r="T280" s="242">
        <f>'[2]China Sun Oil Exports'!IW$290</f>
        <v>1.0999999999999999E-2</v>
      </c>
      <c r="U280" s="242">
        <f>'[2]China Sun Oil Exports'!JI$290</f>
        <v>0.158</v>
      </c>
      <c r="V280" s="242">
        <f>'[2]China Sun Oil Exports'!JU$290</f>
        <v>0.154</v>
      </c>
      <c r="W280" s="242">
        <f>'[2]China Sun Oil Exports'!KG$290</f>
        <v>0.13300000000000001</v>
      </c>
      <c r="X280" s="242">
        <f>'[2]China Sun Oil Exports'!KS$290</f>
        <v>0.127</v>
      </c>
      <c r="Y280" s="242">
        <f>'[2]China Sun Oil Exports'!LE$290</f>
        <v>0.19</v>
      </c>
      <c r="Z280" s="242">
        <f>'[2]China Sun Oil Exports'!LQ$290</f>
        <v>0.1978</v>
      </c>
      <c r="AA280" s="242">
        <f>'[2]China Sun Oil Exports'!MC$290</f>
        <v>0.12789</v>
      </c>
      <c r="AB280" s="242">
        <f>'[2]China Sun Oil Exports'!MO$290</f>
        <v>0.418068</v>
      </c>
      <c r="AC280" s="242">
        <f>'[2]China Sun Oil Exports'!NA$290</f>
        <v>0.114</v>
      </c>
      <c r="AD280" s="243">
        <f t="shared" si="149"/>
        <v>0.3090225454390082</v>
      </c>
      <c r="AE280" s="243">
        <f t="shared" si="149"/>
        <v>0.26392593167258338</v>
      </c>
      <c r="AF280" s="243">
        <f t="shared" si="149"/>
        <v>0.26549583717729919</v>
      </c>
      <c r="AG280" s="243">
        <f t="shared" si="150"/>
        <v>0.31523291359471922</v>
      </c>
      <c r="AH280" s="243">
        <f t="shared" si="151"/>
        <v>0.35417204027957494</v>
      </c>
    </row>
    <row r="281" spans="1:34">
      <c r="A281" s="240" t="s">
        <v>237</v>
      </c>
      <c r="B281" s="241">
        <f t="shared" si="152"/>
        <v>0</v>
      </c>
      <c r="C281" s="242">
        <f>'[2]China Sun Oil Exports'!BB$290</f>
        <v>4.4999999999999999E-4</v>
      </c>
      <c r="D281" s="242">
        <f>'[2]China Sun Oil Exports'!BN$290</f>
        <v>0</v>
      </c>
      <c r="E281" s="242">
        <f>'[2]China Sun Oil Exports'!BZ$290</f>
        <v>2.5899999999999999E-3</v>
      </c>
      <c r="F281" s="242">
        <f>'[2]China Sun Oil Exports'!CL$290</f>
        <v>0</v>
      </c>
      <c r="G281" s="242">
        <f>'[2]China Sun Oil Exports'!CX$290</f>
        <v>0</v>
      </c>
      <c r="H281" s="242">
        <f>'[2]China Sun Oil Exports'!DJ$290</f>
        <v>4.4900000000000002E-2</v>
      </c>
      <c r="I281" s="242">
        <f>'[2]China Sun Oil Exports'!DV$290</f>
        <v>7.3999999999999996E-2</v>
      </c>
      <c r="J281" s="242">
        <f>'[2]China Sun Oil Exports'!EH$290</f>
        <v>0</v>
      </c>
      <c r="K281" s="242">
        <f>'[2]China Sun Oil Exports'!ET$290</f>
        <v>9.536E-2</v>
      </c>
      <c r="L281" s="242">
        <f>'[2]China Sun Oil Exports'!FF$290</f>
        <v>1.8E-5</v>
      </c>
      <c r="M281" s="242">
        <f>'[2]China Sun Oil Exports'!FR$290</f>
        <v>8.0000000000000002E-3</v>
      </c>
      <c r="N281" s="242">
        <f>'[2]China Sun Oil Exports'!GD$290</f>
        <v>7.0000000000000001E-3</v>
      </c>
      <c r="O281" s="242">
        <f>'[2]China Sun Oil Exports'!GP$290</f>
        <v>0</v>
      </c>
      <c r="P281" s="242">
        <f>'[2]China Sun Oil Exports'!HB$290</f>
        <v>0.76100000000000001</v>
      </c>
      <c r="Q281" s="242">
        <f>'[2]China Sun Oil Exports'!HN$290</f>
        <v>6.0000000000000001E-3</v>
      </c>
      <c r="R281" s="242">
        <f>'[2]China Sun Oil Exports'!HZ$290</f>
        <v>0</v>
      </c>
      <c r="S281" s="242">
        <f>'[2]China Sun Oil Exports'!IL$290</f>
        <v>0.14499999999999999</v>
      </c>
      <c r="T281" s="242">
        <f>'[2]China Sun Oil Exports'!IX$290</f>
        <v>0.11</v>
      </c>
      <c r="U281" s="242">
        <f>'[2]China Sun Oil Exports'!JJ$290</f>
        <v>0.151</v>
      </c>
      <c r="V281" s="242">
        <f>'[2]China Sun Oil Exports'!JV$290</f>
        <v>8.9999999999999993E-3</v>
      </c>
      <c r="W281" s="242">
        <f>'[2]China Sun Oil Exports'!KH$290</f>
        <v>0.21099999999999999</v>
      </c>
      <c r="X281" s="242">
        <f>'[2]China Sun Oil Exports'!KT$290</f>
        <v>3.0000000000000001E-3</v>
      </c>
      <c r="Y281" s="242">
        <f>'[2]China Sun Oil Exports'!LF$290</f>
        <v>0.23902000000000001</v>
      </c>
      <c r="Z281" s="242">
        <f>'[2]China Sun Oil Exports'!LR$290</f>
        <v>2.0070000000000001E-3</v>
      </c>
      <c r="AA281" s="242">
        <f>'[2]China Sun Oil Exports'!MD$290</f>
        <v>0.19899700000000001</v>
      </c>
      <c r="AB281" s="242">
        <f>'[2]China Sun Oil Exports'!MP$290</f>
        <v>0.25826700000000002</v>
      </c>
      <c r="AC281" s="242">
        <f>'[2]China Sun Oil Exports'!NB$290</f>
        <v>0.17699999999999999</v>
      </c>
      <c r="AD281" s="243">
        <f t="shared" si="149"/>
        <v>0.20430176337436776</v>
      </c>
      <c r="AE281" s="243">
        <f t="shared" si="149"/>
        <v>0.22048220358100556</v>
      </c>
      <c r="AF281" s="243">
        <f t="shared" si="149"/>
        <v>0.1912686754959092</v>
      </c>
      <c r="AG281" s="243">
        <f t="shared" si="150"/>
        <v>0.27078029230735357</v>
      </c>
      <c r="AH281" s="243">
        <f t="shared" si="151"/>
        <v>0.27168528065810332</v>
      </c>
    </row>
    <row r="282" spans="1:34">
      <c r="A282" s="240" t="s">
        <v>238</v>
      </c>
      <c r="B282" s="241">
        <f>(SUM(K282:O282)/SUM(K$60:O$60))*B$60</f>
        <v>0</v>
      </c>
      <c r="C282" s="242">
        <f>'[2]China Sun Oil Exports'!BC$290</f>
        <v>7.3599999999999999E-2</v>
      </c>
      <c r="D282" s="242">
        <f>'[2]China Sun Oil Exports'!BO$290</f>
        <v>1.2370000000000001E-2</v>
      </c>
      <c r="E282" s="242">
        <f>'[2]China Sun Oil Exports'!CA$290</f>
        <v>0</v>
      </c>
      <c r="F282" s="242">
        <f>'[2]China Sun Oil Exports'!CM$290</f>
        <v>0</v>
      </c>
      <c r="G282" s="242">
        <f>'[2]China Sun Oil Exports'!CY$290</f>
        <v>0</v>
      </c>
      <c r="H282" s="242">
        <f>'[2]China Sun Oil Exports'!DK$290</f>
        <v>0</v>
      </c>
      <c r="I282" s="242">
        <f>'[2]China Sun Oil Exports'!DW$290</f>
        <v>0</v>
      </c>
      <c r="J282" s="242">
        <f>'[2]China Sun Oil Exports'!EI$290</f>
        <v>3.9219999999999998E-2</v>
      </c>
      <c r="K282" s="242">
        <f>'[2]China Sun Oil Exports'!EU$290</f>
        <v>0</v>
      </c>
      <c r="L282" s="242">
        <f>'[2]China Sun Oil Exports'!FG$290</f>
        <v>0</v>
      </c>
      <c r="M282" s="242">
        <f>'[2]China Sun Oil Exports'!FS$290</f>
        <v>0</v>
      </c>
      <c r="N282" s="242">
        <f>'[2]China Sun Oil Exports'!GE$290</f>
        <v>0.126</v>
      </c>
      <c r="O282" s="242">
        <f>'[2]China Sun Oil Exports'!GQ$290</f>
        <v>1E-3</v>
      </c>
      <c r="P282" s="242">
        <f>'[2]China Sun Oil Exports'!HC$290</f>
        <v>0.318</v>
      </c>
      <c r="Q282" s="242">
        <f>'[2]China Sun Oil Exports'!HO$290</f>
        <v>8.2000000000000003E-2</v>
      </c>
      <c r="R282" s="242">
        <f>'[2]China Sun Oil Exports'!IA$290</f>
        <v>1E-3</v>
      </c>
      <c r="S282" s="242">
        <f>'[2]China Sun Oil Exports'!IM$290</f>
        <v>0.12</v>
      </c>
      <c r="T282" s="242">
        <f>'[2]China Sun Oil Exports'!IY$290</f>
        <v>0.113</v>
      </c>
      <c r="U282" s="242">
        <f>'[2]China Sun Oil Exports'!JK$290</f>
        <v>0.13400000000000001</v>
      </c>
      <c r="V282" s="242">
        <f>'[2]China Sun Oil Exports'!JW$290</f>
        <v>4.0000000000000001E-3</v>
      </c>
      <c r="W282" s="242">
        <f>'[2]China Sun Oil Exports'!KI$290</f>
        <v>0.25700000000000001</v>
      </c>
      <c r="X282" s="242">
        <f>'[2]China Sun Oil Exports'!KU$290</f>
        <v>2E-3</v>
      </c>
      <c r="Y282" s="242">
        <f>'[2]China Sun Oil Exports'!LG$290</f>
        <v>0.169048</v>
      </c>
      <c r="Z282" s="242">
        <f>'[2]China Sun Oil Exports'!LS$290</f>
        <v>0.54434000000000005</v>
      </c>
      <c r="AA282" s="242">
        <f>'[2]China Sun Oil Exports'!ME$290</f>
        <v>0.22897700000000001</v>
      </c>
      <c r="AB282" s="242">
        <f>'[2]China Sun Oil Exports'!MQ$290</f>
        <v>0.17574000000000001</v>
      </c>
      <c r="AC282" s="242">
        <f>'[2]China Sun Oil Exports'!NC$290</f>
        <v>9.1999999999999998E-2</v>
      </c>
      <c r="AD282" s="243">
        <f>AD283-SUM(AD271:AD281)</f>
        <v>0.40451493949719675</v>
      </c>
      <c r="AE282" s="243">
        <f>AE283-SUM(AE271:AE281)</f>
        <v>0.30482047337901674</v>
      </c>
      <c r="AF282" s="243">
        <f>AF283-SUM(AF271:AF281)</f>
        <v>0.32893360604707045</v>
      </c>
      <c r="AG282" s="243">
        <f t="shared" ref="AG282:AH282" si="153">AG283-SUM(AG271:AG281)</f>
        <v>0.30836679271050604</v>
      </c>
      <c r="AH282" s="243">
        <f t="shared" si="153"/>
        <v>0.33750289875767159</v>
      </c>
    </row>
    <row r="283" spans="1:34" ht="15.75" thickBot="1">
      <c r="A283" s="240" t="s">
        <v>242</v>
      </c>
      <c r="B283" s="146">
        <f t="shared" ref="B283:C283" si="154">B40</f>
        <v>0</v>
      </c>
      <c r="C283" s="146">
        <f t="shared" si="154"/>
        <v>0.4</v>
      </c>
      <c r="D283" s="242">
        <f t="shared" ref="D283:G283" si="155">SUM(D271:D282)</f>
        <v>1.1331929999999999</v>
      </c>
      <c r="E283" s="242">
        <f t="shared" si="155"/>
        <v>2.106608</v>
      </c>
      <c r="F283" s="242">
        <f t="shared" si="155"/>
        <v>0.35528700000000002</v>
      </c>
      <c r="G283" s="242">
        <f t="shared" si="155"/>
        <v>6.8999999999999997E-5</v>
      </c>
      <c r="H283" s="242">
        <f t="shared" ref="H283:W283" si="156">SUM(H271:H282)</f>
        <v>4.5154E-2</v>
      </c>
      <c r="I283" s="242">
        <f t="shared" si="156"/>
        <v>0.17759999999999998</v>
      </c>
      <c r="J283" s="242">
        <f t="shared" si="156"/>
        <v>0.7425400000000002</v>
      </c>
      <c r="K283" s="242">
        <f t="shared" si="156"/>
        <v>0.72404799999999991</v>
      </c>
      <c r="L283" s="242">
        <f t="shared" si="156"/>
        <v>2.2645999999999996E-2</v>
      </c>
      <c r="M283" s="242">
        <f t="shared" si="156"/>
        <v>9.5579999999999998E-2</v>
      </c>
      <c r="N283" s="242">
        <f t="shared" si="156"/>
        <v>1.2613549999999996</v>
      </c>
      <c r="O283" s="242">
        <f t="shared" si="156"/>
        <v>7.400000000000001E-2</v>
      </c>
      <c r="P283" s="242">
        <f t="shared" si="156"/>
        <v>2.8590000000000004</v>
      </c>
      <c r="Q283" s="242">
        <f t="shared" si="156"/>
        <v>0.55200000000000005</v>
      </c>
      <c r="R283" s="242">
        <f t="shared" si="156"/>
        <v>0.17900000000000002</v>
      </c>
      <c r="S283" s="242">
        <f t="shared" si="156"/>
        <v>0.84199999999999997</v>
      </c>
      <c r="T283" s="242">
        <f t="shared" si="156"/>
        <v>1.2189999999999999</v>
      </c>
      <c r="U283" s="242">
        <f t="shared" si="156"/>
        <v>1.17</v>
      </c>
      <c r="V283" s="242">
        <f t="shared" si="156"/>
        <v>1.831</v>
      </c>
      <c r="W283" s="242">
        <f t="shared" si="156"/>
        <v>1.6419999999999999</v>
      </c>
      <c r="X283" s="242">
        <f>SUM(X271:X282)</f>
        <v>1.0779999999999998</v>
      </c>
      <c r="Y283" s="242">
        <f>SUM(Y271:Y282)</f>
        <v>1.5250680000000001</v>
      </c>
      <c r="Z283" s="242">
        <f t="shared" ref="Z283:AB283" si="157">SUM(Z271:Z282)</f>
        <v>2.190922</v>
      </c>
      <c r="AA283" s="242">
        <f t="shared" si="157"/>
        <v>2.3738030000000001</v>
      </c>
      <c r="AB283" s="242">
        <f t="shared" si="157"/>
        <v>3.130077</v>
      </c>
      <c r="AC283" s="242">
        <f>SUM(AC271:AC282)</f>
        <v>2.6532400000000003</v>
      </c>
      <c r="AD283" s="243">
        <f>AD40</f>
        <v>3</v>
      </c>
      <c r="AE283" s="243">
        <f>AE40</f>
        <v>2.9907875851113204</v>
      </c>
      <c r="AF283" s="243">
        <f>AF40</f>
        <v>3.0372888880610844</v>
      </c>
      <c r="AG283" s="243">
        <f t="shared" ref="AG283:AH283" si="158">AG40</f>
        <v>3.6173758611212179</v>
      </c>
      <c r="AH283" s="243">
        <f t="shared" si="158"/>
        <v>3.827606210527847</v>
      </c>
    </row>
    <row r="284" spans="1:34">
      <c r="A284" s="248"/>
      <c r="B284" s="248"/>
      <c r="C284" s="248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  <c r="AD284" s="248"/>
      <c r="AE284" s="248"/>
      <c r="AF284" s="248"/>
      <c r="AG284" s="248"/>
      <c r="AH284" s="248"/>
    </row>
    <row r="285" spans="1:34" ht="15.75" thickBot="1">
      <c r="A285" s="235" t="s">
        <v>268</v>
      </c>
      <c r="D285" s="264"/>
      <c r="E285" s="264"/>
      <c r="F285" s="264"/>
      <c r="G285" s="264"/>
      <c r="H285" s="264"/>
      <c r="I285" s="264"/>
    </row>
    <row r="286" spans="1:34" ht="15.75" thickBot="1">
      <c r="A286" s="236"/>
      <c r="B286" s="237" t="str">
        <f>B$2</f>
        <v xml:space="preserve">93/94 </v>
      </c>
      <c r="C286" s="237" t="str">
        <f t="shared" ref="C286:AH286" si="159">C$2</f>
        <v xml:space="preserve">94/95 </v>
      </c>
      <c r="D286" s="237" t="str">
        <f t="shared" si="159"/>
        <v xml:space="preserve">95/96 </v>
      </c>
      <c r="E286" s="237" t="str">
        <f t="shared" si="159"/>
        <v xml:space="preserve">96/97 </v>
      </c>
      <c r="F286" s="237" t="str">
        <f t="shared" si="159"/>
        <v xml:space="preserve">97/98 </v>
      </c>
      <c r="G286" s="237" t="str">
        <f t="shared" si="159"/>
        <v xml:space="preserve">98/99 </v>
      </c>
      <c r="H286" s="237" t="str">
        <f t="shared" si="159"/>
        <v xml:space="preserve">99/00 </v>
      </c>
      <c r="I286" s="237" t="str">
        <f t="shared" si="159"/>
        <v xml:space="preserve">00/01 </v>
      </c>
      <c r="J286" s="237" t="str">
        <f t="shared" si="159"/>
        <v xml:space="preserve">01/02 </v>
      </c>
      <c r="K286" s="237" t="str">
        <f t="shared" si="159"/>
        <v xml:space="preserve">02/03 </v>
      </c>
      <c r="L286" s="237" t="str">
        <f t="shared" si="159"/>
        <v xml:space="preserve">03/04 </v>
      </c>
      <c r="M286" s="237" t="str">
        <f t="shared" si="159"/>
        <v xml:space="preserve">04/05 </v>
      </c>
      <c r="N286" s="237" t="str">
        <f t="shared" si="159"/>
        <v xml:space="preserve">05/06 </v>
      </c>
      <c r="O286" s="237" t="str">
        <f t="shared" si="159"/>
        <v xml:space="preserve">06/07 </v>
      </c>
      <c r="P286" s="237" t="str">
        <f t="shared" si="159"/>
        <v xml:space="preserve">07/08 </v>
      </c>
      <c r="Q286" s="237" t="str">
        <f t="shared" si="159"/>
        <v xml:space="preserve">08/09 </v>
      </c>
      <c r="R286" s="237" t="str">
        <f t="shared" si="159"/>
        <v xml:space="preserve">09/10 </v>
      </c>
      <c r="S286" s="237" t="str">
        <f t="shared" si="159"/>
        <v xml:space="preserve">10/11 </v>
      </c>
      <c r="T286" s="237" t="str">
        <f t="shared" si="159"/>
        <v xml:space="preserve">11/12 </v>
      </c>
      <c r="U286" s="237" t="str">
        <f t="shared" si="159"/>
        <v xml:space="preserve">12/13 </v>
      </c>
      <c r="V286" s="237" t="str">
        <f t="shared" si="159"/>
        <v xml:space="preserve">13/14 </v>
      </c>
      <c r="W286" s="237" t="str">
        <f t="shared" si="159"/>
        <v xml:space="preserve">14/15 </v>
      </c>
      <c r="X286" s="237" t="str">
        <f t="shared" si="159"/>
        <v xml:space="preserve">15/16 </v>
      </c>
      <c r="Y286" s="237" t="str">
        <f t="shared" si="159"/>
        <v xml:space="preserve">16/17 </v>
      </c>
      <c r="Z286" s="237" t="str">
        <f t="shared" si="159"/>
        <v xml:space="preserve">17/18 </v>
      </c>
      <c r="AA286" s="237" t="str">
        <f t="shared" si="159"/>
        <v xml:space="preserve">18/19 </v>
      </c>
      <c r="AB286" s="237" t="str">
        <f t="shared" si="159"/>
        <v xml:space="preserve">19/20 </v>
      </c>
      <c r="AC286" s="237" t="str">
        <f t="shared" si="159"/>
        <v xml:space="preserve">20/21 </v>
      </c>
      <c r="AD286" s="237" t="str">
        <f t="shared" si="159"/>
        <v xml:space="preserve">21/22 </v>
      </c>
      <c r="AE286" s="237" t="str">
        <f t="shared" si="159"/>
        <v xml:space="preserve">22/23 </v>
      </c>
      <c r="AF286" s="237" t="str">
        <f t="shared" si="159"/>
        <v>23/24</v>
      </c>
      <c r="AG286" s="237" t="str">
        <f t="shared" si="159"/>
        <v>23/25</v>
      </c>
      <c r="AH286" s="237" t="str">
        <f t="shared" si="159"/>
        <v>23/26</v>
      </c>
    </row>
    <row r="287" spans="1:34">
      <c r="A287" s="240" t="s">
        <v>239</v>
      </c>
      <c r="B287" s="290">
        <f>B32+B207+B255-B271-B303</f>
        <v>15.792086413193516</v>
      </c>
      <c r="C287" s="290">
        <f>B314+C207+C255-C271-C303</f>
        <v>17.332478805002424</v>
      </c>
      <c r="D287" s="290">
        <f t="shared" ref="D287:AH287" si="160">C314+D207+D255-D271-D303</f>
        <v>15.298494428017898</v>
      </c>
      <c r="E287" s="290">
        <f t="shared" si="160"/>
        <v>15.917679147984272</v>
      </c>
      <c r="F287" s="290">
        <f t="shared" si="160"/>
        <v>14.364337807109361</v>
      </c>
      <c r="G287" s="290">
        <f t="shared" si="160"/>
        <v>15.524757603768991</v>
      </c>
      <c r="H287" s="290">
        <f t="shared" si="160"/>
        <v>16.918184057512999</v>
      </c>
      <c r="I287" s="290">
        <f t="shared" si="160"/>
        <v>28.589611934037634</v>
      </c>
      <c r="J287" s="290">
        <f t="shared" si="160"/>
        <v>19.723667754112522</v>
      </c>
      <c r="K287" s="290">
        <f t="shared" si="160"/>
        <v>26.014013699119793</v>
      </c>
      <c r="L287" s="290">
        <f t="shared" si="160"/>
        <v>24.164691738556776</v>
      </c>
      <c r="M287" s="290">
        <f t="shared" si="160"/>
        <v>23.899846529151784</v>
      </c>
      <c r="N287" s="290">
        <f t="shared" si="160"/>
        <v>31.848572838837971</v>
      </c>
      <c r="O287" s="290">
        <f t="shared" si="160"/>
        <v>22.439408944547914</v>
      </c>
      <c r="P287" s="290">
        <f t="shared" si="160"/>
        <v>19.817732157953081</v>
      </c>
      <c r="Q287" s="290">
        <f t="shared" si="160"/>
        <v>26.234130847844693</v>
      </c>
      <c r="R287" s="290">
        <f t="shared" si="160"/>
        <v>44.591370034251099</v>
      </c>
      <c r="S287" s="290">
        <f t="shared" si="160"/>
        <v>29.42289421488168</v>
      </c>
      <c r="T287" s="290">
        <f t="shared" si="160"/>
        <v>34.387820531157431</v>
      </c>
      <c r="U287" s="290">
        <f t="shared" si="160"/>
        <v>43.614141707953763</v>
      </c>
      <c r="V287" s="290">
        <f t="shared" si="160"/>
        <v>40.177799931466204</v>
      </c>
      <c r="W287" s="290">
        <f t="shared" si="160"/>
        <v>35.752392305749652</v>
      </c>
      <c r="X287" s="290">
        <f t="shared" si="160"/>
        <v>56.57672829151074</v>
      </c>
      <c r="Y287" s="290">
        <f t="shared" si="160"/>
        <v>77.220721009455659</v>
      </c>
      <c r="Z287" s="290">
        <f t="shared" si="160"/>
        <v>99.391791234391874</v>
      </c>
      <c r="AA287" s="290">
        <f t="shared" si="160"/>
        <v>67.99009110327907</v>
      </c>
      <c r="AB287" s="290">
        <f t="shared" si="160"/>
        <v>104.85107029916085</v>
      </c>
      <c r="AC287" s="290">
        <f t="shared" si="160"/>
        <v>150.20632776370559</v>
      </c>
      <c r="AD287" s="290">
        <f t="shared" si="160"/>
        <v>47.864143405098645</v>
      </c>
      <c r="AE287" s="252">
        <f t="shared" si="160"/>
        <v>140.13361082634947</v>
      </c>
      <c r="AF287" s="252">
        <f t="shared" si="160"/>
        <v>143.45185808026173</v>
      </c>
      <c r="AG287" s="252">
        <f t="shared" si="160"/>
        <v>142.33925836853788</v>
      </c>
      <c r="AH287" s="252">
        <f t="shared" si="160"/>
        <v>147.26576413382313</v>
      </c>
    </row>
    <row r="288" spans="1:34">
      <c r="A288" s="240" t="s">
        <v>240</v>
      </c>
      <c r="B288" s="290">
        <f>B303+B208+B256-B272-B304</f>
        <v>16.236734552426515</v>
      </c>
      <c r="C288" s="290">
        <f>C303+C208+C256-C272-C304</f>
        <v>17.810866069796301</v>
      </c>
      <c r="D288" s="290">
        <f t="shared" ref="D288:AH296" si="161">D303+D208+D256-D272-D304</f>
        <v>16.009190939381398</v>
      </c>
      <c r="E288" s="290">
        <f t="shared" si="161"/>
        <v>16.401418399690158</v>
      </c>
      <c r="F288" s="290">
        <f t="shared" si="161"/>
        <v>14.847731344923453</v>
      </c>
      <c r="G288" s="290">
        <f t="shared" si="161"/>
        <v>15.947159590669806</v>
      </c>
      <c r="H288" s="290">
        <f t="shared" si="161"/>
        <v>17.373968338107353</v>
      </c>
      <c r="I288" s="290">
        <f t="shared" si="161"/>
        <v>29.489063987416444</v>
      </c>
      <c r="J288" s="290">
        <f t="shared" si="161"/>
        <v>20.433427735116815</v>
      </c>
      <c r="K288" s="290">
        <f t="shared" si="161"/>
        <v>26.78398455174332</v>
      </c>
      <c r="L288" s="290">
        <f t="shared" si="161"/>
        <v>35.576063482692895</v>
      </c>
      <c r="M288" s="290">
        <f t="shared" si="161"/>
        <v>24.195695971191682</v>
      </c>
      <c r="N288" s="290">
        <f t="shared" si="161"/>
        <v>35.108353348190306</v>
      </c>
      <c r="O288" s="290">
        <f t="shared" si="161"/>
        <v>23.497142083822098</v>
      </c>
      <c r="P288" s="290">
        <f t="shared" si="161"/>
        <v>19.564265790690612</v>
      </c>
      <c r="Q288" s="290">
        <f t="shared" si="161"/>
        <v>26.420701226728397</v>
      </c>
      <c r="R288" s="290">
        <f t="shared" si="161"/>
        <v>35.633505494430246</v>
      </c>
      <c r="S288" s="290">
        <f t="shared" si="161"/>
        <v>37.257188820070006</v>
      </c>
      <c r="T288" s="290">
        <f t="shared" si="161"/>
        <v>30.989626534731968</v>
      </c>
      <c r="U288" s="290">
        <f t="shared" si="161"/>
        <v>64.295145299918957</v>
      </c>
      <c r="V288" s="290">
        <f t="shared" si="161"/>
        <v>61.669311961307493</v>
      </c>
      <c r="W288" s="290">
        <f t="shared" si="161"/>
        <v>37.235113666004011</v>
      </c>
      <c r="X288" s="290">
        <f t="shared" si="161"/>
        <v>77.118485402615377</v>
      </c>
      <c r="Y288" s="290">
        <f t="shared" si="161"/>
        <v>103.64726660008556</v>
      </c>
      <c r="Z288" s="290">
        <f t="shared" si="161"/>
        <v>180.24045752208966</v>
      </c>
      <c r="AA288" s="290">
        <f t="shared" si="161"/>
        <v>79.919387472594863</v>
      </c>
      <c r="AB288" s="290">
        <f t="shared" si="161"/>
        <v>188.0121511534758</v>
      </c>
      <c r="AC288" s="290">
        <f t="shared" si="161"/>
        <v>170.21577992229723</v>
      </c>
      <c r="AD288" s="290">
        <f t="shared" si="161"/>
        <v>89.165147214982085</v>
      </c>
      <c r="AE288" s="252">
        <f t="shared" si="161"/>
        <v>210.59952479417063</v>
      </c>
      <c r="AF288" s="252">
        <f t="shared" si="161"/>
        <v>228.94061524628751</v>
      </c>
      <c r="AG288" s="252">
        <f t="shared" si="161"/>
        <v>210.98474938879136</v>
      </c>
      <c r="AH288" s="252">
        <f t="shared" si="161"/>
        <v>225.99454234265284</v>
      </c>
    </row>
    <row r="289" spans="1:34">
      <c r="A289" s="240" t="s">
        <v>241</v>
      </c>
      <c r="B289" s="290">
        <f t="shared" ref="B289:Q298" si="162">B304+B209+B257-B273-B305</f>
        <v>16.660866840558977</v>
      </c>
      <c r="C289" s="290">
        <f t="shared" si="162"/>
        <v>18.299243891384606</v>
      </c>
      <c r="D289" s="290">
        <f t="shared" si="161"/>
        <v>16.070051866181235</v>
      </c>
      <c r="E289" s="290">
        <f t="shared" si="161"/>
        <v>16.817052474901494</v>
      </c>
      <c r="F289" s="290">
        <f t="shared" si="161"/>
        <v>15.20264687745159</v>
      </c>
      <c r="G289" s="290">
        <f t="shared" si="161"/>
        <v>16.378408143391987</v>
      </c>
      <c r="H289" s="290">
        <f t="shared" si="161"/>
        <v>17.926393871869017</v>
      </c>
      <c r="I289" s="290">
        <f t="shared" si="161"/>
        <v>30.126028361614768</v>
      </c>
      <c r="J289" s="290">
        <f t="shared" si="161"/>
        <v>20.645284856719599</v>
      </c>
      <c r="K289" s="290">
        <f t="shared" si="161"/>
        <v>27.41048260651446</v>
      </c>
      <c r="L289" s="290">
        <f t="shared" si="161"/>
        <v>40.938110429463393</v>
      </c>
      <c r="M289" s="290">
        <f t="shared" si="161"/>
        <v>25.848364842233181</v>
      </c>
      <c r="N289" s="290">
        <f t="shared" si="161"/>
        <v>34.372206244171913</v>
      </c>
      <c r="O289" s="290">
        <f t="shared" si="161"/>
        <v>42.638718829952118</v>
      </c>
      <c r="P289" s="290">
        <f t="shared" si="161"/>
        <v>21.686685864330236</v>
      </c>
      <c r="Q289" s="290">
        <f t="shared" si="161"/>
        <v>34.943924536445252</v>
      </c>
      <c r="R289" s="290">
        <f t="shared" si="161"/>
        <v>37.063989452970397</v>
      </c>
      <c r="S289" s="290">
        <f t="shared" si="161"/>
        <v>26.112056610601581</v>
      </c>
      <c r="T289" s="290">
        <f t="shared" si="161"/>
        <v>76.734515196757457</v>
      </c>
      <c r="U289" s="290">
        <f t="shared" si="161"/>
        <v>49.321449944204083</v>
      </c>
      <c r="V289" s="290">
        <f t="shared" si="161"/>
        <v>129.8095167061507</v>
      </c>
      <c r="W289" s="290">
        <f t="shared" si="161"/>
        <v>73.803846487337054</v>
      </c>
      <c r="X289" s="290">
        <f t="shared" si="161"/>
        <v>151.18863741363359</v>
      </c>
      <c r="Y289" s="290">
        <f t="shared" si="161"/>
        <v>200.5420479680696</v>
      </c>
      <c r="Z289" s="290">
        <f t="shared" si="161"/>
        <v>139.1692096204082</v>
      </c>
      <c r="AA289" s="290">
        <f t="shared" si="161"/>
        <v>151.37577182487757</v>
      </c>
      <c r="AB289" s="290">
        <f t="shared" si="161"/>
        <v>169.74530953880574</v>
      </c>
      <c r="AC289" s="290">
        <f t="shared" si="161"/>
        <v>368.25352398591934</v>
      </c>
      <c r="AD289" s="290">
        <f t="shared" si="161"/>
        <v>243.23877526849159</v>
      </c>
      <c r="AE289" s="252">
        <f t="shared" si="161"/>
        <v>305.44288039645943</v>
      </c>
      <c r="AF289" s="252">
        <f t="shared" si="161"/>
        <v>357.99802901448925</v>
      </c>
      <c r="AG289" s="252">
        <f t="shared" si="161"/>
        <v>361.78111211051169</v>
      </c>
      <c r="AH289" s="252">
        <f t="shared" si="161"/>
        <v>372.69351188960383</v>
      </c>
    </row>
    <row r="290" spans="1:34">
      <c r="A290" s="240" t="s">
        <v>231</v>
      </c>
      <c r="B290" s="290">
        <f t="shared" si="162"/>
        <v>14.604188941716652</v>
      </c>
      <c r="C290" s="290">
        <f t="shared" si="162"/>
        <v>15.94124724092346</v>
      </c>
      <c r="D290" s="290">
        <f t="shared" si="161"/>
        <v>14.180273865103981</v>
      </c>
      <c r="E290" s="290">
        <f t="shared" si="161"/>
        <v>14.807547826628065</v>
      </c>
      <c r="F290" s="290">
        <f t="shared" si="161"/>
        <v>13.548280818923873</v>
      </c>
      <c r="G290" s="290">
        <f t="shared" si="161"/>
        <v>14.44560683991571</v>
      </c>
      <c r="H290" s="290">
        <f t="shared" si="161"/>
        <v>15.663380961805577</v>
      </c>
      <c r="I290" s="290">
        <f t="shared" si="161"/>
        <v>26.559716249150679</v>
      </c>
      <c r="J290" s="290">
        <f t="shared" si="161"/>
        <v>18.116399977181946</v>
      </c>
      <c r="K290" s="290">
        <f t="shared" si="161"/>
        <v>24.098498555006987</v>
      </c>
      <c r="L290" s="290">
        <f t="shared" si="161"/>
        <v>31.361194343675695</v>
      </c>
      <c r="M290" s="290">
        <f t="shared" si="161"/>
        <v>22.258591841548657</v>
      </c>
      <c r="N290" s="290">
        <f t="shared" si="161"/>
        <v>30.776959448200316</v>
      </c>
      <c r="O290" s="290">
        <f t="shared" si="161"/>
        <v>29.733848769559266</v>
      </c>
      <c r="P290" s="290">
        <f t="shared" si="161"/>
        <v>17.312616644533346</v>
      </c>
      <c r="Q290" s="290">
        <f t="shared" si="161"/>
        <v>24.78552243485662</v>
      </c>
      <c r="R290" s="290">
        <f t="shared" si="161"/>
        <v>32.941877060691361</v>
      </c>
      <c r="S290" s="290">
        <f t="shared" si="161"/>
        <v>28.360160009014816</v>
      </c>
      <c r="T290" s="290">
        <f t="shared" si="161"/>
        <v>29.161871695243917</v>
      </c>
      <c r="U290" s="290">
        <f t="shared" si="161"/>
        <v>44.912594071630927</v>
      </c>
      <c r="V290" s="290">
        <f t="shared" si="161"/>
        <v>98.242744369370001</v>
      </c>
      <c r="W290" s="290">
        <f t="shared" si="161"/>
        <v>74.161331898566971</v>
      </c>
      <c r="X290" s="290">
        <f t="shared" si="161"/>
        <v>100.18277285988025</v>
      </c>
      <c r="Y290" s="290">
        <f t="shared" si="161"/>
        <v>80.230071751685969</v>
      </c>
      <c r="Z290" s="290">
        <f t="shared" si="161"/>
        <v>159.03174678784842</v>
      </c>
      <c r="AA290" s="290">
        <f t="shared" si="161"/>
        <v>131.75339067263292</v>
      </c>
      <c r="AB290" s="290">
        <f t="shared" si="161"/>
        <v>141.38922891495139</v>
      </c>
      <c r="AC290" s="290">
        <f t="shared" si="161"/>
        <v>263.87520250014092</v>
      </c>
      <c r="AD290" s="252">
        <f t="shared" si="161"/>
        <v>165.15647148679125</v>
      </c>
      <c r="AE290" s="252">
        <f t="shared" si="161"/>
        <v>227.48754044448305</v>
      </c>
      <c r="AF290" s="252">
        <f t="shared" si="161"/>
        <v>284.4440755746856</v>
      </c>
      <c r="AG290" s="252">
        <f t="shared" si="161"/>
        <v>270.11601029665485</v>
      </c>
      <c r="AH290" s="252">
        <f t="shared" si="161"/>
        <v>278.00841826057558</v>
      </c>
    </row>
    <row r="291" spans="1:34">
      <c r="A291" s="240" t="s">
        <v>232</v>
      </c>
      <c r="B291" s="290">
        <f t="shared" si="162"/>
        <v>11.023935430469535</v>
      </c>
      <c r="C291" s="290">
        <f t="shared" si="162"/>
        <v>11.999498709234787</v>
      </c>
      <c r="D291" s="290">
        <f t="shared" si="161"/>
        <v>10.903994672703487</v>
      </c>
      <c r="E291" s="290">
        <f t="shared" si="161"/>
        <v>11.126449302753663</v>
      </c>
      <c r="F291" s="290">
        <f t="shared" si="161"/>
        <v>10.061290988901618</v>
      </c>
      <c r="G291" s="290">
        <f t="shared" si="161"/>
        <v>11.779105353490825</v>
      </c>
      <c r="H291" s="290">
        <f t="shared" si="161"/>
        <v>11.811421704065479</v>
      </c>
      <c r="I291" s="290">
        <f t="shared" si="161"/>
        <v>19.891869162625657</v>
      </c>
      <c r="J291" s="290">
        <f t="shared" si="161"/>
        <v>13.311277505256708</v>
      </c>
      <c r="K291" s="290">
        <f t="shared" si="161"/>
        <v>21.412367516873068</v>
      </c>
      <c r="L291" s="290">
        <f t="shared" si="161"/>
        <v>20.261120869512833</v>
      </c>
      <c r="M291" s="290">
        <f t="shared" si="161"/>
        <v>16.62011669160599</v>
      </c>
      <c r="N291" s="290">
        <f t="shared" si="161"/>
        <v>22.795246423385493</v>
      </c>
      <c r="O291" s="290">
        <f t="shared" si="161"/>
        <v>20.590882872174156</v>
      </c>
      <c r="P291" s="290">
        <f t="shared" si="161"/>
        <v>13.443758965717727</v>
      </c>
      <c r="Q291" s="290">
        <f t="shared" si="161"/>
        <v>22.711001794662078</v>
      </c>
      <c r="R291" s="290">
        <f t="shared" si="161"/>
        <v>37.24676116078723</v>
      </c>
      <c r="S291" s="290">
        <f t="shared" si="161"/>
        <v>20.4316400071997</v>
      </c>
      <c r="T291" s="290">
        <f t="shared" si="161"/>
        <v>60.601062523962447</v>
      </c>
      <c r="U291" s="290">
        <f t="shared" si="161"/>
        <v>30.111767990352281</v>
      </c>
      <c r="V291" s="290">
        <f t="shared" si="161"/>
        <v>53.580238150496221</v>
      </c>
      <c r="W291" s="290">
        <f t="shared" si="161"/>
        <v>49.596191443206173</v>
      </c>
      <c r="X291" s="290">
        <f t="shared" si="161"/>
        <v>94.663247281006861</v>
      </c>
      <c r="Y291" s="290">
        <f t="shared" si="161"/>
        <v>92.058517764950096</v>
      </c>
      <c r="Z291" s="290">
        <f t="shared" si="161"/>
        <v>85.854667838811821</v>
      </c>
      <c r="AA291" s="290">
        <f t="shared" si="161"/>
        <v>67.930282993709085</v>
      </c>
      <c r="AB291" s="290">
        <f t="shared" si="161"/>
        <v>128.56541986475617</v>
      </c>
      <c r="AC291" s="290">
        <f t="shared" si="161"/>
        <v>159.4532185684451</v>
      </c>
      <c r="AD291" s="252">
        <f t="shared" si="161"/>
        <v>85.356693500586928</v>
      </c>
      <c r="AE291" s="252">
        <f t="shared" si="161"/>
        <v>156.64062075245397</v>
      </c>
      <c r="AF291" s="252">
        <f t="shared" si="161"/>
        <v>173.96089870085814</v>
      </c>
      <c r="AG291" s="252">
        <f t="shared" si="161"/>
        <v>173.82442379849988</v>
      </c>
      <c r="AH291" s="252">
        <f t="shared" si="161"/>
        <v>180.87108146351247</v>
      </c>
    </row>
    <row r="292" spans="1:34">
      <c r="A292" s="240" t="s">
        <v>233</v>
      </c>
      <c r="B292" s="290">
        <f t="shared" si="162"/>
        <v>13.622771072297699</v>
      </c>
      <c r="C292" s="290">
        <f t="shared" si="162"/>
        <v>14.958478830429442</v>
      </c>
      <c r="D292" s="290">
        <f t="shared" si="161"/>
        <v>13.488776533524666</v>
      </c>
      <c r="E292" s="290">
        <f t="shared" si="161"/>
        <v>13.753259032563042</v>
      </c>
      <c r="F292" s="290">
        <f t="shared" si="161"/>
        <v>12.268941164126648</v>
      </c>
      <c r="G292" s="290">
        <f t="shared" si="161"/>
        <v>13.525391141862308</v>
      </c>
      <c r="H292" s="290">
        <f t="shared" si="161"/>
        <v>14.649187819339447</v>
      </c>
      <c r="I292" s="290">
        <f t="shared" si="161"/>
        <v>24.627712048998049</v>
      </c>
      <c r="J292" s="290">
        <f t="shared" si="161"/>
        <v>16.925176539289414</v>
      </c>
      <c r="K292" s="290">
        <f t="shared" si="161"/>
        <v>26.213678145706648</v>
      </c>
      <c r="L292" s="290">
        <f t="shared" si="161"/>
        <v>20.768085349417287</v>
      </c>
      <c r="M292" s="290">
        <f t="shared" si="161"/>
        <v>21.015902974212928</v>
      </c>
      <c r="N292" s="290">
        <f t="shared" si="161"/>
        <v>28.309449865967419</v>
      </c>
      <c r="O292" s="290">
        <f t="shared" si="161"/>
        <v>23.883535705631616</v>
      </c>
      <c r="P292" s="290">
        <f t="shared" si="161"/>
        <v>16.474193799956801</v>
      </c>
      <c r="Q292" s="290">
        <f t="shared" si="161"/>
        <v>28.074821316477099</v>
      </c>
      <c r="R292" s="290">
        <f t="shared" si="161"/>
        <v>27.79447212928849</v>
      </c>
      <c r="S292" s="290">
        <f t="shared" si="161"/>
        <v>23.767910150963058</v>
      </c>
      <c r="T292" s="290">
        <f t="shared" si="161"/>
        <v>26.598892687305749</v>
      </c>
      <c r="U292" s="290">
        <f t="shared" si="161"/>
        <v>83.640020734299711</v>
      </c>
      <c r="V292" s="290">
        <f t="shared" si="161"/>
        <v>69.779204020307503</v>
      </c>
      <c r="W292" s="290">
        <f t="shared" si="161"/>
        <v>150.11703724024946</v>
      </c>
      <c r="X292" s="290">
        <f t="shared" si="161"/>
        <v>70.27064827278646</v>
      </c>
      <c r="Y292" s="290">
        <f t="shared" si="161"/>
        <v>78.924648253904991</v>
      </c>
      <c r="Z292" s="290">
        <f t="shared" si="161"/>
        <v>53.092670724426213</v>
      </c>
      <c r="AA292" s="290">
        <f t="shared" si="161"/>
        <v>91.725663278339468</v>
      </c>
      <c r="AB292" s="290">
        <f t="shared" si="161"/>
        <v>108.8077199709612</v>
      </c>
      <c r="AC292" s="290">
        <f t="shared" si="161"/>
        <v>167.85566993370952</v>
      </c>
      <c r="AD292" s="252">
        <f t="shared" si="161"/>
        <v>94.84633836151751</v>
      </c>
      <c r="AE292" s="252">
        <f t="shared" si="161"/>
        <v>143.26150662444996</v>
      </c>
      <c r="AF292" s="252">
        <f t="shared" si="161"/>
        <v>163.45465677546113</v>
      </c>
      <c r="AG292" s="252">
        <f t="shared" si="161"/>
        <v>172.89872179437273</v>
      </c>
      <c r="AH292" s="252">
        <f t="shared" si="161"/>
        <v>172.06372057815997</v>
      </c>
    </row>
    <row r="293" spans="1:34">
      <c r="A293" s="240" t="s">
        <v>234</v>
      </c>
      <c r="B293" s="290">
        <f t="shared" si="162"/>
        <v>14.362770400559366</v>
      </c>
      <c r="C293" s="290">
        <f t="shared" si="162"/>
        <v>15.673870659981297</v>
      </c>
      <c r="D293" s="290">
        <f t="shared" si="161"/>
        <v>20.211836333601784</v>
      </c>
      <c r="E293" s="290">
        <f t="shared" si="161"/>
        <v>16.747004367845914</v>
      </c>
      <c r="F293" s="290">
        <f t="shared" si="161"/>
        <v>13.094940706319909</v>
      </c>
      <c r="G293" s="290">
        <f t="shared" si="161"/>
        <v>14.125869719630781</v>
      </c>
      <c r="H293" s="290">
        <f t="shared" si="161"/>
        <v>15.434300838590474</v>
      </c>
      <c r="I293" s="290">
        <f t="shared" si="161"/>
        <v>25.93814808774659</v>
      </c>
      <c r="J293" s="290">
        <f t="shared" si="161"/>
        <v>17.877843193663235</v>
      </c>
      <c r="K293" s="290">
        <f t="shared" si="161"/>
        <v>23.661576233490656</v>
      </c>
      <c r="L293" s="290">
        <f t="shared" si="161"/>
        <v>21.943550053929773</v>
      </c>
      <c r="M293" s="290">
        <f t="shared" si="161"/>
        <v>21.944707407726142</v>
      </c>
      <c r="N293" s="290">
        <f t="shared" si="161"/>
        <v>29.538933942630358</v>
      </c>
      <c r="O293" s="290">
        <f t="shared" si="161"/>
        <v>39.010977278651417</v>
      </c>
      <c r="P293" s="290">
        <f t="shared" si="161"/>
        <v>18.309088722514467</v>
      </c>
      <c r="Q293" s="290">
        <f t="shared" si="161"/>
        <v>34.496724331447268</v>
      </c>
      <c r="R293" s="290">
        <f t="shared" si="161"/>
        <v>28.892530973142371</v>
      </c>
      <c r="S293" s="290">
        <f t="shared" si="161"/>
        <v>24.624671641650774</v>
      </c>
      <c r="T293" s="290">
        <f t="shared" si="161"/>
        <v>30.33291151084255</v>
      </c>
      <c r="U293" s="290">
        <f t="shared" si="161"/>
        <v>107.0420384503869</v>
      </c>
      <c r="V293" s="290">
        <f t="shared" si="161"/>
        <v>70.638793937668041</v>
      </c>
      <c r="W293" s="290">
        <f t="shared" si="161"/>
        <v>112.59649598062515</v>
      </c>
      <c r="X293" s="290">
        <f t="shared" si="161"/>
        <v>173.89970463954816</v>
      </c>
      <c r="Y293" s="290">
        <f t="shared" si="161"/>
        <v>152.89935887513244</v>
      </c>
      <c r="Z293" s="290">
        <f t="shared" si="161"/>
        <v>113.43022448619422</v>
      </c>
      <c r="AA293" s="290">
        <f t="shared" si="161"/>
        <v>163.92784286526975</v>
      </c>
      <c r="AB293" s="290">
        <f t="shared" si="161"/>
        <v>280.09425789105961</v>
      </c>
      <c r="AC293" s="290">
        <f t="shared" si="161"/>
        <v>228.41592197710273</v>
      </c>
      <c r="AD293" s="252">
        <f t="shared" si="161"/>
        <v>65.291292084405598</v>
      </c>
      <c r="AE293" s="252">
        <f t="shared" si="161"/>
        <v>278.26021991418287</v>
      </c>
      <c r="AF293" s="252">
        <f t="shared" si="161"/>
        <v>281.06305834005451</v>
      </c>
      <c r="AG293" s="252">
        <f t="shared" si="161"/>
        <v>295.92778665707465</v>
      </c>
      <c r="AH293" s="252">
        <f t="shared" si="161"/>
        <v>291.5431850589045</v>
      </c>
    </row>
    <row r="294" spans="1:34">
      <c r="A294" s="240" t="s">
        <v>46</v>
      </c>
      <c r="B294" s="290">
        <f t="shared" si="162"/>
        <v>15.143559522067758</v>
      </c>
      <c r="C294" s="290">
        <f t="shared" si="162"/>
        <v>16.595172734368223</v>
      </c>
      <c r="D294" s="290">
        <f t="shared" si="161"/>
        <v>14.97313638129669</v>
      </c>
      <c r="E294" s="290">
        <f t="shared" si="161"/>
        <v>15.226236018443984</v>
      </c>
      <c r="F294" s="290">
        <f t="shared" si="161"/>
        <v>13.823806723621869</v>
      </c>
      <c r="G294" s="290">
        <f t="shared" si="161"/>
        <v>14.887292982429351</v>
      </c>
      <c r="H294" s="290">
        <f t="shared" si="161"/>
        <v>16.25127647137651</v>
      </c>
      <c r="I294" s="290">
        <f t="shared" si="161"/>
        <v>27.464993290865195</v>
      </c>
      <c r="J294" s="290">
        <f t="shared" si="161"/>
        <v>18.949535416966587</v>
      </c>
      <c r="K294" s="290">
        <f t="shared" si="161"/>
        <v>25.977258368351993</v>
      </c>
      <c r="L294" s="290">
        <f t="shared" si="161"/>
        <v>25.40002954982041</v>
      </c>
      <c r="M294" s="290">
        <f t="shared" si="161"/>
        <v>22.952270314537607</v>
      </c>
      <c r="N294" s="290">
        <f t="shared" si="161"/>
        <v>32.503977963043582</v>
      </c>
      <c r="O294" s="290">
        <f t="shared" si="161"/>
        <v>29.432366951413556</v>
      </c>
      <c r="P294" s="290">
        <f t="shared" si="161"/>
        <v>18.05460421900046</v>
      </c>
      <c r="Q294" s="290">
        <f t="shared" si="161"/>
        <v>37.838124511107416</v>
      </c>
      <c r="R294" s="290">
        <f t="shared" si="161"/>
        <v>68.638049659200377</v>
      </c>
      <c r="S294" s="290">
        <f t="shared" si="161"/>
        <v>35.902186850214775</v>
      </c>
      <c r="T294" s="290">
        <f t="shared" si="161"/>
        <v>29.836820601961691</v>
      </c>
      <c r="U294" s="290">
        <f t="shared" si="161"/>
        <v>58.206217989244394</v>
      </c>
      <c r="V294" s="290">
        <f t="shared" si="161"/>
        <v>124.91009127820232</v>
      </c>
      <c r="W294" s="290">
        <f t="shared" si="161"/>
        <v>95.471893848873577</v>
      </c>
      <c r="X294" s="290">
        <f t="shared" si="161"/>
        <v>143.28588790042082</v>
      </c>
      <c r="Y294" s="290">
        <f t="shared" si="161"/>
        <v>142.24551239480519</v>
      </c>
      <c r="Z294" s="290">
        <f t="shared" si="161"/>
        <v>140.62025909994844</v>
      </c>
      <c r="AA294" s="290">
        <f t="shared" si="161"/>
        <v>112.43159893901598</v>
      </c>
      <c r="AB294" s="290">
        <f t="shared" si="161"/>
        <v>201.94129604525318</v>
      </c>
      <c r="AC294" s="290">
        <f t="shared" si="161"/>
        <v>153.63666568334475</v>
      </c>
      <c r="AD294" s="252">
        <f t="shared" si="161"/>
        <v>70.278890587700332</v>
      </c>
      <c r="AE294" s="252">
        <f t="shared" si="161"/>
        <v>220.26898779359971</v>
      </c>
      <c r="AF294" s="252">
        <f t="shared" si="161"/>
        <v>221.47905518706457</v>
      </c>
      <c r="AG294" s="252">
        <f t="shared" si="161"/>
        <v>218.32228951782798</v>
      </c>
      <c r="AH294" s="252">
        <f t="shared" si="161"/>
        <v>221.69757591885536</v>
      </c>
    </row>
    <row r="295" spans="1:34">
      <c r="A295" s="240" t="s">
        <v>235</v>
      </c>
      <c r="B295" s="290">
        <f t="shared" si="162"/>
        <v>15.760967398330713</v>
      </c>
      <c r="C295" s="290">
        <f t="shared" si="162"/>
        <v>17.305996164009549</v>
      </c>
      <c r="D295" s="290">
        <f t="shared" si="161"/>
        <v>15.60894014238521</v>
      </c>
      <c r="E295" s="290">
        <f t="shared" si="161"/>
        <v>13.91258167847098</v>
      </c>
      <c r="F295" s="290">
        <f t="shared" si="161"/>
        <v>14.513228034914468</v>
      </c>
      <c r="G295" s="290">
        <f t="shared" si="161"/>
        <v>15.485914247811531</v>
      </c>
      <c r="H295" s="290">
        <f t="shared" si="161"/>
        <v>16.944885968728119</v>
      </c>
      <c r="I295" s="290">
        <f t="shared" si="161"/>
        <v>28.568595576121826</v>
      </c>
      <c r="J295" s="290">
        <f t="shared" si="161"/>
        <v>19.56455936620246</v>
      </c>
      <c r="K295" s="290">
        <f t="shared" si="161"/>
        <v>25.90563214430578</v>
      </c>
      <c r="L295" s="290">
        <f t="shared" si="161"/>
        <v>27.464738890505899</v>
      </c>
      <c r="M295" s="290">
        <f t="shared" si="161"/>
        <v>24.49143603968324</v>
      </c>
      <c r="N295" s="290">
        <f t="shared" si="161"/>
        <v>34.400653775439203</v>
      </c>
      <c r="O295" s="290">
        <f t="shared" si="161"/>
        <v>19.869897202139111</v>
      </c>
      <c r="P295" s="290">
        <f t="shared" si="161"/>
        <v>18.990089899407689</v>
      </c>
      <c r="Q295" s="290">
        <f t="shared" si="161"/>
        <v>59.070438818798337</v>
      </c>
      <c r="R295" s="290">
        <f t="shared" si="161"/>
        <v>36.207080760664475</v>
      </c>
      <c r="S295" s="290">
        <f t="shared" si="161"/>
        <v>31.983871091534276</v>
      </c>
      <c r="T295" s="290">
        <f t="shared" si="161"/>
        <v>39.45833715192235</v>
      </c>
      <c r="U295" s="290">
        <f t="shared" si="161"/>
        <v>46.2025299343791</v>
      </c>
      <c r="V295" s="290">
        <f t="shared" si="161"/>
        <v>128.36549999916895</v>
      </c>
      <c r="W295" s="290">
        <f t="shared" si="161"/>
        <v>122.35716642685543</v>
      </c>
      <c r="X295" s="290">
        <f t="shared" si="161"/>
        <v>126.77205727750437</v>
      </c>
      <c r="Y295" s="290">
        <f t="shared" si="161"/>
        <v>96.864463120824695</v>
      </c>
      <c r="Z295" s="290">
        <f t="shared" si="161"/>
        <v>101.47663842523048</v>
      </c>
      <c r="AA295" s="290">
        <f t="shared" si="161"/>
        <v>184.84320968801302</v>
      </c>
      <c r="AB295" s="290">
        <f t="shared" si="161"/>
        <v>250.34502275986893</v>
      </c>
      <c r="AC295" s="290">
        <f t="shared" si="161"/>
        <v>127.44386073877116</v>
      </c>
      <c r="AD295" s="252">
        <f t="shared" si="161"/>
        <v>54.737105083234702</v>
      </c>
      <c r="AE295" s="252">
        <f t="shared" si="161"/>
        <v>222.63479922827483</v>
      </c>
      <c r="AF295" s="252">
        <f t="shared" si="161"/>
        <v>233.18867526316001</v>
      </c>
      <c r="AG295" s="252">
        <f t="shared" si="161"/>
        <v>241.84690672645456</v>
      </c>
      <c r="AH295" s="252">
        <f t="shared" si="161"/>
        <v>226.3003297996884</v>
      </c>
    </row>
    <row r="296" spans="1:34">
      <c r="A296" s="240" t="s">
        <v>236</v>
      </c>
      <c r="B296" s="290">
        <f t="shared" si="162"/>
        <v>17.217236011659544</v>
      </c>
      <c r="C296" s="290">
        <f t="shared" si="162"/>
        <v>18.906693502928025</v>
      </c>
      <c r="D296" s="290">
        <f t="shared" si="161"/>
        <v>17.037328087002923</v>
      </c>
      <c r="E296" s="290">
        <f t="shared" si="161"/>
        <v>17.373350752423072</v>
      </c>
      <c r="F296" s="290">
        <f t="shared" si="161"/>
        <v>15.748861118259153</v>
      </c>
      <c r="G296" s="290">
        <f t="shared" si="161"/>
        <v>16.930698610615465</v>
      </c>
      <c r="H296" s="290">
        <f t="shared" si="161"/>
        <v>18.978610636562443</v>
      </c>
      <c r="I296" s="290">
        <f t="shared" si="161"/>
        <v>31.08348758297852</v>
      </c>
      <c r="J296" s="290">
        <f t="shared" si="161"/>
        <v>21.432679834266075</v>
      </c>
      <c r="K296" s="290">
        <f t="shared" ref="K296:AL298" si="163">K311+K216+K264-K280-K312</f>
        <v>28.425906461277229</v>
      </c>
      <c r="L296" s="290">
        <f t="shared" si="163"/>
        <v>26.125832058803788</v>
      </c>
      <c r="M296" s="290">
        <f t="shared" si="163"/>
        <v>26.182206828512331</v>
      </c>
      <c r="N296" s="290">
        <f t="shared" si="163"/>
        <v>35.656529762183879</v>
      </c>
      <c r="O296" s="290">
        <f t="shared" si="163"/>
        <v>22.100614023627919</v>
      </c>
      <c r="P296" s="290">
        <f t="shared" si="163"/>
        <v>21.59205267454599</v>
      </c>
      <c r="Q296" s="290">
        <f t="shared" si="163"/>
        <v>51.134681663309273</v>
      </c>
      <c r="R296" s="290">
        <f t="shared" si="163"/>
        <v>60.660019416916093</v>
      </c>
      <c r="S296" s="290">
        <f t="shared" si="163"/>
        <v>35.924606796959381</v>
      </c>
      <c r="T296" s="290">
        <f t="shared" si="163"/>
        <v>37.41084687314995</v>
      </c>
      <c r="U296" s="290">
        <f t="shared" si="163"/>
        <v>159.63974077033723</v>
      </c>
      <c r="V296" s="290">
        <f t="shared" si="163"/>
        <v>94.454176836990953</v>
      </c>
      <c r="W296" s="290">
        <f t="shared" si="163"/>
        <v>103.52368379752247</v>
      </c>
      <c r="X296" s="290">
        <f t="shared" si="163"/>
        <v>113.96598198359429</v>
      </c>
      <c r="Y296" s="290">
        <f t="shared" si="163"/>
        <v>105.81657644776953</v>
      </c>
      <c r="Z296" s="290">
        <f t="shared" si="163"/>
        <v>101.86633969433858</v>
      </c>
      <c r="AA296" s="290">
        <f t="shared" si="163"/>
        <v>149.05924197699417</v>
      </c>
      <c r="AB296" s="290">
        <f t="shared" si="163"/>
        <v>238.85663568244703</v>
      </c>
      <c r="AC296" s="290">
        <f t="shared" si="163"/>
        <v>110.55599795799554</v>
      </c>
      <c r="AD296" s="252">
        <f t="shared" si="163"/>
        <v>64.427847190553365</v>
      </c>
      <c r="AE296" s="252">
        <f t="shared" si="163"/>
        <v>203.8150499871449</v>
      </c>
      <c r="AF296" s="252">
        <f t="shared" si="163"/>
        <v>211.66930362902519</v>
      </c>
      <c r="AG296" s="252">
        <f t="shared" si="163"/>
        <v>218.97620686234168</v>
      </c>
      <c r="AH296" s="252">
        <f t="shared" si="163"/>
        <v>210.35209165307467</v>
      </c>
    </row>
    <row r="297" spans="1:34">
      <c r="A297" s="240" t="s">
        <v>237</v>
      </c>
      <c r="B297" s="290">
        <f t="shared" si="162"/>
        <v>17.126452734754526</v>
      </c>
      <c r="C297" s="290">
        <f t="shared" si="162"/>
        <v>20.093568775860994</v>
      </c>
      <c r="D297" s="290">
        <f t="shared" si="162"/>
        <v>16.960334758894025</v>
      </c>
      <c r="E297" s="290">
        <f t="shared" si="162"/>
        <v>17.295347585006549</v>
      </c>
      <c r="F297" s="290">
        <f t="shared" si="162"/>
        <v>15.620371705074012</v>
      </c>
      <c r="G297" s="290">
        <f t="shared" si="162"/>
        <v>16.814649563148354</v>
      </c>
      <c r="H297" s="290">
        <f t="shared" si="162"/>
        <v>18.302125126707946</v>
      </c>
      <c r="I297" s="290">
        <f t="shared" si="162"/>
        <v>31.049850593343315</v>
      </c>
      <c r="J297" s="290">
        <f t="shared" si="162"/>
        <v>21.359110013853986</v>
      </c>
      <c r="K297" s="290">
        <f t="shared" si="162"/>
        <v>28.232289388514385</v>
      </c>
      <c r="L297" s="290">
        <f t="shared" si="162"/>
        <v>26.080211796629062</v>
      </c>
      <c r="M297" s="290">
        <f t="shared" si="162"/>
        <v>25.9485275489833</v>
      </c>
      <c r="N297" s="290">
        <f t="shared" si="162"/>
        <v>36.683857484816173</v>
      </c>
      <c r="O297" s="290">
        <f t="shared" si="162"/>
        <v>27.714519397453653</v>
      </c>
      <c r="P297" s="290">
        <f t="shared" si="162"/>
        <v>19.931692317756063</v>
      </c>
      <c r="Q297" s="290">
        <f t="shared" si="162"/>
        <v>51.607022127453412</v>
      </c>
      <c r="R297" s="290">
        <f t="shared" si="163"/>
        <v>52.243694829652114</v>
      </c>
      <c r="S297" s="290">
        <f t="shared" si="163"/>
        <v>36.48733685910522</v>
      </c>
      <c r="T297" s="290">
        <f t="shared" si="163"/>
        <v>34.235003307004817</v>
      </c>
      <c r="U297" s="290">
        <f t="shared" si="163"/>
        <v>93.508968548735751</v>
      </c>
      <c r="V297" s="290">
        <f t="shared" si="163"/>
        <v>73.593475733109344</v>
      </c>
      <c r="W297" s="290">
        <f t="shared" si="163"/>
        <v>54.304968572853205</v>
      </c>
      <c r="X297" s="290">
        <f t="shared" si="163"/>
        <v>156.5295220549109</v>
      </c>
      <c r="Y297" s="290">
        <f t="shared" si="163"/>
        <v>120.02195273805701</v>
      </c>
      <c r="Z297" s="290">
        <f t="shared" si="163"/>
        <v>141.46870746430062</v>
      </c>
      <c r="AA297" s="290">
        <f t="shared" si="163"/>
        <v>112.98770938604854</v>
      </c>
      <c r="AB297" s="290">
        <f t="shared" si="163"/>
        <v>187.6027118559833</v>
      </c>
      <c r="AC297" s="290">
        <f t="shared" si="163"/>
        <v>94.579877749418827</v>
      </c>
      <c r="AD297" s="252">
        <f t="shared" si="163"/>
        <v>61.628764298238636</v>
      </c>
      <c r="AE297" s="252">
        <f t="shared" si="163"/>
        <v>190.06777229106359</v>
      </c>
      <c r="AF297" s="252">
        <f t="shared" si="163"/>
        <v>189.4246496239596</v>
      </c>
      <c r="AG297" s="252">
        <f t="shared" si="163"/>
        <v>183.22040411316254</v>
      </c>
      <c r="AH297" s="252">
        <f t="shared" si="163"/>
        <v>182.63136338862728</v>
      </c>
    </row>
    <row r="298" spans="1:34">
      <c r="A298" s="240" t="s">
        <v>238</v>
      </c>
      <c r="B298" s="290">
        <f t="shared" si="162"/>
        <v>17.448430681965185</v>
      </c>
      <c r="C298" s="290">
        <f t="shared" si="162"/>
        <v>19.082884616080914</v>
      </c>
      <c r="D298" s="290">
        <f t="shared" si="162"/>
        <v>17.257641991906695</v>
      </c>
      <c r="E298" s="290">
        <f t="shared" si="162"/>
        <v>17.622073413288792</v>
      </c>
      <c r="F298" s="290">
        <f t="shared" si="162"/>
        <v>15.905562710374088</v>
      </c>
      <c r="G298" s="290">
        <f t="shared" si="162"/>
        <v>17.155146203264863</v>
      </c>
      <c r="H298" s="290">
        <f t="shared" si="162"/>
        <v>18.746264205334622</v>
      </c>
      <c r="I298" s="290">
        <f t="shared" si="162"/>
        <v>31.610923125101383</v>
      </c>
      <c r="J298" s="290">
        <f t="shared" si="162"/>
        <v>21.661037807370686</v>
      </c>
      <c r="K298" s="290">
        <f t="shared" si="162"/>
        <v>28.864312329095682</v>
      </c>
      <c r="L298" s="290">
        <f t="shared" si="162"/>
        <v>28.916371436992222</v>
      </c>
      <c r="M298" s="290">
        <f t="shared" si="162"/>
        <v>26.642333010613232</v>
      </c>
      <c r="N298" s="290">
        <f t="shared" si="162"/>
        <v>38.005258903133459</v>
      </c>
      <c r="O298" s="290">
        <f t="shared" si="162"/>
        <v>28.088087941027204</v>
      </c>
      <c r="P298" s="290">
        <f t="shared" si="162"/>
        <v>21.823218943593488</v>
      </c>
      <c r="Q298" s="290">
        <f t="shared" si="162"/>
        <v>41.682906390870194</v>
      </c>
      <c r="R298" s="290">
        <f t="shared" si="163"/>
        <v>31.086649028005613</v>
      </c>
      <c r="S298" s="290">
        <f t="shared" si="163"/>
        <v>31.725476947804719</v>
      </c>
      <c r="T298" s="290">
        <f t="shared" si="163"/>
        <v>39.252291385959666</v>
      </c>
      <c r="U298" s="290">
        <f t="shared" si="163"/>
        <v>56.505384558556955</v>
      </c>
      <c r="V298" s="290">
        <f t="shared" si="163"/>
        <v>49.779147075762246</v>
      </c>
      <c r="W298" s="290">
        <f t="shared" si="163"/>
        <v>89.079878332156937</v>
      </c>
      <c r="X298" s="290">
        <f t="shared" si="163"/>
        <v>114.54632662258827</v>
      </c>
      <c r="Y298" s="290">
        <f t="shared" si="163"/>
        <v>81.528863075259139</v>
      </c>
      <c r="Z298" s="290">
        <f t="shared" si="163"/>
        <v>112.3572871020115</v>
      </c>
      <c r="AA298" s="290">
        <f t="shared" si="163"/>
        <v>182.05580979922567</v>
      </c>
      <c r="AB298" s="290">
        <f t="shared" si="163"/>
        <v>168.78917602327689</v>
      </c>
      <c r="AC298" s="290">
        <f t="shared" si="163"/>
        <v>72.7348153770441</v>
      </c>
      <c r="AD298" s="252">
        <f t="shared" si="163"/>
        <v>57.662162803315582</v>
      </c>
      <c r="AE298" s="252">
        <f t="shared" si="163"/>
        <v>177.38748694736768</v>
      </c>
      <c r="AF298" s="252">
        <f t="shared" si="163"/>
        <v>187.92512456469294</v>
      </c>
      <c r="AG298" s="252">
        <f t="shared" si="163"/>
        <v>186.76213036577047</v>
      </c>
      <c r="AH298" s="252">
        <f t="shared" si="163"/>
        <v>167.57841551252173</v>
      </c>
    </row>
    <row r="299" spans="1:34" ht="15.75" thickBot="1">
      <c r="A299" s="240" t="s">
        <v>242</v>
      </c>
      <c r="B299" s="146">
        <f>B36</f>
        <v>185</v>
      </c>
      <c r="C299" s="146">
        <f t="shared" ref="C299:AH299" si="164">C36</f>
        <v>204</v>
      </c>
      <c r="D299" s="146">
        <f t="shared" si="164"/>
        <v>188</v>
      </c>
      <c r="E299" s="146">
        <f t="shared" si="164"/>
        <v>187</v>
      </c>
      <c r="F299" s="146">
        <f t="shared" si="164"/>
        <v>169</v>
      </c>
      <c r="G299" s="146">
        <f t="shared" si="164"/>
        <v>183</v>
      </c>
      <c r="H299" s="146">
        <f t="shared" si="164"/>
        <v>199</v>
      </c>
      <c r="I299" s="146">
        <f t="shared" si="164"/>
        <v>335</v>
      </c>
      <c r="J299" s="146">
        <f t="shared" si="164"/>
        <v>230</v>
      </c>
      <c r="K299" s="146">
        <f t="shared" si="164"/>
        <v>313</v>
      </c>
      <c r="L299" s="146">
        <f t="shared" si="164"/>
        <v>329</v>
      </c>
      <c r="M299" s="146">
        <f t="shared" si="164"/>
        <v>282</v>
      </c>
      <c r="N299" s="146">
        <f t="shared" si="164"/>
        <v>390</v>
      </c>
      <c r="O299" s="146">
        <f t="shared" si="164"/>
        <v>329</v>
      </c>
      <c r="P299" s="146">
        <f t="shared" si="164"/>
        <v>227</v>
      </c>
      <c r="Q299" s="146">
        <f t="shared" si="164"/>
        <v>439</v>
      </c>
      <c r="R299" s="146">
        <f t="shared" si="164"/>
        <v>493</v>
      </c>
      <c r="S299" s="146">
        <f t="shared" si="164"/>
        <v>362</v>
      </c>
      <c r="T299" s="146">
        <f t="shared" si="164"/>
        <v>469</v>
      </c>
      <c r="U299" s="146">
        <f t="shared" si="164"/>
        <v>837</v>
      </c>
      <c r="V299" s="146">
        <f t="shared" si="164"/>
        <v>995</v>
      </c>
      <c r="W299" s="146">
        <f t="shared" si="164"/>
        <v>998</v>
      </c>
      <c r="X299" s="146">
        <f t="shared" si="164"/>
        <v>1379</v>
      </c>
      <c r="Y299" s="146">
        <f t="shared" si="164"/>
        <v>1332</v>
      </c>
      <c r="Z299" s="146">
        <f t="shared" si="164"/>
        <v>1428</v>
      </c>
      <c r="AA299" s="146">
        <f t="shared" si="164"/>
        <v>1496</v>
      </c>
      <c r="AB299" s="146">
        <f t="shared" si="164"/>
        <v>2169</v>
      </c>
      <c r="AC299" s="146">
        <f t="shared" si="164"/>
        <v>2067</v>
      </c>
      <c r="AD299" s="253">
        <f t="shared" si="164"/>
        <v>2425</v>
      </c>
      <c r="AE299" s="253">
        <f t="shared" si="164"/>
        <v>2476</v>
      </c>
      <c r="AF299" s="253">
        <f t="shared" si="164"/>
        <v>2677</v>
      </c>
      <c r="AG299" s="253">
        <f t="shared" si="164"/>
        <v>2677</v>
      </c>
      <c r="AH299" s="253">
        <f t="shared" si="164"/>
        <v>2677</v>
      </c>
    </row>
    <row r="300" spans="1:34">
      <c r="A300" s="248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  <c r="AD300" s="254"/>
      <c r="AE300" s="254"/>
      <c r="AF300" s="254"/>
      <c r="AG300" s="254"/>
      <c r="AH300" s="254"/>
    </row>
    <row r="301" spans="1:34" ht="15.75" thickBot="1">
      <c r="A301" s="235" t="s">
        <v>269</v>
      </c>
    </row>
    <row r="302" spans="1:34" ht="15.75" thickBot="1">
      <c r="A302" s="236"/>
      <c r="B302" s="237" t="str">
        <f>B$2</f>
        <v xml:space="preserve">93/94 </v>
      </c>
      <c r="C302" s="237" t="str">
        <f t="shared" ref="C302:AH302" si="165">C$2</f>
        <v xml:space="preserve">94/95 </v>
      </c>
      <c r="D302" s="237" t="str">
        <f t="shared" si="165"/>
        <v xml:space="preserve">95/96 </v>
      </c>
      <c r="E302" s="237" t="str">
        <f t="shared" si="165"/>
        <v xml:space="preserve">96/97 </v>
      </c>
      <c r="F302" s="237" t="str">
        <f t="shared" si="165"/>
        <v xml:space="preserve">97/98 </v>
      </c>
      <c r="G302" s="237" t="str">
        <f t="shared" si="165"/>
        <v xml:space="preserve">98/99 </v>
      </c>
      <c r="H302" s="237" t="str">
        <f t="shared" si="165"/>
        <v xml:space="preserve">99/00 </v>
      </c>
      <c r="I302" s="237" t="str">
        <f t="shared" si="165"/>
        <v xml:space="preserve">00/01 </v>
      </c>
      <c r="J302" s="237" t="str">
        <f t="shared" si="165"/>
        <v xml:space="preserve">01/02 </v>
      </c>
      <c r="K302" s="237" t="str">
        <f t="shared" si="165"/>
        <v xml:space="preserve">02/03 </v>
      </c>
      <c r="L302" s="237" t="str">
        <f t="shared" si="165"/>
        <v xml:space="preserve">03/04 </v>
      </c>
      <c r="M302" s="237" t="str">
        <f t="shared" si="165"/>
        <v xml:space="preserve">04/05 </v>
      </c>
      <c r="N302" s="237" t="str">
        <f t="shared" si="165"/>
        <v xml:space="preserve">05/06 </v>
      </c>
      <c r="O302" s="237" t="str">
        <f t="shared" si="165"/>
        <v xml:space="preserve">06/07 </v>
      </c>
      <c r="P302" s="237" t="str">
        <f t="shared" si="165"/>
        <v xml:space="preserve">07/08 </v>
      </c>
      <c r="Q302" s="237" t="str">
        <f t="shared" si="165"/>
        <v xml:space="preserve">08/09 </v>
      </c>
      <c r="R302" s="237" t="str">
        <f t="shared" si="165"/>
        <v xml:space="preserve">09/10 </v>
      </c>
      <c r="S302" s="237" t="str">
        <f t="shared" si="165"/>
        <v xml:space="preserve">10/11 </v>
      </c>
      <c r="T302" s="237" t="str">
        <f t="shared" si="165"/>
        <v xml:space="preserve">11/12 </v>
      </c>
      <c r="U302" s="237" t="str">
        <f t="shared" si="165"/>
        <v xml:space="preserve">12/13 </v>
      </c>
      <c r="V302" s="237" t="str">
        <f t="shared" si="165"/>
        <v xml:space="preserve">13/14 </v>
      </c>
      <c r="W302" s="237" t="str">
        <f t="shared" si="165"/>
        <v xml:space="preserve">14/15 </v>
      </c>
      <c r="X302" s="237" t="str">
        <f t="shared" si="165"/>
        <v xml:space="preserve">15/16 </v>
      </c>
      <c r="Y302" s="237" t="str">
        <f t="shared" si="165"/>
        <v xml:space="preserve">16/17 </v>
      </c>
      <c r="Z302" s="237" t="str">
        <f t="shared" si="165"/>
        <v xml:space="preserve">17/18 </v>
      </c>
      <c r="AA302" s="237" t="str">
        <f t="shared" si="165"/>
        <v xml:space="preserve">18/19 </v>
      </c>
      <c r="AB302" s="237" t="str">
        <f t="shared" si="165"/>
        <v xml:space="preserve">19/20 </v>
      </c>
      <c r="AC302" s="237" t="str">
        <f t="shared" si="165"/>
        <v xml:space="preserve">20/21 </v>
      </c>
      <c r="AD302" s="237" t="str">
        <f t="shared" si="165"/>
        <v xml:space="preserve">21/22 </v>
      </c>
      <c r="AE302" s="237" t="str">
        <f t="shared" si="165"/>
        <v xml:space="preserve">22/23 </v>
      </c>
      <c r="AF302" s="237" t="str">
        <f t="shared" si="165"/>
        <v>23/24</v>
      </c>
      <c r="AG302" s="237" t="str">
        <f t="shared" si="165"/>
        <v>23/25</v>
      </c>
      <c r="AH302" s="237" t="str">
        <f t="shared" si="165"/>
        <v>23/26</v>
      </c>
    </row>
    <row r="303" spans="1:34">
      <c r="A303" s="240" t="s">
        <v>239</v>
      </c>
      <c r="B303" s="290">
        <f>(B$314-B$32)/13+B32</f>
        <v>0</v>
      </c>
      <c r="C303" s="290">
        <f>(C$314-B$314)/13+B314</f>
        <v>0</v>
      </c>
      <c r="D303" s="290">
        <f t="shared" ref="D303:AD303" si="166">(D$314-C$314)/13+C314</f>
        <v>0</v>
      </c>
      <c r="E303" s="290">
        <f t="shared" si="166"/>
        <v>0</v>
      </c>
      <c r="F303" s="290">
        <f t="shared" si="166"/>
        <v>0</v>
      </c>
      <c r="G303" s="290">
        <f t="shared" si="166"/>
        <v>0</v>
      </c>
      <c r="H303" s="290">
        <f t="shared" si="166"/>
        <v>0</v>
      </c>
      <c r="I303" s="290">
        <f t="shared" si="166"/>
        <v>0</v>
      </c>
      <c r="J303" s="290">
        <f t="shared" si="166"/>
        <v>0</v>
      </c>
      <c r="K303" s="290">
        <f t="shared" si="166"/>
        <v>0</v>
      </c>
      <c r="L303" s="290">
        <f t="shared" si="166"/>
        <v>0</v>
      </c>
      <c r="M303" s="290">
        <f t="shared" si="166"/>
        <v>0</v>
      </c>
      <c r="N303" s="290">
        <f t="shared" si="166"/>
        <v>0</v>
      </c>
      <c r="O303" s="290">
        <f t="shared" si="166"/>
        <v>0</v>
      </c>
      <c r="P303" s="290">
        <f t="shared" si="166"/>
        <v>0</v>
      </c>
      <c r="Q303" s="290">
        <f t="shared" si="166"/>
        <v>0</v>
      </c>
      <c r="R303" s="290">
        <f t="shared" si="166"/>
        <v>0</v>
      </c>
      <c r="S303" s="290">
        <f t="shared" si="166"/>
        <v>0</v>
      </c>
      <c r="T303" s="290">
        <f t="shared" si="166"/>
        <v>0</v>
      </c>
      <c r="U303" s="290">
        <f t="shared" si="166"/>
        <v>0</v>
      </c>
      <c r="V303" s="290">
        <f t="shared" si="166"/>
        <v>0</v>
      </c>
      <c r="W303" s="290">
        <f t="shared" si="166"/>
        <v>0</v>
      </c>
      <c r="X303" s="290">
        <f t="shared" si="166"/>
        <v>0</v>
      </c>
      <c r="Y303" s="290">
        <f t="shared" si="166"/>
        <v>0</v>
      </c>
      <c r="Z303" s="290">
        <f t="shared" si="166"/>
        <v>0</v>
      </c>
      <c r="AA303" s="290">
        <f t="shared" si="166"/>
        <v>0</v>
      </c>
      <c r="AB303" s="290">
        <f t="shared" si="166"/>
        <v>0</v>
      </c>
      <c r="AC303" s="290">
        <f t="shared" si="166"/>
        <v>0</v>
      </c>
      <c r="AD303" s="290">
        <f t="shared" si="166"/>
        <v>0</v>
      </c>
      <c r="AE303" s="252">
        <f>(AE$314-AE$314)/13+AD314</f>
        <v>0</v>
      </c>
      <c r="AF303" s="252">
        <f>(AF$314-AF$314)/13+AE314</f>
        <v>0</v>
      </c>
      <c r="AG303" s="252">
        <f t="shared" ref="AG303:AH303" si="167">(AG$314-AG$314)/13+AF314</f>
        <v>0</v>
      </c>
      <c r="AH303" s="252">
        <f t="shared" si="167"/>
        <v>0</v>
      </c>
    </row>
    <row r="304" spans="1:34">
      <c r="A304" s="240" t="s">
        <v>240</v>
      </c>
      <c r="B304" s="290">
        <f t="shared" ref="B304:B313" si="168">(B$314-B$32)/13+B303</f>
        <v>0</v>
      </c>
      <c r="C304" s="290">
        <f>(C$314-B$314)/13+C303</f>
        <v>0</v>
      </c>
      <c r="D304" s="290">
        <f t="shared" ref="D304:AD313" si="169">(D$314-C$314)/13+D303</f>
        <v>0</v>
      </c>
      <c r="E304" s="290">
        <f t="shared" si="169"/>
        <v>0</v>
      </c>
      <c r="F304" s="290">
        <f t="shared" si="169"/>
        <v>0</v>
      </c>
      <c r="G304" s="290">
        <f t="shared" si="169"/>
        <v>0</v>
      </c>
      <c r="H304" s="290">
        <f t="shared" si="169"/>
        <v>0</v>
      </c>
      <c r="I304" s="290">
        <f t="shared" si="169"/>
        <v>0</v>
      </c>
      <c r="J304" s="290">
        <f t="shared" si="169"/>
        <v>0</v>
      </c>
      <c r="K304" s="290">
        <f t="shared" si="169"/>
        <v>0</v>
      </c>
      <c r="L304" s="290">
        <f t="shared" si="169"/>
        <v>0</v>
      </c>
      <c r="M304" s="290">
        <f t="shared" si="169"/>
        <v>0</v>
      </c>
      <c r="N304" s="290">
        <f t="shared" si="169"/>
        <v>0</v>
      </c>
      <c r="O304" s="290">
        <f t="shared" si="169"/>
        <v>0</v>
      </c>
      <c r="P304" s="290">
        <f t="shared" si="169"/>
        <v>0</v>
      </c>
      <c r="Q304" s="290">
        <f t="shared" si="169"/>
        <v>0</v>
      </c>
      <c r="R304" s="290">
        <f t="shared" si="169"/>
        <v>0</v>
      </c>
      <c r="S304" s="290">
        <f t="shared" si="169"/>
        <v>0</v>
      </c>
      <c r="T304" s="290">
        <f t="shared" si="169"/>
        <v>0</v>
      </c>
      <c r="U304" s="290">
        <f t="shared" si="169"/>
        <v>0</v>
      </c>
      <c r="V304" s="290">
        <f t="shared" si="169"/>
        <v>0</v>
      </c>
      <c r="W304" s="290">
        <f t="shared" si="169"/>
        <v>0</v>
      </c>
      <c r="X304" s="290">
        <f t="shared" si="169"/>
        <v>0</v>
      </c>
      <c r="Y304" s="290">
        <f t="shared" si="169"/>
        <v>0</v>
      </c>
      <c r="Z304" s="290">
        <f t="shared" si="169"/>
        <v>0</v>
      </c>
      <c r="AA304" s="290">
        <f t="shared" si="169"/>
        <v>0</v>
      </c>
      <c r="AB304" s="290">
        <f t="shared" si="169"/>
        <v>0</v>
      </c>
      <c r="AC304" s="290">
        <f t="shared" si="169"/>
        <v>0</v>
      </c>
      <c r="AD304" s="290">
        <f t="shared" si="169"/>
        <v>0</v>
      </c>
      <c r="AE304" s="252">
        <f t="shared" ref="AE304:AH313" si="170">(AE$314-AE$32)/13+AE303</f>
        <v>0</v>
      </c>
      <c r="AF304" s="252">
        <f t="shared" si="170"/>
        <v>0</v>
      </c>
      <c r="AG304" s="252">
        <f t="shared" si="170"/>
        <v>0</v>
      </c>
      <c r="AH304" s="252">
        <f t="shared" si="170"/>
        <v>0</v>
      </c>
    </row>
    <row r="305" spans="1:34">
      <c r="A305" s="240" t="s">
        <v>241</v>
      </c>
      <c r="B305" s="290">
        <f t="shared" si="168"/>
        <v>0</v>
      </c>
      <c r="C305" s="290">
        <f t="shared" ref="C305:C313" si="171">(C$314-B$314)/13+C304</f>
        <v>0</v>
      </c>
      <c r="D305" s="290">
        <f t="shared" si="169"/>
        <v>0</v>
      </c>
      <c r="E305" s="290">
        <f t="shared" si="169"/>
        <v>0</v>
      </c>
      <c r="F305" s="290">
        <f t="shared" si="169"/>
        <v>0</v>
      </c>
      <c r="G305" s="290">
        <f t="shared" si="169"/>
        <v>0</v>
      </c>
      <c r="H305" s="290">
        <f t="shared" si="169"/>
        <v>0</v>
      </c>
      <c r="I305" s="290">
        <f t="shared" si="169"/>
        <v>0</v>
      </c>
      <c r="J305" s="290">
        <f t="shared" si="169"/>
        <v>0</v>
      </c>
      <c r="K305" s="290">
        <f t="shared" si="169"/>
        <v>0</v>
      </c>
      <c r="L305" s="290">
        <f t="shared" si="169"/>
        <v>0</v>
      </c>
      <c r="M305" s="290">
        <f t="shared" si="169"/>
        <v>0</v>
      </c>
      <c r="N305" s="290">
        <f t="shared" si="169"/>
        <v>0</v>
      </c>
      <c r="O305" s="290">
        <f t="shared" si="169"/>
        <v>0</v>
      </c>
      <c r="P305" s="290">
        <f t="shared" si="169"/>
        <v>0</v>
      </c>
      <c r="Q305" s="290">
        <f t="shared" si="169"/>
        <v>0</v>
      </c>
      <c r="R305" s="290">
        <f t="shared" si="169"/>
        <v>0</v>
      </c>
      <c r="S305" s="290">
        <f t="shared" si="169"/>
        <v>0</v>
      </c>
      <c r="T305" s="290">
        <f t="shared" si="169"/>
        <v>0</v>
      </c>
      <c r="U305" s="290">
        <f t="shared" si="169"/>
        <v>0</v>
      </c>
      <c r="V305" s="290">
        <f t="shared" si="169"/>
        <v>0</v>
      </c>
      <c r="W305" s="290">
        <f t="shared" si="169"/>
        <v>0</v>
      </c>
      <c r="X305" s="290">
        <f t="shared" si="169"/>
        <v>0</v>
      </c>
      <c r="Y305" s="290">
        <f t="shared" si="169"/>
        <v>0</v>
      </c>
      <c r="Z305" s="290">
        <f t="shared" si="169"/>
        <v>0</v>
      </c>
      <c r="AA305" s="290">
        <f t="shared" si="169"/>
        <v>0</v>
      </c>
      <c r="AB305" s="290">
        <f t="shared" si="169"/>
        <v>0</v>
      </c>
      <c r="AC305" s="290">
        <f t="shared" si="169"/>
        <v>0</v>
      </c>
      <c r="AD305" s="290">
        <f t="shared" si="169"/>
        <v>0</v>
      </c>
      <c r="AE305" s="252">
        <f t="shared" si="170"/>
        <v>0</v>
      </c>
      <c r="AF305" s="252">
        <f t="shared" si="170"/>
        <v>0</v>
      </c>
      <c r="AG305" s="252">
        <f t="shared" si="170"/>
        <v>0</v>
      </c>
      <c r="AH305" s="252">
        <f t="shared" si="170"/>
        <v>0</v>
      </c>
    </row>
    <row r="306" spans="1:34">
      <c r="A306" s="240" t="s">
        <v>231</v>
      </c>
      <c r="B306" s="290">
        <f t="shared" si="168"/>
        <v>0</v>
      </c>
      <c r="C306" s="290">
        <f t="shared" si="171"/>
        <v>0</v>
      </c>
      <c r="D306" s="290">
        <f t="shared" si="169"/>
        <v>0</v>
      </c>
      <c r="E306" s="290">
        <f t="shared" si="169"/>
        <v>0</v>
      </c>
      <c r="F306" s="290">
        <f t="shared" si="169"/>
        <v>0</v>
      </c>
      <c r="G306" s="290">
        <f t="shared" si="169"/>
        <v>0</v>
      </c>
      <c r="H306" s="290">
        <f t="shared" si="169"/>
        <v>0</v>
      </c>
      <c r="I306" s="290">
        <f t="shared" si="169"/>
        <v>0</v>
      </c>
      <c r="J306" s="290">
        <f t="shared" si="169"/>
        <v>0</v>
      </c>
      <c r="K306" s="290">
        <f t="shared" si="169"/>
        <v>0</v>
      </c>
      <c r="L306" s="290">
        <f t="shared" si="169"/>
        <v>0</v>
      </c>
      <c r="M306" s="290">
        <f t="shared" si="169"/>
        <v>0</v>
      </c>
      <c r="N306" s="290">
        <f t="shared" si="169"/>
        <v>0</v>
      </c>
      <c r="O306" s="290">
        <f t="shared" si="169"/>
        <v>0</v>
      </c>
      <c r="P306" s="290">
        <f t="shared" si="169"/>
        <v>0</v>
      </c>
      <c r="Q306" s="290">
        <f t="shared" si="169"/>
        <v>0</v>
      </c>
      <c r="R306" s="290">
        <f t="shared" si="169"/>
        <v>0</v>
      </c>
      <c r="S306" s="290">
        <f t="shared" si="169"/>
        <v>0</v>
      </c>
      <c r="T306" s="290">
        <f t="shared" si="169"/>
        <v>0</v>
      </c>
      <c r="U306" s="290">
        <f t="shared" si="169"/>
        <v>0</v>
      </c>
      <c r="V306" s="290">
        <f t="shared" si="169"/>
        <v>0</v>
      </c>
      <c r="W306" s="290">
        <f t="shared" si="169"/>
        <v>0</v>
      </c>
      <c r="X306" s="290">
        <f t="shared" si="169"/>
        <v>0</v>
      </c>
      <c r="Y306" s="290">
        <f t="shared" si="169"/>
        <v>0</v>
      </c>
      <c r="Z306" s="290">
        <f t="shared" si="169"/>
        <v>0</v>
      </c>
      <c r="AA306" s="290">
        <f t="shared" si="169"/>
        <v>0</v>
      </c>
      <c r="AB306" s="290">
        <f t="shared" si="169"/>
        <v>0</v>
      </c>
      <c r="AC306" s="290">
        <f t="shared" si="169"/>
        <v>0</v>
      </c>
      <c r="AD306" s="252">
        <f t="shared" ref="AD306:AE313" si="172">(AD$314-AD$32)/13+AD305</f>
        <v>0</v>
      </c>
      <c r="AE306" s="252">
        <f t="shared" si="172"/>
        <v>0</v>
      </c>
      <c r="AF306" s="252">
        <f t="shared" si="170"/>
        <v>0</v>
      </c>
      <c r="AG306" s="252">
        <f t="shared" si="170"/>
        <v>0</v>
      </c>
      <c r="AH306" s="252">
        <f t="shared" si="170"/>
        <v>0</v>
      </c>
    </row>
    <row r="307" spans="1:34">
      <c r="A307" s="240" t="s">
        <v>232</v>
      </c>
      <c r="B307" s="290">
        <f t="shared" si="168"/>
        <v>0</v>
      </c>
      <c r="C307" s="290">
        <f t="shared" si="171"/>
        <v>0</v>
      </c>
      <c r="D307" s="290">
        <f t="shared" si="169"/>
        <v>0</v>
      </c>
      <c r="E307" s="290">
        <f t="shared" si="169"/>
        <v>0</v>
      </c>
      <c r="F307" s="290">
        <f t="shared" si="169"/>
        <v>0</v>
      </c>
      <c r="G307" s="290">
        <f t="shared" si="169"/>
        <v>0</v>
      </c>
      <c r="H307" s="290">
        <f t="shared" si="169"/>
        <v>0</v>
      </c>
      <c r="I307" s="290">
        <f t="shared" si="169"/>
        <v>0</v>
      </c>
      <c r="J307" s="290">
        <f t="shared" si="169"/>
        <v>0</v>
      </c>
      <c r="K307" s="290">
        <f t="shared" si="169"/>
        <v>0</v>
      </c>
      <c r="L307" s="290">
        <f t="shared" si="169"/>
        <v>0</v>
      </c>
      <c r="M307" s="290">
        <f t="shared" si="169"/>
        <v>0</v>
      </c>
      <c r="N307" s="290">
        <f t="shared" si="169"/>
        <v>0</v>
      </c>
      <c r="O307" s="290">
        <f t="shared" si="169"/>
        <v>0</v>
      </c>
      <c r="P307" s="290">
        <f t="shared" si="169"/>
        <v>0</v>
      </c>
      <c r="Q307" s="290">
        <f t="shared" si="169"/>
        <v>0</v>
      </c>
      <c r="R307" s="290">
        <f t="shared" si="169"/>
        <v>0</v>
      </c>
      <c r="S307" s="290">
        <f t="shared" si="169"/>
        <v>0</v>
      </c>
      <c r="T307" s="290">
        <f t="shared" si="169"/>
        <v>0</v>
      </c>
      <c r="U307" s="290">
        <f t="shared" si="169"/>
        <v>0</v>
      </c>
      <c r="V307" s="290">
        <f t="shared" si="169"/>
        <v>0</v>
      </c>
      <c r="W307" s="290">
        <f t="shared" si="169"/>
        <v>0</v>
      </c>
      <c r="X307" s="290">
        <f t="shared" si="169"/>
        <v>0</v>
      </c>
      <c r="Y307" s="290">
        <f t="shared" si="169"/>
        <v>0</v>
      </c>
      <c r="Z307" s="290">
        <f t="shared" si="169"/>
        <v>0</v>
      </c>
      <c r="AA307" s="290">
        <f t="shared" si="169"/>
        <v>0</v>
      </c>
      <c r="AB307" s="290">
        <f t="shared" si="169"/>
        <v>0</v>
      </c>
      <c r="AC307" s="290">
        <f t="shared" si="169"/>
        <v>0</v>
      </c>
      <c r="AD307" s="252">
        <f t="shared" si="172"/>
        <v>0</v>
      </c>
      <c r="AE307" s="252">
        <f t="shared" si="172"/>
        <v>0</v>
      </c>
      <c r="AF307" s="252">
        <f t="shared" si="170"/>
        <v>0</v>
      </c>
      <c r="AG307" s="252">
        <f t="shared" si="170"/>
        <v>0</v>
      </c>
      <c r="AH307" s="252">
        <f t="shared" si="170"/>
        <v>0</v>
      </c>
    </row>
    <row r="308" spans="1:34">
      <c r="A308" s="240" t="s">
        <v>233</v>
      </c>
      <c r="B308" s="290">
        <f t="shared" si="168"/>
        <v>0</v>
      </c>
      <c r="C308" s="290">
        <f t="shared" si="171"/>
        <v>0</v>
      </c>
      <c r="D308" s="290">
        <f t="shared" si="169"/>
        <v>0</v>
      </c>
      <c r="E308" s="290">
        <f t="shared" si="169"/>
        <v>0</v>
      </c>
      <c r="F308" s="290">
        <f t="shared" si="169"/>
        <v>0</v>
      </c>
      <c r="G308" s="290">
        <f t="shared" si="169"/>
        <v>0</v>
      </c>
      <c r="H308" s="290">
        <f t="shared" si="169"/>
        <v>0</v>
      </c>
      <c r="I308" s="290">
        <f t="shared" si="169"/>
        <v>0</v>
      </c>
      <c r="J308" s="290">
        <f t="shared" si="169"/>
        <v>0</v>
      </c>
      <c r="K308" s="290">
        <f t="shared" si="169"/>
        <v>0</v>
      </c>
      <c r="L308" s="290">
        <f t="shared" si="169"/>
        <v>0</v>
      </c>
      <c r="M308" s="290">
        <f t="shared" si="169"/>
        <v>0</v>
      </c>
      <c r="N308" s="290">
        <f t="shared" si="169"/>
        <v>0</v>
      </c>
      <c r="O308" s="290">
        <f t="shared" si="169"/>
        <v>0</v>
      </c>
      <c r="P308" s="290">
        <f t="shared" si="169"/>
        <v>0</v>
      </c>
      <c r="Q308" s="290">
        <f t="shared" si="169"/>
        <v>0</v>
      </c>
      <c r="R308" s="290">
        <f t="shared" si="169"/>
        <v>0</v>
      </c>
      <c r="S308" s="290">
        <f t="shared" si="169"/>
        <v>0</v>
      </c>
      <c r="T308" s="290">
        <f t="shared" si="169"/>
        <v>0</v>
      </c>
      <c r="U308" s="290">
        <f t="shared" si="169"/>
        <v>0</v>
      </c>
      <c r="V308" s="290">
        <f t="shared" si="169"/>
        <v>0</v>
      </c>
      <c r="W308" s="290">
        <f t="shared" si="169"/>
        <v>0</v>
      </c>
      <c r="X308" s="290">
        <f t="shared" si="169"/>
        <v>0</v>
      </c>
      <c r="Y308" s="290">
        <f t="shared" si="169"/>
        <v>0</v>
      </c>
      <c r="Z308" s="290">
        <f t="shared" si="169"/>
        <v>0</v>
      </c>
      <c r="AA308" s="290">
        <f t="shared" si="169"/>
        <v>0</v>
      </c>
      <c r="AB308" s="290">
        <f t="shared" si="169"/>
        <v>0</v>
      </c>
      <c r="AC308" s="290">
        <f t="shared" si="169"/>
        <v>0</v>
      </c>
      <c r="AD308" s="252">
        <f t="shared" si="172"/>
        <v>0</v>
      </c>
      <c r="AE308" s="252">
        <f t="shared" si="172"/>
        <v>0</v>
      </c>
      <c r="AF308" s="252">
        <f t="shared" si="170"/>
        <v>0</v>
      </c>
      <c r="AG308" s="252">
        <f t="shared" si="170"/>
        <v>0</v>
      </c>
      <c r="AH308" s="252">
        <f t="shared" si="170"/>
        <v>0</v>
      </c>
    </row>
    <row r="309" spans="1:34">
      <c r="A309" s="240" t="s">
        <v>234</v>
      </c>
      <c r="B309" s="290">
        <f t="shared" si="168"/>
        <v>0</v>
      </c>
      <c r="C309" s="290">
        <f t="shared" si="171"/>
        <v>0</v>
      </c>
      <c r="D309" s="290">
        <f t="shared" si="169"/>
        <v>0</v>
      </c>
      <c r="E309" s="290">
        <f t="shared" si="169"/>
        <v>0</v>
      </c>
      <c r="F309" s="290">
        <f t="shared" si="169"/>
        <v>0</v>
      </c>
      <c r="G309" s="290">
        <f t="shared" si="169"/>
        <v>0</v>
      </c>
      <c r="H309" s="290">
        <f t="shared" si="169"/>
        <v>0</v>
      </c>
      <c r="I309" s="290">
        <f t="shared" si="169"/>
        <v>0</v>
      </c>
      <c r="J309" s="290">
        <f t="shared" si="169"/>
        <v>0</v>
      </c>
      <c r="K309" s="290">
        <f t="shared" si="169"/>
        <v>0</v>
      </c>
      <c r="L309" s="290">
        <f t="shared" si="169"/>
        <v>0</v>
      </c>
      <c r="M309" s="290">
        <f t="shared" si="169"/>
        <v>0</v>
      </c>
      <c r="N309" s="290">
        <f t="shared" si="169"/>
        <v>0</v>
      </c>
      <c r="O309" s="290">
        <f t="shared" si="169"/>
        <v>0</v>
      </c>
      <c r="P309" s="290">
        <f t="shared" si="169"/>
        <v>0</v>
      </c>
      <c r="Q309" s="290">
        <f t="shared" si="169"/>
        <v>0</v>
      </c>
      <c r="R309" s="290">
        <f t="shared" si="169"/>
        <v>0</v>
      </c>
      <c r="S309" s="290">
        <f t="shared" si="169"/>
        <v>0</v>
      </c>
      <c r="T309" s="290">
        <f t="shared" si="169"/>
        <v>0</v>
      </c>
      <c r="U309" s="290">
        <f t="shared" si="169"/>
        <v>0</v>
      </c>
      <c r="V309" s="290">
        <f t="shared" si="169"/>
        <v>0</v>
      </c>
      <c r="W309" s="290">
        <f t="shared" si="169"/>
        <v>0</v>
      </c>
      <c r="X309" s="290">
        <f t="shared" si="169"/>
        <v>0</v>
      </c>
      <c r="Y309" s="290">
        <f t="shared" si="169"/>
        <v>0</v>
      </c>
      <c r="Z309" s="290">
        <f t="shared" si="169"/>
        <v>0</v>
      </c>
      <c r="AA309" s="290">
        <f t="shared" si="169"/>
        <v>0</v>
      </c>
      <c r="AB309" s="290">
        <f t="shared" si="169"/>
        <v>0</v>
      </c>
      <c r="AC309" s="290">
        <f t="shared" si="169"/>
        <v>0</v>
      </c>
      <c r="AD309" s="252">
        <f t="shared" si="172"/>
        <v>0</v>
      </c>
      <c r="AE309" s="252">
        <f t="shared" si="172"/>
        <v>0</v>
      </c>
      <c r="AF309" s="252">
        <f t="shared" si="170"/>
        <v>0</v>
      </c>
      <c r="AG309" s="252">
        <f t="shared" si="170"/>
        <v>0</v>
      </c>
      <c r="AH309" s="252">
        <f t="shared" si="170"/>
        <v>0</v>
      </c>
    </row>
    <row r="310" spans="1:34">
      <c r="A310" s="240" t="s">
        <v>46</v>
      </c>
      <c r="B310" s="290">
        <f t="shared" si="168"/>
        <v>0</v>
      </c>
      <c r="C310" s="290">
        <f t="shared" si="171"/>
        <v>0</v>
      </c>
      <c r="D310" s="290">
        <f t="shared" si="169"/>
        <v>0</v>
      </c>
      <c r="E310" s="290">
        <f t="shared" si="169"/>
        <v>0</v>
      </c>
      <c r="F310" s="290">
        <f t="shared" si="169"/>
        <v>0</v>
      </c>
      <c r="G310" s="290">
        <f t="shared" si="169"/>
        <v>0</v>
      </c>
      <c r="H310" s="290">
        <f t="shared" si="169"/>
        <v>0</v>
      </c>
      <c r="I310" s="290">
        <f t="shared" si="169"/>
        <v>0</v>
      </c>
      <c r="J310" s="290">
        <f t="shared" si="169"/>
        <v>0</v>
      </c>
      <c r="K310" s="290">
        <f t="shared" si="169"/>
        <v>0</v>
      </c>
      <c r="L310" s="290">
        <f t="shared" si="169"/>
        <v>0</v>
      </c>
      <c r="M310" s="290">
        <f t="shared" si="169"/>
        <v>0</v>
      </c>
      <c r="N310" s="290">
        <f t="shared" si="169"/>
        <v>0</v>
      </c>
      <c r="O310" s="290">
        <f t="shared" si="169"/>
        <v>0</v>
      </c>
      <c r="P310" s="290">
        <f t="shared" si="169"/>
        <v>0</v>
      </c>
      <c r="Q310" s="290">
        <f t="shared" si="169"/>
        <v>0</v>
      </c>
      <c r="R310" s="290">
        <f t="shared" si="169"/>
        <v>0</v>
      </c>
      <c r="S310" s="290">
        <f t="shared" si="169"/>
        <v>0</v>
      </c>
      <c r="T310" s="290">
        <f t="shared" si="169"/>
        <v>0</v>
      </c>
      <c r="U310" s="290">
        <f t="shared" si="169"/>
        <v>0</v>
      </c>
      <c r="V310" s="290">
        <f t="shared" si="169"/>
        <v>0</v>
      </c>
      <c r="W310" s="290">
        <f t="shared" si="169"/>
        <v>0</v>
      </c>
      <c r="X310" s="290">
        <f t="shared" si="169"/>
        <v>0</v>
      </c>
      <c r="Y310" s="290">
        <f t="shared" si="169"/>
        <v>0</v>
      </c>
      <c r="Z310" s="290">
        <f t="shared" si="169"/>
        <v>0</v>
      </c>
      <c r="AA310" s="290">
        <f t="shared" si="169"/>
        <v>0</v>
      </c>
      <c r="AB310" s="290">
        <f t="shared" si="169"/>
        <v>0</v>
      </c>
      <c r="AC310" s="290">
        <f t="shared" si="169"/>
        <v>0</v>
      </c>
      <c r="AD310" s="252">
        <f t="shared" si="172"/>
        <v>0</v>
      </c>
      <c r="AE310" s="252">
        <f t="shared" si="172"/>
        <v>0</v>
      </c>
      <c r="AF310" s="252">
        <f t="shared" si="170"/>
        <v>0</v>
      </c>
      <c r="AG310" s="252">
        <f t="shared" si="170"/>
        <v>0</v>
      </c>
      <c r="AH310" s="252">
        <f t="shared" si="170"/>
        <v>0</v>
      </c>
    </row>
    <row r="311" spans="1:34">
      <c r="A311" s="240" t="s">
        <v>235</v>
      </c>
      <c r="B311" s="290">
        <f t="shared" si="168"/>
        <v>0</v>
      </c>
      <c r="C311" s="290">
        <f t="shared" si="171"/>
        <v>0</v>
      </c>
      <c r="D311" s="290">
        <f t="shared" si="169"/>
        <v>0</v>
      </c>
      <c r="E311" s="290">
        <f t="shared" si="169"/>
        <v>0</v>
      </c>
      <c r="F311" s="290">
        <f t="shared" si="169"/>
        <v>0</v>
      </c>
      <c r="G311" s="290">
        <f t="shared" si="169"/>
        <v>0</v>
      </c>
      <c r="H311" s="290">
        <f t="shared" si="169"/>
        <v>0</v>
      </c>
      <c r="I311" s="290">
        <f t="shared" si="169"/>
        <v>0</v>
      </c>
      <c r="J311" s="290">
        <f t="shared" si="169"/>
        <v>0</v>
      </c>
      <c r="K311" s="290">
        <f t="shared" si="169"/>
        <v>0</v>
      </c>
      <c r="L311" s="290">
        <f t="shared" si="169"/>
        <v>0</v>
      </c>
      <c r="M311" s="290">
        <f t="shared" si="169"/>
        <v>0</v>
      </c>
      <c r="N311" s="290">
        <f t="shared" si="169"/>
        <v>0</v>
      </c>
      <c r="O311" s="290">
        <f t="shared" si="169"/>
        <v>0</v>
      </c>
      <c r="P311" s="290">
        <f t="shared" si="169"/>
        <v>0</v>
      </c>
      <c r="Q311" s="290">
        <f t="shared" si="169"/>
        <v>0</v>
      </c>
      <c r="R311" s="290">
        <f t="shared" si="169"/>
        <v>0</v>
      </c>
      <c r="S311" s="290">
        <f t="shared" si="169"/>
        <v>0</v>
      </c>
      <c r="T311" s="290">
        <f t="shared" si="169"/>
        <v>0</v>
      </c>
      <c r="U311" s="290">
        <f t="shared" si="169"/>
        <v>0</v>
      </c>
      <c r="V311" s="290">
        <f t="shared" si="169"/>
        <v>0</v>
      </c>
      <c r="W311" s="290">
        <f t="shared" si="169"/>
        <v>0</v>
      </c>
      <c r="X311" s="290">
        <f t="shared" si="169"/>
        <v>0</v>
      </c>
      <c r="Y311" s="290">
        <f t="shared" si="169"/>
        <v>0</v>
      </c>
      <c r="Z311" s="290">
        <f t="shared" si="169"/>
        <v>0</v>
      </c>
      <c r="AA311" s="290">
        <f t="shared" si="169"/>
        <v>0</v>
      </c>
      <c r="AB311" s="290">
        <f t="shared" si="169"/>
        <v>0</v>
      </c>
      <c r="AC311" s="290">
        <f t="shared" si="169"/>
        <v>0</v>
      </c>
      <c r="AD311" s="252">
        <f t="shared" si="172"/>
        <v>0</v>
      </c>
      <c r="AE311" s="252">
        <f t="shared" si="172"/>
        <v>0</v>
      </c>
      <c r="AF311" s="252">
        <f t="shared" si="170"/>
        <v>0</v>
      </c>
      <c r="AG311" s="252">
        <f t="shared" si="170"/>
        <v>0</v>
      </c>
      <c r="AH311" s="252">
        <f t="shared" si="170"/>
        <v>0</v>
      </c>
    </row>
    <row r="312" spans="1:34">
      <c r="A312" s="240" t="s">
        <v>236</v>
      </c>
      <c r="B312" s="290">
        <f t="shared" si="168"/>
        <v>0</v>
      </c>
      <c r="C312" s="290">
        <f t="shared" si="171"/>
        <v>0</v>
      </c>
      <c r="D312" s="290">
        <f t="shared" si="169"/>
        <v>0</v>
      </c>
      <c r="E312" s="290">
        <f t="shared" si="169"/>
        <v>0</v>
      </c>
      <c r="F312" s="290">
        <f t="shared" si="169"/>
        <v>0</v>
      </c>
      <c r="G312" s="290">
        <f t="shared" si="169"/>
        <v>0</v>
      </c>
      <c r="H312" s="290">
        <f t="shared" si="169"/>
        <v>0</v>
      </c>
      <c r="I312" s="290">
        <f t="shared" si="169"/>
        <v>0</v>
      </c>
      <c r="J312" s="290">
        <f t="shared" si="169"/>
        <v>0</v>
      </c>
      <c r="K312" s="290">
        <f t="shared" si="169"/>
        <v>0</v>
      </c>
      <c r="L312" s="290">
        <f t="shared" si="169"/>
        <v>0</v>
      </c>
      <c r="M312" s="290">
        <f t="shared" si="169"/>
        <v>0</v>
      </c>
      <c r="N312" s="290">
        <f t="shared" si="169"/>
        <v>0</v>
      </c>
      <c r="O312" s="290">
        <f t="shared" si="169"/>
        <v>0</v>
      </c>
      <c r="P312" s="290">
        <f t="shared" si="169"/>
        <v>0</v>
      </c>
      <c r="Q312" s="290">
        <f t="shared" si="169"/>
        <v>0</v>
      </c>
      <c r="R312" s="290">
        <f t="shared" si="169"/>
        <v>0</v>
      </c>
      <c r="S312" s="290">
        <f t="shared" si="169"/>
        <v>0</v>
      </c>
      <c r="T312" s="290">
        <f t="shared" si="169"/>
        <v>0</v>
      </c>
      <c r="U312" s="290">
        <f t="shared" si="169"/>
        <v>0</v>
      </c>
      <c r="V312" s="290">
        <f t="shared" si="169"/>
        <v>0</v>
      </c>
      <c r="W312" s="290">
        <f t="shared" si="169"/>
        <v>0</v>
      </c>
      <c r="X312" s="290">
        <f t="shared" si="169"/>
        <v>0</v>
      </c>
      <c r="Y312" s="290">
        <f t="shared" si="169"/>
        <v>0</v>
      </c>
      <c r="Z312" s="290">
        <f t="shared" si="169"/>
        <v>0</v>
      </c>
      <c r="AA312" s="290">
        <f t="shared" si="169"/>
        <v>0</v>
      </c>
      <c r="AB312" s="290">
        <f t="shared" si="169"/>
        <v>0</v>
      </c>
      <c r="AC312" s="290">
        <f t="shared" si="169"/>
        <v>0</v>
      </c>
      <c r="AD312" s="252">
        <f t="shared" si="172"/>
        <v>0</v>
      </c>
      <c r="AE312" s="252">
        <f t="shared" si="172"/>
        <v>0</v>
      </c>
      <c r="AF312" s="252">
        <f t="shared" si="170"/>
        <v>0</v>
      </c>
      <c r="AG312" s="252">
        <f t="shared" si="170"/>
        <v>0</v>
      </c>
      <c r="AH312" s="252">
        <f t="shared" si="170"/>
        <v>0</v>
      </c>
    </row>
    <row r="313" spans="1:34">
      <c r="A313" s="240" t="s">
        <v>237</v>
      </c>
      <c r="B313" s="290">
        <f t="shared" si="168"/>
        <v>0</v>
      </c>
      <c r="C313" s="290">
        <f t="shared" si="171"/>
        <v>0</v>
      </c>
      <c r="D313" s="290">
        <f t="shared" si="169"/>
        <v>0</v>
      </c>
      <c r="E313" s="290">
        <f t="shared" si="169"/>
        <v>0</v>
      </c>
      <c r="F313" s="290">
        <f t="shared" si="169"/>
        <v>0</v>
      </c>
      <c r="G313" s="290">
        <f t="shared" si="169"/>
        <v>0</v>
      </c>
      <c r="H313" s="290">
        <f t="shared" si="169"/>
        <v>0</v>
      </c>
      <c r="I313" s="290">
        <f t="shared" si="169"/>
        <v>0</v>
      </c>
      <c r="J313" s="290">
        <f t="shared" si="169"/>
        <v>0</v>
      </c>
      <c r="K313" s="290">
        <f t="shared" si="169"/>
        <v>0</v>
      </c>
      <c r="L313" s="290">
        <f t="shared" si="169"/>
        <v>0</v>
      </c>
      <c r="M313" s="290">
        <f t="shared" si="169"/>
        <v>0</v>
      </c>
      <c r="N313" s="290">
        <f t="shared" si="169"/>
        <v>0</v>
      </c>
      <c r="O313" s="290">
        <f t="shared" si="169"/>
        <v>0</v>
      </c>
      <c r="P313" s="290">
        <f t="shared" si="169"/>
        <v>0</v>
      </c>
      <c r="Q313" s="290">
        <f t="shared" si="169"/>
        <v>0</v>
      </c>
      <c r="R313" s="290">
        <f t="shared" si="169"/>
        <v>0</v>
      </c>
      <c r="S313" s="290">
        <f t="shared" si="169"/>
        <v>0</v>
      </c>
      <c r="T313" s="290">
        <f t="shared" si="169"/>
        <v>0</v>
      </c>
      <c r="U313" s="290">
        <f t="shared" si="169"/>
        <v>0</v>
      </c>
      <c r="V313" s="290">
        <f t="shared" si="169"/>
        <v>0</v>
      </c>
      <c r="W313" s="290">
        <f t="shared" ref="W313:AC313" si="173">(W$314-V$314)/13+W312</f>
        <v>0</v>
      </c>
      <c r="X313" s="290">
        <f t="shared" si="173"/>
        <v>0</v>
      </c>
      <c r="Y313" s="290">
        <f t="shared" si="173"/>
        <v>0</v>
      </c>
      <c r="Z313" s="290">
        <f t="shared" si="173"/>
        <v>0</v>
      </c>
      <c r="AA313" s="290">
        <f t="shared" si="173"/>
        <v>0</v>
      </c>
      <c r="AB313" s="290">
        <f t="shared" si="173"/>
        <v>0</v>
      </c>
      <c r="AC313" s="290">
        <f t="shared" si="173"/>
        <v>0</v>
      </c>
      <c r="AD313" s="252">
        <f t="shared" si="172"/>
        <v>0</v>
      </c>
      <c r="AE313" s="252">
        <f t="shared" si="172"/>
        <v>0</v>
      </c>
      <c r="AF313" s="252">
        <f t="shared" si="170"/>
        <v>0</v>
      </c>
      <c r="AG313" s="252">
        <f t="shared" si="170"/>
        <v>0</v>
      </c>
      <c r="AH313" s="252">
        <f t="shared" si="170"/>
        <v>0</v>
      </c>
    </row>
    <row r="314" spans="1:34" ht="15.75" thickBot="1">
      <c r="A314" s="240" t="s">
        <v>238</v>
      </c>
      <c r="B314" s="146">
        <f>B42</f>
        <v>0</v>
      </c>
      <c r="C314" s="146">
        <f t="shared" ref="C314:AH314" si="174">C42</f>
        <v>0</v>
      </c>
      <c r="D314" s="146">
        <f t="shared" si="174"/>
        <v>0</v>
      </c>
      <c r="E314" s="146">
        <f t="shared" si="174"/>
        <v>0</v>
      </c>
      <c r="F314" s="146">
        <f t="shared" si="174"/>
        <v>0</v>
      </c>
      <c r="G314" s="146">
        <f t="shared" si="174"/>
        <v>0</v>
      </c>
      <c r="H314" s="146">
        <f t="shared" si="174"/>
        <v>0</v>
      </c>
      <c r="I314" s="146">
        <f t="shared" si="174"/>
        <v>0</v>
      </c>
      <c r="J314" s="146">
        <f t="shared" si="174"/>
        <v>0</v>
      </c>
      <c r="K314" s="146">
        <f t="shared" si="174"/>
        <v>0</v>
      </c>
      <c r="L314" s="146">
        <f t="shared" si="174"/>
        <v>0</v>
      </c>
      <c r="M314" s="146">
        <f t="shared" si="174"/>
        <v>0</v>
      </c>
      <c r="N314" s="146">
        <f t="shared" si="174"/>
        <v>0</v>
      </c>
      <c r="O314" s="146">
        <f t="shared" si="174"/>
        <v>0</v>
      </c>
      <c r="P314" s="146">
        <f t="shared" si="174"/>
        <v>0</v>
      </c>
      <c r="Q314" s="146">
        <f t="shared" si="174"/>
        <v>0</v>
      </c>
      <c r="R314" s="146">
        <f t="shared" si="174"/>
        <v>0</v>
      </c>
      <c r="S314" s="146">
        <f t="shared" si="174"/>
        <v>0</v>
      </c>
      <c r="T314" s="146">
        <f t="shared" si="174"/>
        <v>0</v>
      </c>
      <c r="U314" s="146">
        <f t="shared" si="174"/>
        <v>0</v>
      </c>
      <c r="V314" s="146">
        <f t="shared" si="174"/>
        <v>0</v>
      </c>
      <c r="W314" s="146">
        <f t="shared" si="174"/>
        <v>0</v>
      </c>
      <c r="X314" s="146">
        <f t="shared" si="174"/>
        <v>0</v>
      </c>
      <c r="Y314" s="146">
        <f t="shared" si="174"/>
        <v>0</v>
      </c>
      <c r="Z314" s="146">
        <f t="shared" si="174"/>
        <v>0</v>
      </c>
      <c r="AA314" s="146">
        <f t="shared" si="174"/>
        <v>0</v>
      </c>
      <c r="AB314" s="146">
        <f t="shared" si="174"/>
        <v>0</v>
      </c>
      <c r="AC314" s="146">
        <f t="shared" si="174"/>
        <v>0</v>
      </c>
      <c r="AD314" s="253">
        <f t="shared" si="174"/>
        <v>0</v>
      </c>
      <c r="AE314" s="253">
        <f t="shared" si="174"/>
        <v>0</v>
      </c>
      <c r="AF314" s="253">
        <f t="shared" si="174"/>
        <v>0</v>
      </c>
      <c r="AG314" s="253">
        <f t="shared" si="174"/>
        <v>0</v>
      </c>
      <c r="AH314" s="253">
        <f t="shared" si="174"/>
        <v>0</v>
      </c>
    </row>
    <row r="315" spans="1:34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  <c r="AE315" s="248"/>
      <c r="AF315" s="248"/>
      <c r="AG315" s="248"/>
      <c r="AH315" s="248"/>
    </row>
    <row r="316" spans="1:34" ht="15.75" thickBot="1">
      <c r="A316" s="235" t="s">
        <v>270</v>
      </c>
    </row>
    <row r="317" spans="1:34" ht="15.75" thickBot="1">
      <c r="A317" s="236"/>
      <c r="B317" s="237" t="str">
        <f>B$2</f>
        <v xml:space="preserve">93/94 </v>
      </c>
      <c r="C317" s="237" t="str">
        <f t="shared" ref="C317:AH317" si="175">C$2</f>
        <v xml:space="preserve">94/95 </v>
      </c>
      <c r="D317" s="237" t="str">
        <f t="shared" si="175"/>
        <v xml:space="preserve">95/96 </v>
      </c>
      <c r="E317" s="237" t="str">
        <f t="shared" si="175"/>
        <v xml:space="preserve">96/97 </v>
      </c>
      <c r="F317" s="237" t="str">
        <f t="shared" si="175"/>
        <v xml:space="preserve">97/98 </v>
      </c>
      <c r="G317" s="237" t="str">
        <f t="shared" si="175"/>
        <v xml:space="preserve">98/99 </v>
      </c>
      <c r="H317" s="237" t="str">
        <f t="shared" si="175"/>
        <v xml:space="preserve">99/00 </v>
      </c>
      <c r="I317" s="237" t="str">
        <f t="shared" si="175"/>
        <v xml:space="preserve">00/01 </v>
      </c>
      <c r="J317" s="237" t="str">
        <f t="shared" si="175"/>
        <v xml:space="preserve">01/02 </v>
      </c>
      <c r="K317" s="237" t="str">
        <f t="shared" si="175"/>
        <v xml:space="preserve">02/03 </v>
      </c>
      <c r="L317" s="237" t="str">
        <f t="shared" si="175"/>
        <v xml:space="preserve">03/04 </v>
      </c>
      <c r="M317" s="237" t="str">
        <f t="shared" si="175"/>
        <v xml:space="preserve">04/05 </v>
      </c>
      <c r="N317" s="237" t="str">
        <f t="shared" si="175"/>
        <v xml:space="preserve">05/06 </v>
      </c>
      <c r="O317" s="237" t="str">
        <f t="shared" si="175"/>
        <v xml:space="preserve">06/07 </v>
      </c>
      <c r="P317" s="237" t="str">
        <f t="shared" si="175"/>
        <v xml:space="preserve">07/08 </v>
      </c>
      <c r="Q317" s="237" t="str">
        <f t="shared" si="175"/>
        <v xml:space="preserve">08/09 </v>
      </c>
      <c r="R317" s="237" t="str">
        <f t="shared" si="175"/>
        <v xml:space="preserve">09/10 </v>
      </c>
      <c r="S317" s="237" t="str">
        <f t="shared" si="175"/>
        <v xml:space="preserve">10/11 </v>
      </c>
      <c r="T317" s="237" t="str">
        <f t="shared" si="175"/>
        <v xml:space="preserve">11/12 </v>
      </c>
      <c r="U317" s="237" t="str">
        <f t="shared" si="175"/>
        <v xml:space="preserve">12/13 </v>
      </c>
      <c r="V317" s="237" t="str">
        <f t="shared" si="175"/>
        <v xml:space="preserve">13/14 </v>
      </c>
      <c r="W317" s="237" t="str">
        <f t="shared" si="175"/>
        <v xml:space="preserve">14/15 </v>
      </c>
      <c r="X317" s="237" t="str">
        <f t="shared" si="175"/>
        <v xml:space="preserve">15/16 </v>
      </c>
      <c r="Y317" s="237" t="str">
        <f t="shared" si="175"/>
        <v xml:space="preserve">16/17 </v>
      </c>
      <c r="Z317" s="237" t="str">
        <f t="shared" si="175"/>
        <v xml:space="preserve">17/18 </v>
      </c>
      <c r="AA317" s="237" t="str">
        <f t="shared" si="175"/>
        <v xml:space="preserve">18/19 </v>
      </c>
      <c r="AB317" s="237" t="str">
        <f t="shared" si="175"/>
        <v xml:space="preserve">19/20 </v>
      </c>
      <c r="AC317" s="237" t="str">
        <f t="shared" si="175"/>
        <v xml:space="preserve">20/21 </v>
      </c>
      <c r="AD317" s="237" t="str">
        <f t="shared" si="175"/>
        <v xml:space="preserve">21/22 </v>
      </c>
      <c r="AE317" s="237" t="str">
        <f t="shared" si="175"/>
        <v xml:space="preserve">22/23 </v>
      </c>
      <c r="AF317" s="237" t="str">
        <f t="shared" si="175"/>
        <v>23/24</v>
      </c>
      <c r="AG317" s="237" t="str">
        <f t="shared" si="175"/>
        <v>23/25</v>
      </c>
      <c r="AH317" s="237" t="str">
        <f t="shared" si="175"/>
        <v>23/26</v>
      </c>
    </row>
    <row r="318" spans="1:34">
      <c r="A318" s="240" t="s">
        <v>239</v>
      </c>
    </row>
    <row r="319" spans="1:34">
      <c r="A319" s="240" t="s">
        <v>240</v>
      </c>
    </row>
    <row r="320" spans="1:34">
      <c r="A320" s="240" t="s">
        <v>241</v>
      </c>
    </row>
    <row r="321" spans="1:34">
      <c r="A321" s="240" t="s">
        <v>231</v>
      </c>
    </row>
    <row r="322" spans="1:34">
      <c r="A322" s="240" t="s">
        <v>232</v>
      </c>
    </row>
    <row r="323" spans="1:34">
      <c r="A323" s="240" t="s">
        <v>233</v>
      </c>
    </row>
    <row r="324" spans="1:34">
      <c r="A324" s="240" t="s">
        <v>234</v>
      </c>
    </row>
    <row r="325" spans="1:34">
      <c r="A325" s="240" t="s">
        <v>46</v>
      </c>
    </row>
    <row r="326" spans="1:34">
      <c r="A326" s="240" t="s">
        <v>235</v>
      </c>
    </row>
    <row r="327" spans="1:34">
      <c r="A327" s="240" t="s">
        <v>236</v>
      </c>
    </row>
    <row r="328" spans="1:34">
      <c r="A328" s="240" t="s">
        <v>237</v>
      </c>
    </row>
    <row r="329" spans="1:34">
      <c r="A329" s="240" t="s">
        <v>238</v>
      </c>
    </row>
    <row r="330" spans="1:34" ht="15.75" thickBot="1">
      <c r="A330" s="240" t="s">
        <v>255</v>
      </c>
    </row>
    <row r="331" spans="1:34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  <c r="AD331" s="248"/>
      <c r="AE331" s="248"/>
      <c r="AF331" s="248"/>
      <c r="AG331" s="248"/>
      <c r="AH331" s="248"/>
    </row>
  </sheetData>
  <pageMargins left="0.25" right="0.25" top="0.75" bottom="0.75" header="0.3" footer="0.3"/>
  <pageSetup orientation="portrait" r:id="rId1"/>
  <headerFooter>
    <oddHeader>&amp;L&amp;G</oddHeader>
    <oddFooter>&amp;L&amp;D&amp;C&amp;P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459D-5975-42F3-AA43-169991D288AC}">
  <dimension ref="A1:BM331"/>
  <sheetViews>
    <sheetView zoomScaleNormal="100" workbookViewId="0">
      <pane xSplit="1" ySplit="2" topLeftCell="U3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2" customWidth="1"/>
    <col min="32" max="33" width="11" customWidth="1"/>
    <col min="34" max="34" width="11.28515625" bestFit="1" customWidth="1"/>
    <col min="35" max="35" width="9.28515625" style="201" bestFit="1" customWidth="1"/>
    <col min="36" max="36" width="9.28515625" bestFit="1" customWidth="1"/>
  </cols>
  <sheetData>
    <row r="1" spans="1:65" ht="15.75" thickBot="1">
      <c r="A1" s="418" t="s">
        <v>410</v>
      </c>
      <c r="AF1" s="300"/>
      <c r="AG1" s="300"/>
      <c r="AH1" s="390"/>
      <c r="AI1" s="282"/>
      <c r="AJ1" s="300"/>
      <c r="AK1" s="300"/>
      <c r="AL1" s="302"/>
      <c r="AN1" s="300"/>
      <c r="AO1" s="303"/>
      <c r="AQ1" s="303"/>
      <c r="AR1" s="300"/>
      <c r="AS1" s="300"/>
      <c r="AT1" s="300"/>
    </row>
    <row r="2" spans="1:65" ht="15.75" thickBot="1">
      <c r="A2" s="419"/>
      <c r="B2" s="237" t="s">
        <v>272</v>
      </c>
      <c r="C2" s="420" t="s">
        <v>273</v>
      </c>
      <c r="D2" s="237" t="s">
        <v>274</v>
      </c>
      <c r="E2" s="420" t="s">
        <v>275</v>
      </c>
      <c r="F2" s="237" t="s">
        <v>276</v>
      </c>
      <c r="G2" s="420" t="s">
        <v>277</v>
      </c>
      <c r="H2" s="237" t="s">
        <v>278</v>
      </c>
      <c r="I2" s="420" t="s">
        <v>279</v>
      </c>
      <c r="J2" s="237" t="s">
        <v>280</v>
      </c>
      <c r="K2" s="420" t="s">
        <v>281</v>
      </c>
      <c r="L2" s="237" t="s">
        <v>282</v>
      </c>
      <c r="M2" s="420" t="s">
        <v>283</v>
      </c>
      <c r="N2" s="237" t="s">
        <v>284</v>
      </c>
      <c r="O2" s="420" t="s">
        <v>285</v>
      </c>
      <c r="P2" s="237" t="s">
        <v>286</v>
      </c>
      <c r="Q2" s="420" t="s">
        <v>287</v>
      </c>
      <c r="R2" s="237" t="s">
        <v>288</v>
      </c>
      <c r="S2" s="420" t="s">
        <v>289</v>
      </c>
      <c r="T2" s="237" t="s">
        <v>290</v>
      </c>
      <c r="U2" s="420" t="s">
        <v>291</v>
      </c>
      <c r="V2" s="237" t="s">
        <v>292</v>
      </c>
      <c r="W2" s="420" t="s">
        <v>293</v>
      </c>
      <c r="X2" s="237" t="s">
        <v>294</v>
      </c>
      <c r="Y2" s="420" t="s">
        <v>295</v>
      </c>
      <c r="Z2" s="237" t="s">
        <v>296</v>
      </c>
      <c r="AA2" s="420" t="s">
        <v>297</v>
      </c>
      <c r="AB2" s="420" t="s">
        <v>298</v>
      </c>
      <c r="AC2" s="420" t="s">
        <v>299</v>
      </c>
      <c r="AD2" s="420" t="s">
        <v>300</v>
      </c>
      <c r="AE2" s="420" t="s">
        <v>301</v>
      </c>
      <c r="AF2" s="392"/>
      <c r="AG2" s="392"/>
      <c r="AH2" s="201" t="s">
        <v>327</v>
      </c>
      <c r="AI2" s="201" t="s">
        <v>328</v>
      </c>
      <c r="AJ2" s="201" t="s">
        <v>329</v>
      </c>
      <c r="AK2" s="302"/>
      <c r="AO2" s="302"/>
      <c r="AQ2" s="302"/>
      <c r="AR2" s="302"/>
      <c r="AS2" s="302"/>
      <c r="AT2" s="302"/>
    </row>
    <row r="3" spans="1:65" ht="16.5">
      <c r="A3" s="418" t="s">
        <v>411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377"/>
      <c r="AG3" s="377"/>
      <c r="AH3" s="379"/>
      <c r="AJ3" s="399"/>
      <c r="AK3" s="379"/>
      <c r="AL3" s="379"/>
      <c r="AM3" s="379"/>
      <c r="AN3" s="379"/>
      <c r="AO3" s="379"/>
      <c r="AP3" s="379"/>
      <c r="AQ3" s="379"/>
      <c r="AR3" s="379"/>
      <c r="AS3" s="379"/>
      <c r="AT3" s="379"/>
      <c r="AU3" s="379"/>
      <c r="AV3" s="379"/>
      <c r="AW3" s="379"/>
      <c r="AX3" s="379"/>
      <c r="AY3" s="379"/>
      <c r="AZ3" s="379"/>
      <c r="BA3" s="379"/>
      <c r="BB3" s="379"/>
      <c r="BC3" s="379"/>
      <c r="BD3" s="379"/>
      <c r="BE3" s="379"/>
      <c r="BF3" s="379"/>
      <c r="BG3" s="379"/>
      <c r="BH3" s="379"/>
      <c r="BI3" s="379"/>
      <c r="BJ3" s="379"/>
      <c r="BK3" s="379"/>
      <c r="BL3" s="379"/>
      <c r="BM3" s="379"/>
    </row>
    <row r="4" spans="1:65" ht="16.5">
      <c r="A4" s="234" t="s">
        <v>213</v>
      </c>
      <c r="B4" s="87">
        <v>85</v>
      </c>
      <c r="C4" s="87">
        <v>83</v>
      </c>
      <c r="D4" s="87">
        <v>48.6</v>
      </c>
      <c r="E4" s="87">
        <v>36.4</v>
      </c>
      <c r="F4" s="87">
        <v>50.6</v>
      </c>
      <c r="G4" s="87">
        <v>68.8</v>
      </c>
      <c r="H4" s="87">
        <v>85</v>
      </c>
      <c r="I4" s="87">
        <v>74.8</v>
      </c>
      <c r="J4" s="87">
        <v>72.8</v>
      </c>
      <c r="K4" s="87">
        <v>99.5</v>
      </c>
      <c r="L4" s="87">
        <v>108.4</v>
      </c>
      <c r="M4" s="87">
        <v>80.900000000000006</v>
      </c>
      <c r="N4" s="87">
        <v>87</v>
      </c>
      <c r="O4" s="87">
        <v>77</v>
      </c>
      <c r="P4" s="87">
        <v>80.099999999999994</v>
      </c>
      <c r="Q4" s="87">
        <v>64.7</v>
      </c>
      <c r="R4" s="87">
        <v>64.7</v>
      </c>
      <c r="S4" s="87">
        <v>54.6</v>
      </c>
      <c r="T4" s="87">
        <v>14.2</v>
      </c>
      <c r="U4" s="87">
        <v>40.5</v>
      </c>
      <c r="V4" s="87">
        <v>28.3</v>
      </c>
      <c r="W4" s="87">
        <v>30.4</v>
      </c>
      <c r="X4" s="87">
        <v>40.5</v>
      </c>
      <c r="Y4" s="87">
        <v>28.3</v>
      </c>
      <c r="Z4" s="87">
        <f>Z5/(SUM(B5:Y5)/SUM(B4:Y4))</f>
        <v>27.328162124388538</v>
      </c>
      <c r="AA4" s="394">
        <f t="shared" ref="AA4:AC4" si="0">AA5/(SUM(C5:Z5)/SUM(C4:Z4))</f>
        <v>36.684772227792457</v>
      </c>
      <c r="AB4" s="394">
        <f t="shared" si="0"/>
        <v>36.789754281025772</v>
      </c>
      <c r="AC4" s="394">
        <f t="shared" si="0"/>
        <v>31.504599590768688</v>
      </c>
      <c r="AD4" s="394">
        <f t="shared" ref="AD4" si="1">AD5/(SUM(F5:AC5)/SUM(F4:AC4))</f>
        <v>26.280533590880999</v>
      </c>
      <c r="AE4" s="394">
        <f t="shared" ref="AE4:AF4" si="2">AE5/(SUM(G5:AD5)/SUM(G4:AD4))</f>
        <v>21.054807464211571</v>
      </c>
      <c r="AF4" s="394">
        <f t="shared" si="2"/>
        <v>15.837471368104691</v>
      </c>
      <c r="AG4" s="394"/>
      <c r="AH4" s="146"/>
      <c r="AJ4" s="393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6"/>
    </row>
    <row r="5" spans="1:65" ht="16.5">
      <c r="A5" s="234" t="s">
        <v>2</v>
      </c>
      <c r="B5" s="87">
        <v>77</v>
      </c>
      <c r="C5" s="87">
        <v>83</v>
      </c>
      <c r="D5" s="87">
        <v>45</v>
      </c>
      <c r="E5" s="87">
        <v>36</v>
      </c>
      <c r="F5" s="87">
        <v>50</v>
      </c>
      <c r="G5" s="87">
        <v>69</v>
      </c>
      <c r="H5" s="87">
        <v>79</v>
      </c>
      <c r="I5" s="87">
        <v>69</v>
      </c>
      <c r="J5" s="87">
        <v>67</v>
      </c>
      <c r="K5" s="87">
        <v>95</v>
      </c>
      <c r="L5" s="87">
        <v>115</v>
      </c>
      <c r="M5" s="87">
        <v>60</v>
      </c>
      <c r="N5" s="87">
        <v>75</v>
      </c>
      <c r="O5" s="87">
        <v>75</v>
      </c>
      <c r="P5" s="87">
        <v>79</v>
      </c>
      <c r="Q5" s="87">
        <v>65</v>
      </c>
      <c r="R5" s="87">
        <v>64</v>
      </c>
      <c r="S5" s="87">
        <v>51</v>
      </c>
      <c r="T5" s="87">
        <v>14</v>
      </c>
      <c r="U5" s="87">
        <v>40</v>
      </c>
      <c r="V5" s="87">
        <v>28</v>
      </c>
      <c r="W5" s="87">
        <v>29</v>
      </c>
      <c r="X5" s="87">
        <v>38</v>
      </c>
      <c r="Y5" s="87">
        <v>28</v>
      </c>
      <c r="Z5" s="87">
        <v>26</v>
      </c>
      <c r="AA5" s="396">
        <f>MROUND(FORECAST(AA45,B5:Z5,B45:Z45),5)</f>
        <v>35</v>
      </c>
      <c r="AB5" s="396">
        <f t="shared" ref="AB5:AF5" si="3">MROUND(FORECAST(AB45,C5:AA5,C45:AA45),5)</f>
        <v>35</v>
      </c>
      <c r="AC5" s="396">
        <f t="shared" si="3"/>
        <v>30</v>
      </c>
      <c r="AD5" s="396">
        <f t="shared" si="3"/>
        <v>25</v>
      </c>
      <c r="AE5" s="396">
        <f t="shared" si="3"/>
        <v>20</v>
      </c>
      <c r="AF5" s="396">
        <f t="shared" si="3"/>
        <v>15</v>
      </c>
      <c r="AG5" s="396"/>
      <c r="AH5" s="223">
        <v>29</v>
      </c>
      <c r="AI5" s="223">
        <v>45</v>
      </c>
      <c r="AJ5" s="223">
        <v>40</v>
      </c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</row>
    <row r="6" spans="1:65" s="219" customFormat="1">
      <c r="A6" s="240" t="s">
        <v>214</v>
      </c>
      <c r="B6" s="421">
        <f>B5/B4</f>
        <v>0.90588235294117647</v>
      </c>
      <c r="C6" s="421">
        <f t="shared" ref="C6:AE6" si="4">C5/C4</f>
        <v>1</v>
      </c>
      <c r="D6" s="421">
        <f t="shared" si="4"/>
        <v>0.92592592592592593</v>
      </c>
      <c r="E6" s="421">
        <f t="shared" si="4"/>
        <v>0.98901098901098905</v>
      </c>
      <c r="F6" s="421">
        <f t="shared" si="4"/>
        <v>0.98814229249011853</v>
      </c>
      <c r="G6" s="421">
        <f t="shared" si="4"/>
        <v>1.0029069767441861</v>
      </c>
      <c r="H6" s="421">
        <f t="shared" si="4"/>
        <v>0.92941176470588238</v>
      </c>
      <c r="I6" s="421">
        <f t="shared" si="4"/>
        <v>0.92245989304812837</v>
      </c>
      <c r="J6" s="421">
        <f t="shared" si="4"/>
        <v>0.92032967032967039</v>
      </c>
      <c r="K6" s="421">
        <f t="shared" si="4"/>
        <v>0.95477386934673369</v>
      </c>
      <c r="L6" s="421">
        <f t="shared" si="4"/>
        <v>1.0608856088560885</v>
      </c>
      <c r="M6" s="421">
        <f t="shared" si="4"/>
        <v>0.74165636588380712</v>
      </c>
      <c r="N6" s="421">
        <f t="shared" si="4"/>
        <v>0.86206896551724133</v>
      </c>
      <c r="O6" s="421">
        <f t="shared" si="4"/>
        <v>0.97402597402597402</v>
      </c>
      <c r="P6" s="421">
        <f t="shared" si="4"/>
        <v>0.98626716604244702</v>
      </c>
      <c r="Q6" s="421">
        <f t="shared" si="4"/>
        <v>1.0046367851622875</v>
      </c>
      <c r="R6" s="421">
        <f t="shared" si="4"/>
        <v>0.98918083462132922</v>
      </c>
      <c r="S6" s="421">
        <f t="shared" si="4"/>
        <v>0.93406593406593408</v>
      </c>
      <c r="T6" s="421">
        <f t="shared" si="4"/>
        <v>0.9859154929577465</v>
      </c>
      <c r="U6" s="421">
        <f t="shared" si="4"/>
        <v>0.98765432098765427</v>
      </c>
      <c r="V6" s="421">
        <f t="shared" si="4"/>
        <v>0.98939929328621901</v>
      </c>
      <c r="W6" s="421">
        <f t="shared" si="4"/>
        <v>0.95394736842105265</v>
      </c>
      <c r="X6" s="421">
        <f t="shared" si="4"/>
        <v>0.93827160493827155</v>
      </c>
      <c r="Y6" s="421">
        <f t="shared" si="4"/>
        <v>0.98939929328621901</v>
      </c>
      <c r="Z6" s="421">
        <f t="shared" si="4"/>
        <v>0.95139950801143547</v>
      </c>
      <c r="AA6" s="422">
        <f t="shared" si="4"/>
        <v>0.95407434405395952</v>
      </c>
      <c r="AB6" s="422">
        <f t="shared" si="4"/>
        <v>0.95135182835540621</v>
      </c>
      <c r="AC6" s="422">
        <f t="shared" si="4"/>
        <v>0.95224190720362123</v>
      </c>
      <c r="AD6" s="422">
        <f t="shared" si="4"/>
        <v>0.95127444477286682</v>
      </c>
      <c r="AE6" s="422">
        <f t="shared" si="4"/>
        <v>0.94990182332445905</v>
      </c>
      <c r="AF6" s="324"/>
      <c r="AG6" s="324"/>
      <c r="AH6" s="397"/>
      <c r="AI6" s="218"/>
      <c r="AJ6" s="409"/>
      <c r="AK6" s="325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  <c r="BM6" s="325"/>
    </row>
    <row r="7" spans="1:65" ht="16.5">
      <c r="A7" s="234" t="s">
        <v>215</v>
      </c>
      <c r="B7" s="423">
        <f t="shared" ref="B7:Z7" si="5">B9/B5</f>
        <v>1.025974025974026</v>
      </c>
      <c r="C7" s="423">
        <f t="shared" si="5"/>
        <v>1.4096385542168675</v>
      </c>
      <c r="D7" s="423">
        <f t="shared" si="5"/>
        <v>1.4666666666666666</v>
      </c>
      <c r="E7" s="423">
        <f t="shared" si="5"/>
        <v>1.5555555555555556</v>
      </c>
      <c r="F7" s="423">
        <f t="shared" si="5"/>
        <v>1.3</v>
      </c>
      <c r="G7" s="423">
        <f t="shared" si="5"/>
        <v>1.5942028985507246</v>
      </c>
      <c r="H7" s="423">
        <f t="shared" si="5"/>
        <v>1.5443037974683544</v>
      </c>
      <c r="I7" s="423">
        <f t="shared" si="5"/>
        <v>1.7246376811594204</v>
      </c>
      <c r="J7" s="423">
        <f t="shared" si="5"/>
        <v>1.5522388059701493</v>
      </c>
      <c r="K7" s="423">
        <f t="shared" si="5"/>
        <v>1.6526315789473685</v>
      </c>
      <c r="L7" s="423">
        <f t="shared" si="5"/>
        <v>1.3043478260869565</v>
      </c>
      <c r="M7" s="423">
        <f t="shared" si="5"/>
        <v>1</v>
      </c>
      <c r="N7" s="423">
        <f t="shared" si="5"/>
        <v>1.1866666666666668</v>
      </c>
      <c r="O7" s="423">
        <f t="shared" si="5"/>
        <v>2</v>
      </c>
      <c r="P7" s="423">
        <f t="shared" si="5"/>
        <v>1.5822784810126582</v>
      </c>
      <c r="Q7" s="423">
        <f t="shared" si="5"/>
        <v>1.6307692307692307</v>
      </c>
      <c r="R7" s="423">
        <f t="shared" si="5"/>
        <v>1.59375</v>
      </c>
      <c r="S7" s="423">
        <f t="shared" si="5"/>
        <v>1.3333333333333333</v>
      </c>
      <c r="T7" s="423">
        <f t="shared" si="5"/>
        <v>1.4285714285714286</v>
      </c>
      <c r="U7" s="423">
        <f t="shared" si="5"/>
        <v>2.1749999999999998</v>
      </c>
      <c r="V7" s="423">
        <f t="shared" si="5"/>
        <v>1.8571428571428572</v>
      </c>
      <c r="W7" s="423">
        <f t="shared" si="5"/>
        <v>1.896551724137931</v>
      </c>
      <c r="X7" s="423">
        <f t="shared" si="5"/>
        <v>1.9210526315789473</v>
      </c>
      <c r="Y7" s="423">
        <f t="shared" si="5"/>
        <v>1.8214285714285714</v>
      </c>
      <c r="Z7" s="423">
        <f t="shared" si="5"/>
        <v>2.2307692307692308</v>
      </c>
      <c r="AA7" s="424">
        <f>FORECAST(AA45,B7:Z7,B45:Z45)</f>
        <v>1.9327822965347536</v>
      </c>
      <c r="AB7" s="424">
        <f>FORECAST(AB45,C7:AA7,C45:AA45)</f>
        <v>1.9364900108579022</v>
      </c>
      <c r="AC7" s="424">
        <f>FORECAST(AC45,D7:AB7,D45:AB45)</f>
        <v>1.966252684309012</v>
      </c>
      <c r="AD7" s="424">
        <f t="shared" ref="AD7:AE7" si="6">FORECAST(AD45,E7:AC7,E45:AC45)</f>
        <v>2.0006414010663676</v>
      </c>
      <c r="AE7" s="424">
        <f t="shared" si="6"/>
        <v>2.0435364523284818</v>
      </c>
      <c r="AF7" s="315"/>
      <c r="AG7" s="315"/>
      <c r="AH7" s="226"/>
      <c r="AJ7" s="201"/>
    </row>
    <row r="8" spans="1:65" ht="16.5">
      <c r="A8" s="425" t="s">
        <v>313</v>
      </c>
      <c r="B8" s="426">
        <v>20</v>
      </c>
      <c r="C8" s="426">
        <f>B17</f>
        <v>10</v>
      </c>
      <c r="D8" s="426">
        <f t="shared" ref="D8:AE8" si="7">C17</f>
        <v>10</v>
      </c>
      <c r="E8" s="426">
        <f t="shared" si="7"/>
        <v>10</v>
      </c>
      <c r="F8" s="426">
        <f t="shared" si="7"/>
        <v>30</v>
      </c>
      <c r="G8" s="426">
        <f t="shared" si="7"/>
        <v>30</v>
      </c>
      <c r="H8" s="426">
        <f t="shared" si="7"/>
        <v>30</v>
      </c>
      <c r="I8" s="426">
        <f t="shared" si="7"/>
        <v>40</v>
      </c>
      <c r="J8" s="426">
        <f t="shared" si="7"/>
        <v>32</v>
      </c>
      <c r="K8" s="426">
        <f t="shared" si="7"/>
        <v>14</v>
      </c>
      <c r="L8" s="426">
        <f t="shared" si="7"/>
        <v>30</v>
      </c>
      <c r="M8" s="426">
        <f t="shared" si="7"/>
        <v>30</v>
      </c>
      <c r="N8" s="426">
        <f t="shared" si="7"/>
        <v>19</v>
      </c>
      <c r="O8" s="426">
        <f t="shared" si="7"/>
        <v>29</v>
      </c>
      <c r="P8" s="426">
        <f t="shared" si="7"/>
        <v>18</v>
      </c>
      <c r="Q8" s="426">
        <f t="shared" si="7"/>
        <v>12</v>
      </c>
      <c r="R8" s="426">
        <f t="shared" si="7"/>
        <v>19</v>
      </c>
      <c r="S8" s="426">
        <f t="shared" si="7"/>
        <v>42</v>
      </c>
      <c r="T8" s="426">
        <f t="shared" si="7"/>
        <v>36</v>
      </c>
      <c r="U8" s="426">
        <f t="shared" si="7"/>
        <v>8</v>
      </c>
      <c r="V8" s="426">
        <f t="shared" si="7"/>
        <v>18</v>
      </c>
      <c r="W8" s="426">
        <f t="shared" si="7"/>
        <v>8</v>
      </c>
      <c r="X8" s="426">
        <f t="shared" si="7"/>
        <v>10</v>
      </c>
      <c r="Y8" s="426">
        <f t="shared" si="7"/>
        <v>17</v>
      </c>
      <c r="Z8" s="426">
        <f t="shared" si="7"/>
        <v>16</v>
      </c>
      <c r="AA8" s="427">
        <f t="shared" si="7"/>
        <v>15</v>
      </c>
      <c r="AB8" s="427">
        <f t="shared" si="7"/>
        <v>15</v>
      </c>
      <c r="AC8" s="427">
        <f t="shared" si="7"/>
        <v>15</v>
      </c>
      <c r="AD8" s="427">
        <f t="shared" si="7"/>
        <v>15</v>
      </c>
      <c r="AE8" s="427">
        <f t="shared" si="7"/>
        <v>16</v>
      </c>
      <c r="AF8" s="315"/>
      <c r="AG8" s="315"/>
      <c r="AH8" s="223">
        <v>39</v>
      </c>
      <c r="AI8" s="223">
        <v>31</v>
      </c>
      <c r="AJ8" s="223">
        <v>44</v>
      </c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6"/>
    </row>
    <row r="9" spans="1:65" ht="16.5">
      <c r="A9" s="234" t="s">
        <v>5</v>
      </c>
      <c r="B9" s="87">
        <v>79</v>
      </c>
      <c r="C9" s="87">
        <v>117</v>
      </c>
      <c r="D9" s="87">
        <v>66</v>
      </c>
      <c r="E9" s="87">
        <v>56</v>
      </c>
      <c r="F9" s="87">
        <v>65</v>
      </c>
      <c r="G9" s="87">
        <v>110</v>
      </c>
      <c r="H9" s="87">
        <v>122</v>
      </c>
      <c r="I9" s="87">
        <v>119</v>
      </c>
      <c r="J9" s="87">
        <v>104</v>
      </c>
      <c r="K9" s="87">
        <v>157</v>
      </c>
      <c r="L9" s="87">
        <v>150</v>
      </c>
      <c r="M9" s="87">
        <v>60</v>
      </c>
      <c r="N9" s="87">
        <v>89</v>
      </c>
      <c r="O9" s="87">
        <v>150</v>
      </c>
      <c r="P9" s="87">
        <v>125</v>
      </c>
      <c r="Q9" s="87">
        <v>106</v>
      </c>
      <c r="R9" s="87">
        <v>102</v>
      </c>
      <c r="S9" s="87">
        <v>68</v>
      </c>
      <c r="T9" s="87">
        <v>20</v>
      </c>
      <c r="U9" s="87">
        <v>87</v>
      </c>
      <c r="V9" s="87">
        <v>52</v>
      </c>
      <c r="W9" s="87">
        <v>55</v>
      </c>
      <c r="X9" s="87">
        <v>73</v>
      </c>
      <c r="Y9" s="87">
        <v>51</v>
      </c>
      <c r="Z9" s="87">
        <v>58</v>
      </c>
      <c r="AA9" s="394">
        <f>MROUND(AA5*AA7,5)</f>
        <v>70</v>
      </c>
      <c r="AB9" s="394">
        <f>MROUND(AB5*AB7,5)</f>
        <v>70</v>
      </c>
      <c r="AC9" s="394">
        <f>MROUND(AC5*AC7,5)</f>
        <v>60</v>
      </c>
      <c r="AD9" s="394">
        <f t="shared" ref="AD9:AE9" si="8">MROUND(AD5*AD7,5)</f>
        <v>50</v>
      </c>
      <c r="AE9" s="394">
        <f t="shared" si="8"/>
        <v>40</v>
      </c>
      <c r="AH9" s="223">
        <v>63</v>
      </c>
      <c r="AI9" s="223">
        <v>101</v>
      </c>
      <c r="AJ9" s="223">
        <v>82</v>
      </c>
    </row>
    <row r="10" spans="1:65" ht="16.5">
      <c r="A10" s="234" t="s">
        <v>6</v>
      </c>
      <c r="B10" s="87">
        <v>18</v>
      </c>
      <c r="C10" s="87">
        <v>17</v>
      </c>
      <c r="D10" s="87">
        <f t="shared" ref="D10:AB10" si="9">D60</f>
        <v>12.633000000000001</v>
      </c>
      <c r="E10" s="87">
        <f t="shared" si="9"/>
        <v>12.453000000000001</v>
      </c>
      <c r="F10" s="87">
        <f t="shared" si="9"/>
        <v>11.818000000000001</v>
      </c>
      <c r="G10" s="87">
        <f t="shared" si="9"/>
        <v>17.027000000000001</v>
      </c>
      <c r="H10" s="87">
        <f t="shared" si="9"/>
        <v>18.924999999999997</v>
      </c>
      <c r="I10" s="87">
        <f t="shared" si="9"/>
        <v>17.836000000000002</v>
      </c>
      <c r="J10" s="87">
        <f t="shared" si="9"/>
        <v>29.48</v>
      </c>
      <c r="K10" s="87">
        <f t="shared" si="9"/>
        <v>21.413999999999998</v>
      </c>
      <c r="L10" s="87">
        <f t="shared" si="9"/>
        <v>15.702999999999999</v>
      </c>
      <c r="M10" s="87">
        <f t="shared" si="9"/>
        <v>35.005000000000003</v>
      </c>
      <c r="N10" s="87">
        <f t="shared" si="9"/>
        <v>26.257000000000001</v>
      </c>
      <c r="O10" s="87">
        <f t="shared" si="9"/>
        <v>11.943000000000001</v>
      </c>
      <c r="P10" s="87">
        <f t="shared" si="9"/>
        <v>17.596999999999998</v>
      </c>
      <c r="Q10" s="87">
        <f t="shared" si="9"/>
        <v>20.341999999999999</v>
      </c>
      <c r="R10" s="87">
        <f t="shared" si="9"/>
        <v>25.956999999999997</v>
      </c>
      <c r="S10" s="87">
        <f t="shared" si="9"/>
        <v>32.824999999999996</v>
      </c>
      <c r="T10" s="87">
        <f t="shared" si="9"/>
        <v>33.241000000000007</v>
      </c>
      <c r="U10" s="87">
        <f t="shared" si="9"/>
        <v>27.116</v>
      </c>
      <c r="V10" s="87">
        <f t="shared" si="9"/>
        <v>25.327000000000002</v>
      </c>
      <c r="W10" s="87">
        <f t="shared" si="9"/>
        <v>30.37</v>
      </c>
      <c r="X10" s="87">
        <f t="shared" si="9"/>
        <v>22.482000000000003</v>
      </c>
      <c r="Y10" s="87">
        <f t="shared" si="9"/>
        <v>29.49</v>
      </c>
      <c r="Z10" s="87">
        <f t="shared" si="9"/>
        <v>22.166989000000001</v>
      </c>
      <c r="AA10" s="87">
        <f t="shared" si="9"/>
        <v>23.669149000000001</v>
      </c>
      <c r="AB10" s="87">
        <f t="shared" si="9"/>
        <v>26.429169000000002</v>
      </c>
      <c r="AC10" s="394">
        <f>25+15</f>
        <v>40</v>
      </c>
      <c r="AD10" s="394">
        <f t="shared" ref="AD10:AE10" si="10">25+15</f>
        <v>40</v>
      </c>
      <c r="AE10" s="394">
        <f t="shared" si="10"/>
        <v>40</v>
      </c>
      <c r="AH10" s="223">
        <v>26</v>
      </c>
      <c r="AI10" s="223">
        <v>36</v>
      </c>
      <c r="AJ10" s="223">
        <v>30</v>
      </c>
    </row>
    <row r="11" spans="1:65" ht="16.5">
      <c r="A11" s="425" t="s">
        <v>7</v>
      </c>
      <c r="B11" s="426">
        <f>SUM(B8:B10)</f>
        <v>117</v>
      </c>
      <c r="C11" s="426">
        <f t="shared" ref="C11:Z11" si="11">SUM(C8:C10)</f>
        <v>144</v>
      </c>
      <c r="D11" s="426">
        <f t="shared" si="11"/>
        <v>88.632999999999996</v>
      </c>
      <c r="E11" s="426">
        <f t="shared" si="11"/>
        <v>78.453000000000003</v>
      </c>
      <c r="F11" s="426">
        <f t="shared" si="11"/>
        <v>106.818</v>
      </c>
      <c r="G11" s="426">
        <f t="shared" si="11"/>
        <v>157.02699999999999</v>
      </c>
      <c r="H11" s="426">
        <f t="shared" si="11"/>
        <v>170.92500000000001</v>
      </c>
      <c r="I11" s="426">
        <f t="shared" si="11"/>
        <v>176.83600000000001</v>
      </c>
      <c r="J11" s="426">
        <f t="shared" si="11"/>
        <v>165.48</v>
      </c>
      <c r="K11" s="426">
        <f t="shared" si="11"/>
        <v>192.41399999999999</v>
      </c>
      <c r="L11" s="426">
        <f t="shared" si="11"/>
        <v>195.703</v>
      </c>
      <c r="M11" s="426">
        <f t="shared" si="11"/>
        <v>125.005</v>
      </c>
      <c r="N11" s="426">
        <f t="shared" si="11"/>
        <v>134.25700000000001</v>
      </c>
      <c r="O11" s="426">
        <f t="shared" si="11"/>
        <v>190.94300000000001</v>
      </c>
      <c r="P11" s="426">
        <f t="shared" si="11"/>
        <v>160.59700000000001</v>
      </c>
      <c r="Q11" s="426">
        <f t="shared" si="11"/>
        <v>138.34199999999998</v>
      </c>
      <c r="R11" s="426">
        <f t="shared" si="11"/>
        <v>146.95699999999999</v>
      </c>
      <c r="S11" s="426">
        <f t="shared" si="11"/>
        <v>142.82499999999999</v>
      </c>
      <c r="T11" s="426">
        <f t="shared" si="11"/>
        <v>89.241000000000014</v>
      </c>
      <c r="U11" s="426">
        <f t="shared" si="11"/>
        <v>122.116</v>
      </c>
      <c r="V11" s="426">
        <f t="shared" si="11"/>
        <v>95.326999999999998</v>
      </c>
      <c r="W11" s="426">
        <f t="shared" si="11"/>
        <v>93.37</v>
      </c>
      <c r="X11" s="426">
        <f t="shared" si="11"/>
        <v>105.482</v>
      </c>
      <c r="Y11" s="426">
        <f t="shared" si="11"/>
        <v>97.49</v>
      </c>
      <c r="Z11" s="426">
        <f t="shared" si="11"/>
        <v>96.166989000000001</v>
      </c>
      <c r="AA11" s="427">
        <f>SUM(AA8:AA10)</f>
        <v>108.669149</v>
      </c>
      <c r="AB11" s="427">
        <f>SUM(AB8:AB10)</f>
        <v>111.429169</v>
      </c>
      <c r="AC11" s="427">
        <f>SUM(AC8:AC10)</f>
        <v>115</v>
      </c>
      <c r="AD11" s="427">
        <f t="shared" ref="AD11:AE11" si="12">SUM(AD8:AD10)</f>
        <v>105</v>
      </c>
      <c r="AE11" s="427">
        <f t="shared" si="12"/>
        <v>96</v>
      </c>
      <c r="AH11" s="223">
        <v>128</v>
      </c>
      <c r="AI11" s="223">
        <v>168</v>
      </c>
      <c r="AJ11" s="223">
        <v>156</v>
      </c>
    </row>
    <row r="12" spans="1:65" ht="16.5">
      <c r="A12" s="234" t="s">
        <v>8</v>
      </c>
      <c r="B12" s="87">
        <f>B92</f>
        <v>39.999999999999993</v>
      </c>
      <c r="C12" s="87">
        <f t="shared" ref="C12:Y12" si="13">C92</f>
        <v>30.000000000000004</v>
      </c>
      <c r="D12" s="87">
        <f t="shared" si="13"/>
        <v>1.8826809954751149</v>
      </c>
      <c r="E12" s="87">
        <f t="shared" si="13"/>
        <v>3.425380090497737</v>
      </c>
      <c r="F12" s="87">
        <f t="shared" si="13"/>
        <v>1.3009049773755641</v>
      </c>
      <c r="G12" s="87">
        <f t="shared" si="13"/>
        <v>9.0497737556559238E-2</v>
      </c>
      <c r="H12" s="87">
        <f t="shared" si="13"/>
        <v>0.22398190045248167</v>
      </c>
      <c r="I12" s="87">
        <f t="shared" si="13"/>
        <v>8.7239819004524826</v>
      </c>
      <c r="J12" s="87">
        <f t="shared" si="13"/>
        <v>3.8144796380087609E-2</v>
      </c>
      <c r="K12" s="87">
        <f t="shared" si="13"/>
        <v>0.44389140271493499</v>
      </c>
      <c r="L12" s="87">
        <f t="shared" si="13"/>
        <v>0.81900452488687936</v>
      </c>
      <c r="M12" s="87">
        <f t="shared" si="13"/>
        <v>6.1651583710407269</v>
      </c>
      <c r="N12" s="87">
        <f t="shared" si="13"/>
        <v>0.8619909502262364</v>
      </c>
      <c r="O12" s="87">
        <f t="shared" si="13"/>
        <v>0.4298642533936583</v>
      </c>
      <c r="P12" s="87">
        <f t="shared" si="13"/>
        <v>1.3009049773755659</v>
      </c>
      <c r="Q12" s="87">
        <f t="shared" si="13"/>
        <v>0.75339366515836992</v>
      </c>
      <c r="R12" s="87">
        <f t="shared" si="13"/>
        <v>0.96153846153846123</v>
      </c>
      <c r="S12" s="87">
        <f t="shared" si="13"/>
        <v>0.76470588235293446</v>
      </c>
      <c r="T12" s="87">
        <f t="shared" si="13"/>
        <v>0.14027149321266541</v>
      </c>
      <c r="U12" s="87">
        <f t="shared" si="13"/>
        <v>0.14479638009050444</v>
      </c>
      <c r="V12" s="87">
        <f t="shared" si="13"/>
        <v>0.27828054298642635</v>
      </c>
      <c r="W12" s="87">
        <f t="shared" si="13"/>
        <v>0.34615384615384281</v>
      </c>
      <c r="X12" s="87">
        <f t="shared" si="13"/>
        <v>0.67420814479637725</v>
      </c>
      <c r="Y12" s="87">
        <f t="shared" si="13"/>
        <v>0.51987104072398116</v>
      </c>
      <c r="Z12" s="394">
        <v>3</v>
      </c>
      <c r="AA12" s="394">
        <v>3</v>
      </c>
      <c r="AB12" s="394">
        <v>3</v>
      </c>
      <c r="AC12" s="394">
        <v>3</v>
      </c>
      <c r="AD12" s="394">
        <v>3</v>
      </c>
      <c r="AE12" s="394">
        <v>3</v>
      </c>
      <c r="AF12" s="377"/>
      <c r="AG12" s="377"/>
      <c r="AH12" s="223">
        <v>0</v>
      </c>
      <c r="AI12" s="223">
        <v>0</v>
      </c>
      <c r="AJ12" s="223">
        <v>0</v>
      </c>
    </row>
    <row r="13" spans="1:65" ht="16.5">
      <c r="A13" s="234" t="s">
        <v>9</v>
      </c>
      <c r="B13" s="87">
        <v>44</v>
      </c>
      <c r="C13" s="87">
        <v>77</v>
      </c>
      <c r="D13" s="87">
        <f t="shared" ref="D13:Z13" si="14">D76</f>
        <v>35.244000000000007</v>
      </c>
      <c r="E13" s="87">
        <f t="shared" si="14"/>
        <v>23.821000000000002</v>
      </c>
      <c r="F13" s="87">
        <f t="shared" si="14"/>
        <v>44.70900000000001</v>
      </c>
      <c r="G13" s="87">
        <f t="shared" si="14"/>
        <v>43.286000000000001</v>
      </c>
      <c r="H13" s="87">
        <f t="shared" si="14"/>
        <v>49.138000000000005</v>
      </c>
      <c r="I13" s="87">
        <f t="shared" si="14"/>
        <v>77.59</v>
      </c>
      <c r="J13" s="87">
        <f t="shared" si="14"/>
        <v>92.076999999999998</v>
      </c>
      <c r="K13" s="87">
        <f t="shared" si="14"/>
        <v>105.37100000000001</v>
      </c>
      <c r="L13" s="87">
        <f t="shared" si="14"/>
        <v>95.808000000000007</v>
      </c>
      <c r="M13" s="87">
        <f t="shared" si="14"/>
        <v>32.178000000000004</v>
      </c>
      <c r="N13" s="87">
        <f t="shared" si="14"/>
        <v>45.692000000000007</v>
      </c>
      <c r="O13" s="87">
        <f t="shared" si="14"/>
        <v>121.00200000000001</v>
      </c>
      <c r="P13" s="87">
        <f t="shared" si="14"/>
        <v>111.61499999999999</v>
      </c>
      <c r="Q13" s="87">
        <f t="shared" si="14"/>
        <v>88.106999999999999</v>
      </c>
      <c r="R13" s="87">
        <f t="shared" si="14"/>
        <v>49.040999999999997</v>
      </c>
      <c r="S13" s="87">
        <f t="shared" si="14"/>
        <v>45.703000000000003</v>
      </c>
      <c r="T13" s="87">
        <f t="shared" si="14"/>
        <v>33.342999999999996</v>
      </c>
      <c r="U13" s="87">
        <f t="shared" si="14"/>
        <v>43.732999999999997</v>
      </c>
      <c r="V13" s="87">
        <f t="shared" si="14"/>
        <v>48.725999999999992</v>
      </c>
      <c r="W13" s="87">
        <f t="shared" si="14"/>
        <v>34.161999999999992</v>
      </c>
      <c r="X13" s="87">
        <f t="shared" si="14"/>
        <v>28.577000000000005</v>
      </c>
      <c r="Y13" s="87">
        <f t="shared" si="14"/>
        <v>17.788</v>
      </c>
      <c r="Z13" s="87">
        <f t="shared" si="14"/>
        <v>17.429780999999998</v>
      </c>
      <c r="AA13" s="394">
        <v>15</v>
      </c>
      <c r="AB13" s="394">
        <v>15</v>
      </c>
      <c r="AC13" s="394">
        <v>15</v>
      </c>
      <c r="AD13" s="394">
        <v>15</v>
      </c>
      <c r="AE13" s="394">
        <v>15</v>
      </c>
      <c r="AH13" s="223">
        <v>38</v>
      </c>
      <c r="AI13" s="223">
        <v>51</v>
      </c>
      <c r="AJ13" s="223">
        <v>59</v>
      </c>
    </row>
    <row r="14" spans="1:65" ht="16.5">
      <c r="A14" s="234" t="s">
        <v>10</v>
      </c>
      <c r="B14" s="87">
        <f>ROUND(C4*0.007,0)</f>
        <v>1</v>
      </c>
      <c r="C14" s="87">
        <f t="shared" ref="C14:AE14" si="15">ROUND(D4*0.007,0)</f>
        <v>0</v>
      </c>
      <c r="D14" s="87">
        <f t="shared" si="15"/>
        <v>0</v>
      </c>
      <c r="E14" s="87">
        <f t="shared" si="15"/>
        <v>0</v>
      </c>
      <c r="F14" s="87">
        <f t="shared" si="15"/>
        <v>0</v>
      </c>
      <c r="G14" s="87">
        <f t="shared" si="15"/>
        <v>1</v>
      </c>
      <c r="H14" s="87">
        <f t="shared" si="15"/>
        <v>1</v>
      </c>
      <c r="I14" s="87">
        <f t="shared" si="15"/>
        <v>1</v>
      </c>
      <c r="J14" s="87">
        <f t="shared" si="15"/>
        <v>1</v>
      </c>
      <c r="K14" s="87">
        <f t="shared" si="15"/>
        <v>1</v>
      </c>
      <c r="L14" s="87">
        <f t="shared" si="15"/>
        <v>1</v>
      </c>
      <c r="M14" s="87">
        <f t="shared" si="15"/>
        <v>1</v>
      </c>
      <c r="N14" s="87">
        <f t="shared" si="15"/>
        <v>1</v>
      </c>
      <c r="O14" s="87">
        <f t="shared" si="15"/>
        <v>1</v>
      </c>
      <c r="P14" s="87">
        <f t="shared" si="15"/>
        <v>0</v>
      </c>
      <c r="Q14" s="87">
        <f t="shared" si="15"/>
        <v>0</v>
      </c>
      <c r="R14" s="87">
        <f t="shared" si="15"/>
        <v>0</v>
      </c>
      <c r="S14" s="87">
        <f t="shared" si="15"/>
        <v>0</v>
      </c>
      <c r="T14" s="87">
        <f t="shared" si="15"/>
        <v>0</v>
      </c>
      <c r="U14" s="87">
        <f t="shared" si="15"/>
        <v>0</v>
      </c>
      <c r="V14" s="87">
        <f t="shared" si="15"/>
        <v>0</v>
      </c>
      <c r="W14" s="87">
        <f t="shared" si="15"/>
        <v>0</v>
      </c>
      <c r="X14" s="87">
        <f t="shared" si="15"/>
        <v>0</v>
      </c>
      <c r="Y14" s="87">
        <f t="shared" si="15"/>
        <v>0</v>
      </c>
      <c r="Z14" s="87">
        <f t="shared" si="15"/>
        <v>0</v>
      </c>
      <c r="AA14" s="394">
        <f t="shared" si="15"/>
        <v>0</v>
      </c>
      <c r="AB14" s="394">
        <f t="shared" si="15"/>
        <v>0</v>
      </c>
      <c r="AC14" s="394">
        <f t="shared" si="15"/>
        <v>0</v>
      </c>
      <c r="AD14" s="394">
        <f t="shared" si="15"/>
        <v>0</v>
      </c>
      <c r="AE14" s="394">
        <f t="shared" si="15"/>
        <v>0</v>
      </c>
      <c r="AH14" s="226"/>
      <c r="AJ14" s="201" t="s">
        <v>218</v>
      </c>
    </row>
    <row r="15" spans="1:65" ht="16.5">
      <c r="A15" s="234" t="s">
        <v>11</v>
      </c>
      <c r="B15" s="87">
        <f>B16-SUM(B12:B14)</f>
        <v>22</v>
      </c>
      <c r="C15" s="87">
        <f t="shared" ref="C15:AC15" si="16">C16-SUM(C12:C14)</f>
        <v>27</v>
      </c>
      <c r="D15" s="87">
        <f t="shared" si="16"/>
        <v>41.506319004524876</v>
      </c>
      <c r="E15" s="87">
        <f t="shared" si="16"/>
        <v>21.206619909502265</v>
      </c>
      <c r="F15" s="87">
        <f t="shared" si="16"/>
        <v>30.808095022624421</v>
      </c>
      <c r="G15" s="87">
        <f t="shared" si="16"/>
        <v>82.650502262443425</v>
      </c>
      <c r="H15" s="87">
        <f t="shared" si="16"/>
        <v>80.56301809954752</v>
      </c>
      <c r="I15" s="87">
        <f t="shared" si="16"/>
        <v>57.522018099547523</v>
      </c>
      <c r="J15" s="87">
        <f t="shared" si="16"/>
        <v>58.364855203619911</v>
      </c>
      <c r="K15" s="87">
        <f t="shared" si="16"/>
        <v>55.599108597285039</v>
      </c>
      <c r="L15" s="87">
        <f t="shared" si="16"/>
        <v>68.075995475113118</v>
      </c>
      <c r="M15" s="87">
        <f t="shared" si="16"/>
        <v>66.661841628959266</v>
      </c>
      <c r="N15" s="87">
        <f t="shared" si="16"/>
        <v>57.703009049773762</v>
      </c>
      <c r="O15" s="87">
        <f t="shared" si="16"/>
        <v>50.511135746606342</v>
      </c>
      <c r="P15" s="87">
        <f t="shared" si="16"/>
        <v>35.681095022624447</v>
      </c>
      <c r="Q15" s="87">
        <f t="shared" si="16"/>
        <v>30.481606334841615</v>
      </c>
      <c r="R15" s="87">
        <f t="shared" si="16"/>
        <v>54.954461538461537</v>
      </c>
      <c r="S15" s="87">
        <f t="shared" si="16"/>
        <v>60.357294117647051</v>
      </c>
      <c r="T15" s="87">
        <f t="shared" si="16"/>
        <v>47.757728506787352</v>
      </c>
      <c r="U15" s="87">
        <f t="shared" si="16"/>
        <v>60.238203619909498</v>
      </c>
      <c r="V15" s="87">
        <f t="shared" si="16"/>
        <v>38.322719457013577</v>
      </c>
      <c r="W15" s="87">
        <f t="shared" si="16"/>
        <v>48.861846153846173</v>
      </c>
      <c r="X15" s="87">
        <f t="shared" si="16"/>
        <v>59.23079185520362</v>
      </c>
      <c r="Y15" s="87">
        <f t="shared" si="16"/>
        <v>63.182128959276014</v>
      </c>
      <c r="Z15" s="87">
        <f t="shared" si="16"/>
        <v>60.737208000000003</v>
      </c>
      <c r="AA15" s="394">
        <f t="shared" si="16"/>
        <v>75.669149000000004</v>
      </c>
      <c r="AB15" s="394">
        <f t="shared" si="16"/>
        <v>78.429169000000002</v>
      </c>
      <c r="AC15" s="394">
        <f t="shared" si="16"/>
        <v>82</v>
      </c>
      <c r="AD15" s="394">
        <f t="shared" ref="AD15:AE15" si="17">AD16-SUM(AD12:AD14)</f>
        <v>71</v>
      </c>
      <c r="AE15" s="394">
        <f t="shared" si="17"/>
        <v>61</v>
      </c>
      <c r="AH15" s="226"/>
      <c r="AJ15" s="201" t="s">
        <v>218</v>
      </c>
    </row>
    <row r="16" spans="1:65" ht="16.5">
      <c r="A16" s="425" t="s">
        <v>12</v>
      </c>
      <c r="B16" s="426">
        <f t="shared" ref="B16:AE16" si="18">B11-B17</f>
        <v>107</v>
      </c>
      <c r="C16" s="426">
        <f t="shared" si="18"/>
        <v>134</v>
      </c>
      <c r="D16" s="426">
        <f t="shared" si="18"/>
        <v>78.632999999999996</v>
      </c>
      <c r="E16" s="426">
        <f t="shared" si="18"/>
        <v>48.453000000000003</v>
      </c>
      <c r="F16" s="426">
        <f t="shared" si="18"/>
        <v>76.817999999999998</v>
      </c>
      <c r="G16" s="426">
        <f t="shared" si="18"/>
        <v>127.02699999999999</v>
      </c>
      <c r="H16" s="426">
        <f t="shared" si="18"/>
        <v>130.92500000000001</v>
      </c>
      <c r="I16" s="426">
        <f t="shared" si="18"/>
        <v>144.83600000000001</v>
      </c>
      <c r="J16" s="426">
        <f t="shared" si="18"/>
        <v>151.47999999999999</v>
      </c>
      <c r="K16" s="426">
        <f t="shared" si="18"/>
        <v>162.41399999999999</v>
      </c>
      <c r="L16" s="426">
        <f t="shared" si="18"/>
        <v>165.703</v>
      </c>
      <c r="M16" s="426">
        <f t="shared" si="18"/>
        <v>106.005</v>
      </c>
      <c r="N16" s="426">
        <f t="shared" si="18"/>
        <v>105.25700000000001</v>
      </c>
      <c r="O16" s="426">
        <f t="shared" si="18"/>
        <v>172.94300000000001</v>
      </c>
      <c r="P16" s="426">
        <f t="shared" si="18"/>
        <v>148.59700000000001</v>
      </c>
      <c r="Q16" s="426">
        <f t="shared" si="18"/>
        <v>119.34199999999998</v>
      </c>
      <c r="R16" s="426">
        <f t="shared" si="18"/>
        <v>104.95699999999999</v>
      </c>
      <c r="S16" s="426">
        <f t="shared" si="18"/>
        <v>106.82499999999999</v>
      </c>
      <c r="T16" s="426">
        <f t="shared" si="18"/>
        <v>81.241000000000014</v>
      </c>
      <c r="U16" s="426">
        <f t="shared" si="18"/>
        <v>104.116</v>
      </c>
      <c r="V16" s="426">
        <f t="shared" si="18"/>
        <v>87.326999999999998</v>
      </c>
      <c r="W16" s="426">
        <f t="shared" si="18"/>
        <v>83.37</v>
      </c>
      <c r="X16" s="426">
        <f t="shared" si="18"/>
        <v>88.481999999999999</v>
      </c>
      <c r="Y16" s="426">
        <f t="shared" si="18"/>
        <v>81.489999999999995</v>
      </c>
      <c r="Z16" s="426">
        <f t="shared" si="18"/>
        <v>81.166989000000001</v>
      </c>
      <c r="AA16" s="427">
        <f t="shared" si="18"/>
        <v>93.669149000000004</v>
      </c>
      <c r="AB16" s="427">
        <f t="shared" si="18"/>
        <v>96.429169000000002</v>
      </c>
      <c r="AC16" s="427">
        <f t="shared" si="18"/>
        <v>100</v>
      </c>
      <c r="AD16" s="427">
        <f t="shared" si="18"/>
        <v>89</v>
      </c>
      <c r="AE16" s="427">
        <f t="shared" si="18"/>
        <v>79</v>
      </c>
      <c r="AH16" s="226"/>
      <c r="AJ16" s="201"/>
    </row>
    <row r="17" spans="1:36" ht="16.5">
      <c r="A17" s="234" t="s">
        <v>412</v>
      </c>
      <c r="B17" s="87">
        <v>10</v>
      </c>
      <c r="C17" s="87">
        <v>10</v>
      </c>
      <c r="D17" s="87">
        <v>10</v>
      </c>
      <c r="E17" s="87">
        <v>30</v>
      </c>
      <c r="F17" s="87">
        <v>30</v>
      </c>
      <c r="G17" s="87">
        <v>30</v>
      </c>
      <c r="H17" s="87">
        <v>40</v>
      </c>
      <c r="I17" s="87">
        <v>32</v>
      </c>
      <c r="J17" s="87">
        <v>14</v>
      </c>
      <c r="K17" s="87">
        <v>30</v>
      </c>
      <c r="L17" s="87">
        <v>30</v>
      </c>
      <c r="M17" s="87">
        <v>19</v>
      </c>
      <c r="N17" s="87">
        <v>29</v>
      </c>
      <c r="O17" s="87">
        <v>18</v>
      </c>
      <c r="P17" s="87">
        <v>12</v>
      </c>
      <c r="Q17" s="87">
        <v>19</v>
      </c>
      <c r="R17" s="87">
        <v>42</v>
      </c>
      <c r="S17" s="87">
        <v>36</v>
      </c>
      <c r="T17" s="87">
        <v>8</v>
      </c>
      <c r="U17" s="87">
        <v>18</v>
      </c>
      <c r="V17" s="394">
        <v>8</v>
      </c>
      <c r="W17" s="87">
        <v>10</v>
      </c>
      <c r="X17" s="87">
        <v>17</v>
      </c>
      <c r="Y17" s="87">
        <v>16</v>
      </c>
      <c r="Z17" s="394">
        <v>15</v>
      </c>
      <c r="AA17" s="394">
        <v>15</v>
      </c>
      <c r="AB17" s="394">
        <v>15</v>
      </c>
      <c r="AC17" s="394">
        <v>15</v>
      </c>
      <c r="AD17" s="394">
        <v>16</v>
      </c>
      <c r="AE17" s="394">
        <v>17</v>
      </c>
      <c r="AH17" s="223">
        <v>31</v>
      </c>
      <c r="AI17" s="223">
        <v>44</v>
      </c>
      <c r="AJ17" s="223">
        <v>22</v>
      </c>
    </row>
    <row r="18" spans="1:36">
      <c r="A18" s="425" t="s">
        <v>221</v>
      </c>
      <c r="B18" s="428"/>
      <c r="C18" s="428"/>
      <c r="D18" s="428"/>
      <c r="E18" s="428"/>
      <c r="F18" s="428"/>
      <c r="G18" s="428"/>
      <c r="H18" s="428"/>
      <c r="I18" s="428"/>
      <c r="J18" s="428"/>
      <c r="K18" s="428"/>
      <c r="L18" s="428"/>
      <c r="M18" s="428"/>
      <c r="N18" s="428"/>
      <c r="O18" s="428"/>
      <c r="P18" s="428"/>
      <c r="Q18" s="428"/>
      <c r="R18" s="428"/>
      <c r="S18" s="428"/>
      <c r="T18" s="428"/>
      <c r="U18" s="428"/>
      <c r="V18" s="428"/>
      <c r="W18" s="428"/>
      <c r="X18" s="428"/>
      <c r="Y18" s="428"/>
      <c r="Z18" s="428"/>
      <c r="AA18" s="428"/>
      <c r="AB18" s="428"/>
      <c r="AC18" s="428"/>
      <c r="AD18" s="428"/>
      <c r="AE18" s="428"/>
      <c r="AH18" s="226"/>
      <c r="AJ18" s="201"/>
    </row>
    <row r="19" spans="1:36" ht="15.75" thickBot="1">
      <c r="A19" s="234" t="s">
        <v>222</v>
      </c>
      <c r="AH19" s="226"/>
      <c r="AJ19" s="201"/>
    </row>
    <row r="20" spans="1:36" ht="16.5">
      <c r="A20" s="429" t="s">
        <v>413</v>
      </c>
      <c r="B20" s="430"/>
      <c r="C20" s="430"/>
      <c r="D20" s="430"/>
      <c r="E20" s="430"/>
      <c r="F20" s="430"/>
      <c r="G20" s="430"/>
      <c r="H20" s="430"/>
      <c r="I20" s="430"/>
      <c r="J20" s="430"/>
      <c r="K20" s="430"/>
      <c r="L20" s="430"/>
      <c r="M20" s="430"/>
      <c r="N20" s="430"/>
      <c r="O20" s="430"/>
      <c r="P20" s="430"/>
      <c r="Q20" s="430"/>
      <c r="R20" s="430"/>
      <c r="S20" s="430"/>
      <c r="T20" s="430"/>
      <c r="U20" s="430"/>
      <c r="V20" s="430"/>
      <c r="W20" s="430"/>
      <c r="X20" s="430"/>
      <c r="Y20" s="430"/>
      <c r="Z20" s="430"/>
      <c r="AA20" s="430"/>
      <c r="AB20" s="430"/>
      <c r="AC20" s="430"/>
      <c r="AD20" s="430"/>
      <c r="AE20" s="430"/>
      <c r="AH20" s="226"/>
      <c r="AJ20" s="201"/>
    </row>
    <row r="21" spans="1:36" ht="16.5">
      <c r="A21" s="234" t="s">
        <v>224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H21" s="226"/>
      <c r="AJ21" s="201"/>
    </row>
    <row r="22" spans="1:36" ht="16.5">
      <c r="A22" s="425" t="s">
        <v>313</v>
      </c>
      <c r="B22" s="426">
        <v>0</v>
      </c>
      <c r="C22" s="426">
        <f>B29</f>
        <v>0</v>
      </c>
      <c r="D22" s="426">
        <f t="shared" ref="D22:AE22" si="19">C29</f>
        <v>0</v>
      </c>
      <c r="E22" s="426">
        <f t="shared" si="19"/>
        <v>0</v>
      </c>
      <c r="F22" s="426">
        <f t="shared" si="19"/>
        <v>0</v>
      </c>
      <c r="G22" s="426">
        <f t="shared" si="19"/>
        <v>0</v>
      </c>
      <c r="H22" s="426">
        <f t="shared" si="19"/>
        <v>0</v>
      </c>
      <c r="I22" s="426">
        <f t="shared" si="19"/>
        <v>0</v>
      </c>
      <c r="J22" s="426">
        <f t="shared" si="19"/>
        <v>0</v>
      </c>
      <c r="K22" s="426">
        <f t="shared" si="19"/>
        <v>0</v>
      </c>
      <c r="L22" s="426">
        <f t="shared" si="19"/>
        <v>0</v>
      </c>
      <c r="M22" s="426">
        <f t="shared" si="19"/>
        <v>0</v>
      </c>
      <c r="N22" s="426">
        <f t="shared" si="19"/>
        <v>0</v>
      </c>
      <c r="O22" s="426">
        <f t="shared" si="19"/>
        <v>0</v>
      </c>
      <c r="P22" s="426">
        <f t="shared" si="19"/>
        <v>0</v>
      </c>
      <c r="Q22" s="426">
        <f t="shared" si="19"/>
        <v>0</v>
      </c>
      <c r="R22" s="426">
        <f t="shared" si="19"/>
        <v>0</v>
      </c>
      <c r="S22" s="426">
        <f t="shared" si="19"/>
        <v>0</v>
      </c>
      <c r="T22" s="426">
        <f t="shared" si="19"/>
        <v>0</v>
      </c>
      <c r="U22" s="426">
        <f t="shared" si="19"/>
        <v>0</v>
      </c>
      <c r="V22" s="426">
        <f t="shared" si="19"/>
        <v>0</v>
      </c>
      <c r="W22" s="426">
        <f t="shared" si="19"/>
        <v>0</v>
      </c>
      <c r="X22" s="426">
        <f t="shared" si="19"/>
        <v>0</v>
      </c>
      <c r="Y22" s="426">
        <f t="shared" si="19"/>
        <v>0</v>
      </c>
      <c r="Z22" s="426">
        <f t="shared" si="19"/>
        <v>0</v>
      </c>
      <c r="AA22" s="427">
        <f t="shared" si="19"/>
        <v>0</v>
      </c>
      <c r="AB22" s="427">
        <f t="shared" si="19"/>
        <v>0</v>
      </c>
      <c r="AC22" s="427">
        <f t="shared" si="19"/>
        <v>0</v>
      </c>
      <c r="AD22" s="427">
        <f t="shared" si="19"/>
        <v>0</v>
      </c>
      <c r="AE22" s="427">
        <f t="shared" si="19"/>
        <v>1</v>
      </c>
      <c r="AH22" s="223">
        <v>0</v>
      </c>
      <c r="AI22" s="223">
        <v>0</v>
      </c>
      <c r="AJ22" s="223">
        <v>0</v>
      </c>
    </row>
    <row r="23" spans="1:36" ht="16.5">
      <c r="A23" s="234" t="s">
        <v>5</v>
      </c>
      <c r="B23" s="87">
        <f>B108</f>
        <v>13.999999999999998</v>
      </c>
      <c r="C23" s="87">
        <f t="shared" ref="C23:Z23" si="20">C108</f>
        <v>9.9999999999999982</v>
      </c>
      <c r="D23" s="87">
        <f t="shared" si="20"/>
        <v>0.64387690045248969</v>
      </c>
      <c r="E23" s="87">
        <f t="shared" si="20"/>
        <v>1.1714799909502263</v>
      </c>
      <c r="F23" s="87">
        <f t="shared" si="20"/>
        <v>0.44490950226244275</v>
      </c>
      <c r="G23" s="87">
        <f t="shared" si="20"/>
        <v>3.0950226244343314E-2</v>
      </c>
      <c r="H23" s="87">
        <f t="shared" si="20"/>
        <v>7.6601809954748856E-2</v>
      </c>
      <c r="I23" s="87">
        <f t="shared" si="20"/>
        <v>2.9836018099547492</v>
      </c>
      <c r="J23" s="87">
        <f t="shared" si="20"/>
        <v>1.3045520361989582E-2</v>
      </c>
      <c r="K23" s="87">
        <f t="shared" si="20"/>
        <v>0.15181085972850747</v>
      </c>
      <c r="L23" s="87">
        <f t="shared" si="20"/>
        <v>0.28009954751131277</v>
      </c>
      <c r="M23" s="87">
        <f t="shared" si="20"/>
        <v>2.1084841628959285</v>
      </c>
      <c r="N23" s="87">
        <f t="shared" si="20"/>
        <v>0.2948009049773731</v>
      </c>
      <c r="O23" s="87">
        <f t="shared" si="20"/>
        <v>0.14701357466063136</v>
      </c>
      <c r="P23" s="87">
        <f t="shared" si="20"/>
        <v>0.44490950226244325</v>
      </c>
      <c r="Q23" s="87">
        <f t="shared" si="20"/>
        <v>0.25766063348416257</v>
      </c>
      <c r="R23" s="87">
        <f t="shared" si="20"/>
        <v>0.32884615384615423</v>
      </c>
      <c r="S23" s="87">
        <f t="shared" si="20"/>
        <v>0.26152941176470362</v>
      </c>
      <c r="T23" s="87">
        <f t="shared" si="20"/>
        <v>4.7972850678731555E-2</v>
      </c>
      <c r="U23" s="87">
        <f t="shared" si="20"/>
        <v>4.952036199095261E-2</v>
      </c>
      <c r="V23" s="87">
        <f t="shared" si="20"/>
        <v>9.5171945701357813E-2</v>
      </c>
      <c r="W23" s="87">
        <f t="shared" si="20"/>
        <v>0.11838461538461412</v>
      </c>
      <c r="X23" s="87">
        <f t="shared" si="20"/>
        <v>0.230579185520361</v>
      </c>
      <c r="Y23" s="87">
        <f t="shared" si="20"/>
        <v>0.17779589592760153</v>
      </c>
      <c r="Z23" s="87">
        <f t="shared" si="20"/>
        <v>1.0259999999999998</v>
      </c>
      <c r="AA23" s="394">
        <f>AA124*AA92</f>
        <v>1.0259999999999996</v>
      </c>
      <c r="AB23" s="394">
        <f>AB124*AB92</f>
        <v>1.0259999999999994</v>
      </c>
      <c r="AC23" s="394">
        <f>AC124*AC92</f>
        <v>1.0259999999999994</v>
      </c>
      <c r="AD23" s="394">
        <f t="shared" ref="AD23:AE23" si="21">AD124*AD92</f>
        <v>1.0259999999999994</v>
      </c>
      <c r="AE23" s="394">
        <f t="shared" si="21"/>
        <v>1.0259999999999994</v>
      </c>
      <c r="AH23" s="223">
        <v>0</v>
      </c>
      <c r="AI23" s="223">
        <v>0</v>
      </c>
      <c r="AJ23" s="223">
        <v>0</v>
      </c>
    </row>
    <row r="24" spans="1:36" ht="16.5">
      <c r="A24" s="234" t="s">
        <v>6</v>
      </c>
      <c r="B24" s="87">
        <v>1</v>
      </c>
      <c r="C24" s="87">
        <v>1</v>
      </c>
      <c r="D24" s="87">
        <f t="shared" ref="D24:Y24" si="22">D140</f>
        <v>0.68700000000000006</v>
      </c>
      <c r="E24" s="87">
        <f t="shared" si="22"/>
        <v>0.26200000000000001</v>
      </c>
      <c r="F24" s="87">
        <f t="shared" si="22"/>
        <v>5.3449999999999998</v>
      </c>
      <c r="G24" s="87">
        <f t="shared" si="22"/>
        <v>0.58699999999999997</v>
      </c>
      <c r="H24" s="87">
        <f t="shared" si="22"/>
        <v>1.9510000000000001</v>
      </c>
      <c r="I24" s="87">
        <f t="shared" si="22"/>
        <v>1.3359999999999999</v>
      </c>
      <c r="J24" s="87">
        <f t="shared" si="22"/>
        <v>1.931</v>
      </c>
      <c r="K24" s="87">
        <f t="shared" si="22"/>
        <v>4.6524700000000001</v>
      </c>
      <c r="L24" s="87">
        <f t="shared" si="22"/>
        <v>8.1191399999999998</v>
      </c>
      <c r="M24" s="87">
        <f t="shared" si="22"/>
        <v>5.4592799999999988</v>
      </c>
      <c r="N24" s="87">
        <f t="shared" si="22"/>
        <v>1.59572</v>
      </c>
      <c r="O24" s="87">
        <f t="shared" si="22"/>
        <v>2.0699999999999998</v>
      </c>
      <c r="P24" s="87">
        <f t="shared" si="22"/>
        <v>3.8370000000000006</v>
      </c>
      <c r="Q24" s="87">
        <f t="shared" si="22"/>
        <v>2.0790000000000002</v>
      </c>
      <c r="R24" s="87">
        <f t="shared" si="22"/>
        <v>2.181</v>
      </c>
      <c r="S24" s="87">
        <f t="shared" si="22"/>
        <v>1.6690000000000003</v>
      </c>
      <c r="T24" s="87">
        <f t="shared" si="22"/>
        <v>1.9</v>
      </c>
      <c r="U24" s="87">
        <f t="shared" si="22"/>
        <v>2.4059999999999997</v>
      </c>
      <c r="V24" s="87">
        <f t="shared" si="22"/>
        <v>2.0120000000000005</v>
      </c>
      <c r="W24" s="87">
        <f t="shared" si="22"/>
        <v>1.9729999999999999</v>
      </c>
      <c r="X24" s="87">
        <f t="shared" si="22"/>
        <v>3.0170000000000003</v>
      </c>
      <c r="Y24" s="87">
        <f t="shared" si="22"/>
        <v>2.306</v>
      </c>
      <c r="Z24" s="394">
        <v>2.5</v>
      </c>
      <c r="AA24" s="394">
        <v>2.5</v>
      </c>
      <c r="AB24" s="394">
        <v>2.5</v>
      </c>
      <c r="AC24" s="394">
        <f>2.5+25</f>
        <v>27.5</v>
      </c>
      <c r="AD24" s="394">
        <f>3.5+26.5-5</f>
        <v>25</v>
      </c>
      <c r="AE24" s="394">
        <f>4.5+20.5</f>
        <v>25</v>
      </c>
      <c r="AH24" s="223">
        <v>21</v>
      </c>
      <c r="AI24" s="223">
        <v>24</v>
      </c>
      <c r="AJ24" s="223">
        <v>21</v>
      </c>
    </row>
    <row r="25" spans="1:36" ht="16.5">
      <c r="A25" s="425" t="s">
        <v>7</v>
      </c>
      <c r="B25" s="426">
        <f>SUM(B22:B24)</f>
        <v>14.999999999999998</v>
      </c>
      <c r="C25" s="426">
        <f t="shared" ref="C25:AE25" si="23">SUM(C22:C24)</f>
        <v>10.999999999999998</v>
      </c>
      <c r="D25" s="426">
        <f t="shared" si="23"/>
        <v>1.3308769004524899</v>
      </c>
      <c r="E25" s="426">
        <f t="shared" si="23"/>
        <v>1.4334799909502263</v>
      </c>
      <c r="F25" s="426">
        <f t="shared" si="23"/>
        <v>5.7899095022624429</v>
      </c>
      <c r="G25" s="426">
        <f t="shared" si="23"/>
        <v>0.61795022624434326</v>
      </c>
      <c r="H25" s="426">
        <f t="shared" si="23"/>
        <v>2.0276018099547488</v>
      </c>
      <c r="I25" s="426">
        <f t="shared" si="23"/>
        <v>4.3196018099547491</v>
      </c>
      <c r="J25" s="426">
        <f t="shared" si="23"/>
        <v>1.9440455203619895</v>
      </c>
      <c r="K25" s="426">
        <f t="shared" si="23"/>
        <v>4.8042808597285074</v>
      </c>
      <c r="L25" s="426">
        <f t="shared" si="23"/>
        <v>8.3992395475113124</v>
      </c>
      <c r="M25" s="426">
        <f t="shared" si="23"/>
        <v>7.5677641628959273</v>
      </c>
      <c r="N25" s="426">
        <f t="shared" si="23"/>
        <v>1.890520904977373</v>
      </c>
      <c r="O25" s="426">
        <f t="shared" si="23"/>
        <v>2.2170135746606312</v>
      </c>
      <c r="P25" s="426">
        <f t="shared" si="23"/>
        <v>4.2819095022624438</v>
      </c>
      <c r="Q25" s="426">
        <f t="shared" si="23"/>
        <v>2.3366606334841626</v>
      </c>
      <c r="R25" s="426">
        <f t="shared" si="23"/>
        <v>2.5098461538461541</v>
      </c>
      <c r="S25" s="426">
        <f t="shared" si="23"/>
        <v>1.9305294117647038</v>
      </c>
      <c r="T25" s="426">
        <f t="shared" si="23"/>
        <v>1.9479728506787315</v>
      </c>
      <c r="U25" s="426">
        <f t="shared" si="23"/>
        <v>2.4555203619909522</v>
      </c>
      <c r="V25" s="426">
        <f t="shared" si="23"/>
        <v>2.1071719457013582</v>
      </c>
      <c r="W25" s="426">
        <f t="shared" si="23"/>
        <v>2.0913846153846141</v>
      </c>
      <c r="X25" s="426">
        <f t="shared" si="23"/>
        <v>3.2475791855203613</v>
      </c>
      <c r="Y25" s="426">
        <f t="shared" si="23"/>
        <v>2.4837958959276016</v>
      </c>
      <c r="Z25" s="427">
        <f t="shared" si="23"/>
        <v>3.5259999999999998</v>
      </c>
      <c r="AA25" s="427">
        <f t="shared" si="23"/>
        <v>3.5259999999999998</v>
      </c>
      <c r="AB25" s="427">
        <f t="shared" si="23"/>
        <v>3.5259999999999994</v>
      </c>
      <c r="AC25" s="427">
        <f t="shared" si="23"/>
        <v>28.526</v>
      </c>
      <c r="AD25" s="427">
        <f t="shared" si="23"/>
        <v>26.026</v>
      </c>
      <c r="AE25" s="427">
        <f t="shared" si="23"/>
        <v>27.026</v>
      </c>
      <c r="AH25" s="223">
        <v>21</v>
      </c>
      <c r="AI25" s="223">
        <v>24</v>
      </c>
      <c r="AJ25" s="223">
        <v>21</v>
      </c>
    </row>
    <row r="26" spans="1:36" ht="16.5">
      <c r="A26" s="234" t="s">
        <v>24</v>
      </c>
      <c r="B26" s="87">
        <f>B28-B27</f>
        <v>11.999999999999998</v>
      </c>
      <c r="C26" s="87">
        <f t="shared" ref="C26:AE26" si="24">C28-C27</f>
        <v>7.6999999999999984</v>
      </c>
      <c r="D26" s="87">
        <f t="shared" si="24"/>
        <v>4.4876900452489821E-2</v>
      </c>
      <c r="E26" s="87">
        <f t="shared" si="24"/>
        <v>1.3184799909502263</v>
      </c>
      <c r="F26" s="87">
        <f t="shared" si="24"/>
        <v>5.6179095022624432</v>
      </c>
      <c r="G26" s="87">
        <f t="shared" si="24"/>
        <v>0.61695022624434326</v>
      </c>
      <c r="H26" s="87">
        <f t="shared" si="24"/>
        <v>2.0276018099547488</v>
      </c>
      <c r="I26" s="87">
        <f t="shared" si="24"/>
        <v>4.2766018099547489</v>
      </c>
      <c r="J26" s="87">
        <f t="shared" si="24"/>
        <v>1.8580455203619894</v>
      </c>
      <c r="K26" s="87">
        <f t="shared" si="24"/>
        <v>4.7612808597285072</v>
      </c>
      <c r="L26" s="87">
        <f t="shared" si="24"/>
        <v>8.3992395475113124</v>
      </c>
      <c r="M26" s="87">
        <f t="shared" si="24"/>
        <v>7.5677641628959273</v>
      </c>
      <c r="N26" s="87">
        <f t="shared" si="24"/>
        <v>1.7805209049773729</v>
      </c>
      <c r="O26" s="87">
        <f t="shared" si="24"/>
        <v>2.2170135746606312</v>
      </c>
      <c r="P26" s="87">
        <f t="shared" si="24"/>
        <v>0.40290950226244382</v>
      </c>
      <c r="Q26" s="87">
        <f t="shared" si="24"/>
        <v>2.3366606334841626</v>
      </c>
      <c r="R26" s="87">
        <f t="shared" si="24"/>
        <v>2.5098461538461541</v>
      </c>
      <c r="S26" s="87">
        <f t="shared" si="24"/>
        <v>1.9305294117647038</v>
      </c>
      <c r="T26" s="87">
        <f t="shared" si="24"/>
        <v>1.9479728506787315</v>
      </c>
      <c r="U26" s="87">
        <f t="shared" si="24"/>
        <v>2.4555203619909522</v>
      </c>
      <c r="V26" s="87">
        <f t="shared" si="24"/>
        <v>1.4831719457013584</v>
      </c>
      <c r="W26" s="87">
        <f t="shared" si="24"/>
        <v>2.0913846153846141</v>
      </c>
      <c r="X26" s="87">
        <f t="shared" si="24"/>
        <v>2.3285791855203612</v>
      </c>
      <c r="Y26" s="87">
        <f t="shared" si="24"/>
        <v>5.6795895927601592E-2</v>
      </c>
      <c r="Z26" s="394">
        <f t="shared" si="24"/>
        <v>1.5259999999999998</v>
      </c>
      <c r="AA26" s="394">
        <f t="shared" si="24"/>
        <v>1.5259999999999998</v>
      </c>
      <c r="AB26" s="394">
        <f t="shared" si="24"/>
        <v>1.5259999999999994</v>
      </c>
      <c r="AC26" s="394">
        <f t="shared" si="24"/>
        <v>26.526</v>
      </c>
      <c r="AD26" s="394">
        <f t="shared" si="24"/>
        <v>22.026</v>
      </c>
      <c r="AE26" s="394">
        <f t="shared" si="24"/>
        <v>21.026</v>
      </c>
      <c r="AH26" s="223">
        <v>21</v>
      </c>
      <c r="AI26" s="223">
        <v>24</v>
      </c>
      <c r="AJ26" s="223">
        <v>21</v>
      </c>
    </row>
    <row r="27" spans="1:36" ht="16.5">
      <c r="A27" s="234" t="s">
        <v>9</v>
      </c>
      <c r="B27" s="87">
        <v>3</v>
      </c>
      <c r="C27" s="87">
        <v>3.3</v>
      </c>
      <c r="D27" s="87">
        <f t="shared" ref="D27:Y27" si="25">D156</f>
        <v>1.286</v>
      </c>
      <c r="E27" s="87">
        <f t="shared" si="25"/>
        <v>0.11500000000000002</v>
      </c>
      <c r="F27" s="87">
        <f t="shared" si="25"/>
        <v>0.17200000000000001</v>
      </c>
      <c r="G27" s="87">
        <f t="shared" si="25"/>
        <v>1E-3</v>
      </c>
      <c r="H27" s="87">
        <f t="shared" si="25"/>
        <v>0</v>
      </c>
      <c r="I27" s="87">
        <f t="shared" si="25"/>
        <v>4.2999999999999997E-2</v>
      </c>
      <c r="J27" s="87">
        <f t="shared" si="25"/>
        <v>8.5999999999999993E-2</v>
      </c>
      <c r="K27" s="87">
        <f t="shared" si="25"/>
        <v>4.2999999999999997E-2</v>
      </c>
      <c r="L27" s="87">
        <f t="shared" si="25"/>
        <v>0</v>
      </c>
      <c r="M27" s="87">
        <f t="shared" si="25"/>
        <v>0</v>
      </c>
      <c r="N27" s="87">
        <f t="shared" si="25"/>
        <v>0.11</v>
      </c>
      <c r="O27" s="87">
        <f t="shared" si="25"/>
        <v>0</v>
      </c>
      <c r="P27" s="87">
        <f t="shared" si="25"/>
        <v>3.879</v>
      </c>
      <c r="Q27" s="87">
        <f t="shared" si="25"/>
        <v>0</v>
      </c>
      <c r="R27" s="87">
        <f t="shared" si="25"/>
        <v>0</v>
      </c>
      <c r="S27" s="87">
        <f t="shared" si="25"/>
        <v>0</v>
      </c>
      <c r="T27" s="87">
        <f t="shared" si="25"/>
        <v>0</v>
      </c>
      <c r="U27" s="87">
        <f t="shared" si="25"/>
        <v>0</v>
      </c>
      <c r="V27" s="87">
        <f t="shared" si="25"/>
        <v>0.62399999999999989</v>
      </c>
      <c r="W27" s="87">
        <f t="shared" si="25"/>
        <v>0</v>
      </c>
      <c r="X27" s="87">
        <f t="shared" si="25"/>
        <v>0.91900000000000004</v>
      </c>
      <c r="Y27" s="87">
        <f t="shared" si="25"/>
        <v>2.427</v>
      </c>
      <c r="Z27" s="394">
        <v>2</v>
      </c>
      <c r="AA27" s="394">
        <v>2</v>
      </c>
      <c r="AB27" s="394">
        <v>2</v>
      </c>
      <c r="AC27" s="394">
        <v>2</v>
      </c>
      <c r="AD27" s="394">
        <v>3</v>
      </c>
      <c r="AE27" s="394">
        <v>4</v>
      </c>
      <c r="AH27" s="223">
        <v>0</v>
      </c>
      <c r="AI27" s="223">
        <v>0</v>
      </c>
      <c r="AJ27" s="223">
        <v>0</v>
      </c>
    </row>
    <row r="28" spans="1:36" ht="16.5">
      <c r="A28" s="425" t="s">
        <v>12</v>
      </c>
      <c r="B28" s="426">
        <f>B25-B29</f>
        <v>14.999999999999998</v>
      </c>
      <c r="C28" s="426">
        <f t="shared" ref="C28:AE28" si="26">C25-C29</f>
        <v>10.999999999999998</v>
      </c>
      <c r="D28" s="426">
        <f t="shared" si="26"/>
        <v>1.3308769004524899</v>
      </c>
      <c r="E28" s="426">
        <f t="shared" si="26"/>
        <v>1.4334799909502263</v>
      </c>
      <c r="F28" s="426">
        <f t="shared" si="26"/>
        <v>5.7899095022624429</v>
      </c>
      <c r="G28" s="426">
        <f t="shared" si="26"/>
        <v>0.61795022624434326</v>
      </c>
      <c r="H28" s="426">
        <f t="shared" si="26"/>
        <v>2.0276018099547488</v>
      </c>
      <c r="I28" s="426">
        <f t="shared" si="26"/>
        <v>4.3196018099547491</v>
      </c>
      <c r="J28" s="426">
        <f t="shared" si="26"/>
        <v>1.9440455203619895</v>
      </c>
      <c r="K28" s="426">
        <f t="shared" si="26"/>
        <v>4.8042808597285074</v>
      </c>
      <c r="L28" s="426">
        <f t="shared" si="26"/>
        <v>8.3992395475113124</v>
      </c>
      <c r="M28" s="426">
        <f t="shared" si="26"/>
        <v>7.5677641628959273</v>
      </c>
      <c r="N28" s="426">
        <f t="shared" si="26"/>
        <v>1.890520904977373</v>
      </c>
      <c r="O28" s="426">
        <f t="shared" si="26"/>
        <v>2.2170135746606312</v>
      </c>
      <c r="P28" s="426">
        <f t="shared" si="26"/>
        <v>4.2819095022624438</v>
      </c>
      <c r="Q28" s="426">
        <f t="shared" si="26"/>
        <v>2.3366606334841626</v>
      </c>
      <c r="R28" s="426">
        <f t="shared" si="26"/>
        <v>2.5098461538461541</v>
      </c>
      <c r="S28" s="426">
        <f t="shared" si="26"/>
        <v>1.9305294117647038</v>
      </c>
      <c r="T28" s="426">
        <f t="shared" si="26"/>
        <v>1.9479728506787315</v>
      </c>
      <c r="U28" s="426">
        <f t="shared" si="26"/>
        <v>2.4555203619909522</v>
      </c>
      <c r="V28" s="426">
        <f t="shared" si="26"/>
        <v>2.1071719457013582</v>
      </c>
      <c r="W28" s="426">
        <f t="shared" si="26"/>
        <v>2.0913846153846141</v>
      </c>
      <c r="X28" s="426">
        <f t="shared" si="26"/>
        <v>3.2475791855203613</v>
      </c>
      <c r="Y28" s="426">
        <f t="shared" si="26"/>
        <v>2.4837958959276016</v>
      </c>
      <c r="Z28" s="427">
        <f t="shared" si="26"/>
        <v>3.5259999999999998</v>
      </c>
      <c r="AA28" s="427">
        <f t="shared" si="26"/>
        <v>3.5259999999999998</v>
      </c>
      <c r="AB28" s="427">
        <f t="shared" si="26"/>
        <v>3.5259999999999994</v>
      </c>
      <c r="AC28" s="427">
        <f t="shared" si="26"/>
        <v>28.526</v>
      </c>
      <c r="AD28" s="427">
        <f t="shared" si="26"/>
        <v>25.026</v>
      </c>
      <c r="AE28" s="427">
        <f t="shared" si="26"/>
        <v>25.026</v>
      </c>
      <c r="AH28" s="226"/>
      <c r="AJ28" s="201"/>
    </row>
    <row r="29" spans="1:36" ht="16.5">
      <c r="A29" s="234" t="s">
        <v>412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X29" s="87">
        <v>0</v>
      </c>
      <c r="Y29" s="87">
        <v>0</v>
      </c>
      <c r="Z29" s="394">
        <v>0</v>
      </c>
      <c r="AA29" s="394">
        <v>0</v>
      </c>
      <c r="AB29" s="394">
        <v>0</v>
      </c>
      <c r="AC29" s="394">
        <v>0</v>
      </c>
      <c r="AD29" s="394">
        <v>1</v>
      </c>
      <c r="AE29" s="394">
        <v>2</v>
      </c>
      <c r="AH29" s="223">
        <v>0</v>
      </c>
      <c r="AI29" s="223">
        <v>0</v>
      </c>
      <c r="AJ29" s="223">
        <v>0</v>
      </c>
    </row>
    <row r="30" spans="1:36" ht="15.75" thickBot="1">
      <c r="A30" s="234" t="s">
        <v>225</v>
      </c>
      <c r="AH30" s="226"/>
      <c r="AJ30" s="201"/>
    </row>
    <row r="31" spans="1:36">
      <c r="A31" s="429" t="s">
        <v>414</v>
      </c>
      <c r="B31" s="431"/>
      <c r="C31" s="431"/>
      <c r="D31" s="431"/>
      <c r="E31" s="431"/>
      <c r="F31" s="431"/>
      <c r="G31" s="431"/>
      <c r="H31" s="431"/>
      <c r="I31" s="431"/>
      <c r="J31" s="431"/>
      <c r="K31" s="431"/>
      <c r="L31" s="431"/>
      <c r="M31" s="431"/>
      <c r="N31" s="431"/>
      <c r="O31" s="431"/>
      <c r="P31" s="431"/>
      <c r="Q31" s="431"/>
      <c r="R31" s="431"/>
      <c r="S31" s="431"/>
      <c r="T31" s="431"/>
      <c r="U31" s="431"/>
      <c r="V31" s="431"/>
      <c r="W31" s="431"/>
      <c r="X31" s="431"/>
      <c r="Y31" s="431"/>
      <c r="Z31" s="431"/>
      <c r="AA31" s="431"/>
      <c r="AB31" s="431"/>
      <c r="AC31" s="431"/>
      <c r="AD31" s="431"/>
      <c r="AE31" s="431"/>
      <c r="AH31" s="226"/>
      <c r="AJ31" s="201"/>
    </row>
    <row r="32" spans="1:36" ht="16.5">
      <c r="A32" s="425" t="s">
        <v>313</v>
      </c>
      <c r="B32" s="87">
        <v>0</v>
      </c>
      <c r="C32" s="87">
        <f>B42</f>
        <v>0</v>
      </c>
      <c r="D32" s="87">
        <f t="shared" ref="D32:AE32" si="27">C42</f>
        <v>0</v>
      </c>
      <c r="E32" s="87">
        <f t="shared" si="27"/>
        <v>0</v>
      </c>
      <c r="F32" s="87">
        <f t="shared" si="27"/>
        <v>0</v>
      </c>
      <c r="G32" s="87">
        <f t="shared" si="27"/>
        <v>0</v>
      </c>
      <c r="H32" s="87">
        <f t="shared" si="27"/>
        <v>0</v>
      </c>
      <c r="I32" s="87">
        <f t="shared" si="27"/>
        <v>0</v>
      </c>
      <c r="J32" s="87">
        <f t="shared" si="27"/>
        <v>0</v>
      </c>
      <c r="K32" s="87">
        <f t="shared" si="27"/>
        <v>0</v>
      </c>
      <c r="L32" s="87">
        <f t="shared" si="27"/>
        <v>0</v>
      </c>
      <c r="M32" s="87">
        <f t="shared" si="27"/>
        <v>0</v>
      </c>
      <c r="N32" s="87">
        <f t="shared" si="27"/>
        <v>0</v>
      </c>
      <c r="O32" s="87">
        <f t="shared" si="27"/>
        <v>0</v>
      </c>
      <c r="P32" s="87">
        <f t="shared" si="27"/>
        <v>0</v>
      </c>
      <c r="Q32" s="87">
        <f t="shared" si="27"/>
        <v>0</v>
      </c>
      <c r="R32" s="87">
        <f t="shared" si="27"/>
        <v>0</v>
      </c>
      <c r="S32" s="87">
        <f t="shared" si="27"/>
        <v>0</v>
      </c>
      <c r="T32" s="87">
        <f t="shared" si="27"/>
        <v>0</v>
      </c>
      <c r="U32" s="87">
        <f t="shared" si="27"/>
        <v>0</v>
      </c>
      <c r="V32" s="87">
        <f t="shared" si="27"/>
        <v>0</v>
      </c>
      <c r="W32" s="87">
        <f t="shared" si="27"/>
        <v>0</v>
      </c>
      <c r="X32" s="87">
        <f t="shared" si="27"/>
        <v>0</v>
      </c>
      <c r="Y32" s="87">
        <f t="shared" si="27"/>
        <v>0</v>
      </c>
      <c r="Z32" s="87">
        <f t="shared" si="27"/>
        <v>0</v>
      </c>
      <c r="AA32" s="394">
        <f t="shared" si="27"/>
        <v>0</v>
      </c>
      <c r="AB32" s="394">
        <f t="shared" si="27"/>
        <v>0</v>
      </c>
      <c r="AC32" s="394">
        <f t="shared" si="27"/>
        <v>0</v>
      </c>
      <c r="AD32" s="394">
        <f t="shared" si="27"/>
        <v>0</v>
      </c>
      <c r="AE32" s="394">
        <f t="shared" si="27"/>
        <v>0</v>
      </c>
      <c r="AH32" s="223">
        <v>2</v>
      </c>
      <c r="AI32" s="223">
        <v>5</v>
      </c>
      <c r="AJ32" s="223">
        <v>5</v>
      </c>
    </row>
    <row r="33" spans="1:36" ht="16.5">
      <c r="A33" s="234" t="s">
        <v>5</v>
      </c>
      <c r="B33" s="87">
        <f>B219</f>
        <v>18.000000000000004</v>
      </c>
      <c r="C33" s="87">
        <f>C219</f>
        <v>13</v>
      </c>
      <c r="D33" s="87">
        <f t="shared" ref="D33:Y33" si="28">D219</f>
        <v>0.8321450000000008</v>
      </c>
      <c r="E33" s="87">
        <f t="shared" si="28"/>
        <v>1.5140179999999996</v>
      </c>
      <c r="F33" s="87">
        <f t="shared" si="28"/>
        <v>0.57499999999999885</v>
      </c>
      <c r="G33" s="87">
        <f t="shared" si="28"/>
        <v>3.9999999999999147E-2</v>
      </c>
      <c r="H33" s="87">
        <f t="shared" si="28"/>
        <v>9.899999999999709E-2</v>
      </c>
      <c r="I33" s="87">
        <f t="shared" si="28"/>
        <v>3.8559999999999968</v>
      </c>
      <c r="J33" s="87">
        <f t="shared" si="28"/>
        <v>1.6859999999998099E-2</v>
      </c>
      <c r="K33" s="87">
        <f t="shared" si="28"/>
        <v>0.19620000000000126</v>
      </c>
      <c r="L33" s="87">
        <f t="shared" si="28"/>
        <v>0.36200000000000054</v>
      </c>
      <c r="M33" s="87">
        <f t="shared" si="28"/>
        <v>2.7250000000000005</v>
      </c>
      <c r="N33" s="87">
        <f t="shared" si="28"/>
        <v>0.38099999999999667</v>
      </c>
      <c r="O33" s="87">
        <f t="shared" si="28"/>
        <v>0.18999999999999728</v>
      </c>
      <c r="P33" s="87">
        <f t="shared" si="28"/>
        <v>0.57499999999999973</v>
      </c>
      <c r="Q33" s="87">
        <f t="shared" si="28"/>
        <v>0.33299999999999974</v>
      </c>
      <c r="R33" s="87">
        <f t="shared" si="28"/>
        <v>0.42499999999999982</v>
      </c>
      <c r="S33" s="87">
        <f t="shared" si="28"/>
        <v>0.33799999999999719</v>
      </c>
      <c r="T33" s="87">
        <f t="shared" si="28"/>
        <v>6.1999999999998057E-2</v>
      </c>
      <c r="U33" s="87">
        <f t="shared" si="28"/>
        <v>6.4000000000002943E-2</v>
      </c>
      <c r="V33" s="87">
        <f t="shared" si="28"/>
        <v>0.12300000000000044</v>
      </c>
      <c r="W33" s="87">
        <f t="shared" si="28"/>
        <v>0.15299999999999847</v>
      </c>
      <c r="X33" s="87">
        <f t="shared" si="28"/>
        <v>0.29799999999999871</v>
      </c>
      <c r="Y33" s="87">
        <f t="shared" si="28"/>
        <v>0.22978299999999963</v>
      </c>
      <c r="Z33" s="394">
        <f>Z235*Z92</f>
        <v>1.3260000000000001</v>
      </c>
      <c r="AA33" s="394">
        <f>AA235*AA92</f>
        <v>1.3260000000000001</v>
      </c>
      <c r="AB33" s="394">
        <f>AB235*AB92</f>
        <v>1.3260000000000001</v>
      </c>
      <c r="AC33" s="394">
        <f>AC235*AC92</f>
        <v>1.3260000000000001</v>
      </c>
      <c r="AD33" s="394">
        <f t="shared" ref="AD33:AE33" si="29">AD235*AD92</f>
        <v>1.3260000000000001</v>
      </c>
      <c r="AE33" s="394">
        <f t="shared" si="29"/>
        <v>1.3260000000000001</v>
      </c>
      <c r="AH33" s="223">
        <v>0</v>
      </c>
      <c r="AI33" s="223">
        <v>0</v>
      </c>
      <c r="AJ33" s="223">
        <v>0</v>
      </c>
    </row>
    <row r="34" spans="1:36" ht="16.5">
      <c r="A34" s="234" t="s">
        <v>6</v>
      </c>
      <c r="B34" s="87">
        <v>9</v>
      </c>
      <c r="C34" s="87">
        <v>11</v>
      </c>
      <c r="D34" s="87">
        <f t="shared" ref="D34:Y34" si="30">D267</f>
        <v>19.082000000000001</v>
      </c>
      <c r="E34" s="87">
        <f t="shared" si="30"/>
        <v>13.651000000000002</v>
      </c>
      <c r="F34" s="87">
        <f t="shared" si="30"/>
        <v>15.073</v>
      </c>
      <c r="G34" s="87">
        <f t="shared" si="30"/>
        <v>18.092000000000002</v>
      </c>
      <c r="H34" s="87">
        <f t="shared" si="30"/>
        <v>26.005000000000003</v>
      </c>
      <c r="I34" s="87">
        <f t="shared" si="30"/>
        <v>29.217000000000002</v>
      </c>
      <c r="J34" s="87">
        <f t="shared" si="30"/>
        <v>30.637</v>
      </c>
      <c r="K34" s="87">
        <f t="shared" si="30"/>
        <v>21.541999999999998</v>
      </c>
      <c r="L34" s="87">
        <f t="shared" si="30"/>
        <v>20.149000000000001</v>
      </c>
      <c r="M34" s="87">
        <f t="shared" si="30"/>
        <v>42.335999999999984</v>
      </c>
      <c r="N34" s="87">
        <f t="shared" si="30"/>
        <v>49.394999999999996</v>
      </c>
      <c r="O34" s="87">
        <f t="shared" si="30"/>
        <v>52.744999999999997</v>
      </c>
      <c r="P34" s="87">
        <f t="shared" si="30"/>
        <v>48.957999999999998</v>
      </c>
      <c r="Q34" s="87">
        <f t="shared" si="30"/>
        <v>47.713000000000001</v>
      </c>
      <c r="R34" s="87">
        <f t="shared" si="30"/>
        <v>36.841999999999999</v>
      </c>
      <c r="S34" s="87">
        <f t="shared" si="30"/>
        <v>22.955000000000002</v>
      </c>
      <c r="T34" s="87">
        <f t="shared" si="30"/>
        <v>20.128999999999998</v>
      </c>
      <c r="U34" s="87">
        <f t="shared" si="30"/>
        <v>19.186999999999998</v>
      </c>
      <c r="V34" s="87">
        <f t="shared" si="30"/>
        <v>19.208000000000002</v>
      </c>
      <c r="W34" s="87">
        <f t="shared" si="30"/>
        <v>27.304000000000002</v>
      </c>
      <c r="X34" s="87">
        <f t="shared" si="30"/>
        <v>21.792000000000002</v>
      </c>
      <c r="Y34" s="87">
        <f t="shared" si="30"/>
        <v>24.77515</v>
      </c>
      <c r="Z34" s="394">
        <v>25</v>
      </c>
      <c r="AA34" s="394">
        <v>25</v>
      </c>
      <c r="AB34" s="394">
        <v>25</v>
      </c>
      <c r="AC34" s="394">
        <v>25</v>
      </c>
      <c r="AD34" s="394">
        <v>26</v>
      </c>
      <c r="AE34" s="394">
        <v>27</v>
      </c>
      <c r="AH34" s="223">
        <v>34</v>
      </c>
      <c r="AI34" s="223">
        <v>54</v>
      </c>
      <c r="AJ34" s="223">
        <v>50</v>
      </c>
    </row>
    <row r="35" spans="1:36" ht="16.5">
      <c r="A35" s="425" t="s">
        <v>7</v>
      </c>
      <c r="B35" s="426">
        <f>SUM(B32:B34)</f>
        <v>27.000000000000004</v>
      </c>
      <c r="C35" s="426">
        <f t="shared" ref="C35:AE35" si="31">SUM(C32:C34)</f>
        <v>24</v>
      </c>
      <c r="D35" s="426">
        <f t="shared" si="31"/>
        <v>19.914145000000001</v>
      </c>
      <c r="E35" s="426">
        <f t="shared" si="31"/>
        <v>15.165018000000002</v>
      </c>
      <c r="F35" s="426">
        <f t="shared" si="31"/>
        <v>15.648</v>
      </c>
      <c r="G35" s="426">
        <f t="shared" si="31"/>
        <v>18.132000000000001</v>
      </c>
      <c r="H35" s="426">
        <f t="shared" si="31"/>
        <v>26.103999999999999</v>
      </c>
      <c r="I35" s="426">
        <f t="shared" si="31"/>
        <v>33.073</v>
      </c>
      <c r="J35" s="426">
        <f t="shared" si="31"/>
        <v>30.653859999999998</v>
      </c>
      <c r="K35" s="426">
        <f t="shared" si="31"/>
        <v>21.738199999999999</v>
      </c>
      <c r="L35" s="426">
        <f t="shared" si="31"/>
        <v>20.511000000000003</v>
      </c>
      <c r="M35" s="426">
        <f t="shared" si="31"/>
        <v>45.060999999999986</v>
      </c>
      <c r="N35" s="426">
        <f t="shared" si="31"/>
        <v>49.775999999999996</v>
      </c>
      <c r="O35" s="426">
        <f t="shared" si="31"/>
        <v>52.934999999999995</v>
      </c>
      <c r="P35" s="426">
        <f t="shared" si="31"/>
        <v>49.533000000000001</v>
      </c>
      <c r="Q35" s="426">
        <f t="shared" si="31"/>
        <v>48.045999999999999</v>
      </c>
      <c r="R35" s="426">
        <f t="shared" si="31"/>
        <v>37.266999999999996</v>
      </c>
      <c r="S35" s="426">
        <f t="shared" si="31"/>
        <v>23.292999999999999</v>
      </c>
      <c r="T35" s="426">
        <f t="shared" si="31"/>
        <v>20.190999999999995</v>
      </c>
      <c r="U35" s="426">
        <f t="shared" si="31"/>
        <v>19.251000000000001</v>
      </c>
      <c r="V35" s="426">
        <f t="shared" si="31"/>
        <v>19.331000000000003</v>
      </c>
      <c r="W35" s="426">
        <f t="shared" si="31"/>
        <v>27.457000000000001</v>
      </c>
      <c r="X35" s="426">
        <f t="shared" si="31"/>
        <v>22.09</v>
      </c>
      <c r="Y35" s="426">
        <f t="shared" si="31"/>
        <v>25.004933000000001</v>
      </c>
      <c r="Z35" s="427">
        <f t="shared" si="31"/>
        <v>26.326000000000001</v>
      </c>
      <c r="AA35" s="427">
        <f t="shared" si="31"/>
        <v>26.326000000000001</v>
      </c>
      <c r="AB35" s="427">
        <f t="shared" si="31"/>
        <v>26.326000000000001</v>
      </c>
      <c r="AC35" s="427">
        <f t="shared" si="31"/>
        <v>26.326000000000001</v>
      </c>
      <c r="AD35" s="427">
        <f t="shared" si="31"/>
        <v>27.326000000000001</v>
      </c>
      <c r="AE35" s="427">
        <f t="shared" si="31"/>
        <v>28.326000000000001</v>
      </c>
      <c r="AH35" s="223">
        <v>36</v>
      </c>
      <c r="AI35" s="223">
        <v>59</v>
      </c>
      <c r="AJ35" s="223">
        <v>55</v>
      </c>
    </row>
    <row r="36" spans="1:36" ht="16.5">
      <c r="A36" s="234" t="s">
        <v>24</v>
      </c>
      <c r="B36" s="87">
        <f>SUM(B37:B39)</f>
        <v>27</v>
      </c>
      <c r="C36" s="87">
        <f t="shared" ref="C36:AB36" si="32">SUM(C37:C39)</f>
        <v>23</v>
      </c>
      <c r="D36" s="87">
        <f t="shared" si="32"/>
        <v>15.5</v>
      </c>
      <c r="E36" s="87">
        <f t="shared" si="32"/>
        <v>13</v>
      </c>
      <c r="F36" s="87">
        <f t="shared" si="32"/>
        <v>13</v>
      </c>
      <c r="G36" s="87">
        <f t="shared" si="32"/>
        <v>18</v>
      </c>
      <c r="H36" s="87">
        <f t="shared" si="32"/>
        <v>26</v>
      </c>
      <c r="I36" s="87">
        <f t="shared" si="32"/>
        <v>29</v>
      </c>
      <c r="J36" s="87">
        <f t="shared" si="32"/>
        <v>30.5</v>
      </c>
      <c r="K36" s="87">
        <f t="shared" si="32"/>
        <v>21.5</v>
      </c>
      <c r="L36" s="87">
        <f t="shared" si="32"/>
        <v>20</v>
      </c>
      <c r="M36" s="87">
        <f t="shared" si="32"/>
        <v>42</v>
      </c>
      <c r="N36" s="87">
        <f t="shared" si="32"/>
        <v>49.4</v>
      </c>
      <c r="O36" s="87">
        <f t="shared" si="32"/>
        <v>52</v>
      </c>
      <c r="P36" s="87">
        <f t="shared" si="32"/>
        <v>48</v>
      </c>
      <c r="Q36" s="87">
        <f t="shared" si="32"/>
        <v>47</v>
      </c>
      <c r="R36" s="87">
        <f t="shared" si="32"/>
        <v>36</v>
      </c>
      <c r="S36" s="87">
        <f t="shared" si="32"/>
        <v>22.4</v>
      </c>
      <c r="T36" s="87">
        <f t="shared" si="32"/>
        <v>19.399999999999999</v>
      </c>
      <c r="U36" s="87">
        <f t="shared" si="32"/>
        <v>15.4</v>
      </c>
      <c r="V36" s="87">
        <f t="shared" si="32"/>
        <v>17</v>
      </c>
      <c r="W36" s="87">
        <f t="shared" si="32"/>
        <v>24.4</v>
      </c>
      <c r="X36" s="87">
        <f t="shared" si="32"/>
        <v>21.4</v>
      </c>
      <c r="Y36" s="87">
        <f t="shared" si="32"/>
        <v>24</v>
      </c>
      <c r="Z36" s="394">
        <f t="shared" si="32"/>
        <v>25</v>
      </c>
      <c r="AA36" s="394">
        <f t="shared" si="32"/>
        <v>25</v>
      </c>
      <c r="AB36" s="394">
        <f t="shared" si="32"/>
        <v>25</v>
      </c>
      <c r="AC36" s="394">
        <f>SUM(AC37:AC39)</f>
        <v>25</v>
      </c>
      <c r="AD36" s="394">
        <f t="shared" ref="AD36:AE36" si="33">SUM(AD37:AD39)</f>
        <v>25</v>
      </c>
      <c r="AE36" s="394">
        <f t="shared" si="33"/>
        <v>25</v>
      </c>
      <c r="AH36" s="223">
        <v>30</v>
      </c>
      <c r="AI36" s="223">
        <v>52</v>
      </c>
      <c r="AJ36" s="223">
        <v>50</v>
      </c>
    </row>
    <row r="37" spans="1:36" ht="16.5">
      <c r="A37" s="234" t="s">
        <v>30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7">
        <v>0</v>
      </c>
      <c r="Y37" s="87">
        <v>0</v>
      </c>
      <c r="Z37" s="394">
        <v>0</v>
      </c>
      <c r="AA37" s="394">
        <v>0</v>
      </c>
      <c r="AB37" s="394">
        <v>0</v>
      </c>
      <c r="AC37" s="394">
        <v>0</v>
      </c>
      <c r="AD37" s="394">
        <v>0</v>
      </c>
      <c r="AE37" s="394">
        <v>0</v>
      </c>
      <c r="AH37" s="223">
        <v>0</v>
      </c>
      <c r="AI37" s="223">
        <v>0</v>
      </c>
      <c r="AJ37" s="223">
        <v>0</v>
      </c>
    </row>
    <row r="38" spans="1:36" ht="16.5">
      <c r="A38" s="234" t="s">
        <v>31</v>
      </c>
      <c r="B38" s="87">
        <v>0</v>
      </c>
      <c r="C38" s="87">
        <v>0</v>
      </c>
      <c r="D38" s="87">
        <v>1.5</v>
      </c>
      <c r="E38" s="87">
        <v>0</v>
      </c>
      <c r="F38" s="87">
        <v>0</v>
      </c>
      <c r="G38" s="87">
        <v>5</v>
      </c>
      <c r="H38" s="87">
        <v>0</v>
      </c>
      <c r="I38" s="87">
        <v>0</v>
      </c>
      <c r="J38" s="87">
        <v>0.5</v>
      </c>
      <c r="K38" s="87">
        <v>0.5</v>
      </c>
      <c r="L38" s="87">
        <v>1</v>
      </c>
      <c r="M38" s="87">
        <v>0</v>
      </c>
      <c r="N38" s="87">
        <v>0.4</v>
      </c>
      <c r="O38" s="87">
        <v>0</v>
      </c>
      <c r="P38" s="87">
        <v>0</v>
      </c>
      <c r="Q38" s="87">
        <v>0</v>
      </c>
      <c r="R38" s="87">
        <v>0</v>
      </c>
      <c r="S38" s="87">
        <v>0.4</v>
      </c>
      <c r="T38" s="87">
        <v>0.4</v>
      </c>
      <c r="U38" s="87">
        <v>0.4</v>
      </c>
      <c r="V38" s="87">
        <v>0</v>
      </c>
      <c r="W38" s="87">
        <v>0.4</v>
      </c>
      <c r="X38" s="87">
        <v>0.4</v>
      </c>
      <c r="Y38" s="87">
        <v>0</v>
      </c>
      <c r="Z38" s="394">
        <v>0</v>
      </c>
      <c r="AA38" s="394">
        <v>0</v>
      </c>
      <c r="AB38" s="394">
        <v>0</v>
      </c>
      <c r="AC38" s="394">
        <v>0</v>
      </c>
      <c r="AD38" s="394">
        <v>0</v>
      </c>
      <c r="AE38" s="394">
        <v>0</v>
      </c>
      <c r="AH38" s="223">
        <v>0</v>
      </c>
      <c r="AI38" s="223">
        <v>0</v>
      </c>
      <c r="AJ38" s="223">
        <v>0</v>
      </c>
    </row>
    <row r="39" spans="1:36" ht="16.5">
      <c r="A39" s="234" t="s">
        <v>32</v>
      </c>
      <c r="B39" s="87">
        <v>27</v>
      </c>
      <c r="C39" s="87">
        <v>23</v>
      </c>
      <c r="D39" s="87">
        <v>14</v>
      </c>
      <c r="E39" s="87">
        <v>13</v>
      </c>
      <c r="F39" s="87">
        <v>13</v>
      </c>
      <c r="G39" s="87">
        <v>13</v>
      </c>
      <c r="H39" s="87">
        <v>26</v>
      </c>
      <c r="I39" s="87">
        <v>29</v>
      </c>
      <c r="J39" s="87">
        <v>30</v>
      </c>
      <c r="K39" s="87">
        <v>21</v>
      </c>
      <c r="L39" s="87">
        <v>19</v>
      </c>
      <c r="M39" s="87">
        <v>42</v>
      </c>
      <c r="N39" s="87">
        <v>49</v>
      </c>
      <c r="O39" s="87">
        <v>52</v>
      </c>
      <c r="P39" s="87">
        <v>48</v>
      </c>
      <c r="Q39" s="87">
        <v>47</v>
      </c>
      <c r="R39" s="87">
        <v>36</v>
      </c>
      <c r="S39" s="87">
        <v>22</v>
      </c>
      <c r="T39" s="87">
        <v>19</v>
      </c>
      <c r="U39" s="87">
        <v>15</v>
      </c>
      <c r="V39" s="87">
        <v>17</v>
      </c>
      <c r="W39" s="87">
        <v>24</v>
      </c>
      <c r="X39" s="87">
        <v>21</v>
      </c>
      <c r="Y39" s="87">
        <v>24</v>
      </c>
      <c r="Z39" s="394">
        <v>25</v>
      </c>
      <c r="AA39" s="394">
        <v>25</v>
      </c>
      <c r="AB39" s="394">
        <v>25</v>
      </c>
      <c r="AC39" s="394">
        <v>25</v>
      </c>
      <c r="AD39" s="394">
        <v>25</v>
      </c>
      <c r="AE39" s="394">
        <v>25</v>
      </c>
      <c r="AH39" s="223">
        <v>30</v>
      </c>
      <c r="AI39" s="223">
        <v>52</v>
      </c>
      <c r="AJ39" s="223">
        <v>50</v>
      </c>
    </row>
    <row r="40" spans="1:36" ht="16.5">
      <c r="A40" s="234" t="s">
        <v>9</v>
      </c>
      <c r="B40" s="87">
        <v>0</v>
      </c>
      <c r="C40" s="87">
        <v>1</v>
      </c>
      <c r="D40" s="87">
        <f t="shared" ref="D40:Y40" si="34">D283</f>
        <v>4.4141450000000004</v>
      </c>
      <c r="E40" s="87">
        <f t="shared" si="34"/>
        <v>2.165017999999999</v>
      </c>
      <c r="F40" s="87">
        <f t="shared" si="34"/>
        <v>2.6479999999999992</v>
      </c>
      <c r="G40" s="87">
        <f t="shared" si="34"/>
        <v>0.13200000000000001</v>
      </c>
      <c r="H40" s="87">
        <f t="shared" si="34"/>
        <v>0.10400000000000001</v>
      </c>
      <c r="I40" s="87">
        <f t="shared" si="34"/>
        <v>4.0729999999999995</v>
      </c>
      <c r="J40" s="87">
        <f t="shared" si="34"/>
        <v>0.15386</v>
      </c>
      <c r="K40" s="87">
        <f t="shared" si="34"/>
        <v>0.23819999999999997</v>
      </c>
      <c r="L40" s="87">
        <f t="shared" si="34"/>
        <v>0.51100000000000001</v>
      </c>
      <c r="M40" s="87">
        <f t="shared" si="34"/>
        <v>3.0610000000000004</v>
      </c>
      <c r="N40" s="87">
        <f t="shared" si="34"/>
        <v>0.376</v>
      </c>
      <c r="O40" s="87">
        <f t="shared" si="34"/>
        <v>0.93500000000000005</v>
      </c>
      <c r="P40" s="87">
        <f t="shared" si="34"/>
        <v>1.5330000000000001</v>
      </c>
      <c r="Q40" s="87">
        <f t="shared" si="34"/>
        <v>1.046</v>
      </c>
      <c r="R40" s="87">
        <f t="shared" si="34"/>
        <v>1.2670000000000001</v>
      </c>
      <c r="S40" s="87">
        <f t="shared" si="34"/>
        <v>0.89300000000000002</v>
      </c>
      <c r="T40" s="87">
        <f t="shared" si="34"/>
        <v>0.79100000000000015</v>
      </c>
      <c r="U40" s="87">
        <f t="shared" si="34"/>
        <v>3.8510000000000004</v>
      </c>
      <c r="V40" s="87">
        <f t="shared" si="34"/>
        <v>2.331</v>
      </c>
      <c r="W40" s="87">
        <f t="shared" si="34"/>
        <v>3.0569999999999995</v>
      </c>
      <c r="X40" s="87">
        <f t="shared" si="34"/>
        <v>0.69000000000000017</v>
      </c>
      <c r="Y40" s="87">
        <f t="shared" si="34"/>
        <v>1.0049330000000001</v>
      </c>
      <c r="Z40" s="394">
        <f>Z41-Z36</f>
        <v>1.3260000000000005</v>
      </c>
      <c r="AA40" s="394">
        <f>AA41-AA36</f>
        <v>1.3260000000000005</v>
      </c>
      <c r="AB40" s="394">
        <f>AB41-AB36</f>
        <v>1.3260000000000005</v>
      </c>
      <c r="AC40" s="394">
        <f>AC41-AC36</f>
        <v>1.3260000000000005</v>
      </c>
      <c r="AD40" s="394">
        <f t="shared" ref="AD40:AE40" si="35">AD41-AD36</f>
        <v>2.3260000000000005</v>
      </c>
      <c r="AE40" s="394">
        <f t="shared" si="35"/>
        <v>3.3260000000000005</v>
      </c>
      <c r="AH40" s="223">
        <v>1</v>
      </c>
      <c r="AI40" s="223">
        <v>2</v>
      </c>
      <c r="AJ40" s="223">
        <v>2</v>
      </c>
    </row>
    <row r="41" spans="1:36" ht="16.5">
      <c r="A41" s="425" t="s">
        <v>12</v>
      </c>
      <c r="B41" s="426">
        <f>B35-B42</f>
        <v>27.000000000000004</v>
      </c>
      <c r="C41" s="426">
        <f t="shared" ref="C41:AE41" si="36">C35-C42</f>
        <v>24</v>
      </c>
      <c r="D41" s="426">
        <f t="shared" si="36"/>
        <v>19.914145000000001</v>
      </c>
      <c r="E41" s="426">
        <f t="shared" si="36"/>
        <v>15.165018000000002</v>
      </c>
      <c r="F41" s="426">
        <f t="shared" si="36"/>
        <v>15.648</v>
      </c>
      <c r="G41" s="426">
        <f t="shared" si="36"/>
        <v>18.132000000000001</v>
      </c>
      <c r="H41" s="426">
        <f t="shared" si="36"/>
        <v>26.103999999999999</v>
      </c>
      <c r="I41" s="426">
        <f t="shared" si="36"/>
        <v>33.073</v>
      </c>
      <c r="J41" s="426">
        <f t="shared" si="36"/>
        <v>30.653859999999998</v>
      </c>
      <c r="K41" s="426">
        <f t="shared" si="36"/>
        <v>21.738199999999999</v>
      </c>
      <c r="L41" s="426">
        <f t="shared" si="36"/>
        <v>20.511000000000003</v>
      </c>
      <c r="M41" s="426">
        <f t="shared" si="36"/>
        <v>45.060999999999986</v>
      </c>
      <c r="N41" s="426">
        <f t="shared" si="36"/>
        <v>49.775999999999996</v>
      </c>
      <c r="O41" s="426">
        <f t="shared" si="36"/>
        <v>52.934999999999995</v>
      </c>
      <c r="P41" s="426">
        <f t="shared" si="36"/>
        <v>49.533000000000001</v>
      </c>
      <c r="Q41" s="426">
        <f t="shared" si="36"/>
        <v>48.045999999999999</v>
      </c>
      <c r="R41" s="426">
        <f t="shared" si="36"/>
        <v>37.266999999999996</v>
      </c>
      <c r="S41" s="426">
        <f t="shared" si="36"/>
        <v>23.292999999999999</v>
      </c>
      <c r="T41" s="426">
        <f t="shared" si="36"/>
        <v>20.190999999999995</v>
      </c>
      <c r="U41" s="426">
        <f t="shared" si="36"/>
        <v>19.251000000000001</v>
      </c>
      <c r="V41" s="426">
        <f t="shared" si="36"/>
        <v>19.331000000000003</v>
      </c>
      <c r="W41" s="426">
        <f t="shared" si="36"/>
        <v>27.457000000000001</v>
      </c>
      <c r="X41" s="426">
        <f t="shared" si="36"/>
        <v>22.09</v>
      </c>
      <c r="Y41" s="426">
        <f t="shared" si="36"/>
        <v>25.004933000000001</v>
      </c>
      <c r="Z41" s="427">
        <f t="shared" si="36"/>
        <v>26.326000000000001</v>
      </c>
      <c r="AA41" s="427">
        <f t="shared" si="36"/>
        <v>26.326000000000001</v>
      </c>
      <c r="AB41" s="427">
        <f t="shared" si="36"/>
        <v>26.326000000000001</v>
      </c>
      <c r="AC41" s="427">
        <f t="shared" si="36"/>
        <v>26.326000000000001</v>
      </c>
      <c r="AD41" s="427">
        <f t="shared" si="36"/>
        <v>27.326000000000001</v>
      </c>
      <c r="AE41" s="427">
        <f t="shared" si="36"/>
        <v>28.326000000000001</v>
      </c>
      <c r="AH41" s="226"/>
      <c r="AJ41" s="201"/>
    </row>
    <row r="42" spans="1:36" ht="16.5">
      <c r="A42" s="234" t="s">
        <v>412</v>
      </c>
      <c r="B42" s="87">
        <v>0</v>
      </c>
      <c r="C42" s="87">
        <v>0</v>
      </c>
      <c r="D42" s="87">
        <v>0</v>
      </c>
      <c r="E42" s="87">
        <v>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0</v>
      </c>
      <c r="S42" s="87">
        <v>0</v>
      </c>
      <c r="T42" s="87">
        <v>0</v>
      </c>
      <c r="U42" s="87">
        <v>0</v>
      </c>
      <c r="V42" s="87">
        <v>0</v>
      </c>
      <c r="W42" s="87">
        <v>0</v>
      </c>
      <c r="X42" s="87">
        <v>0</v>
      </c>
      <c r="Y42" s="87">
        <v>0</v>
      </c>
      <c r="Z42" s="394">
        <v>0</v>
      </c>
      <c r="AA42" s="394">
        <v>0</v>
      </c>
      <c r="AB42" s="394">
        <v>0</v>
      </c>
      <c r="AC42" s="394">
        <v>0</v>
      </c>
      <c r="AD42" s="394">
        <v>0</v>
      </c>
      <c r="AE42" s="394">
        <v>0</v>
      </c>
      <c r="AH42" s="223">
        <v>5</v>
      </c>
      <c r="AI42" s="223">
        <v>5</v>
      </c>
      <c r="AJ42" s="223">
        <v>3</v>
      </c>
    </row>
    <row r="43" spans="1:36" ht="15.75" thickBot="1">
      <c r="A43" s="234" t="s">
        <v>225</v>
      </c>
      <c r="AH43" s="226"/>
      <c r="AJ43" s="226"/>
    </row>
    <row r="44" spans="1:36">
      <c r="A44" s="432" t="s">
        <v>227</v>
      </c>
      <c r="B44" s="431"/>
      <c r="C44" s="431"/>
      <c r="D44" s="431"/>
      <c r="E44" s="431"/>
      <c r="F44" s="431"/>
      <c r="G44" s="431"/>
      <c r="H44" s="431"/>
      <c r="I44" s="431"/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</row>
    <row r="45" spans="1:36">
      <c r="A45" s="234"/>
      <c r="B45" s="234">
        <v>1993</v>
      </c>
      <c r="C45" s="234">
        <v>1994</v>
      </c>
      <c r="D45" s="234">
        <v>1995</v>
      </c>
      <c r="E45" s="234">
        <v>1996</v>
      </c>
      <c r="F45" s="234">
        <v>1997</v>
      </c>
      <c r="G45" s="234">
        <v>1998</v>
      </c>
      <c r="H45" s="234">
        <v>1999</v>
      </c>
      <c r="I45" s="234">
        <v>2000</v>
      </c>
      <c r="J45" s="234">
        <v>2001</v>
      </c>
      <c r="K45" s="234">
        <v>2002</v>
      </c>
      <c r="L45" s="234">
        <v>2003</v>
      </c>
      <c r="M45" s="234">
        <v>2004</v>
      </c>
      <c r="N45" s="234">
        <v>2005</v>
      </c>
      <c r="O45" s="234">
        <v>2006</v>
      </c>
      <c r="P45" s="234">
        <v>2007</v>
      </c>
      <c r="Q45" s="234">
        <v>2008</v>
      </c>
      <c r="R45" s="234">
        <v>2009</v>
      </c>
      <c r="S45" s="234">
        <v>2010</v>
      </c>
      <c r="T45" s="234">
        <v>2011</v>
      </c>
      <c r="U45" s="234">
        <v>2012</v>
      </c>
      <c r="V45" s="234">
        <v>2013</v>
      </c>
      <c r="W45" s="234">
        <v>2014</v>
      </c>
      <c r="X45" s="234">
        <v>2015</v>
      </c>
      <c r="Y45" s="234">
        <v>2016</v>
      </c>
      <c r="Z45" s="234">
        <v>2017</v>
      </c>
      <c r="AA45" s="234">
        <v>2018</v>
      </c>
      <c r="AB45" s="234">
        <v>2019</v>
      </c>
      <c r="AC45" s="234">
        <v>2020</v>
      </c>
      <c r="AD45" s="234">
        <v>2021</v>
      </c>
      <c r="AE45" s="234">
        <v>2022</v>
      </c>
      <c r="AF45" s="234">
        <v>2023</v>
      </c>
      <c r="AG45" s="234"/>
    </row>
    <row r="46" spans="1:36" ht="15.75" thickBot="1">
      <c r="A46" s="235" t="s">
        <v>228</v>
      </c>
      <c r="B46" s="353">
        <f t="shared" ref="B46:AB46" si="37">B15/B11</f>
        <v>0.18803418803418803</v>
      </c>
      <c r="C46" s="353">
        <f t="shared" si="37"/>
        <v>0.1875</v>
      </c>
      <c r="D46" s="353">
        <f t="shared" si="37"/>
        <v>0.46829419070238937</v>
      </c>
      <c r="E46" s="353">
        <f t="shared" si="37"/>
        <v>0.27030986590063177</v>
      </c>
      <c r="F46" s="353">
        <f t="shared" si="37"/>
        <v>0.28841669964448335</v>
      </c>
      <c r="G46" s="353">
        <f t="shared" si="37"/>
        <v>0.52634580207507897</v>
      </c>
      <c r="H46" s="353">
        <f t="shared" si="37"/>
        <v>0.47133548690681593</v>
      </c>
      <c r="I46" s="353">
        <f t="shared" si="37"/>
        <v>0.32528454669607726</v>
      </c>
      <c r="J46" s="353">
        <f t="shared" si="37"/>
        <v>0.35270035776903502</v>
      </c>
      <c r="K46" s="353">
        <f t="shared" si="37"/>
        <v>0.28895563003359964</v>
      </c>
      <c r="L46" s="353">
        <f t="shared" si="37"/>
        <v>0.34785361223442213</v>
      </c>
      <c r="M46" s="353">
        <f t="shared" si="37"/>
        <v>0.53327340209559038</v>
      </c>
      <c r="N46" s="353">
        <f t="shared" si="37"/>
        <v>0.42979516188931499</v>
      </c>
      <c r="O46" s="353">
        <f t="shared" si="37"/>
        <v>0.26453515314311776</v>
      </c>
      <c r="P46" s="353">
        <f t="shared" si="37"/>
        <v>0.22217784281539782</v>
      </c>
      <c r="Q46" s="353">
        <f t="shared" si="37"/>
        <v>0.22033515732634787</v>
      </c>
      <c r="R46" s="353">
        <f t="shared" si="37"/>
        <v>0.37394926092980624</v>
      </c>
      <c r="S46" s="353">
        <f t="shared" si="37"/>
        <v>0.42259614295569442</v>
      </c>
      <c r="T46" s="353">
        <f t="shared" si="37"/>
        <v>0.53515456468201106</v>
      </c>
      <c r="U46" s="353">
        <f t="shared" si="37"/>
        <v>0.49328674063930605</v>
      </c>
      <c r="V46" s="353">
        <f t="shared" si="37"/>
        <v>0.40201327490651734</v>
      </c>
      <c r="W46" s="353">
        <f t="shared" si="37"/>
        <v>0.52331419250129774</v>
      </c>
      <c r="X46" s="353">
        <f t="shared" si="37"/>
        <v>0.56152511191675947</v>
      </c>
      <c r="Y46" s="353">
        <f t="shared" si="37"/>
        <v>0.64808830607524892</v>
      </c>
      <c r="Z46" s="353">
        <f t="shared" si="37"/>
        <v>0.63158063522192631</v>
      </c>
      <c r="AA46" s="353">
        <f t="shared" si="37"/>
        <v>0.69632595540064457</v>
      </c>
      <c r="AB46" s="353">
        <f t="shared" si="37"/>
        <v>0.70384774205755762</v>
      </c>
      <c r="AC46" s="353">
        <f>AC15/AC11</f>
        <v>0.71304347826086956</v>
      </c>
      <c r="AD46" s="353">
        <f t="shared" ref="AD46:AE46" si="38">AD15/AD11</f>
        <v>0.67619047619047623</v>
      </c>
      <c r="AE46" s="353">
        <f t="shared" si="38"/>
        <v>0.63541666666666663</v>
      </c>
    </row>
    <row r="47" spans="1:36" ht="15.75" thickBot="1">
      <c r="A47" s="236"/>
      <c r="B47" s="237" t="str">
        <f>B$2</f>
        <v xml:space="preserve">93/94 </v>
      </c>
      <c r="C47" s="237" t="str">
        <f t="shared" ref="C47:AE47" si="39">C$2</f>
        <v xml:space="preserve">94/95 </v>
      </c>
      <c r="D47" s="237" t="str">
        <f t="shared" si="39"/>
        <v xml:space="preserve">95/96 </v>
      </c>
      <c r="E47" s="237" t="str">
        <f t="shared" si="39"/>
        <v xml:space="preserve">96/97 </v>
      </c>
      <c r="F47" s="237" t="str">
        <f t="shared" si="39"/>
        <v xml:space="preserve">97/98 </v>
      </c>
      <c r="G47" s="237" t="str">
        <f t="shared" si="39"/>
        <v xml:space="preserve">98/99 </v>
      </c>
      <c r="H47" s="237" t="str">
        <f t="shared" si="39"/>
        <v xml:space="preserve">99/00 </v>
      </c>
      <c r="I47" s="237" t="str">
        <f t="shared" si="39"/>
        <v xml:space="preserve">00/01 </v>
      </c>
      <c r="J47" s="237" t="str">
        <f t="shared" si="39"/>
        <v xml:space="preserve">01/02 </v>
      </c>
      <c r="K47" s="237" t="str">
        <f t="shared" si="39"/>
        <v xml:space="preserve">02/03 </v>
      </c>
      <c r="L47" s="237" t="str">
        <f t="shared" si="39"/>
        <v xml:space="preserve">03/04 </v>
      </c>
      <c r="M47" s="237" t="str">
        <f t="shared" si="39"/>
        <v xml:space="preserve">04/05 </v>
      </c>
      <c r="N47" s="237" t="str">
        <f t="shared" si="39"/>
        <v xml:space="preserve">05/06 </v>
      </c>
      <c r="O47" s="237" t="str">
        <f t="shared" si="39"/>
        <v xml:space="preserve">06/07 </v>
      </c>
      <c r="P47" s="237" t="str">
        <f t="shared" si="39"/>
        <v xml:space="preserve">07/08 </v>
      </c>
      <c r="Q47" s="237" t="str">
        <f t="shared" si="39"/>
        <v xml:space="preserve">08/09 </v>
      </c>
      <c r="R47" s="237" t="str">
        <f t="shared" si="39"/>
        <v xml:space="preserve">09/10 </v>
      </c>
      <c r="S47" s="237" t="str">
        <f t="shared" si="39"/>
        <v xml:space="preserve">10/11 </v>
      </c>
      <c r="T47" s="237" t="str">
        <f t="shared" si="39"/>
        <v xml:space="preserve">11/12 </v>
      </c>
      <c r="U47" s="237" t="str">
        <f t="shared" si="39"/>
        <v xml:space="preserve">12/13 </v>
      </c>
      <c r="V47" s="237" t="str">
        <f t="shared" si="39"/>
        <v xml:space="preserve">13/14 </v>
      </c>
      <c r="W47" s="237" t="str">
        <f t="shared" si="39"/>
        <v xml:space="preserve">14/15 </v>
      </c>
      <c r="X47" s="237" t="str">
        <f t="shared" si="39"/>
        <v xml:space="preserve">15/16 </v>
      </c>
      <c r="Y47" s="237" t="str">
        <f t="shared" si="39"/>
        <v xml:space="preserve">16/17 </v>
      </c>
      <c r="Z47" s="237" t="str">
        <f t="shared" si="39"/>
        <v xml:space="preserve">17/18 </v>
      </c>
      <c r="AA47" s="237" t="str">
        <f t="shared" si="39"/>
        <v xml:space="preserve">18/19 </v>
      </c>
      <c r="AB47" s="237" t="str">
        <f t="shared" si="39"/>
        <v xml:space="preserve">19/20 </v>
      </c>
      <c r="AC47" s="237" t="str">
        <f t="shared" si="39"/>
        <v xml:space="preserve">20/21 </v>
      </c>
      <c r="AD47" s="237" t="str">
        <f t="shared" si="39"/>
        <v>21/22</v>
      </c>
      <c r="AE47" s="237" t="str">
        <f t="shared" si="39"/>
        <v>22/23</v>
      </c>
    </row>
    <row r="48" spans="1:36">
      <c r="A48" s="240" t="s">
        <v>237</v>
      </c>
      <c r="B48" s="241">
        <f>(SUM(K48:O48)/SUM(K$60:O$60))*B$60</f>
        <v>1.2874857236090715</v>
      </c>
      <c r="C48" s="241">
        <v>2.0005719383671292</v>
      </c>
      <c r="D48" s="242">
        <f>'[2]Canada Sunflower Imports'!BB$290</f>
        <v>0.82599999999999996</v>
      </c>
      <c r="E48" s="242">
        <f>'[2]Canada Sunflower Imports'!BN$290</f>
        <v>1.0549999999999999</v>
      </c>
      <c r="F48" s="242">
        <f>'[2]Canada Sunflower Imports'!BZ$290</f>
        <v>1.107</v>
      </c>
      <c r="G48" s="242">
        <f>'[2]Canada Sunflower Imports'!CL$290</f>
        <v>1.5229999999999999</v>
      </c>
      <c r="H48" s="242">
        <f>'[2]Canada Sunflower Imports'!CX$290</f>
        <v>1.698</v>
      </c>
      <c r="I48" s="242">
        <f>'[2]Canada Sunflower Imports'!DJ$290</f>
        <v>1.093</v>
      </c>
      <c r="J48" s="242">
        <f>'[2]Canada Sunflower Imports'!DV$290</f>
        <v>1.52</v>
      </c>
      <c r="K48" s="242">
        <f>'[2]Canada Sunflower Imports'!EH$290</f>
        <v>1.667</v>
      </c>
      <c r="L48" s="242">
        <f>'[2]Canada Sunflower Imports'!ET$290</f>
        <v>1.9710000000000001</v>
      </c>
      <c r="M48" s="242">
        <f>'[2]Canada Sunflower Imports'!FF$290</f>
        <v>0.88</v>
      </c>
      <c r="N48" s="242">
        <f>'[2]Canada Sunflower Imports'!FR$290</f>
        <v>2.2160000000000002</v>
      </c>
      <c r="O48" s="242">
        <f>'[2]Canada Sunflower Imports'!GD$290</f>
        <v>1.157</v>
      </c>
      <c r="P48" s="242">
        <f>'[2]Canada Sunflower Imports'!GP$290</f>
        <v>0.83</v>
      </c>
      <c r="Q48" s="242">
        <f>'[2]Canada Sunflower Imports'!HB$290</f>
        <v>0.60399999999999998</v>
      </c>
      <c r="R48" s="242">
        <f>'[2]Canada Sunflower Imports'!HN$290</f>
        <v>2.258</v>
      </c>
      <c r="S48" s="242">
        <f>'[2]Canada Sunflower Imports'!HZ$290</f>
        <v>1.7370000000000001</v>
      </c>
      <c r="T48" s="242">
        <f>'[2]Canada Sunflower Imports'!IL$290</f>
        <v>2.056</v>
      </c>
      <c r="U48" s="242">
        <f>'[2]Canada Sunflower Imports'!IX$290</f>
        <v>3.0539999999999998</v>
      </c>
      <c r="V48" s="242">
        <f>'[2]Canada Sunflower Imports'!JJ$290</f>
        <v>1.421</v>
      </c>
      <c r="W48" s="242">
        <f>'[2]Canada Sunflower Imports'!JV$290</f>
        <v>1.7969999999999999</v>
      </c>
      <c r="X48" s="242">
        <f>'[2]Canada Sunflower Imports'!KH$290</f>
        <v>1.871</v>
      </c>
      <c r="Y48" s="242">
        <f>'[2]Canada Sunflower Imports'!KT$290</f>
        <v>2.1709999999999998</v>
      </c>
      <c r="Z48" s="242">
        <f>'[2]Canada Sunflower Imports'!LF$290</f>
        <v>2.0487169999999999</v>
      </c>
      <c r="AA48" s="242">
        <f>'[2]Canada Sunflower Imports'!LR$290</f>
        <v>2.019679</v>
      </c>
      <c r="AB48" s="242">
        <f>'[2]Canada Sunflower Imports'!MD$290</f>
        <v>2.8754979999999999</v>
      </c>
      <c r="AC48" s="242">
        <f>'[2]Canada Sunflower Imports'!MP$290</f>
        <v>2.1265960000000002</v>
      </c>
      <c r="AD48" s="242">
        <f>'[2]Canada Sunflower Imports'!NB$290</f>
        <v>3.093</v>
      </c>
      <c r="AE48" s="242">
        <f>'[2]Canada Sunflower Imports'!MR$290</f>
        <v>2.2808660000000001</v>
      </c>
    </row>
    <row r="49" spans="1:31">
      <c r="A49" s="240" t="s">
        <v>238</v>
      </c>
      <c r="B49" s="241">
        <f>(SUM(K49:O49)/SUM(K$60:O$60))*B$60</f>
        <v>1.0641213901125794</v>
      </c>
      <c r="C49" s="241">
        <v>1.9979942969583782</v>
      </c>
      <c r="D49" s="242">
        <f>'[2]Canada Sunflower Imports'!BC$290</f>
        <v>0.74</v>
      </c>
      <c r="E49" s="242">
        <f>'[2]Canada Sunflower Imports'!BO$290</f>
        <v>0.83299999999999996</v>
      </c>
      <c r="F49" s="242">
        <f>'[2]Canada Sunflower Imports'!CA$290</f>
        <v>0.746</v>
      </c>
      <c r="G49" s="242">
        <f>'[2]Canada Sunflower Imports'!CM$290</f>
        <v>1.2010000000000001</v>
      </c>
      <c r="H49" s="242">
        <f>'[2]Canada Sunflower Imports'!CY$290</f>
        <v>2.681</v>
      </c>
      <c r="I49" s="242">
        <f>'[2]Canada Sunflower Imports'!DK$290</f>
        <v>0.93899999999999995</v>
      </c>
      <c r="J49" s="242">
        <f>'[2]Canada Sunflower Imports'!DW$290</f>
        <v>1.137</v>
      </c>
      <c r="K49" s="242">
        <f>'[2]Canada Sunflower Imports'!EI$290</f>
        <v>1.696</v>
      </c>
      <c r="L49" s="242">
        <f>'[2]Canada Sunflower Imports'!EU$290</f>
        <v>1.4339999999999999</v>
      </c>
      <c r="M49" s="242">
        <f>'[2]Canada Sunflower Imports'!FG$290</f>
        <v>0.73499999999999999</v>
      </c>
      <c r="N49" s="242">
        <f>'[2]Canada Sunflower Imports'!FS$290</f>
        <v>1.7370000000000001</v>
      </c>
      <c r="O49" s="242">
        <f>'[2]Canada Sunflower Imports'!GE$290</f>
        <v>0.92</v>
      </c>
      <c r="P49" s="242">
        <f>'[2]Canada Sunflower Imports'!GQ$290</f>
        <v>1.163</v>
      </c>
      <c r="Q49" s="242">
        <f>'[2]Canada Sunflower Imports'!HC$290</f>
        <v>1.55</v>
      </c>
      <c r="R49" s="242">
        <f>'[2]Canada Sunflower Imports'!HO$290</f>
        <v>2.5190000000000001</v>
      </c>
      <c r="S49" s="242">
        <f>'[2]Canada Sunflower Imports'!IA$290</f>
        <v>1.5169999999999999</v>
      </c>
      <c r="T49" s="242">
        <f>'[2]Canada Sunflower Imports'!IM$290</f>
        <v>1.8080000000000001</v>
      </c>
      <c r="U49" s="242">
        <f>'[2]Canada Sunflower Imports'!IY$290</f>
        <v>2.4609999999999999</v>
      </c>
      <c r="V49" s="242">
        <f>'[2]Canada Sunflower Imports'!JK$290</f>
        <v>1.5249999999999999</v>
      </c>
      <c r="W49" s="242">
        <f>'[2]Canada Sunflower Imports'!JW$290</f>
        <v>2.69</v>
      </c>
      <c r="X49" s="242">
        <f>'[2]Canada Sunflower Imports'!KI$290</f>
        <v>1.837</v>
      </c>
      <c r="Y49" s="242">
        <f>'[2]Canada Sunflower Imports'!KU$290</f>
        <v>3.3140000000000001</v>
      </c>
      <c r="Z49" s="242">
        <f>'[2]Canada Sunflower Imports'!LG$290</f>
        <v>2.235744</v>
      </c>
      <c r="AA49" s="242">
        <f>'[2]Canada Sunflower Imports'!LS$290</f>
        <v>1.6956850000000001</v>
      </c>
      <c r="AB49" s="242">
        <f>'[2]Canada Sunflower Imports'!ME$290</f>
        <v>2.335175</v>
      </c>
      <c r="AC49" s="242">
        <f>'[2]Canada Sunflower Imports'!MQ$290</f>
        <v>2.8483960000000002</v>
      </c>
      <c r="AD49" s="242">
        <f>'[2]Canada Sunflower Imports'!NC$290</f>
        <v>3.3</v>
      </c>
      <c r="AE49" s="242">
        <f>'[2]Canada Sunflower Imports'!MS$290</f>
        <v>2.3473250000000001</v>
      </c>
    </row>
    <row r="50" spans="1:31">
      <c r="A50" s="240" t="s">
        <v>239</v>
      </c>
      <c r="B50" s="241">
        <f t="shared" ref="B50:B57" si="40">(SUM(K50:O50)/SUM(K$60:O$60))*B$60</f>
        <v>1.7154511339533367</v>
      </c>
      <c r="C50" s="241">
        <v>2.0485805096051228</v>
      </c>
      <c r="D50" s="242">
        <f>'[2]Canada Sunflower Imports'!BD$290</f>
        <v>0.92</v>
      </c>
      <c r="E50" s="242">
        <f>'[2]Canada Sunflower Imports'!BP$290</f>
        <v>1.712</v>
      </c>
      <c r="F50" s="242">
        <f>'[2]Canada Sunflower Imports'!CB$290</f>
        <v>0.80600000000000005</v>
      </c>
      <c r="G50" s="242">
        <f>'[2]Canada Sunflower Imports'!CN$290</f>
        <v>1.244</v>
      </c>
      <c r="H50" s="242">
        <f>'[2]Canada Sunflower Imports'!CZ$290</f>
        <v>1.6759999999999999</v>
      </c>
      <c r="I50" s="242">
        <f>'[2]Canada Sunflower Imports'!DL$290</f>
        <v>1.6830000000000001</v>
      </c>
      <c r="J50" s="242">
        <f>'[2]Canada Sunflower Imports'!DX$290</f>
        <v>2.798</v>
      </c>
      <c r="K50" s="242">
        <f>'[2]Canada Sunflower Imports'!EJ$290</f>
        <v>2.536</v>
      </c>
      <c r="L50" s="242">
        <f>'[2]Canada Sunflower Imports'!EV$290</f>
        <v>1.8</v>
      </c>
      <c r="M50" s="242">
        <f>'[2]Canada Sunflower Imports'!FH$290</f>
        <v>1.6180000000000001</v>
      </c>
      <c r="N50" s="242">
        <f>'[2]Canada Sunflower Imports'!FT$290</f>
        <v>3.157</v>
      </c>
      <c r="O50" s="242">
        <f>'[2]Canada Sunflower Imports'!GF$290</f>
        <v>1.403</v>
      </c>
      <c r="P50" s="242">
        <f>'[2]Canada Sunflower Imports'!GR$290</f>
        <v>2.2589999999999999</v>
      </c>
      <c r="Q50" s="242">
        <f>'[2]Canada Sunflower Imports'!HD$290</f>
        <v>1.502</v>
      </c>
      <c r="R50" s="242">
        <f>'[2]Canada Sunflower Imports'!HP$290</f>
        <v>2.2549999999999999</v>
      </c>
      <c r="S50" s="242">
        <f>'[2]Canada Sunflower Imports'!IB$290</f>
        <v>3.1819999999999999</v>
      </c>
      <c r="T50" s="242">
        <f>'[2]Canada Sunflower Imports'!IN$290</f>
        <v>2.8980000000000001</v>
      </c>
      <c r="U50" s="242">
        <f>'[2]Canada Sunflower Imports'!IZ$290</f>
        <v>2.9049999999999998</v>
      </c>
      <c r="V50" s="242">
        <f>'[2]Canada Sunflower Imports'!JL$290</f>
        <v>1.881</v>
      </c>
      <c r="W50" s="242">
        <f>'[2]Canada Sunflower Imports'!JX$290</f>
        <v>1.857</v>
      </c>
      <c r="X50" s="242">
        <f>'[2]Canada Sunflower Imports'!KJ$290</f>
        <v>2.1349999999999998</v>
      </c>
      <c r="Y50" s="242">
        <f>'[2]Canada Sunflower Imports'!KV$290</f>
        <v>2.6179999999999999</v>
      </c>
      <c r="Z50" s="242">
        <f>'[2]Canada Sunflower Imports'!LH$290</f>
        <v>1.8058339999999999</v>
      </c>
      <c r="AA50" s="242">
        <f>'[2]Canada Sunflower Imports'!LT$290</f>
        <v>2.2177560000000001</v>
      </c>
      <c r="AB50" s="242">
        <f>'[2]Canada Sunflower Imports'!MF$290</f>
        <v>2.3718910000000002</v>
      </c>
      <c r="AC50" s="242">
        <f>'[2]Canada Sunflower Imports'!MR$290</f>
        <v>2.2808660000000001</v>
      </c>
      <c r="AD50" s="242">
        <f>'[2]Canada Sunflower Imports'!ND$290</f>
        <v>1.9790000000000001</v>
      </c>
      <c r="AE50" s="242">
        <f>'[2]Canada Sunflower Imports'!MT$290</f>
        <v>3.7292610000000002</v>
      </c>
    </row>
    <row r="51" spans="1:31">
      <c r="A51" s="240" t="s">
        <v>240</v>
      </c>
      <c r="B51" s="241">
        <f t="shared" si="40"/>
        <v>1.9244574971447219</v>
      </c>
      <c r="C51" s="241">
        <v>1.8749119196905017</v>
      </c>
      <c r="D51" s="242">
        <f>'[2]Canada Sunflower Imports'!BE$290</f>
        <v>1.206</v>
      </c>
      <c r="E51" s="242">
        <f>'[2]Canada Sunflower Imports'!BQ$290</f>
        <v>1.0920000000000001</v>
      </c>
      <c r="F51" s="242">
        <f>'[2]Canada Sunflower Imports'!CC$290</f>
        <v>0.64100000000000001</v>
      </c>
      <c r="G51" s="242">
        <f>'[2]Canada Sunflower Imports'!CO$290</f>
        <v>0.85399999999999998</v>
      </c>
      <c r="H51" s="242">
        <f>'[2]Canada Sunflower Imports'!DA$290</f>
        <v>2.0259999999999998</v>
      </c>
      <c r="I51" s="242">
        <f>'[2]Canada Sunflower Imports'!DM$290</f>
        <v>1.522</v>
      </c>
      <c r="J51" s="242">
        <f>'[2]Canada Sunflower Imports'!DY$290</f>
        <v>3.593</v>
      </c>
      <c r="K51" s="242">
        <f>'[2]Canada Sunflower Imports'!EK$290</f>
        <v>2.1890000000000001</v>
      </c>
      <c r="L51" s="242">
        <f>'[2]Canada Sunflower Imports'!EW$290</f>
        <v>1.514</v>
      </c>
      <c r="M51" s="242">
        <f>'[2]Canada Sunflower Imports'!FI$290</f>
        <v>4.0279999999999996</v>
      </c>
      <c r="N51" s="242">
        <f>'[2]Canada Sunflower Imports'!FU$290</f>
        <v>3.2480000000000002</v>
      </c>
      <c r="O51" s="242">
        <f>'[2]Canada Sunflower Imports'!GG$290</f>
        <v>0.81599999999999995</v>
      </c>
      <c r="P51" s="242">
        <f>'[2]Canada Sunflower Imports'!GS$290</f>
        <v>1.8109999999999999</v>
      </c>
      <c r="Q51" s="242">
        <f>'[2]Canada Sunflower Imports'!HE$290</f>
        <v>1.66</v>
      </c>
      <c r="R51" s="242">
        <f>'[2]Canada Sunflower Imports'!HQ$290</f>
        <v>3.1859999999999999</v>
      </c>
      <c r="S51" s="242">
        <f>'[2]Canada Sunflower Imports'!IC$290</f>
        <v>3.8010000000000002</v>
      </c>
      <c r="T51" s="242">
        <f>'[2]Canada Sunflower Imports'!IO$290</f>
        <v>2.7589999999999999</v>
      </c>
      <c r="U51" s="242">
        <f>'[2]Canada Sunflower Imports'!JA$290</f>
        <v>2.504</v>
      </c>
      <c r="V51" s="242">
        <f>'[2]Canada Sunflower Imports'!JM$290</f>
        <v>2.0510000000000002</v>
      </c>
      <c r="W51" s="242">
        <f>'[2]Canada Sunflower Imports'!JY$290</f>
        <v>2.847</v>
      </c>
      <c r="X51" s="242">
        <f>'[2]Canada Sunflower Imports'!KK$290</f>
        <v>1.9330000000000001</v>
      </c>
      <c r="Y51" s="242">
        <f>'[2]Canada Sunflower Imports'!KW$290</f>
        <v>4.0419999999999998</v>
      </c>
      <c r="Z51" s="242">
        <f>'[2]Canada Sunflower Imports'!LI$290</f>
        <v>1.531029</v>
      </c>
      <c r="AA51" s="242">
        <f>'[2]Canada Sunflower Imports'!LU$290</f>
        <v>1.7147600000000001</v>
      </c>
      <c r="AB51" s="242">
        <f>'[2]Canada Sunflower Imports'!MG$290</f>
        <v>1.5290870000000001</v>
      </c>
      <c r="AC51" s="242">
        <f>'[2]Canada Sunflower Imports'!MS$290</f>
        <v>2.3473250000000001</v>
      </c>
      <c r="AD51" s="242">
        <f>'[2]Canada Sunflower Imports'!NE$290</f>
        <v>3.5649999999999999</v>
      </c>
      <c r="AE51" s="242">
        <f>'[2]Canada Sunflower Imports'!MU$290</f>
        <v>3.1309999999999998</v>
      </c>
    </row>
    <row r="52" spans="1:31">
      <c r="A52" s="240" t="s">
        <v>241</v>
      </c>
      <c r="B52" s="241">
        <f t="shared" si="40"/>
        <v>1.7422091695219448</v>
      </c>
      <c r="C52" s="241">
        <v>1.7389413353788687</v>
      </c>
      <c r="D52" s="242">
        <f>'[2]Canada Sunflower Imports'!BF$290</f>
        <v>1.1850000000000001</v>
      </c>
      <c r="E52" s="242">
        <f>'[2]Canada Sunflower Imports'!BR$290</f>
        <v>1.3740000000000001</v>
      </c>
      <c r="F52" s="242">
        <f>'[2]Canada Sunflower Imports'!CD$290</f>
        <v>0.81599999999999995</v>
      </c>
      <c r="G52" s="242">
        <f>'[2]Canada Sunflower Imports'!CP$290</f>
        <v>0.72199999999999998</v>
      </c>
      <c r="H52" s="242">
        <f>'[2]Canada Sunflower Imports'!DB$290</f>
        <v>1.3</v>
      </c>
      <c r="I52" s="242">
        <f>'[2]Canada Sunflower Imports'!DN$290</f>
        <v>1.587</v>
      </c>
      <c r="J52" s="242">
        <f>'[2]Canada Sunflower Imports'!DZ$290</f>
        <v>1.84</v>
      </c>
      <c r="K52" s="242">
        <f>'[2]Canada Sunflower Imports'!EL$290</f>
        <v>1.4690000000000001</v>
      </c>
      <c r="L52" s="242">
        <f>'[2]Canada Sunflower Imports'!EX$290</f>
        <v>1.4930000000000001</v>
      </c>
      <c r="M52" s="242">
        <f>'[2]Canada Sunflower Imports'!FJ$290</f>
        <v>4.7839999999999998</v>
      </c>
      <c r="N52" s="242">
        <f>'[2]Canada Sunflower Imports'!FV$290</f>
        <v>1.895</v>
      </c>
      <c r="O52" s="242">
        <f>'[2]Canada Sunflower Imports'!GH$290</f>
        <v>1.0369999999999999</v>
      </c>
      <c r="P52" s="242">
        <f>'[2]Canada Sunflower Imports'!GT$290</f>
        <v>1.556</v>
      </c>
      <c r="Q52" s="242">
        <f>'[2]Canada Sunflower Imports'!HF$290</f>
        <v>1.379</v>
      </c>
      <c r="R52" s="242">
        <f>'[2]Canada Sunflower Imports'!HR$290</f>
        <v>3.109</v>
      </c>
      <c r="S52" s="242">
        <f>'[2]Canada Sunflower Imports'!ID$290</f>
        <v>3.3359999999999999</v>
      </c>
      <c r="T52" s="242">
        <f>'[2]Canada Sunflower Imports'!IP$290</f>
        <v>2.476</v>
      </c>
      <c r="U52" s="242">
        <f>'[2]Canada Sunflower Imports'!JB$290</f>
        <v>1.466</v>
      </c>
      <c r="V52" s="242">
        <f>'[2]Canada Sunflower Imports'!JN$290</f>
        <v>1.8460000000000001</v>
      </c>
      <c r="W52" s="242">
        <f>'[2]Canada Sunflower Imports'!JZ$290</f>
        <v>2.9460000000000002</v>
      </c>
      <c r="X52" s="242">
        <f>'[2]Canada Sunflower Imports'!KL$290</f>
        <v>1.681</v>
      </c>
      <c r="Y52" s="242">
        <f>'[2]Canada Sunflower Imports'!KX$290</f>
        <v>1.895</v>
      </c>
      <c r="Z52" s="242">
        <f>'[2]Canada Sunflower Imports'!LJ$290</f>
        <v>2.321612</v>
      </c>
      <c r="AA52" s="242">
        <f>'[2]Canada Sunflower Imports'!LV$290</f>
        <v>1.5939140000000001</v>
      </c>
      <c r="AB52" s="242">
        <f>'[2]Canada Sunflower Imports'!MH$290</f>
        <v>1.653302</v>
      </c>
      <c r="AC52" s="242">
        <f>'[2]Canada Sunflower Imports'!MT$290</f>
        <v>3.7292610000000002</v>
      </c>
      <c r="AD52" s="242">
        <f>'[2]Canada Sunflower Imports'!NF$290</f>
        <v>2.0099999999999998</v>
      </c>
      <c r="AE52" s="242">
        <f>'[2]Canada Sunflower Imports'!MV$290</f>
        <v>4.0979999999999999</v>
      </c>
    </row>
    <row r="53" spans="1:31">
      <c r="A53" s="240" t="s">
        <v>231</v>
      </c>
      <c r="B53" s="241">
        <f t="shared" si="40"/>
        <v>2.0825583292543643</v>
      </c>
      <c r="C53" s="242">
        <f>'[2]Canada Sunflower Imports'!AU$290</f>
        <v>0.74299999999999999</v>
      </c>
      <c r="D53" s="242">
        <f>'[2]Canada Sunflower Imports'!BG$290</f>
        <v>1.5009999999999999</v>
      </c>
      <c r="E53" s="242">
        <f>'[2]Canada Sunflower Imports'!BS$290</f>
        <v>0.91300000000000003</v>
      </c>
      <c r="F53" s="242">
        <f>'[2]Canada Sunflower Imports'!CE$290</f>
        <v>0.73199999999999998</v>
      </c>
      <c r="G53" s="242">
        <f>'[2]Canada Sunflower Imports'!CQ$290</f>
        <v>0.91700000000000004</v>
      </c>
      <c r="H53" s="242">
        <f>'[2]Canada Sunflower Imports'!DC$290</f>
        <v>1.266</v>
      </c>
      <c r="I53" s="242">
        <f>'[2]Canada Sunflower Imports'!DO$290</f>
        <v>1.746</v>
      </c>
      <c r="J53" s="242">
        <f>'[2]Canada Sunflower Imports'!EA$290</f>
        <v>3.43</v>
      </c>
      <c r="K53" s="242">
        <f>'[2]Canada Sunflower Imports'!EM$290</f>
        <v>2.0680000000000001</v>
      </c>
      <c r="L53" s="242">
        <f>'[2]Canada Sunflower Imports'!EY$290</f>
        <v>1.1279999999999999</v>
      </c>
      <c r="M53" s="242">
        <f>'[2]Canada Sunflower Imports'!FK$290</f>
        <v>4.3460000000000001</v>
      </c>
      <c r="N53" s="242">
        <f>'[2]Canada Sunflower Imports'!FW$290</f>
        <v>4.0330000000000004</v>
      </c>
      <c r="O53" s="242">
        <f>'[2]Canada Sunflower Imports'!GI$290</f>
        <v>1.1890000000000001</v>
      </c>
      <c r="P53" s="242">
        <f>'[2]Canada Sunflower Imports'!GU$290</f>
        <v>1.9870000000000001</v>
      </c>
      <c r="Q53" s="242">
        <f>'[2]Canada Sunflower Imports'!HG$290</f>
        <v>1.2649999999999999</v>
      </c>
      <c r="R53" s="242">
        <f>'[2]Canada Sunflower Imports'!HS$290</f>
        <v>2.3079999999999998</v>
      </c>
      <c r="S53" s="242">
        <f>'[2]Canada Sunflower Imports'!IE$290</f>
        <v>3.4329999999999998</v>
      </c>
      <c r="T53" s="242">
        <f>'[2]Canada Sunflower Imports'!IQ$290</f>
        <v>2.843</v>
      </c>
      <c r="U53" s="242">
        <f>'[2]Canada Sunflower Imports'!JC$290</f>
        <v>2.371</v>
      </c>
      <c r="V53" s="242">
        <f>'[2]Canada Sunflower Imports'!JO$290</f>
        <v>2.15</v>
      </c>
      <c r="W53" s="242">
        <f>'[2]Canada Sunflower Imports'!KA$290</f>
        <v>2.5179999999999998</v>
      </c>
      <c r="X53" s="242">
        <f>'[2]Canada Sunflower Imports'!KM$290</f>
        <v>1.6240000000000001</v>
      </c>
      <c r="Y53" s="242">
        <f>'[2]Canada Sunflower Imports'!KY$290</f>
        <v>2.113</v>
      </c>
      <c r="Z53" s="242">
        <f>'[2]Canada Sunflower Imports'!LK$290</f>
        <v>1.4813460000000001</v>
      </c>
      <c r="AA53" s="242">
        <f>'[2]Canada Sunflower Imports'!LW$290</f>
        <v>1.7078040000000001</v>
      </c>
      <c r="AB53" s="242">
        <f>'[2]Canada Sunflower Imports'!MI$290</f>
        <v>1.791825</v>
      </c>
      <c r="AC53" s="242">
        <f>'[2]Canada Sunflower Imports'!MU$290</f>
        <v>3.1309999999999998</v>
      </c>
      <c r="AD53" s="242">
        <f>'[2]Canada Sunflower Imports'!NG$290</f>
        <v>1.8384199999999999</v>
      </c>
      <c r="AE53" s="242">
        <f>'[2]Canada Sunflower Imports'!MW$290</f>
        <v>4.5789999999999997</v>
      </c>
    </row>
    <row r="54" spans="1:31">
      <c r="A54" s="240" t="s">
        <v>232</v>
      </c>
      <c r="B54" s="241">
        <f t="shared" si="40"/>
        <v>1.5425028552781854</v>
      </c>
      <c r="C54" s="242">
        <f>'[2]Canada Sunflower Imports'!AV$290</f>
        <v>0.84199999999999997</v>
      </c>
      <c r="D54" s="242">
        <f>'[2]Canada Sunflower Imports'!BH$290</f>
        <v>1.0620000000000001</v>
      </c>
      <c r="E54" s="242">
        <f>'[2]Canada Sunflower Imports'!BT$290</f>
        <v>1.159</v>
      </c>
      <c r="F54" s="242">
        <f>'[2]Canada Sunflower Imports'!CF$290</f>
        <v>0.79200000000000004</v>
      </c>
      <c r="G54" s="242">
        <f>'[2]Canada Sunflower Imports'!CR$290</f>
        <v>0.69599999999999995</v>
      </c>
      <c r="H54" s="242">
        <f>'[2]Canada Sunflower Imports'!DD$290</f>
        <v>1.075</v>
      </c>
      <c r="I54" s="242">
        <f>'[2]Canada Sunflower Imports'!DP$290</f>
        <v>1.081</v>
      </c>
      <c r="J54" s="242">
        <f>'[2]Canada Sunflower Imports'!EB$290</f>
        <v>2.4359999999999999</v>
      </c>
      <c r="K54" s="242">
        <f>'[2]Canada Sunflower Imports'!EN$290</f>
        <v>1.7809999999999999</v>
      </c>
      <c r="L54" s="242">
        <f>'[2]Canada Sunflower Imports'!EZ$290</f>
        <v>0.79600000000000004</v>
      </c>
      <c r="M54" s="242">
        <f>'[2]Canada Sunflower Imports'!FL$290</f>
        <v>3.9910000000000001</v>
      </c>
      <c r="N54" s="242">
        <f>'[2]Canada Sunflower Imports'!FX$290</f>
        <v>2.0710000000000002</v>
      </c>
      <c r="O54" s="242">
        <f>'[2]Canada Sunflower Imports'!GJ$290</f>
        <v>0.81499999999999995</v>
      </c>
      <c r="P54" s="242">
        <f>'[2]Canada Sunflower Imports'!GV$290</f>
        <v>1.264</v>
      </c>
      <c r="Q54" s="242">
        <f>'[2]Canada Sunflower Imports'!HH$290</f>
        <v>2.339</v>
      </c>
      <c r="R54" s="242">
        <f>'[2]Canada Sunflower Imports'!HT$290</f>
        <v>1.5549999999999999</v>
      </c>
      <c r="S54" s="242">
        <f>'[2]Canada Sunflower Imports'!IF$290</f>
        <v>1.82</v>
      </c>
      <c r="T54" s="242">
        <f>'[2]Canada Sunflower Imports'!IR$290</f>
        <v>2.74</v>
      </c>
      <c r="U54" s="242">
        <f>'[2]Canada Sunflower Imports'!JD$290</f>
        <v>1.972</v>
      </c>
      <c r="V54" s="242">
        <f>'[2]Canada Sunflower Imports'!JP$290</f>
        <v>2.3279999999999998</v>
      </c>
      <c r="W54" s="242">
        <f>'[2]Canada Sunflower Imports'!KB$290</f>
        <v>2.827</v>
      </c>
      <c r="X54" s="242">
        <f>'[2]Canada Sunflower Imports'!KN$290</f>
        <v>1.5229999999999999</v>
      </c>
      <c r="Y54" s="242">
        <f>'[2]Canada Sunflower Imports'!KZ$290</f>
        <v>2.0680000000000001</v>
      </c>
      <c r="Z54" s="242">
        <f>'[2]Canada Sunflower Imports'!LL$290</f>
        <v>1.425114</v>
      </c>
      <c r="AA54" s="242">
        <f>'[2]Canada Sunflower Imports'!LX$290</f>
        <v>0.93584800000000001</v>
      </c>
      <c r="AB54" s="242">
        <f>'[2]Canada Sunflower Imports'!MJ$290</f>
        <v>1.506623</v>
      </c>
      <c r="AC54" s="242">
        <f>'[2]Canada Sunflower Imports'!MV$290</f>
        <v>4.0979999999999999</v>
      </c>
      <c r="AD54" s="242">
        <f>'[2]Canada Sunflower Imports'!NH$290</f>
        <v>2.9016799999999998</v>
      </c>
      <c r="AE54" s="242">
        <f>'[2]Canada Sunflower Imports'!MX$290</f>
        <v>2.8620000000000001</v>
      </c>
    </row>
    <row r="55" spans="1:31">
      <c r="A55" s="240" t="s">
        <v>233</v>
      </c>
      <c r="B55" s="241">
        <f t="shared" si="40"/>
        <v>1.6979931473323542</v>
      </c>
      <c r="C55" s="242">
        <f>'[2]Canada Sunflower Imports'!AW$290</f>
        <v>2.2029999999999998</v>
      </c>
      <c r="D55" s="242">
        <f>'[2]Canada Sunflower Imports'!BI$290</f>
        <v>1.0469999999999999</v>
      </c>
      <c r="E55" s="242">
        <f>'[2]Canada Sunflower Imports'!BU$290</f>
        <v>0.57699999999999996</v>
      </c>
      <c r="F55" s="242">
        <f>'[2]Canada Sunflower Imports'!CG$290</f>
        <v>1.2110000000000001</v>
      </c>
      <c r="G55" s="242">
        <f>'[2]Canada Sunflower Imports'!CS$290</f>
        <v>2.4550000000000001</v>
      </c>
      <c r="H55" s="242">
        <f>'[2]Canada Sunflower Imports'!DE$290</f>
        <v>1.234</v>
      </c>
      <c r="I55" s="242">
        <f>'[2]Canada Sunflower Imports'!DQ$290</f>
        <v>1.7470000000000001</v>
      </c>
      <c r="J55" s="242">
        <f>'[2]Canada Sunflower Imports'!EC$290</f>
        <v>2.2559999999999998</v>
      </c>
      <c r="K55" s="242">
        <f>'[2]Canada Sunflower Imports'!EO$290</f>
        <v>1.855</v>
      </c>
      <c r="L55" s="242">
        <f>'[2]Canada Sunflower Imports'!FA$290</f>
        <v>1.1879999999999999</v>
      </c>
      <c r="M55" s="242">
        <f>'[2]Canada Sunflower Imports'!FM$290</f>
        <v>4.4219999999999997</v>
      </c>
      <c r="N55" s="242">
        <f>'[2]Canada Sunflower Imports'!FY$290</f>
        <v>1.9419999999999999</v>
      </c>
      <c r="O55" s="242">
        <f>'[2]Canada Sunflower Imports'!GK$290</f>
        <v>1</v>
      </c>
      <c r="P55" s="242">
        <f>'[2]Canada Sunflower Imports'!GW$290</f>
        <v>1.506</v>
      </c>
      <c r="Q55" s="242">
        <f>'[2]Canada Sunflower Imports'!HI$290</f>
        <v>1.86</v>
      </c>
      <c r="R55" s="242">
        <f>'[2]Canada Sunflower Imports'!HU$290</f>
        <v>1.9470000000000001</v>
      </c>
      <c r="S55" s="242">
        <f>'[2]Canada Sunflower Imports'!IG$290</f>
        <v>3.585</v>
      </c>
      <c r="T55" s="242">
        <f>'[2]Canada Sunflower Imports'!IS$290</f>
        <v>3.2189999999999999</v>
      </c>
      <c r="U55" s="242">
        <f>'[2]Canada Sunflower Imports'!JE$290</f>
        <v>2.476</v>
      </c>
      <c r="V55" s="242">
        <f>'[2]Canada Sunflower Imports'!JQ$290</f>
        <v>3.097</v>
      </c>
      <c r="W55" s="242">
        <f>'[2]Canada Sunflower Imports'!KC$290</f>
        <v>2.7269999999999999</v>
      </c>
      <c r="X55" s="242">
        <f>'[2]Canada Sunflower Imports'!KO$290</f>
        <v>1.762</v>
      </c>
      <c r="Y55" s="242">
        <f>'[2]Canada Sunflower Imports'!LA$290</f>
        <v>2.6240000000000001</v>
      </c>
      <c r="Z55" s="242">
        <f>'[2]Canada Sunflower Imports'!LM$290</f>
        <v>1.7214309999999999</v>
      </c>
      <c r="AA55" s="242">
        <f>'[2]Canada Sunflower Imports'!LY$290</f>
        <v>1.664436</v>
      </c>
      <c r="AB55" s="242">
        <f>'[2]Canada Sunflower Imports'!MK$290</f>
        <v>1.7116549999999999</v>
      </c>
      <c r="AC55" s="242">
        <f>'[2]Canada Sunflower Imports'!MW$290</f>
        <v>4.5789999999999997</v>
      </c>
      <c r="AD55" s="242">
        <f>'[2]Canada Sunflower Imports'!NI$290</f>
        <v>2.836519</v>
      </c>
      <c r="AE55" s="242">
        <f>'[2]Canada Sunflower Imports'!MY$290</f>
        <v>2.4</v>
      </c>
    </row>
    <row r="56" spans="1:31">
      <c r="A56" s="240" t="s">
        <v>234</v>
      </c>
      <c r="B56" s="241">
        <f t="shared" si="40"/>
        <v>1.3720019579050413</v>
      </c>
      <c r="C56" s="242">
        <f>'[2]Canada Sunflower Imports'!AX$290</f>
        <v>0.80900000000000005</v>
      </c>
      <c r="D56" s="242">
        <f>'[2]Canada Sunflower Imports'!BJ$290</f>
        <v>1.0049999999999999</v>
      </c>
      <c r="E56" s="242">
        <f>'[2]Canada Sunflower Imports'!BV$290</f>
        <v>0.63600000000000001</v>
      </c>
      <c r="F56" s="242">
        <f>'[2]Canada Sunflower Imports'!CH$290</f>
        <v>2.077</v>
      </c>
      <c r="G56" s="242">
        <f>'[2]Canada Sunflower Imports'!CT$290</f>
        <v>3.008</v>
      </c>
      <c r="H56" s="242">
        <f>'[2]Canada Sunflower Imports'!DF$290</f>
        <v>1.6259999999999999</v>
      </c>
      <c r="I56" s="242">
        <f>'[2]Canada Sunflower Imports'!DR$290</f>
        <v>3.1019999999999999</v>
      </c>
      <c r="J56" s="242">
        <f>'[2]Canada Sunflower Imports'!ED$290</f>
        <v>2.5670000000000002</v>
      </c>
      <c r="K56" s="242">
        <f>'[2]Canada Sunflower Imports'!EP$290</f>
        <v>1.573</v>
      </c>
      <c r="L56" s="242">
        <f>'[2]Canada Sunflower Imports'!FB$290</f>
        <v>1.1359999999999999</v>
      </c>
      <c r="M56" s="242">
        <f>'[2]Canada Sunflower Imports'!FN$290</f>
        <v>3.0070000000000001</v>
      </c>
      <c r="N56" s="242">
        <f>'[2]Canada Sunflower Imports'!FZ$290</f>
        <v>1.72</v>
      </c>
      <c r="O56" s="242">
        <f>'[2]Canada Sunflower Imports'!GL$290</f>
        <v>0.97299999999999998</v>
      </c>
      <c r="P56" s="242">
        <f>'[2]Canada Sunflower Imports'!GX$290</f>
        <v>1.5229999999999999</v>
      </c>
      <c r="Q56" s="242">
        <f>'[2]Canada Sunflower Imports'!HJ$290</f>
        <v>1.601</v>
      </c>
      <c r="R56" s="242">
        <f>'[2]Canada Sunflower Imports'!HV$290</f>
        <v>1.5429999999999999</v>
      </c>
      <c r="S56" s="242">
        <f>'[2]Canada Sunflower Imports'!IH$290</f>
        <v>2.375</v>
      </c>
      <c r="T56" s="242">
        <f>'[2]Canada Sunflower Imports'!IT$290</f>
        <v>2.847</v>
      </c>
      <c r="U56" s="242">
        <f>'[2]Canada Sunflower Imports'!JF$290</f>
        <v>2.0779999999999998</v>
      </c>
      <c r="V56" s="242">
        <f>'[2]Canada Sunflower Imports'!JR$290</f>
        <v>2.4279999999999999</v>
      </c>
      <c r="W56" s="242">
        <f>'[2]Canada Sunflower Imports'!KD$290</f>
        <v>2.4940000000000002</v>
      </c>
      <c r="X56" s="242">
        <f>'[2]Canada Sunflower Imports'!KP$290</f>
        <v>1.5209999999999999</v>
      </c>
      <c r="Y56" s="242">
        <f>'[2]Canada Sunflower Imports'!LB$290</f>
        <v>1.7929999999999999</v>
      </c>
      <c r="Z56" s="242">
        <f>'[2]Canada Sunflower Imports'!LN$290</f>
        <v>1.579383</v>
      </c>
      <c r="AA56" s="242">
        <f>'[2]Canada Sunflower Imports'!LZ$290</f>
        <v>2.165845</v>
      </c>
      <c r="AB56" s="242">
        <f>'[2]Canada Sunflower Imports'!ML$290</f>
        <v>2.362501</v>
      </c>
      <c r="AC56" s="242">
        <f>'[2]Canada Sunflower Imports'!MX$290</f>
        <v>2.8620000000000001</v>
      </c>
      <c r="AD56" s="243">
        <f t="shared" ref="AD56:AD57" si="41">(SUM(X56:AB56)/SUM(X$60:AB$60))*AD$60</f>
        <v>3.0334620823678988</v>
      </c>
      <c r="AE56" s="242">
        <f>'[2]Canada Sunflower Imports'!MZ$290</f>
        <v>3.1749999999999998</v>
      </c>
    </row>
    <row r="57" spans="1:31">
      <c r="A57" s="240" t="s">
        <v>46</v>
      </c>
      <c r="B57" s="241">
        <f t="shared" si="40"/>
        <v>1.2460434002284224</v>
      </c>
      <c r="C57" s="242">
        <f>'[2]Canada Sunflower Imports'!AY$290</f>
        <v>0.90200000000000002</v>
      </c>
      <c r="D57" s="242">
        <f>'[2]Canada Sunflower Imports'!BK$290</f>
        <v>0.88100000000000001</v>
      </c>
      <c r="E57" s="242">
        <f>'[2]Canada Sunflower Imports'!BW$290</f>
        <v>0.80100000000000005</v>
      </c>
      <c r="F57" s="242">
        <f>'[2]Canada Sunflower Imports'!CI$290</f>
        <v>1.004</v>
      </c>
      <c r="G57" s="242">
        <f>'[2]Canada Sunflower Imports'!CU$290</f>
        <v>1.0920000000000001</v>
      </c>
      <c r="H57" s="242">
        <f>'[2]Canada Sunflower Imports'!DG$290</f>
        <v>1.8560000000000001</v>
      </c>
      <c r="I57" s="242">
        <f>'[2]Canada Sunflower Imports'!DS$290</f>
        <v>1.097</v>
      </c>
      <c r="J57" s="242">
        <f>'[2]Canada Sunflower Imports'!EE$290</f>
        <v>2.0590000000000002</v>
      </c>
      <c r="K57" s="242">
        <f>'[2]Canada Sunflower Imports'!EQ$290</f>
        <v>1.5409999999999999</v>
      </c>
      <c r="L57" s="242">
        <f>'[2]Canada Sunflower Imports'!FC$290</f>
        <v>0.78</v>
      </c>
      <c r="M57" s="242">
        <f>'[2]Canada Sunflower Imports'!FO$290</f>
        <v>2.1970000000000001</v>
      </c>
      <c r="N57" s="242">
        <f>'[2]Canada Sunflower Imports'!GA$290</f>
        <v>1.831</v>
      </c>
      <c r="O57" s="242">
        <f>'[2]Canada Sunflower Imports'!GM$290</f>
        <v>1.288</v>
      </c>
      <c r="P57" s="242">
        <f>'[2]Canada Sunflower Imports'!GY$290</f>
        <v>1.302</v>
      </c>
      <c r="Q57" s="242">
        <f>'[2]Canada Sunflower Imports'!HK$290</f>
        <v>1.7869999999999999</v>
      </c>
      <c r="R57" s="242">
        <f>'[2]Canada Sunflower Imports'!HW$290</f>
        <v>1.458</v>
      </c>
      <c r="S57" s="242">
        <f>'[2]Canada Sunflower Imports'!II$290</f>
        <v>2.1970000000000001</v>
      </c>
      <c r="T57" s="242">
        <f>'[2]Canada Sunflower Imports'!IU$290</f>
        <v>3.048</v>
      </c>
      <c r="U57" s="242">
        <f>'[2]Canada Sunflower Imports'!JG$290</f>
        <v>2.254</v>
      </c>
      <c r="V57" s="242">
        <f>'[2]Canada Sunflower Imports'!JS$290</f>
        <v>2.306</v>
      </c>
      <c r="W57" s="242">
        <f>'[2]Canada Sunflower Imports'!KE$290</f>
        <v>2.6160000000000001</v>
      </c>
      <c r="X57" s="242">
        <f>'[2]Canada Sunflower Imports'!KQ$290</f>
        <v>1.4870000000000001</v>
      </c>
      <c r="Y57" s="242">
        <f>'[2]Canada Sunflower Imports'!LC$290</f>
        <v>2.0459999999999998</v>
      </c>
      <c r="Z57" s="242">
        <f>'[2]Canada Sunflower Imports'!LO$290</f>
        <v>1.866795</v>
      </c>
      <c r="AA57" s="242">
        <f>'[2]Canada Sunflower Imports'!MA$290</f>
        <v>2.1790090000000002</v>
      </c>
      <c r="AB57" s="242">
        <f>'[2]Canada Sunflower Imports'!MM$290</f>
        <v>2.5812849999999998</v>
      </c>
      <c r="AC57" s="242">
        <f>'[2]Canada Sunflower Imports'!MY$290</f>
        <v>2.4</v>
      </c>
      <c r="AD57" s="243">
        <f t="shared" si="41"/>
        <v>3.2711877761484311</v>
      </c>
      <c r="AE57" s="243">
        <f t="shared" ref="AE57:AE58" si="42">(SUM(Y57:AC57)/SUM(Y$60:AC$60))*AE$60</f>
        <v>3.2084343274186713</v>
      </c>
    </row>
    <row r="58" spans="1:31">
      <c r="A58" s="240" t="s">
        <v>235</v>
      </c>
      <c r="B58" s="241">
        <f>(SUM(K58:O58)/SUM(K$60:O$60))*B$60</f>
        <v>1.2770435633871755</v>
      </c>
      <c r="C58" s="242">
        <f>'[2]Canada Sunflower Imports'!AZ$290</f>
        <v>1.1279999999999999</v>
      </c>
      <c r="D58" s="242">
        <f>'[2]Canada Sunflower Imports'!BL$290</f>
        <v>1.214</v>
      </c>
      <c r="E58" s="242">
        <f>'[2]Canada Sunflower Imports'!BX$290</f>
        <v>1.349</v>
      </c>
      <c r="F58" s="242">
        <f>'[2]Canada Sunflower Imports'!CJ$290</f>
        <v>0.73699999999999999</v>
      </c>
      <c r="G58" s="242">
        <f>'[2]Canada Sunflower Imports'!CV$290</f>
        <v>1.484</v>
      </c>
      <c r="H58" s="242">
        <f>'[2]Canada Sunflower Imports'!DH$290</f>
        <v>1.349</v>
      </c>
      <c r="I58" s="242">
        <f>'[2]Canada Sunflower Imports'!DT$290</f>
        <v>1.2929999999999999</v>
      </c>
      <c r="J58" s="242">
        <f>'[2]Canada Sunflower Imports'!EF$290</f>
        <v>3.5990000000000002</v>
      </c>
      <c r="K58" s="242">
        <f>'[2]Canada Sunflower Imports'!ER$290</f>
        <v>1.746</v>
      </c>
      <c r="L58" s="242">
        <f>'[2]Canada Sunflower Imports'!FD$290</f>
        <v>0.755</v>
      </c>
      <c r="M58" s="242">
        <f>'[2]Canada Sunflower Imports'!FP$290</f>
        <v>3.2050000000000001</v>
      </c>
      <c r="N58" s="242">
        <f>'[2]Canada Sunflower Imports'!GB$290</f>
        <v>1.395</v>
      </c>
      <c r="O58" s="242">
        <f>'[2]Canada Sunflower Imports'!GN$290</f>
        <v>0.72599999999999998</v>
      </c>
      <c r="P58" s="242">
        <f>'[2]Canada Sunflower Imports'!GZ$290</f>
        <v>1.2070000000000001</v>
      </c>
      <c r="Q58" s="242">
        <f>'[2]Canada Sunflower Imports'!HL$290</f>
        <v>2.5419999999999998</v>
      </c>
      <c r="R58" s="242">
        <f>'[2]Canada Sunflower Imports'!HX$290</f>
        <v>1.72</v>
      </c>
      <c r="S58" s="242">
        <f>'[2]Canada Sunflower Imports'!IJ$290</f>
        <v>2.9609999999999999</v>
      </c>
      <c r="T58" s="242">
        <f>'[2]Canada Sunflower Imports'!IV$290</f>
        <v>2.6869999999999998</v>
      </c>
      <c r="U58" s="242">
        <f>'[2]Canada Sunflower Imports'!JH$290</f>
        <v>1.514</v>
      </c>
      <c r="V58" s="242">
        <f>'[2]Canada Sunflower Imports'!JT$290</f>
        <v>2.0819999999999999</v>
      </c>
      <c r="W58" s="242">
        <f>'[2]Canada Sunflower Imports'!KF$290</f>
        <v>2.504</v>
      </c>
      <c r="X58" s="242">
        <f>'[2]Canada Sunflower Imports'!KR$290</f>
        <v>2.5369999999999999</v>
      </c>
      <c r="Y58" s="242">
        <f>'[2]Canada Sunflower Imports'!LD$290</f>
        <v>3.0150000000000001</v>
      </c>
      <c r="Z58" s="242">
        <f>'[2]Canada Sunflower Imports'!LP$290</f>
        <v>2.0613679999999999</v>
      </c>
      <c r="AA58" s="242">
        <f>'[2]Canada Sunflower Imports'!MB$290</f>
        <v>3.125308</v>
      </c>
      <c r="AB58" s="242">
        <f>'[2]Canada Sunflower Imports'!MN$290</f>
        <v>3.0723889999999998</v>
      </c>
      <c r="AC58" s="242">
        <f>'[2]Canada Sunflower Imports'!MZ$290</f>
        <v>3.1749999999999998</v>
      </c>
      <c r="AD58" s="243">
        <f t="shared" ref="AD58" si="43">(SUM(X58:AB58)/SUM(X$60:AB$60))*AD$60</f>
        <v>4.4466723671014527</v>
      </c>
      <c r="AE58" s="243">
        <f t="shared" si="42"/>
        <v>4.1866254434605974</v>
      </c>
    </row>
    <row r="59" spans="1:31">
      <c r="A59" s="240" t="s">
        <v>236</v>
      </c>
      <c r="B59" s="241">
        <f>(SUM(K59:O59)/SUM(K$60:O$60))*B$60</f>
        <v>1.0481318322728013</v>
      </c>
      <c r="C59" s="242">
        <f>'[2]Canada Sunflower Imports'!BA$290</f>
        <v>0.71199999999999997</v>
      </c>
      <c r="D59" s="242">
        <f>'[2]Canada Sunflower Imports'!BM$290</f>
        <v>1.046</v>
      </c>
      <c r="E59" s="242">
        <f>'[2]Canada Sunflower Imports'!BY$290</f>
        <v>0.95199999999999996</v>
      </c>
      <c r="F59" s="242">
        <f>'[2]Canada Sunflower Imports'!CK$290</f>
        <v>1.149</v>
      </c>
      <c r="G59" s="242">
        <f>'[2]Canada Sunflower Imports'!CW$290</f>
        <v>1.831</v>
      </c>
      <c r="H59" s="242">
        <f>'[2]Canada Sunflower Imports'!DI$290</f>
        <v>1.1379999999999999</v>
      </c>
      <c r="I59" s="242">
        <f>'[2]Canada Sunflower Imports'!DU$290</f>
        <v>0.94599999999999995</v>
      </c>
      <c r="J59" s="242">
        <f>'[2]Canada Sunflower Imports'!EG$290</f>
        <v>2.2450000000000001</v>
      </c>
      <c r="K59" s="242">
        <f>'[2]Canada Sunflower Imports'!ES$290</f>
        <v>1.2929999999999999</v>
      </c>
      <c r="L59" s="242">
        <f>'[2]Canada Sunflower Imports'!FE$290</f>
        <v>1.708</v>
      </c>
      <c r="M59" s="242">
        <f>'[2]Canada Sunflower Imports'!FQ$290</f>
        <v>1.792</v>
      </c>
      <c r="N59" s="242">
        <f>'[2]Canada Sunflower Imports'!GC$290</f>
        <v>1.012</v>
      </c>
      <c r="O59" s="242">
        <f>'[2]Canada Sunflower Imports'!GO$290</f>
        <v>0.61899999999999999</v>
      </c>
      <c r="P59" s="242">
        <f>'[2]Canada Sunflower Imports'!HA$290</f>
        <v>1.1890000000000001</v>
      </c>
      <c r="Q59" s="242">
        <f>'[2]Canada Sunflower Imports'!HM$290</f>
        <v>2.2530000000000001</v>
      </c>
      <c r="R59" s="242">
        <f>'[2]Canada Sunflower Imports'!HY$290</f>
        <v>2.0990000000000002</v>
      </c>
      <c r="S59" s="242">
        <f>'[2]Canada Sunflower Imports'!IK$290</f>
        <v>2.8809999999999998</v>
      </c>
      <c r="T59" s="242">
        <f>'[2]Canada Sunflower Imports'!IW$290</f>
        <v>3.86</v>
      </c>
      <c r="U59" s="242">
        <f>'[2]Canada Sunflower Imports'!JI$290</f>
        <v>2.0609999999999999</v>
      </c>
      <c r="V59" s="242">
        <f>'[2]Canada Sunflower Imports'!JU$290</f>
        <v>2.2120000000000002</v>
      </c>
      <c r="W59" s="242">
        <f>'[2]Canada Sunflower Imports'!KG$290</f>
        <v>2.5470000000000002</v>
      </c>
      <c r="X59" s="242">
        <f>'[2]Canada Sunflower Imports'!KS$290</f>
        <v>2.5710000000000002</v>
      </c>
      <c r="Y59" s="242">
        <f>'[2]Canada Sunflower Imports'!LE$290</f>
        <v>1.7909999999999999</v>
      </c>
      <c r="Z59" s="242">
        <f>'[2]Canada Sunflower Imports'!LQ$290</f>
        <v>2.088616</v>
      </c>
      <c r="AA59" s="242">
        <f>'[2]Canada Sunflower Imports'!MC$290</f>
        <v>2.649105</v>
      </c>
      <c r="AB59" s="242">
        <f>'[2]Canada Sunflower Imports'!MO$290</f>
        <v>2.6379380000000001</v>
      </c>
      <c r="AC59" s="242">
        <f>'[2]Canada Sunflower Imports'!NA$290</f>
        <v>2.7170000000000001</v>
      </c>
      <c r="AD59" s="243">
        <f t="shared" ref="AD59:AE59" si="44">AD60-SUM(AD48:AD58)</f>
        <v>7.7250587743822194</v>
      </c>
      <c r="AE59" s="243">
        <f t="shared" si="44"/>
        <v>4.0024882291207291</v>
      </c>
    </row>
    <row r="60" spans="1:31" ht="15.75" thickBot="1">
      <c r="A60" s="240" t="s">
        <v>242</v>
      </c>
      <c r="B60" s="245">
        <f t="shared" ref="B60:C60" si="45">B10</f>
        <v>18</v>
      </c>
      <c r="C60" s="245">
        <f t="shared" si="45"/>
        <v>17</v>
      </c>
      <c r="D60" s="245">
        <f>SUM(D48:D59)</f>
        <v>12.633000000000001</v>
      </c>
      <c r="E60" s="245">
        <f t="shared" ref="E60:AB60" si="46">SUM(E48:E59)</f>
        <v>12.453000000000001</v>
      </c>
      <c r="F60" s="245">
        <f t="shared" si="46"/>
        <v>11.818000000000001</v>
      </c>
      <c r="G60" s="245">
        <f t="shared" si="46"/>
        <v>17.027000000000001</v>
      </c>
      <c r="H60" s="245">
        <f t="shared" si="46"/>
        <v>18.924999999999997</v>
      </c>
      <c r="I60" s="245">
        <f t="shared" si="46"/>
        <v>17.836000000000002</v>
      </c>
      <c r="J60" s="245">
        <f t="shared" si="46"/>
        <v>29.48</v>
      </c>
      <c r="K60" s="245">
        <f t="shared" si="46"/>
        <v>21.413999999999998</v>
      </c>
      <c r="L60" s="245">
        <f t="shared" si="46"/>
        <v>15.702999999999999</v>
      </c>
      <c r="M60" s="245">
        <f t="shared" si="46"/>
        <v>35.005000000000003</v>
      </c>
      <c r="N60" s="245">
        <f t="shared" si="46"/>
        <v>26.257000000000001</v>
      </c>
      <c r="O60" s="245">
        <f t="shared" si="46"/>
        <v>11.943000000000001</v>
      </c>
      <c r="P60" s="245">
        <f t="shared" si="46"/>
        <v>17.596999999999998</v>
      </c>
      <c r="Q60" s="245">
        <f t="shared" si="46"/>
        <v>20.341999999999999</v>
      </c>
      <c r="R60" s="245">
        <f t="shared" si="46"/>
        <v>25.956999999999997</v>
      </c>
      <c r="S60" s="245">
        <f t="shared" si="46"/>
        <v>32.824999999999996</v>
      </c>
      <c r="T60" s="245">
        <f t="shared" si="46"/>
        <v>33.241000000000007</v>
      </c>
      <c r="U60" s="245">
        <f t="shared" si="46"/>
        <v>27.116</v>
      </c>
      <c r="V60" s="245">
        <f t="shared" si="46"/>
        <v>25.327000000000002</v>
      </c>
      <c r="W60" s="245">
        <f t="shared" si="46"/>
        <v>30.37</v>
      </c>
      <c r="X60" s="245">
        <f t="shared" si="46"/>
        <v>22.482000000000003</v>
      </c>
      <c r="Y60" s="245">
        <f t="shared" si="46"/>
        <v>29.49</v>
      </c>
      <c r="Z60" s="245">
        <f t="shared" si="46"/>
        <v>22.166989000000001</v>
      </c>
      <c r="AA60" s="245">
        <f t="shared" si="46"/>
        <v>23.669149000000001</v>
      </c>
      <c r="AB60" s="245">
        <f t="shared" si="46"/>
        <v>26.429169000000002</v>
      </c>
      <c r="AC60" s="245">
        <f>SUM(AC48:AC59)</f>
        <v>36.294443999999991</v>
      </c>
      <c r="AD60" s="247">
        <f t="shared" ref="AD60:AE60" si="47">AD10</f>
        <v>40</v>
      </c>
      <c r="AE60" s="247">
        <f t="shared" si="47"/>
        <v>40</v>
      </c>
    </row>
    <row r="61" spans="1:31">
      <c r="A61" s="248"/>
      <c r="B61" s="248"/>
      <c r="C61" s="254"/>
      <c r="D61" s="254"/>
      <c r="E61" s="254"/>
      <c r="F61" s="254"/>
      <c r="G61" s="254"/>
      <c r="H61" s="254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</row>
    <row r="62" spans="1:31" ht="15.75" thickBot="1">
      <c r="A62" s="235" t="s">
        <v>243</v>
      </c>
      <c r="J62" s="355"/>
    </row>
    <row r="63" spans="1:31" ht="15.75" thickBot="1">
      <c r="A63" s="236"/>
      <c r="B63" s="237" t="str">
        <f>B$2</f>
        <v xml:space="preserve">93/94 </v>
      </c>
      <c r="C63" s="237" t="str">
        <f t="shared" ref="C63:AE63" si="48">C$2</f>
        <v xml:space="preserve">94/95 </v>
      </c>
      <c r="D63" s="237" t="str">
        <f t="shared" si="48"/>
        <v xml:space="preserve">95/96 </v>
      </c>
      <c r="E63" s="237" t="str">
        <f t="shared" si="48"/>
        <v xml:space="preserve">96/97 </v>
      </c>
      <c r="F63" s="237" t="str">
        <f t="shared" si="48"/>
        <v xml:space="preserve">97/98 </v>
      </c>
      <c r="G63" s="237" t="str">
        <f t="shared" si="48"/>
        <v xml:space="preserve">98/99 </v>
      </c>
      <c r="H63" s="237" t="str">
        <f t="shared" si="48"/>
        <v xml:space="preserve">99/00 </v>
      </c>
      <c r="I63" s="237" t="str">
        <f t="shared" si="48"/>
        <v xml:space="preserve">00/01 </v>
      </c>
      <c r="J63" s="237" t="str">
        <f t="shared" si="48"/>
        <v xml:space="preserve">01/02 </v>
      </c>
      <c r="K63" s="237" t="str">
        <f t="shared" si="48"/>
        <v xml:space="preserve">02/03 </v>
      </c>
      <c r="L63" s="237" t="str">
        <f t="shared" si="48"/>
        <v xml:space="preserve">03/04 </v>
      </c>
      <c r="M63" s="237" t="str">
        <f t="shared" si="48"/>
        <v xml:space="preserve">04/05 </v>
      </c>
      <c r="N63" s="237" t="str">
        <f t="shared" si="48"/>
        <v xml:space="preserve">05/06 </v>
      </c>
      <c r="O63" s="237" t="str">
        <f t="shared" si="48"/>
        <v xml:space="preserve">06/07 </v>
      </c>
      <c r="P63" s="237" t="str">
        <f t="shared" si="48"/>
        <v xml:space="preserve">07/08 </v>
      </c>
      <c r="Q63" s="237" t="str">
        <f t="shared" si="48"/>
        <v xml:space="preserve">08/09 </v>
      </c>
      <c r="R63" s="237" t="str">
        <f t="shared" si="48"/>
        <v xml:space="preserve">09/10 </v>
      </c>
      <c r="S63" s="237" t="str">
        <f t="shared" si="48"/>
        <v xml:space="preserve">10/11 </v>
      </c>
      <c r="T63" s="237" t="str">
        <f t="shared" si="48"/>
        <v xml:space="preserve">11/12 </v>
      </c>
      <c r="U63" s="237" t="str">
        <f t="shared" si="48"/>
        <v xml:space="preserve">12/13 </v>
      </c>
      <c r="V63" s="237" t="str">
        <f t="shared" si="48"/>
        <v xml:space="preserve">13/14 </v>
      </c>
      <c r="W63" s="237" t="str">
        <f t="shared" si="48"/>
        <v xml:space="preserve">14/15 </v>
      </c>
      <c r="X63" s="237" t="str">
        <f t="shared" si="48"/>
        <v xml:space="preserve">15/16 </v>
      </c>
      <c r="Y63" s="237" t="str">
        <f t="shared" si="48"/>
        <v xml:space="preserve">16/17 </v>
      </c>
      <c r="Z63" s="237" t="str">
        <f t="shared" si="48"/>
        <v xml:space="preserve">17/18 </v>
      </c>
      <c r="AA63" s="237" t="str">
        <f t="shared" si="48"/>
        <v xml:space="preserve">18/19 </v>
      </c>
      <c r="AB63" s="237" t="str">
        <f t="shared" si="48"/>
        <v xml:space="preserve">19/20 </v>
      </c>
      <c r="AC63" s="237" t="str">
        <f t="shared" si="48"/>
        <v xml:space="preserve">20/21 </v>
      </c>
      <c r="AD63" s="237" t="str">
        <f t="shared" si="48"/>
        <v>21/22</v>
      </c>
      <c r="AE63" s="237" t="str">
        <f t="shared" si="48"/>
        <v>22/23</v>
      </c>
    </row>
    <row r="64" spans="1:31">
      <c r="A64" s="240" t="s">
        <v>237</v>
      </c>
      <c r="B64" s="241">
        <f>(SUM(K64:O64)/SUM(K$76:O$76))*B$76</f>
        <v>2.2570222296657172</v>
      </c>
      <c r="C64" s="241">
        <v>2.415057860677579</v>
      </c>
      <c r="D64" s="242">
        <f>'[2]Canada Sunflower Exports'!BB$290</f>
        <v>5.1870000000000003</v>
      </c>
      <c r="E64" s="242">
        <f>'[2]Canada Sunflower Exports'!BN$290</f>
        <v>0.80300000000000005</v>
      </c>
      <c r="F64" s="242">
        <f>'[2]Canada Sunflower Exports'!BZ$290</f>
        <v>2.0680000000000001</v>
      </c>
      <c r="G64" s="242">
        <f>'[2]Canada Sunflower Exports'!CL$290</f>
        <v>1.218</v>
      </c>
      <c r="H64" s="242">
        <f>'[2]Canada Sunflower Exports'!CX$290</f>
        <v>2.2869999999999999</v>
      </c>
      <c r="I64" s="242">
        <f>'[2]Canada Sunflower Exports'!DJ$290</f>
        <v>4.6609999999999996</v>
      </c>
      <c r="J64" s="242">
        <f>'[2]Canada Sunflower Exports'!DV$290</f>
        <v>8.4749999999999996</v>
      </c>
      <c r="K64" s="242">
        <f>'[2]Canada Sunflower Exports'!EH$290</f>
        <v>6.2850000000000001</v>
      </c>
      <c r="L64" s="242">
        <f>'[2]Canada Sunflower Exports'!ET$290</f>
        <v>5.01</v>
      </c>
      <c r="M64" s="242">
        <f>'[2]Canada Sunflower Exports'!FF$290</f>
        <v>4.0789999999999997</v>
      </c>
      <c r="N64" s="242">
        <f>'[2]Canada Sunflower Exports'!FR$290</f>
        <v>0.88</v>
      </c>
      <c r="O64" s="242">
        <f>'[2]Canada Sunflower Exports'!GD$290</f>
        <v>4.2670000000000003</v>
      </c>
      <c r="P64" s="242">
        <f>'[2]Canada Sunflower Exports'!GP$290</f>
        <v>11.129</v>
      </c>
      <c r="Q64" s="242">
        <f>'[2]Canada Sunflower Exports'!HB$290</f>
        <v>4.5570000000000004</v>
      </c>
      <c r="R64" s="242">
        <f>'[2]Canada Sunflower Exports'!HN$290</f>
        <v>3.0569999999999999</v>
      </c>
      <c r="S64" s="242">
        <f>'[2]Canada Sunflower Exports'!HZ$290</f>
        <v>3.9580000000000002</v>
      </c>
      <c r="T64" s="242">
        <f>'[2]Canada Sunflower Exports'!IL$290</f>
        <v>3.375</v>
      </c>
      <c r="U64" s="242">
        <f>'[2]Canada Sunflower Exports'!IX$290</f>
        <v>1.294</v>
      </c>
      <c r="V64" s="242">
        <f>'[2]Canada Sunflower Exports'!JJ$290</f>
        <v>3.9950000000000001</v>
      </c>
      <c r="W64" s="242">
        <f>'[2]Canada Sunflower Exports'!JV$290</f>
        <v>2.0369999999999999</v>
      </c>
      <c r="X64" s="242">
        <f>'[2]Canada Sunflower Exports'!KH$290</f>
        <v>3.468</v>
      </c>
      <c r="Y64" s="242">
        <f>'[2]Canada Sunflower Exports'!KT$290</f>
        <v>2.1619999999999999</v>
      </c>
      <c r="Z64" s="242">
        <f>'[2]Canada Sunflower Exports'!LF$290</f>
        <v>1.764</v>
      </c>
      <c r="AA64" s="242">
        <f>'[2]Canada Sunflower Exports'!LR$290</f>
        <v>2.1912910000000001</v>
      </c>
      <c r="AB64" s="242">
        <f>'[2]Canada Sunflower Exports'!MD$290</f>
        <v>2.090929</v>
      </c>
      <c r="AC64" s="242">
        <f>'[2]Canada Sunflower Exports'!MP$290</f>
        <v>2.6442169999999998</v>
      </c>
      <c r="AD64" s="242">
        <f>'[2]Canada Sunflower Exports'!NB$290</f>
        <v>2.88</v>
      </c>
      <c r="AE64" s="243">
        <f t="shared" ref="AE64:AE74" si="49">(SUM(Y64:AC64)/SUM(Y$76:AC$76))*AE$76</f>
        <v>1.0744624932016318</v>
      </c>
    </row>
    <row r="65" spans="1:31">
      <c r="A65" s="240" t="s">
        <v>238</v>
      </c>
      <c r="B65" s="241">
        <f t="shared" ref="B65:B75" si="50">(SUM(K65:O65)/SUM(K$76:O$76))*B$76</f>
        <v>1.5803885004661904</v>
      </c>
      <c r="C65" s="241">
        <v>1.4235954664341761</v>
      </c>
      <c r="D65" s="242">
        <f>'[2]Canada Sunflower Exports'!BC$290</f>
        <v>1.472</v>
      </c>
      <c r="E65" s="242">
        <f>'[2]Canada Sunflower Exports'!BO$290</f>
        <v>0.82199999999999995</v>
      </c>
      <c r="F65" s="242">
        <f>'[2]Canada Sunflower Exports'!CA$290</f>
        <v>1.224</v>
      </c>
      <c r="G65" s="242">
        <f>'[2]Canada Sunflower Exports'!CM$290</f>
        <v>1.032</v>
      </c>
      <c r="H65" s="242">
        <f>'[2]Canada Sunflower Exports'!CY$290</f>
        <v>2.266</v>
      </c>
      <c r="I65" s="242">
        <f>'[2]Canada Sunflower Exports'!DK$290</f>
        <v>3.4260000000000002</v>
      </c>
      <c r="J65" s="242">
        <f>'[2]Canada Sunflower Exports'!DW$290</f>
        <v>5.2140000000000004</v>
      </c>
      <c r="K65" s="242">
        <f>'[2]Canada Sunflower Exports'!EI$290</f>
        <v>2.8180000000000001</v>
      </c>
      <c r="L65" s="242">
        <f>'[2]Canada Sunflower Exports'!EU$290</f>
        <v>3.2050000000000001</v>
      </c>
      <c r="M65" s="242">
        <f>'[2]Canada Sunflower Exports'!FG$290</f>
        <v>3.016</v>
      </c>
      <c r="N65" s="242">
        <f>'[2]Canada Sunflower Exports'!FS$290</f>
        <v>0.75900000000000001</v>
      </c>
      <c r="O65" s="242">
        <f>'[2]Canada Sunflower Exports'!GE$290</f>
        <v>4.5709999999999997</v>
      </c>
      <c r="P65" s="242">
        <f>'[2]Canada Sunflower Exports'!GQ$290</f>
        <v>4.25</v>
      </c>
      <c r="Q65" s="242">
        <f>'[2]Canada Sunflower Exports'!HC$290</f>
        <v>2.907</v>
      </c>
      <c r="R65" s="242">
        <f>'[2]Canada Sunflower Exports'!HO$290</f>
        <v>2.0910000000000002</v>
      </c>
      <c r="S65" s="242">
        <f>'[2]Canada Sunflower Exports'!IA$290</f>
        <v>3.008</v>
      </c>
      <c r="T65" s="242">
        <f>'[2]Canada Sunflower Exports'!IM$290</f>
        <v>3.0169999999999999</v>
      </c>
      <c r="U65" s="242">
        <f>'[2]Canada Sunflower Exports'!IY$290</f>
        <v>1.43</v>
      </c>
      <c r="V65" s="242">
        <f>'[2]Canada Sunflower Exports'!JK$290</f>
        <v>3.5449999999999999</v>
      </c>
      <c r="W65" s="242">
        <f>'[2]Canada Sunflower Exports'!JW$290</f>
        <v>1.742</v>
      </c>
      <c r="X65" s="242">
        <f>'[2]Canada Sunflower Exports'!KI$290</f>
        <v>2.6019999999999999</v>
      </c>
      <c r="Y65" s="242">
        <f>'[2]Canada Sunflower Exports'!KU$290</f>
        <v>1.659</v>
      </c>
      <c r="Z65" s="242">
        <f>'[2]Canada Sunflower Exports'!LG$290</f>
        <v>1.5464279999999999</v>
      </c>
      <c r="AA65" s="242">
        <f>'[2]Canada Sunflower Exports'!LS$290</f>
        <v>1.5387219999999999</v>
      </c>
      <c r="AB65" s="242">
        <f>'[2]Canada Sunflower Exports'!ME$290</f>
        <v>1.184178</v>
      </c>
      <c r="AC65" s="242">
        <f>'[2]Canada Sunflower Exports'!MQ$290</f>
        <v>2.0998160000000001</v>
      </c>
      <c r="AD65" s="242">
        <f>'[2]Canada Sunflower Exports'!NC$290</f>
        <v>2.0539999999999998</v>
      </c>
      <c r="AE65" s="243">
        <f t="shared" si="49"/>
        <v>0.79483894889431006</v>
      </c>
    </row>
    <row r="66" spans="1:31">
      <c r="A66" s="240" t="s">
        <v>239</v>
      </c>
      <c r="B66" s="241">
        <f t="shared" si="50"/>
        <v>3.8177232402868624</v>
      </c>
      <c r="C66" s="241">
        <v>3.5802924714810223</v>
      </c>
      <c r="D66" s="242">
        <f>'[2]Canada Sunflower Exports'!BD$290</f>
        <v>2.8969999999999998</v>
      </c>
      <c r="E66" s="242">
        <f>'[2]Canada Sunflower Exports'!BP$290</f>
        <v>2.8119999999999998</v>
      </c>
      <c r="F66" s="242">
        <f>'[2]Canada Sunflower Exports'!CB$290</f>
        <v>3.0019999999999998</v>
      </c>
      <c r="G66" s="242">
        <f>'[2]Canada Sunflower Exports'!CN$290</f>
        <v>4.5410000000000004</v>
      </c>
      <c r="H66" s="242">
        <f>'[2]Canada Sunflower Exports'!CZ$290</f>
        <v>3.89</v>
      </c>
      <c r="I66" s="242">
        <f>'[2]Canada Sunflower Exports'!DL$290</f>
        <v>7.2309999999999999</v>
      </c>
      <c r="J66" s="242">
        <f>'[2]Canada Sunflower Exports'!DX$290</f>
        <v>6.5949999999999998</v>
      </c>
      <c r="K66" s="242">
        <f>'[2]Canada Sunflower Exports'!EJ$290</f>
        <v>8.7390000000000008</v>
      </c>
      <c r="L66" s="242">
        <f>'[2]Canada Sunflower Exports'!EV$290</f>
        <v>12.949</v>
      </c>
      <c r="M66" s="242">
        <f>'[2]Canada Sunflower Exports'!FH$290</f>
        <v>2.2000000000000002</v>
      </c>
      <c r="N66" s="242">
        <f>'[2]Canada Sunflower Exports'!FT$290</f>
        <v>3.3490000000000002</v>
      </c>
      <c r="O66" s="242">
        <f>'[2]Canada Sunflower Exports'!GF$290</f>
        <v>7.4740000000000002</v>
      </c>
      <c r="P66" s="242">
        <f>'[2]Canada Sunflower Exports'!GR$290</f>
        <v>12.407999999999999</v>
      </c>
      <c r="Q66" s="242">
        <f>'[2]Canada Sunflower Exports'!HD$290</f>
        <v>8.6379999999999999</v>
      </c>
      <c r="R66" s="242">
        <f>'[2]Canada Sunflower Exports'!HP$290</f>
        <v>3.0939999999999999</v>
      </c>
      <c r="S66" s="242">
        <f>'[2]Canada Sunflower Exports'!IB$290</f>
        <v>2.5750000000000002</v>
      </c>
      <c r="T66" s="242">
        <f>'[2]Canada Sunflower Exports'!IN$290</f>
        <v>3.2959999999999998</v>
      </c>
      <c r="U66" s="242">
        <f>'[2]Canada Sunflower Exports'!IZ$290</f>
        <v>3.681</v>
      </c>
      <c r="V66" s="242">
        <f>'[2]Canada Sunflower Exports'!JL$290</f>
        <v>3.01</v>
      </c>
      <c r="W66" s="242">
        <f>'[2]Canada Sunflower Exports'!JX$290</f>
        <v>1.968</v>
      </c>
      <c r="X66" s="242">
        <f>'[2]Canada Sunflower Exports'!KJ$290</f>
        <v>2.3130000000000002</v>
      </c>
      <c r="Y66" s="242">
        <f>'[2]Canada Sunflower Exports'!KV$290</f>
        <v>2.0369999999999999</v>
      </c>
      <c r="Z66" s="242">
        <f>'[2]Canada Sunflower Exports'!LH$290</f>
        <v>1.181403</v>
      </c>
      <c r="AA66" s="242">
        <f>'[2]Canada Sunflower Exports'!LT$290</f>
        <v>2.1238640000000002</v>
      </c>
      <c r="AB66" s="242">
        <f>'[2]Canada Sunflower Exports'!MF$290</f>
        <v>2.8321390000000002</v>
      </c>
      <c r="AC66" s="242">
        <f>'[2]Canada Sunflower Exports'!MR$290</f>
        <v>6.4283479999999997</v>
      </c>
      <c r="AD66" s="242">
        <f>'[2]Canada Sunflower Exports'!ND$290</f>
        <v>5.0629999999999997</v>
      </c>
      <c r="AE66" s="243">
        <f t="shared" si="49"/>
        <v>1.4457684914872209</v>
      </c>
    </row>
    <row r="67" spans="1:31">
      <c r="A67" s="240" t="s">
        <v>240</v>
      </c>
      <c r="B67" s="241">
        <f t="shared" si="50"/>
        <v>4.7020104936620566</v>
      </c>
      <c r="C67" s="241">
        <v>4.0537799894396898</v>
      </c>
      <c r="D67" s="242">
        <f>'[2]Canada Sunflower Exports'!BE$290</f>
        <v>2.573</v>
      </c>
      <c r="E67" s="242">
        <f>'[2]Canada Sunflower Exports'!BQ$290</f>
        <v>1.64</v>
      </c>
      <c r="F67" s="242">
        <f>'[2]Canada Sunflower Exports'!CC$290</f>
        <v>3.5390000000000001</v>
      </c>
      <c r="G67" s="242">
        <f>'[2]Canada Sunflower Exports'!CO$290</f>
        <v>6.141</v>
      </c>
      <c r="H67" s="242">
        <f>'[2]Canada Sunflower Exports'!DA$290</f>
        <v>5.516</v>
      </c>
      <c r="I67" s="242">
        <f>'[2]Canada Sunflower Exports'!DM$290</f>
        <v>10.074999999999999</v>
      </c>
      <c r="J67" s="242">
        <f>'[2]Canada Sunflower Exports'!DY$290</f>
        <v>12.256</v>
      </c>
      <c r="K67" s="242">
        <f>'[2]Canada Sunflower Exports'!EK$290</f>
        <v>14.263999999999999</v>
      </c>
      <c r="L67" s="242">
        <f>'[2]Canada Sunflower Exports'!EW$290</f>
        <v>10.054</v>
      </c>
      <c r="M67" s="242">
        <f>'[2]Canada Sunflower Exports'!FI$290</f>
        <v>3.5019999999999998</v>
      </c>
      <c r="N67" s="242">
        <f>'[2]Canada Sunflower Exports'!FU$290</f>
        <v>7.1189999999999998</v>
      </c>
      <c r="O67" s="242">
        <f>'[2]Canada Sunflower Exports'!GG$290</f>
        <v>7.8120000000000003</v>
      </c>
      <c r="P67" s="242">
        <f>'[2]Canada Sunflower Exports'!GS$290</f>
        <v>14.127000000000001</v>
      </c>
      <c r="Q67" s="242">
        <f>'[2]Canada Sunflower Exports'!HE$290</f>
        <v>10.335000000000001</v>
      </c>
      <c r="R67" s="242">
        <f>'[2]Canada Sunflower Exports'!HQ$290</f>
        <v>8.32</v>
      </c>
      <c r="S67" s="242">
        <f>'[2]Canada Sunflower Exports'!IC$290</f>
        <v>4.2530000000000001</v>
      </c>
      <c r="T67" s="242">
        <f>'[2]Canada Sunflower Exports'!IO$290</f>
        <v>2.62</v>
      </c>
      <c r="U67" s="242">
        <f>'[2]Canada Sunflower Exports'!JA$290</f>
        <v>4.9779999999999998</v>
      </c>
      <c r="V67" s="242">
        <f>'[2]Canada Sunflower Exports'!JM$290</f>
        <v>4.2690000000000001</v>
      </c>
      <c r="W67" s="242">
        <f>'[2]Canada Sunflower Exports'!JY$290</f>
        <v>4.7919999999999998</v>
      </c>
      <c r="X67" s="242">
        <f>'[2]Canada Sunflower Exports'!KK$290</f>
        <v>2.472</v>
      </c>
      <c r="Y67" s="242">
        <f>'[2]Canada Sunflower Exports'!KW$290</f>
        <v>1.911</v>
      </c>
      <c r="Z67" s="242">
        <f>'[2]Canada Sunflower Exports'!LI$290</f>
        <v>0.91469800000000001</v>
      </c>
      <c r="AA67" s="242">
        <f>'[2]Canada Sunflower Exports'!LU$290</f>
        <v>2.515066</v>
      </c>
      <c r="AB67" s="242">
        <f>'[2]Canada Sunflower Exports'!MG$290</f>
        <v>3.5183360000000001</v>
      </c>
      <c r="AC67" s="242">
        <f>'[2]Canada Sunflower Exports'!MS$290</f>
        <v>5.3081160000000001</v>
      </c>
      <c r="AD67" s="242">
        <f>'[2]Canada Sunflower Exports'!NE$290</f>
        <v>5.8460000000000001</v>
      </c>
      <c r="AE67" s="243">
        <f t="shared" si="49"/>
        <v>1.4026473708242717</v>
      </c>
    </row>
    <row r="68" spans="1:31">
      <c r="A68" s="240" t="s">
        <v>241</v>
      </c>
      <c r="B68" s="241">
        <f t="shared" si="50"/>
        <v>4.3541248490817424</v>
      </c>
      <c r="C68" s="241">
        <v>5.536274211967533</v>
      </c>
      <c r="D68" s="242">
        <f>'[2]Canada Sunflower Exports'!BF$290</f>
        <v>3.5960000000000001</v>
      </c>
      <c r="E68" s="242">
        <f>'[2]Canada Sunflower Exports'!BR$290</f>
        <v>2.6579999999999999</v>
      </c>
      <c r="F68" s="242">
        <f>'[2]Canada Sunflower Exports'!CD$290</f>
        <v>8.7029999999999994</v>
      </c>
      <c r="G68" s="242">
        <f>'[2]Canada Sunflower Exports'!CP$290</f>
        <v>6.8070000000000004</v>
      </c>
      <c r="H68" s="242">
        <f>'[2]Canada Sunflower Exports'!DB$290</f>
        <v>4.7430000000000003</v>
      </c>
      <c r="I68" s="242">
        <f>'[2]Canada Sunflower Exports'!DN$290</f>
        <v>6.234</v>
      </c>
      <c r="J68" s="242">
        <f>'[2]Canada Sunflower Exports'!DZ$290</f>
        <v>9.4719999999999995</v>
      </c>
      <c r="K68" s="242">
        <f>'[2]Canada Sunflower Exports'!EL$290</f>
        <v>12.317</v>
      </c>
      <c r="L68" s="242">
        <f>'[2]Canada Sunflower Exports'!EX$290</f>
        <v>9.8290000000000006</v>
      </c>
      <c r="M68" s="242">
        <f>'[2]Canada Sunflower Exports'!FJ$290</f>
        <v>3.8820000000000001</v>
      </c>
      <c r="N68" s="242">
        <f>'[2]Canada Sunflower Exports'!FV$290</f>
        <v>6.1989999999999998</v>
      </c>
      <c r="O68" s="242">
        <f>'[2]Canada Sunflower Exports'!GH$290</f>
        <v>7.3609999999999998</v>
      </c>
      <c r="P68" s="242">
        <f>'[2]Canada Sunflower Exports'!GT$290</f>
        <v>11.044</v>
      </c>
      <c r="Q68" s="242">
        <f>'[2]Canada Sunflower Exports'!HF$290</f>
        <v>12.484</v>
      </c>
      <c r="R68" s="242">
        <f>'[2]Canada Sunflower Exports'!HR$290</f>
        <v>5.0990000000000002</v>
      </c>
      <c r="S68" s="242">
        <f>'[2]Canada Sunflower Exports'!ID$290</f>
        <v>4.3630000000000004</v>
      </c>
      <c r="T68" s="242">
        <f>'[2]Canada Sunflower Exports'!IP$290</f>
        <v>2.992</v>
      </c>
      <c r="U68" s="242">
        <f>'[2]Canada Sunflower Exports'!JB$290</f>
        <v>3.3420000000000001</v>
      </c>
      <c r="V68" s="242">
        <f>'[2]Canada Sunflower Exports'!JN$290</f>
        <v>4.1239999999999997</v>
      </c>
      <c r="W68" s="242">
        <f>'[2]Canada Sunflower Exports'!JZ$290</f>
        <v>3.6840000000000002</v>
      </c>
      <c r="X68" s="242">
        <f>'[2]Canada Sunflower Exports'!KL$290</f>
        <v>2.4740000000000002</v>
      </c>
      <c r="Y68" s="242">
        <f>'[2]Canada Sunflower Exports'!KX$290</f>
        <v>1.552</v>
      </c>
      <c r="Z68" s="242">
        <f>'[2]Canada Sunflower Exports'!LJ$290</f>
        <v>1.981786</v>
      </c>
      <c r="AA68" s="242">
        <f>'[2]Canada Sunflower Exports'!LV$290</f>
        <v>2.891785</v>
      </c>
      <c r="AB68" s="242">
        <f>'[2]Canada Sunflower Exports'!MH$290</f>
        <v>3.3978160000000002</v>
      </c>
      <c r="AC68" s="242">
        <f>'[2]Canada Sunflower Exports'!MT$290</f>
        <v>5.3866719999999999</v>
      </c>
      <c r="AD68" s="242">
        <f>'[2]Canada Sunflower Exports'!NF$290</f>
        <v>4.7300000000000004</v>
      </c>
      <c r="AE68" s="243">
        <f t="shared" si="49"/>
        <v>1.5058956725465367</v>
      </c>
    </row>
    <row r="69" spans="1:31">
      <c r="A69" s="240" t="s">
        <v>231</v>
      </c>
      <c r="B69" s="241">
        <f t="shared" si="50"/>
        <v>3.9525660478289022</v>
      </c>
      <c r="C69" s="242">
        <f>'[2]Canada Sunflower Exports'!AU$290</f>
        <v>6.1189999999999998</v>
      </c>
      <c r="D69" s="242">
        <f>'[2]Canada Sunflower Exports'!BG$290</f>
        <v>2.476</v>
      </c>
      <c r="E69" s="242">
        <f>'[2]Canada Sunflower Exports'!BS$290</f>
        <v>1.399</v>
      </c>
      <c r="F69" s="242">
        <f>'[2]Canada Sunflower Exports'!CE$290</f>
        <v>2.839</v>
      </c>
      <c r="G69" s="242">
        <f>'[2]Canada Sunflower Exports'!CQ$290</f>
        <v>6.258</v>
      </c>
      <c r="H69" s="242">
        <f>'[2]Canada Sunflower Exports'!DC$290</f>
        <v>6.2830000000000004</v>
      </c>
      <c r="I69" s="242">
        <f>'[2]Canada Sunflower Exports'!DO$290</f>
        <v>6.4390000000000001</v>
      </c>
      <c r="J69" s="242">
        <f>'[2]Canada Sunflower Exports'!EA$290</f>
        <v>9.0440000000000005</v>
      </c>
      <c r="K69" s="242">
        <f>'[2]Canada Sunflower Exports'!EM$290</f>
        <v>10.135</v>
      </c>
      <c r="L69" s="242">
        <f>'[2]Canada Sunflower Exports'!EY$290</f>
        <v>7.6630000000000003</v>
      </c>
      <c r="M69" s="242">
        <f>'[2]Canada Sunflower Exports'!FK$290</f>
        <v>3.03</v>
      </c>
      <c r="N69" s="242">
        <f>'[2]Canada Sunflower Exports'!FW$290</f>
        <v>4.7960000000000003</v>
      </c>
      <c r="O69" s="242">
        <f>'[2]Canada Sunflower Exports'!GI$290</f>
        <v>10.313000000000001</v>
      </c>
      <c r="P69" s="242">
        <f>'[2]Canada Sunflower Exports'!GU$290</f>
        <v>10.292999999999999</v>
      </c>
      <c r="Q69" s="242">
        <f>'[2]Canada Sunflower Exports'!HG$290</f>
        <v>7.8739999999999997</v>
      </c>
      <c r="R69" s="242">
        <f>'[2]Canada Sunflower Exports'!HS$290</f>
        <v>4.9889999999999999</v>
      </c>
      <c r="S69" s="242">
        <f>'[2]Canada Sunflower Exports'!IE$290</f>
        <v>3.0590000000000002</v>
      </c>
      <c r="T69" s="242">
        <f>'[2]Canada Sunflower Exports'!IQ$290</f>
        <v>3.335</v>
      </c>
      <c r="U69" s="242">
        <f>'[2]Canada Sunflower Exports'!JC$290</f>
        <v>2.81</v>
      </c>
      <c r="V69" s="242">
        <f>'[2]Canada Sunflower Exports'!JO$290</f>
        <v>3.738</v>
      </c>
      <c r="W69" s="242">
        <f>'[2]Canada Sunflower Exports'!KA$290</f>
        <v>2.58</v>
      </c>
      <c r="X69" s="242">
        <f>'[2]Canada Sunflower Exports'!KM$290</f>
        <v>2.5369999999999999</v>
      </c>
      <c r="Y69" s="242">
        <f>'[2]Canada Sunflower Exports'!KY$290</f>
        <v>1.3759999999999999</v>
      </c>
      <c r="Z69" s="242">
        <f>'[2]Canada Sunflower Exports'!LK$290</f>
        <v>1.7452099999999999</v>
      </c>
      <c r="AA69" s="242">
        <f>'[2]Canada Sunflower Exports'!LW$290</f>
        <v>2.3702869999999998</v>
      </c>
      <c r="AB69" s="242">
        <f>'[2]Canada Sunflower Exports'!MI$290</f>
        <v>5.6451890000000002</v>
      </c>
      <c r="AC69" s="242">
        <f>'[2]Canada Sunflower Exports'!MU$290</f>
        <v>5.6909999999999998</v>
      </c>
      <c r="AD69" s="242">
        <f>'[2]Canada Sunflower Exports'!NG$290</f>
        <v>3.6992880000000001</v>
      </c>
      <c r="AE69" s="243">
        <f t="shared" si="49"/>
        <v>1.6660513628758402</v>
      </c>
    </row>
    <row r="70" spans="1:31">
      <c r="A70" s="240" t="s">
        <v>232</v>
      </c>
      <c r="B70" s="241">
        <f t="shared" si="50"/>
        <v>4.3331175275152409</v>
      </c>
      <c r="C70" s="242">
        <f>'[2]Canada Sunflower Exports'!AV$290</f>
        <v>6.2720000000000002</v>
      </c>
      <c r="D70" s="242">
        <f>'[2]Canada Sunflower Exports'!BH$290</f>
        <v>2.25</v>
      </c>
      <c r="E70" s="242">
        <f>'[2]Canada Sunflower Exports'!BT$290</f>
        <v>2.0510000000000002</v>
      </c>
      <c r="F70" s="242">
        <f>'[2]Canada Sunflower Exports'!CF$290</f>
        <v>3.8</v>
      </c>
      <c r="G70" s="242">
        <f>'[2]Canada Sunflower Exports'!CR$290</f>
        <v>3.6640000000000001</v>
      </c>
      <c r="H70" s="242">
        <f>'[2]Canada Sunflower Exports'!DD$290</f>
        <v>4.5780000000000003</v>
      </c>
      <c r="I70" s="242">
        <f>'[2]Canada Sunflower Exports'!DP$290</f>
        <v>6.44</v>
      </c>
      <c r="J70" s="242">
        <f>'[2]Canada Sunflower Exports'!EB$290</f>
        <v>9.3840000000000003</v>
      </c>
      <c r="K70" s="242">
        <f>'[2]Canada Sunflower Exports'!EN$290</f>
        <v>8.4540000000000006</v>
      </c>
      <c r="L70" s="242">
        <f>'[2]Canada Sunflower Exports'!EZ$290</f>
        <v>11.025</v>
      </c>
      <c r="M70" s="242">
        <f>'[2]Canada Sunflower Exports'!FL$290</f>
        <v>2.9369999999999998</v>
      </c>
      <c r="N70" s="242">
        <f>'[2]Canada Sunflower Exports'!FX$290</f>
        <v>4.2309999999999999</v>
      </c>
      <c r="O70" s="242">
        <f>'[2]Canada Sunflower Exports'!GJ$290</f>
        <v>12.75</v>
      </c>
      <c r="P70" s="242">
        <f>'[2]Canada Sunflower Exports'!GV$290</f>
        <v>11.736000000000001</v>
      </c>
      <c r="Q70" s="242">
        <f>'[2]Canada Sunflower Exports'!HH$290</f>
        <v>8.5980000000000008</v>
      </c>
      <c r="R70" s="242">
        <f>'[2]Canada Sunflower Exports'!HT$290</f>
        <v>3.4969999999999999</v>
      </c>
      <c r="S70" s="242">
        <f>'[2]Canada Sunflower Exports'!IF$290</f>
        <v>5.3650000000000002</v>
      </c>
      <c r="T70" s="242">
        <f>'[2]Canada Sunflower Exports'!IR$290</f>
        <v>2.4359999999999999</v>
      </c>
      <c r="U70" s="242">
        <f>'[2]Canada Sunflower Exports'!JD$290</f>
        <v>3.274</v>
      </c>
      <c r="V70" s="242">
        <f>'[2]Canada Sunflower Exports'!JP$290</f>
        <v>4.8369999999999997</v>
      </c>
      <c r="W70" s="242">
        <f>'[2]Canada Sunflower Exports'!KB$290</f>
        <v>3.6070000000000002</v>
      </c>
      <c r="X70" s="242">
        <f>'[2]Canada Sunflower Exports'!KN$290</f>
        <v>2.2919999999999998</v>
      </c>
      <c r="Y70" s="242">
        <f>'[2]Canada Sunflower Exports'!KZ$290</f>
        <v>1.2410000000000001</v>
      </c>
      <c r="Z70" s="242">
        <f>'[2]Canada Sunflower Exports'!LL$290</f>
        <v>1.0517030000000001</v>
      </c>
      <c r="AA70" s="242">
        <f>'[2]Canada Sunflower Exports'!LX$290</f>
        <v>2.2042670000000002</v>
      </c>
      <c r="AB70" s="242">
        <f>'[2]Canada Sunflower Exports'!MJ$290</f>
        <v>3.8842680000000001</v>
      </c>
      <c r="AC70" s="242">
        <f>'[2]Canada Sunflower Exports'!MV$290</f>
        <v>4.8</v>
      </c>
      <c r="AD70" s="242">
        <f>'[2]Canada Sunflower Exports'!NH$290</f>
        <v>2.9562349999999999</v>
      </c>
      <c r="AE70" s="243">
        <f t="shared" si="49"/>
        <v>1.3050290773366471</v>
      </c>
    </row>
    <row r="71" spans="1:31">
      <c r="A71" s="240" t="s">
        <v>233</v>
      </c>
      <c r="B71" s="241">
        <f t="shared" si="50"/>
        <v>4.7777908316689617</v>
      </c>
      <c r="C71" s="242">
        <f>'[2]Canada Sunflower Exports'!AW$290</f>
        <v>4.617</v>
      </c>
      <c r="D71" s="242">
        <f>'[2]Canada Sunflower Exports'!BI$290</f>
        <v>4.9509999999999996</v>
      </c>
      <c r="E71" s="242">
        <f>'[2]Canada Sunflower Exports'!BU$290</f>
        <v>1.8220000000000001</v>
      </c>
      <c r="F71" s="242">
        <f>'[2]Canada Sunflower Exports'!CG$290</f>
        <v>4.7389999999999999</v>
      </c>
      <c r="G71" s="242">
        <f>'[2]Canada Sunflower Exports'!CS$290</f>
        <v>4.8789999999999996</v>
      </c>
      <c r="H71" s="242">
        <f>'[2]Canada Sunflower Exports'!DE$290</f>
        <v>4.2539999999999996</v>
      </c>
      <c r="I71" s="242">
        <f>'[2]Canada Sunflower Exports'!DQ$290</f>
        <v>6.77</v>
      </c>
      <c r="J71" s="242">
        <f>'[2]Canada Sunflower Exports'!EC$290</f>
        <v>7.8010000000000002</v>
      </c>
      <c r="K71" s="242">
        <f>'[2]Canada Sunflower Exports'!EO$290</f>
        <v>9.9619999999999997</v>
      </c>
      <c r="L71" s="242">
        <f>'[2]Canada Sunflower Exports'!FA$290</f>
        <v>11.587999999999999</v>
      </c>
      <c r="M71" s="242">
        <f>'[2]Canada Sunflower Exports'!FM$290</f>
        <v>3.1930000000000001</v>
      </c>
      <c r="N71" s="242">
        <f>'[2]Canada Sunflower Exports'!FY$290</f>
        <v>4.5090000000000003</v>
      </c>
      <c r="O71" s="242">
        <f>'[2]Canada Sunflower Exports'!GK$290</f>
        <v>14.188000000000001</v>
      </c>
      <c r="P71" s="242">
        <f>'[2]Canada Sunflower Exports'!GW$290</f>
        <v>9.5760000000000005</v>
      </c>
      <c r="Q71" s="242">
        <f>'[2]Canada Sunflower Exports'!HI$290</f>
        <v>7.6929999999999996</v>
      </c>
      <c r="R71" s="242">
        <f>'[2]Canada Sunflower Exports'!HU$290</f>
        <v>5.032</v>
      </c>
      <c r="S71" s="242">
        <f>'[2]Canada Sunflower Exports'!IG$290</f>
        <v>5.3319999999999999</v>
      </c>
      <c r="T71" s="242">
        <f>'[2]Canada Sunflower Exports'!IS$290</f>
        <v>1.855</v>
      </c>
      <c r="U71" s="242">
        <f>'[2]Canada Sunflower Exports'!JE$290</f>
        <v>4.702</v>
      </c>
      <c r="V71" s="242">
        <f>'[2]Canada Sunflower Exports'!JQ$290</f>
        <v>4.9980000000000002</v>
      </c>
      <c r="W71" s="242">
        <f>'[2]Canada Sunflower Exports'!KC$290</f>
        <v>3.53</v>
      </c>
      <c r="X71" s="242">
        <f>'[2]Canada Sunflower Exports'!KO$290</f>
        <v>2.4950000000000001</v>
      </c>
      <c r="Y71" s="242">
        <f>'[2]Canada Sunflower Exports'!LA$290</f>
        <v>1.21</v>
      </c>
      <c r="Z71" s="242">
        <f>'[2]Canada Sunflower Exports'!LM$290</f>
        <v>1.078435</v>
      </c>
      <c r="AA71" s="242">
        <f>'[2]Canada Sunflower Exports'!LY$290</f>
        <v>2.3604889999999998</v>
      </c>
      <c r="AB71" s="242">
        <f>'[2]Canada Sunflower Exports'!MK$290</f>
        <v>3.3005599999999999</v>
      </c>
      <c r="AC71" s="242">
        <f>'[2]Canada Sunflower Exports'!MW$290</f>
        <v>5.7279999999999998</v>
      </c>
      <c r="AD71" s="242">
        <f>'[2]Canada Sunflower Exports'!NI$290</f>
        <v>5.7325929999999996</v>
      </c>
      <c r="AE71" s="243">
        <f t="shared" si="49"/>
        <v>1.3541606884578485</v>
      </c>
    </row>
    <row r="72" spans="1:31">
      <c r="A72" s="240" t="s">
        <v>234</v>
      </c>
      <c r="B72" s="241">
        <f t="shared" si="50"/>
        <v>3.7826377136915044</v>
      </c>
      <c r="C72" s="242">
        <f>'[2]Canada Sunflower Exports'!AX$290</f>
        <v>3.9849999999999999</v>
      </c>
      <c r="D72" s="242">
        <f>'[2]Canada Sunflower Exports'!BJ$290</f>
        <v>2.0550000000000002</v>
      </c>
      <c r="E72" s="242">
        <f>'[2]Canada Sunflower Exports'!BV$290</f>
        <v>2.363</v>
      </c>
      <c r="F72" s="242">
        <f>'[2]Canada Sunflower Exports'!CH$290</f>
        <v>4.3860000000000001</v>
      </c>
      <c r="G72" s="242">
        <f>'[2]Canada Sunflower Exports'!CT$290</f>
        <v>2.8490000000000002</v>
      </c>
      <c r="H72" s="242">
        <f>'[2]Canada Sunflower Exports'!DF$290</f>
        <v>3.0089999999999999</v>
      </c>
      <c r="I72" s="242">
        <f>'[2]Canada Sunflower Exports'!DR$290</f>
        <v>5.766</v>
      </c>
      <c r="J72" s="242">
        <f>'[2]Canada Sunflower Exports'!ED$290</f>
        <v>6.5330000000000004</v>
      </c>
      <c r="K72" s="242">
        <f>'[2]Canada Sunflower Exports'!EP$290</f>
        <v>6.9859999999999998</v>
      </c>
      <c r="L72" s="242">
        <f>'[2]Canada Sunflower Exports'!FB$290</f>
        <v>6.9530000000000003</v>
      </c>
      <c r="M72" s="242">
        <f>'[2]Canada Sunflower Exports'!FN$290</f>
        <v>2.0489999999999999</v>
      </c>
      <c r="N72" s="242">
        <f>'[2]Canada Sunflower Exports'!FZ$290</f>
        <v>4.1150000000000002</v>
      </c>
      <c r="O72" s="242">
        <f>'[2]Canada Sunflower Exports'!GL$290</f>
        <v>14.289</v>
      </c>
      <c r="P72" s="242">
        <f>'[2]Canada Sunflower Exports'!GX$290</f>
        <v>7.8959999999999999</v>
      </c>
      <c r="Q72" s="242">
        <f>'[2]Canada Sunflower Exports'!HJ$290</f>
        <v>8.891</v>
      </c>
      <c r="R72" s="242">
        <f>'[2]Canada Sunflower Exports'!HV$290</f>
        <v>3.3090000000000002</v>
      </c>
      <c r="S72" s="242">
        <f>'[2]Canada Sunflower Exports'!IH$290</f>
        <v>4.468</v>
      </c>
      <c r="T72" s="242">
        <f>'[2]Canada Sunflower Exports'!IT$290</f>
        <v>1.855</v>
      </c>
      <c r="U72" s="242">
        <f>'[2]Canada Sunflower Exports'!JF$290</f>
        <v>5.9450000000000003</v>
      </c>
      <c r="V72" s="242">
        <f>'[2]Canada Sunflower Exports'!JR$290</f>
        <v>5.0839999999999996</v>
      </c>
      <c r="W72" s="242">
        <f>'[2]Canada Sunflower Exports'!KD$290</f>
        <v>2.9289999999999998</v>
      </c>
      <c r="X72" s="242">
        <f>'[2]Canada Sunflower Exports'!KP$290</f>
        <v>1.7010000000000001</v>
      </c>
      <c r="Y72" s="242">
        <f>'[2]Canada Sunflower Exports'!LB$290</f>
        <v>1.222</v>
      </c>
      <c r="Z72" s="242">
        <f>'[2]Canada Sunflower Exports'!LN$290</f>
        <v>0.79033900000000001</v>
      </c>
      <c r="AA72" s="242">
        <f>'[2]Canada Sunflower Exports'!LZ$290</f>
        <v>2.1865709999999998</v>
      </c>
      <c r="AB72" s="242">
        <f>'[2]Canada Sunflower Exports'!ML$290</f>
        <v>2.539183</v>
      </c>
      <c r="AC72" s="242">
        <f>'[2]Canada Sunflower Exports'!MX$290</f>
        <v>3.298</v>
      </c>
      <c r="AD72" s="243">
        <f t="shared" ref="AD72:AD74" si="51">(SUM(X72:AB72)/SUM(X$76:AB$76))*AD$76</f>
        <v>0.98309651027068035</v>
      </c>
      <c r="AE72" s="243">
        <f t="shared" si="49"/>
        <v>0.99363907911038263</v>
      </c>
    </row>
    <row r="73" spans="1:31">
      <c r="A73" s="240" t="s">
        <v>46</v>
      </c>
      <c r="B73" s="241">
        <f t="shared" si="50"/>
        <v>2.8945009511287307</v>
      </c>
      <c r="C73" s="242">
        <f>'[2]Canada Sunflower Exports'!AY$290</f>
        <v>11.388999999999999</v>
      </c>
      <c r="D73" s="242">
        <f>'[2]Canada Sunflower Exports'!BK$290</f>
        <v>3.5350000000000001</v>
      </c>
      <c r="E73" s="242">
        <f>'[2]Canada Sunflower Exports'!BW$290</f>
        <v>2.161</v>
      </c>
      <c r="F73" s="242">
        <f>'[2]Canada Sunflower Exports'!CI$290</f>
        <v>2.5089999999999999</v>
      </c>
      <c r="G73" s="242">
        <f>'[2]Canada Sunflower Exports'!CU$290</f>
        <v>1.829</v>
      </c>
      <c r="H73" s="242">
        <f>'[2]Canada Sunflower Exports'!DG$290</f>
        <v>3.7829999999999999</v>
      </c>
      <c r="I73" s="242">
        <f>'[2]Canada Sunflower Exports'!DS$290</f>
        <v>5.3310000000000004</v>
      </c>
      <c r="J73" s="242">
        <f>'[2]Canada Sunflower Exports'!EE$290</f>
        <v>4.5549999999999997</v>
      </c>
      <c r="K73" s="242">
        <f>'[2]Canada Sunflower Exports'!EQ$290</f>
        <v>5.9180000000000001</v>
      </c>
      <c r="L73" s="242">
        <f>'[2]Canada Sunflower Exports'!FC$290</f>
        <v>5.0469999999999997</v>
      </c>
      <c r="M73" s="242">
        <f>'[2]Canada Sunflower Exports'!FO$290</f>
        <v>1.022</v>
      </c>
      <c r="N73" s="242">
        <f>'[2]Canada Sunflower Exports'!GA$290</f>
        <v>3.3980000000000001</v>
      </c>
      <c r="O73" s="242">
        <f>'[2]Canada Sunflower Exports'!GM$290</f>
        <v>10.932</v>
      </c>
      <c r="P73" s="242">
        <f>'[2]Canada Sunflower Exports'!GY$290</f>
        <v>6.3070000000000004</v>
      </c>
      <c r="Q73" s="242">
        <f>'[2]Canada Sunflower Exports'!HK$290</f>
        <v>5.4470000000000001</v>
      </c>
      <c r="R73" s="242">
        <f>'[2]Canada Sunflower Exports'!HW$290</f>
        <v>4.0880000000000001</v>
      </c>
      <c r="S73" s="242">
        <f>'[2]Canada Sunflower Exports'!II$290</f>
        <v>3.2959999999999998</v>
      </c>
      <c r="T73" s="242">
        <f>'[2]Canada Sunflower Exports'!IU$290</f>
        <v>2.734</v>
      </c>
      <c r="U73" s="242">
        <f>'[2]Canada Sunflower Exports'!JG$290</f>
        <v>4.5010000000000003</v>
      </c>
      <c r="V73" s="242">
        <f>'[2]Canada Sunflower Exports'!JS$290</f>
        <v>4.2560000000000002</v>
      </c>
      <c r="W73" s="242">
        <f>'[2]Canada Sunflower Exports'!KE$290</f>
        <v>2.17</v>
      </c>
      <c r="X73" s="242">
        <f>'[2]Canada Sunflower Exports'!KQ$290</f>
        <v>2.0329999999999999</v>
      </c>
      <c r="Y73" s="242">
        <f>'[2]Canada Sunflower Exports'!LC$290</f>
        <v>1.2350000000000001</v>
      </c>
      <c r="Z73" s="242">
        <f>'[2]Canada Sunflower Exports'!LO$290</f>
        <v>1.071682</v>
      </c>
      <c r="AA73" s="242">
        <f>'[2]Canada Sunflower Exports'!MA$290</f>
        <v>2.2286220000000001</v>
      </c>
      <c r="AB73" s="242">
        <f>'[2]Canada Sunflower Exports'!MM$290</f>
        <v>2.620819</v>
      </c>
      <c r="AC73" s="242">
        <f>'[2]Canada Sunflower Exports'!MY$290</f>
        <v>3.2970000000000002</v>
      </c>
      <c r="AD73" s="243">
        <f t="shared" si="51"/>
        <v>1.0704698661038625</v>
      </c>
      <c r="AE73" s="243">
        <f t="shared" si="49"/>
        <v>1.0349277862956789</v>
      </c>
    </row>
    <row r="74" spans="1:31">
      <c r="A74" s="240" t="s">
        <v>235</v>
      </c>
      <c r="B74" s="241">
        <f t="shared" si="50"/>
        <v>3.5810334182391741</v>
      </c>
      <c r="C74" s="242">
        <f>'[2]Canada Sunflower Exports'!AZ$290</f>
        <v>20.326000000000001</v>
      </c>
      <c r="D74" s="242">
        <f>'[2]Canada Sunflower Exports'!BL$290</f>
        <v>2.4969999999999999</v>
      </c>
      <c r="E74" s="242">
        <f>'[2]Canada Sunflower Exports'!BX$290</f>
        <v>3.2309999999999999</v>
      </c>
      <c r="F74" s="242">
        <f>'[2]Canada Sunflower Exports'!CJ$290</f>
        <v>5.7789999999999999</v>
      </c>
      <c r="G74" s="242">
        <f>'[2]Canada Sunflower Exports'!CV$290</f>
        <v>2.1419999999999999</v>
      </c>
      <c r="H74" s="242">
        <f>'[2]Canada Sunflower Exports'!DH$290</f>
        <v>3.484</v>
      </c>
      <c r="I74" s="242">
        <f>'[2]Canada Sunflower Exports'!DT$290</f>
        <v>5.8360000000000003</v>
      </c>
      <c r="J74" s="242">
        <f>'[2]Canada Sunflower Exports'!EF$290</f>
        <v>5.5229999999999997</v>
      </c>
      <c r="K74" s="242">
        <f>'[2]Canada Sunflower Exports'!ER$290</f>
        <v>8.7720000000000002</v>
      </c>
      <c r="L74" s="242">
        <f>'[2]Canada Sunflower Exports'!FD$290</f>
        <v>6.407</v>
      </c>
      <c r="M74" s="242">
        <f>'[2]Canada Sunflower Exports'!FP$290</f>
        <v>1.637</v>
      </c>
      <c r="N74" s="242">
        <f>'[2]Canada Sunflower Exports'!GB$290</f>
        <v>3.645</v>
      </c>
      <c r="O74" s="242">
        <f>'[2]Canada Sunflower Exports'!GN$290</f>
        <v>12.098000000000001</v>
      </c>
      <c r="P74" s="242">
        <f>'[2]Canada Sunflower Exports'!GZ$290</f>
        <v>7.1369999999999996</v>
      </c>
      <c r="Q74" s="242">
        <f>'[2]Canada Sunflower Exports'!HL$290</f>
        <v>5.8140000000000001</v>
      </c>
      <c r="R74" s="242">
        <f>'[2]Canada Sunflower Exports'!HX$290</f>
        <v>3.5739999999999998</v>
      </c>
      <c r="S74" s="242">
        <f>'[2]Canada Sunflower Exports'!IJ$290</f>
        <v>3.2069999999999999</v>
      </c>
      <c r="T74" s="242">
        <f>'[2]Canada Sunflower Exports'!IV$290</f>
        <v>3.3849999999999998</v>
      </c>
      <c r="U74" s="242">
        <f>'[2]Canada Sunflower Exports'!JH$290</f>
        <v>4.0010000000000003</v>
      </c>
      <c r="V74" s="242">
        <f>'[2]Canada Sunflower Exports'!JT$290</f>
        <v>3.4670000000000001</v>
      </c>
      <c r="W74" s="242">
        <f>'[2]Canada Sunflower Exports'!KF$290</f>
        <v>2.4409999999999998</v>
      </c>
      <c r="X74" s="242">
        <f>'[2]Canada Sunflower Exports'!KR$290</f>
        <v>2.367</v>
      </c>
      <c r="Y74" s="242">
        <f>'[2]Canada Sunflower Exports'!LD$290</f>
        <v>0.98399999999999999</v>
      </c>
      <c r="Z74" s="242">
        <f>'[2]Canada Sunflower Exports'!LP$290</f>
        <v>1.591396</v>
      </c>
      <c r="AA74" s="242">
        <f>'[2]Canada Sunflower Exports'!MB$290</f>
        <v>2.3047970000000002</v>
      </c>
      <c r="AB74" s="242">
        <f>'[2]Canada Sunflower Exports'!MN$290</f>
        <v>3.632924</v>
      </c>
      <c r="AC74" s="242">
        <f>'[2]Canada Sunflower Exports'!MZ$290</f>
        <v>3.7759999999999998</v>
      </c>
      <c r="AD74" s="243">
        <f t="shared" si="51"/>
        <v>1.2674590805003223</v>
      </c>
      <c r="AE74" s="243">
        <f t="shared" si="49"/>
        <v>1.2167032428814428</v>
      </c>
    </row>
    <row r="75" spans="1:31">
      <c r="A75" s="240" t="s">
        <v>236</v>
      </c>
      <c r="B75" s="241">
        <f t="shared" si="50"/>
        <v>3.9670841967649126</v>
      </c>
      <c r="C75" s="242">
        <f>'[2]Canada Sunflower Exports'!BA$290</f>
        <v>7.2830000000000004</v>
      </c>
      <c r="D75" s="242">
        <f>'[2]Canada Sunflower Exports'!BM$290</f>
        <v>1.7549999999999999</v>
      </c>
      <c r="E75" s="242">
        <f>'[2]Canada Sunflower Exports'!BY$290</f>
        <v>2.0590000000000002</v>
      </c>
      <c r="F75" s="242">
        <f>'[2]Canada Sunflower Exports'!CK$290</f>
        <v>2.121</v>
      </c>
      <c r="G75" s="242">
        <f>'[2]Canada Sunflower Exports'!CW$290</f>
        <v>1.9259999999999999</v>
      </c>
      <c r="H75" s="242">
        <f>'[2]Canada Sunflower Exports'!DI$290</f>
        <v>5.0449999999999999</v>
      </c>
      <c r="I75" s="242">
        <f>'[2]Canada Sunflower Exports'!DU$290</f>
        <v>9.3810000000000002</v>
      </c>
      <c r="J75" s="242">
        <f>'[2]Canada Sunflower Exports'!EG$290</f>
        <v>7.2249999999999996</v>
      </c>
      <c r="K75" s="242">
        <f>'[2]Canada Sunflower Exports'!ES$290</f>
        <v>10.721</v>
      </c>
      <c r="L75" s="242">
        <f>'[2]Canada Sunflower Exports'!FE$290</f>
        <v>6.0780000000000003</v>
      </c>
      <c r="M75" s="242">
        <f>'[2]Canada Sunflower Exports'!FQ$290</f>
        <v>1.631</v>
      </c>
      <c r="N75" s="242">
        <f>'[2]Canada Sunflower Exports'!GC$290</f>
        <v>2.6920000000000002</v>
      </c>
      <c r="O75" s="242">
        <f>'[2]Canada Sunflower Exports'!GO$290</f>
        <v>14.946999999999999</v>
      </c>
      <c r="P75" s="242">
        <f>'[2]Canada Sunflower Exports'!HA$290</f>
        <v>5.7119999999999997</v>
      </c>
      <c r="Q75" s="242">
        <f>'[2]Canada Sunflower Exports'!HM$290</f>
        <v>4.8689999999999998</v>
      </c>
      <c r="R75" s="242">
        <f>'[2]Canada Sunflower Exports'!HY$290</f>
        <v>2.891</v>
      </c>
      <c r="S75" s="242">
        <f>'[2]Canada Sunflower Exports'!IK$290</f>
        <v>2.819</v>
      </c>
      <c r="T75" s="242">
        <f>'[2]Canada Sunflower Exports'!IW$290</f>
        <v>2.4430000000000001</v>
      </c>
      <c r="U75" s="242">
        <f>'[2]Canada Sunflower Exports'!JI$290</f>
        <v>3.7749999999999999</v>
      </c>
      <c r="V75" s="242">
        <f>'[2]Canada Sunflower Exports'!JU$290</f>
        <v>3.403</v>
      </c>
      <c r="W75" s="242">
        <f>'[2]Canada Sunflower Exports'!KG$290</f>
        <v>2.6819999999999999</v>
      </c>
      <c r="X75" s="242">
        <f>'[2]Canada Sunflower Exports'!KS$290</f>
        <v>1.823</v>
      </c>
      <c r="Y75" s="242">
        <f>'[2]Canada Sunflower Exports'!LE$290</f>
        <v>1.1990000000000001</v>
      </c>
      <c r="Z75" s="242">
        <f>'[2]Canada Sunflower Exports'!LQ$290</f>
        <v>2.712701</v>
      </c>
      <c r="AA75" s="242">
        <f>'[2]Canada Sunflower Exports'!MC$290</f>
        <v>2.47384</v>
      </c>
      <c r="AB75" s="242">
        <f>'[2]Canada Sunflower Exports'!MO$290</f>
        <v>2.9322149999999998</v>
      </c>
      <c r="AC75" s="242">
        <f>'[2]Canada Sunflower Exports'!NA$290</f>
        <v>2.8620000000000001</v>
      </c>
      <c r="AD75" s="243">
        <f t="shared" ref="AD75:AE75" si="52">AD76-SUM(AD66:AD74)</f>
        <v>-16.348141456874867</v>
      </c>
      <c r="AE75" s="243">
        <f t="shared" si="52"/>
        <v>3.0751772281841312</v>
      </c>
    </row>
    <row r="76" spans="1:31" ht="15.75" thickBot="1">
      <c r="A76" s="240" t="s">
        <v>242</v>
      </c>
      <c r="B76" s="245">
        <f t="shared" ref="B76:C76" si="53">B13</f>
        <v>44</v>
      </c>
      <c r="C76" s="245">
        <f t="shared" si="53"/>
        <v>77</v>
      </c>
      <c r="D76" s="245">
        <f>SUM(D64:D75)</f>
        <v>35.244000000000007</v>
      </c>
      <c r="E76" s="245">
        <f t="shared" ref="E76:Y76" si="54">SUM(E64:E75)</f>
        <v>23.821000000000002</v>
      </c>
      <c r="F76" s="245">
        <f t="shared" si="54"/>
        <v>44.70900000000001</v>
      </c>
      <c r="G76" s="245">
        <f t="shared" si="54"/>
        <v>43.286000000000001</v>
      </c>
      <c r="H76" s="245">
        <f t="shared" si="54"/>
        <v>49.138000000000005</v>
      </c>
      <c r="I76" s="245">
        <f t="shared" si="54"/>
        <v>77.59</v>
      </c>
      <c r="J76" s="245">
        <f t="shared" si="54"/>
        <v>92.076999999999998</v>
      </c>
      <c r="K76" s="245">
        <f t="shared" si="54"/>
        <v>105.37100000000001</v>
      </c>
      <c r="L76" s="245">
        <f t="shared" si="54"/>
        <v>95.808000000000007</v>
      </c>
      <c r="M76" s="245">
        <f t="shared" si="54"/>
        <v>32.178000000000004</v>
      </c>
      <c r="N76" s="245">
        <f t="shared" si="54"/>
        <v>45.692000000000007</v>
      </c>
      <c r="O76" s="245">
        <f t="shared" si="54"/>
        <v>121.00200000000001</v>
      </c>
      <c r="P76" s="245">
        <f t="shared" si="54"/>
        <v>111.61499999999999</v>
      </c>
      <c r="Q76" s="245">
        <f t="shared" si="54"/>
        <v>88.106999999999999</v>
      </c>
      <c r="R76" s="245">
        <f t="shared" si="54"/>
        <v>49.040999999999997</v>
      </c>
      <c r="S76" s="245">
        <f t="shared" si="54"/>
        <v>45.703000000000003</v>
      </c>
      <c r="T76" s="245">
        <f t="shared" si="54"/>
        <v>33.342999999999996</v>
      </c>
      <c r="U76" s="245">
        <f t="shared" si="54"/>
        <v>43.732999999999997</v>
      </c>
      <c r="V76" s="245">
        <f t="shared" si="54"/>
        <v>48.725999999999992</v>
      </c>
      <c r="W76" s="245">
        <f t="shared" si="54"/>
        <v>34.161999999999992</v>
      </c>
      <c r="X76" s="245">
        <f t="shared" si="54"/>
        <v>28.577000000000005</v>
      </c>
      <c r="Y76" s="245">
        <f t="shared" si="54"/>
        <v>17.788</v>
      </c>
      <c r="Z76" s="245">
        <f>SUM(Z64:Z75)</f>
        <v>17.429780999999998</v>
      </c>
      <c r="AA76" s="245">
        <f>SUM(AA64:AA75)</f>
        <v>27.389601000000003</v>
      </c>
      <c r="AB76" s="245">
        <f>SUM(AB64:AB75)</f>
        <v>37.578556000000006</v>
      </c>
      <c r="AC76" s="245">
        <f>SUM(AC64:AC75)</f>
        <v>51.319168999999995</v>
      </c>
      <c r="AD76" s="247">
        <f t="shared" ref="AD76:AE76" si="55">AD13</f>
        <v>15</v>
      </c>
      <c r="AE76" s="247">
        <f t="shared" si="55"/>
        <v>15</v>
      </c>
    </row>
    <row r="77" spans="1:31">
      <c r="A77" s="248"/>
      <c r="B77" s="248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</row>
    <row r="78" spans="1:31" ht="15.75" thickBot="1">
      <c r="A78" s="235" t="s">
        <v>244</v>
      </c>
    </row>
    <row r="79" spans="1:31" ht="15.75" thickBot="1">
      <c r="A79" s="236"/>
      <c r="B79" s="237" t="str">
        <f>B$2</f>
        <v xml:space="preserve">93/94 </v>
      </c>
      <c r="C79" s="237" t="str">
        <f t="shared" ref="C79:AE79" si="56">C$2</f>
        <v xml:space="preserve">94/95 </v>
      </c>
      <c r="D79" s="237" t="str">
        <f t="shared" si="56"/>
        <v xml:space="preserve">95/96 </v>
      </c>
      <c r="E79" s="237" t="str">
        <f t="shared" si="56"/>
        <v xml:space="preserve">96/97 </v>
      </c>
      <c r="F79" s="237" t="str">
        <f t="shared" si="56"/>
        <v xml:space="preserve">97/98 </v>
      </c>
      <c r="G79" s="237" t="str">
        <f t="shared" si="56"/>
        <v xml:space="preserve">98/99 </v>
      </c>
      <c r="H79" s="237" t="str">
        <f t="shared" si="56"/>
        <v xml:space="preserve">99/00 </v>
      </c>
      <c r="I79" s="237" t="str">
        <f t="shared" si="56"/>
        <v xml:space="preserve">00/01 </v>
      </c>
      <c r="J79" s="237" t="str">
        <f t="shared" si="56"/>
        <v xml:space="preserve">01/02 </v>
      </c>
      <c r="K79" s="237" t="str">
        <f t="shared" si="56"/>
        <v xml:space="preserve">02/03 </v>
      </c>
      <c r="L79" s="237" t="str">
        <f t="shared" si="56"/>
        <v xml:space="preserve">03/04 </v>
      </c>
      <c r="M79" s="237" t="str">
        <f t="shared" si="56"/>
        <v xml:space="preserve">04/05 </v>
      </c>
      <c r="N79" s="237" t="str">
        <f t="shared" si="56"/>
        <v xml:space="preserve">05/06 </v>
      </c>
      <c r="O79" s="237" t="str">
        <f t="shared" si="56"/>
        <v xml:space="preserve">06/07 </v>
      </c>
      <c r="P79" s="237" t="str">
        <f t="shared" si="56"/>
        <v xml:space="preserve">07/08 </v>
      </c>
      <c r="Q79" s="237" t="str">
        <f t="shared" si="56"/>
        <v xml:space="preserve">08/09 </v>
      </c>
      <c r="R79" s="237" t="str">
        <f t="shared" si="56"/>
        <v xml:space="preserve">09/10 </v>
      </c>
      <c r="S79" s="237" t="str">
        <f t="shared" si="56"/>
        <v xml:space="preserve">10/11 </v>
      </c>
      <c r="T79" s="237" t="str">
        <f t="shared" si="56"/>
        <v xml:space="preserve">11/12 </v>
      </c>
      <c r="U79" s="237" t="str">
        <f t="shared" si="56"/>
        <v xml:space="preserve">12/13 </v>
      </c>
      <c r="V79" s="237" t="str">
        <f t="shared" si="56"/>
        <v xml:space="preserve">13/14 </v>
      </c>
      <c r="W79" s="237" t="str">
        <f t="shared" si="56"/>
        <v xml:space="preserve">14/15 </v>
      </c>
      <c r="X79" s="237" t="str">
        <f t="shared" si="56"/>
        <v xml:space="preserve">15/16 </v>
      </c>
      <c r="Y79" s="237" t="str">
        <f t="shared" si="56"/>
        <v xml:space="preserve">16/17 </v>
      </c>
      <c r="Z79" s="237" t="str">
        <f t="shared" si="56"/>
        <v xml:space="preserve">17/18 </v>
      </c>
      <c r="AA79" s="237" t="str">
        <f t="shared" si="56"/>
        <v xml:space="preserve">18/19 </v>
      </c>
      <c r="AB79" s="237" t="str">
        <f t="shared" si="56"/>
        <v xml:space="preserve">19/20 </v>
      </c>
      <c r="AC79" s="237" t="str">
        <f t="shared" si="56"/>
        <v xml:space="preserve">20/21 </v>
      </c>
      <c r="AD79" s="237" t="str">
        <f t="shared" si="56"/>
        <v>21/22</v>
      </c>
      <c r="AE79" s="237" t="str">
        <f t="shared" si="56"/>
        <v>22/23</v>
      </c>
    </row>
    <row r="80" spans="1:31">
      <c r="A80" s="240" t="s">
        <v>237</v>
      </c>
      <c r="B80" s="290">
        <f t="shared" ref="B80:Z90" si="57">B207/B$235</f>
        <v>3.4335569676688134</v>
      </c>
      <c r="C80" s="290">
        <f t="shared" si="57"/>
        <v>2.9198557439219983</v>
      </c>
      <c r="D80" s="290">
        <f t="shared" si="57"/>
        <v>1.1598793363499249</v>
      </c>
      <c r="E80" s="290">
        <f t="shared" si="57"/>
        <v>-0.96078431372549034</v>
      </c>
      <c r="F80" s="290">
        <f t="shared" si="57"/>
        <v>0.35143288084464502</v>
      </c>
      <c r="G80" s="290">
        <f t="shared" si="57"/>
        <v>1.0656108597285066</v>
      </c>
      <c r="H80" s="290">
        <f t="shared" si="57"/>
        <v>1.3906485671191549</v>
      </c>
      <c r="I80" s="290">
        <f t="shared" si="57"/>
        <v>-2.0686274509803924</v>
      </c>
      <c r="J80" s="290">
        <f t="shared" si="57"/>
        <v>-4.1726998491704386</v>
      </c>
      <c r="K80" s="290">
        <f t="shared" si="57"/>
        <v>-4.1319758672699844</v>
      </c>
      <c r="L80" s="290">
        <f t="shared" si="57"/>
        <v>0.82503770739064863</v>
      </c>
      <c r="M80" s="290">
        <f t="shared" si="57"/>
        <v>4.377828054298643</v>
      </c>
      <c r="N80" s="290">
        <f t="shared" si="57"/>
        <v>0.38838612368023973</v>
      </c>
      <c r="O80" s="290">
        <f t="shared" si="57"/>
        <v>0.78355957767722384</v>
      </c>
      <c r="P80" s="290">
        <f t="shared" si="57"/>
        <v>1.2941176470588227</v>
      </c>
      <c r="Q80" s="290">
        <f t="shared" si="57"/>
        <v>0.29788838612368057</v>
      </c>
      <c r="R80" s="290">
        <f t="shared" si="57"/>
        <v>-3.0475113122171944</v>
      </c>
      <c r="S80" s="290">
        <f t="shared" si="57"/>
        <v>-1.0482654600301664</v>
      </c>
      <c r="T80" s="290">
        <f t="shared" si="57"/>
        <v>6.9381598793363392E-2</v>
      </c>
      <c r="U80" s="290">
        <f t="shared" si="57"/>
        <v>-0.22322775263951689</v>
      </c>
      <c r="V80" s="290">
        <f t="shared" si="57"/>
        <v>-0.22926093514328796</v>
      </c>
      <c r="W80" s="290">
        <f t="shared" si="57"/>
        <v>0.46455505279034598</v>
      </c>
      <c r="X80" s="290">
        <f t="shared" si="57"/>
        <v>0.71568627450980393</v>
      </c>
      <c r="Y80" s="290">
        <f t="shared" si="57"/>
        <v>-1.0384615384615385</v>
      </c>
      <c r="Z80" s="290">
        <f t="shared" si="57"/>
        <v>-9.5159879336349604E-2</v>
      </c>
      <c r="AA80" s="252">
        <f t="shared" ref="AA80:AC82" si="58">(SUM(U80:Y80)/SUM(U$92:Y$92))*AA$92</f>
        <v>-0.47477307114797185</v>
      </c>
      <c r="AB80" s="252">
        <f t="shared" si="58"/>
        <v>-0.11371205423275568</v>
      </c>
      <c r="AC80" s="252">
        <f t="shared" si="58"/>
        <v>-0.17034745206699986</v>
      </c>
      <c r="AD80" s="252">
        <f t="shared" ref="AD80:AD82" si="59">(SUM(X80:AB80)/SUM(X$92:AB$92))*AD$92</f>
        <v>-0.29617788434437364</v>
      </c>
      <c r="AE80" s="252">
        <f t="shared" ref="AE80:AE90" si="60">(SUM(Y80:AC80)/SUM(Y$92:AC$92))*AE$92</f>
        <v>-0.45346808823108647</v>
      </c>
    </row>
    <row r="81" spans="1:31">
      <c r="A81" s="240" t="s">
        <v>238</v>
      </c>
      <c r="B81" s="290">
        <f t="shared" si="57"/>
        <v>3.4604145740115051</v>
      </c>
      <c r="C81" s="290">
        <f t="shared" si="57"/>
        <v>2.4929594814194656</v>
      </c>
      <c r="D81" s="290">
        <f t="shared" si="57"/>
        <v>0.45761689291101088</v>
      </c>
      <c r="E81" s="290">
        <f t="shared" si="57"/>
        <v>-1.0060331825037709</v>
      </c>
      <c r="F81" s="290">
        <f t="shared" si="57"/>
        <v>-6.4856711915535339E-2</v>
      </c>
      <c r="G81" s="290">
        <f t="shared" si="57"/>
        <v>0.84389140271493213</v>
      </c>
      <c r="H81" s="290">
        <f t="shared" si="57"/>
        <v>-0.79260935143288092</v>
      </c>
      <c r="I81" s="290">
        <f t="shared" si="57"/>
        <v>1.659879336349924</v>
      </c>
      <c r="J81" s="290">
        <f t="shared" si="57"/>
        <v>1.8702865761689287</v>
      </c>
      <c r="K81" s="290">
        <f t="shared" si="57"/>
        <v>-0.97586726998491657</v>
      </c>
      <c r="L81" s="290">
        <f t="shared" si="57"/>
        <v>-0.57088989441930615</v>
      </c>
      <c r="M81" s="290">
        <f t="shared" si="57"/>
        <v>0.70588235294117707</v>
      </c>
      <c r="N81" s="290">
        <f t="shared" si="57"/>
        <v>2.4630467571644044</v>
      </c>
      <c r="O81" s="290">
        <f t="shared" si="57"/>
        <v>1.1116138763197587</v>
      </c>
      <c r="P81" s="290">
        <f t="shared" si="57"/>
        <v>-0.48190045248868796</v>
      </c>
      <c r="Q81" s="290">
        <f t="shared" si="57"/>
        <v>-0.20889894419306193</v>
      </c>
      <c r="R81" s="290">
        <f t="shared" si="57"/>
        <v>-3.4366515837104075</v>
      </c>
      <c r="S81" s="290">
        <f t="shared" si="57"/>
        <v>-0.88763197586727072</v>
      </c>
      <c r="T81" s="290">
        <f t="shared" si="57"/>
        <v>0.82730015082956243</v>
      </c>
      <c r="U81" s="290">
        <f t="shared" si="57"/>
        <v>-0.66666666666666607</v>
      </c>
      <c r="V81" s="290">
        <f t="shared" si="57"/>
        <v>-0.24283559577677213</v>
      </c>
      <c r="W81" s="290">
        <f t="shared" si="57"/>
        <v>0.17269984917043696</v>
      </c>
      <c r="X81" s="290">
        <f t="shared" si="57"/>
        <v>8.8989441930618141E-2</v>
      </c>
      <c r="Y81" s="290">
        <f t="shared" si="57"/>
        <v>-0.52941176470588236</v>
      </c>
      <c r="Z81" s="290">
        <f t="shared" si="57"/>
        <v>0.86280392156862806</v>
      </c>
      <c r="AA81" s="252">
        <f t="shared" si="58"/>
        <v>-1.798836805975687</v>
      </c>
      <c r="AB81" s="252">
        <f t="shared" si="58"/>
        <v>0.21930778863386577</v>
      </c>
      <c r="AC81" s="252">
        <f t="shared" si="58"/>
        <v>-0.4789329532477099</v>
      </c>
      <c r="AD81" s="252">
        <f t="shared" si="59"/>
        <v>-0.34053514716426758</v>
      </c>
      <c r="AE81" s="252">
        <f t="shared" si="60"/>
        <v>-0.41335964438824535</v>
      </c>
    </row>
    <row r="82" spans="1:31">
      <c r="A82" s="240" t="s">
        <v>239</v>
      </c>
      <c r="B82" s="290">
        <f t="shared" si="57"/>
        <v>3.0912836324375417</v>
      </c>
      <c r="C82" s="290">
        <f t="shared" si="57"/>
        <v>3.0717741629346755</v>
      </c>
      <c r="D82" s="290">
        <f t="shared" si="57"/>
        <v>0.87481146304675728</v>
      </c>
      <c r="E82" s="290">
        <f t="shared" si="57"/>
        <v>2.5641025641025328E-2</v>
      </c>
      <c r="F82" s="290">
        <f t="shared" si="57"/>
        <v>3.9736048265460022</v>
      </c>
      <c r="G82" s="290">
        <f t="shared" si="57"/>
        <v>0.93212669683257898</v>
      </c>
      <c r="H82" s="290">
        <f t="shared" si="57"/>
        <v>-2.7337858220211166</v>
      </c>
      <c r="I82" s="290">
        <f t="shared" si="57"/>
        <v>2.544494720965309</v>
      </c>
      <c r="J82" s="290">
        <f t="shared" si="57"/>
        <v>0.58069381598793302</v>
      </c>
      <c r="K82" s="290">
        <f t="shared" si="57"/>
        <v>-0.67722473604826572</v>
      </c>
      <c r="L82" s="290">
        <f t="shared" si="57"/>
        <v>-0.61613876319758665</v>
      </c>
      <c r="M82" s="290">
        <f t="shared" si="57"/>
        <v>-2.305429864253393</v>
      </c>
      <c r="N82" s="290">
        <f t="shared" si="57"/>
        <v>0.29562594268476583</v>
      </c>
      <c r="O82" s="290">
        <f t="shared" si="57"/>
        <v>-1.7820512820512837</v>
      </c>
      <c r="P82" s="290">
        <f t="shared" si="57"/>
        <v>1.8484162895927605</v>
      </c>
      <c r="Q82" s="290">
        <f t="shared" si="57"/>
        <v>-0.79260935143287992</v>
      </c>
      <c r="R82" s="290">
        <f t="shared" si="57"/>
        <v>-0.63800904977375572</v>
      </c>
      <c r="S82" s="290">
        <f t="shared" si="57"/>
        <v>-0.16365007541478185</v>
      </c>
      <c r="T82" s="290">
        <f t="shared" si="57"/>
        <v>0.21870286576168932</v>
      </c>
      <c r="U82" s="290">
        <f t="shared" si="57"/>
        <v>-0.33634992458521834</v>
      </c>
      <c r="V82" s="290">
        <f t="shared" si="57"/>
        <v>-0.33333333333333331</v>
      </c>
      <c r="W82" s="290">
        <f t="shared" si="57"/>
        <v>1.2496229260935143</v>
      </c>
      <c r="X82" s="290">
        <f t="shared" si="57"/>
        <v>-0.20286576168929135</v>
      </c>
      <c r="Y82" s="290">
        <f t="shared" si="57"/>
        <v>7.0135746606334148E-2</v>
      </c>
      <c r="Z82" s="290">
        <f t="shared" si="57"/>
        <v>-0.49735897435897314</v>
      </c>
      <c r="AA82" s="252">
        <f t="shared" si="58"/>
        <v>0.68335056114258852</v>
      </c>
      <c r="AB82" s="252">
        <f t="shared" si="58"/>
        <v>0.17818810648784447</v>
      </c>
      <c r="AC82" s="252">
        <f t="shared" si="58"/>
        <v>0.51837303661086687</v>
      </c>
      <c r="AD82" s="252">
        <f t="shared" si="59"/>
        <v>6.8112972435191516E-2</v>
      </c>
      <c r="AE82" s="252">
        <f t="shared" si="60"/>
        <v>0.22828233774688389</v>
      </c>
    </row>
    <row r="83" spans="1:31">
      <c r="A83" s="240" t="s">
        <v>240</v>
      </c>
      <c r="B83" s="290">
        <f t="shared" si="57"/>
        <v>3.3539510224690732</v>
      </c>
      <c r="C83" s="290">
        <f t="shared" si="57"/>
        <v>2.6308003052012583</v>
      </c>
      <c r="D83" s="290">
        <f t="shared" si="57"/>
        <v>-0.52337858220211175</v>
      </c>
      <c r="E83" s="290">
        <f t="shared" si="57"/>
        <v>4.2699849170437414</v>
      </c>
      <c r="F83" s="290">
        <f t="shared" si="57"/>
        <v>-3.1938159879336352</v>
      </c>
      <c r="G83" s="290">
        <f t="shared" si="57"/>
        <v>-0.15384615384615399</v>
      </c>
      <c r="H83" s="290">
        <f t="shared" si="57"/>
        <v>-1.2315233785822031</v>
      </c>
      <c r="I83" s="290">
        <f t="shared" si="57"/>
        <v>-3.6953242835596728E-2</v>
      </c>
      <c r="J83" s="290">
        <f t="shared" si="57"/>
        <v>-0.76998491704374017</v>
      </c>
      <c r="K83" s="290">
        <f t="shared" si="57"/>
        <v>-1.079939668174962</v>
      </c>
      <c r="L83" s="290">
        <f t="shared" si="57"/>
        <v>1.4675716440422324</v>
      </c>
      <c r="M83" s="290">
        <f t="shared" si="57"/>
        <v>1.6855203619909505</v>
      </c>
      <c r="N83" s="290">
        <f t="shared" si="57"/>
        <v>-0.60708898944193102</v>
      </c>
      <c r="O83" s="290">
        <f t="shared" si="57"/>
        <v>-2.1870286576169535E-2</v>
      </c>
      <c r="P83" s="290">
        <f t="shared" si="57"/>
        <v>6.7873303167419366E-2</v>
      </c>
      <c r="Q83" s="290">
        <f t="shared" si="57"/>
        <v>1.196078431372549</v>
      </c>
      <c r="R83" s="290">
        <f t="shared" si="57"/>
        <v>-1.0271493212669687</v>
      </c>
      <c r="S83" s="290">
        <f t="shared" si="57"/>
        <v>-1.0754147812971349</v>
      </c>
      <c r="T83" s="290">
        <f t="shared" si="57"/>
        <v>-0.37179487179487203</v>
      </c>
      <c r="U83" s="290">
        <f t="shared" si="57"/>
        <v>-0.74585218702865685</v>
      </c>
      <c r="V83" s="290">
        <f t="shared" si="57"/>
        <v>8.974358974358991E-2</v>
      </c>
      <c r="W83" s="290">
        <f t="shared" si="57"/>
        <v>-4.1983408748114615</v>
      </c>
      <c r="X83" s="290">
        <f t="shared" si="57"/>
        <v>-0.83861236802413275</v>
      </c>
      <c r="Y83" s="290">
        <f t="shared" si="57"/>
        <v>0.80542986425339336</v>
      </c>
      <c r="Z83" s="290">
        <f t="shared" si="57"/>
        <v>1.4240663650075416</v>
      </c>
      <c r="AA83" s="252">
        <f t="shared" ref="Z83:AD90" si="61">(SUM(U83:Y83)/SUM(U$92:Y$92))*AA$92</f>
        <v>-7.468456975995144</v>
      </c>
      <c r="AB83" s="252">
        <f t="shared" si="61"/>
        <v>-1.6920446824864324</v>
      </c>
      <c r="AC83" s="252">
        <f t="shared" si="61"/>
        <v>-4.0884335854358262</v>
      </c>
      <c r="AD83" s="252">
        <f t="shared" si="61"/>
        <v>-2.2865089595185948</v>
      </c>
      <c r="AE83" s="252">
        <f t="shared" si="60"/>
        <v>-2.6404678559738386</v>
      </c>
    </row>
    <row r="84" spans="1:31">
      <c r="A84" s="240" t="s">
        <v>241</v>
      </c>
      <c r="B84" s="290">
        <f t="shared" si="57"/>
        <v>3.4678272733620887</v>
      </c>
      <c r="C84" s="290">
        <f t="shared" si="57"/>
        <v>2.7911179988302939</v>
      </c>
      <c r="D84" s="290">
        <f t="shared" si="57"/>
        <v>1.7458521870286576</v>
      </c>
      <c r="E84" s="290">
        <f t="shared" si="57"/>
        <v>0.53695324283559565</v>
      </c>
      <c r="F84" s="290">
        <f t="shared" si="57"/>
        <v>-0.20739064856711942</v>
      </c>
      <c r="G84" s="290">
        <f t="shared" si="57"/>
        <v>-2.7149321266968351E-2</v>
      </c>
      <c r="H84" s="290">
        <f t="shared" si="57"/>
        <v>-0.36500754147812969</v>
      </c>
      <c r="I84" s="290">
        <f t="shared" si="57"/>
        <v>0.41101055806938153</v>
      </c>
      <c r="J84" s="290">
        <f t="shared" si="57"/>
        <v>-1.5098039215686279</v>
      </c>
      <c r="K84" s="290">
        <f t="shared" si="57"/>
        <v>1.2051282051282055</v>
      </c>
      <c r="L84" s="290">
        <f t="shared" si="57"/>
        <v>-0.10482654600301609</v>
      </c>
      <c r="M84" s="290">
        <f t="shared" si="57"/>
        <v>3.4638009049773748</v>
      </c>
      <c r="N84" s="290">
        <f t="shared" si="57"/>
        <v>1.1644042232277521</v>
      </c>
      <c r="O84" s="290">
        <f t="shared" si="57"/>
        <v>0.88989441930618451</v>
      </c>
      <c r="P84" s="290">
        <f t="shared" si="57"/>
        <v>-0.15384615384615297</v>
      </c>
      <c r="Q84" s="290">
        <f t="shared" si="57"/>
        <v>1.881598793363499</v>
      </c>
      <c r="R84" s="290">
        <f t="shared" si="57"/>
        <v>-2.1583710407239822</v>
      </c>
      <c r="S84" s="290">
        <f t="shared" si="57"/>
        <v>0.52865761689291058</v>
      </c>
      <c r="T84" s="290">
        <f t="shared" si="57"/>
        <v>0.43589743589743563</v>
      </c>
      <c r="U84" s="290">
        <f t="shared" si="57"/>
        <v>-0.48567119155354427</v>
      </c>
      <c r="V84" s="290">
        <f t="shared" si="57"/>
        <v>0.45173453996983409</v>
      </c>
      <c r="W84" s="290">
        <f t="shared" si="57"/>
        <v>-0.17571644042232351</v>
      </c>
      <c r="X84" s="290">
        <f t="shared" si="57"/>
        <v>0.65007541478129682</v>
      </c>
      <c r="Y84" s="290">
        <f t="shared" si="57"/>
        <v>-5.4298642533936702E-2</v>
      </c>
      <c r="Z84" s="290">
        <f t="shared" si="57"/>
        <v>1.8949826546003024</v>
      </c>
      <c r="AA84" s="252">
        <f t="shared" si="61"/>
        <v>0.59000925346543853</v>
      </c>
      <c r="AB84" s="252">
        <f t="shared" si="61"/>
        <v>1.7225919260319027</v>
      </c>
      <c r="AC84" s="252">
        <f t="shared" si="61"/>
        <v>1.1558206070107697</v>
      </c>
      <c r="AD84" s="252">
        <f t="shared" si="61"/>
        <v>1.413573659453524</v>
      </c>
      <c r="AE84" s="252">
        <f t="shared" si="60"/>
        <v>1.2721630553474463</v>
      </c>
    </row>
    <row r="85" spans="1:31">
      <c r="A85" s="240" t="s">
        <v>231</v>
      </c>
      <c r="B85" s="290">
        <f t="shared" si="57"/>
        <v>3.4352758544747455</v>
      </c>
      <c r="C85" s="290">
        <f t="shared" si="57"/>
        <v>1.9446153846153846</v>
      </c>
      <c r="D85" s="290">
        <f t="shared" si="57"/>
        <v>1.1892911010558065</v>
      </c>
      <c r="E85" s="290">
        <f t="shared" si="57"/>
        <v>-0.48567119155354477</v>
      </c>
      <c r="F85" s="290">
        <f t="shared" si="57"/>
        <v>-0.23680241327300156</v>
      </c>
      <c r="G85" s="290">
        <f t="shared" si="57"/>
        <v>-0.12895927601809942</v>
      </c>
      <c r="H85" s="290">
        <f t="shared" si="57"/>
        <v>0.31598793363499184</v>
      </c>
      <c r="I85" s="290">
        <f t="shared" si="57"/>
        <v>-0.86048265460030238</v>
      </c>
      <c r="J85" s="290">
        <f t="shared" si="57"/>
        <v>1.4630467571644039</v>
      </c>
      <c r="K85" s="290">
        <f t="shared" si="57"/>
        <v>1.1101055806938158</v>
      </c>
      <c r="L85" s="290">
        <f t="shared" si="57"/>
        <v>0.37254901960784331</v>
      </c>
      <c r="M85" s="290">
        <f t="shared" si="57"/>
        <v>-1.0927601809954743</v>
      </c>
      <c r="N85" s="290">
        <f t="shared" si="57"/>
        <v>0.79110105580693646</v>
      </c>
      <c r="O85" s="290">
        <f t="shared" si="57"/>
        <v>1.2926093514328811</v>
      </c>
      <c r="P85" s="290">
        <f t="shared" si="57"/>
        <v>0.98642533936651566</v>
      </c>
      <c r="Q85" s="290">
        <f t="shared" si="57"/>
        <v>-0.22699849170437317</v>
      </c>
      <c r="R85" s="290">
        <f t="shared" si="57"/>
        <v>0.81447963800905054</v>
      </c>
      <c r="S85" s="290">
        <f t="shared" si="57"/>
        <v>-0.48491704374057348</v>
      </c>
      <c r="T85" s="290">
        <f t="shared" si="57"/>
        <v>0.69155354449472017</v>
      </c>
      <c r="U85" s="290">
        <f t="shared" si="57"/>
        <v>3.3446455505279049</v>
      </c>
      <c r="V85" s="290">
        <f t="shared" si="57"/>
        <v>1.3092006033182499</v>
      </c>
      <c r="W85" s="290">
        <f t="shared" si="57"/>
        <v>2.695324283559577</v>
      </c>
      <c r="X85" s="290">
        <f t="shared" si="57"/>
        <v>-6.4856711915535839E-2</v>
      </c>
      <c r="Y85" s="290">
        <f t="shared" si="57"/>
        <v>-5.6561085972850478E-2</v>
      </c>
      <c r="Z85" s="290">
        <f t="shared" si="57"/>
        <v>0.19318627450980508</v>
      </c>
      <c r="AA85" s="252">
        <f t="shared" si="61"/>
        <v>11.044235713306202</v>
      </c>
      <c r="AB85" s="252">
        <f t="shared" si="61"/>
        <v>2.5378947057047632</v>
      </c>
      <c r="AC85" s="252">
        <f t="shared" si="61"/>
        <v>5.4950537001191018</v>
      </c>
      <c r="AD85" s="252">
        <f t="shared" si="61"/>
        <v>4.0181850603121694</v>
      </c>
      <c r="AE85" s="252">
        <f t="shared" si="60"/>
        <v>4.603995339529301</v>
      </c>
    </row>
    <row r="86" spans="1:31">
      <c r="A86" s="240" t="s">
        <v>232</v>
      </c>
      <c r="B86" s="290">
        <f t="shared" si="57"/>
        <v>3.5651592387480058</v>
      </c>
      <c r="C86" s="290">
        <f t="shared" si="57"/>
        <v>2.7315384615384612</v>
      </c>
      <c r="D86" s="290">
        <f t="shared" si="57"/>
        <v>1.9110105580693821</v>
      </c>
      <c r="E86" s="290">
        <f t="shared" si="57"/>
        <v>-0.40648567119155349</v>
      </c>
      <c r="F86" s="290">
        <f t="shared" si="57"/>
        <v>2.5301659125188545</v>
      </c>
      <c r="G86" s="290">
        <f t="shared" si="57"/>
        <v>0.45927601809954716</v>
      </c>
      <c r="H86" s="290">
        <f t="shared" si="57"/>
        <v>-0.26093514328808487</v>
      </c>
      <c r="I86" s="290">
        <f t="shared" si="57"/>
        <v>8.0942684766214157</v>
      </c>
      <c r="J86" s="290">
        <f t="shared" si="57"/>
        <v>-1.9147812971342384</v>
      </c>
      <c r="K86" s="290">
        <f t="shared" si="57"/>
        <v>0.20965309200603319</v>
      </c>
      <c r="L86" s="290">
        <f t="shared" si="57"/>
        <v>0.53318250377073917</v>
      </c>
      <c r="M86" s="290">
        <f t="shared" si="57"/>
        <v>1.4909502262443444</v>
      </c>
      <c r="N86" s="290">
        <f t="shared" si="57"/>
        <v>1.7209653092006028</v>
      </c>
      <c r="O86" s="290">
        <f t="shared" si="57"/>
        <v>1.8650075414781302</v>
      </c>
      <c r="P86" s="290">
        <f t="shared" si="57"/>
        <v>2.2217194570135743</v>
      </c>
      <c r="Q86" s="290">
        <f t="shared" si="57"/>
        <v>0.16440422322775261</v>
      </c>
      <c r="R86" s="290">
        <f t="shared" si="57"/>
        <v>0.17873303167420754</v>
      </c>
      <c r="S86" s="290">
        <f t="shared" si="57"/>
        <v>0.32956259426847651</v>
      </c>
      <c r="T86" s="290">
        <f t="shared" si="57"/>
        <v>6.9381598793362892E-2</v>
      </c>
      <c r="U86" s="290">
        <f t="shared" si="57"/>
        <v>0.42835595776772301</v>
      </c>
      <c r="V86" s="290">
        <f t="shared" si="57"/>
        <v>-7.7677224736048253E-2</v>
      </c>
      <c r="W86" s="290">
        <f t="shared" si="57"/>
        <v>-3.6938159879336352</v>
      </c>
      <c r="X86" s="290">
        <f t="shared" si="57"/>
        <v>-0.63951734539969873</v>
      </c>
      <c r="Y86" s="290">
        <f t="shared" si="57"/>
        <v>1.0972850678733035</v>
      </c>
      <c r="Z86" s="252">
        <f t="shared" si="61"/>
        <v>-7.412857142857157</v>
      </c>
      <c r="AA86" s="252">
        <f t="shared" si="61"/>
        <v>-4.4089363354663522</v>
      </c>
      <c r="AB86" s="252">
        <f t="shared" si="61"/>
        <v>-6.6783557627366772</v>
      </c>
      <c r="AC86" s="252">
        <f t="shared" si="61"/>
        <v>-5.9909985595392765</v>
      </c>
      <c r="AD86" s="252">
        <f t="shared" si="61"/>
        <v>-5.3096649114362178</v>
      </c>
      <c r="AE86" s="252">
        <f t="shared" si="60"/>
        <v>-5.6056159021043825</v>
      </c>
    </row>
    <row r="87" spans="1:31">
      <c r="A87" s="240" t="s">
        <v>233</v>
      </c>
      <c r="B87" s="290">
        <f t="shared" si="57"/>
        <v>3.1540230008540711</v>
      </c>
      <c r="C87" s="290">
        <f t="shared" si="57"/>
        <v>2.572307692307692</v>
      </c>
      <c r="D87" s="290">
        <f t="shared" si="57"/>
        <v>-1.4573152337858217</v>
      </c>
      <c r="E87" s="290">
        <f t="shared" si="57"/>
        <v>0.59807993966817508</v>
      </c>
      <c r="F87" s="290">
        <f t="shared" si="57"/>
        <v>-0.53092006033182537</v>
      </c>
      <c r="G87" s="290">
        <f t="shared" si="57"/>
        <v>6.1085972850678537E-2</v>
      </c>
      <c r="H87" s="290">
        <f t="shared" si="57"/>
        <v>0.98567119155354399</v>
      </c>
      <c r="I87" s="290">
        <f t="shared" si="57"/>
        <v>-0.98944193061840169</v>
      </c>
      <c r="J87" s="290">
        <f t="shared" si="57"/>
        <v>-0.18432880844645541</v>
      </c>
      <c r="K87" s="290">
        <f t="shared" si="57"/>
        <v>1.4788838612368023</v>
      </c>
      <c r="L87" s="290">
        <f t="shared" si="57"/>
        <v>-0.62518853695324283</v>
      </c>
      <c r="M87" s="290">
        <f t="shared" si="57"/>
        <v>1.1063348416289589</v>
      </c>
      <c r="N87" s="290">
        <f t="shared" si="57"/>
        <v>-1.6048265460030167</v>
      </c>
      <c r="O87" s="290">
        <f t="shared" si="57"/>
        <v>-2.9042232277526403</v>
      </c>
      <c r="P87" s="290">
        <f t="shared" si="57"/>
        <v>-3.5135746606334841</v>
      </c>
      <c r="Q87" s="290">
        <f t="shared" si="57"/>
        <v>2.3906485671191553</v>
      </c>
      <c r="R87" s="290">
        <f t="shared" si="57"/>
        <v>0.2058823529411769</v>
      </c>
      <c r="S87" s="290">
        <f t="shared" si="57"/>
        <v>-5.731523378582274E-2</v>
      </c>
      <c r="T87" s="290">
        <f t="shared" si="57"/>
        <v>-0.25414781297134253</v>
      </c>
      <c r="U87" s="290">
        <f t="shared" si="57"/>
        <v>6.4102564102564583E-2</v>
      </c>
      <c r="V87" s="290">
        <f t="shared" si="57"/>
        <v>-0.44419306184012047</v>
      </c>
      <c r="W87" s="290">
        <f t="shared" si="57"/>
        <v>2.8401206636500747</v>
      </c>
      <c r="X87" s="290">
        <f t="shared" si="57"/>
        <v>-0.23227752639517399</v>
      </c>
      <c r="Y87" s="290">
        <f t="shared" si="57"/>
        <v>-0.38009049773755588</v>
      </c>
      <c r="Z87" s="252">
        <f t="shared" si="61"/>
        <v>3.7385714285714338</v>
      </c>
      <c r="AA87" s="252">
        <f t="shared" si="61"/>
        <v>2.8232864667779842</v>
      </c>
      <c r="AB87" s="252">
        <f t="shared" si="61"/>
        <v>3.4380712562198728</v>
      </c>
      <c r="AC87" s="252">
        <f t="shared" si="61"/>
        <v>3.4970844394109477</v>
      </c>
      <c r="AD87" s="252">
        <f t="shared" si="61"/>
        <v>2.7626510320139439</v>
      </c>
      <c r="AE87" s="252">
        <f t="shared" si="60"/>
        <v>3.1430650644667129</v>
      </c>
    </row>
    <row r="88" spans="1:31">
      <c r="A88" s="240" t="s">
        <v>234</v>
      </c>
      <c r="B88" s="290">
        <f t="shared" si="57"/>
        <v>3.2165475084198598</v>
      </c>
      <c r="C88" s="290">
        <f t="shared" si="57"/>
        <v>1.4683076923076925</v>
      </c>
      <c r="D88" s="290">
        <f t="shared" si="57"/>
        <v>2.3861236802413277</v>
      </c>
      <c r="E88" s="290">
        <f t="shared" si="57"/>
        <v>0.17948717948717932</v>
      </c>
      <c r="F88" s="290">
        <f t="shared" si="57"/>
        <v>0.57767722473604821</v>
      </c>
      <c r="G88" s="290">
        <f t="shared" si="57"/>
        <v>-0.74886877828054288</v>
      </c>
      <c r="H88" s="290">
        <f t="shared" si="57"/>
        <v>1.7232277526395163</v>
      </c>
      <c r="I88" s="290">
        <f t="shared" si="57"/>
        <v>-0.54374057315233826</v>
      </c>
      <c r="J88" s="290">
        <f t="shared" si="57"/>
        <v>-3.0663650075414788</v>
      </c>
      <c r="K88" s="290">
        <f t="shared" si="57"/>
        <v>0.58069381598793401</v>
      </c>
      <c r="L88" s="290">
        <f t="shared" si="57"/>
        <v>0.65987933634992479</v>
      </c>
      <c r="M88" s="290">
        <f t="shared" si="57"/>
        <v>-2.0769230769230771</v>
      </c>
      <c r="N88" s="290">
        <f t="shared" si="57"/>
        <v>0.80241327300150733</v>
      </c>
      <c r="O88" s="290">
        <f t="shared" si="57"/>
        <v>-1.8793363499245872</v>
      </c>
      <c r="P88" s="290">
        <f t="shared" si="57"/>
        <v>1.699095022624433</v>
      </c>
      <c r="Q88" s="290">
        <f t="shared" si="57"/>
        <v>-0.82202111613876505</v>
      </c>
      <c r="R88" s="290">
        <f t="shared" si="57"/>
        <v>1.5588235294117647</v>
      </c>
      <c r="S88" s="290">
        <f t="shared" si="57"/>
        <v>1.1236802413272999</v>
      </c>
      <c r="T88" s="290">
        <f t="shared" si="57"/>
        <v>-0.56184012066365052</v>
      </c>
      <c r="U88" s="290">
        <f t="shared" si="57"/>
        <v>-8.7481146304675628E-2</v>
      </c>
      <c r="V88" s="290">
        <f t="shared" si="57"/>
        <v>-8.2202111613876305E-2</v>
      </c>
      <c r="W88" s="290">
        <f t="shared" si="57"/>
        <v>-0.89969834087481182</v>
      </c>
      <c r="X88" s="290">
        <f t="shared" si="57"/>
        <v>0.26772247360482621</v>
      </c>
      <c r="Y88" s="290">
        <f t="shared" si="57"/>
        <v>0.77601809954751122</v>
      </c>
      <c r="Z88" s="252">
        <f t="shared" si="61"/>
        <v>-2.582857142857149</v>
      </c>
      <c r="AA88" s="252">
        <f t="shared" si="61"/>
        <v>-3.9180301987940244E-2</v>
      </c>
      <c r="AB88" s="252">
        <f t="shared" si="61"/>
        <v>-1.5695817702688886</v>
      </c>
      <c r="AC88" s="252">
        <f t="shared" si="61"/>
        <v>-0.98590926917971911</v>
      </c>
      <c r="AD88" s="252">
        <f t="shared" si="61"/>
        <v>-0.92638439961292773</v>
      </c>
      <c r="AE88" s="252">
        <f t="shared" si="60"/>
        <v>-1.054685875859867</v>
      </c>
    </row>
    <row r="89" spans="1:31">
      <c r="A89" s="240" t="s">
        <v>46</v>
      </c>
      <c r="B89" s="290">
        <f t="shared" si="57"/>
        <v>3.1911939280323578</v>
      </c>
      <c r="C89" s="290">
        <f t="shared" si="57"/>
        <v>1.9794153846153846</v>
      </c>
      <c r="D89" s="290">
        <f t="shared" si="57"/>
        <v>-2.5768966817496226</v>
      </c>
      <c r="E89" s="290">
        <f t="shared" si="57"/>
        <v>3.0165912518853387E-2</v>
      </c>
      <c r="F89" s="290">
        <f t="shared" si="57"/>
        <v>-0.69381598793363541</v>
      </c>
      <c r="G89" s="290">
        <f t="shared" si="57"/>
        <v>-0.51583710407239869</v>
      </c>
      <c r="H89" s="290">
        <f t="shared" si="57"/>
        <v>0.48793363499245801</v>
      </c>
      <c r="I89" s="290">
        <f t="shared" si="57"/>
        <v>-3.2767722473604834</v>
      </c>
      <c r="J89" s="290">
        <f t="shared" si="57"/>
        <v>3.8838612368024137</v>
      </c>
      <c r="K89" s="290">
        <f t="shared" si="57"/>
        <v>1.0042232277526399</v>
      </c>
      <c r="L89" s="290">
        <f t="shared" si="57"/>
        <v>-0.30392156862745118</v>
      </c>
      <c r="M89" s="290">
        <f t="shared" si="57"/>
        <v>-2.4366515837104061</v>
      </c>
      <c r="N89" s="290">
        <f t="shared" si="57"/>
        <v>-2.8265460030165914</v>
      </c>
      <c r="O89" s="290">
        <f t="shared" si="57"/>
        <v>1.7179487179487165</v>
      </c>
      <c r="P89" s="290">
        <f t="shared" si="57"/>
        <v>0.61990950226244446</v>
      </c>
      <c r="Q89" s="290">
        <f t="shared" si="57"/>
        <v>-1.3491704374057327</v>
      </c>
      <c r="R89" s="290">
        <f t="shared" si="57"/>
        <v>2.2850678733031677</v>
      </c>
      <c r="S89" s="290">
        <f t="shared" si="57"/>
        <v>0.35444947209653005</v>
      </c>
      <c r="T89" s="290">
        <f t="shared" si="57"/>
        <v>-0.31975867269984964</v>
      </c>
      <c r="U89" s="290">
        <f t="shared" si="57"/>
        <v>-8.2956259426843551E-3</v>
      </c>
      <c r="V89" s="290">
        <f t="shared" si="57"/>
        <v>-0.11840120663650028</v>
      </c>
      <c r="W89" s="290">
        <f t="shared" si="57"/>
        <v>0.5482654600301653</v>
      </c>
      <c r="X89" s="290">
        <f t="shared" si="57"/>
        <v>0.84917043740573139</v>
      </c>
      <c r="Y89" s="290">
        <f t="shared" si="57"/>
        <v>-0.27375565610859726</v>
      </c>
      <c r="Z89" s="252">
        <f t="shared" si="61"/>
        <v>1.8014285714285743</v>
      </c>
      <c r="AA89" s="252">
        <f t="shared" si="61"/>
        <v>1.5234223302369365</v>
      </c>
      <c r="AB89" s="252">
        <f t="shared" si="61"/>
        <v>1.7474523393764969</v>
      </c>
      <c r="AC89" s="252">
        <f t="shared" si="61"/>
        <v>1.7699179021281828</v>
      </c>
      <c r="AD89" s="252">
        <f t="shared" si="61"/>
        <v>1.6620583143089012</v>
      </c>
      <c r="AE89" s="252">
        <f t="shared" si="60"/>
        <v>1.5739296672536081</v>
      </c>
    </row>
    <row r="90" spans="1:31">
      <c r="A90" s="240" t="s">
        <v>235</v>
      </c>
      <c r="B90" s="290">
        <f t="shared" si="57"/>
        <v>3.3852132762519673</v>
      </c>
      <c r="C90" s="290">
        <f t="shared" si="57"/>
        <v>2.5100000000000002</v>
      </c>
      <c r="D90" s="290">
        <f t="shared" si="57"/>
        <v>-2.5573152337858218</v>
      </c>
      <c r="E90" s="290">
        <f t="shared" si="57"/>
        <v>0.44871794871794851</v>
      </c>
      <c r="F90" s="290">
        <f t="shared" si="57"/>
        <v>-0.64404223227752633</v>
      </c>
      <c r="G90" s="290">
        <f t="shared" si="57"/>
        <v>-1.6515837104072402</v>
      </c>
      <c r="H90" s="290">
        <f t="shared" si="57"/>
        <v>-1.0844645550527914</v>
      </c>
      <c r="I90" s="290">
        <f t="shared" si="57"/>
        <v>1.9766214177978878</v>
      </c>
      <c r="J90" s="290">
        <f t="shared" si="57"/>
        <v>1.6304675716440415</v>
      </c>
      <c r="K90" s="290">
        <f t="shared" ref="C90:AG91" si="62">K217/K$235</f>
        <v>1.1372549019607847</v>
      </c>
      <c r="L90" s="290">
        <f t="shared" si="62"/>
        <v>-0.78355957767722484</v>
      </c>
      <c r="M90" s="290">
        <f t="shared" si="62"/>
        <v>0.44570135746606349</v>
      </c>
      <c r="N90" s="290">
        <f t="shared" si="62"/>
        <v>0.22549019607843165</v>
      </c>
      <c r="O90" s="290">
        <f t="shared" si="62"/>
        <v>0.43514328808446384</v>
      </c>
      <c r="P90" s="290">
        <f t="shared" si="62"/>
        <v>-2.5972850678733024</v>
      </c>
      <c r="Q90" s="290">
        <f t="shared" si="62"/>
        <v>8.974358974358991E-2</v>
      </c>
      <c r="R90" s="290">
        <f t="shared" si="62"/>
        <v>2.7013574660633481</v>
      </c>
      <c r="S90" s="290">
        <f t="shared" si="62"/>
        <v>1.6938159879336343</v>
      </c>
      <c r="T90" s="290">
        <f t="shared" si="62"/>
        <v>-1.0143288084464563</v>
      </c>
      <c r="U90" s="290">
        <f t="shared" si="62"/>
        <v>-0.29788838612367957</v>
      </c>
      <c r="V90" s="290">
        <f t="shared" si="62"/>
        <v>9.8793363499246029E-2</v>
      </c>
      <c r="W90" s="290">
        <f t="shared" si="62"/>
        <v>1.3401206636500755</v>
      </c>
      <c r="X90" s="290">
        <f t="shared" si="62"/>
        <v>-0.23680241327300156</v>
      </c>
      <c r="Y90" s="290">
        <f t="shared" si="62"/>
        <v>0.13976696832579127</v>
      </c>
      <c r="Z90" s="252">
        <f t="shared" si="61"/>
        <v>-0.20857142857142905</v>
      </c>
      <c r="AA90" s="252">
        <f t="shared" si="61"/>
        <v>1.5952501950372382</v>
      </c>
      <c r="AB90" s="252">
        <f t="shared" si="61"/>
        <v>0.70559549292781776</v>
      </c>
      <c r="AC90" s="252">
        <f t="shared" si="61"/>
        <v>1.0462928562506664</v>
      </c>
      <c r="AD90" s="252">
        <f t="shared" si="61"/>
        <v>0.58717578453200014</v>
      </c>
      <c r="AE90" s="252">
        <f t="shared" si="60"/>
        <v>0.78555140224044417</v>
      </c>
    </row>
    <row r="91" spans="1:31">
      <c r="A91" s="240" t="s">
        <v>236</v>
      </c>
      <c r="B91" s="290">
        <f t="shared" ref="B91" si="63">B218/B$235</f>
        <v>3.2455537232699672</v>
      </c>
      <c r="C91" s="290">
        <f t="shared" si="62"/>
        <v>2.8873076923076924</v>
      </c>
      <c r="D91" s="290">
        <f t="shared" si="62"/>
        <v>-0.72699849170437381</v>
      </c>
      <c r="E91" s="290">
        <f t="shared" si="62"/>
        <v>0.19532428355957776</v>
      </c>
      <c r="F91" s="290">
        <f t="shared" si="62"/>
        <v>-0.56033182503770795</v>
      </c>
      <c r="G91" s="290">
        <f t="shared" si="62"/>
        <v>-4.5248868778280583E-2</v>
      </c>
      <c r="H91" s="290">
        <f t="shared" si="62"/>
        <v>1.7888386123680236</v>
      </c>
      <c r="I91" s="290">
        <f t="shared" si="62"/>
        <v>1.8137254901960775</v>
      </c>
      <c r="J91" s="290">
        <f t="shared" si="62"/>
        <v>2.227752639517345</v>
      </c>
      <c r="K91" s="290">
        <f t="shared" si="62"/>
        <v>0.58295625942684781</v>
      </c>
      <c r="L91" s="290">
        <f t="shared" si="62"/>
        <v>-3.4690799396681446E-2</v>
      </c>
      <c r="M91" s="290">
        <f t="shared" si="62"/>
        <v>0.80090497737556476</v>
      </c>
      <c r="N91" s="290">
        <f t="shared" si="62"/>
        <v>-1.9509803921568638</v>
      </c>
      <c r="O91" s="290">
        <f t="shared" si="62"/>
        <v>-1.0784313725490193</v>
      </c>
      <c r="P91" s="290">
        <f t="shared" si="62"/>
        <v>-0.69004524886877761</v>
      </c>
      <c r="Q91" s="290">
        <f t="shared" si="62"/>
        <v>-1.8672699849170431</v>
      </c>
      <c r="R91" s="290">
        <f t="shared" si="62"/>
        <v>3.5248868778280551</v>
      </c>
      <c r="S91" s="290">
        <f t="shared" si="62"/>
        <v>0.45173453996983354</v>
      </c>
      <c r="T91" s="290">
        <f t="shared" si="62"/>
        <v>0.34992458521870251</v>
      </c>
      <c r="U91" s="290">
        <f t="shared" si="62"/>
        <v>-0.8408748114630461</v>
      </c>
      <c r="V91" s="290">
        <f t="shared" si="62"/>
        <v>-0.14328808446455485</v>
      </c>
      <c r="W91" s="290">
        <f t="shared" si="62"/>
        <v>3.0165912518850375E-3</v>
      </c>
      <c r="X91" s="290">
        <f t="shared" si="62"/>
        <v>0.31749622926093485</v>
      </c>
      <c r="Y91" s="290">
        <f t="shared" si="62"/>
        <v>-3.6185520361991096E-2</v>
      </c>
      <c r="Z91" s="252">
        <f>Z92-SUM(Z80:Z90)</f>
        <v>3.8817653522947726</v>
      </c>
      <c r="AA91" s="252">
        <f>AA92-SUM(AA80:AA90)</f>
        <v>-1.0693710293932934</v>
      </c>
      <c r="AB91" s="252">
        <f>AB92-SUM(AB80:AB90)</f>
        <v>2.5045926543421904</v>
      </c>
      <c r="AC91" s="252">
        <f>AC92-SUM(AC80:AC90)</f>
        <v>1.2320792779389964</v>
      </c>
      <c r="AD91" s="252">
        <f t="shared" ref="AD91:AE91" si="64">AD92-SUM(AD80:AD90)</f>
        <v>1.6475144790206517</v>
      </c>
      <c r="AE91" s="252">
        <f t="shared" si="64"/>
        <v>1.5606104999730237</v>
      </c>
    </row>
    <row r="92" spans="1:31" ht="15.75" thickBot="1">
      <c r="A92" s="240" t="s">
        <v>242</v>
      </c>
      <c r="B92" s="146">
        <f>SUM(B80:B91)</f>
        <v>39.999999999999993</v>
      </c>
      <c r="C92" s="146">
        <f t="shared" ref="C92:Y92" si="65">SUM(C80:C91)</f>
        <v>30.000000000000004</v>
      </c>
      <c r="D92" s="146">
        <f t="shared" si="65"/>
        <v>1.8826809954751149</v>
      </c>
      <c r="E92" s="146">
        <f t="shared" si="65"/>
        <v>3.425380090497737</v>
      </c>
      <c r="F92" s="146">
        <f t="shared" si="65"/>
        <v>1.3009049773755641</v>
      </c>
      <c r="G92" s="146">
        <f t="shared" si="65"/>
        <v>9.0497737556559238E-2</v>
      </c>
      <c r="H92" s="146">
        <f t="shared" si="65"/>
        <v>0.22398190045248167</v>
      </c>
      <c r="I92" s="146">
        <f t="shared" si="65"/>
        <v>8.7239819004524826</v>
      </c>
      <c r="J92" s="146">
        <f t="shared" si="65"/>
        <v>3.8144796380087609E-2</v>
      </c>
      <c r="K92" s="146">
        <f t="shared" si="65"/>
        <v>0.44389140271493499</v>
      </c>
      <c r="L92" s="146">
        <f t="shared" si="65"/>
        <v>0.81900452488687936</v>
      </c>
      <c r="M92" s="146">
        <f t="shared" si="65"/>
        <v>6.1651583710407269</v>
      </c>
      <c r="N92" s="146">
        <f t="shared" si="65"/>
        <v>0.8619909502262364</v>
      </c>
      <c r="O92" s="146">
        <f t="shared" si="65"/>
        <v>0.4298642533936583</v>
      </c>
      <c r="P92" s="146">
        <f t="shared" si="65"/>
        <v>1.3009049773755659</v>
      </c>
      <c r="Q92" s="146">
        <f t="shared" si="65"/>
        <v>0.75339366515836992</v>
      </c>
      <c r="R92" s="146">
        <f t="shared" si="65"/>
        <v>0.96153846153846123</v>
      </c>
      <c r="S92" s="146">
        <f t="shared" si="65"/>
        <v>0.76470588235293446</v>
      </c>
      <c r="T92" s="146">
        <f t="shared" si="65"/>
        <v>0.14027149321266541</v>
      </c>
      <c r="U92" s="146">
        <f t="shared" si="65"/>
        <v>0.14479638009050444</v>
      </c>
      <c r="V92" s="146">
        <f t="shared" si="65"/>
        <v>0.27828054298642635</v>
      </c>
      <c r="W92" s="146">
        <f t="shared" si="65"/>
        <v>0.34615384615384281</v>
      </c>
      <c r="X92" s="146">
        <f t="shared" si="65"/>
        <v>0.67420814479637725</v>
      </c>
      <c r="Y92" s="146">
        <f t="shared" si="65"/>
        <v>0.51987104072398116</v>
      </c>
      <c r="Z92" s="253">
        <f>Z12</f>
        <v>3</v>
      </c>
      <c r="AA92" s="253">
        <f>AA12</f>
        <v>3</v>
      </c>
      <c r="AB92" s="253">
        <f>AB12</f>
        <v>3</v>
      </c>
      <c r="AC92" s="253">
        <f>AC12</f>
        <v>3</v>
      </c>
      <c r="AD92" s="253">
        <f t="shared" ref="AD92:AE92" si="66">AD12</f>
        <v>3</v>
      </c>
      <c r="AE92" s="253">
        <f t="shared" si="66"/>
        <v>3</v>
      </c>
    </row>
    <row r="93" spans="1:31">
      <c r="A93" s="248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</row>
    <row r="94" spans="1:31" ht="15.75" thickBot="1">
      <c r="A94" s="235" t="s">
        <v>252</v>
      </c>
    </row>
    <row r="95" spans="1:31" ht="15.75" thickBot="1">
      <c r="A95" s="236"/>
      <c r="B95" s="237" t="str">
        <f>B$2</f>
        <v xml:space="preserve">93/94 </v>
      </c>
      <c r="C95" s="237" t="str">
        <f t="shared" ref="C95:AE95" si="67">C$2</f>
        <v xml:space="preserve">94/95 </v>
      </c>
      <c r="D95" s="237" t="str">
        <f t="shared" si="67"/>
        <v xml:space="preserve">95/96 </v>
      </c>
      <c r="E95" s="237" t="str">
        <f t="shared" si="67"/>
        <v xml:space="preserve">96/97 </v>
      </c>
      <c r="F95" s="237" t="str">
        <f t="shared" si="67"/>
        <v xml:space="preserve">97/98 </v>
      </c>
      <c r="G95" s="237" t="str">
        <f t="shared" si="67"/>
        <v xml:space="preserve">98/99 </v>
      </c>
      <c r="H95" s="237" t="str">
        <f t="shared" si="67"/>
        <v xml:space="preserve">99/00 </v>
      </c>
      <c r="I95" s="237" t="str">
        <f t="shared" si="67"/>
        <v xml:space="preserve">00/01 </v>
      </c>
      <c r="J95" s="237" t="str">
        <f t="shared" si="67"/>
        <v xml:space="preserve">01/02 </v>
      </c>
      <c r="K95" s="237" t="str">
        <f t="shared" si="67"/>
        <v xml:space="preserve">02/03 </v>
      </c>
      <c r="L95" s="237" t="str">
        <f t="shared" si="67"/>
        <v xml:space="preserve">03/04 </v>
      </c>
      <c r="M95" s="237" t="str">
        <f t="shared" si="67"/>
        <v xml:space="preserve">04/05 </v>
      </c>
      <c r="N95" s="237" t="str">
        <f t="shared" si="67"/>
        <v xml:space="preserve">05/06 </v>
      </c>
      <c r="O95" s="237" t="str">
        <f t="shared" si="67"/>
        <v xml:space="preserve">06/07 </v>
      </c>
      <c r="P95" s="237" t="str">
        <f t="shared" si="67"/>
        <v xml:space="preserve">07/08 </v>
      </c>
      <c r="Q95" s="237" t="str">
        <f t="shared" si="67"/>
        <v xml:space="preserve">08/09 </v>
      </c>
      <c r="R95" s="237" t="str">
        <f t="shared" si="67"/>
        <v xml:space="preserve">09/10 </v>
      </c>
      <c r="S95" s="237" t="str">
        <f t="shared" si="67"/>
        <v xml:space="preserve">10/11 </v>
      </c>
      <c r="T95" s="237" t="str">
        <f t="shared" si="67"/>
        <v xml:space="preserve">11/12 </v>
      </c>
      <c r="U95" s="237" t="str">
        <f t="shared" si="67"/>
        <v xml:space="preserve">12/13 </v>
      </c>
      <c r="V95" s="237" t="str">
        <f t="shared" si="67"/>
        <v xml:space="preserve">13/14 </v>
      </c>
      <c r="W95" s="237" t="str">
        <f t="shared" si="67"/>
        <v xml:space="preserve">14/15 </v>
      </c>
      <c r="X95" s="237" t="str">
        <f t="shared" si="67"/>
        <v xml:space="preserve">15/16 </v>
      </c>
      <c r="Y95" s="237" t="str">
        <f t="shared" si="67"/>
        <v xml:space="preserve">16/17 </v>
      </c>
      <c r="Z95" s="237" t="str">
        <f t="shared" si="67"/>
        <v xml:space="preserve">17/18 </v>
      </c>
      <c r="AA95" s="237" t="str">
        <f t="shared" si="67"/>
        <v xml:space="preserve">18/19 </v>
      </c>
      <c r="AB95" s="237" t="str">
        <f t="shared" si="67"/>
        <v xml:space="preserve">19/20 </v>
      </c>
      <c r="AC95" s="237" t="str">
        <f t="shared" si="67"/>
        <v xml:space="preserve">20/21 </v>
      </c>
      <c r="AD95" s="237" t="str">
        <f t="shared" si="67"/>
        <v>21/22</v>
      </c>
      <c r="AE95" s="237" t="str">
        <f t="shared" si="67"/>
        <v>22/23</v>
      </c>
    </row>
    <row r="96" spans="1:31">
      <c r="A96" s="240" t="s">
        <v>237</v>
      </c>
      <c r="B96" s="290">
        <f t="shared" ref="B96:AE104" si="68">B$124*B80</f>
        <v>1.2017449386840846</v>
      </c>
      <c r="C96" s="290">
        <f t="shared" si="68"/>
        <v>0.9732852479739994</v>
      </c>
      <c r="D96" s="290">
        <f t="shared" si="68"/>
        <v>0.39667873303167434</v>
      </c>
      <c r="E96" s="290">
        <f t="shared" si="68"/>
        <v>-0.32858823529411774</v>
      </c>
      <c r="F96" s="290">
        <f t="shared" si="68"/>
        <v>0.1201900452488686</v>
      </c>
      <c r="G96" s="290">
        <f t="shared" si="68"/>
        <v>0.36443891402714929</v>
      </c>
      <c r="H96" s="290">
        <f t="shared" si="68"/>
        <v>0.47560180995475099</v>
      </c>
      <c r="I96" s="290">
        <f t="shared" si="68"/>
        <v>-0.7074705882352943</v>
      </c>
      <c r="J96" s="290">
        <f t="shared" si="68"/>
        <v>-1.42706334841629</v>
      </c>
      <c r="K96" s="290">
        <f t="shared" si="68"/>
        <v>-1.4131357466063348</v>
      </c>
      <c r="L96" s="290">
        <f t="shared" si="68"/>
        <v>0.28216289592760185</v>
      </c>
      <c r="M96" s="290">
        <f t="shared" si="68"/>
        <v>1.497217194570136</v>
      </c>
      <c r="N96" s="290">
        <f t="shared" si="68"/>
        <v>0.132828054298642</v>
      </c>
      <c r="O96" s="290">
        <f t="shared" si="68"/>
        <v>0.26797737556561058</v>
      </c>
      <c r="P96" s="290">
        <f t="shared" si="68"/>
        <v>0.44258823529411739</v>
      </c>
      <c r="Q96" s="290">
        <f t="shared" si="68"/>
        <v>0.10187782805429876</v>
      </c>
      <c r="R96" s="290">
        <f t="shared" si="68"/>
        <v>-1.0422488687782805</v>
      </c>
      <c r="S96" s="290">
        <f t="shared" si="68"/>
        <v>-0.35850678733031693</v>
      </c>
      <c r="T96" s="290">
        <f t="shared" si="68"/>
        <v>2.3728506787330281E-2</v>
      </c>
      <c r="U96" s="290">
        <f t="shared" si="68"/>
        <v>-7.6343891402714775E-2</v>
      </c>
      <c r="V96" s="290">
        <f t="shared" si="68"/>
        <v>-7.8407239819004493E-2</v>
      </c>
      <c r="W96" s="290">
        <f t="shared" si="68"/>
        <v>0.15887782805429834</v>
      </c>
      <c r="X96" s="290">
        <f t="shared" si="68"/>
        <v>0.24476470588235297</v>
      </c>
      <c r="Y96" s="290">
        <f t="shared" si="68"/>
        <v>-0.35515384615384621</v>
      </c>
      <c r="Z96" s="290">
        <f t="shared" si="68"/>
        <v>-3.2544678733031566E-2</v>
      </c>
      <c r="AA96" s="252">
        <f t="shared" si="68"/>
        <v>-0.16237239033260631</v>
      </c>
      <c r="AB96" s="252">
        <f t="shared" si="68"/>
        <v>-3.8889522547602424E-2</v>
      </c>
      <c r="AC96" s="252">
        <f t="shared" si="68"/>
        <v>-5.8258828606913921E-2</v>
      </c>
      <c r="AD96" s="252">
        <f t="shared" si="68"/>
        <v>-0.10129283644577571</v>
      </c>
      <c r="AE96" s="252">
        <f t="shared" si="68"/>
        <v>-0.15508608617503147</v>
      </c>
    </row>
    <row r="97" spans="1:31">
      <c r="A97" s="240" t="s">
        <v>238</v>
      </c>
      <c r="B97" s="290">
        <f t="shared" si="68"/>
        <v>1.2111451009040266</v>
      </c>
      <c r="C97" s="290">
        <f t="shared" si="68"/>
        <v>0.83098649380648848</v>
      </c>
      <c r="D97" s="290">
        <f t="shared" si="68"/>
        <v>0.15650497737556573</v>
      </c>
      <c r="E97" s="290">
        <f t="shared" si="68"/>
        <v>-0.34406334841628966</v>
      </c>
      <c r="F97" s="290">
        <f t="shared" si="68"/>
        <v>-2.2180995475113086E-2</v>
      </c>
      <c r="G97" s="290">
        <f t="shared" si="68"/>
        <v>0.28861085972850681</v>
      </c>
      <c r="H97" s="290">
        <f t="shared" si="68"/>
        <v>-0.27107239819004531</v>
      </c>
      <c r="I97" s="290">
        <f t="shared" si="68"/>
        <v>0.56767873303167404</v>
      </c>
      <c r="J97" s="290">
        <f t="shared" si="68"/>
        <v>0.63963800904977364</v>
      </c>
      <c r="K97" s="290">
        <f t="shared" si="68"/>
        <v>-0.33374660633484149</v>
      </c>
      <c r="L97" s="290">
        <f t="shared" si="68"/>
        <v>-0.19524434389140272</v>
      </c>
      <c r="M97" s="290">
        <f t="shared" si="68"/>
        <v>0.24141176470588258</v>
      </c>
      <c r="N97" s="290">
        <f t="shared" si="68"/>
        <v>0.84236199095022635</v>
      </c>
      <c r="O97" s="290">
        <f t="shared" si="68"/>
        <v>0.38017194570135754</v>
      </c>
      <c r="P97" s="290">
        <f t="shared" si="68"/>
        <v>-0.1648099547511313</v>
      </c>
      <c r="Q97" s="290">
        <f t="shared" si="68"/>
        <v>-7.1443438914027185E-2</v>
      </c>
      <c r="R97" s="290">
        <f t="shared" si="68"/>
        <v>-1.1753348416289595</v>
      </c>
      <c r="S97" s="290">
        <f t="shared" si="68"/>
        <v>-0.30357013574660663</v>
      </c>
      <c r="T97" s="290">
        <f t="shared" si="68"/>
        <v>0.2829366515837104</v>
      </c>
      <c r="U97" s="290">
        <f t="shared" si="68"/>
        <v>-0.22799999999999981</v>
      </c>
      <c r="V97" s="290">
        <f t="shared" si="68"/>
        <v>-8.3049773755656073E-2</v>
      </c>
      <c r="W97" s="290">
        <f t="shared" si="68"/>
        <v>5.9063348416289442E-2</v>
      </c>
      <c r="X97" s="290">
        <f t="shared" si="68"/>
        <v>3.0434389140271405E-2</v>
      </c>
      <c r="Y97" s="290">
        <f t="shared" si="68"/>
        <v>-0.18105882352941177</v>
      </c>
      <c r="Z97" s="290">
        <f t="shared" si="68"/>
        <v>0.29507894117647082</v>
      </c>
      <c r="AA97" s="252">
        <f t="shared" si="68"/>
        <v>-0.61520218764368473</v>
      </c>
      <c r="AB97" s="252">
        <f t="shared" si="68"/>
        <v>7.5003263712782056E-2</v>
      </c>
      <c r="AC97" s="252">
        <f t="shared" si="68"/>
        <v>-0.16379507001071669</v>
      </c>
      <c r="AD97" s="252">
        <f t="shared" si="68"/>
        <v>-0.11646302033017943</v>
      </c>
      <c r="AE97" s="252">
        <f t="shared" si="68"/>
        <v>-0.14136899838077979</v>
      </c>
    </row>
    <row r="98" spans="1:31">
      <c r="A98" s="240" t="s">
        <v>239</v>
      </c>
      <c r="B98" s="290">
        <f t="shared" si="68"/>
        <v>1.0819492713531396</v>
      </c>
      <c r="C98" s="290">
        <f t="shared" si="68"/>
        <v>1.0239247209782252</v>
      </c>
      <c r="D98" s="290">
        <f t="shared" si="68"/>
        <v>0.29918552036199103</v>
      </c>
      <c r="E98" s="290">
        <f t="shared" si="68"/>
        <v>8.7692307692306629E-3</v>
      </c>
      <c r="F98" s="290">
        <f t="shared" si="68"/>
        <v>1.3589728506787329</v>
      </c>
      <c r="G98" s="290">
        <f t="shared" si="68"/>
        <v>0.31878733031674206</v>
      </c>
      <c r="H98" s="290">
        <f t="shared" si="68"/>
        <v>-0.93495475113122195</v>
      </c>
      <c r="I98" s="290">
        <f t="shared" si="68"/>
        <v>0.8702171945701358</v>
      </c>
      <c r="J98" s="290">
        <f t="shared" si="68"/>
        <v>0.19859728506787311</v>
      </c>
      <c r="K98" s="290">
        <f t="shared" si="68"/>
        <v>-0.2316108597285069</v>
      </c>
      <c r="L98" s="290">
        <f t="shared" si="68"/>
        <v>-0.21071945701357464</v>
      </c>
      <c r="M98" s="290">
        <f t="shared" si="68"/>
        <v>-0.78845701357466047</v>
      </c>
      <c r="N98" s="290">
        <f t="shared" si="68"/>
        <v>0.10110407239818991</v>
      </c>
      <c r="O98" s="290">
        <f t="shared" si="68"/>
        <v>-0.60946153846153905</v>
      </c>
      <c r="P98" s="290">
        <f t="shared" si="68"/>
        <v>0.63215837104072414</v>
      </c>
      <c r="Q98" s="290">
        <f t="shared" si="68"/>
        <v>-0.27107239819004497</v>
      </c>
      <c r="R98" s="290">
        <f t="shared" si="68"/>
        <v>-0.21819909502262447</v>
      </c>
      <c r="S98" s="290">
        <f t="shared" si="68"/>
        <v>-5.59683257918554E-2</v>
      </c>
      <c r="T98" s="290">
        <f t="shared" si="68"/>
        <v>7.4796380090497758E-2</v>
      </c>
      <c r="U98" s="290">
        <f t="shared" si="68"/>
        <v>-0.11503167420814468</v>
      </c>
      <c r="V98" s="290">
        <f t="shared" si="68"/>
        <v>-0.114</v>
      </c>
      <c r="W98" s="290">
        <f t="shared" si="68"/>
        <v>0.42737104072398191</v>
      </c>
      <c r="X98" s="290">
        <f t="shared" si="68"/>
        <v>-6.9380090497737648E-2</v>
      </c>
      <c r="Y98" s="290">
        <f t="shared" si="68"/>
        <v>2.398642533936628E-2</v>
      </c>
      <c r="Z98" s="290">
        <f t="shared" si="68"/>
        <v>-0.17009676923076883</v>
      </c>
      <c r="AA98" s="252">
        <f t="shared" si="68"/>
        <v>0.23370589191076518</v>
      </c>
      <c r="AB98" s="252">
        <f t="shared" si="68"/>
        <v>6.0940332418842773E-2</v>
      </c>
      <c r="AC98" s="252">
        <f t="shared" si="68"/>
        <v>0.17728357852091636</v>
      </c>
      <c r="AD98" s="252">
        <f t="shared" si="68"/>
        <v>2.3294636572835481E-2</v>
      </c>
      <c r="AE98" s="252">
        <f t="shared" si="68"/>
        <v>7.8072559509434231E-2</v>
      </c>
    </row>
    <row r="99" spans="1:31">
      <c r="A99" s="240" t="s">
        <v>240</v>
      </c>
      <c r="B99" s="290">
        <f t="shared" si="68"/>
        <v>1.1738828578641756</v>
      </c>
      <c r="C99" s="290">
        <f t="shared" si="68"/>
        <v>0.8769334350670861</v>
      </c>
      <c r="D99" s="290">
        <f t="shared" si="68"/>
        <v>-0.17899547511312222</v>
      </c>
      <c r="E99" s="290">
        <f t="shared" si="68"/>
        <v>1.4603348416289597</v>
      </c>
      <c r="F99" s="290">
        <f t="shared" si="68"/>
        <v>-1.0922850678733034</v>
      </c>
      <c r="G99" s="290">
        <f t="shared" si="68"/>
        <v>-5.2615384615384668E-2</v>
      </c>
      <c r="H99" s="290">
        <f t="shared" si="68"/>
        <v>-0.42118099547511351</v>
      </c>
      <c r="I99" s="290">
        <f t="shared" si="68"/>
        <v>-1.2638009049774081E-2</v>
      </c>
      <c r="J99" s="290">
        <f t="shared" si="68"/>
        <v>-0.26333484162895915</v>
      </c>
      <c r="K99" s="290">
        <f t="shared" si="68"/>
        <v>-0.36933936651583704</v>
      </c>
      <c r="L99" s="290">
        <f t="shared" si="68"/>
        <v>0.50190950226244346</v>
      </c>
      <c r="M99" s="290">
        <f t="shared" si="68"/>
        <v>0.57644796380090513</v>
      </c>
      <c r="N99" s="290">
        <f t="shared" si="68"/>
        <v>-0.20762443438914041</v>
      </c>
      <c r="O99" s="290">
        <f t="shared" si="68"/>
        <v>-7.4796380090499815E-3</v>
      </c>
      <c r="P99" s="290">
        <f t="shared" si="68"/>
        <v>2.3212669683257425E-2</v>
      </c>
      <c r="Q99" s="290">
        <f t="shared" si="68"/>
        <v>0.40905882352941181</v>
      </c>
      <c r="R99" s="290">
        <f t="shared" si="68"/>
        <v>-0.35128506787330332</v>
      </c>
      <c r="S99" s="290">
        <f t="shared" si="68"/>
        <v>-0.36779185520362018</v>
      </c>
      <c r="T99" s="290">
        <f t="shared" si="68"/>
        <v>-0.12715384615384626</v>
      </c>
      <c r="U99" s="290">
        <f t="shared" si="68"/>
        <v>-0.25508144796380067</v>
      </c>
      <c r="V99" s="290">
        <f t="shared" si="68"/>
        <v>3.0692307692307751E-2</v>
      </c>
      <c r="W99" s="290">
        <f t="shared" si="68"/>
        <v>-1.43583257918552</v>
      </c>
      <c r="X99" s="290">
        <f t="shared" si="68"/>
        <v>-0.28680542986425345</v>
      </c>
      <c r="Y99" s="290">
        <f t="shared" si="68"/>
        <v>0.27545701357466057</v>
      </c>
      <c r="Z99" s="290">
        <f t="shared" si="68"/>
        <v>0.48703069683257927</v>
      </c>
      <c r="AA99" s="252">
        <f t="shared" si="68"/>
        <v>-2.5542122857903382</v>
      </c>
      <c r="AB99" s="252">
        <f t="shared" si="68"/>
        <v>-0.57867928141035951</v>
      </c>
      <c r="AC99" s="252">
        <f t="shared" si="68"/>
        <v>-1.3982442862190518</v>
      </c>
      <c r="AD99" s="252">
        <f t="shared" si="68"/>
        <v>-0.78198606415535887</v>
      </c>
      <c r="AE99" s="252">
        <f t="shared" si="68"/>
        <v>-0.90304000674305218</v>
      </c>
    </row>
    <row r="100" spans="1:31">
      <c r="A100" s="240" t="s">
        <v>241</v>
      </c>
      <c r="B100" s="290">
        <f t="shared" si="68"/>
        <v>1.213739545676731</v>
      </c>
      <c r="C100" s="290">
        <f t="shared" si="68"/>
        <v>0.93037266627676463</v>
      </c>
      <c r="D100" s="290">
        <f t="shared" si="68"/>
        <v>0.59708144796380092</v>
      </c>
      <c r="E100" s="290">
        <f t="shared" si="68"/>
        <v>0.18363800904977373</v>
      </c>
      <c r="F100" s="290">
        <f t="shared" si="68"/>
        <v>-7.0927601809954846E-2</v>
      </c>
      <c r="G100" s="290">
        <f t="shared" si="68"/>
        <v>-9.2850678733031773E-3</v>
      </c>
      <c r="H100" s="290">
        <f t="shared" si="68"/>
        <v>-0.12483257918552036</v>
      </c>
      <c r="I100" s="290">
        <f t="shared" si="68"/>
        <v>0.14056561085972849</v>
      </c>
      <c r="J100" s="290">
        <f t="shared" si="68"/>
        <v>-0.51635294117647079</v>
      </c>
      <c r="K100" s="290">
        <f t="shared" si="68"/>
        <v>0.41215384615384631</v>
      </c>
      <c r="L100" s="290">
        <f t="shared" si="68"/>
        <v>-3.5850678733031507E-2</v>
      </c>
      <c r="M100" s="290">
        <f t="shared" si="68"/>
        <v>1.1846199095022623</v>
      </c>
      <c r="N100" s="290">
        <f t="shared" si="68"/>
        <v>0.39822624434389126</v>
      </c>
      <c r="O100" s="290">
        <f t="shared" si="68"/>
        <v>0.30434389140271512</v>
      </c>
      <c r="P100" s="290">
        <f t="shared" si="68"/>
        <v>-5.2615384615384321E-2</v>
      </c>
      <c r="Q100" s="290">
        <f t="shared" si="68"/>
        <v>0.64350678733031674</v>
      </c>
      <c r="R100" s="290">
        <f t="shared" si="68"/>
        <v>-0.73816289592760198</v>
      </c>
      <c r="S100" s="290">
        <f t="shared" si="68"/>
        <v>0.18080090497737544</v>
      </c>
      <c r="T100" s="290">
        <f t="shared" si="68"/>
        <v>0.149076923076923</v>
      </c>
      <c r="U100" s="290">
        <f t="shared" si="68"/>
        <v>-0.16609954751131215</v>
      </c>
      <c r="V100" s="290">
        <f t="shared" si="68"/>
        <v>0.15449321266968327</v>
      </c>
      <c r="W100" s="290">
        <f t="shared" si="68"/>
        <v>-6.0095022624434648E-2</v>
      </c>
      <c r="X100" s="290">
        <f t="shared" si="68"/>
        <v>0.22232579185520354</v>
      </c>
      <c r="Y100" s="290">
        <f t="shared" si="68"/>
        <v>-1.8570135746606355E-2</v>
      </c>
      <c r="Z100" s="290">
        <f t="shared" si="68"/>
        <v>0.64808406787330342</v>
      </c>
      <c r="AA100" s="252">
        <f t="shared" si="68"/>
        <v>0.2017831646851799</v>
      </c>
      <c r="AB100" s="252">
        <f t="shared" si="68"/>
        <v>0.58912643870291037</v>
      </c>
      <c r="AC100" s="252">
        <f t="shared" si="68"/>
        <v>0.39529064759768301</v>
      </c>
      <c r="AD100" s="252">
        <f t="shared" si="68"/>
        <v>0.48344219153310486</v>
      </c>
      <c r="AE100" s="252">
        <f t="shared" si="68"/>
        <v>0.43507976492882633</v>
      </c>
    </row>
    <row r="101" spans="1:31">
      <c r="A101" s="240" t="s">
        <v>231</v>
      </c>
      <c r="B101" s="290">
        <f t="shared" si="68"/>
        <v>1.2023465490661609</v>
      </c>
      <c r="C101" s="290">
        <f t="shared" si="68"/>
        <v>0.64820512820512821</v>
      </c>
      <c r="D101" s="290">
        <f t="shared" si="68"/>
        <v>0.40673755656108584</v>
      </c>
      <c r="E101" s="290">
        <f t="shared" si="68"/>
        <v>-0.16609954751131231</v>
      </c>
      <c r="F101" s="290">
        <f t="shared" si="68"/>
        <v>-8.0986425339366536E-2</v>
      </c>
      <c r="G101" s="290">
        <f t="shared" si="68"/>
        <v>-4.4104072398190003E-2</v>
      </c>
      <c r="H101" s="290">
        <f t="shared" si="68"/>
        <v>0.10806787330316722</v>
      </c>
      <c r="I101" s="290">
        <f t="shared" si="68"/>
        <v>-0.29428506787330344</v>
      </c>
      <c r="J101" s="290">
        <f t="shared" si="68"/>
        <v>0.50036199095022615</v>
      </c>
      <c r="K101" s="290">
        <f t="shared" si="68"/>
        <v>0.37965610859728505</v>
      </c>
      <c r="L101" s="290">
        <f t="shared" si="68"/>
        <v>0.12741176470588242</v>
      </c>
      <c r="M101" s="290">
        <f t="shared" si="68"/>
        <v>-0.37372398190045225</v>
      </c>
      <c r="N101" s="290">
        <f t="shared" si="68"/>
        <v>0.27055656108597231</v>
      </c>
      <c r="O101" s="290">
        <f t="shared" si="68"/>
        <v>0.4420723981900454</v>
      </c>
      <c r="P101" s="290">
        <f t="shared" si="68"/>
        <v>0.33735746606334838</v>
      </c>
      <c r="Q101" s="290">
        <f t="shared" si="68"/>
        <v>-7.763348416289563E-2</v>
      </c>
      <c r="R101" s="290">
        <f t="shared" si="68"/>
        <v>0.2785520361990953</v>
      </c>
      <c r="S101" s="290">
        <f t="shared" si="68"/>
        <v>-0.16584162895927615</v>
      </c>
      <c r="T101" s="290">
        <f t="shared" si="68"/>
        <v>0.23651131221719432</v>
      </c>
      <c r="U101" s="290">
        <f t="shared" si="68"/>
        <v>1.1438687782805437</v>
      </c>
      <c r="V101" s="290">
        <f t="shared" si="68"/>
        <v>0.44774660633484153</v>
      </c>
      <c r="W101" s="290">
        <f t="shared" si="68"/>
        <v>0.92180090497737543</v>
      </c>
      <c r="X101" s="290">
        <f t="shared" si="68"/>
        <v>-2.218099547511326E-2</v>
      </c>
      <c r="Y101" s="290">
        <f t="shared" si="68"/>
        <v>-1.9343891402714863E-2</v>
      </c>
      <c r="Z101" s="290">
        <f t="shared" si="68"/>
        <v>6.6069705882353336E-2</v>
      </c>
      <c r="AA101" s="252">
        <f t="shared" si="68"/>
        <v>3.7771286139507194</v>
      </c>
      <c r="AB101" s="252">
        <f t="shared" si="68"/>
        <v>0.86795998935102847</v>
      </c>
      <c r="AC101" s="252">
        <f t="shared" si="68"/>
        <v>1.8793083654407317</v>
      </c>
      <c r="AD101" s="252">
        <f t="shared" si="68"/>
        <v>1.374219290626761</v>
      </c>
      <c r="AE101" s="252">
        <f t="shared" si="68"/>
        <v>1.5745664061190199</v>
      </c>
    </row>
    <row r="102" spans="1:31">
      <c r="A102" s="240" t="s">
        <v>232</v>
      </c>
      <c r="B102" s="290">
        <f t="shared" si="68"/>
        <v>1.247805733561802</v>
      </c>
      <c r="C102" s="290">
        <f t="shared" si="68"/>
        <v>0.91051282051282034</v>
      </c>
      <c r="D102" s="290">
        <f t="shared" si="68"/>
        <v>0.65356561085972875</v>
      </c>
      <c r="E102" s="290">
        <f t="shared" si="68"/>
        <v>-0.13901809954751129</v>
      </c>
      <c r="F102" s="290">
        <f t="shared" si="68"/>
        <v>0.86531674208144826</v>
      </c>
      <c r="G102" s="290">
        <f t="shared" si="68"/>
        <v>0.15707239819004515</v>
      </c>
      <c r="H102" s="290">
        <f t="shared" si="68"/>
        <v>-8.9239819004525031E-2</v>
      </c>
      <c r="I102" s="290">
        <f t="shared" si="68"/>
        <v>2.7682398190045245</v>
      </c>
      <c r="J102" s="290">
        <f t="shared" si="68"/>
        <v>-0.65485520361990956</v>
      </c>
      <c r="K102" s="290">
        <f t="shared" si="68"/>
        <v>7.1701357466063362E-2</v>
      </c>
      <c r="L102" s="290">
        <f t="shared" si="68"/>
        <v>0.18234841628959281</v>
      </c>
      <c r="M102" s="290">
        <f t="shared" si="68"/>
        <v>0.50990497737556584</v>
      </c>
      <c r="N102" s="290">
        <f t="shared" si="68"/>
        <v>0.58857013574660622</v>
      </c>
      <c r="O102" s="290">
        <f t="shared" si="68"/>
        <v>0.63783257918552061</v>
      </c>
      <c r="P102" s="290">
        <f t="shared" si="68"/>
        <v>0.75982805429864253</v>
      </c>
      <c r="Q102" s="290">
        <f t="shared" si="68"/>
        <v>5.6226244343891396E-2</v>
      </c>
      <c r="R102" s="290">
        <f t="shared" si="68"/>
        <v>6.1126696832578979E-2</v>
      </c>
      <c r="S102" s="290">
        <f t="shared" si="68"/>
        <v>0.11271040723981897</v>
      </c>
      <c r="T102" s="290">
        <f t="shared" si="68"/>
        <v>2.3728506787330111E-2</v>
      </c>
      <c r="U102" s="290">
        <f t="shared" si="68"/>
        <v>0.14649773755656129</v>
      </c>
      <c r="V102" s="290">
        <f t="shared" si="68"/>
        <v>-2.6565610859728504E-2</v>
      </c>
      <c r="W102" s="290">
        <f t="shared" si="68"/>
        <v>-1.2632850678733034</v>
      </c>
      <c r="X102" s="290">
        <f t="shared" si="68"/>
        <v>-0.21871493212669699</v>
      </c>
      <c r="Y102" s="290">
        <f t="shared" si="68"/>
        <v>0.37527149321266984</v>
      </c>
      <c r="Z102" s="252">
        <f t="shared" si="68"/>
        <v>-2.535197142857148</v>
      </c>
      <c r="AA102" s="252">
        <f t="shared" si="68"/>
        <v>-1.5078562267294919</v>
      </c>
      <c r="AB102" s="252">
        <f t="shared" si="68"/>
        <v>-2.2839976708559422</v>
      </c>
      <c r="AC102" s="252">
        <f t="shared" si="68"/>
        <v>-2.0489215073624316</v>
      </c>
      <c r="AD102" s="252">
        <f t="shared" si="68"/>
        <v>-1.8159053997111851</v>
      </c>
      <c r="AE102" s="252">
        <f t="shared" si="68"/>
        <v>-1.9171206385196975</v>
      </c>
    </row>
    <row r="103" spans="1:31">
      <c r="A103" s="240" t="s">
        <v>233</v>
      </c>
      <c r="B103" s="290">
        <f t="shared" si="68"/>
        <v>1.1039080502989247</v>
      </c>
      <c r="C103" s="290">
        <f t="shared" si="68"/>
        <v>0.85743589743589732</v>
      </c>
      <c r="D103" s="290">
        <f t="shared" si="68"/>
        <v>-0.49840180995475108</v>
      </c>
      <c r="E103" s="290">
        <f t="shared" si="68"/>
        <v>0.20454333936651589</v>
      </c>
      <c r="F103" s="290">
        <f t="shared" si="68"/>
        <v>-0.18157466063348429</v>
      </c>
      <c r="G103" s="290">
        <f t="shared" si="68"/>
        <v>2.0891402714932061E-2</v>
      </c>
      <c r="H103" s="290">
        <f t="shared" si="68"/>
        <v>0.33709954751131205</v>
      </c>
      <c r="I103" s="290">
        <f t="shared" si="68"/>
        <v>-0.33838914027149342</v>
      </c>
      <c r="J103" s="290">
        <f t="shared" si="68"/>
        <v>-6.3040452488687754E-2</v>
      </c>
      <c r="K103" s="290">
        <f t="shared" si="68"/>
        <v>0.50577828054298646</v>
      </c>
      <c r="L103" s="290">
        <f t="shared" si="68"/>
        <v>-0.21381447963800906</v>
      </c>
      <c r="M103" s="290">
        <f t="shared" si="68"/>
        <v>0.37836651583710396</v>
      </c>
      <c r="N103" s="290">
        <f t="shared" si="68"/>
        <v>-0.54885067873303173</v>
      </c>
      <c r="O103" s="290">
        <f t="shared" si="68"/>
        <v>-0.99324434389140304</v>
      </c>
      <c r="P103" s="290">
        <f t="shared" si="68"/>
        <v>-1.2016425339366517</v>
      </c>
      <c r="Q103" s="290">
        <f t="shared" si="68"/>
        <v>0.81760180995475118</v>
      </c>
      <c r="R103" s="290">
        <f t="shared" si="68"/>
        <v>7.0411764705882507E-2</v>
      </c>
      <c r="S103" s="290">
        <f t="shared" si="68"/>
        <v>-1.960180995475138E-2</v>
      </c>
      <c r="T103" s="290">
        <f t="shared" si="68"/>
        <v>-8.6918552036199151E-2</v>
      </c>
      <c r="U103" s="290">
        <f t="shared" si="68"/>
        <v>2.192307692307709E-2</v>
      </c>
      <c r="V103" s="290">
        <f t="shared" si="68"/>
        <v>-0.1519140271493212</v>
      </c>
      <c r="W103" s="290">
        <f t="shared" si="68"/>
        <v>0.97132126696832566</v>
      </c>
      <c r="X103" s="290">
        <f t="shared" si="68"/>
        <v>-7.9438914027149504E-2</v>
      </c>
      <c r="Y103" s="290">
        <f t="shared" si="68"/>
        <v>-0.12999095022624413</v>
      </c>
      <c r="Z103" s="252">
        <f t="shared" si="68"/>
        <v>1.2785914285714304</v>
      </c>
      <c r="AA103" s="252">
        <f t="shared" si="68"/>
        <v>0.96556397163807017</v>
      </c>
      <c r="AB103" s="252">
        <f t="shared" si="68"/>
        <v>1.1758203696271958</v>
      </c>
      <c r="AC103" s="252">
        <f t="shared" si="68"/>
        <v>1.1960028782785435</v>
      </c>
      <c r="AD103" s="252">
        <f t="shared" si="68"/>
        <v>0.94482665294876811</v>
      </c>
      <c r="AE103" s="252">
        <f t="shared" si="68"/>
        <v>1.0749282520476151</v>
      </c>
    </row>
    <row r="104" spans="1:31">
      <c r="A104" s="240" t="s">
        <v>234</v>
      </c>
      <c r="B104" s="290">
        <f t="shared" si="68"/>
        <v>1.1257916279469509</v>
      </c>
      <c r="C104" s="290">
        <f t="shared" si="68"/>
        <v>0.48943589743589749</v>
      </c>
      <c r="D104" s="290">
        <f t="shared" si="68"/>
        <v>0.81605429864253409</v>
      </c>
      <c r="E104" s="290">
        <f t="shared" si="68"/>
        <v>6.1384615384615329E-2</v>
      </c>
      <c r="F104" s="290">
        <f t="shared" si="68"/>
        <v>0.19756561085972851</v>
      </c>
      <c r="G104" s="290">
        <f t="shared" si="68"/>
        <v>-0.25611312217194571</v>
      </c>
      <c r="H104" s="290">
        <f t="shared" si="68"/>
        <v>0.58934389140271459</v>
      </c>
      <c r="I104" s="290">
        <f t="shared" si="68"/>
        <v>-0.1859592760180997</v>
      </c>
      <c r="J104" s="290">
        <f t="shared" si="68"/>
        <v>-1.0486968325791859</v>
      </c>
      <c r="K104" s="290">
        <f t="shared" si="68"/>
        <v>0.19859728506787344</v>
      </c>
      <c r="L104" s="290">
        <f t="shared" si="68"/>
        <v>0.22567873303167429</v>
      </c>
      <c r="M104" s="290">
        <f t="shared" si="68"/>
        <v>-0.71030769230769242</v>
      </c>
      <c r="N104" s="290">
        <f t="shared" si="68"/>
        <v>0.27442533936651553</v>
      </c>
      <c r="O104" s="290">
        <f t="shared" si="68"/>
        <v>-0.64273303167420892</v>
      </c>
      <c r="P104" s="290">
        <f t="shared" si="68"/>
        <v>0.58109049773755617</v>
      </c>
      <c r="Q104" s="290">
        <f t="shared" ref="B104:AR107" si="69">Q$124*Q88</f>
        <v>-0.28113122171945765</v>
      </c>
      <c r="R104" s="290">
        <f t="shared" si="69"/>
        <v>0.53311764705882358</v>
      </c>
      <c r="S104" s="290">
        <f t="shared" si="69"/>
        <v>0.38429864253393659</v>
      </c>
      <c r="T104" s="290">
        <f t="shared" si="69"/>
        <v>-0.19214932126696849</v>
      </c>
      <c r="U104" s="290">
        <f t="shared" si="69"/>
        <v>-2.9918552036199066E-2</v>
      </c>
      <c r="V104" s="290">
        <f t="shared" si="69"/>
        <v>-2.8113122171945698E-2</v>
      </c>
      <c r="W104" s="290">
        <f t="shared" si="69"/>
        <v>-0.30769683257918568</v>
      </c>
      <c r="X104" s="290">
        <f t="shared" si="69"/>
        <v>9.1561085972850564E-2</v>
      </c>
      <c r="Y104" s="290">
        <f t="shared" si="69"/>
        <v>0.26539819004524884</v>
      </c>
      <c r="Z104" s="252">
        <f t="shared" si="69"/>
        <v>-0.88333714285714504</v>
      </c>
      <c r="AA104" s="252">
        <f t="shared" si="69"/>
        <v>-1.3399663279875558E-2</v>
      </c>
      <c r="AB104" s="252">
        <f t="shared" si="69"/>
        <v>-0.53679696543195954</v>
      </c>
      <c r="AC104" s="252">
        <f t="shared" si="69"/>
        <v>-0.33718097005946374</v>
      </c>
      <c r="AD104" s="252">
        <f t="shared" si="69"/>
        <v>-0.31682346466762107</v>
      </c>
      <c r="AE104" s="252">
        <f t="shared" si="69"/>
        <v>-0.36070256954407426</v>
      </c>
    </row>
    <row r="105" spans="1:31">
      <c r="A105" s="240" t="s">
        <v>46</v>
      </c>
      <c r="B105" s="290">
        <f t="shared" si="69"/>
        <v>1.1169178748113251</v>
      </c>
      <c r="C105" s="290">
        <f t="shared" si="69"/>
        <v>0.65980512820512816</v>
      </c>
      <c r="D105" s="290">
        <f t="shared" si="69"/>
        <v>-0.88129866515837096</v>
      </c>
      <c r="E105" s="290">
        <f t="shared" si="69"/>
        <v>1.0316742081447859E-2</v>
      </c>
      <c r="F105" s="290">
        <f t="shared" si="69"/>
        <v>-0.23728506787330333</v>
      </c>
      <c r="G105" s="290">
        <f t="shared" si="69"/>
        <v>-0.17641628959276037</v>
      </c>
      <c r="H105" s="290">
        <f t="shared" si="69"/>
        <v>0.16687330316742066</v>
      </c>
      <c r="I105" s="290">
        <f t="shared" si="69"/>
        <v>-1.1206561085972855</v>
      </c>
      <c r="J105" s="290">
        <f t="shared" si="69"/>
        <v>1.3282805429864255</v>
      </c>
      <c r="K105" s="290">
        <f t="shared" si="69"/>
        <v>0.34344434389140288</v>
      </c>
      <c r="L105" s="290">
        <f t="shared" si="69"/>
        <v>-0.10394117647058831</v>
      </c>
      <c r="M105" s="290">
        <f t="shared" si="69"/>
        <v>-0.83333484162895899</v>
      </c>
      <c r="N105" s="290">
        <f t="shared" si="69"/>
        <v>-0.96667873303167429</v>
      </c>
      <c r="O105" s="290">
        <f t="shared" si="69"/>
        <v>0.58753846153846112</v>
      </c>
      <c r="P105" s="290">
        <f t="shared" si="69"/>
        <v>0.21200904977375601</v>
      </c>
      <c r="Q105" s="290">
        <f t="shared" si="69"/>
        <v>-0.46141628959276065</v>
      </c>
      <c r="R105" s="290">
        <f t="shared" si="69"/>
        <v>0.78149321266968341</v>
      </c>
      <c r="S105" s="290">
        <f t="shared" si="69"/>
        <v>0.12122171945701328</v>
      </c>
      <c r="T105" s="290">
        <f t="shared" si="69"/>
        <v>-0.10935746606334859</v>
      </c>
      <c r="U105" s="290">
        <f t="shared" si="69"/>
        <v>-2.8371040723980498E-3</v>
      </c>
      <c r="V105" s="290">
        <f t="shared" si="69"/>
        <v>-4.0493212669683101E-2</v>
      </c>
      <c r="W105" s="290">
        <f t="shared" si="69"/>
        <v>0.18750678733031653</v>
      </c>
      <c r="X105" s="290">
        <f t="shared" si="69"/>
        <v>0.29041628959276017</v>
      </c>
      <c r="Y105" s="290">
        <f t="shared" si="69"/>
        <v>-9.3624434389140268E-2</v>
      </c>
      <c r="Z105" s="252">
        <f t="shared" si="69"/>
        <v>0.61608857142857243</v>
      </c>
      <c r="AA105" s="252">
        <f t="shared" si="69"/>
        <v>0.52101043694103211</v>
      </c>
      <c r="AB105" s="252">
        <f t="shared" si="69"/>
        <v>0.59762870006676161</v>
      </c>
      <c r="AC105" s="252">
        <f t="shared" si="69"/>
        <v>0.60531192252783816</v>
      </c>
      <c r="AD105" s="252">
        <f t="shared" si="69"/>
        <v>0.56842394349364378</v>
      </c>
      <c r="AE105" s="252">
        <f t="shared" si="69"/>
        <v>0.53828394620073361</v>
      </c>
    </row>
    <row r="106" spans="1:31">
      <c r="A106" s="240" t="s">
        <v>235</v>
      </c>
      <c r="B106" s="290">
        <f t="shared" si="69"/>
        <v>1.1848246466881884</v>
      </c>
      <c r="C106" s="290">
        <f t="shared" si="69"/>
        <v>0.83666666666666667</v>
      </c>
      <c r="D106" s="290">
        <f t="shared" si="69"/>
        <v>-0.87460180995475112</v>
      </c>
      <c r="E106" s="290">
        <f t="shared" si="69"/>
        <v>0.1534615384615384</v>
      </c>
      <c r="F106" s="290">
        <f t="shared" si="69"/>
        <v>-0.22026244343891402</v>
      </c>
      <c r="G106" s="290">
        <f t="shared" si="69"/>
        <v>-0.56484162895927614</v>
      </c>
      <c r="H106" s="290">
        <f t="shared" si="69"/>
        <v>-0.37088687782805468</v>
      </c>
      <c r="I106" s="290">
        <f t="shared" si="69"/>
        <v>0.67600452488687768</v>
      </c>
      <c r="J106" s="290">
        <f t="shared" si="69"/>
        <v>0.55761990950226226</v>
      </c>
      <c r="K106" s="290">
        <f t="shared" si="69"/>
        <v>0.3889411764705884</v>
      </c>
      <c r="L106" s="290">
        <f t="shared" si="69"/>
        <v>-0.26797737556561091</v>
      </c>
      <c r="M106" s="290">
        <f t="shared" si="69"/>
        <v>0.15242986425339372</v>
      </c>
      <c r="N106" s="290">
        <f t="shared" si="69"/>
        <v>7.7117647058823638E-2</v>
      </c>
      <c r="O106" s="290">
        <f t="shared" si="69"/>
        <v>0.14881900452488664</v>
      </c>
      <c r="P106" s="290">
        <f t="shared" si="69"/>
        <v>-0.88827149321266952</v>
      </c>
      <c r="Q106" s="290">
        <f t="shared" si="69"/>
        <v>3.0692307692307751E-2</v>
      </c>
      <c r="R106" s="290">
        <f t="shared" si="69"/>
        <v>0.92386425339366518</v>
      </c>
      <c r="S106" s="290">
        <f t="shared" si="69"/>
        <v>0.57928506787330303</v>
      </c>
      <c r="T106" s="290">
        <f t="shared" si="69"/>
        <v>-0.34690045248868812</v>
      </c>
      <c r="U106" s="290">
        <f t="shared" si="69"/>
        <v>-0.10187782805429842</v>
      </c>
      <c r="V106" s="290">
        <f t="shared" si="69"/>
        <v>3.3787330316742144E-2</v>
      </c>
      <c r="W106" s="290">
        <f t="shared" si="69"/>
        <v>0.45832126696832587</v>
      </c>
      <c r="X106" s="290">
        <f t="shared" si="69"/>
        <v>-8.0986425339366536E-2</v>
      </c>
      <c r="Y106" s="290">
        <f t="shared" si="69"/>
        <v>4.7800303167420621E-2</v>
      </c>
      <c r="Z106" s="252">
        <f t="shared" si="69"/>
        <v>-7.133142857142874E-2</v>
      </c>
      <c r="AA106" s="252">
        <f t="shared" si="69"/>
        <v>0.54557556670273522</v>
      </c>
      <c r="AB106" s="252">
        <f t="shared" si="69"/>
        <v>0.24131365858131354</v>
      </c>
      <c r="AC106" s="252">
        <f t="shared" si="69"/>
        <v>0.35783215683772768</v>
      </c>
      <c r="AD106" s="252">
        <f t="shared" si="69"/>
        <v>0.20081411830994389</v>
      </c>
      <c r="AE106" s="252">
        <f t="shared" si="69"/>
        <v>0.26865857956623174</v>
      </c>
    </row>
    <row r="107" spans="1:31">
      <c r="A107" s="240" t="s">
        <v>236</v>
      </c>
      <c r="B107" s="290">
        <f t="shared" si="69"/>
        <v>1.1359438031444884</v>
      </c>
      <c r="C107" s="290">
        <f t="shared" si="69"/>
        <v>0.96243589743589741</v>
      </c>
      <c r="D107" s="290">
        <f t="shared" si="69"/>
        <v>-0.24863348416289585</v>
      </c>
      <c r="E107" s="290">
        <f t="shared" si="69"/>
        <v>6.6800904977375605E-2</v>
      </c>
      <c r="F107" s="290">
        <f t="shared" si="69"/>
        <v>-0.19163348416289613</v>
      </c>
      <c r="G107" s="290">
        <f t="shared" si="69"/>
        <v>-1.547511312217196E-2</v>
      </c>
      <c r="H107" s="290">
        <f t="shared" si="69"/>
        <v>0.61178280542986407</v>
      </c>
      <c r="I107" s="290">
        <f t="shared" si="69"/>
        <v>0.62029411764705855</v>
      </c>
      <c r="J107" s="290">
        <f t="shared" si="69"/>
        <v>0.76189140271493205</v>
      </c>
      <c r="K107" s="290">
        <f t="shared" si="69"/>
        <v>0.19937104072398196</v>
      </c>
      <c r="L107" s="290">
        <f t="shared" si="69"/>
        <v>-1.1864253393665055E-2</v>
      </c>
      <c r="M107" s="290">
        <f t="shared" si="69"/>
        <v>0.27390950226244315</v>
      </c>
      <c r="N107" s="290">
        <f t="shared" si="69"/>
        <v>-0.66723529411764748</v>
      </c>
      <c r="O107" s="290">
        <f t="shared" si="69"/>
        <v>-0.36882352941176466</v>
      </c>
      <c r="P107" s="290">
        <f t="shared" si="69"/>
        <v>-0.23599547511312197</v>
      </c>
      <c r="Q107" s="290">
        <f t="shared" si="69"/>
        <v>-0.63860633484162876</v>
      </c>
      <c r="R107" s="290">
        <f t="shared" si="69"/>
        <v>1.205511312217195</v>
      </c>
      <c r="S107" s="290">
        <f t="shared" si="69"/>
        <v>0.15449321266968308</v>
      </c>
      <c r="T107" s="290">
        <f t="shared" si="69"/>
        <v>0.11967420814479626</v>
      </c>
      <c r="U107" s="290">
        <f t="shared" si="69"/>
        <v>-0.28757918552036177</v>
      </c>
      <c r="V107" s="290">
        <f t="shared" si="69"/>
        <v>-4.9004524886877759E-2</v>
      </c>
      <c r="W107" s="290">
        <f t="shared" si="69"/>
        <v>1.0316742081446829E-3</v>
      </c>
      <c r="X107" s="290">
        <f t="shared" si="69"/>
        <v>0.10858371040723973</v>
      </c>
      <c r="Y107" s="290">
        <f t="shared" si="69"/>
        <v>-1.2375447963800955E-2</v>
      </c>
      <c r="Z107" s="252">
        <f t="shared" si="69"/>
        <v>1.3275637504848123</v>
      </c>
      <c r="AA107" s="252">
        <f t="shared" si="69"/>
        <v>-0.36572489205250619</v>
      </c>
      <c r="AB107" s="252">
        <f t="shared" si="69"/>
        <v>0.85657068778502865</v>
      </c>
      <c r="AC107" s="252">
        <f t="shared" si="69"/>
        <v>0.42137111305513653</v>
      </c>
      <c r="AD107" s="252">
        <f t="shared" si="69"/>
        <v>0.56344995182506252</v>
      </c>
      <c r="AE107" s="252">
        <f t="shared" si="69"/>
        <v>0.53372879099077375</v>
      </c>
    </row>
    <row r="108" spans="1:31" ht="15.75" thickBot="1">
      <c r="A108" s="240" t="s">
        <v>242</v>
      </c>
      <c r="B108" s="290">
        <f>SUM(B96:B107)</f>
        <v>13.999999999999998</v>
      </c>
      <c r="C108" s="290">
        <f t="shared" ref="C108:Z108" si="70">SUM(C96:C107)</f>
        <v>9.9999999999999982</v>
      </c>
      <c r="D108" s="290">
        <f t="shared" si="70"/>
        <v>0.64387690045248969</v>
      </c>
      <c r="E108" s="290">
        <f t="shared" si="70"/>
        <v>1.1714799909502263</v>
      </c>
      <c r="F108" s="290">
        <f t="shared" si="70"/>
        <v>0.44490950226244275</v>
      </c>
      <c r="G108" s="290">
        <f t="shared" si="70"/>
        <v>3.0950226244343314E-2</v>
      </c>
      <c r="H108" s="290">
        <f t="shared" si="70"/>
        <v>7.6601809954748856E-2</v>
      </c>
      <c r="I108" s="290">
        <f t="shared" si="70"/>
        <v>2.9836018099547492</v>
      </c>
      <c r="J108" s="290">
        <f t="shared" si="70"/>
        <v>1.3045520361989582E-2</v>
      </c>
      <c r="K108" s="290">
        <f t="shared" si="70"/>
        <v>0.15181085972850747</v>
      </c>
      <c r="L108" s="290">
        <f t="shared" si="70"/>
        <v>0.28009954751131277</v>
      </c>
      <c r="M108" s="290">
        <f t="shared" si="70"/>
        <v>2.1084841628959285</v>
      </c>
      <c r="N108" s="290">
        <f t="shared" si="70"/>
        <v>0.2948009049773731</v>
      </c>
      <c r="O108" s="290">
        <f t="shared" si="70"/>
        <v>0.14701357466063136</v>
      </c>
      <c r="P108" s="290">
        <f t="shared" si="70"/>
        <v>0.44490950226244325</v>
      </c>
      <c r="Q108" s="290">
        <f t="shared" si="70"/>
        <v>0.25766063348416257</v>
      </c>
      <c r="R108" s="290">
        <f t="shared" si="70"/>
        <v>0.32884615384615423</v>
      </c>
      <c r="S108" s="290">
        <f t="shared" si="70"/>
        <v>0.26152941176470362</v>
      </c>
      <c r="T108" s="290">
        <f t="shared" si="70"/>
        <v>4.7972850678731555E-2</v>
      </c>
      <c r="U108" s="290">
        <f t="shared" si="70"/>
        <v>4.952036199095261E-2</v>
      </c>
      <c r="V108" s="290">
        <f t="shared" si="70"/>
        <v>9.5171945701357813E-2</v>
      </c>
      <c r="W108" s="290">
        <f t="shared" si="70"/>
        <v>0.11838461538461412</v>
      </c>
      <c r="X108" s="290">
        <f t="shared" si="70"/>
        <v>0.230579185520361</v>
      </c>
      <c r="Y108" s="290">
        <f t="shared" si="70"/>
        <v>0.17779589592760153</v>
      </c>
      <c r="Z108" s="252">
        <f t="shared" si="70"/>
        <v>1.0259999999999998</v>
      </c>
      <c r="AA108" s="253">
        <f>SUM(AA96:AA107)</f>
        <v>1.0259999999999989</v>
      </c>
      <c r="AB108" s="253">
        <f>SUM(AB96:AB107)</f>
        <v>1.0259999999999996</v>
      </c>
      <c r="AC108" s="253">
        <f>SUM(AC96:AC107)</f>
        <v>1.0259999999999989</v>
      </c>
      <c r="AD108" s="253">
        <f t="shared" ref="AD108:AE108" si="71">SUM(AD96:AD107)</f>
        <v>1.0259999999999994</v>
      </c>
      <c r="AE108" s="253">
        <f t="shared" si="71"/>
        <v>1.0259999999999994</v>
      </c>
    </row>
    <row r="109" spans="1:31">
      <c r="A109" s="248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48"/>
      <c r="AA109" s="248"/>
      <c r="AB109" s="248"/>
      <c r="AC109" s="254"/>
      <c r="AD109" s="254"/>
      <c r="AE109" s="254"/>
    </row>
    <row r="110" spans="1:31" ht="15.75" thickBot="1">
      <c r="A110" s="235" t="s">
        <v>254</v>
      </c>
    </row>
    <row r="111" spans="1:31" ht="15.75" thickBot="1">
      <c r="A111" s="236"/>
      <c r="B111" s="237" t="str">
        <f>B$2</f>
        <v xml:space="preserve">93/94 </v>
      </c>
      <c r="C111" s="237" t="str">
        <f t="shared" ref="C111:AE111" si="72">C$2</f>
        <v xml:space="preserve">94/95 </v>
      </c>
      <c r="D111" s="237" t="str">
        <f t="shared" si="72"/>
        <v xml:space="preserve">95/96 </v>
      </c>
      <c r="E111" s="237" t="str">
        <f t="shared" si="72"/>
        <v xml:space="preserve">96/97 </v>
      </c>
      <c r="F111" s="237" t="str">
        <f t="shared" si="72"/>
        <v xml:space="preserve">97/98 </v>
      </c>
      <c r="G111" s="237" t="str">
        <f t="shared" si="72"/>
        <v xml:space="preserve">98/99 </v>
      </c>
      <c r="H111" s="237" t="str">
        <f t="shared" si="72"/>
        <v xml:space="preserve">99/00 </v>
      </c>
      <c r="I111" s="237" t="str">
        <f t="shared" si="72"/>
        <v xml:space="preserve">00/01 </v>
      </c>
      <c r="J111" s="237" t="str">
        <f t="shared" si="72"/>
        <v xml:space="preserve">01/02 </v>
      </c>
      <c r="K111" s="237" t="str">
        <f t="shared" si="72"/>
        <v xml:space="preserve">02/03 </v>
      </c>
      <c r="L111" s="237" t="str">
        <f t="shared" si="72"/>
        <v xml:space="preserve">03/04 </v>
      </c>
      <c r="M111" s="237" t="str">
        <f t="shared" si="72"/>
        <v xml:space="preserve">04/05 </v>
      </c>
      <c r="N111" s="237" t="str">
        <f t="shared" si="72"/>
        <v xml:space="preserve">05/06 </v>
      </c>
      <c r="O111" s="237" t="str">
        <f t="shared" si="72"/>
        <v xml:space="preserve">06/07 </v>
      </c>
      <c r="P111" s="237" t="str">
        <f t="shared" si="72"/>
        <v xml:space="preserve">07/08 </v>
      </c>
      <c r="Q111" s="237" t="str">
        <f t="shared" si="72"/>
        <v xml:space="preserve">08/09 </v>
      </c>
      <c r="R111" s="237" t="str">
        <f t="shared" si="72"/>
        <v xml:space="preserve">09/10 </v>
      </c>
      <c r="S111" s="237" t="str">
        <f t="shared" si="72"/>
        <v xml:space="preserve">10/11 </v>
      </c>
      <c r="T111" s="237" t="str">
        <f t="shared" si="72"/>
        <v xml:space="preserve">11/12 </v>
      </c>
      <c r="U111" s="237" t="str">
        <f t="shared" si="72"/>
        <v xml:space="preserve">12/13 </v>
      </c>
      <c r="V111" s="237" t="str">
        <f t="shared" si="72"/>
        <v xml:space="preserve">13/14 </v>
      </c>
      <c r="W111" s="237" t="str">
        <f t="shared" si="72"/>
        <v xml:space="preserve">14/15 </v>
      </c>
      <c r="X111" s="237" t="str">
        <f t="shared" si="72"/>
        <v xml:space="preserve">15/16 </v>
      </c>
      <c r="Y111" s="237" t="str">
        <f t="shared" si="72"/>
        <v xml:space="preserve">16/17 </v>
      </c>
      <c r="Z111" s="237" t="str">
        <f t="shared" si="72"/>
        <v xml:space="preserve">17/18 </v>
      </c>
      <c r="AA111" s="237" t="str">
        <f t="shared" si="72"/>
        <v xml:space="preserve">18/19 </v>
      </c>
      <c r="AB111" s="237" t="str">
        <f t="shared" si="72"/>
        <v xml:space="preserve">19/20 </v>
      </c>
      <c r="AC111" s="237" t="str">
        <f t="shared" si="72"/>
        <v xml:space="preserve">20/21 </v>
      </c>
      <c r="AD111" s="237" t="str">
        <f t="shared" si="72"/>
        <v>21/22</v>
      </c>
      <c r="AE111" s="237" t="str">
        <f t="shared" si="72"/>
        <v>22/23</v>
      </c>
    </row>
    <row r="112" spans="1:31">
      <c r="A112" s="240" t="s">
        <v>237</v>
      </c>
      <c r="B112" s="298">
        <f t="shared" ref="B112:AE120" si="73">B96/B80</f>
        <v>0.35</v>
      </c>
      <c r="C112" s="298">
        <f t="shared" si="73"/>
        <v>0.33333333333333331</v>
      </c>
      <c r="D112" s="298">
        <f t="shared" si="73"/>
        <v>0.34200000000000003</v>
      </c>
      <c r="E112" s="298">
        <f t="shared" si="73"/>
        <v>0.34200000000000003</v>
      </c>
      <c r="F112" s="298">
        <f t="shared" si="73"/>
        <v>0.34200000000000003</v>
      </c>
      <c r="G112" s="298">
        <f t="shared" si="73"/>
        <v>0.34200000000000003</v>
      </c>
      <c r="H112" s="298">
        <f t="shared" si="73"/>
        <v>0.34200000000000003</v>
      </c>
      <c r="I112" s="298">
        <f t="shared" si="73"/>
        <v>0.34200000000000003</v>
      </c>
      <c r="J112" s="298">
        <f t="shared" si="73"/>
        <v>0.34200000000000003</v>
      </c>
      <c r="K112" s="298">
        <f t="shared" si="73"/>
        <v>0.34200000000000003</v>
      </c>
      <c r="L112" s="298">
        <f t="shared" si="73"/>
        <v>0.34200000000000003</v>
      </c>
      <c r="M112" s="298">
        <f t="shared" si="73"/>
        <v>0.34200000000000003</v>
      </c>
      <c r="N112" s="298">
        <f t="shared" si="73"/>
        <v>0.34200000000000003</v>
      </c>
      <c r="O112" s="298">
        <f t="shared" si="73"/>
        <v>0.34200000000000003</v>
      </c>
      <c r="P112" s="298">
        <f t="shared" si="73"/>
        <v>0.34200000000000003</v>
      </c>
      <c r="Q112" s="298">
        <f t="shared" si="73"/>
        <v>0.34200000000000003</v>
      </c>
      <c r="R112" s="298">
        <f t="shared" si="73"/>
        <v>0.34200000000000003</v>
      </c>
      <c r="S112" s="298">
        <f t="shared" si="73"/>
        <v>0.34200000000000003</v>
      </c>
      <c r="T112" s="298">
        <f t="shared" si="73"/>
        <v>0.34200000000000003</v>
      </c>
      <c r="U112" s="298">
        <f t="shared" si="73"/>
        <v>0.34200000000000003</v>
      </c>
      <c r="V112" s="298">
        <f t="shared" si="73"/>
        <v>0.34200000000000003</v>
      </c>
      <c r="W112" s="298">
        <f t="shared" si="73"/>
        <v>0.34200000000000003</v>
      </c>
      <c r="X112" s="298">
        <f t="shared" si="73"/>
        <v>0.34200000000000003</v>
      </c>
      <c r="Y112" s="298">
        <f t="shared" si="73"/>
        <v>0.34200000000000003</v>
      </c>
      <c r="Z112" s="298">
        <f t="shared" si="73"/>
        <v>0.34200000000000003</v>
      </c>
      <c r="AA112" s="259">
        <f t="shared" si="73"/>
        <v>0.34199999999999986</v>
      </c>
      <c r="AB112" s="259">
        <f t="shared" si="73"/>
        <v>0.34199999999999986</v>
      </c>
      <c r="AC112" s="259">
        <f t="shared" si="73"/>
        <v>0.3419999999999998</v>
      </c>
      <c r="AD112" s="259">
        <f t="shared" si="73"/>
        <v>0.34199999999999975</v>
      </c>
      <c r="AE112" s="259">
        <f t="shared" si="73"/>
        <v>0.3419999999999998</v>
      </c>
    </row>
    <row r="113" spans="1:31">
      <c r="A113" s="240" t="s">
        <v>238</v>
      </c>
      <c r="B113" s="298">
        <f t="shared" si="73"/>
        <v>0.34999999999999992</v>
      </c>
      <c r="C113" s="298">
        <f t="shared" si="73"/>
        <v>0.33333333333333331</v>
      </c>
      <c r="D113" s="298">
        <f t="shared" si="73"/>
        <v>0.34200000000000003</v>
      </c>
      <c r="E113" s="298">
        <f t="shared" si="73"/>
        <v>0.34200000000000003</v>
      </c>
      <c r="F113" s="298">
        <f t="shared" si="73"/>
        <v>0.34200000000000003</v>
      </c>
      <c r="G113" s="298">
        <f t="shared" si="73"/>
        <v>0.34200000000000003</v>
      </c>
      <c r="H113" s="298">
        <f t="shared" si="73"/>
        <v>0.34200000000000003</v>
      </c>
      <c r="I113" s="298">
        <f t="shared" si="73"/>
        <v>0.34200000000000003</v>
      </c>
      <c r="J113" s="298">
        <f t="shared" si="73"/>
        <v>0.34200000000000003</v>
      </c>
      <c r="K113" s="298">
        <f t="shared" si="73"/>
        <v>0.34200000000000003</v>
      </c>
      <c r="L113" s="298">
        <f t="shared" si="73"/>
        <v>0.34200000000000003</v>
      </c>
      <c r="M113" s="298">
        <f t="shared" si="73"/>
        <v>0.34200000000000003</v>
      </c>
      <c r="N113" s="298">
        <f t="shared" si="73"/>
        <v>0.34200000000000003</v>
      </c>
      <c r="O113" s="298">
        <f t="shared" si="73"/>
        <v>0.34200000000000003</v>
      </c>
      <c r="P113" s="298">
        <f t="shared" si="73"/>
        <v>0.34200000000000003</v>
      </c>
      <c r="Q113" s="298">
        <f t="shared" si="73"/>
        <v>0.34200000000000003</v>
      </c>
      <c r="R113" s="298">
        <f t="shared" si="73"/>
        <v>0.34200000000000003</v>
      </c>
      <c r="S113" s="298">
        <f t="shared" si="73"/>
        <v>0.34200000000000003</v>
      </c>
      <c r="T113" s="298">
        <f t="shared" si="73"/>
        <v>0.34200000000000008</v>
      </c>
      <c r="U113" s="298">
        <f t="shared" si="73"/>
        <v>0.34200000000000003</v>
      </c>
      <c r="V113" s="298">
        <f t="shared" si="73"/>
        <v>0.34200000000000003</v>
      </c>
      <c r="W113" s="298">
        <f t="shared" si="73"/>
        <v>0.34200000000000003</v>
      </c>
      <c r="X113" s="298">
        <f t="shared" si="73"/>
        <v>0.34200000000000003</v>
      </c>
      <c r="Y113" s="298">
        <f t="shared" si="73"/>
        <v>0.34200000000000003</v>
      </c>
      <c r="Z113" s="298">
        <f t="shared" si="73"/>
        <v>0.34200000000000003</v>
      </c>
      <c r="AA113" s="259">
        <f t="shared" si="73"/>
        <v>0.34199999999999986</v>
      </c>
      <c r="AB113" s="259">
        <f t="shared" si="73"/>
        <v>0.34199999999999986</v>
      </c>
      <c r="AC113" s="259">
        <f t="shared" si="73"/>
        <v>0.3419999999999998</v>
      </c>
      <c r="AD113" s="259">
        <f t="shared" si="73"/>
        <v>0.34199999999999975</v>
      </c>
      <c r="AE113" s="259">
        <f t="shared" si="73"/>
        <v>0.34199999999999969</v>
      </c>
    </row>
    <row r="114" spans="1:31">
      <c r="A114" s="240" t="s">
        <v>239</v>
      </c>
      <c r="B114" s="298">
        <f t="shared" si="73"/>
        <v>0.35</v>
      </c>
      <c r="C114" s="298">
        <f t="shared" si="73"/>
        <v>0.33333333333333331</v>
      </c>
      <c r="D114" s="298">
        <f t="shared" si="73"/>
        <v>0.34200000000000003</v>
      </c>
      <c r="E114" s="298">
        <f t="shared" si="73"/>
        <v>0.34200000000000003</v>
      </c>
      <c r="F114" s="298">
        <f t="shared" si="73"/>
        <v>0.34200000000000003</v>
      </c>
      <c r="G114" s="298">
        <f t="shared" si="73"/>
        <v>0.34200000000000003</v>
      </c>
      <c r="H114" s="298">
        <f t="shared" si="73"/>
        <v>0.34200000000000003</v>
      </c>
      <c r="I114" s="298">
        <f t="shared" si="73"/>
        <v>0.34200000000000003</v>
      </c>
      <c r="J114" s="298">
        <f t="shared" si="73"/>
        <v>0.34200000000000003</v>
      </c>
      <c r="K114" s="298">
        <f t="shared" si="73"/>
        <v>0.34200000000000003</v>
      </c>
      <c r="L114" s="298">
        <f t="shared" si="73"/>
        <v>0.34200000000000003</v>
      </c>
      <c r="M114" s="298">
        <f t="shared" si="73"/>
        <v>0.34200000000000003</v>
      </c>
      <c r="N114" s="298">
        <f t="shared" si="73"/>
        <v>0.34200000000000003</v>
      </c>
      <c r="O114" s="298">
        <f t="shared" si="73"/>
        <v>0.34200000000000003</v>
      </c>
      <c r="P114" s="298">
        <f t="shared" si="73"/>
        <v>0.34200000000000003</v>
      </c>
      <c r="Q114" s="298">
        <f t="shared" si="73"/>
        <v>0.34200000000000003</v>
      </c>
      <c r="R114" s="298">
        <f t="shared" si="73"/>
        <v>0.34200000000000003</v>
      </c>
      <c r="S114" s="298">
        <f t="shared" si="73"/>
        <v>0.34200000000000003</v>
      </c>
      <c r="T114" s="298">
        <f t="shared" si="73"/>
        <v>0.34200000000000003</v>
      </c>
      <c r="U114" s="298">
        <f t="shared" si="73"/>
        <v>0.34200000000000003</v>
      </c>
      <c r="V114" s="298">
        <f t="shared" si="73"/>
        <v>0.34200000000000003</v>
      </c>
      <c r="W114" s="298">
        <f t="shared" si="73"/>
        <v>0.34200000000000003</v>
      </c>
      <c r="X114" s="298">
        <f t="shared" si="73"/>
        <v>0.34200000000000003</v>
      </c>
      <c r="Y114" s="298">
        <f t="shared" si="73"/>
        <v>0.34200000000000003</v>
      </c>
      <c r="Z114" s="298">
        <f t="shared" si="73"/>
        <v>0.34200000000000003</v>
      </c>
      <c r="AA114" s="259">
        <f t="shared" si="73"/>
        <v>0.34199999999999986</v>
      </c>
      <c r="AB114" s="259">
        <f t="shared" si="73"/>
        <v>0.3419999999999998</v>
      </c>
      <c r="AC114" s="259">
        <f t="shared" si="73"/>
        <v>0.3419999999999998</v>
      </c>
      <c r="AD114" s="259">
        <f t="shared" si="73"/>
        <v>0.34199999999999975</v>
      </c>
      <c r="AE114" s="259">
        <f t="shared" si="73"/>
        <v>0.34199999999999975</v>
      </c>
    </row>
    <row r="115" spans="1:31">
      <c r="A115" s="240" t="s">
        <v>240</v>
      </c>
      <c r="B115" s="298">
        <f t="shared" si="73"/>
        <v>0.35</v>
      </c>
      <c r="C115" s="298">
        <f t="shared" si="73"/>
        <v>0.33333333333333331</v>
      </c>
      <c r="D115" s="298">
        <f t="shared" si="73"/>
        <v>0.34200000000000003</v>
      </c>
      <c r="E115" s="298">
        <f t="shared" si="73"/>
        <v>0.34200000000000003</v>
      </c>
      <c r="F115" s="298">
        <f t="shared" si="73"/>
        <v>0.34200000000000003</v>
      </c>
      <c r="G115" s="298">
        <f t="shared" si="73"/>
        <v>0.34200000000000003</v>
      </c>
      <c r="H115" s="298">
        <f t="shared" si="73"/>
        <v>0.34200000000000003</v>
      </c>
      <c r="I115" s="298">
        <f t="shared" si="73"/>
        <v>0.34200000000000003</v>
      </c>
      <c r="J115" s="298">
        <f t="shared" si="73"/>
        <v>0.34200000000000003</v>
      </c>
      <c r="K115" s="298">
        <f t="shared" si="73"/>
        <v>0.34200000000000003</v>
      </c>
      <c r="L115" s="298">
        <f t="shared" si="73"/>
        <v>0.34199999999999997</v>
      </c>
      <c r="M115" s="298">
        <f t="shared" si="73"/>
        <v>0.34200000000000003</v>
      </c>
      <c r="N115" s="298">
        <f t="shared" si="73"/>
        <v>0.34200000000000003</v>
      </c>
      <c r="O115" s="298">
        <f t="shared" si="73"/>
        <v>0.34200000000000003</v>
      </c>
      <c r="P115" s="298">
        <f t="shared" si="73"/>
        <v>0.34200000000000003</v>
      </c>
      <c r="Q115" s="298">
        <f t="shared" si="73"/>
        <v>0.34200000000000003</v>
      </c>
      <c r="R115" s="298">
        <f t="shared" si="73"/>
        <v>0.34200000000000003</v>
      </c>
      <c r="S115" s="298">
        <f t="shared" si="73"/>
        <v>0.34200000000000003</v>
      </c>
      <c r="T115" s="298">
        <f t="shared" si="73"/>
        <v>0.34200000000000008</v>
      </c>
      <c r="U115" s="298">
        <f t="shared" si="73"/>
        <v>0.34200000000000003</v>
      </c>
      <c r="V115" s="298">
        <f t="shared" si="73"/>
        <v>0.34200000000000003</v>
      </c>
      <c r="W115" s="298">
        <f t="shared" si="73"/>
        <v>0.34200000000000003</v>
      </c>
      <c r="X115" s="298">
        <f t="shared" si="73"/>
        <v>0.34200000000000008</v>
      </c>
      <c r="Y115" s="298">
        <f t="shared" si="73"/>
        <v>0.34200000000000003</v>
      </c>
      <c r="Z115" s="298">
        <f t="shared" si="73"/>
        <v>0.34200000000000003</v>
      </c>
      <c r="AA115" s="259">
        <f t="shared" si="73"/>
        <v>0.34199999999999986</v>
      </c>
      <c r="AB115" s="259">
        <f t="shared" si="73"/>
        <v>0.3419999999999998</v>
      </c>
      <c r="AC115" s="259">
        <f t="shared" si="73"/>
        <v>0.3419999999999998</v>
      </c>
      <c r="AD115" s="259">
        <f t="shared" si="73"/>
        <v>0.34199999999999975</v>
      </c>
      <c r="AE115" s="259">
        <f t="shared" si="73"/>
        <v>0.34199999999999975</v>
      </c>
    </row>
    <row r="116" spans="1:31">
      <c r="A116" s="240" t="s">
        <v>241</v>
      </c>
      <c r="B116" s="298">
        <f t="shared" si="73"/>
        <v>0.35</v>
      </c>
      <c r="C116" s="298">
        <f t="shared" si="73"/>
        <v>0.33333333333333331</v>
      </c>
      <c r="D116" s="298">
        <f t="shared" si="73"/>
        <v>0.34200000000000003</v>
      </c>
      <c r="E116" s="298">
        <f t="shared" si="73"/>
        <v>0.34200000000000003</v>
      </c>
      <c r="F116" s="298">
        <f t="shared" si="73"/>
        <v>0.34200000000000003</v>
      </c>
      <c r="G116" s="298">
        <f t="shared" si="73"/>
        <v>0.34200000000000003</v>
      </c>
      <c r="H116" s="298">
        <f t="shared" si="73"/>
        <v>0.34200000000000003</v>
      </c>
      <c r="I116" s="298">
        <f t="shared" si="73"/>
        <v>0.34200000000000003</v>
      </c>
      <c r="J116" s="298">
        <f t="shared" si="73"/>
        <v>0.34200000000000003</v>
      </c>
      <c r="K116" s="298">
        <f t="shared" si="73"/>
        <v>0.34200000000000003</v>
      </c>
      <c r="L116" s="298">
        <f t="shared" si="73"/>
        <v>0.34200000000000003</v>
      </c>
      <c r="M116" s="298">
        <f t="shared" si="73"/>
        <v>0.34200000000000003</v>
      </c>
      <c r="N116" s="298">
        <f t="shared" si="73"/>
        <v>0.34200000000000003</v>
      </c>
      <c r="O116" s="298">
        <f t="shared" si="73"/>
        <v>0.34200000000000003</v>
      </c>
      <c r="P116" s="298">
        <f t="shared" si="73"/>
        <v>0.34200000000000003</v>
      </c>
      <c r="Q116" s="298">
        <f t="shared" si="73"/>
        <v>0.34200000000000003</v>
      </c>
      <c r="R116" s="298">
        <f t="shared" si="73"/>
        <v>0.34200000000000003</v>
      </c>
      <c r="S116" s="298">
        <f t="shared" si="73"/>
        <v>0.34200000000000003</v>
      </c>
      <c r="T116" s="298">
        <f t="shared" si="73"/>
        <v>0.34200000000000003</v>
      </c>
      <c r="U116" s="298">
        <f t="shared" si="73"/>
        <v>0.34200000000000003</v>
      </c>
      <c r="V116" s="298">
        <f t="shared" si="73"/>
        <v>0.34200000000000003</v>
      </c>
      <c r="W116" s="298">
        <f t="shared" si="73"/>
        <v>0.34200000000000003</v>
      </c>
      <c r="X116" s="298">
        <f t="shared" si="73"/>
        <v>0.34200000000000003</v>
      </c>
      <c r="Y116" s="298">
        <f t="shared" si="73"/>
        <v>0.34200000000000003</v>
      </c>
      <c r="Z116" s="298">
        <f t="shared" si="73"/>
        <v>0.34200000000000003</v>
      </c>
      <c r="AA116" s="259">
        <f t="shared" si="73"/>
        <v>0.34199999999999986</v>
      </c>
      <c r="AB116" s="259">
        <f t="shared" si="73"/>
        <v>0.3419999999999998</v>
      </c>
      <c r="AC116" s="259">
        <f t="shared" si="73"/>
        <v>0.3419999999999998</v>
      </c>
      <c r="AD116" s="259">
        <f t="shared" si="73"/>
        <v>0.34199999999999975</v>
      </c>
      <c r="AE116" s="259">
        <f t="shared" si="73"/>
        <v>0.34199999999999975</v>
      </c>
    </row>
    <row r="117" spans="1:31">
      <c r="A117" s="240" t="s">
        <v>231</v>
      </c>
      <c r="B117" s="298">
        <f t="shared" si="73"/>
        <v>0.35</v>
      </c>
      <c r="C117" s="298">
        <f t="shared" si="73"/>
        <v>0.33333333333333331</v>
      </c>
      <c r="D117" s="298">
        <f t="shared" si="73"/>
        <v>0.34200000000000003</v>
      </c>
      <c r="E117" s="298">
        <f t="shared" si="73"/>
        <v>0.34200000000000003</v>
      </c>
      <c r="F117" s="298">
        <f t="shared" si="73"/>
        <v>0.34200000000000003</v>
      </c>
      <c r="G117" s="298">
        <f t="shared" si="73"/>
        <v>0.34200000000000003</v>
      </c>
      <c r="H117" s="298">
        <f t="shared" si="73"/>
        <v>0.34200000000000003</v>
      </c>
      <c r="I117" s="298">
        <f t="shared" si="73"/>
        <v>0.34200000000000003</v>
      </c>
      <c r="J117" s="298">
        <f t="shared" si="73"/>
        <v>0.34200000000000003</v>
      </c>
      <c r="K117" s="298">
        <f t="shared" si="73"/>
        <v>0.34200000000000003</v>
      </c>
      <c r="L117" s="298">
        <f t="shared" si="73"/>
        <v>0.34200000000000003</v>
      </c>
      <c r="M117" s="298">
        <f t="shared" si="73"/>
        <v>0.34200000000000003</v>
      </c>
      <c r="N117" s="298">
        <f t="shared" si="73"/>
        <v>0.34200000000000008</v>
      </c>
      <c r="O117" s="298">
        <f t="shared" si="73"/>
        <v>0.34200000000000003</v>
      </c>
      <c r="P117" s="298">
        <f t="shared" si="73"/>
        <v>0.34200000000000003</v>
      </c>
      <c r="Q117" s="298">
        <f t="shared" si="73"/>
        <v>0.34200000000000003</v>
      </c>
      <c r="R117" s="298">
        <f t="shared" si="73"/>
        <v>0.34200000000000003</v>
      </c>
      <c r="S117" s="298">
        <f t="shared" si="73"/>
        <v>0.34200000000000003</v>
      </c>
      <c r="T117" s="298">
        <f t="shared" si="73"/>
        <v>0.34200000000000003</v>
      </c>
      <c r="U117" s="298">
        <f t="shared" si="73"/>
        <v>0.34200000000000008</v>
      </c>
      <c r="V117" s="298">
        <f t="shared" si="73"/>
        <v>0.34200000000000003</v>
      </c>
      <c r="W117" s="298">
        <f t="shared" si="73"/>
        <v>0.34200000000000003</v>
      </c>
      <c r="X117" s="298">
        <f t="shared" si="73"/>
        <v>0.34200000000000003</v>
      </c>
      <c r="Y117" s="298">
        <f t="shared" si="73"/>
        <v>0.34200000000000003</v>
      </c>
      <c r="Z117" s="298">
        <f t="shared" si="73"/>
        <v>0.34199999999999997</v>
      </c>
      <c r="AA117" s="259">
        <f t="shared" si="73"/>
        <v>0.34199999999999986</v>
      </c>
      <c r="AB117" s="259">
        <f t="shared" si="73"/>
        <v>0.3419999999999998</v>
      </c>
      <c r="AC117" s="259">
        <f t="shared" si="73"/>
        <v>0.3419999999999998</v>
      </c>
      <c r="AD117" s="259">
        <f t="shared" si="73"/>
        <v>0.34199999999999975</v>
      </c>
      <c r="AE117" s="259">
        <f t="shared" si="73"/>
        <v>0.34199999999999975</v>
      </c>
    </row>
    <row r="118" spans="1:31">
      <c r="A118" s="240" t="s">
        <v>232</v>
      </c>
      <c r="B118" s="298">
        <f t="shared" si="73"/>
        <v>0.35</v>
      </c>
      <c r="C118" s="298">
        <f t="shared" si="73"/>
        <v>0.33333333333333331</v>
      </c>
      <c r="D118" s="298">
        <f t="shared" si="73"/>
        <v>0.34200000000000003</v>
      </c>
      <c r="E118" s="298">
        <f t="shared" si="73"/>
        <v>0.34200000000000003</v>
      </c>
      <c r="F118" s="298">
        <f t="shared" si="73"/>
        <v>0.34200000000000003</v>
      </c>
      <c r="G118" s="298">
        <f t="shared" si="73"/>
        <v>0.34200000000000003</v>
      </c>
      <c r="H118" s="298">
        <f t="shared" si="73"/>
        <v>0.34200000000000003</v>
      </c>
      <c r="I118" s="298">
        <f t="shared" si="73"/>
        <v>0.34200000000000003</v>
      </c>
      <c r="J118" s="298">
        <f t="shared" si="73"/>
        <v>0.34200000000000003</v>
      </c>
      <c r="K118" s="298">
        <f t="shared" si="73"/>
        <v>0.34200000000000008</v>
      </c>
      <c r="L118" s="298">
        <f t="shared" si="73"/>
        <v>0.34200000000000003</v>
      </c>
      <c r="M118" s="298">
        <f t="shared" si="73"/>
        <v>0.34200000000000003</v>
      </c>
      <c r="N118" s="298">
        <f t="shared" si="73"/>
        <v>0.34200000000000003</v>
      </c>
      <c r="O118" s="298">
        <f t="shared" si="73"/>
        <v>0.34200000000000003</v>
      </c>
      <c r="P118" s="298">
        <f t="shared" si="73"/>
        <v>0.34200000000000003</v>
      </c>
      <c r="Q118" s="298">
        <f t="shared" si="73"/>
        <v>0.34200000000000003</v>
      </c>
      <c r="R118" s="298">
        <f t="shared" si="73"/>
        <v>0.34200000000000003</v>
      </c>
      <c r="S118" s="298">
        <f t="shared" si="73"/>
        <v>0.34200000000000003</v>
      </c>
      <c r="T118" s="298">
        <f t="shared" si="73"/>
        <v>0.34200000000000003</v>
      </c>
      <c r="U118" s="298">
        <f t="shared" si="73"/>
        <v>0.34200000000000003</v>
      </c>
      <c r="V118" s="298">
        <f t="shared" si="73"/>
        <v>0.34200000000000003</v>
      </c>
      <c r="W118" s="298">
        <f t="shared" si="73"/>
        <v>0.34200000000000003</v>
      </c>
      <c r="X118" s="298">
        <f t="shared" si="73"/>
        <v>0.34200000000000003</v>
      </c>
      <c r="Y118" s="298">
        <f t="shared" si="73"/>
        <v>0.34200000000000003</v>
      </c>
      <c r="Z118" s="259">
        <f t="shared" si="73"/>
        <v>0.34200000000000003</v>
      </c>
      <c r="AA118" s="259">
        <f t="shared" si="73"/>
        <v>0.34199999999999986</v>
      </c>
      <c r="AB118" s="259">
        <f t="shared" si="73"/>
        <v>0.3419999999999998</v>
      </c>
      <c r="AC118" s="259">
        <f t="shared" si="73"/>
        <v>0.34199999999999986</v>
      </c>
      <c r="AD118" s="259">
        <f t="shared" si="73"/>
        <v>0.34199999999999975</v>
      </c>
      <c r="AE118" s="259">
        <f t="shared" si="73"/>
        <v>0.34199999999999975</v>
      </c>
    </row>
    <row r="119" spans="1:31">
      <c r="A119" s="240" t="s">
        <v>233</v>
      </c>
      <c r="B119" s="298">
        <f t="shared" si="73"/>
        <v>0.34999999999999992</v>
      </c>
      <c r="C119" s="298">
        <f t="shared" si="73"/>
        <v>0.33333333333333331</v>
      </c>
      <c r="D119" s="298">
        <f t="shared" si="73"/>
        <v>0.34200000000000003</v>
      </c>
      <c r="E119" s="298">
        <f t="shared" si="73"/>
        <v>0.34200000000000003</v>
      </c>
      <c r="F119" s="298">
        <f t="shared" si="73"/>
        <v>0.34200000000000003</v>
      </c>
      <c r="G119" s="298">
        <f t="shared" si="73"/>
        <v>0.34200000000000003</v>
      </c>
      <c r="H119" s="298">
        <f t="shared" si="73"/>
        <v>0.34200000000000003</v>
      </c>
      <c r="I119" s="298">
        <f t="shared" si="73"/>
        <v>0.34200000000000003</v>
      </c>
      <c r="J119" s="298">
        <f t="shared" si="73"/>
        <v>0.34200000000000003</v>
      </c>
      <c r="K119" s="298">
        <f t="shared" si="73"/>
        <v>0.34200000000000008</v>
      </c>
      <c r="L119" s="298">
        <f t="shared" si="73"/>
        <v>0.34200000000000003</v>
      </c>
      <c r="M119" s="298">
        <f t="shared" si="73"/>
        <v>0.34200000000000003</v>
      </c>
      <c r="N119" s="298">
        <f t="shared" si="73"/>
        <v>0.34200000000000003</v>
      </c>
      <c r="O119" s="298">
        <f t="shared" si="73"/>
        <v>0.34200000000000003</v>
      </c>
      <c r="P119" s="298">
        <f t="shared" si="73"/>
        <v>0.34200000000000003</v>
      </c>
      <c r="Q119" s="298">
        <f t="shared" si="73"/>
        <v>0.34200000000000003</v>
      </c>
      <c r="R119" s="298">
        <f t="shared" si="73"/>
        <v>0.34200000000000003</v>
      </c>
      <c r="S119" s="298">
        <f t="shared" si="73"/>
        <v>0.34200000000000003</v>
      </c>
      <c r="T119" s="298">
        <f t="shared" si="73"/>
        <v>0.34200000000000003</v>
      </c>
      <c r="U119" s="298">
        <f t="shared" si="73"/>
        <v>0.34200000000000003</v>
      </c>
      <c r="V119" s="298">
        <f t="shared" si="73"/>
        <v>0.34200000000000003</v>
      </c>
      <c r="W119" s="298">
        <f t="shared" si="73"/>
        <v>0.34200000000000003</v>
      </c>
      <c r="X119" s="298">
        <f t="shared" si="73"/>
        <v>0.34200000000000003</v>
      </c>
      <c r="Y119" s="298">
        <f t="shared" si="73"/>
        <v>0.34200000000000003</v>
      </c>
      <c r="Z119" s="259">
        <f t="shared" si="73"/>
        <v>0.34200000000000003</v>
      </c>
      <c r="AA119" s="259">
        <f t="shared" si="73"/>
        <v>0.34199999999999986</v>
      </c>
      <c r="AB119" s="259">
        <f t="shared" si="73"/>
        <v>0.3419999999999998</v>
      </c>
      <c r="AC119" s="259">
        <f t="shared" si="73"/>
        <v>0.3419999999999998</v>
      </c>
      <c r="AD119" s="259">
        <f t="shared" si="73"/>
        <v>0.34199999999999975</v>
      </c>
      <c r="AE119" s="259">
        <f t="shared" si="73"/>
        <v>0.3419999999999998</v>
      </c>
    </row>
    <row r="120" spans="1:31">
      <c r="A120" s="240" t="s">
        <v>234</v>
      </c>
      <c r="B120" s="298">
        <f t="shared" si="73"/>
        <v>0.35</v>
      </c>
      <c r="C120" s="298">
        <f t="shared" si="73"/>
        <v>0.33333333333333331</v>
      </c>
      <c r="D120" s="298">
        <f t="shared" si="73"/>
        <v>0.34200000000000003</v>
      </c>
      <c r="E120" s="298">
        <f t="shared" si="73"/>
        <v>0.34200000000000003</v>
      </c>
      <c r="F120" s="298">
        <f t="shared" si="73"/>
        <v>0.34200000000000003</v>
      </c>
      <c r="G120" s="298">
        <f t="shared" si="73"/>
        <v>0.34200000000000008</v>
      </c>
      <c r="H120" s="298">
        <f t="shared" si="73"/>
        <v>0.34200000000000003</v>
      </c>
      <c r="I120" s="298">
        <f t="shared" si="73"/>
        <v>0.34200000000000003</v>
      </c>
      <c r="J120" s="298">
        <f t="shared" si="73"/>
        <v>0.34200000000000003</v>
      </c>
      <c r="K120" s="298">
        <f t="shared" si="73"/>
        <v>0.34200000000000003</v>
      </c>
      <c r="L120" s="298">
        <f t="shared" si="73"/>
        <v>0.34200000000000003</v>
      </c>
      <c r="M120" s="298">
        <f t="shared" si="73"/>
        <v>0.34200000000000003</v>
      </c>
      <c r="N120" s="298">
        <f t="shared" si="73"/>
        <v>0.34200000000000003</v>
      </c>
      <c r="O120" s="298">
        <f t="shared" si="73"/>
        <v>0.34200000000000003</v>
      </c>
      <c r="P120" s="298">
        <f t="shared" si="73"/>
        <v>0.34200000000000003</v>
      </c>
      <c r="Q120" s="298">
        <f t="shared" ref="B120:AR123" si="74">Q104/Q88</f>
        <v>0.34200000000000003</v>
      </c>
      <c r="R120" s="298">
        <f t="shared" si="74"/>
        <v>0.34200000000000003</v>
      </c>
      <c r="S120" s="298">
        <f t="shared" si="74"/>
        <v>0.34200000000000003</v>
      </c>
      <c r="T120" s="298">
        <f t="shared" si="74"/>
        <v>0.34200000000000003</v>
      </c>
      <c r="U120" s="298">
        <f t="shared" si="74"/>
        <v>0.34200000000000003</v>
      </c>
      <c r="V120" s="298">
        <f t="shared" si="74"/>
        <v>0.34200000000000003</v>
      </c>
      <c r="W120" s="298">
        <f t="shared" si="74"/>
        <v>0.34200000000000003</v>
      </c>
      <c r="X120" s="298">
        <f t="shared" si="74"/>
        <v>0.34200000000000003</v>
      </c>
      <c r="Y120" s="298">
        <f t="shared" si="74"/>
        <v>0.34200000000000003</v>
      </c>
      <c r="Z120" s="259">
        <f t="shared" si="74"/>
        <v>0.34200000000000003</v>
      </c>
      <c r="AA120" s="259">
        <f t="shared" si="74"/>
        <v>0.34199999999999986</v>
      </c>
      <c r="AB120" s="259">
        <f t="shared" si="74"/>
        <v>0.3419999999999998</v>
      </c>
      <c r="AC120" s="259">
        <f t="shared" si="74"/>
        <v>0.3419999999999998</v>
      </c>
      <c r="AD120" s="259">
        <f t="shared" si="74"/>
        <v>0.34199999999999975</v>
      </c>
      <c r="AE120" s="259">
        <f t="shared" si="74"/>
        <v>0.34199999999999975</v>
      </c>
    </row>
    <row r="121" spans="1:31">
      <c r="A121" s="240" t="s">
        <v>46</v>
      </c>
      <c r="B121" s="298">
        <f t="shared" si="74"/>
        <v>0.35</v>
      </c>
      <c r="C121" s="298">
        <f t="shared" si="74"/>
        <v>0.33333333333333331</v>
      </c>
      <c r="D121" s="298">
        <f t="shared" si="74"/>
        <v>0.34200000000000003</v>
      </c>
      <c r="E121" s="298">
        <f t="shared" si="74"/>
        <v>0.34200000000000003</v>
      </c>
      <c r="F121" s="298">
        <f t="shared" si="74"/>
        <v>0.34200000000000003</v>
      </c>
      <c r="G121" s="298">
        <f t="shared" si="74"/>
        <v>0.34200000000000003</v>
      </c>
      <c r="H121" s="298">
        <f t="shared" si="74"/>
        <v>0.34200000000000003</v>
      </c>
      <c r="I121" s="298">
        <f t="shared" si="74"/>
        <v>0.34200000000000003</v>
      </c>
      <c r="J121" s="298">
        <f t="shared" si="74"/>
        <v>0.34200000000000003</v>
      </c>
      <c r="K121" s="298">
        <f t="shared" si="74"/>
        <v>0.34200000000000003</v>
      </c>
      <c r="L121" s="298">
        <f t="shared" si="74"/>
        <v>0.34200000000000003</v>
      </c>
      <c r="M121" s="298">
        <f t="shared" si="74"/>
        <v>0.34200000000000003</v>
      </c>
      <c r="N121" s="298">
        <f t="shared" si="74"/>
        <v>0.34200000000000003</v>
      </c>
      <c r="O121" s="298">
        <f t="shared" si="74"/>
        <v>0.34200000000000003</v>
      </c>
      <c r="P121" s="298">
        <f t="shared" si="74"/>
        <v>0.34200000000000003</v>
      </c>
      <c r="Q121" s="298">
        <f t="shared" si="74"/>
        <v>0.34200000000000003</v>
      </c>
      <c r="R121" s="298">
        <f t="shared" si="74"/>
        <v>0.34200000000000003</v>
      </c>
      <c r="S121" s="298">
        <f t="shared" si="74"/>
        <v>0.34200000000000003</v>
      </c>
      <c r="T121" s="298">
        <f t="shared" si="74"/>
        <v>0.34200000000000003</v>
      </c>
      <c r="U121" s="298">
        <f t="shared" si="74"/>
        <v>0.34200000000000003</v>
      </c>
      <c r="V121" s="298">
        <f t="shared" si="74"/>
        <v>0.34200000000000003</v>
      </c>
      <c r="W121" s="298">
        <f t="shared" si="74"/>
        <v>0.34200000000000003</v>
      </c>
      <c r="X121" s="298">
        <f t="shared" si="74"/>
        <v>0.34200000000000003</v>
      </c>
      <c r="Y121" s="298">
        <f t="shared" si="74"/>
        <v>0.34200000000000003</v>
      </c>
      <c r="Z121" s="259">
        <f t="shared" si="74"/>
        <v>0.34200000000000003</v>
      </c>
      <c r="AA121" s="259">
        <f t="shared" si="74"/>
        <v>0.34199999999999986</v>
      </c>
      <c r="AB121" s="259">
        <f t="shared" si="74"/>
        <v>0.3419999999999998</v>
      </c>
      <c r="AC121" s="259">
        <f t="shared" si="74"/>
        <v>0.3419999999999998</v>
      </c>
      <c r="AD121" s="259">
        <f t="shared" si="74"/>
        <v>0.34199999999999975</v>
      </c>
      <c r="AE121" s="259">
        <f t="shared" si="74"/>
        <v>0.3419999999999998</v>
      </c>
    </row>
    <row r="122" spans="1:31">
      <c r="A122" s="240" t="s">
        <v>235</v>
      </c>
      <c r="B122" s="298">
        <f t="shared" si="74"/>
        <v>0.35</v>
      </c>
      <c r="C122" s="298">
        <f t="shared" si="74"/>
        <v>0.33333333333333331</v>
      </c>
      <c r="D122" s="298">
        <f t="shared" si="74"/>
        <v>0.34200000000000003</v>
      </c>
      <c r="E122" s="298">
        <f t="shared" si="74"/>
        <v>0.34200000000000003</v>
      </c>
      <c r="F122" s="298">
        <f t="shared" si="74"/>
        <v>0.34200000000000003</v>
      </c>
      <c r="G122" s="298">
        <f t="shared" si="74"/>
        <v>0.34200000000000003</v>
      </c>
      <c r="H122" s="298">
        <f t="shared" si="74"/>
        <v>0.34200000000000003</v>
      </c>
      <c r="I122" s="298">
        <f t="shared" si="74"/>
        <v>0.34200000000000003</v>
      </c>
      <c r="J122" s="298">
        <f t="shared" si="74"/>
        <v>0.34200000000000003</v>
      </c>
      <c r="K122" s="298">
        <f t="shared" si="74"/>
        <v>0.34200000000000003</v>
      </c>
      <c r="L122" s="298">
        <f t="shared" si="74"/>
        <v>0.34200000000000003</v>
      </c>
      <c r="M122" s="298">
        <f t="shared" si="74"/>
        <v>0.34200000000000003</v>
      </c>
      <c r="N122" s="298">
        <f t="shared" si="74"/>
        <v>0.34200000000000008</v>
      </c>
      <c r="O122" s="298">
        <f t="shared" si="74"/>
        <v>0.34200000000000003</v>
      </c>
      <c r="P122" s="298">
        <f t="shared" si="74"/>
        <v>0.34200000000000003</v>
      </c>
      <c r="Q122" s="298">
        <f t="shared" si="74"/>
        <v>0.34200000000000003</v>
      </c>
      <c r="R122" s="298">
        <f t="shared" si="74"/>
        <v>0.34200000000000003</v>
      </c>
      <c r="S122" s="298">
        <f t="shared" si="74"/>
        <v>0.34200000000000008</v>
      </c>
      <c r="T122" s="298">
        <f t="shared" si="74"/>
        <v>0.34200000000000003</v>
      </c>
      <c r="U122" s="298">
        <f t="shared" si="74"/>
        <v>0.34200000000000003</v>
      </c>
      <c r="V122" s="298">
        <f t="shared" si="74"/>
        <v>0.34200000000000003</v>
      </c>
      <c r="W122" s="298">
        <f t="shared" si="74"/>
        <v>0.34200000000000003</v>
      </c>
      <c r="X122" s="298">
        <f t="shared" si="74"/>
        <v>0.34200000000000003</v>
      </c>
      <c r="Y122" s="298">
        <f t="shared" si="74"/>
        <v>0.34200000000000003</v>
      </c>
      <c r="Z122" s="259">
        <f t="shared" si="74"/>
        <v>0.34200000000000003</v>
      </c>
      <c r="AA122" s="259">
        <f t="shared" si="74"/>
        <v>0.34199999999999986</v>
      </c>
      <c r="AB122" s="259">
        <f t="shared" si="74"/>
        <v>0.3419999999999998</v>
      </c>
      <c r="AC122" s="259">
        <f t="shared" si="74"/>
        <v>0.3419999999999998</v>
      </c>
      <c r="AD122" s="259">
        <f t="shared" si="74"/>
        <v>0.34199999999999975</v>
      </c>
      <c r="AE122" s="259">
        <f t="shared" si="74"/>
        <v>0.3419999999999998</v>
      </c>
    </row>
    <row r="123" spans="1:31">
      <c r="A123" s="240" t="s">
        <v>236</v>
      </c>
      <c r="B123" s="298">
        <f t="shared" si="74"/>
        <v>0.35</v>
      </c>
      <c r="C123" s="298">
        <f t="shared" si="74"/>
        <v>0.33333333333333331</v>
      </c>
      <c r="D123" s="298">
        <f t="shared" si="74"/>
        <v>0.34200000000000003</v>
      </c>
      <c r="E123" s="298">
        <f t="shared" si="74"/>
        <v>0.34200000000000008</v>
      </c>
      <c r="F123" s="298">
        <f t="shared" si="74"/>
        <v>0.34200000000000003</v>
      </c>
      <c r="G123" s="298">
        <f t="shared" si="74"/>
        <v>0.34200000000000003</v>
      </c>
      <c r="H123" s="298">
        <f t="shared" si="74"/>
        <v>0.34200000000000003</v>
      </c>
      <c r="I123" s="298">
        <f t="shared" si="74"/>
        <v>0.34200000000000003</v>
      </c>
      <c r="J123" s="298">
        <f t="shared" si="74"/>
        <v>0.34200000000000003</v>
      </c>
      <c r="K123" s="298">
        <f t="shared" si="74"/>
        <v>0.34200000000000003</v>
      </c>
      <c r="L123" s="298">
        <f t="shared" si="74"/>
        <v>0.34200000000000003</v>
      </c>
      <c r="M123" s="298">
        <f t="shared" si="74"/>
        <v>0.34200000000000003</v>
      </c>
      <c r="N123" s="298">
        <f t="shared" si="74"/>
        <v>0.34200000000000003</v>
      </c>
      <c r="O123" s="298">
        <f t="shared" si="74"/>
        <v>0.34200000000000003</v>
      </c>
      <c r="P123" s="298">
        <f t="shared" si="74"/>
        <v>0.34200000000000003</v>
      </c>
      <c r="Q123" s="298">
        <f t="shared" si="74"/>
        <v>0.34200000000000003</v>
      </c>
      <c r="R123" s="298">
        <f t="shared" si="74"/>
        <v>0.34200000000000003</v>
      </c>
      <c r="S123" s="298">
        <f t="shared" si="74"/>
        <v>0.34200000000000003</v>
      </c>
      <c r="T123" s="298">
        <f t="shared" si="74"/>
        <v>0.34200000000000003</v>
      </c>
      <c r="U123" s="298">
        <f t="shared" si="74"/>
        <v>0.34200000000000003</v>
      </c>
      <c r="V123" s="298">
        <f t="shared" si="74"/>
        <v>0.34200000000000003</v>
      </c>
      <c r="W123" s="298">
        <f t="shared" si="74"/>
        <v>0.34200000000000003</v>
      </c>
      <c r="X123" s="298">
        <f t="shared" si="74"/>
        <v>0.34200000000000003</v>
      </c>
      <c r="Y123" s="298">
        <f t="shared" si="74"/>
        <v>0.34200000000000003</v>
      </c>
      <c r="Z123" s="259">
        <f t="shared" si="74"/>
        <v>0.34200000000000003</v>
      </c>
      <c r="AA123" s="259">
        <f t="shared" si="74"/>
        <v>0.34199999999999986</v>
      </c>
      <c r="AB123" s="259">
        <f t="shared" si="74"/>
        <v>0.3419999999999998</v>
      </c>
      <c r="AC123" s="259">
        <f t="shared" si="74"/>
        <v>0.3419999999999998</v>
      </c>
      <c r="AD123" s="259">
        <f t="shared" si="74"/>
        <v>0.34199999999999975</v>
      </c>
      <c r="AE123" s="259">
        <f t="shared" si="74"/>
        <v>0.34199999999999975</v>
      </c>
    </row>
    <row r="124" spans="1:31" ht="15.75" thickBot="1">
      <c r="A124" s="240" t="s">
        <v>255</v>
      </c>
      <c r="B124" s="258">
        <v>0.35</v>
      </c>
      <c r="C124" s="258">
        <v>0.33333333333333331</v>
      </c>
      <c r="D124" s="258">
        <v>0.34200000000000003</v>
      </c>
      <c r="E124" s="258">
        <v>0.34200000000000003</v>
      </c>
      <c r="F124" s="258">
        <v>0.34200000000000003</v>
      </c>
      <c r="G124" s="258">
        <v>0.34200000000000003</v>
      </c>
      <c r="H124" s="258">
        <v>0.34200000000000003</v>
      </c>
      <c r="I124" s="258">
        <v>0.34200000000000003</v>
      </c>
      <c r="J124" s="258">
        <v>0.34200000000000003</v>
      </c>
      <c r="K124" s="258">
        <v>0.34200000000000003</v>
      </c>
      <c r="L124" s="258">
        <v>0.34200000000000003</v>
      </c>
      <c r="M124" s="258">
        <v>0.34200000000000003</v>
      </c>
      <c r="N124" s="258">
        <v>0.34200000000000003</v>
      </c>
      <c r="O124" s="258">
        <v>0.34200000000000003</v>
      </c>
      <c r="P124" s="258">
        <v>0.34200000000000003</v>
      </c>
      <c r="Q124" s="258">
        <v>0.34200000000000003</v>
      </c>
      <c r="R124" s="258">
        <v>0.34200000000000003</v>
      </c>
      <c r="S124" s="258">
        <v>0.34200000000000003</v>
      </c>
      <c r="T124" s="258">
        <v>0.34200000000000003</v>
      </c>
      <c r="U124" s="258">
        <v>0.34200000000000003</v>
      </c>
      <c r="V124" s="258">
        <v>0.34200000000000003</v>
      </c>
      <c r="W124" s="258">
        <v>0.34200000000000003</v>
      </c>
      <c r="X124" s="258">
        <v>0.34200000000000003</v>
      </c>
      <c r="Y124" s="258">
        <v>0.34200000000000003</v>
      </c>
      <c r="Z124" s="259">
        <v>0.34200000000000003</v>
      </c>
      <c r="AA124" s="259">
        <f>FORECAST(AA45,H124:Z124,H45:Z45)</f>
        <v>0.34199999999999986</v>
      </c>
      <c r="AB124" s="259">
        <f>FORECAST(AB45,I124:AA124,I45:AA45)</f>
        <v>0.3419999999999998</v>
      </c>
      <c r="AC124" s="259">
        <f>FORECAST(AC45,J124:AB124,J45:AB45)</f>
        <v>0.3419999999999998</v>
      </c>
      <c r="AD124" s="259">
        <f t="shared" ref="AD124:AE124" si="75">FORECAST(AD45,K124:AC124,K45:AC45)</f>
        <v>0.34199999999999975</v>
      </c>
      <c r="AE124" s="259">
        <f t="shared" si="75"/>
        <v>0.34199999999999975</v>
      </c>
    </row>
    <row r="125" spans="1:31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  <c r="AE125" s="248"/>
    </row>
    <row r="126" spans="1:31" ht="15.75" thickBot="1">
      <c r="A126" s="235" t="s">
        <v>256</v>
      </c>
    </row>
    <row r="127" spans="1:31" ht="15.75" thickBot="1">
      <c r="A127" s="236"/>
      <c r="B127" s="237" t="str">
        <f>B$2</f>
        <v xml:space="preserve">93/94 </v>
      </c>
      <c r="C127" s="237" t="str">
        <f t="shared" ref="C127:AE127" si="76">C$2</f>
        <v xml:space="preserve">94/95 </v>
      </c>
      <c r="D127" s="237" t="str">
        <f t="shared" si="76"/>
        <v xml:space="preserve">95/96 </v>
      </c>
      <c r="E127" s="237" t="str">
        <f t="shared" si="76"/>
        <v xml:space="preserve">96/97 </v>
      </c>
      <c r="F127" s="237" t="str">
        <f t="shared" si="76"/>
        <v xml:space="preserve">97/98 </v>
      </c>
      <c r="G127" s="237" t="str">
        <f t="shared" si="76"/>
        <v xml:space="preserve">98/99 </v>
      </c>
      <c r="H127" s="237" t="str">
        <f t="shared" si="76"/>
        <v xml:space="preserve">99/00 </v>
      </c>
      <c r="I127" s="237" t="str">
        <f t="shared" si="76"/>
        <v xml:space="preserve">00/01 </v>
      </c>
      <c r="J127" s="237" t="str">
        <f t="shared" si="76"/>
        <v xml:space="preserve">01/02 </v>
      </c>
      <c r="K127" s="237" t="str">
        <f t="shared" si="76"/>
        <v xml:space="preserve">02/03 </v>
      </c>
      <c r="L127" s="237" t="str">
        <f t="shared" si="76"/>
        <v xml:space="preserve">03/04 </v>
      </c>
      <c r="M127" s="237" t="str">
        <f t="shared" si="76"/>
        <v xml:space="preserve">04/05 </v>
      </c>
      <c r="N127" s="237" t="str">
        <f t="shared" si="76"/>
        <v xml:space="preserve">05/06 </v>
      </c>
      <c r="O127" s="237" t="str">
        <f t="shared" si="76"/>
        <v xml:space="preserve">06/07 </v>
      </c>
      <c r="P127" s="237" t="str">
        <f t="shared" si="76"/>
        <v xml:space="preserve">07/08 </v>
      </c>
      <c r="Q127" s="237" t="str">
        <f t="shared" si="76"/>
        <v xml:space="preserve">08/09 </v>
      </c>
      <c r="R127" s="237" t="str">
        <f t="shared" si="76"/>
        <v xml:space="preserve">09/10 </v>
      </c>
      <c r="S127" s="237" t="str">
        <f t="shared" si="76"/>
        <v xml:space="preserve">10/11 </v>
      </c>
      <c r="T127" s="237" t="str">
        <f t="shared" si="76"/>
        <v xml:space="preserve">11/12 </v>
      </c>
      <c r="U127" s="237" t="str">
        <f t="shared" si="76"/>
        <v xml:space="preserve">12/13 </v>
      </c>
      <c r="V127" s="237" t="str">
        <f t="shared" si="76"/>
        <v xml:space="preserve">13/14 </v>
      </c>
      <c r="W127" s="237" t="str">
        <f t="shared" si="76"/>
        <v xml:space="preserve">14/15 </v>
      </c>
      <c r="X127" s="237" t="str">
        <f t="shared" si="76"/>
        <v xml:space="preserve">15/16 </v>
      </c>
      <c r="Y127" s="237" t="str">
        <f t="shared" si="76"/>
        <v xml:space="preserve">16/17 </v>
      </c>
      <c r="Z127" s="237" t="str">
        <f t="shared" si="76"/>
        <v xml:space="preserve">17/18 </v>
      </c>
      <c r="AA127" s="237" t="str">
        <f t="shared" si="76"/>
        <v xml:space="preserve">18/19 </v>
      </c>
      <c r="AB127" s="237" t="str">
        <f t="shared" si="76"/>
        <v xml:space="preserve">19/20 </v>
      </c>
      <c r="AC127" s="237" t="str">
        <f t="shared" si="76"/>
        <v xml:space="preserve">20/21 </v>
      </c>
      <c r="AD127" s="237" t="str">
        <f t="shared" si="76"/>
        <v>21/22</v>
      </c>
      <c r="AE127" s="237" t="str">
        <f t="shared" si="76"/>
        <v>22/23</v>
      </c>
    </row>
    <row r="128" spans="1:31">
      <c r="A128" s="240" t="s">
        <v>237</v>
      </c>
      <c r="B128" s="241">
        <f>(SUM(K128:O128)/SUM(K$140:O$140))*B$140</f>
        <v>7.2018453998130297E-2</v>
      </c>
      <c r="C128" s="241">
        <v>0.20304150352388411</v>
      </c>
      <c r="D128" s="242">
        <f>'[2]Canada Sun Meal Imports'!BB$290</f>
        <v>0.218</v>
      </c>
      <c r="E128" s="242">
        <f>'[2]Canada Sun Meal Imports'!BN$290</f>
        <v>2.3E-2</v>
      </c>
      <c r="F128" s="242">
        <f>'[2]Canada Sun Meal Imports'!BZ$290</f>
        <v>7.4999999999999997E-2</v>
      </c>
      <c r="G128" s="242">
        <f>'[2]Canada Sun Meal Imports'!CL$290</f>
        <v>3.0000000000000001E-3</v>
      </c>
      <c r="H128" s="242">
        <f>'[2]Canada Sun Meal Imports'!CX$290</f>
        <v>0.17299999999999999</v>
      </c>
      <c r="I128" s="242">
        <f>'[2]Canada Sun Meal Imports'!DJ$290</f>
        <v>9.0999999999999998E-2</v>
      </c>
      <c r="J128" s="242">
        <f>'[2]Canada Sun Meal Imports'!DV$290</f>
        <v>9.0999999999999998E-2</v>
      </c>
      <c r="K128" s="242">
        <f>'[2]Canada Sun Meal Imports'!EH$290</f>
        <v>0.44400000000000001</v>
      </c>
      <c r="L128" s="242">
        <f>'[2]Canada Sun Meal Imports'!ET$290</f>
        <v>0.09</v>
      </c>
      <c r="M128" s="242">
        <f>'[2]Canada Sun Meal Imports'!FF$290</f>
        <v>0.67396</v>
      </c>
      <c r="N128" s="242">
        <f>'[2]Canada Sun Meal Imports'!FR$290</f>
        <v>9.0999999999999998E-2</v>
      </c>
      <c r="O128" s="242">
        <f>'[2]Canada Sun Meal Imports'!GD$290</f>
        <v>0.27800000000000002</v>
      </c>
      <c r="P128" s="242">
        <f>'[2]Canada Sun Meal Imports'!GP$290</f>
        <v>2.2280000000000002</v>
      </c>
      <c r="Q128" s="242">
        <f>'[2]Canada Sun Meal Imports'!HB$290</f>
        <v>0.19</v>
      </c>
      <c r="R128" s="242">
        <f>'[2]Canada Sun Meal Imports'!HN$290</f>
        <v>0.185</v>
      </c>
      <c r="S128" s="242">
        <f>'[2]Canada Sun Meal Imports'!HZ$290</f>
        <v>8.8999999999999996E-2</v>
      </c>
      <c r="T128" s="242">
        <f>'[2]Canada Sun Meal Imports'!IL$290</f>
        <v>0.09</v>
      </c>
      <c r="U128" s="242">
        <f>'[2]Canada Sun Meal Imports'!IX$290</f>
        <v>0.19900000000000001</v>
      </c>
      <c r="V128" s="242">
        <f>'[2]Canada Sun Meal Imports'!JJ$290</f>
        <v>0.23100000000000001</v>
      </c>
      <c r="W128" s="242">
        <f>'[2]Canada Sun Meal Imports'!JV$290</f>
        <v>0.129</v>
      </c>
      <c r="X128" s="242">
        <f>'[2]Canada Sun Meal Imports'!KH$290</f>
        <v>0.17299999999999999</v>
      </c>
      <c r="Y128" s="242">
        <f>'[2]Canada Sun Meal Imports'!KT$290</f>
        <v>0.17699999999999999</v>
      </c>
      <c r="Z128" s="242">
        <f>'[2]Canada Sun Meal Imports'!LF$290</f>
        <v>0.129</v>
      </c>
      <c r="AA128" s="242">
        <f>'[2]Canada Sun Meal Imports'!LR$290</f>
        <v>0.20100000000000001</v>
      </c>
      <c r="AB128" s="242">
        <f>'[2]Canada Sun Meal Imports'!MD$290</f>
        <v>1.976</v>
      </c>
      <c r="AC128" s="242">
        <f>'[2]Canada Sun Meal Imports'!MP$290</f>
        <v>1.371</v>
      </c>
      <c r="AD128" s="242">
        <f>'[2]Canada Sun Meal Imports'!NB$290</f>
        <v>1.9670000000000001</v>
      </c>
      <c r="AE128" s="243">
        <f t="shared" ref="AE128:AE138" si="77">(SUM(Y128:AC128)/SUM(Y$140:AC$140))*AE$140</f>
        <v>1.559036261549166</v>
      </c>
    </row>
    <row r="129" spans="1:31">
      <c r="A129" s="240" t="s">
        <v>238</v>
      </c>
      <c r="B129" s="241">
        <f t="shared" ref="B129:B139" si="78">(SUM(K129:O129)/SUM(K$140:O$140))*B$140</f>
        <v>4.1214598972169662E-2</v>
      </c>
      <c r="C129" s="241">
        <v>7.5521534847298372E-2</v>
      </c>
      <c r="D129" s="242">
        <f>'[2]Canada Sun Meal Imports'!BC$290</f>
        <v>4.4999999999999998E-2</v>
      </c>
      <c r="E129" s="242">
        <f>'[2]Canada Sun Meal Imports'!BO$290</f>
        <v>1.9E-2</v>
      </c>
      <c r="F129" s="242">
        <f>'[2]Canada Sun Meal Imports'!CA$290</f>
        <v>3.5999999999999997E-2</v>
      </c>
      <c r="G129" s="242">
        <f>'[2]Canada Sun Meal Imports'!CM$290</f>
        <v>1E-3</v>
      </c>
      <c r="H129" s="242">
        <f>'[2]Canada Sun Meal Imports'!CY$290</f>
        <v>8.2000000000000003E-2</v>
      </c>
      <c r="I129" s="242">
        <f>'[2]Canada Sun Meal Imports'!DK$290</f>
        <v>0.17199999999999999</v>
      </c>
      <c r="J129" s="242">
        <f>'[2]Canada Sun Meal Imports'!DW$290</f>
        <v>0.25900000000000001</v>
      </c>
      <c r="K129" s="242">
        <f>'[2]Canada Sun Meal Imports'!EI$290</f>
        <v>0.14499999999999999</v>
      </c>
      <c r="L129" s="242">
        <f>'[2]Canada Sun Meal Imports'!EU$290</f>
        <v>0.28499999999999998</v>
      </c>
      <c r="M129" s="242">
        <f>'[2]Canada Sun Meal Imports'!FG$290</f>
        <v>0.37546000000000002</v>
      </c>
      <c r="N129" s="242">
        <f>'[2]Canada Sun Meal Imports'!FS$290</f>
        <v>2E-3</v>
      </c>
      <c r="O129" s="242">
        <f>'[2]Canada Sun Meal Imports'!GE$290</f>
        <v>9.5000000000000001E-2</v>
      </c>
      <c r="P129" s="242">
        <f>'[2]Canada Sun Meal Imports'!GQ$290</f>
        <v>9.5000000000000001E-2</v>
      </c>
      <c r="Q129" s="242">
        <f>'[2]Canada Sun Meal Imports'!HC$290</f>
        <v>9.5000000000000001E-2</v>
      </c>
      <c r="R129" s="242">
        <f>'[2]Canada Sun Meal Imports'!HO$290</f>
        <v>0.16</v>
      </c>
      <c r="S129" s="242">
        <f>'[2]Canada Sun Meal Imports'!IA$290</f>
        <v>0.246</v>
      </c>
      <c r="T129" s="242">
        <f>'[2]Canada Sun Meal Imports'!IM$290</f>
        <v>0.09</v>
      </c>
      <c r="U129" s="242">
        <f>'[2]Canada Sun Meal Imports'!IY$290</f>
        <v>9.8000000000000004E-2</v>
      </c>
      <c r="V129" s="242">
        <f>'[2]Canada Sun Meal Imports'!JK$290</f>
        <v>1.7999999999999999E-2</v>
      </c>
      <c r="W129" s="242">
        <f>'[2]Canada Sun Meal Imports'!JW$290</f>
        <v>5.0999999999999997E-2</v>
      </c>
      <c r="X129" s="242">
        <f>'[2]Canada Sun Meal Imports'!KI$290</f>
        <v>0.115</v>
      </c>
      <c r="Y129" s="242">
        <f>'[2]Canada Sun Meal Imports'!KU$290</f>
        <v>0.223</v>
      </c>
      <c r="Z129" s="242">
        <f>'[2]Canada Sun Meal Imports'!LG$290</f>
        <v>0.254</v>
      </c>
      <c r="AA129" s="242">
        <f>'[2]Canada Sun Meal Imports'!LS$290</f>
        <v>0.214</v>
      </c>
      <c r="AB129" s="242">
        <f>'[2]Canada Sun Meal Imports'!ME$290</f>
        <v>1.294</v>
      </c>
      <c r="AC129" s="242">
        <f>'[2]Canada Sun Meal Imports'!MQ$290</f>
        <v>1.0860000000000001</v>
      </c>
      <c r="AD129" s="242">
        <f>'[2]Canada Sun Meal Imports'!NC$290</f>
        <v>3.0630000000000002</v>
      </c>
      <c r="AE129" s="243">
        <f t="shared" si="77"/>
        <v>1.2422938140159543</v>
      </c>
    </row>
    <row r="130" spans="1:31">
      <c r="A130" s="240" t="s">
        <v>239</v>
      </c>
      <c r="B130" s="241">
        <f t="shared" si="78"/>
        <v>6.321069791168589E-2</v>
      </c>
      <c r="C130" s="241">
        <v>0.15723335943617855</v>
      </c>
      <c r="D130" s="242">
        <f>'[2]Canada Sun Meal Imports'!BD$290</f>
        <v>7.1999999999999995E-2</v>
      </c>
      <c r="E130" s="242">
        <f>'[2]Canada Sun Meal Imports'!BP$290</f>
        <v>1E-3</v>
      </c>
      <c r="F130" s="242">
        <f>'[2]Canada Sun Meal Imports'!CB$290</f>
        <v>4.8000000000000001E-2</v>
      </c>
      <c r="G130" s="242">
        <f>'[2]Canada Sun Meal Imports'!CN$290</f>
        <v>1E-3</v>
      </c>
      <c r="H130" s="242">
        <f>'[2]Canada Sun Meal Imports'!CZ$290</f>
        <v>0.25900000000000001</v>
      </c>
      <c r="I130" s="242">
        <f>'[2]Canada Sun Meal Imports'!DL$290</f>
        <v>7.9000000000000001E-2</v>
      </c>
      <c r="J130" s="242">
        <f>'[2]Canada Sun Meal Imports'!DX$290</f>
        <v>0.182</v>
      </c>
      <c r="K130" s="242">
        <f>'[2]Canada Sun Meal Imports'!EJ$290</f>
        <v>0.13700000000000001</v>
      </c>
      <c r="L130" s="242">
        <f>'[2]Canada Sun Meal Imports'!EV$290</f>
        <v>2E-3</v>
      </c>
      <c r="M130" s="242">
        <f>'[2]Canada Sun Meal Imports'!FH$290</f>
        <v>0.86238000000000004</v>
      </c>
      <c r="N130" s="242">
        <f>'[2]Canada Sun Meal Imports'!FT$290</f>
        <v>0.19572000000000001</v>
      </c>
      <c r="O130" s="242">
        <f>'[2]Canada Sun Meal Imports'!GF$290</f>
        <v>0.187</v>
      </c>
      <c r="P130" s="242">
        <f>'[2]Canada Sun Meal Imports'!GR$290</f>
        <v>0.128</v>
      </c>
      <c r="Q130" s="242">
        <f>'[2]Canada Sun Meal Imports'!HD$290</f>
        <v>0.19</v>
      </c>
      <c r="R130" s="242">
        <f>'[2]Canada Sun Meal Imports'!HP$290</f>
        <v>0.23799999999999999</v>
      </c>
      <c r="S130" s="242">
        <f>'[2]Canada Sun Meal Imports'!IB$290</f>
        <v>9.5000000000000001E-2</v>
      </c>
      <c r="T130" s="242">
        <f>'[2]Canada Sun Meal Imports'!IN$290</f>
        <v>0.104</v>
      </c>
      <c r="U130" s="242">
        <f>'[2]Canada Sun Meal Imports'!IZ$290</f>
        <v>0.19500000000000001</v>
      </c>
      <c r="V130" s="242">
        <f>'[2]Canada Sun Meal Imports'!JL$290</f>
        <v>6.0999999999999999E-2</v>
      </c>
      <c r="W130" s="242">
        <f>'[2]Canada Sun Meal Imports'!JX$290</f>
        <v>0.122</v>
      </c>
      <c r="X130" s="242">
        <f>'[2]Canada Sun Meal Imports'!KJ$290</f>
        <v>0.39400000000000002</v>
      </c>
      <c r="Y130" s="242">
        <f>'[2]Canada Sun Meal Imports'!KV$290</f>
        <v>0.182</v>
      </c>
      <c r="Z130" s="242">
        <f>'[2]Canada Sun Meal Imports'!LH$290</f>
        <v>0.121</v>
      </c>
      <c r="AA130" s="242">
        <f>'[2]Canada Sun Meal Imports'!LT$290</f>
        <v>0.20499999999999999</v>
      </c>
      <c r="AB130" s="242">
        <f>'[2]Canada Sun Meal Imports'!MF$290</f>
        <v>0.94799999999999995</v>
      </c>
      <c r="AC130" s="242">
        <f>'[2]Canada Sun Meal Imports'!MR$290</f>
        <v>1.36</v>
      </c>
      <c r="AD130" s="242">
        <f>'[2]Canada Sun Meal Imports'!ND$290</f>
        <v>2.2930000000000001</v>
      </c>
      <c r="AE130" s="243">
        <f t="shared" si="77"/>
        <v>1.1391401433633759</v>
      </c>
    </row>
    <row r="131" spans="1:31">
      <c r="A131" s="240" t="s">
        <v>240</v>
      </c>
      <c r="B131" s="241">
        <f t="shared" si="78"/>
        <v>7.636798572929783E-2</v>
      </c>
      <c r="C131" s="241">
        <v>5.2411119812059523E-2</v>
      </c>
      <c r="D131" s="242">
        <f>'[2]Canada Sun Meal Imports'!BE$290</f>
        <v>0.126</v>
      </c>
      <c r="E131" s="242">
        <f>'[2]Canada Sun Meal Imports'!BQ$290</f>
        <v>0</v>
      </c>
      <c r="F131" s="242">
        <f>'[2]Canada Sun Meal Imports'!CC$290</f>
        <v>1E-3</v>
      </c>
      <c r="G131" s="242">
        <f>'[2]Canada Sun Meal Imports'!CO$290</f>
        <v>0</v>
      </c>
      <c r="H131" s="242">
        <f>'[2]Canada Sun Meal Imports'!DA$290</f>
        <v>0</v>
      </c>
      <c r="I131" s="242">
        <f>'[2]Canada Sun Meal Imports'!DM$290</f>
        <v>0.17599999999999999</v>
      </c>
      <c r="J131" s="242">
        <f>'[2]Canada Sun Meal Imports'!DY$290</f>
        <v>0.27200000000000002</v>
      </c>
      <c r="K131" s="242">
        <f>'[2]Canada Sun Meal Imports'!EK$290</f>
        <v>0.16500000000000001</v>
      </c>
      <c r="L131" s="242">
        <f>'[2]Canada Sun Meal Imports'!EW$290</f>
        <v>1.1592</v>
      </c>
      <c r="M131" s="242">
        <f>'[2]Canada Sun Meal Imports'!FI$290</f>
        <v>4.0000000000000001E-3</v>
      </c>
      <c r="N131" s="242">
        <f>'[2]Canada Sun Meal Imports'!FU$290</f>
        <v>0.157</v>
      </c>
      <c r="O131" s="242">
        <f>'[2]Canada Sun Meal Imports'!GG$290</f>
        <v>0.187</v>
      </c>
      <c r="P131" s="242">
        <f>'[2]Canada Sun Meal Imports'!GS$290</f>
        <v>0.27100000000000002</v>
      </c>
      <c r="Q131" s="242">
        <f>'[2]Canada Sun Meal Imports'!HE$290</f>
        <v>9.4E-2</v>
      </c>
      <c r="R131" s="242">
        <f>'[2]Canada Sun Meal Imports'!HQ$290</f>
        <v>0.23300000000000001</v>
      </c>
      <c r="S131" s="242">
        <f>'[2]Canada Sun Meal Imports'!IC$290</f>
        <v>0.27200000000000002</v>
      </c>
      <c r="T131" s="242">
        <f>'[2]Canada Sun Meal Imports'!IO$290</f>
        <v>9.1999999999999998E-2</v>
      </c>
      <c r="U131" s="242">
        <f>'[2]Canada Sun Meal Imports'!JA$290</f>
        <v>0.20300000000000001</v>
      </c>
      <c r="V131" s="242">
        <f>'[2]Canada Sun Meal Imports'!JM$290</f>
        <v>6.5000000000000002E-2</v>
      </c>
      <c r="W131" s="242">
        <f>'[2]Canada Sun Meal Imports'!JY$290</f>
        <v>0.24</v>
      </c>
      <c r="X131" s="242">
        <f>'[2]Canada Sun Meal Imports'!KK$290</f>
        <v>0.20399999999999999</v>
      </c>
      <c r="Y131" s="242">
        <f>'[2]Canada Sun Meal Imports'!KW$290</f>
        <v>5.7000000000000002E-2</v>
      </c>
      <c r="Z131" s="242">
        <f>'[2]Canada Sun Meal Imports'!LI$290</f>
        <v>0.55500000000000005</v>
      </c>
      <c r="AA131" s="242">
        <f>'[2]Canada Sun Meal Imports'!LU$290</f>
        <v>0.22500000000000001</v>
      </c>
      <c r="AB131" s="242">
        <f>'[2]Canada Sun Meal Imports'!MG$290</f>
        <v>1.6080000000000001</v>
      </c>
      <c r="AC131" s="242">
        <f>'[2]Canada Sun Meal Imports'!MS$290</f>
        <v>2.3929999999999998</v>
      </c>
      <c r="AD131" s="242">
        <f>'[2]Canada Sun Meal Imports'!NE$290</f>
        <v>2.5830000000000002</v>
      </c>
      <c r="AE131" s="243">
        <f t="shared" si="77"/>
        <v>1.9570880730085272</v>
      </c>
    </row>
    <row r="132" spans="1:31">
      <c r="A132" s="240" t="s">
        <v>241</v>
      </c>
      <c r="B132" s="241">
        <f t="shared" si="78"/>
        <v>2.1738524821878821E-2</v>
      </c>
      <c r="C132" s="241">
        <v>3.8792482380579488E-2</v>
      </c>
      <c r="D132" s="242">
        <f>'[2]Canada Sun Meal Imports'!BF$290</f>
        <v>0</v>
      </c>
      <c r="E132" s="242">
        <f>'[2]Canada Sun Meal Imports'!BR$290</f>
        <v>1E-3</v>
      </c>
      <c r="F132" s="242">
        <f>'[2]Canada Sun Meal Imports'!CD$290</f>
        <v>1E-3</v>
      </c>
      <c r="G132" s="242">
        <f>'[2]Canada Sun Meal Imports'!CP$290</f>
        <v>0</v>
      </c>
      <c r="H132" s="242">
        <f>'[2]Canada Sun Meal Imports'!DB$290</f>
        <v>9.1999999999999998E-2</v>
      </c>
      <c r="I132" s="242">
        <f>'[2]Canada Sun Meal Imports'!DN$290</f>
        <v>0.182</v>
      </c>
      <c r="J132" s="242">
        <f>'[2]Canada Sun Meal Imports'!DZ$290</f>
        <v>0</v>
      </c>
      <c r="K132" s="242">
        <f>'[2]Canada Sun Meal Imports'!EL$290</f>
        <v>0.20599999999999999</v>
      </c>
      <c r="L132" s="242">
        <f>'[2]Canada Sun Meal Imports'!EX$290</f>
        <v>0</v>
      </c>
      <c r="M132" s="242">
        <f>'[2]Canada Sun Meal Imports'!FJ$290</f>
        <v>8.9999999999999993E-3</v>
      </c>
      <c r="N132" s="242">
        <f>'[2]Canada Sun Meal Imports'!FV$290</f>
        <v>0.16900000000000001</v>
      </c>
      <c r="O132" s="242">
        <f>'[2]Canada Sun Meal Imports'!GH$290</f>
        <v>9.1999999999999998E-2</v>
      </c>
      <c r="P132" s="242">
        <f>'[2]Canada Sun Meal Imports'!GT$290</f>
        <v>0.09</v>
      </c>
      <c r="Q132" s="242">
        <f>'[2]Canada Sun Meal Imports'!HF$290</f>
        <v>0.17899999999999999</v>
      </c>
      <c r="R132" s="242">
        <f>'[2]Canada Sun Meal Imports'!HR$290</f>
        <v>0.26600000000000001</v>
      </c>
      <c r="S132" s="242">
        <f>'[2]Canada Sun Meal Imports'!ID$290</f>
        <v>9.8000000000000004E-2</v>
      </c>
      <c r="T132" s="242">
        <f>'[2]Canada Sun Meal Imports'!IP$290</f>
        <v>0.189</v>
      </c>
      <c r="U132" s="242">
        <f>'[2]Canada Sun Meal Imports'!JB$290</f>
        <v>0.1</v>
      </c>
      <c r="V132" s="242">
        <f>'[2]Canada Sun Meal Imports'!JN$290</f>
        <v>0.22900000000000001</v>
      </c>
      <c r="W132" s="242">
        <f>'[2]Canada Sun Meal Imports'!JZ$290</f>
        <v>0.21099999999999999</v>
      </c>
      <c r="X132" s="242">
        <f>'[2]Canada Sun Meal Imports'!KL$290</f>
        <v>0.23100000000000001</v>
      </c>
      <c r="Y132" s="242">
        <f>'[2]Canada Sun Meal Imports'!KX$290</f>
        <v>0.248</v>
      </c>
      <c r="Z132" s="242">
        <f>'[2]Canada Sun Meal Imports'!LJ$290</f>
        <v>6.4000000000000001E-2</v>
      </c>
      <c r="AA132" s="242">
        <f>'[2]Canada Sun Meal Imports'!LV$290</f>
        <v>0.55300000000000005</v>
      </c>
      <c r="AB132" s="242">
        <f>'[2]Canada Sun Meal Imports'!MH$290</f>
        <v>1.8440000000000001</v>
      </c>
      <c r="AC132" s="242">
        <f>'[2]Canada Sun Meal Imports'!MT$290</f>
        <v>2.9220000000000002</v>
      </c>
      <c r="AD132" s="242">
        <f>'[2]Canada Sun Meal Imports'!NF$290</f>
        <v>1.875</v>
      </c>
      <c r="AE132" s="243">
        <f t="shared" si="77"/>
        <v>2.2778757625281143</v>
      </c>
    </row>
    <row r="133" spans="1:31">
      <c r="A133" s="240" t="s">
        <v>231</v>
      </c>
      <c r="B133" s="241">
        <f t="shared" si="78"/>
        <v>9.3235436900963212E-2</v>
      </c>
      <c r="C133" s="242">
        <f>'[2]Canada Sun Meal Imports'!AU$290</f>
        <v>0</v>
      </c>
      <c r="D133" s="242">
        <f>'[2]Canada Sun Meal Imports'!BG$290</f>
        <v>3.2000000000000001E-2</v>
      </c>
      <c r="E133" s="242">
        <f>'[2]Canada Sun Meal Imports'!BS$290</f>
        <v>4.8000000000000001E-2</v>
      </c>
      <c r="F133" s="242">
        <f>'[2]Canada Sun Meal Imports'!CE$290</f>
        <v>5.1360000000000001</v>
      </c>
      <c r="G133" s="242">
        <f>'[2]Canada Sun Meal Imports'!CQ$290</f>
        <v>0</v>
      </c>
      <c r="H133" s="242">
        <f>'[2]Canada Sun Meal Imports'!DC$290</f>
        <v>0.26900000000000002</v>
      </c>
      <c r="I133" s="242">
        <f>'[2]Canada Sun Meal Imports'!DO$290</f>
        <v>8.6999999999999994E-2</v>
      </c>
      <c r="J133" s="242">
        <f>'[2]Canada Sun Meal Imports'!EA$290</f>
        <v>0.25</v>
      </c>
      <c r="K133" s="242">
        <f>'[2]Canada Sun Meal Imports'!EM$290</f>
        <v>0.11700000000000001</v>
      </c>
      <c r="L133" s="242">
        <f>'[2]Canada Sun Meal Imports'!EY$290</f>
        <v>3.9E-2</v>
      </c>
      <c r="M133" s="242">
        <f>'[2]Canada Sun Meal Imports'!FK$290</f>
        <v>1.4875400000000001</v>
      </c>
      <c r="N133" s="242">
        <f>'[2]Canada Sun Meal Imports'!FW$290</f>
        <v>0.23</v>
      </c>
      <c r="O133" s="242">
        <f>'[2]Canada Sun Meal Imports'!GI$290</f>
        <v>0.16800000000000001</v>
      </c>
      <c r="P133" s="242">
        <f>'[2]Canada Sun Meal Imports'!GU$290</f>
        <v>0.185</v>
      </c>
      <c r="Q133" s="242">
        <f>'[2]Canada Sun Meal Imports'!HG$290</f>
        <v>0.182</v>
      </c>
      <c r="R133" s="242">
        <f>'[2]Canada Sun Meal Imports'!HS$290</f>
        <v>0.182</v>
      </c>
      <c r="S133" s="242">
        <f>'[2]Canada Sun Meal Imports'!IE$290</f>
        <v>9.7000000000000003E-2</v>
      </c>
      <c r="T133" s="242">
        <f>'[2]Canada Sun Meal Imports'!IQ$290</f>
        <v>0.24099999999999999</v>
      </c>
      <c r="U133" s="242">
        <f>'[2]Canada Sun Meal Imports'!JC$290</f>
        <v>0.186</v>
      </c>
      <c r="V133" s="242">
        <f>'[2]Canada Sun Meal Imports'!JO$290</f>
        <v>0.14199999999999999</v>
      </c>
      <c r="W133" s="242">
        <f>'[2]Canada Sun Meal Imports'!KA$290</f>
        <v>8.5000000000000006E-2</v>
      </c>
      <c r="X133" s="242">
        <f>'[2]Canada Sun Meal Imports'!KM$290</f>
        <v>6.3E-2</v>
      </c>
      <c r="Y133" s="242">
        <f>'[2]Canada Sun Meal Imports'!KY$290</f>
        <v>0.124</v>
      </c>
      <c r="Z133" s="242">
        <f>'[2]Canada Sun Meal Imports'!LK$290</f>
        <v>0.221</v>
      </c>
      <c r="AA133" s="242">
        <f>'[2]Canada Sun Meal Imports'!LW$290</f>
        <v>0.70799999999999996</v>
      </c>
      <c r="AB133" s="242">
        <f>'[2]Canada Sun Meal Imports'!MI$290</f>
        <v>2.0819999999999999</v>
      </c>
      <c r="AC133" s="242">
        <f>'[2]Canada Sun Meal Imports'!MU$290</f>
        <v>2.331</v>
      </c>
      <c r="AD133" s="242">
        <f>'[2]Canada Sun Meal Imports'!NG$290</f>
        <v>1.7290000000000001</v>
      </c>
      <c r="AE133" s="243">
        <f t="shared" si="77"/>
        <v>2.2111292697529166</v>
      </c>
    </row>
    <row r="134" spans="1:31">
      <c r="A134" s="240" t="s">
        <v>232</v>
      </c>
      <c r="B134" s="241">
        <f t="shared" si="78"/>
        <v>0.16959976909667754</v>
      </c>
      <c r="C134" s="242">
        <f>'[2]Canada Sun Meal Imports'!AV$290</f>
        <v>6.5000000000000002E-2</v>
      </c>
      <c r="D134" s="242">
        <f>'[2]Canada Sun Meal Imports'!BH$290</f>
        <v>2.3E-2</v>
      </c>
      <c r="E134" s="242">
        <f>'[2]Canada Sun Meal Imports'!BT$290</f>
        <v>3.3000000000000002E-2</v>
      </c>
      <c r="F134" s="242">
        <f>'[2]Canada Sun Meal Imports'!CF$290</f>
        <v>0</v>
      </c>
      <c r="G134" s="242">
        <f>'[2]Canada Sun Meal Imports'!CR$290</f>
        <v>2.5999999999999999E-2</v>
      </c>
      <c r="H134" s="242">
        <f>'[2]Canada Sun Meal Imports'!DD$290</f>
        <v>0.18</v>
      </c>
      <c r="I134" s="242">
        <f>'[2]Canada Sun Meal Imports'!DP$290</f>
        <v>0.11899999999999999</v>
      </c>
      <c r="J134" s="242">
        <f>'[2]Canada Sun Meal Imports'!EB$290</f>
        <v>8.3000000000000004E-2</v>
      </c>
      <c r="K134" s="242">
        <f>'[2]Canada Sun Meal Imports'!EN$290</f>
        <v>0.23799999999999999</v>
      </c>
      <c r="L134" s="242">
        <f>'[2]Canada Sun Meal Imports'!EZ$290</f>
        <v>3.0746600000000002</v>
      </c>
      <c r="M134" s="242">
        <f>'[2]Canada Sun Meal Imports'!FL$290</f>
        <v>0.03</v>
      </c>
      <c r="N134" s="242">
        <f>'[2]Canada Sun Meal Imports'!FX$290</f>
        <v>0.184</v>
      </c>
      <c r="O134" s="242">
        <f>'[2]Canada Sun Meal Imports'!GJ$290</f>
        <v>0.187</v>
      </c>
      <c r="P134" s="242">
        <f>'[2]Canada Sun Meal Imports'!GV$290</f>
        <v>8.4000000000000005E-2</v>
      </c>
      <c r="Q134" s="242">
        <f>'[2]Canada Sun Meal Imports'!HH$290</f>
        <v>0.17299999999999999</v>
      </c>
      <c r="R134" s="242">
        <f>'[2]Canada Sun Meal Imports'!HT$290</f>
        <v>0.19500000000000001</v>
      </c>
      <c r="S134" s="242">
        <f>'[2]Canada Sun Meal Imports'!IF$290</f>
        <v>0.19500000000000001</v>
      </c>
      <c r="T134" s="242">
        <f>'[2]Canada Sun Meal Imports'!IR$290</f>
        <v>0.1</v>
      </c>
      <c r="U134" s="242">
        <f>'[2]Canada Sun Meal Imports'!JD$290</f>
        <v>0.105</v>
      </c>
      <c r="V134" s="242">
        <f>'[2]Canada Sun Meal Imports'!JP$290</f>
        <v>0.25600000000000001</v>
      </c>
      <c r="W134" s="242">
        <f>'[2]Canada Sun Meal Imports'!KB$290</f>
        <v>0.17899999999999999</v>
      </c>
      <c r="X134" s="242">
        <f>'[2]Canada Sun Meal Imports'!KN$290</f>
        <v>0.434</v>
      </c>
      <c r="Y134" s="242">
        <f>'[2]Canada Sun Meal Imports'!KZ$290</f>
        <v>0.128</v>
      </c>
      <c r="Z134" s="242">
        <f>'[2]Canada Sun Meal Imports'!LL$290</f>
        <v>7.1999999999999995E-2</v>
      </c>
      <c r="AA134" s="242">
        <f>'[2]Canada Sun Meal Imports'!LX$290</f>
        <v>1.137</v>
      </c>
      <c r="AB134" s="242">
        <f>'[2]Canada Sun Meal Imports'!MJ$290</f>
        <v>2.1349999999999998</v>
      </c>
      <c r="AC134" s="242">
        <f>'[2]Canada Sun Meal Imports'!MV$290</f>
        <v>2.1</v>
      </c>
      <c r="AD134" s="242">
        <f>'[2]Canada Sun Meal Imports'!NH$290</f>
        <v>1.548</v>
      </c>
      <c r="AE134" s="243">
        <f t="shared" si="77"/>
        <v>2.2540088348084977</v>
      </c>
    </row>
    <row r="135" spans="1:31">
      <c r="A135" s="240" t="s">
        <v>233</v>
      </c>
      <c r="B135" s="241">
        <f t="shared" si="78"/>
        <v>6.0135336017767133E-2</v>
      </c>
      <c r="C135" s="242">
        <f>'[2]Canada Sun Meal Imports'!AW$290</f>
        <v>7.8E-2</v>
      </c>
      <c r="D135" s="242">
        <f>'[2]Canada Sun Meal Imports'!BI$290</f>
        <v>1.2E-2</v>
      </c>
      <c r="E135" s="242">
        <f>'[2]Canada Sun Meal Imports'!BU$290</f>
        <v>1E-3</v>
      </c>
      <c r="F135" s="242">
        <f>'[2]Canada Sun Meal Imports'!CG$290</f>
        <v>4.0000000000000001E-3</v>
      </c>
      <c r="G135" s="242">
        <f>'[2]Canada Sun Meal Imports'!CS$290</f>
        <v>0</v>
      </c>
      <c r="H135" s="242">
        <f>'[2]Canada Sun Meal Imports'!DE$290</f>
        <v>0.17799999999999999</v>
      </c>
      <c r="I135" s="242">
        <f>'[2]Canada Sun Meal Imports'!DQ$290</f>
        <v>0.17299999999999999</v>
      </c>
      <c r="J135" s="242">
        <f>'[2]Canada Sun Meal Imports'!EC$290</f>
        <v>9.0999999999999998E-2</v>
      </c>
      <c r="K135" s="242">
        <f>'[2]Canada Sun Meal Imports'!EO$290</f>
        <v>0.17799999999999999</v>
      </c>
      <c r="L135" s="242">
        <f>'[2]Canada Sun Meal Imports'!FA$290</f>
        <v>2E-3</v>
      </c>
      <c r="M135" s="242">
        <f>'[2]Canada Sun Meal Imports'!FM$290</f>
        <v>0.85975999999999997</v>
      </c>
      <c r="N135" s="242">
        <f>'[2]Canada Sun Meal Imports'!FY$290</f>
        <v>0.105</v>
      </c>
      <c r="O135" s="242">
        <f>'[2]Canada Sun Meal Imports'!GK$290</f>
        <v>0.17199999999999999</v>
      </c>
      <c r="P135" s="242">
        <f>'[2]Canada Sun Meal Imports'!GW$290</f>
        <v>8.7999999999999995E-2</v>
      </c>
      <c r="Q135" s="242">
        <f>'[2]Canada Sun Meal Imports'!HI$290</f>
        <v>0.16900000000000001</v>
      </c>
      <c r="R135" s="242">
        <f>'[2]Canada Sun Meal Imports'!HU$290</f>
        <v>9.5000000000000001E-2</v>
      </c>
      <c r="S135" s="242">
        <f>'[2]Canada Sun Meal Imports'!IG$290</f>
        <v>9.1999999999999998E-2</v>
      </c>
      <c r="T135" s="242">
        <f>'[2]Canada Sun Meal Imports'!IS$290</f>
        <v>0.2</v>
      </c>
      <c r="U135" s="242">
        <f>'[2]Canada Sun Meal Imports'!JE$290</f>
        <v>6.6000000000000003E-2</v>
      </c>
      <c r="V135" s="242">
        <f>'[2]Canada Sun Meal Imports'!JQ$290</f>
        <v>7.5999999999999998E-2</v>
      </c>
      <c r="W135" s="242">
        <f>'[2]Canada Sun Meal Imports'!KC$290</f>
        <v>0.19900000000000001</v>
      </c>
      <c r="X135" s="242">
        <f>'[2]Canada Sun Meal Imports'!KO$290</f>
        <v>0.157</v>
      </c>
      <c r="Y135" s="242">
        <f>'[2]Canada Sun Meal Imports'!LA$290</f>
        <v>0.255</v>
      </c>
      <c r="Z135" s="242">
        <f>'[2]Canada Sun Meal Imports'!LM$290</f>
        <v>0.26400000000000001</v>
      </c>
      <c r="AA135" s="242">
        <f>'[2]Canada Sun Meal Imports'!LY$290</f>
        <v>1.417</v>
      </c>
      <c r="AB135" s="242">
        <f>'[2]Canada Sun Meal Imports'!MK$290</f>
        <v>2.7530000000000001</v>
      </c>
      <c r="AC135" s="242">
        <f>'[2]Canada Sun Meal Imports'!MW$290</f>
        <v>2.097</v>
      </c>
      <c r="AD135" s="242">
        <f>'[2]Canada Sun Meal Imports'!NI$290</f>
        <v>1.84</v>
      </c>
      <c r="AE135" s="243">
        <f t="shared" si="77"/>
        <v>2.7451012119544989</v>
      </c>
    </row>
    <row r="136" spans="1:31">
      <c r="A136" s="240" t="s">
        <v>234</v>
      </c>
      <c r="B136" s="241">
        <f t="shared" si="78"/>
        <v>0.10388548729689208</v>
      </c>
      <c r="C136" s="242">
        <f>'[2]Canada Sun Meal Imports'!AX$290</f>
        <v>3.2000000000000001E-2</v>
      </c>
      <c r="D136" s="242">
        <f>'[2]Canada Sun Meal Imports'!BJ$290</f>
        <v>5.5E-2</v>
      </c>
      <c r="E136" s="242">
        <f>'[2]Canada Sun Meal Imports'!BV$290</f>
        <v>4.0000000000000001E-3</v>
      </c>
      <c r="F136" s="242">
        <f>'[2]Canada Sun Meal Imports'!CH$290</f>
        <v>1E-3</v>
      </c>
      <c r="G136" s="242">
        <f>'[2]Canada Sun Meal Imports'!CT$290</f>
        <v>0</v>
      </c>
      <c r="H136" s="242">
        <f>'[2]Canada Sun Meal Imports'!DF$290</f>
        <v>0.17499999999999999</v>
      </c>
      <c r="I136" s="242">
        <f>'[2]Canada Sun Meal Imports'!DR$290</f>
        <v>9.0999999999999998E-2</v>
      </c>
      <c r="J136" s="242">
        <f>'[2]Canada Sun Meal Imports'!ED$290</f>
        <v>0.45300000000000001</v>
      </c>
      <c r="K136" s="242">
        <f>'[2]Canada Sun Meal Imports'!EP$290</f>
        <v>8.4000000000000005E-2</v>
      </c>
      <c r="L136" s="242">
        <f>'[2]Canada Sun Meal Imports'!FB$290</f>
        <v>1.4135200000000001</v>
      </c>
      <c r="M136" s="242">
        <f>'[2]Canada Sun Meal Imports'!FN$290</f>
        <v>0.49822</v>
      </c>
      <c r="N136" s="242">
        <f>'[2]Canada Sun Meal Imports'!FZ$290</f>
        <v>0.19</v>
      </c>
      <c r="O136" s="242">
        <f>'[2]Canada Sun Meal Imports'!GL$290</f>
        <v>8.8999999999999996E-2</v>
      </c>
      <c r="P136" s="242">
        <f>'[2]Canada Sun Meal Imports'!GX$290</f>
        <v>0.26100000000000001</v>
      </c>
      <c r="Q136" s="242">
        <f>'[2]Canada Sun Meal Imports'!HJ$290</f>
        <v>0.19700000000000001</v>
      </c>
      <c r="R136" s="242">
        <f>'[2]Canada Sun Meal Imports'!HV$290</f>
        <v>0.159</v>
      </c>
      <c r="S136" s="242">
        <f>'[2]Canada Sun Meal Imports'!IH$290</f>
        <v>0.191</v>
      </c>
      <c r="T136" s="242">
        <f>'[2]Canada Sun Meal Imports'!IT$290</f>
        <v>0.29699999999999999</v>
      </c>
      <c r="U136" s="242">
        <f>'[2]Canada Sun Meal Imports'!JF$290</f>
        <v>0.35599999999999998</v>
      </c>
      <c r="V136" s="242">
        <f>'[2]Canada Sun Meal Imports'!JR$290</f>
        <v>9.4E-2</v>
      </c>
      <c r="W136" s="242">
        <f>'[2]Canada Sun Meal Imports'!KD$290</f>
        <v>0.186</v>
      </c>
      <c r="X136" s="242">
        <f>'[2]Canada Sun Meal Imports'!KP$290</f>
        <v>0.218</v>
      </c>
      <c r="Y136" s="242">
        <f>'[2]Canada Sun Meal Imports'!LB$290</f>
        <v>0.34399999999999997</v>
      </c>
      <c r="Z136" s="242">
        <f>'[2]Canada Sun Meal Imports'!LN$290</f>
        <v>0.32600000000000001</v>
      </c>
      <c r="AA136" s="242">
        <f>'[2]Canada Sun Meal Imports'!LZ$290</f>
        <v>0.88</v>
      </c>
      <c r="AB136" s="242">
        <f>'[2]Canada Sun Meal Imports'!ML$290</f>
        <v>1.5389999999999999</v>
      </c>
      <c r="AC136" s="242">
        <f>'[2]Canada Sun Meal Imports'!MX$290</f>
        <v>2.044</v>
      </c>
      <c r="AD136" s="243">
        <f t="shared" ref="AD136:AD138" si="79">(SUM(X136:AB136)/SUM(X$140:AB$140))*AD$140</f>
        <v>2.0130265400535663</v>
      </c>
      <c r="AE136" s="243">
        <f t="shared" si="77"/>
        <v>2.0764227116066079</v>
      </c>
    </row>
    <row r="137" spans="1:31">
      <c r="A137" s="240" t="s">
        <v>46</v>
      </c>
      <c r="B137" s="241">
        <f t="shared" si="78"/>
        <v>0.11559734589052827</v>
      </c>
      <c r="C137" s="242">
        <f>'[2]Canada Sun Meal Imports'!AY$290</f>
        <v>9.2999999999999999E-2</v>
      </c>
      <c r="D137" s="242">
        <f>'[2]Canada Sun Meal Imports'!BK$290</f>
        <v>4.4999999999999998E-2</v>
      </c>
      <c r="E137" s="242">
        <f>'[2]Canada Sun Meal Imports'!BW$290</f>
        <v>7.0999999999999994E-2</v>
      </c>
      <c r="F137" s="242">
        <f>'[2]Canada Sun Meal Imports'!CI$290</f>
        <v>0.04</v>
      </c>
      <c r="G137" s="242">
        <f>'[2]Canada Sun Meal Imports'!CU$290</f>
        <v>9.4E-2</v>
      </c>
      <c r="H137" s="242">
        <f>'[2]Canada Sun Meal Imports'!DG$290</f>
        <v>0.185</v>
      </c>
      <c r="I137" s="242">
        <f>'[2]Canada Sun Meal Imports'!DS$290</f>
        <v>0.16600000000000001</v>
      </c>
      <c r="J137" s="242">
        <f>'[2]Canada Sun Meal Imports'!EE$290</f>
        <v>0.16500000000000001</v>
      </c>
      <c r="K137" s="242">
        <f>'[2]Canada Sun Meal Imports'!EQ$290</f>
        <v>0.92747000000000002</v>
      </c>
      <c r="L137" s="242">
        <f>'[2]Canada Sun Meal Imports'!FC$290</f>
        <v>1.1557200000000001</v>
      </c>
      <c r="M137" s="242">
        <f>'[2]Canada Sun Meal Imports'!FO$290</f>
        <v>9.6000000000000002E-2</v>
      </c>
      <c r="N137" s="242">
        <f>'[2]Canada Sun Meal Imports'!GA$290</f>
        <v>9.2999999999999999E-2</v>
      </c>
      <c r="O137" s="242">
        <f>'[2]Canada Sun Meal Imports'!GM$290</f>
        <v>0.25900000000000001</v>
      </c>
      <c r="P137" s="242">
        <f>'[2]Canada Sun Meal Imports'!GY$290</f>
        <v>0.13400000000000001</v>
      </c>
      <c r="Q137" s="242">
        <f>'[2]Canada Sun Meal Imports'!HK$290</f>
        <v>9.2999999999999999E-2</v>
      </c>
      <c r="R137" s="242">
        <f>'[2]Canada Sun Meal Imports'!HW$290</f>
        <v>0.18099999999999999</v>
      </c>
      <c r="S137" s="242">
        <f>'[2]Canada Sun Meal Imports'!II$290</f>
        <v>0.106</v>
      </c>
      <c r="T137" s="242">
        <f>'[2]Canada Sun Meal Imports'!IU$290</f>
        <v>0.19600000000000001</v>
      </c>
      <c r="U137" s="242">
        <f>'[2]Canada Sun Meal Imports'!JG$290</f>
        <v>0.20799999999999999</v>
      </c>
      <c r="V137" s="242">
        <f>'[2]Canada Sun Meal Imports'!JS$290</f>
        <v>0.314</v>
      </c>
      <c r="W137" s="242">
        <f>'[2]Canada Sun Meal Imports'!KE$290</f>
        <v>0.121</v>
      </c>
      <c r="X137" s="242">
        <f>'[2]Canada Sun Meal Imports'!KQ$290</f>
        <v>0.184</v>
      </c>
      <c r="Y137" s="242">
        <f>'[2]Canada Sun Meal Imports'!LC$290</f>
        <v>6.0999999999999999E-2</v>
      </c>
      <c r="Z137" s="242">
        <f>'[2]Canada Sun Meal Imports'!LO$290</f>
        <v>0.314</v>
      </c>
      <c r="AA137" s="242">
        <f>'[2]Canada Sun Meal Imports'!MA$290</f>
        <v>1.9239999999999999</v>
      </c>
      <c r="AB137" s="242">
        <f>'[2]Canada Sun Meal Imports'!MM$290</f>
        <v>1.7869999999999999</v>
      </c>
      <c r="AC137" s="242">
        <f>'[2]Canada Sun Meal Imports'!MY$290</f>
        <v>1.9159999999999999</v>
      </c>
      <c r="AD137" s="243">
        <f t="shared" si="79"/>
        <v>2.599220842464085</v>
      </c>
      <c r="AE137" s="243">
        <f t="shared" si="77"/>
        <v>2.4279542402226504</v>
      </c>
    </row>
    <row r="138" spans="1:31">
      <c r="A138" s="240" t="s">
        <v>235</v>
      </c>
      <c r="B138" s="241">
        <f t="shared" si="78"/>
        <v>4.1787290361384705E-2</v>
      </c>
      <c r="C138" s="242">
        <f>'[2]Canada Sun Meal Imports'!AZ$290</f>
        <v>0.114</v>
      </c>
      <c r="D138" s="242">
        <f>'[2]Canada Sun Meal Imports'!BL$290</f>
        <v>5.8999999999999997E-2</v>
      </c>
      <c r="E138" s="242">
        <f>'[2]Canada Sun Meal Imports'!BX$290</f>
        <v>2E-3</v>
      </c>
      <c r="F138" s="242">
        <f>'[2]Canada Sun Meal Imports'!CJ$290</f>
        <v>1E-3</v>
      </c>
      <c r="G138" s="242">
        <f>'[2]Canada Sun Meal Imports'!CV$290</f>
        <v>0.187</v>
      </c>
      <c r="H138" s="242">
        <f>'[2]Canada Sun Meal Imports'!DH$290</f>
        <v>0.17899999999999999</v>
      </c>
      <c r="I138" s="242">
        <f>'[2]Canada Sun Meal Imports'!DT$290</f>
        <v>0</v>
      </c>
      <c r="J138" s="242">
        <f>'[2]Canada Sun Meal Imports'!EF$290</f>
        <v>8.5000000000000006E-2</v>
      </c>
      <c r="K138" s="242">
        <f>'[2]Canada Sun Meal Imports'!ER$290</f>
        <v>0.28399999999999997</v>
      </c>
      <c r="L138" s="242">
        <f>'[2]Canada Sun Meal Imports'!FD$290</f>
        <v>0.191</v>
      </c>
      <c r="M138" s="242">
        <f>'[2]Canada Sun Meal Imports'!FP$290</f>
        <v>8.6999999999999994E-2</v>
      </c>
      <c r="N138" s="242">
        <f>'[2]Canada Sun Meal Imports'!GB$290</f>
        <v>8.6999999999999994E-2</v>
      </c>
      <c r="O138" s="242">
        <f>'[2]Canada Sun Meal Imports'!GN$290</f>
        <v>0.26600000000000001</v>
      </c>
      <c r="P138" s="242">
        <f>'[2]Canada Sun Meal Imports'!GZ$290</f>
        <v>9.5000000000000001E-2</v>
      </c>
      <c r="Q138" s="242">
        <f>'[2]Canada Sun Meal Imports'!HL$290</f>
        <v>0.184</v>
      </c>
      <c r="R138" s="242">
        <f>'[2]Canada Sun Meal Imports'!HX$290</f>
        <v>0.11899999999999999</v>
      </c>
      <c r="S138" s="242">
        <f>'[2]Canada Sun Meal Imports'!IJ$290</f>
        <v>0.09</v>
      </c>
      <c r="T138" s="242">
        <f>'[2]Canada Sun Meal Imports'!IV$290</f>
        <v>0.1</v>
      </c>
      <c r="U138" s="242">
        <f>'[2]Canada Sun Meal Imports'!JH$290</f>
        <v>0.188</v>
      </c>
      <c r="V138" s="242">
        <f>'[2]Canada Sun Meal Imports'!JT$290</f>
        <v>0.217</v>
      </c>
      <c r="W138" s="242">
        <f>'[2]Canada Sun Meal Imports'!KF$290</f>
        <v>0.33100000000000002</v>
      </c>
      <c r="X138" s="242">
        <f>'[2]Canada Sun Meal Imports'!KR$290</f>
        <v>0.63600000000000001</v>
      </c>
      <c r="Y138" s="242">
        <f>'[2]Canada Sun Meal Imports'!LD$290</f>
        <v>0.379</v>
      </c>
      <c r="Z138" s="242">
        <f>'[2]Canada Sun Meal Imports'!LP$290</f>
        <v>0.307</v>
      </c>
      <c r="AA138" s="242">
        <f>'[2]Canada Sun Meal Imports'!MB$290</f>
        <v>1.964</v>
      </c>
      <c r="AB138" s="242">
        <f>'[2]Canada Sun Meal Imports'!MN$290</f>
        <v>1.39</v>
      </c>
      <c r="AC138" s="242">
        <f>'[2]Canada Sun Meal Imports'!MZ$290</f>
        <v>2.5779999999999998</v>
      </c>
      <c r="AD138" s="243">
        <f t="shared" si="79"/>
        <v>2.8463598733869002</v>
      </c>
      <c r="AE138" s="243">
        <f t="shared" si="77"/>
        <v>2.6771411465833888</v>
      </c>
    </row>
    <row r="139" spans="1:31">
      <c r="A139" s="240" t="s">
        <v>236</v>
      </c>
      <c r="B139" s="241">
        <f t="shared" si="78"/>
        <v>0.14120907300262461</v>
      </c>
      <c r="C139" s="242">
        <f>'[2]Canada Sun Meal Imports'!BA$290</f>
        <v>9.0999999999999998E-2</v>
      </c>
      <c r="D139" s="242">
        <f>'[2]Canada Sun Meal Imports'!BM$290</f>
        <v>0</v>
      </c>
      <c r="E139" s="242">
        <f>'[2]Canada Sun Meal Imports'!BY$290</f>
        <v>5.8999999999999997E-2</v>
      </c>
      <c r="F139" s="242">
        <f>'[2]Canada Sun Meal Imports'!CK$290</f>
        <v>2E-3</v>
      </c>
      <c r="G139" s="242">
        <f>'[2]Canada Sun Meal Imports'!CW$290</f>
        <v>0.27500000000000002</v>
      </c>
      <c r="H139" s="242">
        <f>'[2]Canada Sun Meal Imports'!DI$290</f>
        <v>0.17899999999999999</v>
      </c>
      <c r="I139" s="242">
        <f>'[2]Canada Sun Meal Imports'!DU$290</f>
        <v>0</v>
      </c>
      <c r="J139" s="242">
        <f>'[2]Canada Sun Meal Imports'!EG$290</f>
        <v>0</v>
      </c>
      <c r="K139" s="242">
        <f>'[2]Canada Sun Meal Imports'!ES$290</f>
        <v>1.7270000000000001</v>
      </c>
      <c r="L139" s="242">
        <f>'[2]Canada Sun Meal Imports'!FE$290</f>
        <v>0.70704</v>
      </c>
      <c r="M139" s="242">
        <f>'[2]Canada Sun Meal Imports'!FQ$290</f>
        <v>0.47595999999999999</v>
      </c>
      <c r="N139" s="242">
        <f>'[2]Canada Sun Meal Imports'!GC$290</f>
        <v>9.1999999999999998E-2</v>
      </c>
      <c r="O139" s="242">
        <f>'[2]Canada Sun Meal Imports'!GO$290</f>
        <v>0.09</v>
      </c>
      <c r="P139" s="242">
        <f>'[2]Canada Sun Meal Imports'!HA$290</f>
        <v>0.17799999999999999</v>
      </c>
      <c r="Q139" s="242">
        <f>'[2]Canada Sun Meal Imports'!HM$290</f>
        <v>0.33300000000000002</v>
      </c>
      <c r="R139" s="242">
        <f>'[2]Canada Sun Meal Imports'!HY$290</f>
        <v>0.16800000000000001</v>
      </c>
      <c r="S139" s="242">
        <f>'[2]Canada Sun Meal Imports'!IK$290</f>
        <v>9.8000000000000004E-2</v>
      </c>
      <c r="T139" s="242">
        <f>'[2]Canada Sun Meal Imports'!IW$290</f>
        <v>0.20100000000000001</v>
      </c>
      <c r="U139" s="242">
        <f>'[2]Canada Sun Meal Imports'!JI$290</f>
        <v>0.502</v>
      </c>
      <c r="V139" s="242">
        <f>'[2]Canada Sun Meal Imports'!JU$290</f>
        <v>0.309</v>
      </c>
      <c r="W139" s="242">
        <f>'[2]Canada Sun Meal Imports'!KG$290</f>
        <v>0.11899999999999999</v>
      </c>
      <c r="X139" s="242">
        <f>'[2]Canada Sun Meal Imports'!KS$290</f>
        <v>0.20799999999999999</v>
      </c>
      <c r="Y139" s="242">
        <f>'[2]Canada Sun Meal Imports'!LE$290</f>
        <v>0.128</v>
      </c>
      <c r="Z139" s="242">
        <f>'[2]Canada Sun Meal Imports'!LQ$290</f>
        <v>0.17299999999999999</v>
      </c>
      <c r="AA139" s="242">
        <f>'[2]Canada Sun Meal Imports'!MC$290</f>
        <v>2.4980000000000002</v>
      </c>
      <c r="AB139" s="242">
        <f>'[2]Canada Sun Meal Imports'!MO$290</f>
        <v>1.665</v>
      </c>
      <c r="AC139" s="242">
        <f>'[2]Canada Sun Meal Imports'!NA$290</f>
        <v>1.55</v>
      </c>
      <c r="AD139" s="243">
        <f t="shared" ref="AD139:AE139" si="80">AD140-SUM(AD128:AD138)</f>
        <v>0.64339274409544345</v>
      </c>
      <c r="AE139" s="243">
        <f t="shared" si="80"/>
        <v>2.4328085306063052</v>
      </c>
    </row>
    <row r="140" spans="1:31" ht="15.75" thickBot="1">
      <c r="A140" s="240" t="s">
        <v>242</v>
      </c>
      <c r="B140" s="242">
        <f t="shared" ref="B140:C140" si="81">B24</f>
        <v>1</v>
      </c>
      <c r="C140" s="242">
        <f t="shared" si="81"/>
        <v>1</v>
      </c>
      <c r="D140" s="242">
        <f t="shared" ref="D140:Y140" si="82">SUM(D128:D139)</f>
        <v>0.68700000000000006</v>
      </c>
      <c r="E140" s="242">
        <f t="shared" si="82"/>
        <v>0.26200000000000001</v>
      </c>
      <c r="F140" s="242">
        <f t="shared" si="82"/>
        <v>5.3449999999999998</v>
      </c>
      <c r="G140" s="242">
        <f t="shared" si="82"/>
        <v>0.58699999999999997</v>
      </c>
      <c r="H140" s="242">
        <f t="shared" si="82"/>
        <v>1.9510000000000001</v>
      </c>
      <c r="I140" s="242">
        <f t="shared" si="82"/>
        <v>1.3359999999999999</v>
      </c>
      <c r="J140" s="242">
        <f t="shared" si="82"/>
        <v>1.931</v>
      </c>
      <c r="K140" s="242">
        <f t="shared" si="82"/>
        <v>4.6524700000000001</v>
      </c>
      <c r="L140" s="242">
        <f t="shared" si="82"/>
        <v>8.1191399999999998</v>
      </c>
      <c r="M140" s="242">
        <f t="shared" si="82"/>
        <v>5.4592799999999988</v>
      </c>
      <c r="N140" s="242">
        <f t="shared" si="82"/>
        <v>1.59572</v>
      </c>
      <c r="O140" s="242">
        <f t="shared" si="82"/>
        <v>2.0699999999999998</v>
      </c>
      <c r="P140" s="242">
        <f t="shared" si="82"/>
        <v>3.8370000000000006</v>
      </c>
      <c r="Q140" s="242">
        <f t="shared" si="82"/>
        <v>2.0790000000000002</v>
      </c>
      <c r="R140" s="242">
        <f t="shared" si="82"/>
        <v>2.181</v>
      </c>
      <c r="S140" s="242">
        <f t="shared" si="82"/>
        <v>1.6690000000000003</v>
      </c>
      <c r="T140" s="242">
        <f t="shared" si="82"/>
        <v>1.9</v>
      </c>
      <c r="U140" s="242">
        <f t="shared" si="82"/>
        <v>2.4059999999999997</v>
      </c>
      <c r="V140" s="242">
        <f t="shared" si="82"/>
        <v>2.0120000000000005</v>
      </c>
      <c r="W140" s="242">
        <f t="shared" si="82"/>
        <v>1.9729999999999999</v>
      </c>
      <c r="X140" s="242">
        <f t="shared" si="82"/>
        <v>3.0170000000000003</v>
      </c>
      <c r="Y140" s="242">
        <f t="shared" si="82"/>
        <v>2.306</v>
      </c>
      <c r="Z140" s="242">
        <f>SUM(Z128:Z139)</f>
        <v>2.8000000000000003</v>
      </c>
      <c r="AA140" s="242">
        <f>SUM(AA128:AA139)</f>
        <v>11.926000000000002</v>
      </c>
      <c r="AB140" s="242">
        <f>SUM(AB128:AB139)</f>
        <v>21.021000000000001</v>
      </c>
      <c r="AC140" s="242">
        <f>SUM(AC128:AC139)</f>
        <v>23.747999999999998</v>
      </c>
      <c r="AD140" s="243">
        <f t="shared" ref="AD140:AE140" si="83">AD24</f>
        <v>25</v>
      </c>
      <c r="AE140" s="243">
        <f t="shared" si="83"/>
        <v>25</v>
      </c>
    </row>
    <row r="141" spans="1:31">
      <c r="A141" s="248"/>
      <c r="B141" s="248"/>
      <c r="C141" s="263"/>
      <c r="D141" s="263"/>
      <c r="E141" s="263"/>
      <c r="F141" s="263"/>
      <c r="G141" s="263"/>
      <c r="H141" s="263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  <c r="AE141" s="248"/>
    </row>
    <row r="142" spans="1:31" ht="15.75" thickBot="1">
      <c r="A142" s="235" t="s">
        <v>257</v>
      </c>
    </row>
    <row r="143" spans="1:31" ht="15.75" thickBot="1">
      <c r="A143" s="236"/>
      <c r="B143" s="237" t="str">
        <f>B$2</f>
        <v xml:space="preserve">93/94 </v>
      </c>
      <c r="C143" s="237" t="str">
        <f t="shared" ref="C143:AE143" si="84">C$2</f>
        <v xml:space="preserve">94/95 </v>
      </c>
      <c r="D143" s="237" t="str">
        <f t="shared" si="84"/>
        <v xml:space="preserve">95/96 </v>
      </c>
      <c r="E143" s="237" t="str">
        <f t="shared" si="84"/>
        <v xml:space="preserve">96/97 </v>
      </c>
      <c r="F143" s="237" t="str">
        <f t="shared" si="84"/>
        <v xml:space="preserve">97/98 </v>
      </c>
      <c r="G143" s="237" t="str">
        <f t="shared" si="84"/>
        <v xml:space="preserve">98/99 </v>
      </c>
      <c r="H143" s="237" t="str">
        <f t="shared" si="84"/>
        <v xml:space="preserve">99/00 </v>
      </c>
      <c r="I143" s="237" t="str">
        <f t="shared" si="84"/>
        <v xml:space="preserve">00/01 </v>
      </c>
      <c r="J143" s="237" t="str">
        <f t="shared" si="84"/>
        <v xml:space="preserve">01/02 </v>
      </c>
      <c r="K143" s="237" t="str">
        <f t="shared" si="84"/>
        <v xml:space="preserve">02/03 </v>
      </c>
      <c r="L143" s="237" t="str">
        <f t="shared" si="84"/>
        <v xml:space="preserve">03/04 </v>
      </c>
      <c r="M143" s="237" t="str">
        <f t="shared" si="84"/>
        <v xml:space="preserve">04/05 </v>
      </c>
      <c r="N143" s="237" t="str">
        <f t="shared" si="84"/>
        <v xml:space="preserve">05/06 </v>
      </c>
      <c r="O143" s="237" t="str">
        <f t="shared" si="84"/>
        <v xml:space="preserve">06/07 </v>
      </c>
      <c r="P143" s="237" t="str">
        <f t="shared" si="84"/>
        <v xml:space="preserve">07/08 </v>
      </c>
      <c r="Q143" s="237" t="str">
        <f t="shared" si="84"/>
        <v xml:space="preserve">08/09 </v>
      </c>
      <c r="R143" s="237" t="str">
        <f t="shared" si="84"/>
        <v xml:space="preserve">09/10 </v>
      </c>
      <c r="S143" s="237" t="str">
        <f t="shared" si="84"/>
        <v xml:space="preserve">10/11 </v>
      </c>
      <c r="T143" s="237" t="str">
        <f t="shared" si="84"/>
        <v xml:space="preserve">11/12 </v>
      </c>
      <c r="U143" s="237" t="str">
        <f t="shared" si="84"/>
        <v xml:space="preserve">12/13 </v>
      </c>
      <c r="V143" s="237" t="str">
        <f t="shared" si="84"/>
        <v xml:space="preserve">13/14 </v>
      </c>
      <c r="W143" s="237" t="str">
        <f t="shared" si="84"/>
        <v xml:space="preserve">14/15 </v>
      </c>
      <c r="X143" s="237" t="str">
        <f t="shared" si="84"/>
        <v xml:space="preserve">15/16 </v>
      </c>
      <c r="Y143" s="237" t="str">
        <f t="shared" si="84"/>
        <v xml:space="preserve">16/17 </v>
      </c>
      <c r="Z143" s="237" t="str">
        <f t="shared" si="84"/>
        <v xml:space="preserve">17/18 </v>
      </c>
      <c r="AA143" s="237" t="str">
        <f t="shared" si="84"/>
        <v xml:space="preserve">18/19 </v>
      </c>
      <c r="AB143" s="237" t="str">
        <f t="shared" si="84"/>
        <v xml:space="preserve">19/20 </v>
      </c>
      <c r="AC143" s="237" t="str">
        <f t="shared" si="84"/>
        <v xml:space="preserve">20/21 </v>
      </c>
      <c r="AD143" s="237" t="str">
        <f t="shared" si="84"/>
        <v>21/22</v>
      </c>
      <c r="AE143" s="237" t="str">
        <f t="shared" si="84"/>
        <v>22/23</v>
      </c>
    </row>
    <row r="144" spans="1:31">
      <c r="A144" s="240" t="s">
        <v>237</v>
      </c>
      <c r="B144" s="241">
        <f>(SUM(U144:Y144)/SUM(U$156:Y$156))*B$156</f>
        <v>0.22443324937027709</v>
      </c>
      <c r="C144" s="241">
        <v>0</v>
      </c>
      <c r="D144" s="242">
        <f>'[2]Canada Sun Meal Exports'!BB$290</f>
        <v>0</v>
      </c>
      <c r="E144" s="242">
        <f>'[2]Canada Sun Meal Exports'!BN$290</f>
        <v>0</v>
      </c>
      <c r="F144" s="242">
        <f>'[2]Canada Sun Meal Exports'!BZ$290</f>
        <v>0.02</v>
      </c>
      <c r="G144" s="242">
        <f>'[2]Canada Sun Meal Exports'!CL$290</f>
        <v>0</v>
      </c>
      <c r="H144" s="242">
        <f>'[2]Canada Sun Meal Exports'!CX$290</f>
        <v>0</v>
      </c>
      <c r="I144" s="242">
        <f>'[2]Canada Sun Meal Exports'!DJ$290</f>
        <v>0</v>
      </c>
      <c r="J144" s="242">
        <f>'[2]Canada Sun Meal Exports'!DV$290</f>
        <v>0</v>
      </c>
      <c r="K144" s="242">
        <f>'[2]Canada Sun Meal Exports'!EH$290</f>
        <v>0</v>
      </c>
      <c r="L144" s="242">
        <f>'[2]Canada Sun Meal Exports'!ET$290</f>
        <v>0</v>
      </c>
      <c r="M144" s="242">
        <f>'[2]Canada Sun Meal Exports'!FF$290</f>
        <v>0</v>
      </c>
      <c r="N144" s="242">
        <f>'[2]Canada Sun Meal Exports'!FR$290</f>
        <v>0.11</v>
      </c>
      <c r="O144" s="242">
        <f>'[2]Canada Sun Meal Exports'!GD$290</f>
        <v>0</v>
      </c>
      <c r="P144" s="242">
        <f>'[2]Canada Sun Meal Exports'!GP$290</f>
        <v>3.879</v>
      </c>
      <c r="Q144" s="242">
        <f>'[2]Canada Sun Meal Exports'!HB$290</f>
        <v>0</v>
      </c>
      <c r="R144" s="242">
        <f>'[2]Canada Sun Meal Exports'!HN$290</f>
        <v>0</v>
      </c>
      <c r="S144" s="242">
        <f>'[2]Canada Sun Meal Exports'!HZ$290</f>
        <v>0</v>
      </c>
      <c r="T144" s="242">
        <f>'[2]Canada Sun Meal Exports'!IL$290</f>
        <v>0</v>
      </c>
      <c r="U144" s="242">
        <f>'[2]Canada Sun Meal Exports'!IX$290</f>
        <v>0</v>
      </c>
      <c r="V144" s="242">
        <f>'[2]Canada Sun Meal Exports'!JJ$290</f>
        <v>0</v>
      </c>
      <c r="W144" s="242">
        <f>'[2]Canada Sun Meal Exports'!JV$290</f>
        <v>0</v>
      </c>
      <c r="X144" s="242">
        <f>'[2]Canada Sun Meal Exports'!KH$290</f>
        <v>0</v>
      </c>
      <c r="Y144" s="242">
        <f>'[2]Canada Sun Meal Exports'!KT$290</f>
        <v>0.29699999999999999</v>
      </c>
      <c r="Z144" s="242">
        <f>'[2]Canada Sun Meal Exports'!LF$290</f>
        <v>0</v>
      </c>
      <c r="AA144" s="242">
        <f>'[2]Canada Sun Meal Exports'!LR$290</f>
        <v>0</v>
      </c>
      <c r="AB144" s="242">
        <f>'[2]Canada Sun Meal Exports'!MD$290</f>
        <v>0</v>
      </c>
      <c r="AC144" s="242">
        <f>'[2]Canada Sun Meal Exports'!MP$290</f>
        <v>0</v>
      </c>
      <c r="AD144" s="242">
        <f>'[2]Canada Sun Meal Exports'!NB$290</f>
        <v>0</v>
      </c>
      <c r="AE144" s="243">
        <f t="shared" ref="AE144:AE154" si="85">(SUM(Y144:AC144)/SUM(Y$156:AC$156))*AE$156</f>
        <v>0.40026954177897572</v>
      </c>
    </row>
    <row r="145" spans="1:31">
      <c r="A145" s="240" t="s">
        <v>238</v>
      </c>
      <c r="B145" s="241">
        <f t="shared" ref="B145:B155" si="86">(SUM(U145:Y145)/SUM(U$156:Y$156))*B$156</f>
        <v>0.40806045340050379</v>
      </c>
      <c r="C145" s="241">
        <v>0</v>
      </c>
      <c r="D145" s="242">
        <f>'[2]Canada Sun Meal Exports'!BC$290</f>
        <v>0</v>
      </c>
      <c r="E145" s="242">
        <f>'[2]Canada Sun Meal Exports'!BO$290</f>
        <v>0</v>
      </c>
      <c r="F145" s="242">
        <f>'[2]Canada Sun Meal Exports'!CA$290</f>
        <v>0</v>
      </c>
      <c r="G145" s="242">
        <f>'[2]Canada Sun Meal Exports'!CM$290</f>
        <v>0</v>
      </c>
      <c r="H145" s="242">
        <f>'[2]Canada Sun Meal Exports'!CY$290</f>
        <v>0</v>
      </c>
      <c r="I145" s="242">
        <f>'[2]Canada Sun Meal Exports'!DK$290</f>
        <v>0</v>
      </c>
      <c r="J145" s="242">
        <f>'[2]Canada Sun Meal Exports'!DW$290</f>
        <v>8.5999999999999993E-2</v>
      </c>
      <c r="K145" s="242">
        <f>'[2]Canada Sun Meal Exports'!EI$290</f>
        <v>1.9E-2</v>
      </c>
      <c r="L145" s="242">
        <f>'[2]Canada Sun Meal Exports'!EU$290</f>
        <v>0</v>
      </c>
      <c r="M145" s="242">
        <f>'[2]Canada Sun Meal Exports'!FG$290</f>
        <v>0</v>
      </c>
      <c r="N145" s="242">
        <f>'[2]Canada Sun Meal Exports'!FS$290</f>
        <v>0</v>
      </c>
      <c r="O145" s="242">
        <f>'[2]Canada Sun Meal Exports'!GE$290</f>
        <v>0</v>
      </c>
      <c r="P145" s="242">
        <f>'[2]Canada Sun Meal Exports'!GQ$290</f>
        <v>0</v>
      </c>
      <c r="Q145" s="242">
        <f>'[2]Canada Sun Meal Exports'!HC$290</f>
        <v>0</v>
      </c>
      <c r="R145" s="242">
        <f>'[2]Canada Sun Meal Exports'!HO$290</f>
        <v>0</v>
      </c>
      <c r="S145" s="242">
        <f>'[2]Canada Sun Meal Exports'!IA$290</f>
        <v>0</v>
      </c>
      <c r="T145" s="242">
        <f>'[2]Canada Sun Meal Exports'!IM$290</f>
        <v>0</v>
      </c>
      <c r="U145" s="242">
        <f>'[2]Canada Sun Meal Exports'!IY$290</f>
        <v>0</v>
      </c>
      <c r="V145" s="242">
        <f>'[2]Canada Sun Meal Exports'!JK$290</f>
        <v>0.24299999999999999</v>
      </c>
      <c r="W145" s="242">
        <f>'[2]Canada Sun Meal Exports'!JW$290</f>
        <v>0</v>
      </c>
      <c r="X145" s="242">
        <f>'[2]Canada Sun Meal Exports'!KI$290</f>
        <v>0</v>
      </c>
      <c r="Y145" s="242">
        <f>'[2]Canada Sun Meal Exports'!KU$290</f>
        <v>0.29699999999999999</v>
      </c>
      <c r="Z145" s="242">
        <f>'[2]Canada Sun Meal Exports'!LG$290</f>
        <v>0.31</v>
      </c>
      <c r="AA145" s="242">
        <f>'[2]Canada Sun Meal Exports'!LS$290</f>
        <v>0</v>
      </c>
      <c r="AB145" s="242">
        <f>'[2]Canada Sun Meal Exports'!ME$290</f>
        <v>0</v>
      </c>
      <c r="AC145" s="242">
        <f>'[2]Canada Sun Meal Exports'!MQ$290</f>
        <v>0</v>
      </c>
      <c r="AD145" s="242">
        <f>'[2]Canada Sun Meal Exports'!NC$290</f>
        <v>0</v>
      </c>
      <c r="AE145" s="243">
        <f t="shared" si="85"/>
        <v>0.81805929919137466</v>
      </c>
    </row>
    <row r="146" spans="1:31">
      <c r="A146" s="240" t="s">
        <v>239</v>
      </c>
      <c r="B146" s="241">
        <f t="shared" si="86"/>
        <v>0.94534005037783375</v>
      </c>
      <c r="C146" s="241">
        <v>0</v>
      </c>
      <c r="D146" s="242">
        <f>'[2]Canada Sun Meal Exports'!BD$290</f>
        <v>0</v>
      </c>
      <c r="E146" s="242">
        <f>'[2]Canada Sun Meal Exports'!BP$290</f>
        <v>0</v>
      </c>
      <c r="F146" s="242">
        <f>'[2]Canada Sun Meal Exports'!CB$290</f>
        <v>0.02</v>
      </c>
      <c r="G146" s="242">
        <f>'[2]Canada Sun Meal Exports'!CN$290</f>
        <v>0</v>
      </c>
      <c r="H146" s="242">
        <f>'[2]Canada Sun Meal Exports'!CZ$290</f>
        <v>0</v>
      </c>
      <c r="I146" s="242">
        <f>'[2]Canada Sun Meal Exports'!DL$290</f>
        <v>0</v>
      </c>
      <c r="J146" s="242">
        <f>'[2]Canada Sun Meal Exports'!DX$290</f>
        <v>0</v>
      </c>
      <c r="K146" s="242">
        <f>'[2]Canada Sun Meal Exports'!EJ$290</f>
        <v>0</v>
      </c>
      <c r="L146" s="242">
        <f>'[2]Canada Sun Meal Exports'!EV$290</f>
        <v>0</v>
      </c>
      <c r="M146" s="242">
        <f>'[2]Canada Sun Meal Exports'!FH$290</f>
        <v>0</v>
      </c>
      <c r="N146" s="242">
        <f>'[2]Canada Sun Meal Exports'!FT$290</f>
        <v>0</v>
      </c>
      <c r="O146" s="242">
        <f>'[2]Canada Sun Meal Exports'!GF$290</f>
        <v>0</v>
      </c>
      <c r="P146" s="242">
        <f>'[2]Canada Sun Meal Exports'!GR$290</f>
        <v>0</v>
      </c>
      <c r="Q146" s="242">
        <f>'[2]Canada Sun Meal Exports'!HD$290</f>
        <v>0</v>
      </c>
      <c r="R146" s="242">
        <f>'[2]Canada Sun Meal Exports'!HP$290</f>
        <v>0</v>
      </c>
      <c r="S146" s="242">
        <f>'[2]Canada Sun Meal Exports'!IB$290</f>
        <v>0</v>
      </c>
      <c r="T146" s="242">
        <f>'[2]Canada Sun Meal Exports'!IN$290</f>
        <v>0</v>
      </c>
      <c r="U146" s="242">
        <f>'[2]Canada Sun Meal Exports'!IZ$290</f>
        <v>0</v>
      </c>
      <c r="V146" s="242">
        <f>'[2]Canada Sun Meal Exports'!JL$290</f>
        <v>0.30399999999999999</v>
      </c>
      <c r="W146" s="242">
        <f>'[2]Canada Sun Meal Exports'!JX$290</f>
        <v>0</v>
      </c>
      <c r="X146" s="242">
        <f>'[2]Canada Sun Meal Exports'!KJ$290</f>
        <v>0</v>
      </c>
      <c r="Y146" s="242">
        <f>'[2]Canada Sun Meal Exports'!KV$290</f>
        <v>0.94699999999999995</v>
      </c>
      <c r="Z146" s="242">
        <f>'[2]Canada Sun Meal Exports'!LH$290</f>
        <v>0</v>
      </c>
      <c r="AA146" s="242">
        <f>'[2]Canada Sun Meal Exports'!LT$290</f>
        <v>0</v>
      </c>
      <c r="AB146" s="242">
        <f>'[2]Canada Sun Meal Exports'!MF$290</f>
        <v>0</v>
      </c>
      <c r="AC146" s="242">
        <f>'[2]Canada Sun Meal Exports'!MR$290</f>
        <v>0</v>
      </c>
      <c r="AD146" s="242">
        <f>'[2]Canada Sun Meal Exports'!ND$290</f>
        <v>0</v>
      </c>
      <c r="AE146" s="243">
        <f t="shared" si="85"/>
        <v>1.2762803234501348</v>
      </c>
    </row>
    <row r="147" spans="1:31">
      <c r="A147" s="240" t="s">
        <v>240</v>
      </c>
      <c r="B147" s="241">
        <f t="shared" si="86"/>
        <v>0.28186397984886652</v>
      </c>
      <c r="C147" s="241">
        <v>0</v>
      </c>
      <c r="D147" s="242">
        <f>'[2]Canada Sun Meal Exports'!BE$290</f>
        <v>0</v>
      </c>
      <c r="E147" s="242">
        <f>'[2]Canada Sun Meal Exports'!BQ$290</f>
        <v>0</v>
      </c>
      <c r="F147" s="242">
        <f>'[2]Canada Sun Meal Exports'!CC$290</f>
        <v>1.7999999999999999E-2</v>
      </c>
      <c r="G147" s="242">
        <f>'[2]Canada Sun Meal Exports'!CO$290</f>
        <v>0</v>
      </c>
      <c r="H147" s="242">
        <f>'[2]Canada Sun Meal Exports'!DA$290</f>
        <v>0</v>
      </c>
      <c r="I147" s="242">
        <f>'[2]Canada Sun Meal Exports'!DM$290</f>
        <v>0</v>
      </c>
      <c r="J147" s="242">
        <f>'[2]Canada Sun Meal Exports'!DY$290</f>
        <v>0</v>
      </c>
      <c r="K147" s="242">
        <f>'[2]Canada Sun Meal Exports'!EK$290</f>
        <v>0</v>
      </c>
      <c r="L147" s="242">
        <f>'[2]Canada Sun Meal Exports'!EW$290</f>
        <v>0</v>
      </c>
      <c r="M147" s="242">
        <f>'[2]Canada Sun Meal Exports'!FI$290</f>
        <v>0</v>
      </c>
      <c r="N147" s="242">
        <f>'[2]Canada Sun Meal Exports'!FU$290</f>
        <v>0</v>
      </c>
      <c r="O147" s="242">
        <f>'[2]Canada Sun Meal Exports'!GG$290</f>
        <v>0</v>
      </c>
      <c r="P147" s="242">
        <f>'[2]Canada Sun Meal Exports'!GS$290</f>
        <v>0</v>
      </c>
      <c r="Q147" s="242">
        <f>'[2]Canada Sun Meal Exports'!HE$290</f>
        <v>0</v>
      </c>
      <c r="R147" s="242">
        <f>'[2]Canada Sun Meal Exports'!HQ$290</f>
        <v>0</v>
      </c>
      <c r="S147" s="242">
        <f>'[2]Canada Sun Meal Exports'!IC$290</f>
        <v>0</v>
      </c>
      <c r="T147" s="242">
        <f>'[2]Canada Sun Meal Exports'!IO$290</f>
        <v>0</v>
      </c>
      <c r="U147" s="242">
        <f>'[2]Canada Sun Meal Exports'!JA$290</f>
        <v>0</v>
      </c>
      <c r="V147" s="242">
        <f>'[2]Canada Sun Meal Exports'!JM$290</f>
        <v>7.6999999999999999E-2</v>
      </c>
      <c r="W147" s="242">
        <f>'[2]Canada Sun Meal Exports'!JY$290</f>
        <v>0</v>
      </c>
      <c r="X147" s="242">
        <f>'[2]Canada Sun Meal Exports'!KK$290</f>
        <v>0</v>
      </c>
      <c r="Y147" s="242">
        <f>'[2]Canada Sun Meal Exports'!KW$290</f>
        <v>0.29599999999999999</v>
      </c>
      <c r="Z147" s="242">
        <f>'[2]Canada Sun Meal Exports'!LI$290</f>
        <v>0</v>
      </c>
      <c r="AA147" s="242">
        <f>'[2]Canada Sun Meal Exports'!LU$290</f>
        <v>0</v>
      </c>
      <c r="AB147" s="242">
        <f>'[2]Canada Sun Meal Exports'!MG$290</f>
        <v>0</v>
      </c>
      <c r="AC147" s="242">
        <f>'[2]Canada Sun Meal Exports'!MS$290</f>
        <v>0</v>
      </c>
      <c r="AD147" s="242">
        <f>'[2]Canada Sun Meal Exports'!NE$290</f>
        <v>0</v>
      </c>
      <c r="AE147" s="243">
        <f t="shared" si="85"/>
        <v>0.39892183288409699</v>
      </c>
    </row>
    <row r="148" spans="1:31">
      <c r="A148" s="240" t="s">
        <v>241</v>
      </c>
      <c r="B148" s="241">
        <f t="shared" si="86"/>
        <v>0.23198992443324939</v>
      </c>
      <c r="C148" s="241">
        <v>0</v>
      </c>
      <c r="D148" s="242">
        <f>'[2]Canada Sun Meal Exports'!BF$290</f>
        <v>0</v>
      </c>
      <c r="E148" s="242">
        <f>'[2]Canada Sun Meal Exports'!BR$290</f>
        <v>0</v>
      </c>
      <c r="F148" s="242">
        <f>'[2]Canada Sun Meal Exports'!CD$290</f>
        <v>0</v>
      </c>
      <c r="G148" s="242">
        <f>'[2]Canada Sun Meal Exports'!CP$290</f>
        <v>0</v>
      </c>
      <c r="H148" s="242">
        <f>'[2]Canada Sun Meal Exports'!DB$290</f>
        <v>0</v>
      </c>
      <c r="I148" s="242">
        <f>'[2]Canada Sun Meal Exports'!DN$290</f>
        <v>0</v>
      </c>
      <c r="J148" s="242">
        <f>'[2]Canada Sun Meal Exports'!DZ$290</f>
        <v>0</v>
      </c>
      <c r="K148" s="242">
        <f>'[2]Canada Sun Meal Exports'!EL$290</f>
        <v>0</v>
      </c>
      <c r="L148" s="242">
        <f>'[2]Canada Sun Meal Exports'!EX$290</f>
        <v>0</v>
      </c>
      <c r="M148" s="242">
        <f>'[2]Canada Sun Meal Exports'!FJ$290</f>
        <v>0</v>
      </c>
      <c r="N148" s="242">
        <f>'[2]Canada Sun Meal Exports'!FV$290</f>
        <v>0</v>
      </c>
      <c r="O148" s="242">
        <f>'[2]Canada Sun Meal Exports'!GH$290</f>
        <v>0</v>
      </c>
      <c r="P148" s="242">
        <f>'[2]Canada Sun Meal Exports'!GT$290</f>
        <v>0</v>
      </c>
      <c r="Q148" s="242">
        <f>'[2]Canada Sun Meal Exports'!HF$290</f>
        <v>0</v>
      </c>
      <c r="R148" s="242">
        <f>'[2]Canada Sun Meal Exports'!HR$290</f>
        <v>0</v>
      </c>
      <c r="S148" s="242">
        <f>'[2]Canada Sun Meal Exports'!ID$290</f>
        <v>0</v>
      </c>
      <c r="T148" s="242">
        <f>'[2]Canada Sun Meal Exports'!IP$290</f>
        <v>0</v>
      </c>
      <c r="U148" s="242">
        <f>'[2]Canada Sun Meal Exports'!JB$290</f>
        <v>0</v>
      </c>
      <c r="V148" s="242">
        <f>'[2]Canada Sun Meal Exports'!JN$290</f>
        <v>0</v>
      </c>
      <c r="W148" s="242">
        <f>'[2]Canada Sun Meal Exports'!JZ$290</f>
        <v>0</v>
      </c>
      <c r="X148" s="242">
        <f>'[2]Canada Sun Meal Exports'!KL$290</f>
        <v>0</v>
      </c>
      <c r="Y148" s="242">
        <f>'[2]Canada Sun Meal Exports'!KX$290</f>
        <v>0.307</v>
      </c>
      <c r="Z148" s="242">
        <f>'[2]Canada Sun Meal Exports'!LJ$290</f>
        <v>0</v>
      </c>
      <c r="AA148" s="242">
        <f>'[2]Canada Sun Meal Exports'!LV$290</f>
        <v>0</v>
      </c>
      <c r="AB148" s="242">
        <f>'[2]Canada Sun Meal Exports'!MH$290</f>
        <v>0</v>
      </c>
      <c r="AC148" s="242">
        <f>'[2]Canada Sun Meal Exports'!MT$290</f>
        <v>0</v>
      </c>
      <c r="AD148" s="242">
        <f>'[2]Canada Sun Meal Exports'!NF$290</f>
        <v>0</v>
      </c>
      <c r="AE148" s="243">
        <f t="shared" si="85"/>
        <v>0.4137466307277628</v>
      </c>
    </row>
    <row r="149" spans="1:31">
      <c r="A149" s="240" t="s">
        <v>231</v>
      </c>
      <c r="B149" s="241">
        <f t="shared" si="86"/>
        <v>0.1836272040302267</v>
      </c>
      <c r="C149" s="242">
        <f>'[2]Canada Sun Meal Exports'!AU$290</f>
        <v>0</v>
      </c>
      <c r="D149" s="242">
        <f>'[2]Canada Sun Meal Exports'!BG$290</f>
        <v>1.286</v>
      </c>
      <c r="E149" s="242">
        <f>'[2]Canada Sun Meal Exports'!BS$290</f>
        <v>0</v>
      </c>
      <c r="F149" s="242">
        <f>'[2]Canada Sun Meal Exports'!CE$290</f>
        <v>0</v>
      </c>
      <c r="G149" s="242">
        <f>'[2]Canada Sun Meal Exports'!CQ$290</f>
        <v>0</v>
      </c>
      <c r="H149" s="242">
        <f>'[2]Canada Sun Meal Exports'!DC$290</f>
        <v>0</v>
      </c>
      <c r="I149" s="242">
        <f>'[2]Canada Sun Meal Exports'!DO$290</f>
        <v>0</v>
      </c>
      <c r="J149" s="242">
        <f>'[2]Canada Sun Meal Exports'!EA$290</f>
        <v>0</v>
      </c>
      <c r="K149" s="242">
        <f>'[2]Canada Sun Meal Exports'!EM$290</f>
        <v>0</v>
      </c>
      <c r="L149" s="242">
        <f>'[2]Canada Sun Meal Exports'!EY$290</f>
        <v>0</v>
      </c>
      <c r="M149" s="242">
        <f>'[2]Canada Sun Meal Exports'!FK$290</f>
        <v>0</v>
      </c>
      <c r="N149" s="242">
        <f>'[2]Canada Sun Meal Exports'!FW$290</f>
        <v>0</v>
      </c>
      <c r="O149" s="242">
        <f>'[2]Canada Sun Meal Exports'!GI$290</f>
        <v>0</v>
      </c>
      <c r="P149" s="242">
        <f>'[2]Canada Sun Meal Exports'!GU$290</f>
        <v>0</v>
      </c>
      <c r="Q149" s="242">
        <f>'[2]Canada Sun Meal Exports'!HG$290</f>
        <v>0</v>
      </c>
      <c r="R149" s="242">
        <f>'[2]Canada Sun Meal Exports'!HS$290</f>
        <v>0</v>
      </c>
      <c r="S149" s="242">
        <f>'[2]Canada Sun Meal Exports'!IE$290</f>
        <v>0</v>
      </c>
      <c r="T149" s="242">
        <f>'[2]Canada Sun Meal Exports'!IQ$290</f>
        <v>0</v>
      </c>
      <c r="U149" s="242">
        <f>'[2]Canada Sun Meal Exports'!JC$290</f>
        <v>0</v>
      </c>
      <c r="V149" s="242">
        <f>'[2]Canada Sun Meal Exports'!JO$290</f>
        <v>0</v>
      </c>
      <c r="W149" s="242">
        <f>'[2]Canada Sun Meal Exports'!KA$290</f>
        <v>0</v>
      </c>
      <c r="X149" s="242">
        <f>'[2]Canada Sun Meal Exports'!KM$290</f>
        <v>0</v>
      </c>
      <c r="Y149" s="242">
        <f>'[2]Canada Sun Meal Exports'!KY$290</f>
        <v>0.24299999999999999</v>
      </c>
      <c r="Z149" s="242">
        <f>'[2]Canada Sun Meal Exports'!LK$290</f>
        <v>0</v>
      </c>
      <c r="AA149" s="242">
        <f>'[2]Canada Sun Meal Exports'!LW$290</f>
        <v>0</v>
      </c>
      <c r="AB149" s="242">
        <f>'[2]Canada Sun Meal Exports'!MI$290</f>
        <v>0</v>
      </c>
      <c r="AC149" s="242">
        <f>'[2]Canada Sun Meal Exports'!MU$290</f>
        <v>2.1999999999999999E-2</v>
      </c>
      <c r="AD149" s="242">
        <f>'[2]Canada Sun Meal Exports'!NG$290</f>
        <v>0</v>
      </c>
      <c r="AE149" s="243">
        <f t="shared" si="85"/>
        <v>0.35714285714285715</v>
      </c>
    </row>
    <row r="150" spans="1:31">
      <c r="A150" s="240" t="s">
        <v>232</v>
      </c>
      <c r="B150" s="241">
        <f t="shared" si="86"/>
        <v>0</v>
      </c>
      <c r="C150" s="242">
        <f>'[2]Canada Sun Meal Exports'!AV$290</f>
        <v>0</v>
      </c>
      <c r="D150" s="242">
        <f>'[2]Canada Sun Meal Exports'!BH$290</f>
        <v>0</v>
      </c>
      <c r="E150" s="242">
        <f>'[2]Canada Sun Meal Exports'!BT$290</f>
        <v>0</v>
      </c>
      <c r="F150" s="242">
        <f>'[2]Canada Sun Meal Exports'!CF$290</f>
        <v>1.9E-2</v>
      </c>
      <c r="G150" s="242">
        <f>'[2]Canada Sun Meal Exports'!CR$290</f>
        <v>0</v>
      </c>
      <c r="H150" s="242">
        <f>'[2]Canada Sun Meal Exports'!DD$290</f>
        <v>0</v>
      </c>
      <c r="I150" s="242">
        <f>'[2]Canada Sun Meal Exports'!DP$290</f>
        <v>0</v>
      </c>
      <c r="J150" s="242">
        <f>'[2]Canada Sun Meal Exports'!EB$290</f>
        <v>0</v>
      </c>
      <c r="K150" s="242">
        <f>'[2]Canada Sun Meal Exports'!EN$290</f>
        <v>0</v>
      </c>
      <c r="L150" s="242">
        <f>'[2]Canada Sun Meal Exports'!EZ$290</f>
        <v>0</v>
      </c>
      <c r="M150" s="242">
        <f>'[2]Canada Sun Meal Exports'!FL$290</f>
        <v>0</v>
      </c>
      <c r="N150" s="242">
        <f>'[2]Canada Sun Meal Exports'!FX$290</f>
        <v>0</v>
      </c>
      <c r="O150" s="242">
        <f>'[2]Canada Sun Meal Exports'!GJ$290</f>
        <v>0</v>
      </c>
      <c r="P150" s="242">
        <f>'[2]Canada Sun Meal Exports'!GV$290</f>
        <v>0</v>
      </c>
      <c r="Q150" s="242">
        <f>'[2]Canada Sun Meal Exports'!HH$290</f>
        <v>0</v>
      </c>
      <c r="R150" s="242">
        <f>'[2]Canada Sun Meal Exports'!HT$290</f>
        <v>0</v>
      </c>
      <c r="S150" s="242">
        <f>'[2]Canada Sun Meal Exports'!IF$290</f>
        <v>0</v>
      </c>
      <c r="T150" s="242">
        <f>'[2]Canada Sun Meal Exports'!IR$290</f>
        <v>0</v>
      </c>
      <c r="U150" s="242">
        <f>'[2]Canada Sun Meal Exports'!JD$290</f>
        <v>0</v>
      </c>
      <c r="V150" s="242">
        <f>'[2]Canada Sun Meal Exports'!JP$290</f>
        <v>0</v>
      </c>
      <c r="W150" s="242">
        <f>'[2]Canada Sun Meal Exports'!KB$290</f>
        <v>0</v>
      </c>
      <c r="X150" s="242">
        <f>'[2]Canada Sun Meal Exports'!KN$290</f>
        <v>0</v>
      </c>
      <c r="Y150" s="242">
        <f>'[2]Canada Sun Meal Exports'!KZ$290</f>
        <v>0</v>
      </c>
      <c r="Z150" s="242">
        <f>'[2]Canada Sun Meal Exports'!LL$290</f>
        <v>0</v>
      </c>
      <c r="AA150" s="242">
        <f>'[2]Canada Sun Meal Exports'!LX$290</f>
        <v>0</v>
      </c>
      <c r="AB150" s="242">
        <f>'[2]Canada Sun Meal Exports'!MJ$290</f>
        <v>0</v>
      </c>
      <c r="AC150" s="242">
        <f>'[2]Canada Sun Meal Exports'!MV$290</f>
        <v>0.10299999999999999</v>
      </c>
      <c r="AD150" s="242">
        <f>'[2]Canada Sun Meal Exports'!NH$290</f>
        <v>0</v>
      </c>
      <c r="AE150" s="243">
        <f t="shared" si="85"/>
        <v>0.13881401617250674</v>
      </c>
    </row>
    <row r="151" spans="1:31">
      <c r="A151" s="240" t="s">
        <v>233</v>
      </c>
      <c r="B151" s="241">
        <f t="shared" si="86"/>
        <v>0.1654911838790932</v>
      </c>
      <c r="C151" s="242">
        <f>'[2]Canada Sun Meal Exports'!AW$290</f>
        <v>0</v>
      </c>
      <c r="D151" s="242">
        <f>'[2]Canada Sun Meal Exports'!BI$290</f>
        <v>0</v>
      </c>
      <c r="E151" s="242">
        <f>'[2]Canada Sun Meal Exports'!BU$290</f>
        <v>8.0000000000000002E-3</v>
      </c>
      <c r="F151" s="242">
        <f>'[2]Canada Sun Meal Exports'!CG$290</f>
        <v>7.9000000000000001E-2</v>
      </c>
      <c r="G151" s="242">
        <f>'[2]Canada Sun Meal Exports'!CS$290</f>
        <v>0</v>
      </c>
      <c r="H151" s="242">
        <f>'[2]Canada Sun Meal Exports'!DE$290</f>
        <v>0</v>
      </c>
      <c r="I151" s="242">
        <f>'[2]Canada Sun Meal Exports'!DQ$290</f>
        <v>0</v>
      </c>
      <c r="J151" s="242">
        <f>'[2]Canada Sun Meal Exports'!EC$290</f>
        <v>0</v>
      </c>
      <c r="K151" s="242">
        <f>'[2]Canada Sun Meal Exports'!EO$290</f>
        <v>2.4E-2</v>
      </c>
      <c r="L151" s="242">
        <f>'[2]Canada Sun Meal Exports'!FA$290</f>
        <v>0</v>
      </c>
      <c r="M151" s="242">
        <f>'[2]Canada Sun Meal Exports'!FM$290</f>
        <v>0</v>
      </c>
      <c r="N151" s="242">
        <f>'[2]Canada Sun Meal Exports'!FY$290</f>
        <v>0</v>
      </c>
      <c r="O151" s="242">
        <f>'[2]Canada Sun Meal Exports'!GK$290</f>
        <v>0</v>
      </c>
      <c r="P151" s="242">
        <f>'[2]Canada Sun Meal Exports'!GW$290</f>
        <v>0</v>
      </c>
      <c r="Q151" s="242">
        <f>'[2]Canada Sun Meal Exports'!HI$290</f>
        <v>0</v>
      </c>
      <c r="R151" s="242">
        <f>'[2]Canada Sun Meal Exports'!HU$290</f>
        <v>0</v>
      </c>
      <c r="S151" s="242">
        <f>'[2]Canada Sun Meal Exports'!IG$290</f>
        <v>0</v>
      </c>
      <c r="T151" s="242">
        <f>'[2]Canada Sun Meal Exports'!IS$290</f>
        <v>0</v>
      </c>
      <c r="U151" s="242">
        <f>'[2]Canada Sun Meal Exports'!JE$290</f>
        <v>0</v>
      </c>
      <c r="V151" s="242">
        <f>'[2]Canada Sun Meal Exports'!JQ$290</f>
        <v>0</v>
      </c>
      <c r="W151" s="242">
        <f>'[2]Canada Sun Meal Exports'!KC$290</f>
        <v>0</v>
      </c>
      <c r="X151" s="242">
        <f>'[2]Canada Sun Meal Exports'!KO$290</f>
        <v>0.219</v>
      </c>
      <c r="Y151" s="242">
        <f>'[2]Canada Sun Meal Exports'!LA$290</f>
        <v>0</v>
      </c>
      <c r="Z151" s="242">
        <f>'[2]Canada Sun Meal Exports'!LM$290</f>
        <v>0</v>
      </c>
      <c r="AA151" s="242">
        <f>'[2]Canada Sun Meal Exports'!LY$290</f>
        <v>0</v>
      </c>
      <c r="AB151" s="242">
        <f>'[2]Canada Sun Meal Exports'!MK$290</f>
        <v>0</v>
      </c>
      <c r="AC151" s="242">
        <f>'[2]Canada Sun Meal Exports'!MW$290</f>
        <v>0.10299999999999999</v>
      </c>
      <c r="AD151" s="242">
        <f>'[2]Canada Sun Meal Exports'!NI$290</f>
        <v>0</v>
      </c>
      <c r="AE151" s="243">
        <f t="shared" si="85"/>
        <v>0.13881401617250674</v>
      </c>
    </row>
    <row r="152" spans="1:31">
      <c r="A152" s="240" t="s">
        <v>234</v>
      </c>
      <c r="B152" s="241">
        <f t="shared" si="86"/>
        <v>1.5113350125944586E-2</v>
      </c>
      <c r="C152" s="242">
        <f>'[2]Canada Sun Meal Exports'!AX$290</f>
        <v>1.7000000000000001E-2</v>
      </c>
      <c r="D152" s="242">
        <f>'[2]Canada Sun Meal Exports'!BJ$290</f>
        <v>0</v>
      </c>
      <c r="E152" s="242">
        <f>'[2]Canada Sun Meal Exports'!BV$290</f>
        <v>0</v>
      </c>
      <c r="F152" s="242">
        <f>'[2]Canada Sun Meal Exports'!CH$290</f>
        <v>8.0000000000000002E-3</v>
      </c>
      <c r="G152" s="242">
        <f>'[2]Canada Sun Meal Exports'!CT$290</f>
        <v>0</v>
      </c>
      <c r="H152" s="242">
        <f>'[2]Canada Sun Meal Exports'!DF$290</f>
        <v>0</v>
      </c>
      <c r="I152" s="242">
        <f>'[2]Canada Sun Meal Exports'!DR$290</f>
        <v>0</v>
      </c>
      <c r="J152" s="242">
        <f>'[2]Canada Sun Meal Exports'!ED$290</f>
        <v>0</v>
      </c>
      <c r="K152" s="242">
        <f>'[2]Canada Sun Meal Exports'!EP$290</f>
        <v>0</v>
      </c>
      <c r="L152" s="242">
        <f>'[2]Canada Sun Meal Exports'!FB$290</f>
        <v>0</v>
      </c>
      <c r="M152" s="242">
        <f>'[2]Canada Sun Meal Exports'!FN$290</f>
        <v>0</v>
      </c>
      <c r="N152" s="242">
        <f>'[2]Canada Sun Meal Exports'!FZ$290</f>
        <v>0</v>
      </c>
      <c r="O152" s="242">
        <f>'[2]Canada Sun Meal Exports'!GL$290</f>
        <v>0</v>
      </c>
      <c r="P152" s="242">
        <f>'[2]Canada Sun Meal Exports'!GX$290</f>
        <v>0</v>
      </c>
      <c r="Q152" s="242">
        <f>'[2]Canada Sun Meal Exports'!HJ$290</f>
        <v>0</v>
      </c>
      <c r="R152" s="242">
        <f>'[2]Canada Sun Meal Exports'!HV$290</f>
        <v>0</v>
      </c>
      <c r="S152" s="242">
        <f>'[2]Canada Sun Meal Exports'!IH$290</f>
        <v>0</v>
      </c>
      <c r="T152" s="242">
        <f>'[2]Canada Sun Meal Exports'!IT$290</f>
        <v>0</v>
      </c>
      <c r="U152" s="242">
        <f>'[2]Canada Sun Meal Exports'!JF$290</f>
        <v>0</v>
      </c>
      <c r="V152" s="242">
        <f>'[2]Canada Sun Meal Exports'!JR$290</f>
        <v>0</v>
      </c>
      <c r="W152" s="242">
        <f>'[2]Canada Sun Meal Exports'!KD$290</f>
        <v>0</v>
      </c>
      <c r="X152" s="242">
        <f>'[2]Canada Sun Meal Exports'!KP$290</f>
        <v>0</v>
      </c>
      <c r="Y152" s="242">
        <f>'[2]Canada Sun Meal Exports'!LB$290</f>
        <v>0.02</v>
      </c>
      <c r="Z152" s="242">
        <f>'[2]Canada Sun Meal Exports'!LN$290</f>
        <v>0</v>
      </c>
      <c r="AA152" s="242">
        <f>'[2]Canada Sun Meal Exports'!LZ$290</f>
        <v>0</v>
      </c>
      <c r="AB152" s="242">
        <f>'[2]Canada Sun Meal Exports'!ML$290</f>
        <v>0</v>
      </c>
      <c r="AC152" s="242">
        <f>'[2]Canada Sun Meal Exports'!MX$290</f>
        <v>0</v>
      </c>
      <c r="AD152" s="243">
        <f t="shared" ref="AD152:AD154" si="87">(SUM(X152:AB152)/SUM(X$156:AB$156))*AD$156</f>
        <v>1.6411378555798686E-2</v>
      </c>
      <c r="AE152" s="243">
        <f t="shared" si="85"/>
        <v>2.6954177897574125E-2</v>
      </c>
    </row>
    <row r="153" spans="1:31">
      <c r="A153" s="240" t="s">
        <v>46</v>
      </c>
      <c r="B153" s="241">
        <f t="shared" si="86"/>
        <v>8.9924433249370286E-2</v>
      </c>
      <c r="C153" s="242">
        <f>'[2]Canada Sun Meal Exports'!AY$290</f>
        <v>0</v>
      </c>
      <c r="D153" s="242">
        <f>'[2]Canada Sun Meal Exports'!BK$290</f>
        <v>0</v>
      </c>
      <c r="E153" s="242">
        <f>'[2]Canada Sun Meal Exports'!BW$290</f>
        <v>6.5000000000000002E-2</v>
      </c>
      <c r="F153" s="242">
        <f>'[2]Canada Sun Meal Exports'!CI$290</f>
        <v>8.0000000000000002E-3</v>
      </c>
      <c r="G153" s="242">
        <f>'[2]Canada Sun Meal Exports'!CU$290</f>
        <v>0</v>
      </c>
      <c r="H153" s="242">
        <f>'[2]Canada Sun Meal Exports'!DG$290</f>
        <v>0</v>
      </c>
      <c r="I153" s="242">
        <f>'[2]Canada Sun Meal Exports'!DS$290</f>
        <v>0</v>
      </c>
      <c r="J153" s="242">
        <f>'[2]Canada Sun Meal Exports'!EE$290</f>
        <v>0</v>
      </c>
      <c r="K153" s="242">
        <f>'[2]Canada Sun Meal Exports'!EQ$290</f>
        <v>0</v>
      </c>
      <c r="L153" s="242">
        <f>'[2]Canada Sun Meal Exports'!FC$290</f>
        <v>0</v>
      </c>
      <c r="M153" s="242">
        <f>'[2]Canada Sun Meal Exports'!FO$290</f>
        <v>0</v>
      </c>
      <c r="N153" s="242">
        <f>'[2]Canada Sun Meal Exports'!GA$290</f>
        <v>0</v>
      </c>
      <c r="O153" s="242">
        <f>'[2]Canada Sun Meal Exports'!GM$290</f>
        <v>0</v>
      </c>
      <c r="P153" s="242">
        <f>'[2]Canada Sun Meal Exports'!GY$290</f>
        <v>0</v>
      </c>
      <c r="Q153" s="242">
        <f>'[2]Canada Sun Meal Exports'!HK$290</f>
        <v>0</v>
      </c>
      <c r="R153" s="242">
        <f>'[2]Canada Sun Meal Exports'!HW$290</f>
        <v>0</v>
      </c>
      <c r="S153" s="242">
        <f>'[2]Canada Sun Meal Exports'!II$290</f>
        <v>0</v>
      </c>
      <c r="T153" s="242">
        <f>'[2]Canada Sun Meal Exports'!IU$290</f>
        <v>0</v>
      </c>
      <c r="U153" s="242">
        <f>'[2]Canada Sun Meal Exports'!JG$290</f>
        <v>0</v>
      </c>
      <c r="V153" s="242">
        <f>'[2]Canada Sun Meal Exports'!JS$290</f>
        <v>0</v>
      </c>
      <c r="W153" s="242">
        <f>'[2]Canada Sun Meal Exports'!KE$290</f>
        <v>0</v>
      </c>
      <c r="X153" s="242">
        <f>'[2]Canada Sun Meal Exports'!KQ$290</f>
        <v>9.9000000000000005E-2</v>
      </c>
      <c r="Y153" s="242">
        <f>'[2]Canada Sun Meal Exports'!LC$290</f>
        <v>0.02</v>
      </c>
      <c r="Z153" s="242">
        <f>'[2]Canada Sun Meal Exports'!LO$290</f>
        <v>0</v>
      </c>
      <c r="AA153" s="242">
        <f>'[2]Canada Sun Meal Exports'!MA$290</f>
        <v>0</v>
      </c>
      <c r="AB153" s="242">
        <f>'[2]Canada Sun Meal Exports'!MM$290</f>
        <v>0</v>
      </c>
      <c r="AC153" s="242">
        <f>'[2]Canada Sun Meal Exports'!MY$290</f>
        <v>0</v>
      </c>
      <c r="AD153" s="243">
        <f t="shared" si="87"/>
        <v>9.7647702407002185E-2</v>
      </c>
      <c r="AE153" s="243">
        <f t="shared" si="85"/>
        <v>2.6954177897574125E-2</v>
      </c>
    </row>
    <row r="154" spans="1:31">
      <c r="A154" s="240" t="s">
        <v>235</v>
      </c>
      <c r="B154" s="241">
        <f t="shared" si="86"/>
        <v>0.23047858942065491</v>
      </c>
      <c r="C154" s="242">
        <f>'[2]Canada Sun Meal Exports'!AZ$290</f>
        <v>0</v>
      </c>
      <c r="D154" s="242">
        <f>'[2]Canada Sun Meal Exports'!BL$290</f>
        <v>0</v>
      </c>
      <c r="E154" s="242">
        <f>'[2]Canada Sun Meal Exports'!BX$290</f>
        <v>4.2000000000000003E-2</v>
      </c>
      <c r="F154" s="242">
        <f>'[2]Canada Sun Meal Exports'!CJ$290</f>
        <v>0</v>
      </c>
      <c r="G154" s="242">
        <f>'[2]Canada Sun Meal Exports'!CV$290</f>
        <v>1E-3</v>
      </c>
      <c r="H154" s="242">
        <f>'[2]Canada Sun Meal Exports'!DH$290</f>
        <v>0</v>
      </c>
      <c r="I154" s="242">
        <f>'[2]Canada Sun Meal Exports'!DT$290</f>
        <v>2.4E-2</v>
      </c>
      <c r="J154" s="242">
        <f>'[2]Canada Sun Meal Exports'!EF$290</f>
        <v>0</v>
      </c>
      <c r="K154" s="242">
        <f>'[2]Canada Sun Meal Exports'!ER$290</f>
        <v>0</v>
      </c>
      <c r="L154" s="242">
        <f>'[2]Canada Sun Meal Exports'!FD$290</f>
        <v>0</v>
      </c>
      <c r="M154" s="242">
        <f>'[2]Canada Sun Meal Exports'!FP$290</f>
        <v>0</v>
      </c>
      <c r="N154" s="242">
        <f>'[2]Canada Sun Meal Exports'!GB$290</f>
        <v>0</v>
      </c>
      <c r="O154" s="242">
        <f>'[2]Canada Sun Meal Exports'!GN$290</f>
        <v>0</v>
      </c>
      <c r="P154" s="242">
        <f>'[2]Canada Sun Meal Exports'!GZ$290</f>
        <v>0</v>
      </c>
      <c r="Q154" s="242">
        <f>'[2]Canada Sun Meal Exports'!HL$290</f>
        <v>0</v>
      </c>
      <c r="R154" s="242">
        <f>'[2]Canada Sun Meal Exports'!HX$290</f>
        <v>0</v>
      </c>
      <c r="S154" s="242">
        <f>'[2]Canada Sun Meal Exports'!IJ$290</f>
        <v>0</v>
      </c>
      <c r="T154" s="242">
        <f>'[2]Canada Sun Meal Exports'!IV$290</f>
        <v>0</v>
      </c>
      <c r="U154" s="242">
        <f>'[2]Canada Sun Meal Exports'!JH$290</f>
        <v>0</v>
      </c>
      <c r="V154" s="242">
        <f>'[2]Canada Sun Meal Exports'!JT$290</f>
        <v>0</v>
      </c>
      <c r="W154" s="242">
        <f>'[2]Canada Sun Meal Exports'!KF$290</f>
        <v>0</v>
      </c>
      <c r="X154" s="242">
        <f>'[2]Canada Sun Meal Exports'!KR$290</f>
        <v>0.30499999999999999</v>
      </c>
      <c r="Y154" s="242">
        <f>'[2]Canada Sun Meal Exports'!LD$290</f>
        <v>0</v>
      </c>
      <c r="Z154" s="242">
        <f>'[2]Canada Sun Meal Exports'!LP$290</f>
        <v>0</v>
      </c>
      <c r="AA154" s="242">
        <f>'[2]Canada Sun Meal Exports'!MB$290</f>
        <v>0</v>
      </c>
      <c r="AB154" s="242">
        <f>'[2]Canada Sun Meal Exports'!MN$290</f>
        <v>0</v>
      </c>
      <c r="AC154" s="242">
        <f>'[2]Canada Sun Meal Exports'!MZ$290</f>
        <v>0</v>
      </c>
      <c r="AD154" s="243">
        <f t="shared" si="87"/>
        <v>0.25027352297592997</v>
      </c>
      <c r="AE154" s="243">
        <f t="shared" si="85"/>
        <v>0</v>
      </c>
    </row>
    <row r="155" spans="1:31">
      <c r="A155" s="240" t="s">
        <v>236</v>
      </c>
      <c r="B155" s="241">
        <f t="shared" si="86"/>
        <v>0.22367758186397985</v>
      </c>
      <c r="C155" s="242">
        <f>'[2]Canada Sun Meal Exports'!BA$290</f>
        <v>0</v>
      </c>
      <c r="D155" s="242">
        <f>'[2]Canada Sun Meal Exports'!BM$290</f>
        <v>0</v>
      </c>
      <c r="E155" s="242">
        <f>'[2]Canada Sun Meal Exports'!BY$290</f>
        <v>0</v>
      </c>
      <c r="F155" s="242">
        <f>'[2]Canada Sun Meal Exports'!CK$290</f>
        <v>0</v>
      </c>
      <c r="G155" s="242">
        <f>'[2]Canada Sun Meal Exports'!CW$290</f>
        <v>0</v>
      </c>
      <c r="H155" s="242">
        <f>'[2]Canada Sun Meal Exports'!DI$290</f>
        <v>0</v>
      </c>
      <c r="I155" s="242">
        <f>'[2]Canada Sun Meal Exports'!DU$290</f>
        <v>1.9E-2</v>
      </c>
      <c r="J155" s="242">
        <f>'[2]Canada Sun Meal Exports'!EG$290</f>
        <v>0</v>
      </c>
      <c r="K155" s="242">
        <f>'[2]Canada Sun Meal Exports'!ES$290</f>
        <v>0</v>
      </c>
      <c r="L155" s="242">
        <f>'[2]Canada Sun Meal Exports'!FE$290</f>
        <v>0</v>
      </c>
      <c r="M155" s="242">
        <f>'[2]Canada Sun Meal Exports'!FQ$290</f>
        <v>0</v>
      </c>
      <c r="N155" s="242">
        <f>'[2]Canada Sun Meal Exports'!GC$290</f>
        <v>0</v>
      </c>
      <c r="O155" s="242">
        <f>'[2]Canada Sun Meal Exports'!GO$290</f>
        <v>0</v>
      </c>
      <c r="P155" s="242">
        <f>'[2]Canada Sun Meal Exports'!HA$290</f>
        <v>0</v>
      </c>
      <c r="Q155" s="242">
        <f>'[2]Canada Sun Meal Exports'!HM$290</f>
        <v>0</v>
      </c>
      <c r="R155" s="242">
        <f>'[2]Canada Sun Meal Exports'!HY$290</f>
        <v>0</v>
      </c>
      <c r="S155" s="242">
        <f>'[2]Canada Sun Meal Exports'!IK$290</f>
        <v>0</v>
      </c>
      <c r="T155" s="242">
        <f>'[2]Canada Sun Meal Exports'!IW$290</f>
        <v>0</v>
      </c>
      <c r="U155" s="242">
        <f>'[2]Canada Sun Meal Exports'!JI$290</f>
        <v>0</v>
      </c>
      <c r="V155" s="242">
        <f>'[2]Canada Sun Meal Exports'!JU$290</f>
        <v>0</v>
      </c>
      <c r="W155" s="242">
        <f>'[2]Canada Sun Meal Exports'!KG$290</f>
        <v>0</v>
      </c>
      <c r="X155" s="242">
        <f>'[2]Canada Sun Meal Exports'!KS$290</f>
        <v>0.29599999999999999</v>
      </c>
      <c r="Y155" s="242">
        <f>'[2]Canada Sun Meal Exports'!LE$290</f>
        <v>0</v>
      </c>
      <c r="Z155" s="242">
        <f>'[2]Canada Sun Meal Exports'!LQ$290</f>
        <v>0</v>
      </c>
      <c r="AA155" s="242">
        <f>'[2]Canada Sun Meal Exports'!MC$290</f>
        <v>0</v>
      </c>
      <c r="AB155" s="242">
        <f>'[2]Canada Sun Meal Exports'!MO$290</f>
        <v>0</v>
      </c>
      <c r="AC155" s="242">
        <f>'[2]Canada Sun Meal Exports'!NA$290</f>
        <v>3.0000000000000001E-3</v>
      </c>
      <c r="AD155" s="243">
        <f t="shared" ref="AD155:AE155" si="88">AD156-SUM(AD144:AD154)</f>
        <v>2.6356673960612693</v>
      </c>
      <c r="AE155" s="243">
        <f t="shared" si="88"/>
        <v>4.0431266846367997E-3</v>
      </c>
    </row>
    <row r="156" spans="1:31" ht="15.75" thickBot="1">
      <c r="A156" s="240" t="s">
        <v>242</v>
      </c>
      <c r="B156" s="242">
        <f t="shared" ref="B156" si="89">B27</f>
        <v>3</v>
      </c>
      <c r="C156" s="242">
        <v>0</v>
      </c>
      <c r="D156" s="242">
        <f t="shared" ref="D156:Y156" si="90">SUM(D144:D155)</f>
        <v>1.286</v>
      </c>
      <c r="E156" s="242">
        <f t="shared" si="90"/>
        <v>0.11500000000000002</v>
      </c>
      <c r="F156" s="242">
        <f t="shared" si="90"/>
        <v>0.17200000000000001</v>
      </c>
      <c r="G156" s="242">
        <f t="shared" si="90"/>
        <v>1E-3</v>
      </c>
      <c r="H156" s="242">
        <f t="shared" si="90"/>
        <v>0</v>
      </c>
      <c r="I156" s="242">
        <f t="shared" si="90"/>
        <v>4.2999999999999997E-2</v>
      </c>
      <c r="J156" s="242">
        <f t="shared" si="90"/>
        <v>8.5999999999999993E-2</v>
      </c>
      <c r="K156" s="242">
        <f t="shared" si="90"/>
        <v>4.2999999999999997E-2</v>
      </c>
      <c r="L156" s="242">
        <f t="shared" si="90"/>
        <v>0</v>
      </c>
      <c r="M156" s="242">
        <f t="shared" si="90"/>
        <v>0</v>
      </c>
      <c r="N156" s="242">
        <f t="shared" si="90"/>
        <v>0.11</v>
      </c>
      <c r="O156" s="242">
        <f t="shared" si="90"/>
        <v>0</v>
      </c>
      <c r="P156" s="242">
        <f t="shared" si="90"/>
        <v>3.879</v>
      </c>
      <c r="Q156" s="242">
        <f t="shared" si="90"/>
        <v>0</v>
      </c>
      <c r="R156" s="242">
        <f t="shared" si="90"/>
        <v>0</v>
      </c>
      <c r="S156" s="242">
        <f t="shared" si="90"/>
        <v>0</v>
      </c>
      <c r="T156" s="242">
        <f t="shared" si="90"/>
        <v>0</v>
      </c>
      <c r="U156" s="242">
        <f t="shared" si="90"/>
        <v>0</v>
      </c>
      <c r="V156" s="242">
        <f t="shared" si="90"/>
        <v>0.62399999999999989</v>
      </c>
      <c r="W156" s="242">
        <f t="shared" si="90"/>
        <v>0</v>
      </c>
      <c r="X156" s="242">
        <f t="shared" si="90"/>
        <v>0.91900000000000004</v>
      </c>
      <c r="Y156" s="242">
        <f t="shared" si="90"/>
        <v>2.427</v>
      </c>
      <c r="Z156" s="242">
        <f>SUM(Z144:Z155)</f>
        <v>0.31</v>
      </c>
      <c r="AA156" s="242">
        <f>SUM(AA144:AA155)</f>
        <v>0</v>
      </c>
      <c r="AB156" s="242">
        <f>SUM(AB144:AB155)</f>
        <v>0</v>
      </c>
      <c r="AC156" s="242">
        <f>SUM(AC144:AC155)</f>
        <v>0.23099999999999998</v>
      </c>
      <c r="AD156" s="243">
        <f t="shared" ref="AD156:AE156" si="91">AD27</f>
        <v>3</v>
      </c>
      <c r="AE156" s="243">
        <f t="shared" si="91"/>
        <v>4</v>
      </c>
    </row>
    <row r="157" spans="1:31">
      <c r="A157" s="248"/>
      <c r="B157" s="248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  <c r="AE157" s="248"/>
    </row>
    <row r="158" spans="1:31" ht="15.75" thickBot="1">
      <c r="A158" s="235" t="s">
        <v>258</v>
      </c>
      <c r="D158" s="264"/>
      <c r="E158" s="264"/>
      <c r="F158" s="264"/>
      <c r="G158" s="264"/>
      <c r="H158" s="264"/>
      <c r="I158" s="264"/>
      <c r="J158" s="264"/>
    </row>
    <row r="159" spans="1:31" ht="15.75" thickBot="1">
      <c r="A159" s="236"/>
      <c r="B159" s="237" t="str">
        <f>B$2</f>
        <v xml:space="preserve">93/94 </v>
      </c>
      <c r="C159" s="237" t="str">
        <f t="shared" ref="C159:AE159" si="92">C$2</f>
        <v xml:space="preserve">94/95 </v>
      </c>
      <c r="D159" s="237" t="str">
        <f t="shared" si="92"/>
        <v xml:space="preserve">95/96 </v>
      </c>
      <c r="E159" s="237" t="str">
        <f t="shared" si="92"/>
        <v xml:space="preserve">96/97 </v>
      </c>
      <c r="F159" s="237" t="str">
        <f t="shared" si="92"/>
        <v xml:space="preserve">97/98 </v>
      </c>
      <c r="G159" s="237" t="str">
        <f t="shared" si="92"/>
        <v xml:space="preserve">98/99 </v>
      </c>
      <c r="H159" s="237" t="str">
        <f t="shared" si="92"/>
        <v xml:space="preserve">99/00 </v>
      </c>
      <c r="I159" s="237" t="str">
        <f t="shared" si="92"/>
        <v xml:space="preserve">00/01 </v>
      </c>
      <c r="J159" s="237" t="str">
        <f t="shared" si="92"/>
        <v xml:space="preserve">01/02 </v>
      </c>
      <c r="K159" s="237" t="str">
        <f t="shared" si="92"/>
        <v xml:space="preserve">02/03 </v>
      </c>
      <c r="L159" s="237" t="str">
        <f t="shared" si="92"/>
        <v xml:space="preserve">03/04 </v>
      </c>
      <c r="M159" s="237" t="str">
        <f t="shared" si="92"/>
        <v xml:space="preserve">04/05 </v>
      </c>
      <c r="N159" s="237" t="str">
        <f t="shared" si="92"/>
        <v xml:space="preserve">05/06 </v>
      </c>
      <c r="O159" s="237" t="str">
        <f t="shared" si="92"/>
        <v xml:space="preserve">06/07 </v>
      </c>
      <c r="P159" s="237" t="str">
        <f t="shared" si="92"/>
        <v xml:space="preserve">07/08 </v>
      </c>
      <c r="Q159" s="237" t="str">
        <f t="shared" si="92"/>
        <v xml:space="preserve">08/09 </v>
      </c>
      <c r="R159" s="237" t="str">
        <f t="shared" si="92"/>
        <v xml:space="preserve">09/10 </v>
      </c>
      <c r="S159" s="237" t="str">
        <f t="shared" si="92"/>
        <v xml:space="preserve">10/11 </v>
      </c>
      <c r="T159" s="237" t="str">
        <f t="shared" si="92"/>
        <v xml:space="preserve">11/12 </v>
      </c>
      <c r="U159" s="237" t="str">
        <f t="shared" si="92"/>
        <v xml:space="preserve">12/13 </v>
      </c>
      <c r="V159" s="237" t="str">
        <f t="shared" si="92"/>
        <v xml:space="preserve">13/14 </v>
      </c>
      <c r="W159" s="237" t="str">
        <f t="shared" si="92"/>
        <v xml:space="preserve">14/15 </v>
      </c>
      <c r="X159" s="237" t="str">
        <f t="shared" si="92"/>
        <v xml:space="preserve">15/16 </v>
      </c>
      <c r="Y159" s="237" t="str">
        <f t="shared" si="92"/>
        <v xml:space="preserve">16/17 </v>
      </c>
      <c r="Z159" s="237" t="str">
        <f t="shared" si="92"/>
        <v xml:space="preserve">17/18 </v>
      </c>
      <c r="AA159" s="237" t="str">
        <f t="shared" si="92"/>
        <v xml:space="preserve">18/19 </v>
      </c>
      <c r="AB159" s="237" t="str">
        <f t="shared" si="92"/>
        <v xml:space="preserve">19/20 </v>
      </c>
      <c r="AC159" s="237" t="str">
        <f t="shared" si="92"/>
        <v xml:space="preserve">20/21 </v>
      </c>
      <c r="AD159" s="237" t="str">
        <f t="shared" si="92"/>
        <v>21/22</v>
      </c>
      <c r="AE159" s="237" t="str">
        <f t="shared" si="92"/>
        <v>22/23</v>
      </c>
    </row>
    <row r="160" spans="1:31">
      <c r="A160" s="240" t="s">
        <v>237</v>
      </c>
      <c r="B160" s="290">
        <f t="shared" ref="B160:Z160" si="93">B22+B96+B131-B144-B176</f>
        <v>1.0536796750431052</v>
      </c>
      <c r="C160" s="290">
        <f t="shared" si="93"/>
        <v>1.0256963677860589</v>
      </c>
      <c r="D160" s="290">
        <f t="shared" si="93"/>
        <v>0.52267873303167434</v>
      </c>
      <c r="E160" s="290">
        <f t="shared" si="93"/>
        <v>-0.32858823529411774</v>
      </c>
      <c r="F160" s="290">
        <f t="shared" si="93"/>
        <v>0.1011900452488686</v>
      </c>
      <c r="G160" s="290">
        <f t="shared" si="93"/>
        <v>0.36443891402714929</v>
      </c>
      <c r="H160" s="290">
        <f t="shared" si="93"/>
        <v>0.47560180995475099</v>
      </c>
      <c r="I160" s="290">
        <f t="shared" si="93"/>
        <v>-0.53147058823529436</v>
      </c>
      <c r="J160" s="290">
        <f t="shared" si="93"/>
        <v>-1.15506334841629</v>
      </c>
      <c r="K160" s="290">
        <f t="shared" si="93"/>
        <v>-1.2481357466063348</v>
      </c>
      <c r="L160" s="290">
        <f t="shared" si="93"/>
        <v>1.4413628959276019</v>
      </c>
      <c r="M160" s="290">
        <f t="shared" si="93"/>
        <v>1.501217194570136</v>
      </c>
      <c r="N160" s="290">
        <f t="shared" si="93"/>
        <v>0.17982805429864201</v>
      </c>
      <c r="O160" s="290">
        <f t="shared" si="93"/>
        <v>0.45497737556561058</v>
      </c>
      <c r="P160" s="290">
        <f t="shared" si="93"/>
        <v>-3.1654117647058824</v>
      </c>
      <c r="Q160" s="290">
        <f t="shared" si="93"/>
        <v>0.19587782805429876</v>
      </c>
      <c r="R160" s="290">
        <f t="shared" si="93"/>
        <v>-0.80924886877828051</v>
      </c>
      <c r="S160" s="290">
        <f t="shared" si="93"/>
        <v>-8.6506787330316914E-2</v>
      </c>
      <c r="T160" s="290">
        <f t="shared" si="93"/>
        <v>0.11572850678733028</v>
      </c>
      <c r="U160" s="290">
        <f t="shared" si="93"/>
        <v>0.12665610859728524</v>
      </c>
      <c r="V160" s="290">
        <f t="shared" si="93"/>
        <v>-1.3407239819004491E-2</v>
      </c>
      <c r="W160" s="290">
        <f t="shared" si="93"/>
        <v>0.39887782805429833</v>
      </c>
      <c r="X160" s="290">
        <f t="shared" si="93"/>
        <v>0.44876470588235295</v>
      </c>
      <c r="Y160" s="290">
        <f t="shared" si="93"/>
        <v>-0.59515384615384614</v>
      </c>
      <c r="Z160" s="290">
        <f t="shared" si="93"/>
        <v>0.52245532126696848</v>
      </c>
      <c r="AA160" s="253">
        <f>AA22+AA96+AA128-AA144-AA176</f>
        <v>3.8627609667393703E-2</v>
      </c>
      <c r="AB160" s="253">
        <f>AB22+AB96+AB128-AB144-AB176</f>
        <v>1.9371104774523975</v>
      </c>
      <c r="AC160" s="253">
        <f>AC22+AC96+AC128-AC144-AC176</f>
        <v>1.3127411713930861</v>
      </c>
      <c r="AD160" s="253">
        <f t="shared" ref="AD160:AE160" si="94">AD22+AD96+AD128-AD144-AD176</f>
        <v>1.7887840866311475</v>
      </c>
      <c r="AE160" s="253">
        <f t="shared" si="94"/>
        <v>0.92675755667208182</v>
      </c>
    </row>
    <row r="161" spans="1:31">
      <c r="A161" s="240" t="s">
        <v>238</v>
      </c>
      <c r="B161" s="290">
        <f t="shared" ref="B161:Z168" si="95">B176+B97+B132-B145-B177</f>
        <v>0.8248231723254017</v>
      </c>
      <c r="C161" s="290">
        <f t="shared" si="95"/>
        <v>0.86977897618706801</v>
      </c>
      <c r="D161" s="290">
        <f t="shared" si="95"/>
        <v>0.15650497737556573</v>
      </c>
      <c r="E161" s="290">
        <f t="shared" si="95"/>
        <v>-0.34306334841628966</v>
      </c>
      <c r="F161" s="290">
        <f t="shared" si="95"/>
        <v>-2.1180995475113085E-2</v>
      </c>
      <c r="G161" s="290">
        <f t="shared" si="95"/>
        <v>0.28861085972850681</v>
      </c>
      <c r="H161" s="290">
        <f t="shared" si="95"/>
        <v>-0.17907239819004531</v>
      </c>
      <c r="I161" s="290">
        <f t="shared" si="95"/>
        <v>0.74967873303167409</v>
      </c>
      <c r="J161" s="290">
        <f t="shared" si="95"/>
        <v>0.55363800904977367</v>
      </c>
      <c r="K161" s="290">
        <f t="shared" si="95"/>
        <v>-0.14674660633484149</v>
      </c>
      <c r="L161" s="290">
        <f t="shared" si="95"/>
        <v>-0.19524434389140272</v>
      </c>
      <c r="M161" s="290">
        <f t="shared" si="95"/>
        <v>0.25041176470588256</v>
      </c>
      <c r="N161" s="290">
        <f t="shared" si="95"/>
        <v>1.0113619909502263</v>
      </c>
      <c r="O161" s="290">
        <f t="shared" si="95"/>
        <v>0.47217194570135756</v>
      </c>
      <c r="P161" s="290">
        <f t="shared" si="95"/>
        <v>-7.4809954751131308E-2</v>
      </c>
      <c r="Q161" s="290">
        <f t="shared" si="95"/>
        <v>0.10755656108597281</v>
      </c>
      <c r="R161" s="290">
        <f t="shared" si="95"/>
        <v>-0.9093348416289595</v>
      </c>
      <c r="S161" s="290">
        <f t="shared" si="95"/>
        <v>-0.20557013574660662</v>
      </c>
      <c r="T161" s="290">
        <f t="shared" si="95"/>
        <v>0.4719366515837104</v>
      </c>
      <c r="U161" s="290">
        <f t="shared" si="95"/>
        <v>-0.12799999999999981</v>
      </c>
      <c r="V161" s="290">
        <f t="shared" si="95"/>
        <v>-9.7049773755656044E-2</v>
      </c>
      <c r="W161" s="290">
        <f t="shared" si="95"/>
        <v>0.27006334841628943</v>
      </c>
      <c r="X161" s="290">
        <f t="shared" si="95"/>
        <v>0.26143438914027139</v>
      </c>
      <c r="Y161" s="290">
        <f t="shared" si="95"/>
        <v>-0.23005882352941176</v>
      </c>
      <c r="Z161" s="290">
        <f t="shared" si="95"/>
        <v>4.9078941176470825E-2</v>
      </c>
      <c r="AA161" s="253">
        <f t="shared" ref="Z161:AE171" si="96">AA176+AA97+AA129-AA145-AA177</f>
        <v>-0.40120218764368476</v>
      </c>
      <c r="AB161" s="253">
        <f t="shared" si="96"/>
        <v>1.369003263712782</v>
      </c>
      <c r="AC161" s="253">
        <f t="shared" si="96"/>
        <v>0.92220492998928338</v>
      </c>
      <c r="AD161" s="253">
        <f t="shared" si="96"/>
        <v>2.8696139027467438</v>
      </c>
      <c r="AE161" s="253">
        <f t="shared" si="96"/>
        <v>0.20594243952072278</v>
      </c>
    </row>
    <row r="162" spans="1:31">
      <c r="A162" s="240" t="s">
        <v>239</v>
      </c>
      <c r="B162" s="290">
        <f t="shared" si="95"/>
        <v>0.22984465787626895</v>
      </c>
      <c r="C162" s="290">
        <f t="shared" si="95"/>
        <v>1.0239247209782252</v>
      </c>
      <c r="D162" s="290">
        <f t="shared" si="95"/>
        <v>0.331185520361991</v>
      </c>
      <c r="E162" s="290">
        <f t="shared" si="95"/>
        <v>5.6769230769230662E-2</v>
      </c>
      <c r="F162" s="290">
        <f t="shared" si="95"/>
        <v>6.4749728506787338</v>
      </c>
      <c r="G162" s="290">
        <f t="shared" si="95"/>
        <v>0.31878733031674206</v>
      </c>
      <c r="H162" s="290">
        <f t="shared" si="95"/>
        <v>-0.66595475113122193</v>
      </c>
      <c r="I162" s="290">
        <f t="shared" si="95"/>
        <v>0.95721719457013577</v>
      </c>
      <c r="J162" s="290">
        <f t="shared" si="95"/>
        <v>0.44859728506787311</v>
      </c>
      <c r="K162" s="290">
        <f t="shared" si="95"/>
        <v>-0.11461085972850689</v>
      </c>
      <c r="L162" s="290">
        <f t="shared" si="95"/>
        <v>-0.17171945701357463</v>
      </c>
      <c r="M162" s="290">
        <f t="shared" si="95"/>
        <v>0.69908298642533961</v>
      </c>
      <c r="N162" s="290">
        <f t="shared" si="95"/>
        <v>0.33110407239818995</v>
      </c>
      <c r="O162" s="290">
        <f t="shared" si="95"/>
        <v>-0.44146153846153902</v>
      </c>
      <c r="P162" s="290">
        <f t="shared" si="95"/>
        <v>0.8171583710407242</v>
      </c>
      <c r="Q162" s="290">
        <f t="shared" si="95"/>
        <v>-8.9072398190044977E-2</v>
      </c>
      <c r="R162" s="290">
        <f t="shared" si="95"/>
        <v>-3.6199095022624472E-2</v>
      </c>
      <c r="S162" s="290">
        <f t="shared" si="95"/>
        <v>4.1031674208144603E-2</v>
      </c>
      <c r="T162" s="290">
        <f t="shared" si="95"/>
        <v>0.31579638009049776</v>
      </c>
      <c r="U162" s="290">
        <f t="shared" si="95"/>
        <v>7.0968325791855316E-2</v>
      </c>
      <c r="V162" s="290">
        <f t="shared" si="95"/>
        <v>-0.27600000000000002</v>
      </c>
      <c r="W162" s="290">
        <f t="shared" si="95"/>
        <v>0.51237104072398187</v>
      </c>
      <c r="X162" s="290">
        <f t="shared" si="95"/>
        <v>-6.3800904977376477E-3</v>
      </c>
      <c r="Y162" s="290">
        <f t="shared" si="95"/>
        <v>-0.79901357466063372</v>
      </c>
      <c r="Z162" s="290">
        <f t="shared" si="95"/>
        <v>5.0903230769231173E-2</v>
      </c>
      <c r="AA162" s="253">
        <f t="shared" si="96"/>
        <v>0.43870589191076514</v>
      </c>
      <c r="AB162" s="253">
        <f t="shared" si="96"/>
        <v>1.0089403324188426</v>
      </c>
      <c r="AC162" s="253">
        <f t="shared" si="96"/>
        <v>1.5372835785209165</v>
      </c>
      <c r="AD162" s="253">
        <f t="shared" si="96"/>
        <v>2.2393715596497588</v>
      </c>
      <c r="AE162" s="253">
        <f t="shared" si="96"/>
        <v>-0.13599069750040149</v>
      </c>
    </row>
    <row r="163" spans="1:31">
      <c r="A163" s="240" t="s">
        <v>240</v>
      </c>
      <c r="B163" s="290">
        <f t="shared" si="95"/>
        <v>1.0616186471119866</v>
      </c>
      <c r="C163" s="290">
        <f t="shared" si="95"/>
        <v>0.94193343506708604</v>
      </c>
      <c r="D163" s="290">
        <f t="shared" si="95"/>
        <v>-0.15599547511312223</v>
      </c>
      <c r="E163" s="290">
        <f t="shared" si="95"/>
        <v>1.4933348416289596</v>
      </c>
      <c r="F163" s="290">
        <f t="shared" si="95"/>
        <v>-1.1102850678733034</v>
      </c>
      <c r="G163" s="290">
        <f t="shared" si="95"/>
        <v>-2.6615384615384669E-2</v>
      </c>
      <c r="H163" s="290">
        <f t="shared" si="95"/>
        <v>-0.24118099547511351</v>
      </c>
      <c r="I163" s="290">
        <f t="shared" si="95"/>
        <v>0.10636199095022592</v>
      </c>
      <c r="J163" s="290">
        <f t="shared" si="95"/>
        <v>-0.18033484162895913</v>
      </c>
      <c r="K163" s="290">
        <f t="shared" si="95"/>
        <v>-0.13133936651583705</v>
      </c>
      <c r="L163" s="290">
        <f t="shared" si="95"/>
        <v>3.5765695022624437</v>
      </c>
      <c r="M163" s="290">
        <f t="shared" si="95"/>
        <v>0.60644796380090515</v>
      </c>
      <c r="N163" s="290">
        <f t="shared" si="95"/>
        <v>-2.3624434389140414E-2</v>
      </c>
      <c r="O163" s="290">
        <f t="shared" si="95"/>
        <v>0.17952036199095001</v>
      </c>
      <c r="P163" s="290">
        <f t="shared" si="95"/>
        <v>0.10721266968325743</v>
      </c>
      <c r="Q163" s="290">
        <f t="shared" si="95"/>
        <v>0.58205882352941174</v>
      </c>
      <c r="R163" s="290">
        <f t="shared" si="95"/>
        <v>-0.15628506787330332</v>
      </c>
      <c r="S163" s="290">
        <f t="shared" si="95"/>
        <v>-0.17279185520362017</v>
      </c>
      <c r="T163" s="290">
        <f t="shared" si="95"/>
        <v>-2.7153846153846251E-2</v>
      </c>
      <c r="U163" s="290">
        <f t="shared" si="95"/>
        <v>-0.15008144796380068</v>
      </c>
      <c r="V163" s="290">
        <f t="shared" si="95"/>
        <v>0.20969230769230773</v>
      </c>
      <c r="W163" s="290">
        <f t="shared" si="95"/>
        <v>-1.2568325791855199</v>
      </c>
      <c r="X163" s="290">
        <f t="shared" si="95"/>
        <v>0.14719457013574655</v>
      </c>
      <c r="Y163" s="290">
        <f t="shared" si="95"/>
        <v>0.10745701357466059</v>
      </c>
      <c r="Z163" s="290">
        <f t="shared" si="95"/>
        <v>0.55903069683257922</v>
      </c>
      <c r="AA163" s="253">
        <f t="shared" si="96"/>
        <v>-2.3292122857903381</v>
      </c>
      <c r="AB163" s="253">
        <f t="shared" si="96"/>
        <v>1.0293207185896405</v>
      </c>
      <c r="AC163" s="253">
        <f t="shared" si="96"/>
        <v>0.99475571378094796</v>
      </c>
      <c r="AD163" s="253">
        <f t="shared" si="96"/>
        <v>1.7240908589215642</v>
      </c>
      <c r="AE163" s="253">
        <f t="shared" si="96"/>
        <v>0.57820315645830123</v>
      </c>
    </row>
    <row r="164" spans="1:31">
      <c r="A164" s="240" t="s">
        <v>241</v>
      </c>
      <c r="B164" s="290">
        <f t="shared" si="95"/>
        <v>1.041884957261249</v>
      </c>
      <c r="C164" s="290">
        <f t="shared" si="95"/>
        <v>1.0083726662767647</v>
      </c>
      <c r="D164" s="290">
        <f t="shared" si="95"/>
        <v>0.60908144796380093</v>
      </c>
      <c r="E164" s="290">
        <f t="shared" si="95"/>
        <v>0.18463800904977373</v>
      </c>
      <c r="F164" s="290">
        <f t="shared" si="95"/>
        <v>-6.6927601809954843E-2</v>
      </c>
      <c r="G164" s="290">
        <f t="shared" si="95"/>
        <v>-9.2850678733031773E-3</v>
      </c>
      <c r="H164" s="290">
        <f t="shared" si="95"/>
        <v>5.316742081447963E-2</v>
      </c>
      <c r="I164" s="290">
        <f t="shared" si="95"/>
        <v>0.31356561085972845</v>
      </c>
      <c r="J164" s="290">
        <f t="shared" si="95"/>
        <v>-0.42535294117647082</v>
      </c>
      <c r="K164" s="290">
        <f t="shared" si="95"/>
        <v>0.59015384615384625</v>
      </c>
      <c r="L164" s="290">
        <f t="shared" si="95"/>
        <v>-3.3850678733031506E-2</v>
      </c>
      <c r="M164" s="290">
        <f t="shared" si="95"/>
        <v>2.0443799095022621</v>
      </c>
      <c r="N164" s="290">
        <f t="shared" si="95"/>
        <v>0.50322624434389129</v>
      </c>
      <c r="O164" s="290">
        <f t="shared" si="95"/>
        <v>0.4763438914027151</v>
      </c>
      <c r="P164" s="290">
        <f t="shared" si="95"/>
        <v>3.5384615384615674E-2</v>
      </c>
      <c r="Q164" s="290">
        <f t="shared" si="95"/>
        <v>0.81250678733031678</v>
      </c>
      <c r="R164" s="290">
        <f t="shared" si="95"/>
        <v>-0.64316289592760201</v>
      </c>
      <c r="S164" s="290">
        <f t="shared" si="95"/>
        <v>0.27280090497737541</v>
      </c>
      <c r="T164" s="290">
        <f t="shared" si="95"/>
        <v>0.34907692307692301</v>
      </c>
      <c r="U164" s="290">
        <f t="shared" si="95"/>
        <v>-0.10009954751131214</v>
      </c>
      <c r="V164" s="290">
        <f t="shared" si="95"/>
        <v>0.23049321266968326</v>
      </c>
      <c r="W164" s="290">
        <f t="shared" si="95"/>
        <v>0.13890497737556537</v>
      </c>
      <c r="X164" s="290">
        <f t="shared" si="95"/>
        <v>0.37932579185520354</v>
      </c>
      <c r="Y164" s="290">
        <f t="shared" si="95"/>
        <v>-7.0570135746606338E-2</v>
      </c>
      <c r="Z164" s="290">
        <f t="shared" si="95"/>
        <v>0.91208406787330343</v>
      </c>
      <c r="AA164" s="253">
        <f t="shared" si="96"/>
        <v>0.75478316468517992</v>
      </c>
      <c r="AB164" s="253">
        <f t="shared" si="96"/>
        <v>2.4331264387029106</v>
      </c>
      <c r="AC164" s="253">
        <f t="shared" si="96"/>
        <v>3.3172906475976833</v>
      </c>
      <c r="AD164" s="253">
        <f t="shared" si="96"/>
        <v>2.281519114610028</v>
      </c>
      <c r="AE164" s="253">
        <f t="shared" si="96"/>
        <v>2.2222858198061006</v>
      </c>
    </row>
    <row r="165" spans="1:31">
      <c r="A165" s="240" t="s">
        <v>231</v>
      </c>
      <c r="B165" s="290">
        <f t="shared" si="95"/>
        <v>1.1226048323328264</v>
      </c>
      <c r="C165" s="290">
        <f t="shared" si="95"/>
        <v>0.68020512820512824</v>
      </c>
      <c r="D165" s="290">
        <f t="shared" si="95"/>
        <v>-0.82426244343891419</v>
      </c>
      <c r="E165" s="290">
        <f t="shared" si="95"/>
        <v>-0.16209954751131231</v>
      </c>
      <c r="F165" s="290">
        <f t="shared" si="95"/>
        <v>-7.9986425339366535E-2</v>
      </c>
      <c r="G165" s="290">
        <f t="shared" si="95"/>
        <v>-4.4104072398190003E-2</v>
      </c>
      <c r="H165" s="290">
        <f t="shared" si="95"/>
        <v>0.28306787330316718</v>
      </c>
      <c r="I165" s="290">
        <f t="shared" si="95"/>
        <v>-0.20328506787330344</v>
      </c>
      <c r="J165" s="290">
        <f t="shared" si="95"/>
        <v>0.95336199095022622</v>
      </c>
      <c r="K165" s="290">
        <f t="shared" si="95"/>
        <v>0.46365610859728507</v>
      </c>
      <c r="L165" s="290">
        <f t="shared" si="95"/>
        <v>1.5409317647058824</v>
      </c>
      <c r="M165" s="290">
        <f t="shared" si="95"/>
        <v>0.12449601809954775</v>
      </c>
      <c r="N165" s="290">
        <f t="shared" si="95"/>
        <v>0.46055656108597232</v>
      </c>
      <c r="O165" s="290">
        <f t="shared" si="95"/>
        <v>0.53107239819004537</v>
      </c>
      <c r="P165" s="290">
        <f t="shared" si="95"/>
        <v>0.59835746606334839</v>
      </c>
      <c r="Q165" s="290">
        <f t="shared" si="95"/>
        <v>0.11936651583710438</v>
      </c>
      <c r="R165" s="290">
        <f t="shared" si="95"/>
        <v>0.43755203619909533</v>
      </c>
      <c r="S165" s="290">
        <f t="shared" si="95"/>
        <v>2.5158371040723854E-2</v>
      </c>
      <c r="T165" s="290">
        <f t="shared" si="95"/>
        <v>0.53351131221719428</v>
      </c>
      <c r="U165" s="290">
        <f t="shared" si="95"/>
        <v>1.4998687782805438</v>
      </c>
      <c r="V165" s="290">
        <f t="shared" si="95"/>
        <v>0.54174660633484151</v>
      </c>
      <c r="W165" s="290">
        <f t="shared" si="95"/>
        <v>1.1078009049773754</v>
      </c>
      <c r="X165" s="290">
        <f t="shared" si="95"/>
        <v>0.19581900452488674</v>
      </c>
      <c r="Y165" s="290">
        <f t="shared" si="95"/>
        <v>8.1656108597285115E-2</v>
      </c>
      <c r="Z165" s="290">
        <f t="shared" si="95"/>
        <v>0.39206970588235335</v>
      </c>
      <c r="AA165" s="253">
        <f t="shared" si="96"/>
        <v>4.4851286139507192</v>
      </c>
      <c r="AB165" s="253">
        <f t="shared" si="96"/>
        <v>2.9499599893510284</v>
      </c>
      <c r="AC165" s="253">
        <f t="shared" si="96"/>
        <v>4.1883083654407312</v>
      </c>
      <c r="AD165" s="253">
        <f t="shared" si="96"/>
        <v>3.026296213703684</v>
      </c>
      <c r="AE165" s="253">
        <f t="shared" si="96"/>
        <v>3.3516297418060028</v>
      </c>
    </row>
    <row r="166" spans="1:31">
      <c r="A166" s="240" t="s">
        <v>232</v>
      </c>
      <c r="B166" s="290">
        <f t="shared" si="95"/>
        <v>1.3634030794523302</v>
      </c>
      <c r="C166" s="290">
        <f t="shared" si="95"/>
        <v>1.0035128205128203</v>
      </c>
      <c r="D166" s="290">
        <f t="shared" si="95"/>
        <v>0.69856561085972879</v>
      </c>
      <c r="E166" s="290">
        <f t="shared" si="95"/>
        <v>-6.8018099547511299E-2</v>
      </c>
      <c r="F166" s="290">
        <f t="shared" si="95"/>
        <v>0.88631674208144828</v>
      </c>
      <c r="G166" s="290">
        <f t="shared" si="95"/>
        <v>0.25107239819004512</v>
      </c>
      <c r="H166" s="290">
        <f t="shared" si="95"/>
        <v>9.5760180995474967E-2</v>
      </c>
      <c r="I166" s="290">
        <f t="shared" si="95"/>
        <v>2.9342398190045245</v>
      </c>
      <c r="J166" s="290">
        <f t="shared" si="95"/>
        <v>-0.48985520361990953</v>
      </c>
      <c r="K166" s="290">
        <f t="shared" si="95"/>
        <v>0.99917135746606334</v>
      </c>
      <c r="L166" s="290">
        <f t="shared" si="95"/>
        <v>1.3380684162895928</v>
      </c>
      <c r="M166" s="290">
        <f t="shared" si="95"/>
        <v>0.60590497737556581</v>
      </c>
      <c r="N166" s="290">
        <f t="shared" si="95"/>
        <v>0.68157013574660619</v>
      </c>
      <c r="O166" s="290">
        <f t="shared" si="95"/>
        <v>0.89683257918552062</v>
      </c>
      <c r="P166" s="290">
        <f t="shared" si="95"/>
        <v>0.89382805429864254</v>
      </c>
      <c r="Q166" s="290">
        <f t="shared" si="95"/>
        <v>0.1492262443438914</v>
      </c>
      <c r="R166" s="290">
        <f t="shared" si="95"/>
        <v>0.24212669683257898</v>
      </c>
      <c r="S166" s="290">
        <f t="shared" si="95"/>
        <v>0.21871040723981897</v>
      </c>
      <c r="T166" s="290">
        <f t="shared" si="95"/>
        <v>0.21972850678733011</v>
      </c>
      <c r="U166" s="290">
        <f t="shared" si="95"/>
        <v>0.35449773755656128</v>
      </c>
      <c r="V166" s="290">
        <f t="shared" si="95"/>
        <v>0.28743438914027147</v>
      </c>
      <c r="W166" s="290">
        <f t="shared" si="95"/>
        <v>-1.1422850678733034</v>
      </c>
      <c r="X166" s="290">
        <f t="shared" si="95"/>
        <v>-3.471493212669699E-2</v>
      </c>
      <c r="Y166" s="290">
        <f t="shared" si="95"/>
        <v>0.43627149321266984</v>
      </c>
      <c r="Z166" s="253">
        <f t="shared" si="96"/>
        <v>-2.463197142857148</v>
      </c>
      <c r="AA166" s="253">
        <f t="shared" si="96"/>
        <v>-0.37085622672949192</v>
      </c>
      <c r="AB166" s="253">
        <f t="shared" si="96"/>
        <v>-0.1489976708559424</v>
      </c>
      <c r="AC166" s="253">
        <f t="shared" si="96"/>
        <v>-5.1921507362431521E-2</v>
      </c>
      <c r="AD166" s="253">
        <f t="shared" si="96"/>
        <v>-0.34482847663426219</v>
      </c>
      <c r="AE166" s="253">
        <f t="shared" si="96"/>
        <v>0.12115110319321665</v>
      </c>
    </row>
    <row r="167" spans="1:31">
      <c r="A167" s="240" t="s">
        <v>233</v>
      </c>
      <c r="B167" s="290">
        <f t="shared" si="95"/>
        <v>0.9802041567812162</v>
      </c>
      <c r="C167" s="290">
        <f t="shared" si="95"/>
        <v>0.97143589743589731</v>
      </c>
      <c r="D167" s="290">
        <f t="shared" si="95"/>
        <v>-0.43940180995475109</v>
      </c>
      <c r="E167" s="290">
        <f t="shared" si="95"/>
        <v>0.19854333936651589</v>
      </c>
      <c r="F167" s="290">
        <f t="shared" si="95"/>
        <v>-0.25957466063348428</v>
      </c>
      <c r="G167" s="290">
        <f t="shared" si="95"/>
        <v>0.20789140271493206</v>
      </c>
      <c r="H167" s="290">
        <f t="shared" si="95"/>
        <v>0.51609954751131204</v>
      </c>
      <c r="I167" s="290">
        <f t="shared" si="95"/>
        <v>-0.33838914027149342</v>
      </c>
      <c r="J167" s="290">
        <f t="shared" si="95"/>
        <v>2.1959547511312252E-2</v>
      </c>
      <c r="K167" s="290">
        <f t="shared" si="95"/>
        <v>0.76577828054298647</v>
      </c>
      <c r="L167" s="290">
        <f t="shared" si="95"/>
        <v>-2.2814479638009061E-2</v>
      </c>
      <c r="M167" s="290">
        <f t="shared" si="95"/>
        <v>0.46536651583710398</v>
      </c>
      <c r="N167" s="290">
        <f t="shared" si="95"/>
        <v>-0.46185067873303176</v>
      </c>
      <c r="O167" s="290">
        <f t="shared" si="95"/>
        <v>-0.72724434389140302</v>
      </c>
      <c r="P167" s="290">
        <f t="shared" si="95"/>
        <v>-1.1066425339366517</v>
      </c>
      <c r="Q167" s="290">
        <f t="shared" si="95"/>
        <v>1.0016018099547512</v>
      </c>
      <c r="R167" s="290">
        <f t="shared" si="95"/>
        <v>0.1894117647058825</v>
      </c>
      <c r="S167" s="290">
        <f t="shared" si="95"/>
        <v>7.039819004524861E-2</v>
      </c>
      <c r="T167" s="290">
        <f t="shared" si="95"/>
        <v>1.3081447963800855E-2</v>
      </c>
      <c r="U167" s="290">
        <f t="shared" si="95"/>
        <v>0.2099230769230771</v>
      </c>
      <c r="V167" s="290">
        <f t="shared" si="95"/>
        <v>6.5085972850678797E-2</v>
      </c>
      <c r="W167" s="290">
        <f t="shared" si="95"/>
        <v>1.3023212669683257</v>
      </c>
      <c r="X167" s="290">
        <f t="shared" si="95"/>
        <v>0.33756108597285051</v>
      </c>
      <c r="Y167" s="290">
        <f t="shared" si="95"/>
        <v>0.24900904977375588</v>
      </c>
      <c r="Z167" s="253">
        <f t="shared" si="96"/>
        <v>1.5425914285714304</v>
      </c>
      <c r="AA167" s="253">
        <f t="shared" si="96"/>
        <v>2.3825639716380702</v>
      </c>
      <c r="AB167" s="253">
        <f t="shared" si="96"/>
        <v>3.9288203696271959</v>
      </c>
      <c r="AC167" s="253">
        <f t="shared" si="96"/>
        <v>3.1900028782785435</v>
      </c>
      <c r="AD167" s="253">
        <f t="shared" si="96"/>
        <v>2.7079035760256915</v>
      </c>
      <c r="AE167" s="253">
        <f t="shared" si="96"/>
        <v>3.6042923709065295</v>
      </c>
    </row>
    <row r="168" spans="1:31">
      <c r="A168" s="240" t="s">
        <v>234</v>
      </c>
      <c r="B168" s="290">
        <f t="shared" si="95"/>
        <v>1.2518873508236308</v>
      </c>
      <c r="C168" s="290">
        <f t="shared" si="95"/>
        <v>0.5634358974358975</v>
      </c>
      <c r="D168" s="290">
        <f t="shared" si="95"/>
        <v>0.81605429864253409</v>
      </c>
      <c r="E168" s="290">
        <f t="shared" si="95"/>
        <v>0.12038461538461533</v>
      </c>
      <c r="F168" s="290">
        <f t="shared" si="95"/>
        <v>0.19156561085972851</v>
      </c>
      <c r="G168" s="290">
        <f t="shared" si="95"/>
        <v>1.8886877828054316E-2</v>
      </c>
      <c r="H168" s="290">
        <f t="shared" si="95"/>
        <v>0.76834389140271453</v>
      </c>
      <c r="I168" s="290">
        <f t="shared" si="95"/>
        <v>-0.1859592760180997</v>
      </c>
      <c r="J168" s="290">
        <f t="shared" si="95"/>
        <v>-1.0486968325791859</v>
      </c>
      <c r="K168" s="290">
        <f t="shared" si="95"/>
        <v>1.9255972850678735</v>
      </c>
      <c r="L168" s="290">
        <f t="shared" si="95"/>
        <v>0.9327187330316743</v>
      </c>
      <c r="M168" s="290">
        <f t="shared" si="95"/>
        <v>-0.23434769230769242</v>
      </c>
      <c r="N168" s="290">
        <f t="shared" si="95"/>
        <v>0.36642533936651556</v>
      </c>
      <c r="O168" s="290">
        <f t="shared" si="95"/>
        <v>-0.55273303167420895</v>
      </c>
      <c r="P168" s="290">
        <f t="shared" si="95"/>
        <v>0.7590904977375561</v>
      </c>
      <c r="Q168" s="290">
        <f t="shared" si="95"/>
        <v>5.1868778280542371E-2</v>
      </c>
      <c r="R168" s="290">
        <f t="shared" si="95"/>
        <v>0.70111764705882362</v>
      </c>
      <c r="S168" s="290">
        <f t="shared" si="95"/>
        <v>0.48229864253393662</v>
      </c>
      <c r="T168" s="290">
        <f t="shared" si="95"/>
        <v>8.8506787330315251E-3</v>
      </c>
      <c r="U168" s="290">
        <f t="shared" si="95"/>
        <v>0.47208144796380092</v>
      </c>
      <c r="V168" s="290">
        <f t="shared" si="95"/>
        <v>0.28088687782805433</v>
      </c>
      <c r="W168" s="290">
        <f t="shared" si="95"/>
        <v>-0.18869683257918568</v>
      </c>
      <c r="X168" s="290">
        <f t="shared" si="95"/>
        <v>0.29956108597285058</v>
      </c>
      <c r="Y168" s="290">
        <f t="shared" si="95"/>
        <v>0.37339819004524882</v>
      </c>
      <c r="Z168" s="253">
        <f t="shared" si="96"/>
        <v>-0.55733714285714497</v>
      </c>
      <c r="AA168" s="253">
        <f t="shared" si="96"/>
        <v>0.86660033672012449</v>
      </c>
      <c r="AB168" s="253">
        <f t="shared" si="96"/>
        <v>1.0022030345680404</v>
      </c>
      <c r="AC168" s="253">
        <f t="shared" si="96"/>
        <v>1.7068190299405364</v>
      </c>
      <c r="AD168" s="253">
        <f t="shared" si="96"/>
        <v>1.6028686199070694</v>
      </c>
      <c r="AE168" s="253">
        <f t="shared" si="96"/>
        <v>1.6118428872418826</v>
      </c>
    </row>
    <row r="169" spans="1:31">
      <c r="A169" s="240" t="s">
        <v>46</v>
      </c>
      <c r="B169" s="290">
        <f t="shared" ref="B169:Y171" si="97">B184+B105+C128-B153-B185</f>
        <v>1.230034945085839</v>
      </c>
      <c r="C169" s="290">
        <f t="shared" si="97"/>
        <v>0.87780512820512813</v>
      </c>
      <c r="D169" s="290">
        <f t="shared" si="97"/>
        <v>-0.85829866515837094</v>
      </c>
      <c r="E169" s="290">
        <f t="shared" si="97"/>
        <v>2.0316742081447847E-2</v>
      </c>
      <c r="F169" s="290">
        <f t="shared" si="97"/>
        <v>-0.24228506787330334</v>
      </c>
      <c r="G169" s="290">
        <f t="shared" si="97"/>
        <v>-3.4162895927603854E-3</v>
      </c>
      <c r="H169" s="290">
        <f t="shared" si="97"/>
        <v>0.25787330316742063</v>
      </c>
      <c r="I169" s="290">
        <f t="shared" si="97"/>
        <v>-1.0296561085972855</v>
      </c>
      <c r="J169" s="290">
        <f t="shared" si="97"/>
        <v>1.7722805429864255</v>
      </c>
      <c r="K169" s="290">
        <f t="shared" si="97"/>
        <v>0.43344434389140285</v>
      </c>
      <c r="L169" s="290">
        <f t="shared" si="97"/>
        <v>0.57001882352941169</v>
      </c>
      <c r="M169" s="290">
        <f t="shared" si="97"/>
        <v>-0.74233484162895902</v>
      </c>
      <c r="N169" s="290">
        <f t="shared" si="97"/>
        <v>-0.68867873303167426</v>
      </c>
      <c r="O169" s="290">
        <f t="shared" si="97"/>
        <v>2.8155384615384613</v>
      </c>
      <c r="P169" s="290">
        <f t="shared" si="97"/>
        <v>0.40200904977375601</v>
      </c>
      <c r="Q169" s="290">
        <f t="shared" si="97"/>
        <v>-0.27641628959276066</v>
      </c>
      <c r="R169" s="290">
        <f t="shared" si="97"/>
        <v>0.87049321266968338</v>
      </c>
      <c r="S169" s="290">
        <f t="shared" si="97"/>
        <v>0.21122171945701329</v>
      </c>
      <c r="T169" s="290">
        <f t="shared" si="97"/>
        <v>8.964253393665142E-2</v>
      </c>
      <c r="U169" s="290">
        <f t="shared" si="97"/>
        <v>0.22816289592760197</v>
      </c>
      <c r="V169" s="290">
        <f t="shared" si="97"/>
        <v>8.8506787330316902E-2</v>
      </c>
      <c r="W169" s="290">
        <f t="shared" si="97"/>
        <v>0.36050678733031649</v>
      </c>
      <c r="X169" s="290">
        <f t="shared" si="97"/>
        <v>0.36841628959276018</v>
      </c>
      <c r="Y169" s="290">
        <f t="shared" si="97"/>
        <v>1.5375565610859735E-2</v>
      </c>
      <c r="Z169" s="253">
        <f t="shared" si="96"/>
        <v>0.93008857142857249</v>
      </c>
      <c r="AA169" s="253">
        <f t="shared" si="96"/>
        <v>2.4450104369410322</v>
      </c>
      <c r="AB169" s="253">
        <f t="shared" si="96"/>
        <v>2.3846287000667616</v>
      </c>
      <c r="AC169" s="253">
        <f t="shared" si="96"/>
        <v>2.521311922527838</v>
      </c>
      <c r="AD169" s="253">
        <f t="shared" si="96"/>
        <v>2.9930740066276496</v>
      </c>
      <c r="AE169" s="253">
        <f t="shared" si="96"/>
        <v>2.862360931602733</v>
      </c>
    </row>
    <row r="170" spans="1:31">
      <c r="A170" s="240" t="s">
        <v>235</v>
      </c>
      <c r="B170" s="290">
        <f t="shared" si="97"/>
        <v>1.0298675921148319</v>
      </c>
      <c r="C170" s="290">
        <f t="shared" si="97"/>
        <v>0.88166666666666671</v>
      </c>
      <c r="D170" s="290">
        <f t="shared" si="97"/>
        <v>-0.8556018099547511</v>
      </c>
      <c r="E170" s="290">
        <f t="shared" si="97"/>
        <v>0.14746153846153839</v>
      </c>
      <c r="F170" s="290">
        <f t="shared" si="97"/>
        <v>-0.21926244343891402</v>
      </c>
      <c r="G170" s="290">
        <f t="shared" si="97"/>
        <v>-0.48384162895927613</v>
      </c>
      <c r="H170" s="290">
        <f t="shared" si="97"/>
        <v>-0.1988868778280547</v>
      </c>
      <c r="I170" s="290">
        <f t="shared" si="97"/>
        <v>0.91100452488687766</v>
      </c>
      <c r="J170" s="290">
        <f t="shared" si="97"/>
        <v>0.70261990950226227</v>
      </c>
      <c r="K170" s="290">
        <f t="shared" si="97"/>
        <v>0.67394117647058838</v>
      </c>
      <c r="L170" s="290">
        <f t="shared" si="97"/>
        <v>0.10748262443438911</v>
      </c>
      <c r="M170" s="290">
        <f t="shared" si="97"/>
        <v>0.15442986425339372</v>
      </c>
      <c r="N170" s="290">
        <f t="shared" si="97"/>
        <v>0.17211764705882365</v>
      </c>
      <c r="O170" s="290">
        <f t="shared" si="97"/>
        <v>0.24381900452488664</v>
      </c>
      <c r="P170" s="290">
        <f t="shared" si="97"/>
        <v>-0.79327149321266954</v>
      </c>
      <c r="Q170" s="290">
        <f t="shared" si="97"/>
        <v>0.19069230769230774</v>
      </c>
      <c r="R170" s="290">
        <f t="shared" si="97"/>
        <v>1.1698642533936652</v>
      </c>
      <c r="S170" s="290">
        <f t="shared" si="97"/>
        <v>0.669285067873303</v>
      </c>
      <c r="T170" s="290">
        <f t="shared" si="97"/>
        <v>-0.24890045248868811</v>
      </c>
      <c r="U170" s="290">
        <f t="shared" si="97"/>
        <v>-8.3877828054298414E-2</v>
      </c>
      <c r="V170" s="290">
        <f t="shared" si="97"/>
        <v>8.478733031674214E-2</v>
      </c>
      <c r="W170" s="290">
        <f t="shared" si="97"/>
        <v>0.57332126696832586</v>
      </c>
      <c r="X170" s="290">
        <f t="shared" si="97"/>
        <v>-0.16298642533936653</v>
      </c>
      <c r="Y170" s="290">
        <f t="shared" si="97"/>
        <v>0.30180030316742062</v>
      </c>
      <c r="Z170" s="253">
        <f>Z185+Z106+Z138-Z154-Z186</f>
        <v>0.23566857142857126</v>
      </c>
      <c r="AA170" s="253">
        <f t="shared" si="96"/>
        <v>2.5095755667027353</v>
      </c>
      <c r="AB170" s="253">
        <f t="shared" si="96"/>
        <v>1.6313136585813135</v>
      </c>
      <c r="AC170" s="253">
        <f t="shared" si="96"/>
        <v>2.9358321568377277</v>
      </c>
      <c r="AD170" s="253">
        <f t="shared" si="96"/>
        <v>2.7199773917978369</v>
      </c>
      <c r="AE170" s="253">
        <f t="shared" si="96"/>
        <v>2.8688766492265438</v>
      </c>
    </row>
    <row r="171" spans="1:31">
      <c r="A171" s="240" t="s">
        <v>236</v>
      </c>
      <c r="B171" s="290">
        <f t="shared" si="97"/>
        <v>1.0694995807166872</v>
      </c>
      <c r="C171" s="290">
        <f t="shared" si="97"/>
        <v>1.0344358974358974</v>
      </c>
      <c r="D171" s="290">
        <f t="shared" si="97"/>
        <v>-0.24763348416289585</v>
      </c>
      <c r="E171" s="290">
        <f t="shared" si="97"/>
        <v>0.11480090497737561</v>
      </c>
      <c r="F171" s="290">
        <f t="shared" si="97"/>
        <v>-0.19063348416289613</v>
      </c>
      <c r="G171" s="290">
        <f t="shared" si="97"/>
        <v>0.24352488687782806</v>
      </c>
      <c r="H171" s="290">
        <f t="shared" si="97"/>
        <v>0.69078280542986403</v>
      </c>
      <c r="I171" s="290">
        <f t="shared" si="97"/>
        <v>0.78329411764705859</v>
      </c>
      <c r="J171" s="290">
        <f t="shared" si="97"/>
        <v>0.89889140271493206</v>
      </c>
      <c r="K171" s="290">
        <f t="shared" si="97"/>
        <v>0.20137104072398196</v>
      </c>
      <c r="L171" s="290">
        <f t="shared" si="97"/>
        <v>0.850515746606335</v>
      </c>
      <c r="M171" s="290">
        <f t="shared" si="97"/>
        <v>0.46962950226244315</v>
      </c>
      <c r="N171" s="290">
        <f t="shared" si="97"/>
        <v>-0.48023529411764748</v>
      </c>
      <c r="O171" s="290">
        <f t="shared" si="97"/>
        <v>-0.24082352941176466</v>
      </c>
      <c r="P171" s="290">
        <f t="shared" si="97"/>
        <v>-4.5995475113121964E-2</v>
      </c>
      <c r="Q171" s="290">
        <f t="shared" si="97"/>
        <v>-0.40060633484162878</v>
      </c>
      <c r="R171" s="290">
        <f t="shared" si="97"/>
        <v>1.300511312217195</v>
      </c>
      <c r="S171" s="290">
        <f t="shared" si="97"/>
        <v>0.25849321266968306</v>
      </c>
      <c r="T171" s="290">
        <f t="shared" si="97"/>
        <v>0.3146742081447963</v>
      </c>
      <c r="U171" s="290">
        <f t="shared" si="97"/>
        <v>-0.22657918552036177</v>
      </c>
      <c r="V171" s="290">
        <f t="shared" si="97"/>
        <v>7.2995475113122238E-2</v>
      </c>
      <c r="W171" s="290">
        <f t="shared" si="97"/>
        <v>0.39503167420814472</v>
      </c>
      <c r="X171" s="290">
        <f t="shared" si="97"/>
        <v>-5.4162895927602484E-3</v>
      </c>
      <c r="Y171" s="290">
        <f t="shared" si="97"/>
        <v>0.10862455203619904</v>
      </c>
      <c r="Z171" s="253">
        <f>Z186+Z107+Z139-Z155-Z187</f>
        <v>1.5005637504848124</v>
      </c>
      <c r="AA171" s="253">
        <f t="shared" si="96"/>
        <v>2.132275107947494</v>
      </c>
      <c r="AB171" s="253">
        <f t="shared" si="96"/>
        <v>2.5215706877850286</v>
      </c>
      <c r="AC171" s="253">
        <f t="shared" si="96"/>
        <v>1.9683711130551367</v>
      </c>
      <c r="AD171" s="253">
        <f t="shared" si="96"/>
        <v>-1.5826708539869174</v>
      </c>
      <c r="AE171" s="253">
        <f t="shared" si="96"/>
        <v>2.808648041066288</v>
      </c>
    </row>
    <row r="172" spans="1:31" ht="15.75" thickBot="1">
      <c r="A172" s="240" t="s">
        <v>242</v>
      </c>
      <c r="B172" s="146">
        <f>SUM(B160:B171)</f>
        <v>12.259352646925374</v>
      </c>
      <c r="C172" s="146">
        <f t="shared" ref="C172:AE172" si="98">SUM(C160:C171)</f>
        <v>10.882203602192639</v>
      </c>
      <c r="D172" s="146">
        <f t="shared" si="98"/>
        <v>-0.24712309954751041</v>
      </c>
      <c r="E172" s="146">
        <f t="shared" si="98"/>
        <v>1.4344799909502259</v>
      </c>
      <c r="F172" s="146">
        <f t="shared" si="98"/>
        <v>5.4639095022624442</v>
      </c>
      <c r="G172" s="146">
        <f t="shared" si="98"/>
        <v>1.1259502262443433</v>
      </c>
      <c r="H172" s="146">
        <f t="shared" si="98"/>
        <v>1.8556018099547487</v>
      </c>
      <c r="I172" s="146">
        <f t="shared" si="98"/>
        <v>4.4666018099547493</v>
      </c>
      <c r="J172" s="146">
        <f t="shared" si="98"/>
        <v>2.0520455203619896</v>
      </c>
      <c r="K172" s="146">
        <f t="shared" si="98"/>
        <v>4.4122808597285079</v>
      </c>
      <c r="L172" s="146">
        <f t="shared" si="98"/>
        <v>9.934039547511313</v>
      </c>
      <c r="M172" s="146">
        <f t="shared" si="98"/>
        <v>5.9446841628959284</v>
      </c>
      <c r="N172" s="146">
        <f t="shared" si="98"/>
        <v>2.0518009049773731</v>
      </c>
      <c r="O172" s="146">
        <f t="shared" si="98"/>
        <v>4.1080135746606308</v>
      </c>
      <c r="P172" s="146">
        <f t="shared" si="98"/>
        <v>-1.5730904977375564</v>
      </c>
      <c r="Q172" s="146">
        <f t="shared" si="98"/>
        <v>2.4446606334841632</v>
      </c>
      <c r="R172" s="146">
        <f t="shared" si="98"/>
        <v>2.3568461538461545</v>
      </c>
      <c r="S172" s="146">
        <f t="shared" si="98"/>
        <v>1.7845294117647037</v>
      </c>
      <c r="T172" s="146">
        <f t="shared" si="98"/>
        <v>2.1559728506787312</v>
      </c>
      <c r="U172" s="146">
        <f t="shared" si="98"/>
        <v>2.2735203619909528</v>
      </c>
      <c r="V172" s="146">
        <f t="shared" si="98"/>
        <v>1.4751719457013577</v>
      </c>
      <c r="W172" s="146">
        <f t="shared" si="98"/>
        <v>2.471384615384614</v>
      </c>
      <c r="X172" s="146">
        <f t="shared" si="98"/>
        <v>2.2285791855203612</v>
      </c>
      <c r="Y172" s="146">
        <f t="shared" si="98"/>
        <v>-2.1204104072398242E-2</v>
      </c>
      <c r="Z172" s="253">
        <f t="shared" si="98"/>
        <v>3.6739999999999995</v>
      </c>
      <c r="AA172" s="253">
        <f t="shared" si="98"/>
        <v>12.952</v>
      </c>
      <c r="AB172" s="253">
        <f t="shared" si="98"/>
        <v>22.047000000000001</v>
      </c>
      <c r="AC172" s="253">
        <f t="shared" si="98"/>
        <v>24.542999999999996</v>
      </c>
      <c r="AD172" s="253">
        <f t="shared" si="98"/>
        <v>22.025999999999993</v>
      </c>
      <c r="AE172" s="253">
        <f t="shared" si="98"/>
        <v>21.026000000000003</v>
      </c>
    </row>
    <row r="173" spans="1:31">
      <c r="A173" s="248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</row>
    <row r="174" spans="1:31" ht="15.75" thickBot="1">
      <c r="A174" s="235" t="s">
        <v>259</v>
      </c>
      <c r="Y174" s="146"/>
    </row>
    <row r="175" spans="1:31" ht="15.75" thickBot="1">
      <c r="A175" s="236"/>
      <c r="B175" s="237" t="str">
        <f>B$2</f>
        <v xml:space="preserve">93/94 </v>
      </c>
      <c r="C175" s="237" t="str">
        <f t="shared" ref="C175:AE175" si="99">C$2</f>
        <v xml:space="preserve">94/95 </v>
      </c>
      <c r="D175" s="237" t="str">
        <f t="shared" si="99"/>
        <v xml:space="preserve">95/96 </v>
      </c>
      <c r="E175" s="237" t="str">
        <f t="shared" si="99"/>
        <v xml:space="preserve">96/97 </v>
      </c>
      <c r="F175" s="237" t="str">
        <f t="shared" si="99"/>
        <v xml:space="preserve">97/98 </v>
      </c>
      <c r="G175" s="237" t="str">
        <f t="shared" si="99"/>
        <v xml:space="preserve">98/99 </v>
      </c>
      <c r="H175" s="237" t="str">
        <f t="shared" si="99"/>
        <v xml:space="preserve">99/00 </v>
      </c>
      <c r="I175" s="237" t="str">
        <f t="shared" si="99"/>
        <v xml:space="preserve">00/01 </v>
      </c>
      <c r="J175" s="237" t="str">
        <f t="shared" si="99"/>
        <v xml:space="preserve">01/02 </v>
      </c>
      <c r="K175" s="237" t="str">
        <f t="shared" si="99"/>
        <v xml:space="preserve">02/03 </v>
      </c>
      <c r="L175" s="237" t="str">
        <f t="shared" si="99"/>
        <v xml:space="preserve">03/04 </v>
      </c>
      <c r="M175" s="237" t="str">
        <f t="shared" si="99"/>
        <v xml:space="preserve">04/05 </v>
      </c>
      <c r="N175" s="237" t="str">
        <f t="shared" si="99"/>
        <v xml:space="preserve">05/06 </v>
      </c>
      <c r="O175" s="237" t="str">
        <f t="shared" si="99"/>
        <v xml:space="preserve">06/07 </v>
      </c>
      <c r="P175" s="237" t="str">
        <f t="shared" si="99"/>
        <v xml:space="preserve">07/08 </v>
      </c>
      <c r="Q175" s="237" t="str">
        <f t="shared" si="99"/>
        <v xml:space="preserve">08/09 </v>
      </c>
      <c r="R175" s="237" t="str">
        <f t="shared" si="99"/>
        <v xml:space="preserve">09/10 </v>
      </c>
      <c r="S175" s="237" t="str">
        <f t="shared" si="99"/>
        <v xml:space="preserve">10/11 </v>
      </c>
      <c r="T175" s="237" t="str">
        <f t="shared" si="99"/>
        <v xml:space="preserve">11/12 </v>
      </c>
      <c r="U175" s="237" t="str">
        <f t="shared" si="99"/>
        <v xml:space="preserve">12/13 </v>
      </c>
      <c r="V175" s="237" t="str">
        <f t="shared" si="99"/>
        <v xml:space="preserve">13/14 </v>
      </c>
      <c r="W175" s="237" t="str">
        <f t="shared" si="99"/>
        <v xml:space="preserve">14/15 </v>
      </c>
      <c r="X175" s="237" t="str">
        <f t="shared" si="99"/>
        <v xml:space="preserve">15/16 </v>
      </c>
      <c r="Y175" s="237" t="str">
        <f t="shared" si="99"/>
        <v xml:space="preserve">16/17 </v>
      </c>
      <c r="Z175" s="237" t="str">
        <f t="shared" si="99"/>
        <v xml:space="preserve">17/18 </v>
      </c>
      <c r="AA175" s="237" t="str">
        <f t="shared" si="99"/>
        <v xml:space="preserve">18/19 </v>
      </c>
      <c r="AB175" s="237" t="str">
        <f t="shared" si="99"/>
        <v xml:space="preserve">19/20 </v>
      </c>
      <c r="AC175" s="237" t="str">
        <f t="shared" si="99"/>
        <v xml:space="preserve">20/21 </v>
      </c>
      <c r="AD175" s="237" t="str">
        <f t="shared" si="99"/>
        <v>21/22</v>
      </c>
      <c r="AE175" s="237" t="str">
        <f t="shared" si="99"/>
        <v>22/23</v>
      </c>
    </row>
    <row r="176" spans="1:31">
      <c r="A176" s="240" t="s">
        <v>237</v>
      </c>
      <c r="B176" s="290">
        <f>(B$187-B$22)/13+B22</f>
        <v>0</v>
      </c>
      <c r="C176" s="290">
        <f>(C$187-B$187)/13+B187</f>
        <v>0</v>
      </c>
      <c r="D176" s="290">
        <f t="shared" ref="D176:AE176" si="100">(D$187-C$187)/13+C187</f>
        <v>0</v>
      </c>
      <c r="E176" s="290">
        <f t="shared" si="100"/>
        <v>0</v>
      </c>
      <c r="F176" s="290">
        <f t="shared" si="100"/>
        <v>0</v>
      </c>
      <c r="G176" s="290">
        <f t="shared" si="100"/>
        <v>0</v>
      </c>
      <c r="H176" s="290">
        <f t="shared" si="100"/>
        <v>0</v>
      </c>
      <c r="I176" s="290">
        <f t="shared" si="100"/>
        <v>0</v>
      </c>
      <c r="J176" s="290">
        <f t="shared" si="100"/>
        <v>0</v>
      </c>
      <c r="K176" s="290">
        <f t="shared" si="100"/>
        <v>0</v>
      </c>
      <c r="L176" s="290">
        <f t="shared" si="100"/>
        <v>0</v>
      </c>
      <c r="M176" s="290">
        <f t="shared" si="100"/>
        <v>0</v>
      </c>
      <c r="N176" s="290">
        <f t="shared" si="100"/>
        <v>0</v>
      </c>
      <c r="O176" s="290">
        <f t="shared" si="100"/>
        <v>0</v>
      </c>
      <c r="P176" s="290">
        <f t="shared" si="100"/>
        <v>0</v>
      </c>
      <c r="Q176" s="290">
        <f t="shared" si="100"/>
        <v>0</v>
      </c>
      <c r="R176" s="290">
        <f t="shared" si="100"/>
        <v>0</v>
      </c>
      <c r="S176" s="290">
        <f t="shared" si="100"/>
        <v>0</v>
      </c>
      <c r="T176" s="290">
        <f t="shared" si="100"/>
        <v>0</v>
      </c>
      <c r="U176" s="290">
        <f t="shared" si="100"/>
        <v>0</v>
      </c>
      <c r="V176" s="290">
        <f t="shared" si="100"/>
        <v>0</v>
      </c>
      <c r="W176" s="290">
        <f t="shared" si="100"/>
        <v>0</v>
      </c>
      <c r="X176" s="290">
        <f t="shared" si="100"/>
        <v>0</v>
      </c>
      <c r="Y176" s="290">
        <f t="shared" si="100"/>
        <v>0</v>
      </c>
      <c r="Z176" s="290">
        <f t="shared" si="100"/>
        <v>0</v>
      </c>
      <c r="AA176" s="252">
        <f t="shared" si="100"/>
        <v>0</v>
      </c>
      <c r="AB176" s="252">
        <f t="shared" si="100"/>
        <v>0</v>
      </c>
      <c r="AC176" s="252">
        <f t="shared" si="100"/>
        <v>0</v>
      </c>
      <c r="AD176" s="252">
        <f t="shared" si="100"/>
        <v>7.6923076923076927E-2</v>
      </c>
      <c r="AE176" s="252">
        <f t="shared" si="100"/>
        <v>1.0769230769230769</v>
      </c>
    </row>
    <row r="177" spans="1:31">
      <c r="A177" s="240" t="s">
        <v>238</v>
      </c>
      <c r="B177" s="290">
        <f>(B$187-B$22)/13+B176</f>
        <v>0</v>
      </c>
      <c r="C177" s="290">
        <f>(C$187-B$187)/13+C176</f>
        <v>0</v>
      </c>
      <c r="D177" s="290">
        <f t="shared" ref="D177:AE186" si="101">(D$187-C$187)/13+D176</f>
        <v>0</v>
      </c>
      <c r="E177" s="290">
        <f t="shared" si="101"/>
        <v>0</v>
      </c>
      <c r="F177" s="290">
        <f t="shared" si="101"/>
        <v>0</v>
      </c>
      <c r="G177" s="290">
        <f t="shared" si="101"/>
        <v>0</v>
      </c>
      <c r="H177" s="290">
        <f t="shared" si="101"/>
        <v>0</v>
      </c>
      <c r="I177" s="290">
        <f t="shared" si="101"/>
        <v>0</v>
      </c>
      <c r="J177" s="290">
        <f t="shared" si="101"/>
        <v>0</v>
      </c>
      <c r="K177" s="290">
        <f t="shared" si="101"/>
        <v>0</v>
      </c>
      <c r="L177" s="290">
        <f t="shared" si="101"/>
        <v>0</v>
      </c>
      <c r="M177" s="290">
        <f t="shared" si="101"/>
        <v>0</v>
      </c>
      <c r="N177" s="290">
        <f t="shared" si="101"/>
        <v>0</v>
      </c>
      <c r="O177" s="290">
        <f t="shared" si="101"/>
        <v>0</v>
      </c>
      <c r="P177" s="290">
        <f t="shared" si="101"/>
        <v>0</v>
      </c>
      <c r="Q177" s="290">
        <f t="shared" si="101"/>
        <v>0</v>
      </c>
      <c r="R177" s="290">
        <f t="shared" si="101"/>
        <v>0</v>
      </c>
      <c r="S177" s="290">
        <f t="shared" si="101"/>
        <v>0</v>
      </c>
      <c r="T177" s="290">
        <f t="shared" si="101"/>
        <v>0</v>
      </c>
      <c r="U177" s="290">
        <f t="shared" si="101"/>
        <v>0</v>
      </c>
      <c r="V177" s="290">
        <f t="shared" si="101"/>
        <v>0</v>
      </c>
      <c r="W177" s="290">
        <f t="shared" si="101"/>
        <v>0</v>
      </c>
      <c r="X177" s="290">
        <f t="shared" si="101"/>
        <v>0</v>
      </c>
      <c r="Y177" s="290">
        <f t="shared" si="101"/>
        <v>0</v>
      </c>
      <c r="Z177" s="290">
        <f t="shared" si="101"/>
        <v>0</v>
      </c>
      <c r="AA177" s="252">
        <f t="shared" si="101"/>
        <v>0</v>
      </c>
      <c r="AB177" s="252">
        <f t="shared" si="101"/>
        <v>0</v>
      </c>
      <c r="AC177" s="252">
        <f t="shared" si="101"/>
        <v>0</v>
      </c>
      <c r="AD177" s="252">
        <f t="shared" si="101"/>
        <v>0.15384615384615385</v>
      </c>
      <c r="AE177" s="252">
        <f t="shared" si="101"/>
        <v>1.1538461538461537</v>
      </c>
    </row>
    <row r="178" spans="1:31">
      <c r="A178" s="240" t="s">
        <v>239</v>
      </c>
      <c r="B178" s="290">
        <f t="shared" ref="B178:B186" si="102">(B$187-B$22)/13+B177</f>
        <v>0</v>
      </c>
      <c r="C178" s="290">
        <f t="shared" ref="C178:C186" si="103">(C$187-B$187)/13+C177</f>
        <v>0</v>
      </c>
      <c r="D178" s="290">
        <f t="shared" si="101"/>
        <v>0</v>
      </c>
      <c r="E178" s="290">
        <f t="shared" si="101"/>
        <v>0</v>
      </c>
      <c r="F178" s="290">
        <f t="shared" si="101"/>
        <v>0</v>
      </c>
      <c r="G178" s="290">
        <f t="shared" si="101"/>
        <v>0</v>
      </c>
      <c r="H178" s="290">
        <f t="shared" si="101"/>
        <v>0</v>
      </c>
      <c r="I178" s="290">
        <f t="shared" si="101"/>
        <v>0</v>
      </c>
      <c r="J178" s="290">
        <f t="shared" si="101"/>
        <v>0</v>
      </c>
      <c r="K178" s="290">
        <f t="shared" si="101"/>
        <v>0</v>
      </c>
      <c r="L178" s="290">
        <f t="shared" si="101"/>
        <v>0</v>
      </c>
      <c r="M178" s="290">
        <f t="shared" si="101"/>
        <v>0</v>
      </c>
      <c r="N178" s="290">
        <f t="shared" si="101"/>
        <v>0</v>
      </c>
      <c r="O178" s="290">
        <f t="shared" si="101"/>
        <v>0</v>
      </c>
      <c r="P178" s="290">
        <f t="shared" si="101"/>
        <v>0</v>
      </c>
      <c r="Q178" s="290">
        <f t="shared" si="101"/>
        <v>0</v>
      </c>
      <c r="R178" s="290">
        <f t="shared" si="101"/>
        <v>0</v>
      </c>
      <c r="S178" s="290">
        <f t="shared" si="101"/>
        <v>0</v>
      </c>
      <c r="T178" s="290">
        <f t="shared" si="101"/>
        <v>0</v>
      </c>
      <c r="U178" s="290">
        <f t="shared" si="101"/>
        <v>0</v>
      </c>
      <c r="V178" s="290">
        <f t="shared" si="101"/>
        <v>0</v>
      </c>
      <c r="W178" s="290">
        <f t="shared" si="101"/>
        <v>0</v>
      </c>
      <c r="X178" s="290">
        <f t="shared" si="101"/>
        <v>0</v>
      </c>
      <c r="Y178" s="290">
        <f t="shared" si="101"/>
        <v>0</v>
      </c>
      <c r="Z178" s="290">
        <f t="shared" si="101"/>
        <v>0</v>
      </c>
      <c r="AA178" s="252">
        <f t="shared" si="101"/>
        <v>0</v>
      </c>
      <c r="AB178" s="252">
        <f t="shared" si="101"/>
        <v>0</v>
      </c>
      <c r="AC178" s="252">
        <f t="shared" si="101"/>
        <v>0</v>
      </c>
      <c r="AD178" s="252">
        <f t="shared" si="101"/>
        <v>0.23076923076923078</v>
      </c>
      <c r="AE178" s="252">
        <f t="shared" si="101"/>
        <v>1.2307692307692306</v>
      </c>
    </row>
    <row r="179" spans="1:31">
      <c r="A179" s="240" t="s">
        <v>240</v>
      </c>
      <c r="B179" s="290">
        <f t="shared" si="102"/>
        <v>0</v>
      </c>
      <c r="C179" s="290">
        <f t="shared" si="103"/>
        <v>0</v>
      </c>
      <c r="D179" s="290">
        <f t="shared" si="101"/>
        <v>0</v>
      </c>
      <c r="E179" s="290">
        <f t="shared" si="101"/>
        <v>0</v>
      </c>
      <c r="F179" s="290">
        <f t="shared" si="101"/>
        <v>0</v>
      </c>
      <c r="G179" s="290">
        <f t="shared" si="101"/>
        <v>0</v>
      </c>
      <c r="H179" s="290">
        <f t="shared" si="101"/>
        <v>0</v>
      </c>
      <c r="I179" s="290">
        <f t="shared" si="101"/>
        <v>0</v>
      </c>
      <c r="J179" s="290">
        <f t="shared" si="101"/>
        <v>0</v>
      </c>
      <c r="K179" s="290">
        <f t="shared" si="101"/>
        <v>0</v>
      </c>
      <c r="L179" s="290">
        <f t="shared" si="101"/>
        <v>0</v>
      </c>
      <c r="M179" s="290">
        <f t="shared" si="101"/>
        <v>0</v>
      </c>
      <c r="N179" s="290">
        <f t="shared" si="101"/>
        <v>0</v>
      </c>
      <c r="O179" s="290">
        <f t="shared" si="101"/>
        <v>0</v>
      </c>
      <c r="P179" s="290">
        <f t="shared" si="101"/>
        <v>0</v>
      </c>
      <c r="Q179" s="290">
        <f t="shared" si="101"/>
        <v>0</v>
      </c>
      <c r="R179" s="290">
        <f t="shared" si="101"/>
        <v>0</v>
      </c>
      <c r="S179" s="290">
        <f t="shared" si="101"/>
        <v>0</v>
      </c>
      <c r="T179" s="290">
        <f t="shared" si="101"/>
        <v>0</v>
      </c>
      <c r="U179" s="290">
        <f t="shared" si="101"/>
        <v>0</v>
      </c>
      <c r="V179" s="290">
        <f t="shared" si="101"/>
        <v>0</v>
      </c>
      <c r="W179" s="290">
        <f t="shared" si="101"/>
        <v>0</v>
      </c>
      <c r="X179" s="290">
        <f t="shared" si="101"/>
        <v>0</v>
      </c>
      <c r="Y179" s="290">
        <f t="shared" si="101"/>
        <v>0</v>
      </c>
      <c r="Z179" s="290">
        <f t="shared" si="101"/>
        <v>0</v>
      </c>
      <c r="AA179" s="252">
        <f t="shared" si="101"/>
        <v>0</v>
      </c>
      <c r="AB179" s="252">
        <f t="shared" si="101"/>
        <v>0</v>
      </c>
      <c r="AC179" s="252">
        <f t="shared" si="101"/>
        <v>0</v>
      </c>
      <c r="AD179" s="252">
        <f t="shared" si="101"/>
        <v>0.30769230769230771</v>
      </c>
      <c r="AE179" s="252">
        <f t="shared" si="101"/>
        <v>1.3076923076923075</v>
      </c>
    </row>
    <row r="180" spans="1:31">
      <c r="A180" s="240" t="s">
        <v>241</v>
      </c>
      <c r="B180" s="290">
        <f t="shared" si="102"/>
        <v>0</v>
      </c>
      <c r="C180" s="290">
        <f t="shared" si="103"/>
        <v>0</v>
      </c>
      <c r="D180" s="290">
        <f t="shared" si="101"/>
        <v>0</v>
      </c>
      <c r="E180" s="290">
        <f t="shared" si="101"/>
        <v>0</v>
      </c>
      <c r="F180" s="290">
        <f t="shared" si="101"/>
        <v>0</v>
      </c>
      <c r="G180" s="290">
        <f t="shared" si="101"/>
        <v>0</v>
      </c>
      <c r="H180" s="290">
        <f t="shared" si="101"/>
        <v>0</v>
      </c>
      <c r="I180" s="290">
        <f t="shared" si="101"/>
        <v>0</v>
      </c>
      <c r="J180" s="290">
        <f t="shared" si="101"/>
        <v>0</v>
      </c>
      <c r="K180" s="290">
        <f t="shared" si="101"/>
        <v>0</v>
      </c>
      <c r="L180" s="290">
        <f t="shared" si="101"/>
        <v>0</v>
      </c>
      <c r="M180" s="290">
        <f t="shared" si="101"/>
        <v>0</v>
      </c>
      <c r="N180" s="290">
        <f t="shared" si="101"/>
        <v>0</v>
      </c>
      <c r="O180" s="290">
        <f t="shared" si="101"/>
        <v>0</v>
      </c>
      <c r="P180" s="290">
        <f t="shared" si="101"/>
        <v>0</v>
      </c>
      <c r="Q180" s="290">
        <f t="shared" si="101"/>
        <v>0</v>
      </c>
      <c r="R180" s="290">
        <f t="shared" si="101"/>
        <v>0</v>
      </c>
      <c r="S180" s="290">
        <f t="shared" si="101"/>
        <v>0</v>
      </c>
      <c r="T180" s="290">
        <f t="shared" si="101"/>
        <v>0</v>
      </c>
      <c r="U180" s="290">
        <f t="shared" si="101"/>
        <v>0</v>
      </c>
      <c r="V180" s="290">
        <f t="shared" si="101"/>
        <v>0</v>
      </c>
      <c r="W180" s="290">
        <f t="shared" si="101"/>
        <v>0</v>
      </c>
      <c r="X180" s="290">
        <f t="shared" si="101"/>
        <v>0</v>
      </c>
      <c r="Y180" s="290">
        <f t="shared" si="101"/>
        <v>0</v>
      </c>
      <c r="Z180" s="290">
        <f t="shared" si="101"/>
        <v>0</v>
      </c>
      <c r="AA180" s="252">
        <f t="shared" si="101"/>
        <v>0</v>
      </c>
      <c r="AB180" s="252">
        <f t="shared" si="101"/>
        <v>0</v>
      </c>
      <c r="AC180" s="252">
        <f t="shared" si="101"/>
        <v>0</v>
      </c>
      <c r="AD180" s="252">
        <f t="shared" si="101"/>
        <v>0.38461538461538464</v>
      </c>
      <c r="AE180" s="252">
        <f t="shared" si="101"/>
        <v>1.3846153846153844</v>
      </c>
    </row>
    <row r="181" spans="1:31">
      <c r="A181" s="240" t="s">
        <v>231</v>
      </c>
      <c r="B181" s="290">
        <f t="shared" si="102"/>
        <v>0</v>
      </c>
      <c r="C181" s="290">
        <f t="shared" si="103"/>
        <v>0</v>
      </c>
      <c r="D181" s="290">
        <f t="shared" si="101"/>
        <v>0</v>
      </c>
      <c r="E181" s="290">
        <f t="shared" si="101"/>
        <v>0</v>
      </c>
      <c r="F181" s="290">
        <f t="shared" si="101"/>
        <v>0</v>
      </c>
      <c r="G181" s="290">
        <f t="shared" si="101"/>
        <v>0</v>
      </c>
      <c r="H181" s="290">
        <f t="shared" si="101"/>
        <v>0</v>
      </c>
      <c r="I181" s="290">
        <f t="shared" si="101"/>
        <v>0</v>
      </c>
      <c r="J181" s="290">
        <f t="shared" si="101"/>
        <v>0</v>
      </c>
      <c r="K181" s="290">
        <f t="shared" si="101"/>
        <v>0</v>
      </c>
      <c r="L181" s="290">
        <f t="shared" si="101"/>
        <v>0</v>
      </c>
      <c r="M181" s="290">
        <f t="shared" si="101"/>
        <v>0</v>
      </c>
      <c r="N181" s="290">
        <f t="shared" si="101"/>
        <v>0</v>
      </c>
      <c r="O181" s="290">
        <f t="shared" si="101"/>
        <v>0</v>
      </c>
      <c r="P181" s="290">
        <f t="shared" si="101"/>
        <v>0</v>
      </c>
      <c r="Q181" s="290">
        <f t="shared" si="101"/>
        <v>0</v>
      </c>
      <c r="R181" s="290">
        <f t="shared" si="101"/>
        <v>0</v>
      </c>
      <c r="S181" s="290">
        <f t="shared" si="101"/>
        <v>0</v>
      </c>
      <c r="T181" s="290">
        <f t="shared" si="101"/>
        <v>0</v>
      </c>
      <c r="U181" s="290">
        <f t="shared" si="101"/>
        <v>0</v>
      </c>
      <c r="V181" s="290">
        <f t="shared" si="101"/>
        <v>0</v>
      </c>
      <c r="W181" s="290">
        <f t="shared" si="101"/>
        <v>0</v>
      </c>
      <c r="X181" s="290">
        <f t="shared" si="101"/>
        <v>0</v>
      </c>
      <c r="Y181" s="290">
        <f t="shared" si="101"/>
        <v>0</v>
      </c>
      <c r="Z181" s="290">
        <f t="shared" si="101"/>
        <v>0</v>
      </c>
      <c r="AA181" s="252">
        <f t="shared" si="101"/>
        <v>0</v>
      </c>
      <c r="AB181" s="252">
        <f t="shared" si="101"/>
        <v>0</v>
      </c>
      <c r="AC181" s="252">
        <f t="shared" si="101"/>
        <v>0</v>
      </c>
      <c r="AD181" s="252">
        <f t="shared" si="101"/>
        <v>0.46153846153846156</v>
      </c>
      <c r="AE181" s="252">
        <f t="shared" si="101"/>
        <v>1.4615384615384612</v>
      </c>
    </row>
    <row r="182" spans="1:31">
      <c r="A182" s="240" t="s">
        <v>232</v>
      </c>
      <c r="B182" s="290">
        <f t="shared" si="102"/>
        <v>0</v>
      </c>
      <c r="C182" s="290">
        <f t="shared" si="103"/>
        <v>0</v>
      </c>
      <c r="D182" s="290">
        <f t="shared" si="101"/>
        <v>0</v>
      </c>
      <c r="E182" s="290">
        <f t="shared" si="101"/>
        <v>0</v>
      </c>
      <c r="F182" s="290">
        <f t="shared" si="101"/>
        <v>0</v>
      </c>
      <c r="G182" s="290">
        <f t="shared" si="101"/>
        <v>0</v>
      </c>
      <c r="H182" s="290">
        <f t="shared" si="101"/>
        <v>0</v>
      </c>
      <c r="I182" s="290">
        <f t="shared" si="101"/>
        <v>0</v>
      </c>
      <c r="J182" s="290">
        <f t="shared" si="101"/>
        <v>0</v>
      </c>
      <c r="K182" s="290">
        <f t="shared" si="101"/>
        <v>0</v>
      </c>
      <c r="L182" s="290">
        <f t="shared" si="101"/>
        <v>0</v>
      </c>
      <c r="M182" s="290">
        <f t="shared" si="101"/>
        <v>0</v>
      </c>
      <c r="N182" s="290">
        <f t="shared" si="101"/>
        <v>0</v>
      </c>
      <c r="O182" s="290">
        <f t="shared" si="101"/>
        <v>0</v>
      </c>
      <c r="P182" s="290">
        <f t="shared" si="101"/>
        <v>0</v>
      </c>
      <c r="Q182" s="290">
        <f t="shared" si="101"/>
        <v>0</v>
      </c>
      <c r="R182" s="290">
        <f t="shared" si="101"/>
        <v>0</v>
      </c>
      <c r="S182" s="290">
        <f t="shared" si="101"/>
        <v>0</v>
      </c>
      <c r="T182" s="290">
        <f t="shared" si="101"/>
        <v>0</v>
      </c>
      <c r="U182" s="290">
        <f t="shared" si="101"/>
        <v>0</v>
      </c>
      <c r="V182" s="290">
        <f t="shared" si="101"/>
        <v>0</v>
      </c>
      <c r="W182" s="290">
        <f t="shared" si="101"/>
        <v>0</v>
      </c>
      <c r="X182" s="290">
        <f t="shared" si="101"/>
        <v>0</v>
      </c>
      <c r="Y182" s="290">
        <f t="shared" si="101"/>
        <v>0</v>
      </c>
      <c r="Z182" s="252">
        <f t="shared" si="101"/>
        <v>0</v>
      </c>
      <c r="AA182" s="252">
        <f t="shared" si="101"/>
        <v>0</v>
      </c>
      <c r="AB182" s="252">
        <f t="shared" si="101"/>
        <v>0</v>
      </c>
      <c r="AC182" s="252">
        <f t="shared" si="101"/>
        <v>0</v>
      </c>
      <c r="AD182" s="252">
        <f t="shared" si="101"/>
        <v>0.53846153846153855</v>
      </c>
      <c r="AE182" s="252">
        <f t="shared" si="101"/>
        <v>1.5384615384615381</v>
      </c>
    </row>
    <row r="183" spans="1:31">
      <c r="A183" s="240" t="s">
        <v>233</v>
      </c>
      <c r="B183" s="290">
        <f t="shared" si="102"/>
        <v>0</v>
      </c>
      <c r="C183" s="290">
        <f t="shared" si="103"/>
        <v>0</v>
      </c>
      <c r="D183" s="290">
        <f t="shared" si="101"/>
        <v>0</v>
      </c>
      <c r="E183" s="290">
        <f t="shared" si="101"/>
        <v>0</v>
      </c>
      <c r="F183" s="290">
        <f t="shared" si="101"/>
        <v>0</v>
      </c>
      <c r="G183" s="290">
        <f t="shared" si="101"/>
        <v>0</v>
      </c>
      <c r="H183" s="290">
        <f t="shared" si="101"/>
        <v>0</v>
      </c>
      <c r="I183" s="290">
        <f t="shared" si="101"/>
        <v>0</v>
      </c>
      <c r="J183" s="290">
        <f t="shared" si="101"/>
        <v>0</v>
      </c>
      <c r="K183" s="290">
        <f t="shared" si="101"/>
        <v>0</v>
      </c>
      <c r="L183" s="290">
        <f t="shared" si="101"/>
        <v>0</v>
      </c>
      <c r="M183" s="290">
        <f t="shared" si="101"/>
        <v>0</v>
      </c>
      <c r="N183" s="290">
        <f t="shared" si="101"/>
        <v>0</v>
      </c>
      <c r="O183" s="290">
        <f t="shared" si="101"/>
        <v>0</v>
      </c>
      <c r="P183" s="290">
        <f t="shared" si="101"/>
        <v>0</v>
      </c>
      <c r="Q183" s="290">
        <f t="shared" si="101"/>
        <v>0</v>
      </c>
      <c r="R183" s="290">
        <f t="shared" si="101"/>
        <v>0</v>
      </c>
      <c r="S183" s="290">
        <f t="shared" si="101"/>
        <v>0</v>
      </c>
      <c r="T183" s="290">
        <f t="shared" si="101"/>
        <v>0</v>
      </c>
      <c r="U183" s="290">
        <f t="shared" si="101"/>
        <v>0</v>
      </c>
      <c r="V183" s="290">
        <f t="shared" si="101"/>
        <v>0</v>
      </c>
      <c r="W183" s="290">
        <f t="shared" si="101"/>
        <v>0</v>
      </c>
      <c r="X183" s="290">
        <f t="shared" si="101"/>
        <v>0</v>
      </c>
      <c r="Y183" s="290">
        <f t="shared" si="101"/>
        <v>0</v>
      </c>
      <c r="Z183" s="252">
        <f t="shared" si="101"/>
        <v>0</v>
      </c>
      <c r="AA183" s="252">
        <f t="shared" si="101"/>
        <v>0</v>
      </c>
      <c r="AB183" s="252">
        <f t="shared" si="101"/>
        <v>0</v>
      </c>
      <c r="AC183" s="252">
        <f t="shared" si="101"/>
        <v>0</v>
      </c>
      <c r="AD183" s="252">
        <f t="shared" si="101"/>
        <v>0.61538461538461542</v>
      </c>
      <c r="AE183" s="252">
        <f t="shared" si="101"/>
        <v>1.615384615384615</v>
      </c>
    </row>
    <row r="184" spans="1:31">
      <c r="A184" s="240" t="s">
        <v>234</v>
      </c>
      <c r="B184" s="290">
        <f t="shared" si="102"/>
        <v>0</v>
      </c>
      <c r="C184" s="290">
        <f t="shared" si="103"/>
        <v>0</v>
      </c>
      <c r="D184" s="290">
        <f t="shared" si="101"/>
        <v>0</v>
      </c>
      <c r="E184" s="290">
        <f t="shared" si="101"/>
        <v>0</v>
      </c>
      <c r="F184" s="290">
        <f t="shared" si="101"/>
        <v>0</v>
      </c>
      <c r="G184" s="290">
        <f t="shared" si="101"/>
        <v>0</v>
      </c>
      <c r="H184" s="290">
        <f t="shared" si="101"/>
        <v>0</v>
      </c>
      <c r="I184" s="290">
        <f t="shared" si="101"/>
        <v>0</v>
      </c>
      <c r="J184" s="290">
        <f t="shared" si="101"/>
        <v>0</v>
      </c>
      <c r="K184" s="290">
        <f t="shared" si="101"/>
        <v>0</v>
      </c>
      <c r="L184" s="290">
        <f t="shared" si="101"/>
        <v>0</v>
      </c>
      <c r="M184" s="290">
        <f t="shared" si="101"/>
        <v>0</v>
      </c>
      <c r="N184" s="290">
        <f t="shared" si="101"/>
        <v>0</v>
      </c>
      <c r="O184" s="290">
        <f t="shared" si="101"/>
        <v>0</v>
      </c>
      <c r="P184" s="290">
        <f t="shared" si="101"/>
        <v>0</v>
      </c>
      <c r="Q184" s="290">
        <f t="shared" si="101"/>
        <v>0</v>
      </c>
      <c r="R184" s="290">
        <f t="shared" si="101"/>
        <v>0</v>
      </c>
      <c r="S184" s="290">
        <f t="shared" si="101"/>
        <v>0</v>
      </c>
      <c r="T184" s="290">
        <f t="shared" si="101"/>
        <v>0</v>
      </c>
      <c r="U184" s="290">
        <f t="shared" si="101"/>
        <v>0</v>
      </c>
      <c r="V184" s="290">
        <f t="shared" si="101"/>
        <v>0</v>
      </c>
      <c r="W184" s="290">
        <f t="shared" si="101"/>
        <v>0</v>
      </c>
      <c r="X184" s="290">
        <f t="shared" si="101"/>
        <v>0</v>
      </c>
      <c r="Y184" s="290">
        <f t="shared" si="101"/>
        <v>0</v>
      </c>
      <c r="Z184" s="252">
        <f t="shared" si="101"/>
        <v>0</v>
      </c>
      <c r="AA184" s="252">
        <f t="shared" si="101"/>
        <v>0</v>
      </c>
      <c r="AB184" s="252">
        <f t="shared" si="101"/>
        <v>0</v>
      </c>
      <c r="AC184" s="252">
        <f t="shared" si="101"/>
        <v>0</v>
      </c>
      <c r="AD184" s="252">
        <f t="shared" si="101"/>
        <v>0.69230769230769229</v>
      </c>
      <c r="AE184" s="252">
        <f t="shared" si="101"/>
        <v>1.6923076923076918</v>
      </c>
    </row>
    <row r="185" spans="1:31">
      <c r="A185" s="240" t="s">
        <v>46</v>
      </c>
      <c r="B185" s="290">
        <f t="shared" si="102"/>
        <v>0</v>
      </c>
      <c r="C185" s="290">
        <f t="shared" si="103"/>
        <v>0</v>
      </c>
      <c r="D185" s="290">
        <f t="shared" si="101"/>
        <v>0</v>
      </c>
      <c r="E185" s="290">
        <f t="shared" si="101"/>
        <v>0</v>
      </c>
      <c r="F185" s="290">
        <f t="shared" si="101"/>
        <v>0</v>
      </c>
      <c r="G185" s="290">
        <f t="shared" si="101"/>
        <v>0</v>
      </c>
      <c r="H185" s="290">
        <f t="shared" si="101"/>
        <v>0</v>
      </c>
      <c r="I185" s="290">
        <f t="shared" si="101"/>
        <v>0</v>
      </c>
      <c r="J185" s="290">
        <f t="shared" si="101"/>
        <v>0</v>
      </c>
      <c r="K185" s="290">
        <f t="shared" si="101"/>
        <v>0</v>
      </c>
      <c r="L185" s="290">
        <f t="shared" si="101"/>
        <v>0</v>
      </c>
      <c r="M185" s="290">
        <f t="shared" si="101"/>
        <v>0</v>
      </c>
      <c r="N185" s="290">
        <f t="shared" si="101"/>
        <v>0</v>
      </c>
      <c r="O185" s="290">
        <f t="shared" si="101"/>
        <v>0</v>
      </c>
      <c r="P185" s="290">
        <f t="shared" si="101"/>
        <v>0</v>
      </c>
      <c r="Q185" s="290">
        <f t="shared" si="101"/>
        <v>0</v>
      </c>
      <c r="R185" s="290">
        <f t="shared" si="101"/>
        <v>0</v>
      </c>
      <c r="S185" s="290">
        <f t="shared" si="101"/>
        <v>0</v>
      </c>
      <c r="T185" s="290">
        <f t="shared" si="101"/>
        <v>0</v>
      </c>
      <c r="U185" s="290">
        <f t="shared" si="101"/>
        <v>0</v>
      </c>
      <c r="V185" s="290">
        <f t="shared" si="101"/>
        <v>0</v>
      </c>
      <c r="W185" s="290">
        <f t="shared" si="101"/>
        <v>0</v>
      </c>
      <c r="X185" s="290">
        <f t="shared" si="101"/>
        <v>0</v>
      </c>
      <c r="Y185" s="290">
        <f t="shared" si="101"/>
        <v>0</v>
      </c>
      <c r="Z185" s="252">
        <f t="shared" si="101"/>
        <v>0</v>
      </c>
      <c r="AA185" s="252">
        <f t="shared" si="101"/>
        <v>0</v>
      </c>
      <c r="AB185" s="252">
        <f t="shared" si="101"/>
        <v>0</v>
      </c>
      <c r="AC185" s="252">
        <f t="shared" si="101"/>
        <v>0</v>
      </c>
      <c r="AD185" s="252">
        <f t="shared" si="101"/>
        <v>0.76923076923076916</v>
      </c>
      <c r="AE185" s="252">
        <f t="shared" si="101"/>
        <v>1.7692307692307687</v>
      </c>
    </row>
    <row r="186" spans="1:31">
      <c r="A186" s="240" t="s">
        <v>235</v>
      </c>
      <c r="B186" s="290">
        <f t="shared" si="102"/>
        <v>0</v>
      </c>
      <c r="C186" s="290">
        <f t="shared" si="103"/>
        <v>0</v>
      </c>
      <c r="D186" s="290">
        <f t="shared" si="101"/>
        <v>0</v>
      </c>
      <c r="E186" s="290">
        <f t="shared" si="101"/>
        <v>0</v>
      </c>
      <c r="F186" s="290">
        <f t="shared" si="101"/>
        <v>0</v>
      </c>
      <c r="G186" s="290">
        <f t="shared" ref="G186:X186" si="104">(G$187-F$187)/13+G185</f>
        <v>0</v>
      </c>
      <c r="H186" s="290">
        <f t="shared" si="104"/>
        <v>0</v>
      </c>
      <c r="I186" s="290">
        <f t="shared" si="104"/>
        <v>0</v>
      </c>
      <c r="J186" s="290">
        <f t="shared" si="104"/>
        <v>0</v>
      </c>
      <c r="K186" s="290">
        <f t="shared" si="104"/>
        <v>0</v>
      </c>
      <c r="L186" s="290">
        <f t="shared" si="104"/>
        <v>0</v>
      </c>
      <c r="M186" s="290">
        <f t="shared" si="104"/>
        <v>0</v>
      </c>
      <c r="N186" s="290">
        <f t="shared" si="104"/>
        <v>0</v>
      </c>
      <c r="O186" s="290">
        <f t="shared" si="104"/>
        <v>0</v>
      </c>
      <c r="P186" s="290">
        <f t="shared" si="104"/>
        <v>0</v>
      </c>
      <c r="Q186" s="290">
        <f t="shared" si="104"/>
        <v>0</v>
      </c>
      <c r="R186" s="290">
        <f t="shared" si="104"/>
        <v>0</v>
      </c>
      <c r="S186" s="290">
        <f t="shared" si="104"/>
        <v>0</v>
      </c>
      <c r="T186" s="290">
        <f t="shared" si="104"/>
        <v>0</v>
      </c>
      <c r="U186" s="290">
        <f t="shared" si="104"/>
        <v>0</v>
      </c>
      <c r="V186" s="290">
        <f t="shared" si="104"/>
        <v>0</v>
      </c>
      <c r="W186" s="290">
        <f t="shared" si="104"/>
        <v>0</v>
      </c>
      <c r="X186" s="290">
        <f t="shared" si="104"/>
        <v>0</v>
      </c>
      <c r="Y186" s="290">
        <f>(Y$187-X$187)/13+Y185</f>
        <v>0</v>
      </c>
      <c r="Z186" s="252">
        <f>(Z$187-Y$187)/13+Z185</f>
        <v>0</v>
      </c>
      <c r="AA186" s="252">
        <f>(AA$187-Z$187)/13+AA185</f>
        <v>0</v>
      </c>
      <c r="AB186" s="252">
        <f>(AB$187-AA$187)/13+AB185</f>
        <v>0</v>
      </c>
      <c r="AC186" s="252">
        <f>(AC$187-AB$187)/13+AC185</f>
        <v>0</v>
      </c>
      <c r="AD186" s="252">
        <f t="shared" ref="AD186:AE186" si="105">(AD$187-AC$187)/13+AD185</f>
        <v>0.84615384615384603</v>
      </c>
      <c r="AE186" s="252">
        <f t="shared" si="105"/>
        <v>1.8461538461538456</v>
      </c>
    </row>
    <row r="187" spans="1:31" ht="15.75" thickBot="1">
      <c r="A187" s="240" t="s">
        <v>236</v>
      </c>
      <c r="B187" s="267">
        <f>B29</f>
        <v>0</v>
      </c>
      <c r="C187" s="267">
        <f t="shared" ref="C187:AE187" si="106">C29</f>
        <v>0</v>
      </c>
      <c r="D187" s="267">
        <f t="shared" si="106"/>
        <v>0</v>
      </c>
      <c r="E187" s="267">
        <f t="shared" si="106"/>
        <v>0</v>
      </c>
      <c r="F187" s="267">
        <f t="shared" si="106"/>
        <v>0</v>
      </c>
      <c r="G187" s="267">
        <f t="shared" si="106"/>
        <v>0</v>
      </c>
      <c r="H187" s="267">
        <f t="shared" si="106"/>
        <v>0</v>
      </c>
      <c r="I187" s="267">
        <f t="shared" si="106"/>
        <v>0</v>
      </c>
      <c r="J187" s="267">
        <f t="shared" si="106"/>
        <v>0</v>
      </c>
      <c r="K187" s="267">
        <f t="shared" si="106"/>
        <v>0</v>
      </c>
      <c r="L187" s="267">
        <f t="shared" si="106"/>
        <v>0</v>
      </c>
      <c r="M187" s="267">
        <f t="shared" si="106"/>
        <v>0</v>
      </c>
      <c r="N187" s="267">
        <f t="shared" si="106"/>
        <v>0</v>
      </c>
      <c r="O187" s="267">
        <f t="shared" si="106"/>
        <v>0</v>
      </c>
      <c r="P187" s="267">
        <f t="shared" si="106"/>
        <v>0</v>
      </c>
      <c r="Q187" s="267">
        <f t="shared" si="106"/>
        <v>0</v>
      </c>
      <c r="R187" s="267">
        <f t="shared" si="106"/>
        <v>0</v>
      </c>
      <c r="S187" s="267">
        <f t="shared" si="106"/>
        <v>0</v>
      </c>
      <c r="T187" s="267">
        <f t="shared" si="106"/>
        <v>0</v>
      </c>
      <c r="U187" s="267">
        <f t="shared" si="106"/>
        <v>0</v>
      </c>
      <c r="V187" s="267">
        <f t="shared" si="106"/>
        <v>0</v>
      </c>
      <c r="W187" s="267">
        <f t="shared" si="106"/>
        <v>0</v>
      </c>
      <c r="X187" s="267">
        <f t="shared" si="106"/>
        <v>0</v>
      </c>
      <c r="Y187" s="267">
        <f t="shared" si="106"/>
        <v>0</v>
      </c>
      <c r="Z187" s="268">
        <f t="shared" si="106"/>
        <v>0</v>
      </c>
      <c r="AA187" s="268">
        <f t="shared" si="106"/>
        <v>0</v>
      </c>
      <c r="AB187" s="268">
        <f t="shared" si="106"/>
        <v>0</v>
      </c>
      <c r="AC187" s="268">
        <f t="shared" si="106"/>
        <v>0</v>
      </c>
      <c r="AD187" s="268">
        <f t="shared" si="106"/>
        <v>1</v>
      </c>
      <c r="AE187" s="268">
        <f t="shared" si="106"/>
        <v>2</v>
      </c>
    </row>
    <row r="188" spans="1:31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  <c r="AD188" s="248"/>
      <c r="AE188" s="248"/>
    </row>
    <row r="189" spans="1:31" ht="15.75" thickBot="1">
      <c r="A189" s="235" t="s">
        <v>261</v>
      </c>
    </row>
    <row r="190" spans="1:31" ht="15.75" thickBot="1">
      <c r="A190" s="236"/>
      <c r="B190" s="237" t="str">
        <f>B$2</f>
        <v xml:space="preserve">93/94 </v>
      </c>
      <c r="C190" s="237" t="str">
        <f t="shared" ref="C190:AE190" si="107">C$2</f>
        <v xml:space="preserve">94/95 </v>
      </c>
      <c r="D190" s="237" t="str">
        <f t="shared" si="107"/>
        <v xml:space="preserve">95/96 </v>
      </c>
      <c r="E190" s="237" t="str">
        <f t="shared" si="107"/>
        <v xml:space="preserve">96/97 </v>
      </c>
      <c r="F190" s="237" t="str">
        <f t="shared" si="107"/>
        <v xml:space="preserve">97/98 </v>
      </c>
      <c r="G190" s="237" t="str">
        <f t="shared" si="107"/>
        <v xml:space="preserve">98/99 </v>
      </c>
      <c r="H190" s="237" t="str">
        <f t="shared" si="107"/>
        <v xml:space="preserve">99/00 </v>
      </c>
      <c r="I190" s="237" t="str">
        <f t="shared" si="107"/>
        <v xml:space="preserve">00/01 </v>
      </c>
      <c r="J190" s="237" t="str">
        <f t="shared" si="107"/>
        <v xml:space="preserve">01/02 </v>
      </c>
      <c r="K190" s="237" t="str">
        <f t="shared" si="107"/>
        <v xml:space="preserve">02/03 </v>
      </c>
      <c r="L190" s="237" t="str">
        <f t="shared" si="107"/>
        <v xml:space="preserve">03/04 </v>
      </c>
      <c r="M190" s="237" t="str">
        <f t="shared" si="107"/>
        <v xml:space="preserve">04/05 </v>
      </c>
      <c r="N190" s="237" t="str">
        <f t="shared" si="107"/>
        <v xml:space="preserve">05/06 </v>
      </c>
      <c r="O190" s="237" t="str">
        <f t="shared" si="107"/>
        <v xml:space="preserve">06/07 </v>
      </c>
      <c r="P190" s="237" t="str">
        <f t="shared" si="107"/>
        <v xml:space="preserve">07/08 </v>
      </c>
      <c r="Q190" s="237" t="str">
        <f t="shared" si="107"/>
        <v xml:space="preserve">08/09 </v>
      </c>
      <c r="R190" s="237" t="str">
        <f t="shared" si="107"/>
        <v xml:space="preserve">09/10 </v>
      </c>
      <c r="S190" s="237" t="str">
        <f t="shared" si="107"/>
        <v xml:space="preserve">10/11 </v>
      </c>
      <c r="T190" s="237" t="str">
        <f t="shared" si="107"/>
        <v xml:space="preserve">11/12 </v>
      </c>
      <c r="U190" s="237" t="str">
        <f t="shared" si="107"/>
        <v xml:space="preserve">12/13 </v>
      </c>
      <c r="V190" s="237" t="str">
        <f t="shared" si="107"/>
        <v xml:space="preserve">13/14 </v>
      </c>
      <c r="W190" s="237" t="str">
        <f t="shared" si="107"/>
        <v xml:space="preserve">14/15 </v>
      </c>
      <c r="X190" s="237" t="str">
        <f t="shared" si="107"/>
        <v xml:space="preserve">15/16 </v>
      </c>
      <c r="Y190" s="237" t="str">
        <f t="shared" si="107"/>
        <v xml:space="preserve">16/17 </v>
      </c>
      <c r="Z190" s="237" t="str">
        <f t="shared" si="107"/>
        <v xml:space="preserve">17/18 </v>
      </c>
      <c r="AA190" s="237" t="str">
        <f t="shared" si="107"/>
        <v xml:space="preserve">18/19 </v>
      </c>
      <c r="AB190" s="237" t="str">
        <f t="shared" si="107"/>
        <v xml:space="preserve">19/20 </v>
      </c>
      <c r="AC190" s="237" t="str">
        <f t="shared" si="107"/>
        <v xml:space="preserve">20/21 </v>
      </c>
      <c r="AD190" s="237" t="str">
        <f t="shared" si="107"/>
        <v>21/22</v>
      </c>
      <c r="AE190" s="237" t="str">
        <f t="shared" si="107"/>
        <v>22/23</v>
      </c>
    </row>
    <row r="191" spans="1:31">
      <c r="A191" s="240" t="s">
        <v>237</v>
      </c>
    </row>
    <row r="192" spans="1:31">
      <c r="A192" s="240" t="s">
        <v>238</v>
      </c>
    </row>
    <row r="193" spans="1:34">
      <c r="A193" s="240" t="s">
        <v>239</v>
      </c>
    </row>
    <row r="194" spans="1:34">
      <c r="A194" s="240" t="s">
        <v>240</v>
      </c>
    </row>
    <row r="195" spans="1:34">
      <c r="A195" s="240" t="s">
        <v>241</v>
      </c>
    </row>
    <row r="196" spans="1:34">
      <c r="A196" s="240" t="s">
        <v>231</v>
      </c>
    </row>
    <row r="197" spans="1:34">
      <c r="A197" s="240" t="s">
        <v>232</v>
      </c>
    </row>
    <row r="198" spans="1:34">
      <c r="A198" s="240" t="s">
        <v>233</v>
      </c>
      <c r="AH198" s="363"/>
    </row>
    <row r="199" spans="1:34">
      <c r="A199" s="240" t="s">
        <v>234</v>
      </c>
      <c r="AH199" s="364"/>
    </row>
    <row r="200" spans="1:34">
      <c r="A200" s="240" t="s">
        <v>46</v>
      </c>
      <c r="AH200" s="363"/>
    </row>
    <row r="201" spans="1:34">
      <c r="A201" s="240" t="s">
        <v>235</v>
      </c>
      <c r="AH201" s="363"/>
    </row>
    <row r="202" spans="1:34">
      <c r="A202" s="240" t="s">
        <v>236</v>
      </c>
      <c r="AH202" s="300"/>
    </row>
    <row r="203" spans="1:34" ht="15.75" thickBot="1">
      <c r="A203" s="240" t="s">
        <v>255</v>
      </c>
      <c r="AH203" s="300"/>
    </row>
    <row r="204" spans="1:34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  <c r="AD204" s="248"/>
      <c r="AE204" s="248"/>
      <c r="AH204" s="365"/>
    </row>
    <row r="205" spans="1:34" ht="15.75" thickBot="1">
      <c r="A205" s="235" t="s">
        <v>262</v>
      </c>
    </row>
    <row r="206" spans="1:34" ht="15.75" thickBot="1">
      <c r="A206" s="236"/>
      <c r="B206" s="237" t="str">
        <f>B$2</f>
        <v xml:space="preserve">93/94 </v>
      </c>
      <c r="C206" s="237" t="str">
        <f t="shared" ref="C206:AE206" si="108">C$2</f>
        <v xml:space="preserve">94/95 </v>
      </c>
      <c r="D206" s="237" t="str">
        <f t="shared" si="108"/>
        <v xml:space="preserve">95/96 </v>
      </c>
      <c r="E206" s="237" t="str">
        <f t="shared" si="108"/>
        <v xml:space="preserve">96/97 </v>
      </c>
      <c r="F206" s="237" t="str">
        <f t="shared" si="108"/>
        <v xml:space="preserve">97/98 </v>
      </c>
      <c r="G206" s="237" t="str">
        <f t="shared" si="108"/>
        <v xml:space="preserve">98/99 </v>
      </c>
      <c r="H206" s="237" t="str">
        <f t="shared" si="108"/>
        <v xml:space="preserve">99/00 </v>
      </c>
      <c r="I206" s="237" t="str">
        <f t="shared" si="108"/>
        <v xml:space="preserve">00/01 </v>
      </c>
      <c r="J206" s="237" t="str">
        <f t="shared" si="108"/>
        <v xml:space="preserve">01/02 </v>
      </c>
      <c r="K206" s="237" t="str">
        <f t="shared" si="108"/>
        <v xml:space="preserve">02/03 </v>
      </c>
      <c r="L206" s="237" t="str">
        <f t="shared" si="108"/>
        <v xml:space="preserve">03/04 </v>
      </c>
      <c r="M206" s="237" t="str">
        <f t="shared" si="108"/>
        <v xml:space="preserve">04/05 </v>
      </c>
      <c r="N206" s="237" t="str">
        <f t="shared" si="108"/>
        <v xml:space="preserve">05/06 </v>
      </c>
      <c r="O206" s="237" t="str">
        <f t="shared" si="108"/>
        <v xml:space="preserve">06/07 </v>
      </c>
      <c r="P206" s="237" t="str">
        <f t="shared" si="108"/>
        <v xml:space="preserve">07/08 </v>
      </c>
      <c r="Q206" s="237" t="str">
        <f t="shared" si="108"/>
        <v xml:space="preserve">08/09 </v>
      </c>
      <c r="R206" s="237" t="str">
        <f t="shared" si="108"/>
        <v xml:space="preserve">09/10 </v>
      </c>
      <c r="S206" s="237" t="str">
        <f t="shared" si="108"/>
        <v xml:space="preserve">10/11 </v>
      </c>
      <c r="T206" s="237" t="str">
        <f t="shared" si="108"/>
        <v xml:space="preserve">11/12 </v>
      </c>
      <c r="U206" s="237" t="str">
        <f t="shared" si="108"/>
        <v xml:space="preserve">12/13 </v>
      </c>
      <c r="V206" s="237" t="str">
        <f t="shared" si="108"/>
        <v xml:space="preserve">13/14 </v>
      </c>
      <c r="W206" s="237" t="str">
        <f t="shared" si="108"/>
        <v xml:space="preserve">14/15 </v>
      </c>
      <c r="X206" s="237" t="str">
        <f t="shared" si="108"/>
        <v xml:space="preserve">15/16 </v>
      </c>
      <c r="Y206" s="237" t="str">
        <f t="shared" si="108"/>
        <v xml:space="preserve">16/17 </v>
      </c>
      <c r="Z206" s="237" t="str">
        <f t="shared" si="108"/>
        <v xml:space="preserve">17/18 </v>
      </c>
      <c r="AA206" s="237" t="str">
        <f t="shared" si="108"/>
        <v xml:space="preserve">18/19 </v>
      </c>
      <c r="AB206" s="237" t="str">
        <f t="shared" si="108"/>
        <v xml:space="preserve">19/20 </v>
      </c>
      <c r="AC206" s="237" t="str">
        <f t="shared" si="108"/>
        <v xml:space="preserve">20/21 </v>
      </c>
      <c r="AD206" s="237" t="str">
        <f t="shared" si="108"/>
        <v>21/22</v>
      </c>
      <c r="AE206" s="237" t="str">
        <f t="shared" si="108"/>
        <v>22/23</v>
      </c>
    </row>
    <row r="207" spans="1:34">
      <c r="A207" s="240" t="s">
        <v>237</v>
      </c>
      <c r="B207" s="290">
        <f>B303+B287+B271-B255-B32</f>
        <v>1.545100635450966</v>
      </c>
      <c r="C207" s="290">
        <f>C303+C287+C271-C255-B314</f>
        <v>1.2652708223661993</v>
      </c>
      <c r="D207" s="290">
        <f t="shared" ref="D207:Z207" si="109">D303+D287+D271-D255-C314</f>
        <v>0.51266666666666683</v>
      </c>
      <c r="E207" s="290">
        <f t="shared" si="109"/>
        <v>-0.42466666666666675</v>
      </c>
      <c r="F207" s="290">
        <f t="shared" si="109"/>
        <v>0.1553333333333331</v>
      </c>
      <c r="G207" s="290">
        <f t="shared" si="109"/>
        <v>0.47099999999999986</v>
      </c>
      <c r="H207" s="290">
        <f t="shared" si="109"/>
        <v>0.61466666666666647</v>
      </c>
      <c r="I207" s="290">
        <f t="shared" si="109"/>
        <v>-0.91433333333333344</v>
      </c>
      <c r="J207" s="290">
        <f t="shared" si="109"/>
        <v>-1.844333333333334</v>
      </c>
      <c r="K207" s="290">
        <f t="shared" si="109"/>
        <v>-1.8263333333333331</v>
      </c>
      <c r="L207" s="290">
        <f t="shared" si="109"/>
        <v>0.36466666666666669</v>
      </c>
      <c r="M207" s="290">
        <f t="shared" si="109"/>
        <v>1.9350000000000001</v>
      </c>
      <c r="N207" s="290">
        <f t="shared" si="109"/>
        <v>0.17166666666666597</v>
      </c>
      <c r="O207" s="290">
        <f t="shared" si="109"/>
        <v>0.34633333333333294</v>
      </c>
      <c r="P207" s="290">
        <f t="shared" si="109"/>
        <v>0.57199999999999962</v>
      </c>
      <c r="Q207" s="290">
        <f t="shared" si="109"/>
        <v>0.13166666666666682</v>
      </c>
      <c r="R207" s="290">
        <f t="shared" si="109"/>
        <v>-1.347</v>
      </c>
      <c r="S207" s="290">
        <f t="shared" si="109"/>
        <v>-0.4633333333333336</v>
      </c>
      <c r="T207" s="290">
        <f t="shared" si="109"/>
        <v>3.066666666666662E-2</v>
      </c>
      <c r="U207" s="290">
        <f t="shared" si="109"/>
        <v>-9.8666666666666458E-2</v>
      </c>
      <c r="V207" s="290">
        <f t="shared" si="109"/>
        <v>-0.10133333333333328</v>
      </c>
      <c r="W207" s="290">
        <f t="shared" si="109"/>
        <v>0.20533333333333292</v>
      </c>
      <c r="X207" s="290">
        <f t="shared" si="109"/>
        <v>0.31633333333333336</v>
      </c>
      <c r="Y207" s="290">
        <f t="shared" si="109"/>
        <v>-0.45900000000000007</v>
      </c>
      <c r="Z207" s="290">
        <f t="shared" si="109"/>
        <v>-4.2060666666666524E-2</v>
      </c>
      <c r="AA207" s="252">
        <f>AA303-Z314+AA271-AA255+AA287</f>
        <v>-0.37648366666666666</v>
      </c>
      <c r="AB207" s="252">
        <f>AB303-AA314+AB271-AB255+AB287</f>
        <v>-0.63255666666666643</v>
      </c>
      <c r="AC207" s="252">
        <f>AC303-AB314+AC271-AC255+AC287</f>
        <v>-2.5417596666666671</v>
      </c>
      <c r="AD207" s="252">
        <f t="shared" ref="AD207:AE207" si="110">AD303-AC314+AD271-AD255+AD287</f>
        <v>-1.944666666666667</v>
      </c>
      <c r="AE207" s="252">
        <f t="shared" si="110"/>
        <v>-0.13844980633196258</v>
      </c>
      <c r="AF207" s="240"/>
      <c r="AG207" s="240"/>
    </row>
    <row r="208" spans="1:34">
      <c r="A208" s="240" t="s">
        <v>238</v>
      </c>
      <c r="B208" s="290">
        <f>B304+B288+B272-B256-B303</f>
        <v>1.5571865583051774</v>
      </c>
      <c r="C208" s="290">
        <f>C304+C288+C272-C256-C303</f>
        <v>1.0802824419484351</v>
      </c>
      <c r="D208" s="290">
        <f t="shared" ref="D208:Z218" si="111">D304+D288+D272-D256-D303</f>
        <v>0.20226666666666682</v>
      </c>
      <c r="E208" s="290">
        <f t="shared" si="111"/>
        <v>-0.44466666666666677</v>
      </c>
      <c r="F208" s="290">
        <f t="shared" si="111"/>
        <v>-2.8666666666666618E-2</v>
      </c>
      <c r="G208" s="290">
        <f t="shared" si="111"/>
        <v>0.373</v>
      </c>
      <c r="H208" s="290">
        <f t="shared" si="111"/>
        <v>-0.35033333333333339</v>
      </c>
      <c r="I208" s="290">
        <f t="shared" si="111"/>
        <v>0.73366666666666647</v>
      </c>
      <c r="J208" s="290">
        <f t="shared" si="111"/>
        <v>0.82666666666666644</v>
      </c>
      <c r="K208" s="290">
        <f t="shared" si="111"/>
        <v>-0.43133333333333312</v>
      </c>
      <c r="L208" s="290">
        <f t="shared" si="111"/>
        <v>-0.2523333333333333</v>
      </c>
      <c r="M208" s="290">
        <f t="shared" si="111"/>
        <v>0.31200000000000028</v>
      </c>
      <c r="N208" s="290">
        <f t="shared" si="111"/>
        <v>1.0886666666666667</v>
      </c>
      <c r="O208" s="290">
        <f t="shared" si="111"/>
        <v>0.4913333333333334</v>
      </c>
      <c r="P208" s="290">
        <f t="shared" si="111"/>
        <v>-0.21300000000000008</v>
      </c>
      <c r="Q208" s="290">
        <f t="shared" si="111"/>
        <v>-9.2333333333333378E-2</v>
      </c>
      <c r="R208" s="290">
        <f t="shared" si="111"/>
        <v>-1.5190000000000001</v>
      </c>
      <c r="S208" s="290">
        <f t="shared" si="111"/>
        <v>-0.39233333333333364</v>
      </c>
      <c r="T208" s="290">
        <f t="shared" si="111"/>
        <v>0.36566666666666658</v>
      </c>
      <c r="U208" s="290">
        <f t="shared" si="111"/>
        <v>-0.29466666666666641</v>
      </c>
      <c r="V208" s="290">
        <f t="shared" si="111"/>
        <v>-0.10733333333333328</v>
      </c>
      <c r="W208" s="290">
        <f t="shared" si="111"/>
        <v>7.6333333333333142E-2</v>
      </c>
      <c r="X208" s="290">
        <f t="shared" si="111"/>
        <v>3.933333333333322E-2</v>
      </c>
      <c r="Y208" s="290">
        <f t="shared" si="111"/>
        <v>-0.23399999999999999</v>
      </c>
      <c r="Z208" s="290">
        <f t="shared" si="111"/>
        <v>0.38135933333333361</v>
      </c>
      <c r="AA208" s="252">
        <f t="shared" ref="AA208:AE218" si="112">AA304-AA303+AA272-AA256+AA288</f>
        <v>0.22260333333333349</v>
      </c>
      <c r="AB208" s="252">
        <f t="shared" si="112"/>
        <v>0.11907233333333345</v>
      </c>
      <c r="AC208" s="252">
        <f t="shared" si="112"/>
        <v>-3.8955126666666664</v>
      </c>
      <c r="AD208" s="252">
        <f t="shared" si="112"/>
        <v>-1.1576666666666666</v>
      </c>
      <c r="AE208" s="252">
        <f t="shared" si="112"/>
        <v>7.6309196578494554E-2</v>
      </c>
      <c r="AF208" s="240"/>
      <c r="AG208" s="240"/>
    </row>
    <row r="209" spans="1:33">
      <c r="A209" s="240" t="s">
        <v>239</v>
      </c>
      <c r="B209" s="290">
        <f t="shared" ref="B209:C218" si="113">B305+B289+B273-B257-B304</f>
        <v>1.3910776345968938</v>
      </c>
      <c r="C209" s="290">
        <f t="shared" si="113"/>
        <v>1.3311021372716927</v>
      </c>
      <c r="D209" s="290">
        <f t="shared" si="111"/>
        <v>0.38666666666666671</v>
      </c>
      <c r="E209" s="290">
        <f t="shared" si="111"/>
        <v>1.1333333333333195E-2</v>
      </c>
      <c r="F209" s="290">
        <f t="shared" si="111"/>
        <v>1.7563333333333331</v>
      </c>
      <c r="G209" s="290">
        <f t="shared" si="111"/>
        <v>0.41199999999999992</v>
      </c>
      <c r="H209" s="290">
        <f t="shared" si="111"/>
        <v>-1.2083333333333335</v>
      </c>
      <c r="I209" s="290">
        <f t="shared" si="111"/>
        <v>1.1246666666666667</v>
      </c>
      <c r="J209" s="290">
        <f t="shared" si="111"/>
        <v>0.25666666666666638</v>
      </c>
      <c r="K209" s="290">
        <f t="shared" si="111"/>
        <v>-0.29933333333333345</v>
      </c>
      <c r="L209" s="290">
        <f t="shared" si="111"/>
        <v>-0.27233333333333332</v>
      </c>
      <c r="M209" s="290">
        <f t="shared" si="111"/>
        <v>-1.0189999999999997</v>
      </c>
      <c r="N209" s="290">
        <f t="shared" si="111"/>
        <v>0.13066666666666649</v>
      </c>
      <c r="O209" s="290">
        <f t="shared" si="111"/>
        <v>-0.7876666666666674</v>
      </c>
      <c r="P209" s="290">
        <f t="shared" si="111"/>
        <v>0.81700000000000017</v>
      </c>
      <c r="Q209" s="290">
        <f t="shared" si="111"/>
        <v>-0.35033333333333294</v>
      </c>
      <c r="R209" s="290">
        <f t="shared" si="111"/>
        <v>-0.28200000000000003</v>
      </c>
      <c r="S209" s="290">
        <f t="shared" si="111"/>
        <v>-7.2333333333333583E-2</v>
      </c>
      <c r="T209" s="290">
        <f t="shared" si="111"/>
        <v>9.6666666666666679E-2</v>
      </c>
      <c r="U209" s="290">
        <f t="shared" si="111"/>
        <v>-0.1486666666666665</v>
      </c>
      <c r="V209" s="290">
        <f t="shared" si="111"/>
        <v>-0.14733333333333332</v>
      </c>
      <c r="W209" s="290">
        <f t="shared" si="111"/>
        <v>0.55233333333333334</v>
      </c>
      <c r="X209" s="290">
        <f t="shared" si="111"/>
        <v>-8.9666666666666783E-2</v>
      </c>
      <c r="Y209" s="290">
        <f t="shared" si="111"/>
        <v>3.0999999999999694E-2</v>
      </c>
      <c r="Z209" s="290">
        <f t="shared" si="111"/>
        <v>-0.21983266666666612</v>
      </c>
      <c r="AA209" s="252">
        <f>AA305-AA304+AA273-AA257+AA289</f>
        <v>4.7933333333333383E-2</v>
      </c>
      <c r="AB209" s="252">
        <f t="shared" si="112"/>
        <v>-3.4192666666666316E-2</v>
      </c>
      <c r="AC209" s="252">
        <f t="shared" si="112"/>
        <v>-3.2321846666666674</v>
      </c>
      <c r="AD209" s="252">
        <f t="shared" si="112"/>
        <v>-1.0196666666666667</v>
      </c>
      <c r="AE209" s="252">
        <f t="shared" si="112"/>
        <v>0.17338775639997017</v>
      </c>
      <c r="AF209" s="240"/>
      <c r="AG209" s="240"/>
    </row>
    <row r="210" spans="1:33">
      <c r="A210" s="240" t="s">
        <v>240</v>
      </c>
      <c r="B210" s="290">
        <f t="shared" si="113"/>
        <v>1.5092779601110831</v>
      </c>
      <c r="C210" s="290">
        <f t="shared" si="113"/>
        <v>1.1400134655872121</v>
      </c>
      <c r="D210" s="290">
        <f t="shared" si="111"/>
        <v>-0.23133333333333339</v>
      </c>
      <c r="E210" s="290">
        <f t="shared" si="111"/>
        <v>1.8873333333333335</v>
      </c>
      <c r="F210" s="290">
        <f t="shared" si="111"/>
        <v>-1.4116666666666668</v>
      </c>
      <c r="G210" s="290">
        <f t="shared" si="111"/>
        <v>-6.800000000000006E-2</v>
      </c>
      <c r="H210" s="290">
        <f t="shared" si="111"/>
        <v>-0.54433333333333378</v>
      </c>
      <c r="I210" s="290">
        <f t="shared" si="111"/>
        <v>-1.6333333333333755E-2</v>
      </c>
      <c r="J210" s="290">
        <f t="shared" si="111"/>
        <v>-0.34033333333333315</v>
      </c>
      <c r="K210" s="290">
        <f t="shared" si="111"/>
        <v>-0.47733333333333317</v>
      </c>
      <c r="L210" s="290">
        <f t="shared" si="111"/>
        <v>0.64866666666666672</v>
      </c>
      <c r="M210" s="290">
        <f t="shared" si="111"/>
        <v>0.74500000000000011</v>
      </c>
      <c r="N210" s="290">
        <f t="shared" si="111"/>
        <v>-0.26833333333333353</v>
      </c>
      <c r="O210" s="290">
        <f t="shared" si="111"/>
        <v>-9.6666666666669343E-3</v>
      </c>
      <c r="P210" s="290">
        <f t="shared" si="111"/>
        <v>2.9999999999999361E-2</v>
      </c>
      <c r="Q210" s="290">
        <f t="shared" si="111"/>
        <v>0.52866666666666662</v>
      </c>
      <c r="R210" s="290">
        <f t="shared" si="111"/>
        <v>-0.45400000000000018</v>
      </c>
      <c r="S210" s="290">
        <f t="shared" si="111"/>
        <v>-0.47533333333333361</v>
      </c>
      <c r="T210" s="290">
        <f t="shared" si="111"/>
        <v>-0.16433333333333344</v>
      </c>
      <c r="U210" s="290">
        <f t="shared" si="111"/>
        <v>-0.32966666666666633</v>
      </c>
      <c r="V210" s="290">
        <f t="shared" si="111"/>
        <v>3.9666666666666739E-2</v>
      </c>
      <c r="W210" s="290">
        <f t="shared" si="111"/>
        <v>-1.8556666666666661</v>
      </c>
      <c r="X210" s="290">
        <f t="shared" si="111"/>
        <v>-0.3706666666666667</v>
      </c>
      <c r="Y210" s="290">
        <f t="shared" si="111"/>
        <v>0.35599999999999987</v>
      </c>
      <c r="Z210" s="290">
        <f t="shared" si="111"/>
        <v>0.6294373333333334</v>
      </c>
      <c r="AA210" s="252">
        <f t="shared" ref="AA210:AA218" si="114">AA306-AA305+AA274-AA258+AA290</f>
        <v>-0.37864566666666644</v>
      </c>
      <c r="AB210" s="252">
        <f t="shared" si="112"/>
        <v>-1.2704666666666662</v>
      </c>
      <c r="AC210" s="252">
        <f t="shared" si="112"/>
        <v>-2.8588466666666661</v>
      </c>
      <c r="AD210" s="252">
        <f t="shared" si="112"/>
        <v>-1.2676666666666665</v>
      </c>
      <c r="AE210" s="252">
        <f t="shared" si="112"/>
        <v>7.6349768484082148E-2</v>
      </c>
      <c r="AF210" s="240"/>
      <c r="AG210" s="240"/>
    </row>
    <row r="211" spans="1:33">
      <c r="A211" s="240" t="s">
        <v>241</v>
      </c>
      <c r="B211" s="290">
        <f t="shared" si="113"/>
        <v>1.56052227301294</v>
      </c>
      <c r="C211" s="290">
        <f t="shared" si="113"/>
        <v>1.2094844661597941</v>
      </c>
      <c r="D211" s="290">
        <f t="shared" si="111"/>
        <v>0.77166666666666672</v>
      </c>
      <c r="E211" s="290">
        <f t="shared" si="111"/>
        <v>0.23733333333333329</v>
      </c>
      <c r="F211" s="290">
        <f t="shared" si="111"/>
        <v>-9.1666666666666785E-2</v>
      </c>
      <c r="G211" s="290">
        <f t="shared" si="111"/>
        <v>-1.2000000000000011E-2</v>
      </c>
      <c r="H211" s="290">
        <f t="shared" si="111"/>
        <v>-0.16133333333333333</v>
      </c>
      <c r="I211" s="290">
        <f t="shared" si="111"/>
        <v>0.18166666666666664</v>
      </c>
      <c r="J211" s="290">
        <f t="shared" si="111"/>
        <v>-0.66733333333333356</v>
      </c>
      <c r="K211" s="290">
        <f t="shared" si="111"/>
        <v>0.53266666666666684</v>
      </c>
      <c r="L211" s="290">
        <f t="shared" si="111"/>
        <v>-4.6333333333333115E-2</v>
      </c>
      <c r="M211" s="290">
        <f t="shared" si="111"/>
        <v>1.5309999999999997</v>
      </c>
      <c r="N211" s="290">
        <f t="shared" si="111"/>
        <v>0.51466666666666638</v>
      </c>
      <c r="O211" s="290">
        <f t="shared" si="111"/>
        <v>0.39333333333333353</v>
      </c>
      <c r="P211" s="290">
        <f t="shared" si="111"/>
        <v>-6.7999999999999616E-2</v>
      </c>
      <c r="Q211" s="290">
        <f t="shared" si="111"/>
        <v>0.83166666666666655</v>
      </c>
      <c r="R211" s="290">
        <f t="shared" si="111"/>
        <v>-0.95400000000000018</v>
      </c>
      <c r="S211" s="290">
        <f t="shared" si="111"/>
        <v>0.23366666666666647</v>
      </c>
      <c r="T211" s="290">
        <f t="shared" si="111"/>
        <v>0.19266666666666654</v>
      </c>
      <c r="U211" s="290">
        <f t="shared" si="111"/>
        <v>-0.21466666666666656</v>
      </c>
      <c r="V211" s="290">
        <f t="shared" si="111"/>
        <v>0.19966666666666666</v>
      </c>
      <c r="W211" s="290">
        <f t="shared" si="111"/>
        <v>-7.7666666666666995E-2</v>
      </c>
      <c r="X211" s="290">
        <f t="shared" si="111"/>
        <v>0.28733333333333322</v>
      </c>
      <c r="Y211" s="290">
        <f t="shared" si="111"/>
        <v>-2.4000000000000021E-2</v>
      </c>
      <c r="Z211" s="290">
        <f t="shared" si="111"/>
        <v>0.83758233333333365</v>
      </c>
      <c r="AA211" s="252">
        <f t="shared" si="114"/>
        <v>1.6998333333333449E-2</v>
      </c>
      <c r="AB211" s="252">
        <f t="shared" si="112"/>
        <v>-0.79045066666666619</v>
      </c>
      <c r="AC211" s="252">
        <f t="shared" si="112"/>
        <v>-2.6958386666666665</v>
      </c>
      <c r="AD211" s="252">
        <f t="shared" si="112"/>
        <v>-1.5606666666666662</v>
      </c>
      <c r="AE211" s="252">
        <f t="shared" si="112"/>
        <v>0.24381536530518688</v>
      </c>
      <c r="AF211" s="240"/>
      <c r="AG211" s="240"/>
    </row>
    <row r="212" spans="1:33">
      <c r="A212" s="240" t="s">
        <v>231</v>
      </c>
      <c r="B212" s="290">
        <f t="shared" si="113"/>
        <v>1.5458741345136355</v>
      </c>
      <c r="C212" s="290">
        <f t="shared" si="113"/>
        <v>0.84266666666666667</v>
      </c>
      <c r="D212" s="290">
        <f t="shared" si="111"/>
        <v>0.5256666666666665</v>
      </c>
      <c r="E212" s="290">
        <f t="shared" si="111"/>
        <v>-0.21466666666666678</v>
      </c>
      <c r="F212" s="290">
        <f t="shared" si="111"/>
        <v>-0.10466666666666669</v>
      </c>
      <c r="G212" s="290">
        <f t="shared" si="111"/>
        <v>-5.699999999999994E-2</v>
      </c>
      <c r="H212" s="290">
        <f t="shared" si="111"/>
        <v>0.13966666666666638</v>
      </c>
      <c r="I212" s="290">
        <f t="shared" si="111"/>
        <v>-0.38033333333333363</v>
      </c>
      <c r="J212" s="290">
        <f t="shared" si="111"/>
        <v>0.6466666666666665</v>
      </c>
      <c r="K212" s="290">
        <f t="shared" si="111"/>
        <v>0.49066666666666658</v>
      </c>
      <c r="L212" s="290">
        <f t="shared" si="111"/>
        <v>0.16466666666666674</v>
      </c>
      <c r="M212" s="290">
        <f t="shared" si="111"/>
        <v>-0.48299999999999965</v>
      </c>
      <c r="N212" s="290">
        <f t="shared" si="111"/>
        <v>0.3496666666666659</v>
      </c>
      <c r="O212" s="290">
        <f t="shared" si="111"/>
        <v>0.57133333333333347</v>
      </c>
      <c r="P212" s="290">
        <f t="shared" si="111"/>
        <v>0.43599999999999994</v>
      </c>
      <c r="Q212" s="290">
        <f t="shared" si="111"/>
        <v>-0.10033333333333294</v>
      </c>
      <c r="R212" s="290">
        <f t="shared" si="111"/>
        <v>0.36000000000000032</v>
      </c>
      <c r="S212" s="290">
        <f t="shared" si="111"/>
        <v>-0.21433333333333349</v>
      </c>
      <c r="T212" s="290">
        <f t="shared" si="111"/>
        <v>0.30566666666666631</v>
      </c>
      <c r="U212" s="290">
        <f t="shared" si="111"/>
        <v>1.4783333333333339</v>
      </c>
      <c r="V212" s="290">
        <f t="shared" si="111"/>
        <v>0.57866666666666644</v>
      </c>
      <c r="W212" s="290">
        <f t="shared" si="111"/>
        <v>1.1913333333333331</v>
      </c>
      <c r="X212" s="290">
        <f t="shared" si="111"/>
        <v>-2.866666666666684E-2</v>
      </c>
      <c r="Y212" s="290">
        <f t="shared" si="111"/>
        <v>-2.4999999999999911E-2</v>
      </c>
      <c r="Z212" s="290">
        <f t="shared" si="111"/>
        <v>8.5388333333333843E-2</v>
      </c>
      <c r="AA212" s="252">
        <f t="shared" si="114"/>
        <v>-0.32006866666666633</v>
      </c>
      <c r="AB212" s="252">
        <f t="shared" si="112"/>
        <v>-0.80595966666666641</v>
      </c>
      <c r="AC212" s="252">
        <f t="shared" si="112"/>
        <v>-2.0556666666666668</v>
      </c>
      <c r="AD212" s="252">
        <f t="shared" si="112"/>
        <v>-4.8536666666666655</v>
      </c>
      <c r="AE212" s="252">
        <f t="shared" si="112"/>
        <v>8.3374049812992013E-2</v>
      </c>
      <c r="AF212" s="240"/>
      <c r="AG212" s="240"/>
    </row>
    <row r="213" spans="1:33">
      <c r="A213" s="240" t="s">
        <v>232</v>
      </c>
      <c r="B213" s="290">
        <f t="shared" si="113"/>
        <v>1.6043216574366026</v>
      </c>
      <c r="C213" s="290">
        <f t="shared" si="113"/>
        <v>1.1836666666666666</v>
      </c>
      <c r="D213" s="290">
        <f t="shared" si="111"/>
        <v>0.8446666666666669</v>
      </c>
      <c r="E213" s="290">
        <f t="shared" si="111"/>
        <v>-0.17966666666666664</v>
      </c>
      <c r="F213" s="290">
        <f t="shared" si="111"/>
        <v>1.1183333333333336</v>
      </c>
      <c r="G213" s="290">
        <f t="shared" si="111"/>
        <v>0.20299999999999985</v>
      </c>
      <c r="H213" s="290">
        <f t="shared" si="111"/>
        <v>-0.11533333333333351</v>
      </c>
      <c r="I213" s="290">
        <f t="shared" si="111"/>
        <v>3.5776666666666661</v>
      </c>
      <c r="J213" s="290">
        <f t="shared" si="111"/>
        <v>-0.84633333333333338</v>
      </c>
      <c r="K213" s="290">
        <f t="shared" si="111"/>
        <v>9.2666666666666675E-2</v>
      </c>
      <c r="L213" s="290">
        <f t="shared" si="111"/>
        <v>0.23566666666666669</v>
      </c>
      <c r="M213" s="290">
        <f t="shared" si="111"/>
        <v>0.65900000000000025</v>
      </c>
      <c r="N213" s="290">
        <f t="shared" si="111"/>
        <v>0.76066666666666638</v>
      </c>
      <c r="O213" s="290">
        <f t="shared" si="111"/>
        <v>0.82433333333333358</v>
      </c>
      <c r="P213" s="290">
        <f t="shared" si="111"/>
        <v>0.98199999999999976</v>
      </c>
      <c r="Q213" s="290">
        <f t="shared" si="111"/>
        <v>7.2666666666666657E-2</v>
      </c>
      <c r="R213" s="290">
        <f t="shared" si="111"/>
        <v>7.8999999999999737E-2</v>
      </c>
      <c r="S213" s="290">
        <f t="shared" si="111"/>
        <v>0.14566666666666661</v>
      </c>
      <c r="T213" s="290">
        <f t="shared" si="111"/>
        <v>3.0666666666666398E-2</v>
      </c>
      <c r="U213" s="290">
        <f t="shared" si="111"/>
        <v>0.18933333333333358</v>
      </c>
      <c r="V213" s="290">
        <f t="shared" si="111"/>
        <v>-3.4333333333333327E-2</v>
      </c>
      <c r="W213" s="290">
        <f t="shared" si="111"/>
        <v>-1.6326666666666667</v>
      </c>
      <c r="X213" s="290">
        <f t="shared" si="111"/>
        <v>-0.28266666666666684</v>
      </c>
      <c r="Y213" s="290">
        <f t="shared" si="111"/>
        <v>0.4850000000000001</v>
      </c>
      <c r="Z213" s="252">
        <f t="shared" ref="Z213:Z218" si="115">Z$235*Z87</f>
        <v>1.6524485714285737</v>
      </c>
      <c r="AA213" s="252">
        <f t="shared" si="114"/>
        <v>0.18777533333333363</v>
      </c>
      <c r="AB213" s="252">
        <f t="shared" si="112"/>
        <v>0.19237033333333353</v>
      </c>
      <c r="AC213" s="252">
        <f t="shared" si="112"/>
        <v>0.2453333333333334</v>
      </c>
      <c r="AD213" s="252">
        <f t="shared" si="112"/>
        <v>-2.7366666666666668</v>
      </c>
      <c r="AE213" s="252">
        <f t="shared" si="112"/>
        <v>0.73426537728581431</v>
      </c>
      <c r="AF213" s="240"/>
      <c r="AG213" s="240"/>
    </row>
    <row r="214" spans="1:33">
      <c r="A214" s="240" t="s">
        <v>233</v>
      </c>
      <c r="B214" s="290">
        <f t="shared" si="113"/>
        <v>1.4193103503843321</v>
      </c>
      <c r="C214" s="290">
        <f t="shared" si="113"/>
        <v>1.1146666666666665</v>
      </c>
      <c r="D214" s="290">
        <f t="shared" si="111"/>
        <v>-0.64413333333333322</v>
      </c>
      <c r="E214" s="290">
        <f t="shared" si="111"/>
        <v>0.26435133333333338</v>
      </c>
      <c r="F214" s="290">
        <f t="shared" si="111"/>
        <v>-0.2346666666666668</v>
      </c>
      <c r="G214" s="290">
        <f t="shared" si="111"/>
        <v>2.6999999999999913E-2</v>
      </c>
      <c r="H214" s="290">
        <f t="shared" si="111"/>
        <v>0.43566666666666642</v>
      </c>
      <c r="I214" s="290">
        <f t="shared" si="111"/>
        <v>-0.43733333333333357</v>
      </c>
      <c r="J214" s="290">
        <f t="shared" si="111"/>
        <v>-8.1473333333333287E-2</v>
      </c>
      <c r="K214" s="290">
        <f t="shared" si="111"/>
        <v>0.65366666666666662</v>
      </c>
      <c r="L214" s="290">
        <f t="shared" si="111"/>
        <v>-0.27633333333333332</v>
      </c>
      <c r="M214" s="290">
        <f t="shared" si="111"/>
        <v>0.48899999999999988</v>
      </c>
      <c r="N214" s="290">
        <f t="shared" si="111"/>
        <v>-0.70933333333333337</v>
      </c>
      <c r="O214" s="290">
        <f t="shared" si="111"/>
        <v>-1.283666666666667</v>
      </c>
      <c r="P214" s="290">
        <f t="shared" si="111"/>
        <v>-1.5529999999999999</v>
      </c>
      <c r="Q214" s="290">
        <f t="shared" si="111"/>
        <v>1.0566666666666666</v>
      </c>
      <c r="R214" s="290">
        <f t="shared" si="111"/>
        <v>9.1000000000000192E-2</v>
      </c>
      <c r="S214" s="290">
        <f t="shared" si="111"/>
        <v>-2.5333333333333652E-2</v>
      </c>
      <c r="T214" s="290">
        <f t="shared" si="111"/>
        <v>-0.1123333333333334</v>
      </c>
      <c r="U214" s="290">
        <f t="shared" si="111"/>
        <v>2.8333333333333544E-2</v>
      </c>
      <c r="V214" s="290">
        <f t="shared" si="111"/>
        <v>-0.19633333333333325</v>
      </c>
      <c r="W214" s="290">
        <f t="shared" si="111"/>
        <v>1.255333333333333</v>
      </c>
      <c r="X214" s="290">
        <f t="shared" si="111"/>
        <v>-0.10266666666666691</v>
      </c>
      <c r="Y214" s="290">
        <f t="shared" si="111"/>
        <v>-0.16799999999999971</v>
      </c>
      <c r="Z214" s="252">
        <f t="shared" si="115"/>
        <v>-1.1416228571428599</v>
      </c>
      <c r="AA214" s="252">
        <f t="shared" si="114"/>
        <v>-0.72780466666666666</v>
      </c>
      <c r="AB214" s="252">
        <f t="shared" si="112"/>
        <v>-0.62370466666666635</v>
      </c>
      <c r="AC214" s="252">
        <f t="shared" si="112"/>
        <v>-2.1586666666666665</v>
      </c>
      <c r="AD214" s="252">
        <f t="shared" si="112"/>
        <v>-4.836666666666666</v>
      </c>
      <c r="AE214" s="252">
        <f t="shared" si="112"/>
        <v>-0.17238715756399481</v>
      </c>
      <c r="AF214" s="240"/>
      <c r="AG214" s="240"/>
    </row>
    <row r="215" spans="1:33">
      <c r="A215" s="240" t="s">
        <v>234</v>
      </c>
      <c r="B215" s="290">
        <f t="shared" si="113"/>
        <v>1.4474463787889369</v>
      </c>
      <c r="C215" s="290">
        <f t="shared" si="113"/>
        <v>0.63626666666666676</v>
      </c>
      <c r="D215" s="290">
        <f t="shared" si="111"/>
        <v>1.0546666666666669</v>
      </c>
      <c r="E215" s="290">
        <f t="shared" si="111"/>
        <v>7.9333333333333256E-2</v>
      </c>
      <c r="F215" s="290">
        <f t="shared" si="111"/>
        <v>0.2553333333333333</v>
      </c>
      <c r="G215" s="290">
        <f t="shared" si="111"/>
        <v>-0.33099999999999996</v>
      </c>
      <c r="H215" s="290">
        <f t="shared" si="111"/>
        <v>0.76166666666666627</v>
      </c>
      <c r="I215" s="290">
        <f t="shared" si="111"/>
        <v>-0.24033333333333351</v>
      </c>
      <c r="J215" s="290">
        <f t="shared" si="111"/>
        <v>-1.3553333333333337</v>
      </c>
      <c r="K215" s="290">
        <f t="shared" si="111"/>
        <v>0.25666666666666682</v>
      </c>
      <c r="L215" s="290">
        <f t="shared" si="111"/>
        <v>0.29166666666666674</v>
      </c>
      <c r="M215" s="290">
        <f t="shared" si="111"/>
        <v>-0.91800000000000015</v>
      </c>
      <c r="N215" s="290">
        <f t="shared" si="111"/>
        <v>0.35466666666666624</v>
      </c>
      <c r="O215" s="290">
        <f t="shared" si="111"/>
        <v>-0.83066666666666755</v>
      </c>
      <c r="P215" s="290">
        <f t="shared" si="111"/>
        <v>0.75099999999999945</v>
      </c>
      <c r="Q215" s="290">
        <f t="shared" si="111"/>
        <v>-0.36333333333333417</v>
      </c>
      <c r="R215" s="290">
        <f t="shared" si="111"/>
        <v>0.68900000000000006</v>
      </c>
      <c r="S215" s="290">
        <f t="shared" si="111"/>
        <v>0.49666666666666659</v>
      </c>
      <c r="T215" s="290">
        <f t="shared" si="111"/>
        <v>-0.24833333333333352</v>
      </c>
      <c r="U215" s="290">
        <f t="shared" si="111"/>
        <v>-3.8666666666666627E-2</v>
      </c>
      <c r="V215" s="290">
        <f t="shared" si="111"/>
        <v>-3.6333333333333329E-2</v>
      </c>
      <c r="W215" s="290">
        <f t="shared" si="111"/>
        <v>-0.39766666666666683</v>
      </c>
      <c r="X215" s="290">
        <f t="shared" si="111"/>
        <v>0.11833333333333318</v>
      </c>
      <c r="Y215" s="290">
        <f t="shared" si="111"/>
        <v>0.34299999999999997</v>
      </c>
      <c r="Z215" s="252">
        <f t="shared" si="115"/>
        <v>0.79623142857142981</v>
      </c>
      <c r="AA215" s="252">
        <f t="shared" si="114"/>
        <v>0.20372233333333356</v>
      </c>
      <c r="AB215" s="252">
        <f t="shared" si="112"/>
        <v>-0.54329266666666642</v>
      </c>
      <c r="AC215" s="252">
        <f t="shared" si="112"/>
        <v>-1.3046666666666664</v>
      </c>
      <c r="AD215" s="252">
        <f t="shared" si="112"/>
        <v>0.38227688415549266</v>
      </c>
      <c r="AE215" s="252">
        <f t="shared" si="112"/>
        <v>0.44167623362148634</v>
      </c>
      <c r="AF215" s="240"/>
      <c r="AG215" s="240"/>
    </row>
    <row r="216" spans="1:33">
      <c r="A216" s="240" t="s">
        <v>46</v>
      </c>
      <c r="B216" s="290">
        <f t="shared" si="113"/>
        <v>1.436037267614561</v>
      </c>
      <c r="C216" s="290">
        <f t="shared" si="113"/>
        <v>0.85774666666666666</v>
      </c>
      <c r="D216" s="290">
        <f t="shared" si="111"/>
        <v>-1.1389883333333333</v>
      </c>
      <c r="E216" s="290">
        <f t="shared" si="111"/>
        <v>1.3333333333333197E-2</v>
      </c>
      <c r="F216" s="290">
        <f t="shared" si="111"/>
        <v>-0.30666666666666687</v>
      </c>
      <c r="G216" s="290">
        <f t="shared" si="111"/>
        <v>-0.2280000000000002</v>
      </c>
      <c r="H216" s="290">
        <f t="shared" si="111"/>
        <v>0.21566666666666645</v>
      </c>
      <c r="I216" s="290">
        <f t="shared" si="111"/>
        <v>-1.4483333333333337</v>
      </c>
      <c r="J216" s="290">
        <f t="shared" si="111"/>
        <v>1.7166666666666668</v>
      </c>
      <c r="K216" s="290">
        <f t="shared" si="111"/>
        <v>0.44386666666666685</v>
      </c>
      <c r="L216" s="290">
        <f t="shared" si="111"/>
        <v>-0.13433333333333342</v>
      </c>
      <c r="M216" s="290">
        <f t="shared" si="111"/>
        <v>-1.0769999999999995</v>
      </c>
      <c r="N216" s="290">
        <f t="shared" si="111"/>
        <v>-1.2493333333333334</v>
      </c>
      <c r="O216" s="290">
        <f t="shared" si="111"/>
        <v>0.75933333333333275</v>
      </c>
      <c r="P216" s="290">
        <f t="shared" si="111"/>
        <v>0.27400000000000047</v>
      </c>
      <c r="Q216" s="290">
        <f t="shared" si="111"/>
        <v>-0.59633333333333383</v>
      </c>
      <c r="R216" s="290">
        <f t="shared" si="111"/>
        <v>1.0100000000000002</v>
      </c>
      <c r="S216" s="290">
        <f t="shared" si="111"/>
        <v>0.15666666666666629</v>
      </c>
      <c r="T216" s="290">
        <f t="shared" si="111"/>
        <v>-0.14133333333333353</v>
      </c>
      <c r="U216" s="290">
        <f t="shared" si="111"/>
        <v>-3.6666666666664849E-3</v>
      </c>
      <c r="V216" s="290">
        <f t="shared" si="111"/>
        <v>-5.2333333333333121E-2</v>
      </c>
      <c r="W216" s="290">
        <f t="shared" si="111"/>
        <v>0.24233333333333307</v>
      </c>
      <c r="X216" s="290">
        <f t="shared" si="111"/>
        <v>0.3753333333333333</v>
      </c>
      <c r="Y216" s="290">
        <f t="shared" si="111"/>
        <v>-0.121</v>
      </c>
      <c r="Z216" s="252">
        <f t="shared" si="115"/>
        <v>-9.2188571428571633E-2</v>
      </c>
      <c r="AA216" s="252">
        <f t="shared" si="114"/>
        <v>-0.13659566666666612</v>
      </c>
      <c r="AB216" s="252">
        <f t="shared" si="112"/>
        <v>-1.5428706666666665</v>
      </c>
      <c r="AC216" s="252">
        <f t="shared" si="112"/>
        <v>-1.9836666666666658</v>
      </c>
      <c r="AD216" s="252">
        <f t="shared" si="112"/>
        <v>8.2270752865829522E-2</v>
      </c>
      <c r="AE216" s="252">
        <f t="shared" si="112"/>
        <v>9.5328954541782362E-2</v>
      </c>
      <c r="AF216" s="240"/>
      <c r="AG216" s="240"/>
    </row>
    <row r="217" spans="1:33">
      <c r="A217" s="240" t="s">
        <v>235</v>
      </c>
      <c r="B217" s="290">
        <f t="shared" si="113"/>
        <v>1.5233459743133853</v>
      </c>
      <c r="C217" s="290">
        <f t="shared" si="113"/>
        <v>1.0876666666666668</v>
      </c>
      <c r="D217" s="290">
        <f t="shared" si="111"/>
        <v>-1.1303333333333332</v>
      </c>
      <c r="E217" s="290">
        <f t="shared" si="111"/>
        <v>0.19833333333333325</v>
      </c>
      <c r="F217" s="290">
        <f t="shared" si="111"/>
        <v>-0.28466666666666662</v>
      </c>
      <c r="G217" s="290">
        <f t="shared" si="111"/>
        <v>-0.7300000000000002</v>
      </c>
      <c r="H217" s="290">
        <f t="shared" si="111"/>
        <v>-0.47933333333333383</v>
      </c>
      <c r="I217" s="290">
        <f t="shared" si="111"/>
        <v>0.87366666666666637</v>
      </c>
      <c r="J217" s="290">
        <f t="shared" si="111"/>
        <v>0.72066666666666634</v>
      </c>
      <c r="K217" s="290">
        <f t="shared" si="111"/>
        <v>0.50266666666666682</v>
      </c>
      <c r="L217" s="290">
        <f t="shared" si="111"/>
        <v>-0.34633333333333338</v>
      </c>
      <c r="M217" s="290">
        <f t="shared" si="111"/>
        <v>0.19700000000000006</v>
      </c>
      <c r="N217" s="290">
        <f t="shared" si="111"/>
        <v>9.9666666666666792E-2</v>
      </c>
      <c r="O217" s="290">
        <f t="shared" si="111"/>
        <v>0.19233333333333302</v>
      </c>
      <c r="P217" s="290">
        <f t="shared" si="111"/>
        <v>-1.1479999999999997</v>
      </c>
      <c r="Q217" s="290">
        <f t="shared" si="111"/>
        <v>3.9666666666666739E-2</v>
      </c>
      <c r="R217" s="290">
        <f t="shared" si="111"/>
        <v>1.194</v>
      </c>
      <c r="S217" s="290">
        <f t="shared" si="111"/>
        <v>0.74866666666666637</v>
      </c>
      <c r="T217" s="290">
        <f t="shared" si="111"/>
        <v>-0.44833333333333369</v>
      </c>
      <c r="U217" s="290">
        <f t="shared" si="111"/>
        <v>-0.13166666666666638</v>
      </c>
      <c r="V217" s="290">
        <f t="shared" si="111"/>
        <v>4.3666666666666742E-2</v>
      </c>
      <c r="W217" s="290">
        <f t="shared" si="111"/>
        <v>0.59233333333333338</v>
      </c>
      <c r="X217" s="290">
        <f t="shared" si="111"/>
        <v>-0.10466666666666669</v>
      </c>
      <c r="Y217" s="290">
        <f t="shared" si="111"/>
        <v>6.1776999999999749E-2</v>
      </c>
      <c r="Z217" s="252">
        <f t="shared" si="115"/>
        <v>1.7157402857142896</v>
      </c>
      <c r="AA217" s="252">
        <f t="shared" si="114"/>
        <v>-0.32068266666666645</v>
      </c>
      <c r="AB217" s="252">
        <f t="shared" si="112"/>
        <v>-1.1502916666666665</v>
      </c>
      <c r="AC217" s="252">
        <f t="shared" si="112"/>
        <v>-1.5466666666666664</v>
      </c>
      <c r="AD217" s="252">
        <f t="shared" si="112"/>
        <v>-0.14606098504576126</v>
      </c>
      <c r="AE217" s="252">
        <f t="shared" si="112"/>
        <v>-2.3122780071716864E-2</v>
      </c>
      <c r="AF217" s="240"/>
      <c r="AG217" s="240"/>
    </row>
    <row r="218" spans="1:33">
      <c r="A218" s="240" t="s">
        <v>236</v>
      </c>
      <c r="B218" s="290">
        <f t="shared" si="113"/>
        <v>1.4604991754714853</v>
      </c>
      <c r="C218" s="290">
        <f t="shared" si="113"/>
        <v>1.2511666666666668</v>
      </c>
      <c r="D218" s="290">
        <f t="shared" si="111"/>
        <v>-0.32133333333333325</v>
      </c>
      <c r="E218" s="290">
        <f t="shared" si="111"/>
        <v>8.6333333333333373E-2</v>
      </c>
      <c r="F218" s="290">
        <f t="shared" si="111"/>
        <v>-0.24766666666666692</v>
      </c>
      <c r="G218" s="290">
        <f t="shared" si="111"/>
        <v>-2.0000000000000018E-2</v>
      </c>
      <c r="H218" s="290">
        <f t="shared" si="111"/>
        <v>0.79066666666666641</v>
      </c>
      <c r="I218" s="290">
        <f t="shared" si="111"/>
        <v>0.80166666666666631</v>
      </c>
      <c r="J218" s="290">
        <f t="shared" si="111"/>
        <v>0.98466666666666658</v>
      </c>
      <c r="K218" s="290">
        <f t="shared" si="111"/>
        <v>0.25766666666666671</v>
      </c>
      <c r="L218" s="290">
        <f t="shared" si="111"/>
        <v>-1.5333333333333199E-2</v>
      </c>
      <c r="M218" s="290">
        <f t="shared" si="111"/>
        <v>0.35399999999999965</v>
      </c>
      <c r="N218" s="290">
        <f t="shared" si="111"/>
        <v>-0.86233333333333384</v>
      </c>
      <c r="O218" s="290">
        <f t="shared" si="111"/>
        <v>-0.47666666666666657</v>
      </c>
      <c r="P218" s="290">
        <f t="shared" si="111"/>
        <v>-0.30499999999999972</v>
      </c>
      <c r="Q218" s="290">
        <f t="shared" si="111"/>
        <v>-0.82533333333333303</v>
      </c>
      <c r="R218" s="290">
        <f t="shared" si="111"/>
        <v>1.5580000000000003</v>
      </c>
      <c r="S218" s="290">
        <f t="shared" si="111"/>
        <v>0.19966666666666644</v>
      </c>
      <c r="T218" s="290">
        <f t="shared" si="111"/>
        <v>0.15466666666666651</v>
      </c>
      <c r="U218" s="290">
        <f t="shared" si="111"/>
        <v>-0.37166666666666637</v>
      </c>
      <c r="V218" s="290">
        <f t="shared" si="111"/>
        <v>-6.3333333333333242E-2</v>
      </c>
      <c r="W218" s="290">
        <f t="shared" si="111"/>
        <v>1.3333333333331865E-3</v>
      </c>
      <c r="X218" s="290">
        <f t="shared" si="111"/>
        <v>0.1403333333333332</v>
      </c>
      <c r="Y218" s="290">
        <f t="shared" si="111"/>
        <v>-1.5994000000000064E-2</v>
      </c>
      <c r="Z218" s="252">
        <f t="shared" si="115"/>
        <v>1.3260000000000001</v>
      </c>
      <c r="AA218" s="252">
        <f t="shared" si="114"/>
        <v>-0.86477266666666663</v>
      </c>
      <c r="AB218" s="252">
        <f t="shared" si="112"/>
        <v>-1.3053846666666664</v>
      </c>
      <c r="AC218" s="252">
        <f t="shared" si="112"/>
        <v>-2.3266666666666667</v>
      </c>
      <c r="AD218" s="252">
        <f t="shared" si="112"/>
        <v>20.384846681357772</v>
      </c>
      <c r="AE218" s="252">
        <f t="shared" si="112"/>
        <v>-0.26454695806213202</v>
      </c>
      <c r="AF218" s="240"/>
      <c r="AG218" s="240"/>
    </row>
    <row r="219" spans="1:33" ht="15.75" thickBot="1">
      <c r="A219" s="240" t="s">
        <v>242</v>
      </c>
      <c r="B219" s="146">
        <f t="shared" ref="B219:Y219" si="116">SUM(B207:B218)</f>
        <v>18.000000000000004</v>
      </c>
      <c r="C219" s="146">
        <f t="shared" si="116"/>
        <v>13</v>
      </c>
      <c r="D219" s="146">
        <f t="shared" si="116"/>
        <v>0.8321450000000008</v>
      </c>
      <c r="E219" s="146">
        <f t="shared" si="116"/>
        <v>1.5140179999999996</v>
      </c>
      <c r="F219" s="146">
        <f t="shared" si="116"/>
        <v>0.57499999999999885</v>
      </c>
      <c r="G219" s="146">
        <f t="shared" si="116"/>
        <v>3.9999999999999147E-2</v>
      </c>
      <c r="H219" s="146">
        <f t="shared" si="116"/>
        <v>9.899999999999709E-2</v>
      </c>
      <c r="I219" s="146">
        <f t="shared" si="116"/>
        <v>3.8559999999999968</v>
      </c>
      <c r="J219" s="146">
        <f t="shared" si="116"/>
        <v>1.6859999999998099E-2</v>
      </c>
      <c r="K219" s="146">
        <f t="shared" si="116"/>
        <v>0.19620000000000126</v>
      </c>
      <c r="L219" s="146">
        <f t="shared" si="116"/>
        <v>0.36200000000000054</v>
      </c>
      <c r="M219" s="146">
        <f t="shared" si="116"/>
        <v>2.7250000000000005</v>
      </c>
      <c r="N219" s="146">
        <f t="shared" si="116"/>
        <v>0.38099999999999667</v>
      </c>
      <c r="O219" s="146">
        <f t="shared" si="116"/>
        <v>0.18999999999999728</v>
      </c>
      <c r="P219" s="146">
        <f t="shared" si="116"/>
        <v>0.57499999999999973</v>
      </c>
      <c r="Q219" s="146">
        <f t="shared" si="116"/>
        <v>0.33299999999999974</v>
      </c>
      <c r="R219" s="146">
        <f t="shared" si="116"/>
        <v>0.42499999999999982</v>
      </c>
      <c r="S219" s="146">
        <f t="shared" si="116"/>
        <v>0.33799999999999719</v>
      </c>
      <c r="T219" s="146">
        <f t="shared" si="116"/>
        <v>6.1999999999998057E-2</v>
      </c>
      <c r="U219" s="146">
        <f t="shared" si="116"/>
        <v>6.4000000000002943E-2</v>
      </c>
      <c r="V219" s="146">
        <f t="shared" si="116"/>
        <v>0.12300000000000044</v>
      </c>
      <c r="W219" s="146">
        <f t="shared" si="116"/>
        <v>0.15299999999999847</v>
      </c>
      <c r="X219" s="146">
        <f t="shared" si="116"/>
        <v>0.29799999999999871</v>
      </c>
      <c r="Y219" s="146">
        <f t="shared" si="116"/>
        <v>0.22978299999999963</v>
      </c>
      <c r="Z219" s="253">
        <f>Z33</f>
        <v>1.3260000000000001</v>
      </c>
      <c r="AA219" s="253">
        <f>AA33</f>
        <v>1.3260000000000001</v>
      </c>
      <c r="AB219" s="253">
        <f>AB33</f>
        <v>1.3260000000000001</v>
      </c>
      <c r="AC219" s="253">
        <f>AC33</f>
        <v>1.3260000000000001</v>
      </c>
      <c r="AD219" s="253">
        <f t="shared" ref="AD219:AE219" si="117">AD33</f>
        <v>1.3260000000000001</v>
      </c>
      <c r="AE219" s="253">
        <f t="shared" si="117"/>
        <v>1.3260000000000001</v>
      </c>
      <c r="AF219" s="240"/>
      <c r="AG219" s="240"/>
    </row>
    <row r="220" spans="1:33">
      <c r="A220" s="248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</row>
    <row r="221" spans="1:33" ht="15.75" thickBot="1">
      <c r="A221" s="235" t="s">
        <v>263</v>
      </c>
    </row>
    <row r="222" spans="1:33" ht="15.75" thickBot="1">
      <c r="A222" s="236"/>
      <c r="B222" s="237" t="str">
        <f>B$2</f>
        <v xml:space="preserve">93/94 </v>
      </c>
      <c r="C222" s="237" t="str">
        <f t="shared" ref="C222:AE222" si="118">C$2</f>
        <v xml:space="preserve">94/95 </v>
      </c>
      <c r="D222" s="237" t="str">
        <f t="shared" si="118"/>
        <v xml:space="preserve">95/96 </v>
      </c>
      <c r="E222" s="237" t="str">
        <f t="shared" si="118"/>
        <v xml:space="preserve">96/97 </v>
      </c>
      <c r="F222" s="237" t="str">
        <f t="shared" si="118"/>
        <v xml:space="preserve">97/98 </v>
      </c>
      <c r="G222" s="237" t="str">
        <f t="shared" si="118"/>
        <v xml:space="preserve">98/99 </v>
      </c>
      <c r="H222" s="237" t="str">
        <f t="shared" si="118"/>
        <v xml:space="preserve">99/00 </v>
      </c>
      <c r="I222" s="237" t="str">
        <f t="shared" si="118"/>
        <v xml:space="preserve">00/01 </v>
      </c>
      <c r="J222" s="237" t="str">
        <f t="shared" si="118"/>
        <v xml:space="preserve">01/02 </v>
      </c>
      <c r="K222" s="237" t="str">
        <f t="shared" si="118"/>
        <v xml:space="preserve">02/03 </v>
      </c>
      <c r="L222" s="237" t="str">
        <f t="shared" si="118"/>
        <v xml:space="preserve">03/04 </v>
      </c>
      <c r="M222" s="237" t="str">
        <f t="shared" si="118"/>
        <v xml:space="preserve">04/05 </v>
      </c>
      <c r="N222" s="237" t="str">
        <f t="shared" si="118"/>
        <v xml:space="preserve">05/06 </v>
      </c>
      <c r="O222" s="237" t="str">
        <f t="shared" si="118"/>
        <v xml:space="preserve">06/07 </v>
      </c>
      <c r="P222" s="237" t="str">
        <f t="shared" si="118"/>
        <v xml:space="preserve">07/08 </v>
      </c>
      <c r="Q222" s="237" t="str">
        <f t="shared" si="118"/>
        <v xml:space="preserve">08/09 </v>
      </c>
      <c r="R222" s="237" t="str">
        <f t="shared" si="118"/>
        <v xml:space="preserve">09/10 </v>
      </c>
      <c r="S222" s="237" t="str">
        <f t="shared" si="118"/>
        <v xml:space="preserve">10/11 </v>
      </c>
      <c r="T222" s="237" t="str">
        <f t="shared" si="118"/>
        <v xml:space="preserve">11/12 </v>
      </c>
      <c r="U222" s="237" t="str">
        <f t="shared" si="118"/>
        <v xml:space="preserve">12/13 </v>
      </c>
      <c r="V222" s="237" t="str">
        <f t="shared" si="118"/>
        <v xml:space="preserve">13/14 </v>
      </c>
      <c r="W222" s="237" t="str">
        <f t="shared" si="118"/>
        <v xml:space="preserve">14/15 </v>
      </c>
      <c r="X222" s="237" t="str">
        <f t="shared" si="118"/>
        <v xml:space="preserve">15/16 </v>
      </c>
      <c r="Y222" s="237" t="str">
        <f t="shared" si="118"/>
        <v xml:space="preserve">16/17 </v>
      </c>
      <c r="Z222" s="237" t="str">
        <f t="shared" si="118"/>
        <v xml:space="preserve">17/18 </v>
      </c>
      <c r="AA222" s="237" t="str">
        <f t="shared" si="118"/>
        <v xml:space="preserve">18/19 </v>
      </c>
      <c r="AB222" s="237" t="str">
        <f t="shared" si="118"/>
        <v xml:space="preserve">19/20 </v>
      </c>
      <c r="AC222" s="237" t="str">
        <f t="shared" si="118"/>
        <v xml:space="preserve">20/21 </v>
      </c>
      <c r="AD222" s="237" t="str">
        <f t="shared" si="118"/>
        <v>21/22</v>
      </c>
      <c r="AE222" s="237" t="str">
        <f t="shared" si="118"/>
        <v>22/23</v>
      </c>
    </row>
    <row r="223" spans="1:33">
      <c r="A223" s="240" t="s">
        <v>237</v>
      </c>
      <c r="B223" s="298">
        <f t="shared" ref="B223:AE231" si="119">B207/B81</f>
        <v>0.44650737719550154</v>
      </c>
      <c r="C223" s="298">
        <f t="shared" si="119"/>
        <v>0.50753766027748148</v>
      </c>
      <c r="D223" s="298">
        <f t="shared" si="119"/>
        <v>1.1202966381015158</v>
      </c>
      <c r="E223" s="298">
        <f t="shared" si="119"/>
        <v>0.42211994002998499</v>
      </c>
      <c r="F223" s="298">
        <f t="shared" si="119"/>
        <v>-2.3950232558139537</v>
      </c>
      <c r="G223" s="298">
        <f t="shared" si="119"/>
        <v>0.55812868632707757</v>
      </c>
      <c r="H223" s="298">
        <f t="shared" si="119"/>
        <v>-0.7754976213130349</v>
      </c>
      <c r="I223" s="298">
        <f t="shared" si="119"/>
        <v>-0.55084325306678805</v>
      </c>
      <c r="J223" s="298">
        <f t="shared" si="119"/>
        <v>-0.98612338709677483</v>
      </c>
      <c r="K223" s="298">
        <f t="shared" si="119"/>
        <v>1.8714976816074196</v>
      </c>
      <c r="L223" s="298">
        <f t="shared" si="119"/>
        <v>-0.63876882430647297</v>
      </c>
      <c r="M223" s="298">
        <f t="shared" si="119"/>
        <v>2.7412499999999977</v>
      </c>
      <c r="N223" s="298">
        <f t="shared" si="119"/>
        <v>6.9696876913655559E-2</v>
      </c>
      <c r="O223" s="298">
        <f t="shared" si="119"/>
        <v>0.31155902306648536</v>
      </c>
      <c r="P223" s="298">
        <f t="shared" si="119"/>
        <v>-1.1869671361502334</v>
      </c>
      <c r="Q223" s="298">
        <f t="shared" si="119"/>
        <v>-0.6302888086642604</v>
      </c>
      <c r="R223" s="298">
        <f t="shared" si="119"/>
        <v>0.39195128373930216</v>
      </c>
      <c r="S223" s="298">
        <f t="shared" si="119"/>
        <v>0.52198810535259121</v>
      </c>
      <c r="T223" s="298">
        <f t="shared" si="119"/>
        <v>3.7068368277119366E-2</v>
      </c>
      <c r="U223" s="298">
        <f t="shared" si="119"/>
        <v>0.14799999999999983</v>
      </c>
      <c r="V223" s="298">
        <f t="shared" si="119"/>
        <v>0.41729192546583849</v>
      </c>
      <c r="W223" s="298">
        <f t="shared" si="119"/>
        <v>1.188960698689957</v>
      </c>
      <c r="X223" s="298">
        <f t="shared" si="119"/>
        <v>3.5547288135593327</v>
      </c>
      <c r="Y223" s="298">
        <f t="shared" si="119"/>
        <v>0.8670000000000001</v>
      </c>
      <c r="Z223" s="298">
        <f t="shared" si="119"/>
        <v>-4.8748812580960192E-2</v>
      </c>
      <c r="AA223" s="298">
        <f t="shared" si="119"/>
        <v>0.20929284158295969</v>
      </c>
      <c r="AB223" s="298">
        <f t="shared" si="119"/>
        <v>-2.8843328848786096</v>
      </c>
      <c r="AC223" s="298">
        <f t="shared" si="119"/>
        <v>5.307130464568468</v>
      </c>
      <c r="AD223" s="298">
        <f t="shared" si="119"/>
        <v>5.710619543563876</v>
      </c>
      <c r="AE223" s="298">
        <f t="shared" si="119"/>
        <v>0.33493788813579611</v>
      </c>
      <c r="AF223" s="240"/>
      <c r="AG223" s="240"/>
    </row>
    <row r="224" spans="1:33">
      <c r="A224" s="240" t="s">
        <v>238</v>
      </c>
      <c r="B224" s="298">
        <f t="shared" si="119"/>
        <v>0.50373461107394513</v>
      </c>
      <c r="C224" s="298">
        <f t="shared" si="119"/>
        <v>0.35168029439910636</v>
      </c>
      <c r="D224" s="298">
        <f t="shared" si="119"/>
        <v>0.23121172413793117</v>
      </c>
      <c r="E224" s="298">
        <f t="shared" si="119"/>
        <v>-17.342000000000215</v>
      </c>
      <c r="F224" s="298">
        <f t="shared" si="119"/>
        <v>-7.2142721579047152E-3</v>
      </c>
      <c r="G224" s="298">
        <f t="shared" si="119"/>
        <v>0.40016019417475734</v>
      </c>
      <c r="H224" s="298">
        <f t="shared" si="119"/>
        <v>0.1281495172413793</v>
      </c>
      <c r="I224" s="298">
        <f t="shared" si="119"/>
        <v>0.28833491404860695</v>
      </c>
      <c r="J224" s="298">
        <f t="shared" si="119"/>
        <v>1.4235844155844166</v>
      </c>
      <c r="K224" s="298">
        <f t="shared" si="119"/>
        <v>0.63691314031180346</v>
      </c>
      <c r="L224" s="298">
        <f t="shared" si="119"/>
        <v>0.40953977968176253</v>
      </c>
      <c r="M224" s="298">
        <f t="shared" si="119"/>
        <v>-0.13533267909715424</v>
      </c>
      <c r="N224" s="298">
        <f t="shared" si="119"/>
        <v>3.6825816326530658</v>
      </c>
      <c r="O224" s="298">
        <f t="shared" si="119"/>
        <v>-0.27571223021582714</v>
      </c>
      <c r="P224" s="298">
        <f t="shared" si="119"/>
        <v>-0.11523378212974299</v>
      </c>
      <c r="Q224" s="298">
        <f t="shared" si="119"/>
        <v>0.11649286393910581</v>
      </c>
      <c r="R224" s="298">
        <f t="shared" si="119"/>
        <v>2.3808439716312058</v>
      </c>
      <c r="S224" s="298">
        <f t="shared" si="119"/>
        <v>2.397391705069118</v>
      </c>
      <c r="T224" s="298">
        <f t="shared" si="119"/>
        <v>1.6719793103448271</v>
      </c>
      <c r="U224" s="298">
        <f t="shared" si="119"/>
        <v>0.87607174887892392</v>
      </c>
      <c r="V224" s="298">
        <f t="shared" si="119"/>
        <v>0.32199999999999984</v>
      </c>
      <c r="W224" s="298">
        <f t="shared" si="119"/>
        <v>6.1085093542546619E-2</v>
      </c>
      <c r="X224" s="298">
        <f t="shared" si="119"/>
        <v>-0.19388847583643043</v>
      </c>
      <c r="Y224" s="298">
        <f t="shared" si="119"/>
        <v>-3.3363870967742262</v>
      </c>
      <c r="Z224" s="298">
        <f t="shared" si="119"/>
        <v>-0.76676877867711746</v>
      </c>
      <c r="AA224" s="298">
        <f t="shared" si="119"/>
        <v>0.32575276291737015</v>
      </c>
      <c r="AB224" s="298">
        <f t="shared" si="119"/>
        <v>0.66823951205439325</v>
      </c>
      <c r="AC224" s="298">
        <f t="shared" si="119"/>
        <v>-7.5148828961776353</v>
      </c>
      <c r="AD224" s="298">
        <f t="shared" si="119"/>
        <v>-16.99627288719736</v>
      </c>
      <c r="AE224" s="298">
        <f t="shared" si="119"/>
        <v>0.33427551746515349</v>
      </c>
      <c r="AF224" s="240"/>
      <c r="AG224" s="240"/>
    </row>
    <row r="225" spans="1:33">
      <c r="A225" s="240" t="s">
        <v>239</v>
      </c>
      <c r="B225" s="298">
        <f t="shared" si="119"/>
        <v>0.41475788563329297</v>
      </c>
      <c r="C225" s="298">
        <f t="shared" si="119"/>
        <v>0.50596852016476501</v>
      </c>
      <c r="D225" s="298">
        <f t="shared" si="119"/>
        <v>-0.73878962536023041</v>
      </c>
      <c r="E225" s="298">
        <f t="shared" si="119"/>
        <v>2.6541858000706138E-3</v>
      </c>
      <c r="F225" s="298">
        <f t="shared" si="119"/>
        <v>-0.54991688311688303</v>
      </c>
      <c r="G225" s="298">
        <f t="shared" si="119"/>
        <v>-2.6779999999999968</v>
      </c>
      <c r="H225" s="298">
        <f t="shared" si="119"/>
        <v>0.98116962645437777</v>
      </c>
      <c r="I225" s="298">
        <f t="shared" si="119"/>
        <v>-30.434857142856359</v>
      </c>
      <c r="J225" s="298">
        <f t="shared" si="119"/>
        <v>-0.33333986287952966</v>
      </c>
      <c r="K225" s="298">
        <f t="shared" si="119"/>
        <v>0.27717597765363144</v>
      </c>
      <c r="L225" s="298">
        <f t="shared" si="119"/>
        <v>-0.18556731757451178</v>
      </c>
      <c r="M225" s="298">
        <f t="shared" si="119"/>
        <v>-0.60456107382550306</v>
      </c>
      <c r="N225" s="298">
        <f t="shared" si="119"/>
        <v>-0.21523478260869522</v>
      </c>
      <c r="O225" s="298">
        <f t="shared" si="119"/>
        <v>36.01537931034386</v>
      </c>
      <c r="P225" s="298">
        <f t="shared" si="119"/>
        <v>12.037133333333593</v>
      </c>
      <c r="Q225" s="298">
        <f t="shared" si="119"/>
        <v>-0.292901639344262</v>
      </c>
      <c r="R225" s="298">
        <f t="shared" si="119"/>
        <v>0.27454625550660788</v>
      </c>
      <c r="S225" s="298">
        <f t="shared" si="119"/>
        <v>6.7260869565217582E-2</v>
      </c>
      <c r="T225" s="298">
        <f t="shared" si="119"/>
        <v>-0.25999999999999984</v>
      </c>
      <c r="U225" s="298">
        <f t="shared" si="119"/>
        <v>0.19932457027300302</v>
      </c>
      <c r="V225" s="298">
        <f t="shared" si="119"/>
        <v>-1.6417142857142826</v>
      </c>
      <c r="W225" s="298">
        <f t="shared" si="119"/>
        <v>-0.13155990659241967</v>
      </c>
      <c r="X225" s="298">
        <f t="shared" si="119"/>
        <v>0.10692266187050374</v>
      </c>
      <c r="Y225" s="298">
        <f t="shared" si="119"/>
        <v>3.8488764044943453E-2</v>
      </c>
      <c r="Z225" s="298">
        <f t="shared" si="119"/>
        <v>-0.15436967831587114</v>
      </c>
      <c r="AA225" s="298">
        <f t="shared" si="119"/>
        <v>-6.4181039654374449E-3</v>
      </c>
      <c r="AB225" s="298">
        <f t="shared" si="119"/>
        <v>2.0207898184119312E-2</v>
      </c>
      <c r="AC225" s="298">
        <f t="shared" si="119"/>
        <v>0.79056797649364707</v>
      </c>
      <c r="AD225" s="298">
        <f t="shared" si="119"/>
        <v>0.44594912362877814</v>
      </c>
      <c r="AE225" s="298">
        <f t="shared" si="119"/>
        <v>-6.566554332698836E-2</v>
      </c>
      <c r="AF225" s="240"/>
      <c r="AG225" s="240"/>
    </row>
    <row r="226" spans="1:33">
      <c r="A226" s="240" t="s">
        <v>240</v>
      </c>
      <c r="B226" s="298">
        <f t="shared" si="119"/>
        <v>0.43522293388269739</v>
      </c>
      <c r="C226" s="298">
        <f t="shared" si="119"/>
        <v>0.40844330697052961</v>
      </c>
      <c r="D226" s="298">
        <f t="shared" si="119"/>
        <v>-0.13250453563714906</v>
      </c>
      <c r="E226" s="298">
        <f t="shared" si="119"/>
        <v>3.5148932584269676</v>
      </c>
      <c r="F226" s="298">
        <f t="shared" si="119"/>
        <v>6.806799999999992</v>
      </c>
      <c r="G226" s="298">
        <f t="shared" si="119"/>
        <v>2.5046666666666666</v>
      </c>
      <c r="H226" s="298">
        <f t="shared" si="119"/>
        <v>1.4912933884297535</v>
      </c>
      <c r="I226" s="298">
        <f t="shared" si="119"/>
        <v>-3.9739449541285436E-2</v>
      </c>
      <c r="J226" s="298">
        <f t="shared" si="119"/>
        <v>0.22541558441558424</v>
      </c>
      <c r="K226" s="298">
        <f t="shared" si="119"/>
        <v>-0.39608510638297845</v>
      </c>
      <c r="L226" s="298">
        <f t="shared" si="119"/>
        <v>-6.1880000000000299</v>
      </c>
      <c r="M226" s="298">
        <f t="shared" si="119"/>
        <v>0.21508164598301771</v>
      </c>
      <c r="N226" s="298">
        <f t="shared" si="119"/>
        <v>-0.23044689119171013</v>
      </c>
      <c r="O226" s="298">
        <f t="shared" si="119"/>
        <v>-1.0862711864407074E-2</v>
      </c>
      <c r="P226" s="298">
        <f t="shared" si="119"/>
        <v>-0.19499999999999695</v>
      </c>
      <c r="Q226" s="298">
        <f t="shared" si="119"/>
        <v>0.2809667334669339</v>
      </c>
      <c r="R226" s="298">
        <f t="shared" si="119"/>
        <v>0.21034381551362688</v>
      </c>
      <c r="S226" s="298">
        <f t="shared" si="119"/>
        <v>-0.89913266761769028</v>
      </c>
      <c r="T226" s="298">
        <f t="shared" si="119"/>
        <v>-0.3770000000000005</v>
      </c>
      <c r="U226" s="298">
        <f t="shared" si="119"/>
        <v>0.67878571428571388</v>
      </c>
      <c r="V226" s="298">
        <f t="shared" si="119"/>
        <v>8.7809682804674619E-2</v>
      </c>
      <c r="W226" s="298">
        <f t="shared" si="119"/>
        <v>10.56057510729609</v>
      </c>
      <c r="X226" s="298">
        <f t="shared" si="119"/>
        <v>-0.570190255220418</v>
      </c>
      <c r="Y226" s="298">
        <f t="shared" si="119"/>
        <v>-6.5563333333333249</v>
      </c>
      <c r="Z226" s="298">
        <f t="shared" si="119"/>
        <v>0.33215994447511021</v>
      </c>
      <c r="AA226" s="298">
        <f t="shared" si="119"/>
        <v>-0.64176225108789198</v>
      </c>
      <c r="AB226" s="298">
        <f t="shared" si="119"/>
        <v>-0.73753199899947575</v>
      </c>
      <c r="AC226" s="298">
        <f t="shared" si="119"/>
        <v>-2.4734345877950141</v>
      </c>
      <c r="AD226" s="298">
        <f t="shared" si="119"/>
        <v>-0.89678147168979938</v>
      </c>
      <c r="AE226" s="298">
        <f t="shared" si="119"/>
        <v>6.0015709592533252E-2</v>
      </c>
      <c r="AF226" s="240"/>
      <c r="AG226" s="240"/>
    </row>
    <row r="227" spans="1:33">
      <c r="A227" s="240" t="s">
        <v>241</v>
      </c>
      <c r="B227" s="298">
        <f t="shared" si="119"/>
        <v>0.45426403558835721</v>
      </c>
      <c r="C227" s="298">
        <f t="shared" si="119"/>
        <v>0.62196590427521059</v>
      </c>
      <c r="D227" s="298">
        <f t="shared" si="119"/>
        <v>0.6488459099556122</v>
      </c>
      <c r="E227" s="298">
        <f t="shared" si="119"/>
        <v>-0.48867080745341579</v>
      </c>
      <c r="F227" s="298">
        <f t="shared" si="119"/>
        <v>0.38710191082802592</v>
      </c>
      <c r="G227" s="298">
        <f t="shared" si="119"/>
        <v>9.3052631578947539E-2</v>
      </c>
      <c r="H227" s="298">
        <f t="shared" si="119"/>
        <v>-0.51056801909307981</v>
      </c>
      <c r="I227" s="298">
        <f t="shared" si="119"/>
        <v>-0.21112182296231355</v>
      </c>
      <c r="J227" s="298">
        <f t="shared" si="119"/>
        <v>-0.45612577319587655</v>
      </c>
      <c r="K227" s="298">
        <f t="shared" si="119"/>
        <v>0.47983423913043499</v>
      </c>
      <c r="L227" s="298">
        <f t="shared" si="119"/>
        <v>-0.12436842105263093</v>
      </c>
      <c r="M227" s="298">
        <f t="shared" si="119"/>
        <v>-1.4010393374741208</v>
      </c>
      <c r="N227" s="298">
        <f t="shared" si="119"/>
        <v>0.65057006673022033</v>
      </c>
      <c r="O227" s="298">
        <f t="shared" si="119"/>
        <v>0.30429404900816809</v>
      </c>
      <c r="P227" s="298">
        <f t="shared" si="119"/>
        <v>-6.8935779816513387E-2</v>
      </c>
      <c r="Q227" s="298">
        <f t="shared" si="119"/>
        <v>-3.6637541528239344</v>
      </c>
      <c r="R227" s="298">
        <f t="shared" si="119"/>
        <v>-1.1712999999999991</v>
      </c>
      <c r="S227" s="298">
        <f t="shared" si="119"/>
        <v>-0.48186936236391836</v>
      </c>
      <c r="T227" s="298">
        <f t="shared" si="119"/>
        <v>0.27859978189749196</v>
      </c>
      <c r="U227" s="298">
        <f t="shared" si="119"/>
        <v>-6.418218714768878E-2</v>
      </c>
      <c r="V227" s="298">
        <f t="shared" si="119"/>
        <v>0.15251036866359452</v>
      </c>
      <c r="W227" s="298">
        <f t="shared" si="119"/>
        <v>-2.8815332960268735E-2</v>
      </c>
      <c r="X227" s="298">
        <f t="shared" si="119"/>
        <v>-4.4302790697674128</v>
      </c>
      <c r="Y227" s="298">
        <f t="shared" si="119"/>
        <v>0.42432000000000186</v>
      </c>
      <c r="Z227" s="298">
        <f t="shared" si="119"/>
        <v>4.3356202994163677</v>
      </c>
      <c r="AA227" s="298">
        <f t="shared" si="119"/>
        <v>1.5391135950542682E-3</v>
      </c>
      <c r="AB227" s="298">
        <f t="shared" si="119"/>
        <v>-0.31145920470611532</v>
      </c>
      <c r="AC227" s="298">
        <f t="shared" si="119"/>
        <v>-0.49059368912231666</v>
      </c>
      <c r="AD227" s="298">
        <f t="shared" si="119"/>
        <v>-0.3884008932494063</v>
      </c>
      <c r="AE227" s="298">
        <f t="shared" si="119"/>
        <v>5.295734407283606E-2</v>
      </c>
      <c r="AF227" s="240"/>
      <c r="AG227" s="240"/>
    </row>
    <row r="228" spans="1:33">
      <c r="A228" s="240" t="s">
        <v>231</v>
      </c>
      <c r="B228" s="298">
        <f t="shared" si="119"/>
        <v>0.43360591518950148</v>
      </c>
      <c r="C228" s="298">
        <f t="shared" si="119"/>
        <v>0.30849525955130014</v>
      </c>
      <c r="D228" s="298">
        <f t="shared" si="119"/>
        <v>0.27507261247040238</v>
      </c>
      <c r="E228" s="298">
        <f t="shared" si="119"/>
        <v>0.52810389610389641</v>
      </c>
      <c r="F228" s="298">
        <f t="shared" si="119"/>
        <v>-4.1367511177347237E-2</v>
      </c>
      <c r="G228" s="298">
        <f t="shared" si="119"/>
        <v>-0.12410837438423641</v>
      </c>
      <c r="H228" s="298">
        <f t="shared" si="119"/>
        <v>-0.53525433526011368</v>
      </c>
      <c r="I228" s="298">
        <f t="shared" si="119"/>
        <v>-4.6987980993198598E-2</v>
      </c>
      <c r="J228" s="298">
        <f t="shared" si="119"/>
        <v>-0.33772351319417082</v>
      </c>
      <c r="K228" s="298">
        <f t="shared" si="119"/>
        <v>2.3403741007194241</v>
      </c>
      <c r="L228" s="298">
        <f t="shared" si="119"/>
        <v>0.30883734087694492</v>
      </c>
      <c r="M228" s="298">
        <f t="shared" si="119"/>
        <v>-0.32395447647951409</v>
      </c>
      <c r="N228" s="298">
        <f t="shared" si="119"/>
        <v>0.20318054338299699</v>
      </c>
      <c r="O228" s="298">
        <f t="shared" si="119"/>
        <v>0.30634371209057826</v>
      </c>
      <c r="P228" s="298">
        <f t="shared" si="119"/>
        <v>0.19624439918533607</v>
      </c>
      <c r="Q228" s="298">
        <f t="shared" si="119"/>
        <v>-0.61028440366972247</v>
      </c>
      <c r="R228" s="298">
        <f t="shared" si="119"/>
        <v>2.014177215189882</v>
      </c>
      <c r="S228" s="298">
        <f t="shared" si="119"/>
        <v>-0.65035697940503501</v>
      </c>
      <c r="T228" s="298">
        <f t="shared" si="119"/>
        <v>4.4055869565217725</v>
      </c>
      <c r="U228" s="298">
        <f t="shared" si="119"/>
        <v>3.451179577464786</v>
      </c>
      <c r="V228" s="298">
        <f t="shared" si="119"/>
        <v>-7.449631067961163</v>
      </c>
      <c r="W228" s="298">
        <f t="shared" si="119"/>
        <v>-0.32252102899142499</v>
      </c>
      <c r="X228" s="298">
        <f t="shared" si="119"/>
        <v>4.4825471698113455E-2</v>
      </c>
      <c r="Y228" s="298">
        <f t="shared" si="119"/>
        <v>-2.2783505154639089E-2</v>
      </c>
      <c r="Z228" s="298">
        <f t="shared" si="119"/>
        <v>-1.1518950343675772E-2</v>
      </c>
      <c r="AA228" s="298">
        <f t="shared" si="119"/>
        <v>7.2595438516988992E-2</v>
      </c>
      <c r="AB228" s="298">
        <f t="shared" si="119"/>
        <v>0.12068234986277487</v>
      </c>
      <c r="AC228" s="298">
        <f t="shared" si="119"/>
        <v>0.34312588231113728</v>
      </c>
      <c r="AD228" s="298">
        <f t="shared" si="119"/>
        <v>0.91411920481320752</v>
      </c>
      <c r="AE228" s="298">
        <f t="shared" si="119"/>
        <v>-1.4873307638094305E-2</v>
      </c>
      <c r="AF228" s="240"/>
      <c r="AG228" s="240"/>
    </row>
    <row r="229" spans="1:33">
      <c r="A229" s="240" t="s">
        <v>232</v>
      </c>
      <c r="B229" s="298">
        <f t="shared" si="119"/>
        <v>0.50865883254566369</v>
      </c>
      <c r="C229" s="298">
        <f t="shared" si="119"/>
        <v>0.46015749601275924</v>
      </c>
      <c r="D229" s="298">
        <f t="shared" si="119"/>
        <v>-0.57960463672117601</v>
      </c>
      <c r="E229" s="298">
        <f t="shared" si="119"/>
        <v>-0.30040577312515909</v>
      </c>
      <c r="F229" s="298">
        <f t="shared" si="119"/>
        <v>-2.1064062499999991</v>
      </c>
      <c r="G229" s="298">
        <f t="shared" si="119"/>
        <v>3.3231851851851935</v>
      </c>
      <c r="H229" s="298">
        <f t="shared" si="119"/>
        <v>-0.11700994644223436</v>
      </c>
      <c r="I229" s="298">
        <f t="shared" si="119"/>
        <v>-3.6158429878048759</v>
      </c>
      <c r="J229" s="298">
        <f t="shared" si="119"/>
        <v>4.591432779641603</v>
      </c>
      <c r="K229" s="298">
        <f t="shared" si="119"/>
        <v>6.2659867414584403E-2</v>
      </c>
      <c r="L229" s="298">
        <f t="shared" si="119"/>
        <v>-0.37695295536791318</v>
      </c>
      <c r="M229" s="298">
        <f t="shared" si="119"/>
        <v>0.5956605316973419</v>
      </c>
      <c r="N229" s="298">
        <f t="shared" si="119"/>
        <v>-0.47398684210526298</v>
      </c>
      <c r="O229" s="298">
        <f t="shared" si="119"/>
        <v>-0.28383952220202546</v>
      </c>
      <c r="P229" s="298">
        <f t="shared" si="119"/>
        <v>-0.27948744365743716</v>
      </c>
      <c r="Q229" s="298">
        <f t="shared" si="119"/>
        <v>3.0396214511041006E-2</v>
      </c>
      <c r="R229" s="298">
        <f t="shared" si="119"/>
        <v>0.38371428571428362</v>
      </c>
      <c r="S229" s="298">
        <f t="shared" si="119"/>
        <v>-2.5414999999999672</v>
      </c>
      <c r="T229" s="298">
        <f t="shared" si="119"/>
        <v>-0.12066468842729858</v>
      </c>
      <c r="U229" s="298">
        <f t="shared" si="119"/>
        <v>2.9535999999999816</v>
      </c>
      <c r="V229" s="298">
        <f t="shared" si="119"/>
        <v>7.7293718166383724E-2</v>
      </c>
      <c r="W229" s="298">
        <f t="shared" si="119"/>
        <v>-0.57485820499203411</v>
      </c>
      <c r="X229" s="298">
        <f t="shared" si="119"/>
        <v>1.216935064935063</v>
      </c>
      <c r="Y229" s="298">
        <f t="shared" si="119"/>
        <v>-1.2760119047619074</v>
      </c>
      <c r="Z229" s="298">
        <f t="shared" si="119"/>
        <v>0.442</v>
      </c>
      <c r="AA229" s="298">
        <f t="shared" si="119"/>
        <v>6.6509486565714399E-2</v>
      </c>
      <c r="AB229" s="298">
        <f t="shared" si="119"/>
        <v>5.59529803186345E-2</v>
      </c>
      <c r="AC229" s="298">
        <f t="shared" si="119"/>
        <v>7.0153677322889463E-2</v>
      </c>
      <c r="AD229" s="298">
        <f t="shared" si="119"/>
        <v>-0.99059440912146812</v>
      </c>
      <c r="AE229" s="298">
        <f t="shared" si="119"/>
        <v>0.23361443757143407</v>
      </c>
      <c r="AF229" s="240"/>
      <c r="AG229" s="240"/>
    </row>
    <row r="230" spans="1:33">
      <c r="A230" s="240" t="s">
        <v>233</v>
      </c>
      <c r="B230" s="298">
        <f t="shared" si="119"/>
        <v>0.44125272413015693</v>
      </c>
      <c r="C230" s="298">
        <f t="shared" si="119"/>
        <v>0.75915060072645968</v>
      </c>
      <c r="D230" s="298">
        <f t="shared" si="119"/>
        <v>-0.26994968394437413</v>
      </c>
      <c r="E230" s="298">
        <f t="shared" si="119"/>
        <v>1.472814571428573</v>
      </c>
      <c r="F230" s="298">
        <f t="shared" si="119"/>
        <v>-0.40622454308094019</v>
      </c>
      <c r="G230" s="298">
        <f t="shared" si="119"/>
        <v>-3.6054380664652455E-2</v>
      </c>
      <c r="H230" s="298">
        <f t="shared" si="119"/>
        <v>0.25282013129102843</v>
      </c>
      <c r="I230" s="298">
        <f t="shared" si="119"/>
        <v>0.80430513176144225</v>
      </c>
      <c r="J230" s="298">
        <f t="shared" si="119"/>
        <v>2.6570004918839134E-2</v>
      </c>
      <c r="K230" s="298">
        <f t="shared" si="119"/>
        <v>1.1256649350649341</v>
      </c>
      <c r="L230" s="298">
        <f t="shared" si="119"/>
        <v>-0.4187634285714284</v>
      </c>
      <c r="M230" s="298">
        <f t="shared" si="119"/>
        <v>-0.23544444444444437</v>
      </c>
      <c r="N230" s="298">
        <f t="shared" si="119"/>
        <v>-0.88400000000000112</v>
      </c>
      <c r="O230" s="298">
        <f t="shared" si="119"/>
        <v>0.68304253611556931</v>
      </c>
      <c r="P230" s="298">
        <f t="shared" si="119"/>
        <v>-0.91401597869507389</v>
      </c>
      <c r="Q230" s="298">
        <f t="shared" si="119"/>
        <v>-1.2854495412844007</v>
      </c>
      <c r="R230" s="298">
        <f t="shared" si="119"/>
        <v>5.8377358490566161E-2</v>
      </c>
      <c r="S230" s="298">
        <f t="shared" si="119"/>
        <v>-2.2544966442953309E-2</v>
      </c>
      <c r="T230" s="298">
        <f t="shared" si="119"/>
        <v>0.199938255033557</v>
      </c>
      <c r="U230" s="298">
        <f t="shared" si="119"/>
        <v>-0.32387931034483031</v>
      </c>
      <c r="V230" s="298">
        <f t="shared" si="119"/>
        <v>2.3884220183486233</v>
      </c>
      <c r="W230" s="298">
        <f t="shared" si="119"/>
        <v>-1.3952824811399822</v>
      </c>
      <c r="X230" s="298">
        <f t="shared" si="119"/>
        <v>-0.38348169014084643</v>
      </c>
      <c r="Y230" s="298">
        <f t="shared" si="119"/>
        <v>-0.21648979591836701</v>
      </c>
      <c r="Z230" s="298">
        <f t="shared" si="119"/>
        <v>0.44200000000000006</v>
      </c>
      <c r="AA230" s="298">
        <f t="shared" si="119"/>
        <v>18.57577991335253</v>
      </c>
      <c r="AB230" s="298">
        <f t="shared" si="119"/>
        <v>0.39736997363305138</v>
      </c>
      <c r="AC230" s="298">
        <f t="shared" si="119"/>
        <v>2.1895185836549511</v>
      </c>
      <c r="AD230" s="298">
        <f t="shared" si="119"/>
        <v>5.221014806259233</v>
      </c>
      <c r="AE230" s="298">
        <f t="shared" si="119"/>
        <v>0.16344881590781765</v>
      </c>
      <c r="AF230" s="240"/>
      <c r="AG230" s="240"/>
    </row>
    <row r="231" spans="1:33">
      <c r="A231" s="240" t="s">
        <v>234</v>
      </c>
      <c r="B231" s="298">
        <f t="shared" si="119"/>
        <v>0.45357518578678502</v>
      </c>
      <c r="C231" s="298">
        <f t="shared" si="119"/>
        <v>0.32144171032109981</v>
      </c>
      <c r="D231" s="298">
        <f t="shared" si="119"/>
        <v>-0.40927782403390156</v>
      </c>
      <c r="E231" s="298">
        <f t="shared" si="119"/>
        <v>2.6299000000000241</v>
      </c>
      <c r="F231" s="298">
        <f t="shared" si="119"/>
        <v>-0.36801304347826058</v>
      </c>
      <c r="G231" s="298">
        <f t="shared" si="119"/>
        <v>0.64167543859649057</v>
      </c>
      <c r="H231" s="298">
        <f t="shared" si="119"/>
        <v>1.5610046367851631</v>
      </c>
      <c r="I231" s="298">
        <f t="shared" si="119"/>
        <v>7.3344533947065624E-2</v>
      </c>
      <c r="J231" s="298">
        <f t="shared" si="119"/>
        <v>-0.34896543689320397</v>
      </c>
      <c r="K231" s="298">
        <f t="shared" si="119"/>
        <v>0.25558726344247529</v>
      </c>
      <c r="L231" s="298">
        <f t="shared" si="119"/>
        <v>-0.9596774193548383</v>
      </c>
      <c r="M231" s="298">
        <f t="shared" si="119"/>
        <v>0.3767465181058498</v>
      </c>
      <c r="N231" s="298">
        <f t="shared" si="119"/>
        <v>-0.12547705442902865</v>
      </c>
      <c r="O231" s="298">
        <f t="shared" si="119"/>
        <v>-0.48352238805970243</v>
      </c>
      <c r="P231" s="298">
        <f t="shared" si="119"/>
        <v>1.2114671532846686</v>
      </c>
      <c r="Q231" s="298">
        <f t="shared" ref="B231:AR233" si="120">Q215/Q89</f>
        <v>0.26930128563443301</v>
      </c>
      <c r="R231" s="298">
        <f t="shared" si="120"/>
        <v>0.30152277227722768</v>
      </c>
      <c r="S231" s="298">
        <f t="shared" si="120"/>
        <v>1.4012340425531946</v>
      </c>
      <c r="T231" s="298">
        <f t="shared" si="120"/>
        <v>0.77662735849056541</v>
      </c>
      <c r="U231" s="298">
        <f t="shared" si="120"/>
        <v>4.6610909090911354</v>
      </c>
      <c r="V231" s="298">
        <f t="shared" si="120"/>
        <v>0.30686624203821777</v>
      </c>
      <c r="W231" s="298">
        <f t="shared" si="120"/>
        <v>-0.72531774415405892</v>
      </c>
      <c r="X231" s="298">
        <f t="shared" si="120"/>
        <v>0.1393516873889874</v>
      </c>
      <c r="Y231" s="298">
        <f t="shared" si="120"/>
        <v>-1.2529421487603305</v>
      </c>
      <c r="Z231" s="298">
        <f t="shared" si="120"/>
        <v>0.442</v>
      </c>
      <c r="AA231" s="298">
        <f t="shared" si="120"/>
        <v>0.1337267606558247</v>
      </c>
      <c r="AB231" s="298">
        <f t="shared" si="120"/>
        <v>-0.31090557059800383</v>
      </c>
      <c r="AC231" s="298">
        <f t="shared" si="120"/>
        <v>-0.73713400214660274</v>
      </c>
      <c r="AD231" s="298">
        <f t="shared" si="120"/>
        <v>0.23000208889448434</v>
      </c>
      <c r="AE231" s="298">
        <f t="shared" si="120"/>
        <v>0.28062005743381085</v>
      </c>
      <c r="AF231" s="240"/>
      <c r="AG231" s="240"/>
    </row>
    <row r="232" spans="1:33">
      <c r="A232" s="240" t="s">
        <v>46</v>
      </c>
      <c r="B232" s="298">
        <f t="shared" si="120"/>
        <v>0.42420880175813014</v>
      </c>
      <c r="C232" s="298">
        <f t="shared" si="120"/>
        <v>0.34173173970783527</v>
      </c>
      <c r="D232" s="298">
        <f t="shared" si="120"/>
        <v>0.44538440872898849</v>
      </c>
      <c r="E232" s="298">
        <f t="shared" si="120"/>
        <v>2.9714285714285426E-2</v>
      </c>
      <c r="F232" s="298">
        <f t="shared" si="120"/>
        <v>0.47615925058548048</v>
      </c>
      <c r="G232" s="298">
        <f t="shared" si="120"/>
        <v>0.13804931506849324</v>
      </c>
      <c r="H232" s="298">
        <f t="shared" si="120"/>
        <v>-0.19886926286509002</v>
      </c>
      <c r="I232" s="298">
        <f t="shared" si="120"/>
        <v>-0.73273178176268638</v>
      </c>
      <c r="J232" s="298">
        <f t="shared" si="120"/>
        <v>1.0528677150786314</v>
      </c>
      <c r="K232" s="298">
        <f t="shared" si="120"/>
        <v>0.39029655172413796</v>
      </c>
      <c r="L232" s="298">
        <f t="shared" si="120"/>
        <v>0.17143984600577486</v>
      </c>
      <c r="M232" s="298">
        <f t="shared" si="120"/>
        <v>-2.4164162436548207</v>
      </c>
      <c r="N232" s="298">
        <f t="shared" si="120"/>
        <v>-5.540521739130428</v>
      </c>
      <c r="O232" s="298">
        <f t="shared" si="120"/>
        <v>1.7450190641247849</v>
      </c>
      <c r="P232" s="298">
        <f t="shared" si="120"/>
        <v>-0.10549477351916398</v>
      </c>
      <c r="Q232" s="298">
        <f t="shared" si="120"/>
        <v>-6.6448571428571359</v>
      </c>
      <c r="R232" s="298">
        <f t="shared" si="120"/>
        <v>0.37388609715242893</v>
      </c>
      <c r="S232" s="298">
        <f t="shared" si="120"/>
        <v>9.2493321460373812E-2</v>
      </c>
      <c r="T232" s="298">
        <f t="shared" si="120"/>
        <v>0.13933680297397777</v>
      </c>
      <c r="U232" s="298">
        <f t="shared" si="120"/>
        <v>1.2308860759493088E-2</v>
      </c>
      <c r="V232" s="298">
        <f t="shared" si="120"/>
        <v>-0.52972519083969161</v>
      </c>
      <c r="W232" s="298">
        <f t="shared" si="120"/>
        <v>0.18082948790095646</v>
      </c>
      <c r="X232" s="298">
        <f t="shared" si="120"/>
        <v>-1.5850063694267511</v>
      </c>
      <c r="Y232" s="298">
        <f t="shared" si="120"/>
        <v>-0.86572672677534068</v>
      </c>
      <c r="Z232" s="298">
        <f t="shared" si="120"/>
        <v>0.442</v>
      </c>
      <c r="AA232" s="298">
        <f t="shared" si="120"/>
        <v>-8.5626484855861454E-2</v>
      </c>
      <c r="AB232" s="298">
        <f t="shared" si="120"/>
        <v>-2.186622054889602</v>
      </c>
      <c r="AC232" s="298">
        <f t="shared" si="120"/>
        <v>-1.8959000387090739</v>
      </c>
      <c r="AD232" s="298">
        <f t="shared" si="120"/>
        <v>0.14011264604755835</v>
      </c>
      <c r="AE232" s="298">
        <f t="shared" si="120"/>
        <v>0.12135291754288507</v>
      </c>
      <c r="AF232" s="240"/>
      <c r="AG232" s="240"/>
    </row>
    <row r="233" spans="1:33">
      <c r="A233" s="240" t="s">
        <v>235</v>
      </c>
      <c r="B233" s="298">
        <f t="shared" si="120"/>
        <v>0.46936396812392939</v>
      </c>
      <c r="C233" s="298">
        <f t="shared" si="120"/>
        <v>0.37670618533812888</v>
      </c>
      <c r="D233" s="298">
        <f t="shared" si="120"/>
        <v>1.5547946058091289</v>
      </c>
      <c r="E233" s="298">
        <f t="shared" si="120"/>
        <v>1.0154054054054045</v>
      </c>
      <c r="F233" s="298">
        <f t="shared" si="120"/>
        <v>0.50803230148048395</v>
      </c>
      <c r="G233" s="298">
        <f t="shared" si="120"/>
        <v>16.132999999999988</v>
      </c>
      <c r="H233" s="298">
        <f t="shared" si="120"/>
        <v>-0.26795784148398011</v>
      </c>
      <c r="I233" s="298">
        <f t="shared" si="120"/>
        <v>0.48169729729729738</v>
      </c>
      <c r="J233" s="298">
        <f t="shared" si="120"/>
        <v>0.32349492213947179</v>
      </c>
      <c r="K233" s="298">
        <f t="shared" si="120"/>
        <v>0.86227166882276851</v>
      </c>
      <c r="L233" s="298">
        <f t="shared" si="120"/>
        <v>9.9834347826087839</v>
      </c>
      <c r="M233" s="298">
        <f t="shared" si="120"/>
        <v>0.24597175141242972</v>
      </c>
      <c r="N233" s="298">
        <f t="shared" si="120"/>
        <v>-5.108542713567843E-2</v>
      </c>
      <c r="O233" s="298">
        <f t="shared" si="120"/>
        <v>-0.17834545454545431</v>
      </c>
      <c r="P233" s="298">
        <f t="shared" si="120"/>
        <v>1.6636590163934437</v>
      </c>
      <c r="Q233" s="298">
        <f t="shared" si="120"/>
        <v>-2.1243134087237527E-2</v>
      </c>
      <c r="R233" s="298">
        <f t="shared" si="120"/>
        <v>0.33873427471116807</v>
      </c>
      <c r="S233" s="298">
        <f t="shared" si="120"/>
        <v>1.657315525876462</v>
      </c>
      <c r="T233" s="298">
        <f t="shared" si="120"/>
        <v>-1.2812284482758645</v>
      </c>
      <c r="U233" s="298">
        <f t="shared" si="120"/>
        <v>0.15658295964125538</v>
      </c>
      <c r="V233" s="298">
        <f t="shared" si="120"/>
        <v>-0.3047473684210536</v>
      </c>
      <c r="W233" s="298">
        <f t="shared" si="120"/>
        <v>196.35850000002162</v>
      </c>
      <c r="X233" s="298">
        <f t="shared" si="120"/>
        <v>-0.32966270783848017</v>
      </c>
      <c r="Y233" s="298">
        <f t="shared" si="120"/>
        <v>-1.7072298361885569</v>
      </c>
      <c r="Z233" s="298">
        <f t="shared" si="120"/>
        <v>0.442</v>
      </c>
      <c r="AA233" s="298">
        <f t="shared" si="120"/>
        <v>0.29987970297699706</v>
      </c>
      <c r="AB233" s="298">
        <f t="shared" si="120"/>
        <v>-0.45927295389628164</v>
      </c>
      <c r="AC233" s="298">
        <f t="shared" si="120"/>
        <v>-1.2553304761799964</v>
      </c>
      <c r="AD233" s="298">
        <f t="shared" si="120"/>
        <v>-8.8655357452509756E-2</v>
      </c>
      <c r="AE233" s="298">
        <f t="shared" si="120"/>
        <v>-1.4816496539089388E-2</v>
      </c>
      <c r="AF233" s="240"/>
      <c r="AG233" s="240"/>
    </row>
    <row r="234" spans="1:33">
      <c r="A234" s="240" t="s">
        <v>236</v>
      </c>
      <c r="B234" s="298">
        <f>B218/C80</f>
        <v>0.5001956615533748</v>
      </c>
      <c r="C234" s="298">
        <f t="shared" ref="C234:Y234" si="121">C218/D80</f>
        <v>1.0787041612483743</v>
      </c>
      <c r="D234" s="298">
        <f t="shared" si="121"/>
        <v>0.33444897959183661</v>
      </c>
      <c r="E234" s="298">
        <f t="shared" si="121"/>
        <v>0.24566094420600906</v>
      </c>
      <c r="F234" s="298">
        <f t="shared" si="121"/>
        <v>-0.23241755130927136</v>
      </c>
      <c r="G234" s="298">
        <f t="shared" si="121"/>
        <v>-1.4381778741865527E-2</v>
      </c>
      <c r="H234" s="298">
        <f t="shared" si="121"/>
        <v>-0.38221800947867285</v>
      </c>
      <c r="I234" s="298">
        <f t="shared" si="121"/>
        <v>-0.19212181456714245</v>
      </c>
      <c r="J234" s="298">
        <f t="shared" si="121"/>
        <v>-0.23830407008578208</v>
      </c>
      <c r="K234" s="298">
        <f t="shared" si="121"/>
        <v>0.31230895795246805</v>
      </c>
      <c r="L234" s="298">
        <f t="shared" si="121"/>
        <v>-3.5024978466838622E-3</v>
      </c>
      <c r="M234" s="298">
        <f t="shared" si="121"/>
        <v>0.91146407766990578</v>
      </c>
      <c r="N234" s="298">
        <f t="shared" si="121"/>
        <v>-1.1005332050048142</v>
      </c>
      <c r="O234" s="298">
        <f t="shared" si="121"/>
        <v>-0.36833333333333351</v>
      </c>
      <c r="P234" s="298">
        <f t="shared" si="121"/>
        <v>-1.023873417721517</v>
      </c>
      <c r="Q234" s="298">
        <f t="shared" si="121"/>
        <v>0.27082207374412265</v>
      </c>
      <c r="R234" s="298">
        <f t="shared" si="121"/>
        <v>-1.4862647482014384</v>
      </c>
      <c r="S234" s="298">
        <f t="shared" si="121"/>
        <v>2.8778043478260882</v>
      </c>
      <c r="T234" s="298">
        <f t="shared" si="121"/>
        <v>-0.69286486486486554</v>
      </c>
      <c r="U234" s="298">
        <f t="shared" si="121"/>
        <v>1.6211513157894732</v>
      </c>
      <c r="V234" s="298">
        <f t="shared" si="121"/>
        <v>-0.13633116883116891</v>
      </c>
      <c r="W234" s="298">
        <f t="shared" si="121"/>
        <v>1.8630136986299319E-3</v>
      </c>
      <c r="X234" s="298">
        <f t="shared" si="121"/>
        <v>-0.13513580246913567</v>
      </c>
      <c r="Y234" s="298">
        <f t="shared" si="121"/>
        <v>0.16807503447401495</v>
      </c>
      <c r="Z234" s="298">
        <f>Z218/AA80</f>
        <v>-2.7929132475728125</v>
      </c>
      <c r="AA234" s="298">
        <f>AA218/AB80</f>
        <v>7.6049339931593796</v>
      </c>
      <c r="AB234" s="298">
        <f>AB218/AC80</f>
        <v>7.6630712747804512</v>
      </c>
      <c r="AC234" s="298">
        <f>AC218/AD80</f>
        <v>7.8556394303951187</v>
      </c>
      <c r="AD234" s="298">
        <f t="shared" ref="AD234:AE234" si="122">AD218/AE80</f>
        <v>-44.953211064699424</v>
      </c>
      <c r="AE234" s="298" t="e">
        <f t="shared" si="122"/>
        <v>#DIV/0!</v>
      </c>
      <c r="AF234" s="240"/>
      <c r="AG234" s="240"/>
    </row>
    <row r="235" spans="1:33" ht="15.75" thickBot="1">
      <c r="A235" s="240" t="s">
        <v>255</v>
      </c>
      <c r="B235" s="258">
        <v>0.45</v>
      </c>
      <c r="C235" s="258">
        <v>0.43333333333333335</v>
      </c>
      <c r="D235" s="258">
        <v>0.442</v>
      </c>
      <c r="E235" s="258">
        <v>0.442</v>
      </c>
      <c r="F235" s="258">
        <v>0.442</v>
      </c>
      <c r="G235" s="258">
        <v>0.442</v>
      </c>
      <c r="H235" s="258">
        <v>0.442</v>
      </c>
      <c r="I235" s="258">
        <v>0.442</v>
      </c>
      <c r="J235" s="258">
        <v>0.442</v>
      </c>
      <c r="K235" s="258">
        <v>0.442</v>
      </c>
      <c r="L235" s="258">
        <v>0.442</v>
      </c>
      <c r="M235" s="258">
        <v>0.442</v>
      </c>
      <c r="N235" s="258">
        <v>0.442</v>
      </c>
      <c r="O235" s="258">
        <v>0.442</v>
      </c>
      <c r="P235" s="258">
        <v>0.442</v>
      </c>
      <c r="Q235" s="258">
        <v>0.442</v>
      </c>
      <c r="R235" s="258">
        <v>0.442</v>
      </c>
      <c r="S235" s="258">
        <v>0.442</v>
      </c>
      <c r="T235" s="258">
        <v>0.442</v>
      </c>
      <c r="U235" s="258">
        <v>0.442</v>
      </c>
      <c r="V235" s="258">
        <v>0.442</v>
      </c>
      <c r="W235" s="258">
        <v>0.442</v>
      </c>
      <c r="X235" s="258">
        <v>0.442</v>
      </c>
      <c r="Y235" s="258">
        <v>0.442</v>
      </c>
      <c r="Z235" s="258">
        <v>0.442</v>
      </c>
      <c r="AA235" s="259">
        <f>FORECAST(AA45,H235:Z235,H45:Z45)</f>
        <v>0.44200000000000006</v>
      </c>
      <c r="AB235" s="259">
        <f>FORECAST(AB45,I235:AA235,I45:AA45)</f>
        <v>0.44200000000000006</v>
      </c>
      <c r="AC235" s="259">
        <f>FORECAST(AC45,J235:AB235,J45:AB45)</f>
        <v>0.44200000000000006</v>
      </c>
      <c r="AD235" s="259">
        <f t="shared" ref="AD235:AE235" si="123">FORECAST(AD45,K235:AC235,K45:AC45)</f>
        <v>0.44200000000000006</v>
      </c>
      <c r="AE235" s="259">
        <f t="shared" si="123"/>
        <v>0.44200000000000006</v>
      </c>
    </row>
    <row r="236" spans="1:33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  <c r="AD236" s="248"/>
      <c r="AE236" s="248"/>
    </row>
    <row r="237" spans="1:33" ht="15.75" thickBot="1">
      <c r="A237" s="235" t="s">
        <v>264</v>
      </c>
    </row>
    <row r="238" spans="1:33" ht="15.75" thickBot="1">
      <c r="A238" s="236"/>
      <c r="B238" s="237" t="str">
        <f>B$2</f>
        <v xml:space="preserve">93/94 </v>
      </c>
      <c r="C238" s="237" t="str">
        <f t="shared" ref="C238:AE238" si="124">C$2</f>
        <v xml:space="preserve">94/95 </v>
      </c>
      <c r="D238" s="237" t="str">
        <f t="shared" si="124"/>
        <v xml:space="preserve">95/96 </v>
      </c>
      <c r="E238" s="237" t="str">
        <f t="shared" si="124"/>
        <v xml:space="preserve">96/97 </v>
      </c>
      <c r="F238" s="237" t="str">
        <f t="shared" si="124"/>
        <v xml:space="preserve">97/98 </v>
      </c>
      <c r="G238" s="237" t="str">
        <f t="shared" si="124"/>
        <v xml:space="preserve">98/99 </v>
      </c>
      <c r="H238" s="237" t="str">
        <f t="shared" si="124"/>
        <v xml:space="preserve">99/00 </v>
      </c>
      <c r="I238" s="237" t="str">
        <f t="shared" si="124"/>
        <v xml:space="preserve">00/01 </v>
      </c>
      <c r="J238" s="237" t="str">
        <f t="shared" si="124"/>
        <v xml:space="preserve">01/02 </v>
      </c>
      <c r="K238" s="237" t="str">
        <f t="shared" si="124"/>
        <v xml:space="preserve">02/03 </v>
      </c>
      <c r="L238" s="237" t="str">
        <f t="shared" si="124"/>
        <v xml:space="preserve">03/04 </v>
      </c>
      <c r="M238" s="237" t="str">
        <f t="shared" si="124"/>
        <v xml:space="preserve">04/05 </v>
      </c>
      <c r="N238" s="237" t="str">
        <f t="shared" si="124"/>
        <v xml:space="preserve">05/06 </v>
      </c>
      <c r="O238" s="237" t="str">
        <f t="shared" si="124"/>
        <v xml:space="preserve">06/07 </v>
      </c>
      <c r="P238" s="237" t="str">
        <f t="shared" si="124"/>
        <v xml:space="preserve">07/08 </v>
      </c>
      <c r="Q238" s="237" t="str">
        <f t="shared" si="124"/>
        <v xml:space="preserve">08/09 </v>
      </c>
      <c r="R238" s="237" t="str">
        <f t="shared" si="124"/>
        <v xml:space="preserve">09/10 </v>
      </c>
      <c r="S238" s="237" t="str">
        <f t="shared" si="124"/>
        <v xml:space="preserve">10/11 </v>
      </c>
      <c r="T238" s="237" t="str">
        <f t="shared" si="124"/>
        <v xml:space="preserve">11/12 </v>
      </c>
      <c r="U238" s="237" t="str">
        <f t="shared" si="124"/>
        <v xml:space="preserve">12/13 </v>
      </c>
      <c r="V238" s="237" t="str">
        <f t="shared" si="124"/>
        <v xml:space="preserve">13/14 </v>
      </c>
      <c r="W238" s="237" t="str">
        <f t="shared" si="124"/>
        <v xml:space="preserve">14/15 </v>
      </c>
      <c r="X238" s="237" t="str">
        <f t="shared" si="124"/>
        <v xml:space="preserve">15/16 </v>
      </c>
      <c r="Y238" s="237" t="str">
        <f t="shared" si="124"/>
        <v xml:space="preserve">16/17 </v>
      </c>
      <c r="Z238" s="237" t="str">
        <f t="shared" si="124"/>
        <v xml:space="preserve">17/18 </v>
      </c>
      <c r="AA238" s="237" t="str">
        <f t="shared" si="124"/>
        <v xml:space="preserve">18/19 </v>
      </c>
      <c r="AB238" s="237" t="str">
        <f t="shared" si="124"/>
        <v xml:space="preserve">19/20 </v>
      </c>
      <c r="AC238" s="237" t="str">
        <f t="shared" si="124"/>
        <v xml:space="preserve">20/21 </v>
      </c>
      <c r="AD238" s="237" t="str">
        <f t="shared" si="124"/>
        <v>21/22</v>
      </c>
      <c r="AE238" s="237" t="str">
        <f t="shared" si="124"/>
        <v>22/23</v>
      </c>
    </row>
    <row r="239" spans="1:33">
      <c r="A239" s="240" t="s">
        <v>237</v>
      </c>
      <c r="B239" s="298">
        <f t="shared" ref="B239:AE247" si="125">B223+B112</f>
        <v>0.79650737719550158</v>
      </c>
      <c r="C239" s="298">
        <f t="shared" si="125"/>
        <v>0.84087099361081474</v>
      </c>
      <c r="D239" s="298">
        <f t="shared" si="125"/>
        <v>1.4622966381015159</v>
      </c>
      <c r="E239" s="298">
        <f t="shared" si="125"/>
        <v>0.76411994002998496</v>
      </c>
      <c r="F239" s="298">
        <f t="shared" si="125"/>
        <v>-2.0530232558139536</v>
      </c>
      <c r="G239" s="298">
        <f t="shared" si="125"/>
        <v>0.90012868632707765</v>
      </c>
      <c r="H239" s="298">
        <f t="shared" si="125"/>
        <v>-0.43349762131303488</v>
      </c>
      <c r="I239" s="298">
        <f t="shared" si="125"/>
        <v>-0.20884325306678803</v>
      </c>
      <c r="J239" s="298">
        <f t="shared" si="125"/>
        <v>-0.64412338709677486</v>
      </c>
      <c r="K239" s="298">
        <f t="shared" si="125"/>
        <v>2.2134976816074197</v>
      </c>
      <c r="L239" s="298">
        <f t="shared" si="125"/>
        <v>-0.29676882430647294</v>
      </c>
      <c r="M239" s="298">
        <f t="shared" si="125"/>
        <v>3.0832499999999978</v>
      </c>
      <c r="N239" s="298">
        <f t="shared" si="125"/>
        <v>0.41169687691365559</v>
      </c>
      <c r="O239" s="298">
        <f t="shared" si="125"/>
        <v>0.65355902306648539</v>
      </c>
      <c r="P239" s="298">
        <f t="shared" si="125"/>
        <v>-0.84496713615023333</v>
      </c>
      <c r="Q239" s="298">
        <f t="shared" si="125"/>
        <v>-0.28828880866426038</v>
      </c>
      <c r="R239" s="298">
        <f t="shared" si="125"/>
        <v>0.73395128373930218</v>
      </c>
      <c r="S239" s="298">
        <f t="shared" si="125"/>
        <v>0.8639881053525913</v>
      </c>
      <c r="T239" s="298">
        <f t="shared" si="125"/>
        <v>0.37906836827711937</v>
      </c>
      <c r="U239" s="298">
        <f t="shared" si="125"/>
        <v>0.48999999999999988</v>
      </c>
      <c r="V239" s="298">
        <f t="shared" si="125"/>
        <v>0.75929192546583857</v>
      </c>
      <c r="W239" s="298">
        <f t="shared" si="125"/>
        <v>1.5309606986899571</v>
      </c>
      <c r="X239" s="298">
        <f t="shared" si="125"/>
        <v>3.8967288135593328</v>
      </c>
      <c r="Y239" s="298">
        <f t="shared" si="125"/>
        <v>1.2090000000000001</v>
      </c>
      <c r="Z239" s="298">
        <f t="shared" si="125"/>
        <v>0.29325118741903983</v>
      </c>
      <c r="AA239" s="259">
        <f t="shared" si="125"/>
        <v>0.55129284158295955</v>
      </c>
      <c r="AB239" s="259">
        <f t="shared" si="125"/>
        <v>-2.5423328848786095</v>
      </c>
      <c r="AC239" s="259">
        <f t="shared" si="125"/>
        <v>5.6491304645684677</v>
      </c>
      <c r="AD239" s="259">
        <f t="shared" si="125"/>
        <v>6.0526195435638757</v>
      </c>
      <c r="AE239" s="259">
        <f t="shared" si="125"/>
        <v>0.67693788813579592</v>
      </c>
    </row>
    <row r="240" spans="1:33">
      <c r="A240" s="240" t="s">
        <v>238</v>
      </c>
      <c r="B240" s="298">
        <f t="shared" si="125"/>
        <v>0.85373461107394499</v>
      </c>
      <c r="C240" s="298">
        <f t="shared" si="125"/>
        <v>0.68501362773243968</v>
      </c>
      <c r="D240" s="298">
        <f t="shared" si="125"/>
        <v>0.5732117241379312</v>
      </c>
      <c r="E240" s="298">
        <f t="shared" si="125"/>
        <v>-17.000000000000217</v>
      </c>
      <c r="F240" s="298">
        <f t="shared" si="125"/>
        <v>0.33478572784209532</v>
      </c>
      <c r="G240" s="298">
        <f t="shared" si="125"/>
        <v>0.74216019417475732</v>
      </c>
      <c r="H240" s="298">
        <f t="shared" si="125"/>
        <v>0.47014951724137932</v>
      </c>
      <c r="I240" s="298">
        <f t="shared" si="125"/>
        <v>0.63033491404860698</v>
      </c>
      <c r="J240" s="298">
        <f t="shared" si="125"/>
        <v>1.7655844155844167</v>
      </c>
      <c r="K240" s="298">
        <f t="shared" si="125"/>
        <v>0.97891314031180343</v>
      </c>
      <c r="L240" s="298">
        <f t="shared" si="125"/>
        <v>0.75153977968176255</v>
      </c>
      <c r="M240" s="298">
        <f t="shared" si="125"/>
        <v>0.20666732090284579</v>
      </c>
      <c r="N240" s="298">
        <f t="shared" si="125"/>
        <v>4.0245816326530655</v>
      </c>
      <c r="O240" s="298">
        <f t="shared" si="125"/>
        <v>6.628776978417289E-2</v>
      </c>
      <c r="P240" s="298">
        <f t="shared" si="125"/>
        <v>0.22676621787025703</v>
      </c>
      <c r="Q240" s="298">
        <f t="shared" si="125"/>
        <v>0.45849286393910582</v>
      </c>
      <c r="R240" s="298">
        <f t="shared" si="125"/>
        <v>2.7228439716312058</v>
      </c>
      <c r="S240" s="298">
        <f t="shared" si="125"/>
        <v>2.7393917050691181</v>
      </c>
      <c r="T240" s="298">
        <f t="shared" si="125"/>
        <v>2.0139793103448271</v>
      </c>
      <c r="U240" s="298">
        <f t="shared" si="125"/>
        <v>1.2180717488789239</v>
      </c>
      <c r="V240" s="298">
        <f t="shared" si="125"/>
        <v>0.66399999999999992</v>
      </c>
      <c r="W240" s="298">
        <f t="shared" si="125"/>
        <v>0.40308509354254662</v>
      </c>
      <c r="X240" s="298">
        <f t="shared" si="125"/>
        <v>0.1481115241635696</v>
      </c>
      <c r="Y240" s="298">
        <f t="shared" si="125"/>
        <v>-2.9943870967742261</v>
      </c>
      <c r="Z240" s="298">
        <f t="shared" si="125"/>
        <v>-0.42476877867711743</v>
      </c>
      <c r="AA240" s="259">
        <f t="shared" si="125"/>
        <v>0.66775276291737007</v>
      </c>
      <c r="AB240" s="259">
        <f t="shared" si="125"/>
        <v>1.010239512054393</v>
      </c>
      <c r="AC240" s="259">
        <f t="shared" si="125"/>
        <v>-7.1728828961776356</v>
      </c>
      <c r="AD240" s="259">
        <f t="shared" si="125"/>
        <v>-16.654272887197362</v>
      </c>
      <c r="AE240" s="259">
        <f t="shared" si="125"/>
        <v>0.67627551746515313</v>
      </c>
    </row>
    <row r="241" spans="1:31">
      <c r="A241" s="240" t="s">
        <v>239</v>
      </c>
      <c r="B241" s="298">
        <f t="shared" si="125"/>
        <v>0.76475788563329294</v>
      </c>
      <c r="C241" s="298">
        <f t="shared" si="125"/>
        <v>0.83930185349809827</v>
      </c>
      <c r="D241" s="298">
        <f t="shared" si="125"/>
        <v>-0.39678962536023038</v>
      </c>
      <c r="E241" s="298">
        <f t="shared" si="125"/>
        <v>0.34465418580007062</v>
      </c>
      <c r="F241" s="298">
        <f t="shared" si="125"/>
        <v>-0.207916883116883</v>
      </c>
      <c r="G241" s="298">
        <f t="shared" si="125"/>
        <v>-2.3359999999999967</v>
      </c>
      <c r="H241" s="298">
        <f t="shared" si="125"/>
        <v>1.3231696264543777</v>
      </c>
      <c r="I241" s="298">
        <f t="shared" si="125"/>
        <v>-30.09285714285636</v>
      </c>
      <c r="J241" s="298">
        <f t="shared" si="125"/>
        <v>8.6601371204703681E-3</v>
      </c>
      <c r="K241" s="298">
        <f t="shared" si="125"/>
        <v>0.61917597765363142</v>
      </c>
      <c r="L241" s="298">
        <f t="shared" si="125"/>
        <v>0.15643268242548825</v>
      </c>
      <c r="M241" s="298">
        <f t="shared" si="125"/>
        <v>-0.26256107382550303</v>
      </c>
      <c r="N241" s="298">
        <f t="shared" si="125"/>
        <v>0.12676521739130481</v>
      </c>
      <c r="O241" s="298">
        <f t="shared" si="125"/>
        <v>36.357379310343859</v>
      </c>
      <c r="P241" s="298">
        <f t="shared" si="125"/>
        <v>12.379133333333593</v>
      </c>
      <c r="Q241" s="298">
        <f t="shared" si="125"/>
        <v>4.9098360655738027E-2</v>
      </c>
      <c r="R241" s="298">
        <f t="shared" si="125"/>
        <v>0.61654625550660791</v>
      </c>
      <c r="S241" s="298">
        <f t="shared" si="125"/>
        <v>0.40926086956521762</v>
      </c>
      <c r="T241" s="298">
        <f t="shared" si="125"/>
        <v>8.2000000000000184E-2</v>
      </c>
      <c r="U241" s="298">
        <f t="shared" si="125"/>
        <v>0.54132457027300307</v>
      </c>
      <c r="V241" s="298">
        <f t="shared" si="125"/>
        <v>-1.2997142857142825</v>
      </c>
      <c r="W241" s="298">
        <f t="shared" si="125"/>
        <v>0.21044009340758035</v>
      </c>
      <c r="X241" s="298">
        <f t="shared" si="125"/>
        <v>0.44892266187050378</v>
      </c>
      <c r="Y241" s="298">
        <f t="shared" si="125"/>
        <v>0.38048876404494347</v>
      </c>
      <c r="Z241" s="298">
        <f t="shared" si="125"/>
        <v>0.18763032168412888</v>
      </c>
      <c r="AA241" s="259">
        <f t="shared" si="125"/>
        <v>0.3355818960345624</v>
      </c>
      <c r="AB241" s="259">
        <f t="shared" si="125"/>
        <v>0.36220789818411914</v>
      </c>
      <c r="AC241" s="259">
        <f t="shared" si="125"/>
        <v>1.1325679764936469</v>
      </c>
      <c r="AD241" s="259">
        <f t="shared" si="125"/>
        <v>0.78794912362877789</v>
      </c>
      <c r="AE241" s="259">
        <f t="shared" si="125"/>
        <v>0.27633445667301137</v>
      </c>
    </row>
    <row r="242" spans="1:31">
      <c r="A242" s="240" t="s">
        <v>240</v>
      </c>
      <c r="B242" s="298">
        <f t="shared" si="125"/>
        <v>0.78522293388269737</v>
      </c>
      <c r="C242" s="298">
        <f t="shared" si="125"/>
        <v>0.74177664030386292</v>
      </c>
      <c r="D242" s="298">
        <f t="shared" si="125"/>
        <v>0.20949546436285096</v>
      </c>
      <c r="E242" s="298">
        <f t="shared" si="125"/>
        <v>3.8568932584269677</v>
      </c>
      <c r="F242" s="298">
        <f t="shared" si="125"/>
        <v>7.1487999999999916</v>
      </c>
      <c r="G242" s="298">
        <f t="shared" si="125"/>
        <v>2.8466666666666667</v>
      </c>
      <c r="H242" s="298">
        <f t="shared" si="125"/>
        <v>1.8332933884297535</v>
      </c>
      <c r="I242" s="298">
        <f t="shared" si="125"/>
        <v>0.30226055045871458</v>
      </c>
      <c r="J242" s="298">
        <f t="shared" si="125"/>
        <v>0.56741558441558426</v>
      </c>
      <c r="K242" s="298">
        <f t="shared" si="125"/>
        <v>-5.4085106382978421E-2</v>
      </c>
      <c r="L242" s="298">
        <f t="shared" si="125"/>
        <v>-5.8460000000000303</v>
      </c>
      <c r="M242" s="298">
        <f t="shared" si="125"/>
        <v>0.55708164598301768</v>
      </c>
      <c r="N242" s="298">
        <f t="shared" si="125"/>
        <v>0.11155310880828989</v>
      </c>
      <c r="O242" s="298">
        <f t="shared" si="125"/>
        <v>0.33113728813559296</v>
      </c>
      <c r="P242" s="298">
        <f t="shared" si="125"/>
        <v>0.14700000000000307</v>
      </c>
      <c r="Q242" s="298">
        <f t="shared" si="125"/>
        <v>0.62296673346693399</v>
      </c>
      <c r="R242" s="298">
        <f t="shared" si="125"/>
        <v>0.55234381551362688</v>
      </c>
      <c r="S242" s="298">
        <f t="shared" si="125"/>
        <v>-0.5571326676176902</v>
      </c>
      <c r="T242" s="298">
        <f t="shared" si="125"/>
        <v>-3.500000000000042E-2</v>
      </c>
      <c r="U242" s="298">
        <f t="shared" si="125"/>
        <v>1.020785714285714</v>
      </c>
      <c r="V242" s="298">
        <f t="shared" si="125"/>
        <v>0.42980968280467463</v>
      </c>
      <c r="W242" s="298">
        <f t="shared" si="125"/>
        <v>10.902575107296091</v>
      </c>
      <c r="X242" s="298">
        <f t="shared" si="125"/>
        <v>-0.22819025522041791</v>
      </c>
      <c r="Y242" s="298">
        <f t="shared" si="125"/>
        <v>-6.2143333333333253</v>
      </c>
      <c r="Z242" s="298">
        <f t="shared" si="125"/>
        <v>0.6741599444751103</v>
      </c>
      <c r="AA242" s="259">
        <f t="shared" si="125"/>
        <v>-0.29976225108789212</v>
      </c>
      <c r="AB242" s="259">
        <f t="shared" si="125"/>
        <v>-0.39553199899947594</v>
      </c>
      <c r="AC242" s="259">
        <f t="shared" si="125"/>
        <v>-2.1314345877950145</v>
      </c>
      <c r="AD242" s="259">
        <f t="shared" si="125"/>
        <v>-0.55478147168979963</v>
      </c>
      <c r="AE242" s="259">
        <f t="shared" si="125"/>
        <v>0.40201570959253302</v>
      </c>
    </row>
    <row r="243" spans="1:31">
      <c r="A243" s="240" t="s">
        <v>241</v>
      </c>
      <c r="B243" s="298">
        <f t="shared" si="125"/>
        <v>0.80426403558835724</v>
      </c>
      <c r="C243" s="298">
        <f t="shared" si="125"/>
        <v>0.95529923760854385</v>
      </c>
      <c r="D243" s="298">
        <f t="shared" si="125"/>
        <v>0.99084590995561217</v>
      </c>
      <c r="E243" s="298">
        <f t="shared" si="125"/>
        <v>-0.14667080745341576</v>
      </c>
      <c r="F243" s="298">
        <f t="shared" si="125"/>
        <v>0.72910191082802589</v>
      </c>
      <c r="G243" s="298">
        <f t="shared" si="125"/>
        <v>0.43505263157894758</v>
      </c>
      <c r="H243" s="298">
        <f t="shared" si="125"/>
        <v>-0.16856801909307978</v>
      </c>
      <c r="I243" s="298">
        <f t="shared" si="125"/>
        <v>0.13087817703768648</v>
      </c>
      <c r="J243" s="298">
        <f t="shared" si="125"/>
        <v>-0.11412577319587652</v>
      </c>
      <c r="K243" s="298">
        <f t="shared" si="125"/>
        <v>0.82183423913043496</v>
      </c>
      <c r="L243" s="298">
        <f t="shared" si="125"/>
        <v>0.21763157894736909</v>
      </c>
      <c r="M243" s="298">
        <f t="shared" si="125"/>
        <v>-1.0590393374741207</v>
      </c>
      <c r="N243" s="298">
        <f t="shared" si="125"/>
        <v>0.99257006673022041</v>
      </c>
      <c r="O243" s="298">
        <f t="shared" si="125"/>
        <v>0.64629404900816811</v>
      </c>
      <c r="P243" s="298">
        <f t="shared" si="125"/>
        <v>0.27306422018348664</v>
      </c>
      <c r="Q243" s="298">
        <f t="shared" si="125"/>
        <v>-3.3217541528239343</v>
      </c>
      <c r="R243" s="298">
        <f t="shared" si="125"/>
        <v>-0.82929999999999904</v>
      </c>
      <c r="S243" s="298">
        <f t="shared" si="125"/>
        <v>-0.13986936236391834</v>
      </c>
      <c r="T243" s="298">
        <f t="shared" si="125"/>
        <v>0.62059978189749199</v>
      </c>
      <c r="U243" s="298">
        <f t="shared" si="125"/>
        <v>0.27781781285231122</v>
      </c>
      <c r="V243" s="298">
        <f t="shared" si="125"/>
        <v>0.49451036866359455</v>
      </c>
      <c r="W243" s="298">
        <f t="shared" si="125"/>
        <v>0.3131846670397313</v>
      </c>
      <c r="X243" s="298">
        <f t="shared" si="125"/>
        <v>-4.0882790697674132</v>
      </c>
      <c r="Y243" s="298">
        <f t="shared" si="125"/>
        <v>0.76632000000000189</v>
      </c>
      <c r="Z243" s="298">
        <f t="shared" si="125"/>
        <v>4.6776202994163674</v>
      </c>
      <c r="AA243" s="259">
        <f t="shared" si="125"/>
        <v>0.34353911359505412</v>
      </c>
      <c r="AB243" s="259">
        <f t="shared" si="125"/>
        <v>3.0540795293884482E-2</v>
      </c>
      <c r="AC243" s="259">
        <f t="shared" si="125"/>
        <v>-0.14859368912231685</v>
      </c>
      <c r="AD243" s="259">
        <f t="shared" si="125"/>
        <v>-4.640089324940655E-2</v>
      </c>
      <c r="AE243" s="259">
        <f t="shared" si="125"/>
        <v>0.39495734407283578</v>
      </c>
    </row>
    <row r="244" spans="1:31">
      <c r="A244" s="240" t="s">
        <v>231</v>
      </c>
      <c r="B244" s="298">
        <f t="shared" si="125"/>
        <v>0.7836059151895014</v>
      </c>
      <c r="C244" s="298">
        <f t="shared" si="125"/>
        <v>0.64182859288463345</v>
      </c>
      <c r="D244" s="298">
        <f t="shared" si="125"/>
        <v>0.61707261247040246</v>
      </c>
      <c r="E244" s="298">
        <f t="shared" si="125"/>
        <v>0.87010389610389649</v>
      </c>
      <c r="F244" s="298">
        <f t="shared" si="125"/>
        <v>0.30063248882265281</v>
      </c>
      <c r="G244" s="298">
        <f t="shared" si="125"/>
        <v>0.21789162561576361</v>
      </c>
      <c r="H244" s="298">
        <f t="shared" si="125"/>
        <v>-0.19325433526011365</v>
      </c>
      <c r="I244" s="298">
        <f t="shared" si="125"/>
        <v>0.29501201900680141</v>
      </c>
      <c r="J244" s="298">
        <f t="shared" si="125"/>
        <v>4.2764868058292049E-3</v>
      </c>
      <c r="K244" s="298">
        <f t="shared" si="125"/>
        <v>2.6823741007194242</v>
      </c>
      <c r="L244" s="298">
        <f t="shared" si="125"/>
        <v>0.650837340876945</v>
      </c>
      <c r="M244" s="298">
        <f t="shared" si="125"/>
        <v>1.804552352048594E-2</v>
      </c>
      <c r="N244" s="298">
        <f t="shared" si="125"/>
        <v>0.54518054338299704</v>
      </c>
      <c r="O244" s="298">
        <f t="shared" si="125"/>
        <v>0.64834371209057828</v>
      </c>
      <c r="P244" s="298">
        <f t="shared" si="125"/>
        <v>0.53824439918533606</v>
      </c>
      <c r="Q244" s="298">
        <f t="shared" si="125"/>
        <v>-0.26828440366972245</v>
      </c>
      <c r="R244" s="298">
        <f t="shared" si="125"/>
        <v>2.3561772151898821</v>
      </c>
      <c r="S244" s="298">
        <f t="shared" si="125"/>
        <v>-0.30835697940503498</v>
      </c>
      <c r="T244" s="298">
        <f t="shared" si="125"/>
        <v>4.7475869565217721</v>
      </c>
      <c r="U244" s="298">
        <f t="shared" si="125"/>
        <v>3.7931795774647861</v>
      </c>
      <c r="V244" s="298">
        <f t="shared" si="125"/>
        <v>-7.1076310679611634</v>
      </c>
      <c r="W244" s="298">
        <f t="shared" si="125"/>
        <v>1.9478971008575041E-2</v>
      </c>
      <c r="X244" s="298">
        <f t="shared" si="125"/>
        <v>0.38682547169811349</v>
      </c>
      <c r="Y244" s="298">
        <f t="shared" si="125"/>
        <v>0.31921649484536097</v>
      </c>
      <c r="Z244" s="298">
        <f t="shared" si="125"/>
        <v>0.33048104965632419</v>
      </c>
      <c r="AA244" s="259">
        <f t="shared" si="125"/>
        <v>0.41459543851698888</v>
      </c>
      <c r="AB244" s="259">
        <f t="shared" si="125"/>
        <v>0.46268234986277468</v>
      </c>
      <c r="AC244" s="259">
        <f t="shared" si="125"/>
        <v>0.68512588231113702</v>
      </c>
      <c r="AD244" s="259">
        <f t="shared" si="125"/>
        <v>1.2561192048132073</v>
      </c>
      <c r="AE244" s="259">
        <f t="shared" si="125"/>
        <v>0.32712669236190545</v>
      </c>
    </row>
    <row r="245" spans="1:31">
      <c r="A245" s="240" t="s">
        <v>232</v>
      </c>
      <c r="B245" s="298">
        <f t="shared" si="125"/>
        <v>0.85865883254566366</v>
      </c>
      <c r="C245" s="298">
        <f t="shared" si="125"/>
        <v>0.7934908293460925</v>
      </c>
      <c r="D245" s="298">
        <f t="shared" si="125"/>
        <v>-0.23760463672117599</v>
      </c>
      <c r="E245" s="298">
        <f t="shared" si="125"/>
        <v>4.1594226874840934E-2</v>
      </c>
      <c r="F245" s="298">
        <f t="shared" si="125"/>
        <v>-1.7644062499999991</v>
      </c>
      <c r="G245" s="298">
        <f t="shared" si="125"/>
        <v>3.6651851851851935</v>
      </c>
      <c r="H245" s="298">
        <f t="shared" si="125"/>
        <v>0.22499005355776566</v>
      </c>
      <c r="I245" s="298">
        <f t="shared" si="125"/>
        <v>-3.2738429878048758</v>
      </c>
      <c r="J245" s="298">
        <f t="shared" si="125"/>
        <v>4.9334327796416027</v>
      </c>
      <c r="K245" s="298">
        <f t="shared" si="125"/>
        <v>0.40465986741458448</v>
      </c>
      <c r="L245" s="298">
        <f t="shared" si="125"/>
        <v>-3.4952955367913152E-2</v>
      </c>
      <c r="M245" s="298">
        <f t="shared" si="125"/>
        <v>0.93766053169734187</v>
      </c>
      <c r="N245" s="298">
        <f t="shared" si="125"/>
        <v>-0.13198684210526296</v>
      </c>
      <c r="O245" s="298">
        <f t="shared" si="125"/>
        <v>5.8160477797974564E-2</v>
      </c>
      <c r="P245" s="298">
        <f t="shared" si="125"/>
        <v>6.2512556342562864E-2</v>
      </c>
      <c r="Q245" s="298">
        <f t="shared" si="125"/>
        <v>0.37239621451104105</v>
      </c>
      <c r="R245" s="298">
        <f t="shared" si="125"/>
        <v>0.72571428571428365</v>
      </c>
      <c r="S245" s="298">
        <f t="shared" si="125"/>
        <v>-2.1994999999999671</v>
      </c>
      <c r="T245" s="298">
        <f t="shared" si="125"/>
        <v>0.22133531157270145</v>
      </c>
      <c r="U245" s="298">
        <f t="shared" si="125"/>
        <v>3.2955999999999817</v>
      </c>
      <c r="V245" s="298">
        <f t="shared" si="125"/>
        <v>0.41929371816638372</v>
      </c>
      <c r="W245" s="298">
        <f t="shared" si="125"/>
        <v>-0.23285820499203408</v>
      </c>
      <c r="X245" s="298">
        <f t="shared" si="125"/>
        <v>1.5589350649350631</v>
      </c>
      <c r="Y245" s="298">
        <f t="shared" si="125"/>
        <v>-0.93401190476190732</v>
      </c>
      <c r="Z245" s="259">
        <f t="shared" si="125"/>
        <v>0.78400000000000003</v>
      </c>
      <c r="AA245" s="259">
        <f t="shared" si="125"/>
        <v>0.40850948656571429</v>
      </c>
      <c r="AB245" s="259">
        <f t="shared" si="125"/>
        <v>0.3979529803186343</v>
      </c>
      <c r="AC245" s="259">
        <f t="shared" si="125"/>
        <v>0.41215367732288932</v>
      </c>
      <c r="AD245" s="259">
        <f t="shared" si="125"/>
        <v>-0.64859440912146837</v>
      </c>
      <c r="AE245" s="259">
        <f t="shared" si="125"/>
        <v>0.57561443757143382</v>
      </c>
    </row>
    <row r="246" spans="1:31">
      <c r="A246" s="240" t="s">
        <v>233</v>
      </c>
      <c r="B246" s="298">
        <f t="shared" si="125"/>
        <v>0.79125272413015679</v>
      </c>
      <c r="C246" s="298">
        <f t="shared" si="125"/>
        <v>1.0924839340597929</v>
      </c>
      <c r="D246" s="298">
        <f t="shared" si="125"/>
        <v>7.2050316055625896E-2</v>
      </c>
      <c r="E246" s="298">
        <f t="shared" si="125"/>
        <v>1.8148145714285731</v>
      </c>
      <c r="F246" s="298">
        <f t="shared" si="125"/>
        <v>-6.4224543080940166E-2</v>
      </c>
      <c r="G246" s="298">
        <f t="shared" si="125"/>
        <v>0.30594561933534759</v>
      </c>
      <c r="H246" s="298">
        <f t="shared" si="125"/>
        <v>0.5948201312910284</v>
      </c>
      <c r="I246" s="298">
        <f t="shared" si="125"/>
        <v>1.1463051317614423</v>
      </c>
      <c r="J246" s="298">
        <f t="shared" si="125"/>
        <v>0.36857000491883918</v>
      </c>
      <c r="K246" s="298">
        <f t="shared" si="125"/>
        <v>1.4676649350649342</v>
      </c>
      <c r="L246" s="298">
        <f t="shared" si="125"/>
        <v>-7.6763428571428372E-2</v>
      </c>
      <c r="M246" s="298">
        <f t="shared" si="125"/>
        <v>0.10655555555555565</v>
      </c>
      <c r="N246" s="298">
        <f t="shared" si="125"/>
        <v>-0.54200000000000115</v>
      </c>
      <c r="O246" s="298">
        <f t="shared" si="125"/>
        <v>1.0250425361155693</v>
      </c>
      <c r="P246" s="298">
        <f t="shared" si="125"/>
        <v>-0.57201597869507381</v>
      </c>
      <c r="Q246" s="298">
        <f t="shared" si="125"/>
        <v>-0.94344954128440062</v>
      </c>
      <c r="R246" s="298">
        <f t="shared" si="125"/>
        <v>0.40037735849056622</v>
      </c>
      <c r="S246" s="298">
        <f t="shared" si="125"/>
        <v>0.31945503355704674</v>
      </c>
      <c r="T246" s="298">
        <f t="shared" si="125"/>
        <v>0.54193825503355697</v>
      </c>
      <c r="U246" s="298">
        <f t="shared" si="125"/>
        <v>1.8120689655169719E-2</v>
      </c>
      <c r="V246" s="298">
        <f t="shared" si="125"/>
        <v>2.7304220183486234</v>
      </c>
      <c r="W246" s="298">
        <f t="shared" si="125"/>
        <v>-1.0532824811399821</v>
      </c>
      <c r="X246" s="298">
        <f t="shared" si="125"/>
        <v>-4.1481690140846406E-2</v>
      </c>
      <c r="Y246" s="298">
        <f t="shared" si="125"/>
        <v>0.12551020408163302</v>
      </c>
      <c r="Z246" s="259">
        <f t="shared" si="125"/>
        <v>0.78400000000000003</v>
      </c>
      <c r="AA246" s="259">
        <f t="shared" si="125"/>
        <v>18.917779913352529</v>
      </c>
      <c r="AB246" s="259">
        <f t="shared" si="125"/>
        <v>0.73936997363305124</v>
      </c>
      <c r="AC246" s="259">
        <f t="shared" si="125"/>
        <v>2.5315185836549507</v>
      </c>
      <c r="AD246" s="259">
        <f t="shared" si="125"/>
        <v>5.5630148062592326</v>
      </c>
      <c r="AE246" s="259">
        <f t="shared" si="125"/>
        <v>0.50544881590781743</v>
      </c>
    </row>
    <row r="247" spans="1:31">
      <c r="A247" s="240" t="s">
        <v>234</v>
      </c>
      <c r="B247" s="298">
        <f t="shared" si="125"/>
        <v>0.803575185786785</v>
      </c>
      <c r="C247" s="298">
        <f t="shared" si="125"/>
        <v>0.65477504365443306</v>
      </c>
      <c r="D247" s="298">
        <f t="shared" si="125"/>
        <v>-6.7277824033901534E-2</v>
      </c>
      <c r="E247" s="298">
        <f t="shared" si="125"/>
        <v>2.9719000000000242</v>
      </c>
      <c r="F247" s="298">
        <f t="shared" si="125"/>
        <v>-2.6013043478260556E-2</v>
      </c>
      <c r="G247" s="298">
        <f t="shared" si="125"/>
        <v>0.98367543859649065</v>
      </c>
      <c r="H247" s="298">
        <f t="shared" si="125"/>
        <v>1.9030046367851632</v>
      </c>
      <c r="I247" s="298">
        <f t="shared" si="125"/>
        <v>0.41534453394706566</v>
      </c>
      <c r="J247" s="298">
        <f t="shared" si="125"/>
        <v>-6.9654368932039468E-3</v>
      </c>
      <c r="K247" s="298">
        <f t="shared" si="125"/>
        <v>0.59758726344247526</v>
      </c>
      <c r="L247" s="298">
        <f t="shared" si="125"/>
        <v>-0.61767741935483822</v>
      </c>
      <c r="M247" s="298">
        <f t="shared" si="125"/>
        <v>0.71874651810584989</v>
      </c>
      <c r="N247" s="298">
        <f t="shared" si="125"/>
        <v>0.21652294557097138</v>
      </c>
      <c r="O247" s="298">
        <f t="shared" si="125"/>
        <v>-0.14152238805970241</v>
      </c>
      <c r="P247" s="298">
        <f t="shared" si="125"/>
        <v>1.5534671532846687</v>
      </c>
      <c r="Q247" s="298">
        <f t="shared" ref="B247:AR251" si="126">Q231+Q120</f>
        <v>0.61130128563443309</v>
      </c>
      <c r="R247" s="298">
        <f t="shared" si="126"/>
        <v>0.64352277227722765</v>
      </c>
      <c r="S247" s="298">
        <f t="shared" si="126"/>
        <v>1.7432340425531947</v>
      </c>
      <c r="T247" s="298">
        <f t="shared" si="126"/>
        <v>1.1186273584905655</v>
      </c>
      <c r="U247" s="298">
        <f t="shared" si="126"/>
        <v>5.0030909090911351</v>
      </c>
      <c r="V247" s="298">
        <f t="shared" si="126"/>
        <v>0.64886624203821786</v>
      </c>
      <c r="W247" s="298">
        <f t="shared" si="126"/>
        <v>-0.38331774415405889</v>
      </c>
      <c r="X247" s="298">
        <f t="shared" si="126"/>
        <v>0.48135168738898743</v>
      </c>
      <c r="Y247" s="298">
        <f t="shared" si="126"/>
        <v>-0.91094214876033042</v>
      </c>
      <c r="Z247" s="259">
        <f t="shared" si="126"/>
        <v>0.78400000000000003</v>
      </c>
      <c r="AA247" s="259">
        <f t="shared" si="126"/>
        <v>0.47572676065582453</v>
      </c>
      <c r="AB247" s="259">
        <f t="shared" si="126"/>
        <v>3.1094429401995971E-2</v>
      </c>
      <c r="AC247" s="259">
        <f t="shared" si="126"/>
        <v>-0.39513400214660294</v>
      </c>
      <c r="AD247" s="259">
        <f t="shared" si="126"/>
        <v>0.57200208889448412</v>
      </c>
      <c r="AE247" s="259">
        <f t="shared" si="126"/>
        <v>0.62262005743381055</v>
      </c>
    </row>
    <row r="248" spans="1:31">
      <c r="A248" s="240" t="s">
        <v>46</v>
      </c>
      <c r="B248" s="298">
        <f t="shared" si="126"/>
        <v>0.77420880175813012</v>
      </c>
      <c r="C248" s="298">
        <f t="shared" si="126"/>
        <v>0.67506507304116858</v>
      </c>
      <c r="D248" s="298">
        <f t="shared" si="126"/>
        <v>0.78738440872898852</v>
      </c>
      <c r="E248" s="298">
        <f t="shared" si="126"/>
        <v>0.37171428571428544</v>
      </c>
      <c r="F248" s="298">
        <f t="shared" si="126"/>
        <v>0.81815925058548045</v>
      </c>
      <c r="G248" s="298">
        <f t="shared" si="126"/>
        <v>0.48004931506849324</v>
      </c>
      <c r="H248" s="298">
        <f t="shared" si="126"/>
        <v>0.14313073713491001</v>
      </c>
      <c r="I248" s="298">
        <f t="shared" si="126"/>
        <v>-0.39073178176268636</v>
      </c>
      <c r="J248" s="298">
        <f t="shared" si="126"/>
        <v>1.3948677150786315</v>
      </c>
      <c r="K248" s="298">
        <f t="shared" si="126"/>
        <v>0.73229655172413799</v>
      </c>
      <c r="L248" s="298">
        <f t="shared" si="126"/>
        <v>0.51343984600577486</v>
      </c>
      <c r="M248" s="298">
        <f t="shared" si="126"/>
        <v>-2.0744162436548206</v>
      </c>
      <c r="N248" s="298">
        <f t="shared" si="126"/>
        <v>-5.1985217391304284</v>
      </c>
      <c r="O248" s="298">
        <f t="shared" si="126"/>
        <v>2.0870190641247848</v>
      </c>
      <c r="P248" s="298">
        <f t="shared" si="126"/>
        <v>0.23650522648083605</v>
      </c>
      <c r="Q248" s="298">
        <f t="shared" si="126"/>
        <v>-6.3028571428571363</v>
      </c>
      <c r="R248" s="298">
        <f t="shared" si="126"/>
        <v>0.71588609715242901</v>
      </c>
      <c r="S248" s="298">
        <f t="shared" si="126"/>
        <v>0.43449332146037384</v>
      </c>
      <c r="T248" s="298">
        <f t="shared" si="126"/>
        <v>0.4813368029739778</v>
      </c>
      <c r="U248" s="298">
        <f t="shared" si="126"/>
        <v>0.35430886075949314</v>
      </c>
      <c r="V248" s="298">
        <f t="shared" si="126"/>
        <v>-0.18772519083969158</v>
      </c>
      <c r="W248" s="298">
        <f t="shared" si="126"/>
        <v>0.52282948790095651</v>
      </c>
      <c r="X248" s="298">
        <f t="shared" si="126"/>
        <v>-1.243006369426751</v>
      </c>
      <c r="Y248" s="298">
        <f t="shared" si="126"/>
        <v>-0.52372672677534071</v>
      </c>
      <c r="Z248" s="259">
        <f t="shared" si="126"/>
        <v>0.78400000000000003</v>
      </c>
      <c r="AA248" s="259">
        <f t="shared" si="126"/>
        <v>0.25637351514413842</v>
      </c>
      <c r="AB248" s="259">
        <f t="shared" si="126"/>
        <v>-1.8446220548896022</v>
      </c>
      <c r="AC248" s="259">
        <f t="shared" si="126"/>
        <v>-1.553900038709074</v>
      </c>
      <c r="AD248" s="259">
        <f t="shared" si="126"/>
        <v>0.4821126460475581</v>
      </c>
      <c r="AE248" s="259">
        <f t="shared" si="126"/>
        <v>0.46335291754288488</v>
      </c>
    </row>
    <row r="249" spans="1:31">
      <c r="A249" s="240" t="s">
        <v>235</v>
      </c>
      <c r="B249" s="298">
        <f t="shared" si="126"/>
        <v>0.81936396812392931</v>
      </c>
      <c r="C249" s="298">
        <f t="shared" si="126"/>
        <v>0.7100395186714622</v>
      </c>
      <c r="D249" s="298">
        <f t="shared" si="126"/>
        <v>1.896794605809129</v>
      </c>
      <c r="E249" s="298">
        <f t="shared" si="126"/>
        <v>1.3574054054054046</v>
      </c>
      <c r="F249" s="298">
        <f t="shared" si="126"/>
        <v>0.85003230148048403</v>
      </c>
      <c r="G249" s="298">
        <f t="shared" si="126"/>
        <v>16.474999999999987</v>
      </c>
      <c r="H249" s="298">
        <f t="shared" si="126"/>
        <v>7.4042158516019918E-2</v>
      </c>
      <c r="I249" s="298">
        <f t="shared" si="126"/>
        <v>0.82369729729729735</v>
      </c>
      <c r="J249" s="298">
        <f t="shared" si="126"/>
        <v>0.66549492213947181</v>
      </c>
      <c r="K249" s="298">
        <f t="shared" si="126"/>
        <v>1.2042716688227686</v>
      </c>
      <c r="L249" s="298">
        <f t="shared" si="126"/>
        <v>10.325434782608784</v>
      </c>
      <c r="M249" s="298">
        <f t="shared" si="126"/>
        <v>0.58797175141242974</v>
      </c>
      <c r="N249" s="298">
        <f t="shared" si="126"/>
        <v>0.29091457286432165</v>
      </c>
      <c r="O249" s="298">
        <f t="shared" si="126"/>
        <v>0.16365454545454572</v>
      </c>
      <c r="P249" s="298">
        <f t="shared" si="126"/>
        <v>2.0056590163934436</v>
      </c>
      <c r="Q249" s="298">
        <f t="shared" si="126"/>
        <v>0.32075686591276248</v>
      </c>
      <c r="R249" s="298">
        <f t="shared" si="126"/>
        <v>0.6807342747111681</v>
      </c>
      <c r="S249" s="298">
        <f t="shared" si="126"/>
        <v>1.9993155258764621</v>
      </c>
      <c r="T249" s="298">
        <f t="shared" si="126"/>
        <v>-0.93922844827586438</v>
      </c>
      <c r="U249" s="298">
        <f t="shared" si="126"/>
        <v>0.49858295964125543</v>
      </c>
      <c r="V249" s="298">
        <f t="shared" si="126"/>
        <v>3.7252631578946427E-2</v>
      </c>
      <c r="W249" s="298">
        <f t="shared" si="126"/>
        <v>196.70050000002163</v>
      </c>
      <c r="X249" s="298">
        <f t="shared" si="126"/>
        <v>1.2337292161519853E-2</v>
      </c>
      <c r="Y249" s="298">
        <f t="shared" si="126"/>
        <v>-1.3652298361885569</v>
      </c>
      <c r="Z249" s="259">
        <f t="shared" si="126"/>
        <v>0.78400000000000003</v>
      </c>
      <c r="AA249" s="259">
        <f t="shared" si="126"/>
        <v>0.64187970297699692</v>
      </c>
      <c r="AB249" s="259">
        <f t="shared" si="126"/>
        <v>-0.11727295389628184</v>
      </c>
      <c r="AC249" s="259">
        <f t="shared" si="126"/>
        <v>-0.91333047617999652</v>
      </c>
      <c r="AD249" s="259">
        <f t="shared" si="126"/>
        <v>0.25334464254749001</v>
      </c>
      <c r="AE249" s="259">
        <f t="shared" si="126"/>
        <v>0.32718350346091041</v>
      </c>
    </row>
    <row r="250" spans="1:31">
      <c r="A250" s="240" t="s">
        <v>236</v>
      </c>
      <c r="B250" s="298">
        <f t="shared" si="126"/>
        <v>0.85019566155337478</v>
      </c>
      <c r="C250" s="298">
        <f t="shared" si="126"/>
        <v>1.4120374945817076</v>
      </c>
      <c r="D250" s="298">
        <f t="shared" si="126"/>
        <v>0.6764489795918367</v>
      </c>
      <c r="E250" s="298">
        <f t="shared" si="126"/>
        <v>0.58766094420600912</v>
      </c>
      <c r="F250" s="298">
        <f t="shared" si="126"/>
        <v>0.10958244869072867</v>
      </c>
      <c r="G250" s="298">
        <f t="shared" si="126"/>
        <v>0.3276182212581345</v>
      </c>
      <c r="H250" s="298">
        <f t="shared" si="126"/>
        <v>-4.0218009478672823E-2</v>
      </c>
      <c r="I250" s="298">
        <f t="shared" si="126"/>
        <v>0.14987818543285758</v>
      </c>
      <c r="J250" s="298">
        <f t="shared" si="126"/>
        <v>0.10369592991421794</v>
      </c>
      <c r="K250" s="298">
        <f t="shared" si="126"/>
        <v>0.65430895795246813</v>
      </c>
      <c r="L250" s="298">
        <f t="shared" si="126"/>
        <v>0.33849750215331614</v>
      </c>
      <c r="M250" s="298">
        <f t="shared" si="126"/>
        <v>1.2534640776699058</v>
      </c>
      <c r="N250" s="298">
        <f t="shared" si="126"/>
        <v>-0.75853320500481414</v>
      </c>
      <c r="O250" s="298">
        <f t="shared" si="126"/>
        <v>-2.6333333333333486E-2</v>
      </c>
      <c r="P250" s="298">
        <f t="shared" si="126"/>
        <v>-0.68187341772151688</v>
      </c>
      <c r="Q250" s="298">
        <f t="shared" si="126"/>
        <v>0.61282207374412268</v>
      </c>
      <c r="R250" s="298">
        <f t="shared" si="126"/>
        <v>-1.1442647482014383</v>
      </c>
      <c r="S250" s="298">
        <f t="shared" si="126"/>
        <v>3.2198043478260883</v>
      </c>
      <c r="T250" s="298">
        <f t="shared" si="126"/>
        <v>-0.35086486486486551</v>
      </c>
      <c r="U250" s="298">
        <f t="shared" si="126"/>
        <v>1.9631513157894733</v>
      </c>
      <c r="V250" s="298">
        <f t="shared" si="126"/>
        <v>0.20566883116883111</v>
      </c>
      <c r="W250" s="298">
        <f t="shared" si="126"/>
        <v>0.34386301369862998</v>
      </c>
      <c r="X250" s="298">
        <f t="shared" si="126"/>
        <v>0.20686419753086435</v>
      </c>
      <c r="Y250" s="298">
        <f t="shared" si="126"/>
        <v>0.51007503447401503</v>
      </c>
      <c r="Z250" s="259">
        <f t="shared" si="126"/>
        <v>-2.4509132475728124</v>
      </c>
      <c r="AA250" s="259">
        <f t="shared" si="126"/>
        <v>7.9469339931593792</v>
      </c>
      <c r="AB250" s="259">
        <f t="shared" si="126"/>
        <v>8.0050712747804518</v>
      </c>
      <c r="AC250" s="259">
        <f t="shared" si="126"/>
        <v>8.1976394303951192</v>
      </c>
      <c r="AD250" s="259">
        <f t="shared" si="126"/>
        <v>-44.611211064699425</v>
      </c>
      <c r="AE250" s="259" t="e">
        <f t="shared" si="126"/>
        <v>#DIV/0!</v>
      </c>
    </row>
    <row r="251" spans="1:31" ht="15.75" thickBot="1">
      <c r="A251" s="240" t="s">
        <v>255</v>
      </c>
      <c r="B251" s="258">
        <f>B235+B124</f>
        <v>0.8</v>
      </c>
      <c r="C251" s="258">
        <f t="shared" si="126"/>
        <v>0.76666666666666661</v>
      </c>
      <c r="D251" s="258">
        <f t="shared" si="126"/>
        <v>0.78400000000000003</v>
      </c>
      <c r="E251" s="258">
        <f t="shared" si="126"/>
        <v>0.78400000000000003</v>
      </c>
      <c r="F251" s="258">
        <f t="shared" si="126"/>
        <v>0.78400000000000003</v>
      </c>
      <c r="G251" s="258">
        <f t="shared" si="126"/>
        <v>0.78400000000000003</v>
      </c>
      <c r="H251" s="258">
        <f t="shared" si="126"/>
        <v>0.78400000000000003</v>
      </c>
      <c r="I251" s="258">
        <f t="shared" si="126"/>
        <v>0.78400000000000003</v>
      </c>
      <c r="J251" s="258">
        <f t="shared" si="126"/>
        <v>0.78400000000000003</v>
      </c>
      <c r="K251" s="258">
        <f t="shared" si="126"/>
        <v>0.78400000000000003</v>
      </c>
      <c r="L251" s="258">
        <f t="shared" si="126"/>
        <v>0.78400000000000003</v>
      </c>
      <c r="M251" s="258">
        <f t="shared" si="126"/>
        <v>0.78400000000000003</v>
      </c>
      <c r="N251" s="258">
        <f t="shared" si="126"/>
        <v>0.78400000000000003</v>
      </c>
      <c r="O251" s="258">
        <f t="shared" si="126"/>
        <v>0.78400000000000003</v>
      </c>
      <c r="P251" s="258">
        <f t="shared" si="126"/>
        <v>0.78400000000000003</v>
      </c>
      <c r="Q251" s="258">
        <f t="shared" si="126"/>
        <v>0.78400000000000003</v>
      </c>
      <c r="R251" s="258">
        <f t="shared" si="126"/>
        <v>0.78400000000000003</v>
      </c>
      <c r="S251" s="258">
        <f t="shared" si="126"/>
        <v>0.78400000000000003</v>
      </c>
      <c r="T251" s="258">
        <f t="shared" si="126"/>
        <v>0.78400000000000003</v>
      </c>
      <c r="U251" s="258">
        <f t="shared" si="126"/>
        <v>0.78400000000000003</v>
      </c>
      <c r="V251" s="258">
        <f t="shared" si="126"/>
        <v>0.78400000000000003</v>
      </c>
      <c r="W251" s="258">
        <f t="shared" si="126"/>
        <v>0.78400000000000003</v>
      </c>
      <c r="X251" s="258">
        <f t="shared" si="126"/>
        <v>0.78400000000000003</v>
      </c>
      <c r="Y251" s="258">
        <f t="shared" si="126"/>
        <v>0.78400000000000003</v>
      </c>
      <c r="Z251" s="259">
        <f t="shared" si="126"/>
        <v>0.78400000000000003</v>
      </c>
      <c r="AA251" s="259">
        <f t="shared" si="126"/>
        <v>0.78399999999999992</v>
      </c>
      <c r="AB251" s="259">
        <f t="shared" si="126"/>
        <v>0.78399999999999981</v>
      </c>
      <c r="AC251" s="259">
        <f t="shared" si="126"/>
        <v>0.78399999999999981</v>
      </c>
      <c r="AD251" s="259">
        <f t="shared" si="126"/>
        <v>0.78399999999999981</v>
      </c>
      <c r="AE251" s="259">
        <f t="shared" si="126"/>
        <v>0.78399999999999981</v>
      </c>
    </row>
    <row r="252" spans="1:31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  <c r="AD252" s="248"/>
      <c r="AE252" s="248"/>
    </row>
    <row r="253" spans="1:31" ht="15.75" thickBot="1">
      <c r="A253" s="235" t="s">
        <v>265</v>
      </c>
    </row>
    <row r="254" spans="1:31" ht="15.75" thickBot="1">
      <c r="A254" s="236"/>
      <c r="B254" s="237" t="str">
        <f>B$2</f>
        <v xml:space="preserve">93/94 </v>
      </c>
      <c r="C254" s="237" t="str">
        <f t="shared" ref="C254:AE254" si="127">C$2</f>
        <v xml:space="preserve">94/95 </v>
      </c>
      <c r="D254" s="237" t="str">
        <f t="shared" si="127"/>
        <v xml:space="preserve">95/96 </v>
      </c>
      <c r="E254" s="237" t="str">
        <f t="shared" si="127"/>
        <v xml:space="preserve">96/97 </v>
      </c>
      <c r="F254" s="237" t="str">
        <f t="shared" si="127"/>
        <v xml:space="preserve">97/98 </v>
      </c>
      <c r="G254" s="237" t="str">
        <f t="shared" si="127"/>
        <v xml:space="preserve">98/99 </v>
      </c>
      <c r="H254" s="237" t="str">
        <f t="shared" si="127"/>
        <v xml:space="preserve">99/00 </v>
      </c>
      <c r="I254" s="237" t="str">
        <f t="shared" si="127"/>
        <v xml:space="preserve">00/01 </v>
      </c>
      <c r="J254" s="237" t="str">
        <f t="shared" si="127"/>
        <v xml:space="preserve">01/02 </v>
      </c>
      <c r="K254" s="237" t="str">
        <f t="shared" si="127"/>
        <v xml:space="preserve">02/03 </v>
      </c>
      <c r="L254" s="237" t="str">
        <f t="shared" si="127"/>
        <v xml:space="preserve">03/04 </v>
      </c>
      <c r="M254" s="237" t="str">
        <f t="shared" si="127"/>
        <v xml:space="preserve">04/05 </v>
      </c>
      <c r="N254" s="237" t="str">
        <f t="shared" si="127"/>
        <v xml:space="preserve">05/06 </v>
      </c>
      <c r="O254" s="237" t="str">
        <f t="shared" si="127"/>
        <v xml:space="preserve">06/07 </v>
      </c>
      <c r="P254" s="237" t="str">
        <f t="shared" si="127"/>
        <v xml:space="preserve">07/08 </v>
      </c>
      <c r="Q254" s="237" t="str">
        <f t="shared" si="127"/>
        <v xml:space="preserve">08/09 </v>
      </c>
      <c r="R254" s="237" t="str">
        <f t="shared" si="127"/>
        <v xml:space="preserve">09/10 </v>
      </c>
      <c r="S254" s="237" t="str">
        <f t="shared" si="127"/>
        <v xml:space="preserve">10/11 </v>
      </c>
      <c r="T254" s="237" t="str">
        <f t="shared" si="127"/>
        <v xml:space="preserve">11/12 </v>
      </c>
      <c r="U254" s="237" t="str">
        <f t="shared" si="127"/>
        <v xml:space="preserve">12/13 </v>
      </c>
      <c r="V254" s="237" t="str">
        <f t="shared" si="127"/>
        <v xml:space="preserve">13/14 </v>
      </c>
      <c r="W254" s="237" t="str">
        <f t="shared" si="127"/>
        <v xml:space="preserve">14/15 </v>
      </c>
      <c r="X254" s="237" t="str">
        <f t="shared" si="127"/>
        <v xml:space="preserve">15/16 </v>
      </c>
      <c r="Y254" s="237" t="str">
        <f t="shared" si="127"/>
        <v xml:space="preserve">16/17 </v>
      </c>
      <c r="Z254" s="237" t="str">
        <f t="shared" si="127"/>
        <v xml:space="preserve">17/18 </v>
      </c>
      <c r="AA254" s="237" t="str">
        <f t="shared" si="127"/>
        <v xml:space="preserve">18/19 </v>
      </c>
      <c r="AB254" s="237" t="str">
        <f t="shared" si="127"/>
        <v xml:space="preserve">19/20 </v>
      </c>
      <c r="AC254" s="237" t="str">
        <f t="shared" si="127"/>
        <v xml:space="preserve">20/21 </v>
      </c>
      <c r="AD254" s="237" t="str">
        <f t="shared" si="127"/>
        <v>21/22</v>
      </c>
      <c r="AE254" s="237" t="str">
        <f t="shared" si="127"/>
        <v>22/23</v>
      </c>
    </row>
    <row r="255" spans="1:31">
      <c r="A255" s="240" t="s">
        <v>237</v>
      </c>
      <c r="B255" s="241">
        <f>(SUM(K255:O255)/SUM(K$267:O$267))*B$267</f>
        <v>0.70489936454903401</v>
      </c>
      <c r="C255" s="241">
        <v>0.69478324615628473</v>
      </c>
      <c r="D255" s="242">
        <f>'[2]Canada Sun Oil Imports'!BB$290</f>
        <v>1.0529999999999999</v>
      </c>
      <c r="E255" s="242">
        <f>'[2]Canada Sun Oil Imports'!BN$290</f>
        <v>1.512</v>
      </c>
      <c r="F255" s="242">
        <f>'[2]Canada Sun Oil Imports'!BZ$290</f>
        <v>0.92900000000000005</v>
      </c>
      <c r="G255" s="242">
        <f>'[2]Canada Sun Oil Imports'!CL$290</f>
        <v>1.034</v>
      </c>
      <c r="H255" s="242">
        <f>'[2]Canada Sun Oil Imports'!CX$290</f>
        <v>1.5529999999999999</v>
      </c>
      <c r="I255" s="242">
        <f>'[2]Canada Sun Oil Imports'!DJ$290</f>
        <v>3.339</v>
      </c>
      <c r="J255" s="242">
        <f>'[2]Canada Sun Oil Imports'!DV$290</f>
        <v>4.3920000000000003</v>
      </c>
      <c r="K255" s="242">
        <f>'[2]Canada Sun Oil Imports'!EH$290</f>
        <v>3.6219999999999999</v>
      </c>
      <c r="L255" s="242">
        <f>'[2]Canada Sun Oil Imports'!ET$290</f>
        <v>1.329</v>
      </c>
      <c r="M255" s="242">
        <f>'[2]Canada Sun Oil Imports'!FF$290</f>
        <v>1.589</v>
      </c>
      <c r="N255" s="242">
        <f>'[2]Canada Sun Oil Imports'!FR$290</f>
        <v>4.0090000000000003</v>
      </c>
      <c r="O255" s="242">
        <f>'[2]Canada Sun Oil Imports'!GD$290</f>
        <v>4.032</v>
      </c>
      <c r="P255" s="242">
        <f>'[2]Canada Sun Oil Imports'!GP$290</f>
        <v>3.472</v>
      </c>
      <c r="Q255" s="242">
        <f>'[2]Canada Sun Oil Imports'!HB$290</f>
        <v>3.84</v>
      </c>
      <c r="R255" s="242">
        <f>'[2]Canada Sun Oil Imports'!HN$290</f>
        <v>4.4870000000000001</v>
      </c>
      <c r="S255" s="242">
        <f>'[2]Canada Sun Oil Imports'!HZ$290</f>
        <v>2.4470000000000001</v>
      </c>
      <c r="T255" s="242">
        <f>'[2]Canada Sun Oil Imports'!IL$290</f>
        <v>1.7709999999999999</v>
      </c>
      <c r="U255" s="242">
        <f>'[2]Canada Sun Oil Imports'!IX$290</f>
        <v>1.4139999999999999</v>
      </c>
      <c r="V255" s="242">
        <f>'[2]Canada Sun Oil Imports'!JJ$290</f>
        <v>1.575</v>
      </c>
      <c r="W255" s="242">
        <f>'[2]Canada Sun Oil Imports'!JV$290</f>
        <v>1.8420000000000001</v>
      </c>
      <c r="X255" s="242">
        <f>'[2]Canada Sun Oil Imports'!KH$290</f>
        <v>1.595</v>
      </c>
      <c r="Y255" s="242">
        <f>'[2]Canada Sun Oil Imports'!KT$290</f>
        <v>2.552</v>
      </c>
      <c r="Z255" s="242">
        <f>'[2]Canada Sun Oil Imports'!LF$290</f>
        <v>2.1957450000000001</v>
      </c>
      <c r="AA255" s="242">
        <f>'[2]Canada Sun Oil Imports'!LR$290</f>
        <v>2.5198480000000001</v>
      </c>
      <c r="AB255" s="242">
        <f>'[2]Canada Sun Oil Imports'!MD$290</f>
        <v>2.746969</v>
      </c>
      <c r="AC255" s="242">
        <f>'[2]Canada Sun Oil Imports'!MP$290</f>
        <v>4.6908640000000004</v>
      </c>
      <c r="AD255" s="242">
        <f>'[2]Canada Sun Oil Imports'!NB$290</f>
        <v>4.08</v>
      </c>
      <c r="AE255" s="243">
        <f t="shared" ref="AE255:AE265" si="128">(SUM(Y255:AC255)/SUM(Y$267:AC$267))*AE$267</f>
        <v>2.3755914275580872</v>
      </c>
    </row>
    <row r="256" spans="1:31">
      <c r="A256" s="240" t="s">
        <v>238</v>
      </c>
      <c r="B256" s="241">
        <f t="shared" ref="B256:B266" si="129">(SUM(K256:O256)/SUM(K$267:O$267))*B$267</f>
        <v>0.69281344169482251</v>
      </c>
      <c r="C256" s="241">
        <v>0.86068116975748932</v>
      </c>
      <c r="D256" s="242">
        <f>'[2]Canada Sun Oil Imports'!BC$290</f>
        <v>1.163</v>
      </c>
      <c r="E256" s="242">
        <f>'[2]Canada Sun Oil Imports'!BO$290</f>
        <v>1.5549999999999999</v>
      </c>
      <c r="F256" s="242">
        <f>'[2]Canada Sun Oil Imports'!CA$290</f>
        <v>1.1479999999999999</v>
      </c>
      <c r="G256" s="242">
        <f>'[2]Canada Sun Oil Imports'!CM$290</f>
        <v>1.1499999999999999</v>
      </c>
      <c r="H256" s="242">
        <f>'[2]Canada Sun Oil Imports'!CY$290</f>
        <v>2.5169999999999999</v>
      </c>
      <c r="I256" s="242">
        <f>'[2]Canada Sun Oil Imports'!DK$290</f>
        <v>1.7150000000000001</v>
      </c>
      <c r="J256" s="242">
        <f>'[2]Canada Sun Oil Imports'!DW$290</f>
        <v>1.7150000000000001</v>
      </c>
      <c r="K256" s="242">
        <f>'[2]Canada Sun Oil Imports'!EI$290</f>
        <v>2.2389999999999999</v>
      </c>
      <c r="L256" s="242">
        <f>'[2]Canada Sun Oil Imports'!EU$290</f>
        <v>1.92</v>
      </c>
      <c r="M256" s="242">
        <f>'[2]Canada Sun Oil Imports'!FG$290</f>
        <v>3.2069999999999999</v>
      </c>
      <c r="N256" s="242">
        <f>'[2]Canada Sun Oil Imports'!FS$290</f>
        <v>3.0289999999999999</v>
      </c>
      <c r="O256" s="242">
        <f>'[2]Canada Sun Oil Imports'!GE$290</f>
        <v>3.9359999999999999</v>
      </c>
      <c r="P256" s="242">
        <f>'[2]Canada Sun Oil Imports'!GQ$290</f>
        <v>4.3090000000000002</v>
      </c>
      <c r="Q256" s="242">
        <f>'[2]Canada Sun Oil Imports'!HC$290</f>
        <v>4.0609999999999999</v>
      </c>
      <c r="R256" s="242">
        <f>'[2]Canada Sun Oil Imports'!HO$290</f>
        <v>4.5640000000000001</v>
      </c>
      <c r="S256" s="242">
        <f>'[2]Canada Sun Oil Imports'!IA$290</f>
        <v>2.3170000000000002</v>
      </c>
      <c r="T256" s="242">
        <f>'[2]Canada Sun Oil Imports'!IM$290</f>
        <v>1.3169999999999999</v>
      </c>
      <c r="U256" s="242">
        <f>'[2]Canada Sun Oil Imports'!IY$290</f>
        <v>1.6919999999999999</v>
      </c>
      <c r="V256" s="242">
        <f>'[2]Canada Sun Oil Imports'!JK$290</f>
        <v>1.544</v>
      </c>
      <c r="W256" s="242">
        <f>'[2]Canada Sun Oil Imports'!JW$290</f>
        <v>1.998</v>
      </c>
      <c r="X256" s="242">
        <f>'[2]Canada Sun Oil Imports'!KI$290</f>
        <v>1.7669999999999999</v>
      </c>
      <c r="Y256" s="242">
        <f>'[2]Canada Sun Oil Imports'!KU$290</f>
        <v>2.3079999999999998</v>
      </c>
      <c r="Z256" s="242">
        <f>'[2]Canada Sun Oil Imports'!LG$290</f>
        <v>1.8306249999999999</v>
      </c>
      <c r="AA256" s="242">
        <f>'[2]Canada Sun Oil Imports'!LS$290</f>
        <v>1.912784</v>
      </c>
      <c r="AB256" s="242">
        <f>'[2]Canada Sun Oil Imports'!ME$290</f>
        <v>2.0152220000000001</v>
      </c>
      <c r="AC256" s="242">
        <f>'[2]Canada Sun Oil Imports'!MQ$290</f>
        <v>6.3400720000000002</v>
      </c>
      <c r="AD256" s="242">
        <f>'[2]Canada Sun Oil Imports'!NC$290</f>
        <v>3.4430000000000001</v>
      </c>
      <c r="AE256" s="243">
        <f t="shared" si="128"/>
        <v>2.3273341517733233</v>
      </c>
    </row>
    <row r="257" spans="1:31">
      <c r="A257" s="240" t="s">
        <v>239</v>
      </c>
      <c r="B257" s="241">
        <f t="shared" si="129"/>
        <v>0.85892236540310607</v>
      </c>
      <c r="C257" s="241">
        <v>0.87953320653035361</v>
      </c>
      <c r="D257" s="242">
        <f>'[2]Canada Sun Oil Imports'!BD$290</f>
        <v>1.232</v>
      </c>
      <c r="E257" s="242">
        <f>'[2]Canada Sun Oil Imports'!BP$290</f>
        <v>1.1040000000000001</v>
      </c>
      <c r="F257" s="242">
        <f>'[2]Canada Sun Oil Imports'!CB$290</f>
        <v>0.86599999999999999</v>
      </c>
      <c r="G257" s="242">
        <f>'[2]Canada Sun Oil Imports'!CN$290</f>
        <v>1.0980000000000001</v>
      </c>
      <c r="H257" s="242">
        <f>'[2]Canada Sun Oil Imports'!CZ$290</f>
        <v>3.3980000000000001</v>
      </c>
      <c r="I257" s="242">
        <f>'[2]Canada Sun Oil Imports'!DL$290</f>
        <v>1.3149999999999999</v>
      </c>
      <c r="J257" s="242">
        <f>'[2]Canada Sun Oil Imports'!DX$290</f>
        <v>2.2890000000000001</v>
      </c>
      <c r="K257" s="242">
        <f>'[2]Canada Sun Oil Imports'!EJ$290</f>
        <v>2.1230000000000002</v>
      </c>
      <c r="L257" s="242">
        <f>'[2]Canada Sun Oil Imports'!EV$290</f>
        <v>1.94</v>
      </c>
      <c r="M257" s="242">
        <f>'[2]Canada Sun Oil Imports'!FH$290</f>
        <v>4.5279999999999996</v>
      </c>
      <c r="N257" s="242">
        <f>'[2]Canada Sun Oil Imports'!FT$290</f>
        <v>3.9870000000000001</v>
      </c>
      <c r="O257" s="242">
        <f>'[2]Canada Sun Oil Imports'!GF$290</f>
        <v>5.1890000000000001</v>
      </c>
      <c r="P257" s="242">
        <f>'[2]Canada Sun Oil Imports'!GR$290</f>
        <v>3.4409999999999998</v>
      </c>
      <c r="Q257" s="242">
        <f>'[2]Canada Sun Oil Imports'!HD$290</f>
        <v>4.2939999999999996</v>
      </c>
      <c r="R257" s="242">
        <f>'[2]Canada Sun Oil Imports'!HP$290</f>
        <v>3.3090000000000002</v>
      </c>
      <c r="S257" s="242">
        <f>'[2]Canada Sun Oil Imports'!IB$290</f>
        <v>1.9650000000000001</v>
      </c>
      <c r="T257" s="242">
        <f>'[2]Canada Sun Oil Imports'!IN$290</f>
        <v>1.6359999999999999</v>
      </c>
      <c r="U257" s="242">
        <f>'[2]Canada Sun Oil Imports'!IZ$290</f>
        <v>1.506</v>
      </c>
      <c r="V257" s="242">
        <f>'[2]Canada Sun Oil Imports'!JL$290</f>
        <v>1.665</v>
      </c>
      <c r="W257" s="242">
        <f>'[2]Canada Sun Oil Imports'!JX$290</f>
        <v>1.665</v>
      </c>
      <c r="X257" s="242">
        <f>'[2]Canada Sun Oil Imports'!KJ$290</f>
        <v>1.946</v>
      </c>
      <c r="Y257" s="242">
        <f>'[2]Canada Sun Oil Imports'!KV$290</f>
        <v>2.0670000000000002</v>
      </c>
      <c r="Z257" s="242">
        <f>'[2]Canada Sun Oil Imports'!LH$290</f>
        <v>2.3935369999999998</v>
      </c>
      <c r="AA257" s="242">
        <f>'[2]Canada Sun Oil Imports'!LT$290</f>
        <v>2.2096119999999999</v>
      </c>
      <c r="AB257" s="242">
        <f>'[2]Canada Sun Oil Imports'!MF$290</f>
        <v>2.2202389999999999</v>
      </c>
      <c r="AC257" s="242">
        <f>'[2]Canada Sun Oil Imports'!MR$290</f>
        <v>5.8220720000000004</v>
      </c>
      <c r="AD257" s="242">
        <f>'[2]Canada Sun Oil Imports'!ND$290</f>
        <v>3.2210000000000001</v>
      </c>
      <c r="AE257" s="243">
        <f t="shared" si="128"/>
        <v>2.3767277367069308</v>
      </c>
    </row>
    <row r="258" spans="1:31">
      <c r="A258" s="240" t="s">
        <v>240</v>
      </c>
      <c r="B258" s="241">
        <f t="shared" si="129"/>
        <v>0.74072203988891705</v>
      </c>
      <c r="C258" s="241">
        <v>1.0951319543509275</v>
      </c>
      <c r="D258" s="242">
        <f>'[2]Canada Sun Oil Imports'!BE$290</f>
        <v>1.54</v>
      </c>
      <c r="E258" s="242">
        <f>'[2]Canada Sun Oil Imports'!BQ$290</f>
        <v>1.24</v>
      </c>
      <c r="F258" s="242">
        <f>'[2]Canada Sun Oil Imports'!CC$290</f>
        <v>2.5</v>
      </c>
      <c r="G258" s="242">
        <f>'[2]Canada Sun Oil Imports'!CO$290</f>
        <v>1.5880000000000001</v>
      </c>
      <c r="H258" s="242">
        <f>'[2]Canada Sun Oil Imports'!DA$290</f>
        <v>2.7170000000000001</v>
      </c>
      <c r="I258" s="242">
        <f>'[2]Canada Sun Oil Imports'!DM$290</f>
        <v>2.4380000000000002</v>
      </c>
      <c r="J258" s="242">
        <f>'[2]Canada Sun Oil Imports'!DY$290</f>
        <v>2.8849999999999998</v>
      </c>
      <c r="K258" s="242">
        <f>'[2]Canada Sun Oil Imports'!EK$290</f>
        <v>2.2709999999999999</v>
      </c>
      <c r="L258" s="242">
        <f>'[2]Canada Sun Oil Imports'!EW$290</f>
        <v>1.0429999999999999</v>
      </c>
      <c r="M258" s="242">
        <f>'[2]Canada Sun Oil Imports'!FI$290</f>
        <v>3.2349999999999999</v>
      </c>
      <c r="N258" s="242">
        <f>'[2]Canada Sun Oil Imports'!FU$290</f>
        <v>4.407</v>
      </c>
      <c r="O258" s="242">
        <f>'[2]Canada Sun Oil Imports'!GG$290</f>
        <v>4.3659999999999997</v>
      </c>
      <c r="P258" s="242">
        <f>'[2]Canada Sun Oil Imports'!GS$290</f>
        <v>4.1950000000000003</v>
      </c>
      <c r="Q258" s="242">
        <f>'[2]Canada Sun Oil Imports'!HE$290</f>
        <v>3.5470000000000002</v>
      </c>
      <c r="R258" s="242">
        <f>'[2]Canada Sun Oil Imports'!HQ$290</f>
        <v>3.6030000000000002</v>
      </c>
      <c r="S258" s="242">
        <f>'[2]Canada Sun Oil Imports'!IC$290</f>
        <v>2.359</v>
      </c>
      <c r="T258" s="242">
        <f>'[2]Canada Sun Oil Imports'!IO$290</f>
        <v>1.861</v>
      </c>
      <c r="U258" s="242">
        <f>'[2]Canada Sun Oil Imports'!JA$290</f>
        <v>1.7509999999999999</v>
      </c>
      <c r="V258" s="242">
        <f>'[2]Canada Sun Oil Imports'!JM$290</f>
        <v>1.4510000000000001</v>
      </c>
      <c r="W258" s="242">
        <f>'[2]Canada Sun Oil Imports'!JY$290</f>
        <v>4.0119999999999996</v>
      </c>
      <c r="X258" s="242">
        <f>'[2]Canada Sun Oil Imports'!KK$290</f>
        <v>2.2029999999999998</v>
      </c>
      <c r="Y258" s="242">
        <f>'[2]Canada Sun Oil Imports'!KW$290</f>
        <v>1.907</v>
      </c>
      <c r="Z258" s="242">
        <f>'[2]Canada Sun Oil Imports'!LI$290</f>
        <v>1.6007480000000001</v>
      </c>
      <c r="AA258" s="242">
        <f>'[2]Canada Sun Oil Imports'!LU$290</f>
        <v>2.6804579999999998</v>
      </c>
      <c r="AB258" s="242">
        <f>'[2]Canada Sun Oil Imports'!MG$290</f>
        <v>3.3876659999999998</v>
      </c>
      <c r="AC258" s="242">
        <f>'[2]Canada Sun Oil Imports'!MS$290</f>
        <v>5.0058129999999998</v>
      </c>
      <c r="AD258" s="242">
        <f>'[2]Canada Sun Oil Imports'!NE$290</f>
        <v>3.5249999999999999</v>
      </c>
      <c r="AE258" s="243">
        <f t="shared" si="128"/>
        <v>2.3556016592346487</v>
      </c>
    </row>
    <row r="259" spans="1:31">
      <c r="A259" s="240" t="s">
        <v>241</v>
      </c>
      <c r="B259" s="241">
        <f t="shared" si="129"/>
        <v>0.68947772698706</v>
      </c>
      <c r="C259" s="241">
        <v>0.79487042320494539</v>
      </c>
      <c r="D259" s="242">
        <f>'[2]Canada Sun Oil Imports'!BF$290</f>
        <v>1.0680000000000001</v>
      </c>
      <c r="E259" s="242">
        <f>'[2]Canada Sun Oil Imports'!BR$290</f>
        <v>0.86799999999999999</v>
      </c>
      <c r="F259" s="242">
        <f>'[2]Canada Sun Oil Imports'!CD$290</f>
        <v>1.177</v>
      </c>
      <c r="G259" s="242">
        <f>'[2]Canada Sun Oil Imports'!CP$290</f>
        <v>1.512</v>
      </c>
      <c r="H259" s="242">
        <f>'[2]Canada Sun Oil Imports'!DB$290</f>
        <v>2.3319999999999999</v>
      </c>
      <c r="I259" s="242">
        <f>'[2]Canada Sun Oil Imports'!DN$290</f>
        <v>2.2389999999999999</v>
      </c>
      <c r="J259" s="242">
        <f>'[2]Canada Sun Oil Imports'!DZ$290</f>
        <v>3.2149999999999999</v>
      </c>
      <c r="K259" s="242">
        <f>'[2]Canada Sun Oil Imports'!EL$290</f>
        <v>1.2689999999999999</v>
      </c>
      <c r="L259" s="242">
        <f>'[2]Canada Sun Oil Imports'!EX$290</f>
        <v>1.8759999999999999</v>
      </c>
      <c r="M259" s="242">
        <f>'[2]Canada Sun Oil Imports'!FJ$290</f>
        <v>3.444</v>
      </c>
      <c r="N259" s="242">
        <f>'[2]Canada Sun Oil Imports'!FV$290</f>
        <v>3.6469999999999998</v>
      </c>
      <c r="O259" s="242">
        <f>'[2]Canada Sun Oil Imports'!GH$290</f>
        <v>4.0259999999999998</v>
      </c>
      <c r="P259" s="242">
        <f>'[2]Canada Sun Oil Imports'!GT$290</f>
        <v>4.2729999999999997</v>
      </c>
      <c r="Q259" s="242">
        <f>'[2]Canada Sun Oil Imports'!HF$290</f>
        <v>3.1469999999999998</v>
      </c>
      <c r="R259" s="242">
        <f>'[2]Canada Sun Oil Imports'!HR$290</f>
        <v>4.024</v>
      </c>
      <c r="S259" s="242">
        <f>'[2]Canada Sun Oil Imports'!ID$290</f>
        <v>1.712</v>
      </c>
      <c r="T259" s="242">
        <f>'[2]Canada Sun Oil Imports'!IP$290</f>
        <v>1.5669999999999999</v>
      </c>
      <c r="U259" s="242">
        <f>'[2]Canada Sun Oil Imports'!JB$290</f>
        <v>1.546</v>
      </c>
      <c r="V259" s="242">
        <f>'[2]Canada Sun Oil Imports'!JN$290</f>
        <v>1.266</v>
      </c>
      <c r="W259" s="242">
        <f>'[2]Canada Sun Oil Imports'!JZ$290</f>
        <v>2.165</v>
      </c>
      <c r="X259" s="242">
        <f>'[2]Canada Sun Oil Imports'!KL$290</f>
        <v>1.5429999999999999</v>
      </c>
      <c r="Y259" s="242">
        <f>'[2]Canada Sun Oil Imports'!KX$290</f>
        <v>2.073</v>
      </c>
      <c r="Z259" s="242">
        <f>'[2]Canada Sun Oil Imports'!LJ$290</f>
        <v>1.322676</v>
      </c>
      <c r="AA259" s="242">
        <f>'[2]Canada Sun Oil Imports'!LV$290</f>
        <v>2.462704</v>
      </c>
      <c r="AB259" s="242">
        <f>'[2]Canada Sun Oil Imports'!MH$290</f>
        <v>3.0332499999999998</v>
      </c>
      <c r="AC259" s="242">
        <f>'[2]Canada Sun Oil Imports'!MT$290</f>
        <v>4.9093140000000002</v>
      </c>
      <c r="AD259" s="242">
        <f>'[2]Canada Sun Oil Imports'!NF$290</f>
        <v>3.8159999999999998</v>
      </c>
      <c r="AE259" s="243">
        <f t="shared" si="128"/>
        <v>2.2294766747055959</v>
      </c>
    </row>
    <row r="260" spans="1:31">
      <c r="A260" s="240" t="s">
        <v>231</v>
      </c>
      <c r="B260" s="241">
        <f t="shared" si="129"/>
        <v>0.70412586548636447</v>
      </c>
      <c r="C260" s="242">
        <f>'[2]Canada Sun Oil Imports'!AU$290</f>
        <v>1.087</v>
      </c>
      <c r="D260" s="242">
        <f>'[2]Canada Sun Oil Imports'!BG$290</f>
        <v>1.8340000000000001</v>
      </c>
      <c r="E260" s="242">
        <f>'[2]Canada Sun Oil Imports'!BS$290</f>
        <v>1.2989999999999999</v>
      </c>
      <c r="F260" s="242">
        <f>'[2]Canada Sun Oil Imports'!CE$290</f>
        <v>1.1919999999999999</v>
      </c>
      <c r="G260" s="242">
        <f>'[2]Canada Sun Oil Imports'!CQ$290</f>
        <v>1.581</v>
      </c>
      <c r="H260" s="242">
        <f>'[2]Canada Sun Oil Imports'!DC$290</f>
        <v>2.0350000000000001</v>
      </c>
      <c r="I260" s="242">
        <f>'[2]Canada Sun Oil Imports'!DO$290</f>
        <v>2.819</v>
      </c>
      <c r="J260" s="242">
        <f>'[2]Canada Sun Oil Imports'!EA$290</f>
        <v>1.919</v>
      </c>
      <c r="K260" s="242">
        <f>'[2]Canada Sun Oil Imports'!EM$290</f>
        <v>1.306</v>
      </c>
      <c r="L260" s="242">
        <f>'[2]Canada Sun Oil Imports'!EY$290</f>
        <v>1.56</v>
      </c>
      <c r="M260" s="242">
        <f>'[2]Canada Sun Oil Imports'!FK$290</f>
        <v>4.0419999999999998</v>
      </c>
      <c r="N260" s="242">
        <f>'[2]Canada Sun Oil Imports'!FW$290</f>
        <v>3.7690000000000001</v>
      </c>
      <c r="O260" s="242">
        <f>'[2]Canada Sun Oil Imports'!GI$290</f>
        <v>3.8879999999999999</v>
      </c>
      <c r="P260" s="242">
        <f>'[2]Canada Sun Oil Imports'!GU$290</f>
        <v>3.67</v>
      </c>
      <c r="Q260" s="242">
        <f>'[2]Canada Sun Oil Imports'!HG$290</f>
        <v>4.0199999999999996</v>
      </c>
      <c r="R260" s="242">
        <f>'[2]Canada Sun Oil Imports'!HS$290</f>
        <v>2.76</v>
      </c>
      <c r="S260" s="242">
        <f>'[2]Canada Sun Oil Imports'!IE$290</f>
        <v>2.125</v>
      </c>
      <c r="T260" s="242">
        <f>'[2]Canada Sun Oil Imports'!IQ$290</f>
        <v>1.3220000000000001</v>
      </c>
      <c r="U260" s="242">
        <f>'[2]Canada Sun Oil Imports'!JC$290</f>
        <v>2.5329999999999999</v>
      </c>
      <c r="V260" s="242">
        <f>'[2]Canada Sun Oil Imports'!JO$290</f>
        <v>2.653</v>
      </c>
      <c r="W260" s="242">
        <f>'[2]Canada Sun Oil Imports'!KA$290</f>
        <v>1.8380000000000001</v>
      </c>
      <c r="X260" s="242">
        <f>'[2]Canada Sun Oil Imports'!KM$290</f>
        <v>1.8560000000000001</v>
      </c>
      <c r="Y260" s="242">
        <f>'[2]Canada Sun Oil Imports'!KY$290</f>
        <v>2.0739999999999998</v>
      </c>
      <c r="Z260" s="242">
        <f>'[2]Canada Sun Oil Imports'!LK$290</f>
        <v>2.0925919999999998</v>
      </c>
      <c r="AA260" s="242">
        <f>'[2]Canada Sun Oil Imports'!LW$290</f>
        <v>2.5263939999999998</v>
      </c>
      <c r="AB260" s="242">
        <f>'[2]Canada Sun Oil Imports'!MI$290</f>
        <v>2.9831859999999999</v>
      </c>
      <c r="AC260" s="242">
        <f>'[2]Canada Sun Oil Imports'!MU$290</f>
        <v>4.3230000000000004</v>
      </c>
      <c r="AD260" s="242">
        <f>'[2]Canada Sun Oil Imports'!NG$290</f>
        <v>6.9939999999999998</v>
      </c>
      <c r="AE260" s="243">
        <f t="shared" si="128"/>
        <v>2.2614994625868849</v>
      </c>
    </row>
    <row r="261" spans="1:31">
      <c r="A261" s="240" t="s">
        <v>232</v>
      </c>
      <c r="B261" s="241">
        <f t="shared" si="129"/>
        <v>0.6456783425633974</v>
      </c>
      <c r="C261" s="242">
        <f>'[2]Canada Sun Oil Imports'!AV$290</f>
        <v>0.83299999999999996</v>
      </c>
      <c r="D261" s="242">
        <f>'[2]Canada Sun Oil Imports'!BH$290</f>
        <v>1.5249999999999999</v>
      </c>
      <c r="E261" s="242">
        <f>'[2]Canada Sun Oil Imports'!BT$290</f>
        <v>1.2649999999999999</v>
      </c>
      <c r="F261" s="242">
        <f>'[2]Canada Sun Oil Imports'!CF$290</f>
        <v>0.97699999999999998</v>
      </c>
      <c r="G261" s="242">
        <f>'[2]Canada Sun Oil Imports'!CR$290</f>
        <v>1.3</v>
      </c>
      <c r="H261" s="242">
        <f>'[2]Canada Sun Oil Imports'!DD$290</f>
        <v>2.2890000000000001</v>
      </c>
      <c r="I261" s="242">
        <f>'[2]Canada Sun Oil Imports'!DP$290</f>
        <v>2.2879999999999998</v>
      </c>
      <c r="J261" s="242">
        <f>'[2]Canada Sun Oil Imports'!EB$290</f>
        <v>3.3959999999999999</v>
      </c>
      <c r="K261" s="242">
        <f>'[2]Canada Sun Oil Imports'!EN$290</f>
        <v>1.7010000000000001</v>
      </c>
      <c r="L261" s="242">
        <f>'[2]Canada Sun Oil Imports'!EZ$290</f>
        <v>1.4339999999999999</v>
      </c>
      <c r="M261" s="242">
        <f>'[2]Canada Sun Oil Imports'!FL$290</f>
        <v>3.2669999999999999</v>
      </c>
      <c r="N261" s="242">
        <f>'[2]Canada Sun Oil Imports'!FX$290</f>
        <v>3.42</v>
      </c>
      <c r="O261" s="242">
        <f>'[2]Canada Sun Oil Imports'!GJ$290</f>
        <v>3.5339999999999998</v>
      </c>
      <c r="P261" s="242">
        <f>'[2]Canada Sun Oil Imports'!GV$290</f>
        <v>3.1480000000000001</v>
      </c>
      <c r="Q261" s="242">
        <f>'[2]Canada Sun Oil Imports'!HH$290</f>
        <v>4.0380000000000003</v>
      </c>
      <c r="R261" s="242">
        <f>'[2]Canada Sun Oil Imports'!HT$290</f>
        <v>2.9910000000000001</v>
      </c>
      <c r="S261" s="242">
        <f>'[2]Canada Sun Oil Imports'!IF$290</f>
        <v>1.7669999999999999</v>
      </c>
      <c r="T261" s="242">
        <f>'[2]Canada Sun Oil Imports'!IR$290</f>
        <v>1.5940000000000001</v>
      </c>
      <c r="U261" s="242">
        <f>'[2]Canada Sun Oil Imports'!JD$290</f>
        <v>1.202</v>
      </c>
      <c r="V261" s="242">
        <f>'[2]Canada Sun Oil Imports'!JP$290</f>
        <v>1.462</v>
      </c>
      <c r="W261" s="242">
        <f>'[2]Canada Sun Oil Imports'!KB$290</f>
        <v>3.786</v>
      </c>
      <c r="X261" s="242">
        <f>'[2]Canada Sun Oil Imports'!KN$290</f>
        <v>2.089</v>
      </c>
      <c r="Y261" s="242">
        <f>'[2]Canada Sun Oil Imports'!KZ$290</f>
        <v>1.5509999999999999</v>
      </c>
      <c r="Z261" s="242">
        <f>'[2]Canada Sun Oil Imports'!LL$290</f>
        <v>2.4475319999999998</v>
      </c>
      <c r="AA261" s="242">
        <f>'[2]Canada Sun Oil Imports'!LX$290</f>
        <v>1.9479329999999999</v>
      </c>
      <c r="AB261" s="242">
        <f>'[2]Canada Sun Oil Imports'!MJ$290</f>
        <v>2.0053779999999999</v>
      </c>
      <c r="AC261" s="242">
        <f>'[2]Canada Sun Oil Imports'!MV$290</f>
        <v>2.1160000000000001</v>
      </c>
      <c r="AD261" s="242">
        <f>'[2]Canada Sun Oil Imports'!NH$290</f>
        <v>4.899</v>
      </c>
      <c r="AE261" s="243">
        <f t="shared" si="128"/>
        <v>1.6264120145040812</v>
      </c>
    </row>
    <row r="262" spans="1:31">
      <c r="A262" s="240" t="s">
        <v>233</v>
      </c>
      <c r="B262" s="241">
        <f t="shared" si="129"/>
        <v>0.83068964961566782</v>
      </c>
      <c r="C262" s="242">
        <f>'[2]Canada Sun Oil Imports'!AW$290</f>
        <v>0.80300000000000005</v>
      </c>
      <c r="D262" s="242">
        <f>'[2]Canada Sun Oil Imports'!BI$290</f>
        <v>1.9370000000000001</v>
      </c>
      <c r="E262" s="242">
        <f>'[2]Canada Sun Oil Imports'!BU$290</f>
        <v>0.81899999999999995</v>
      </c>
      <c r="F262" s="242">
        <f>'[2]Canada Sun Oil Imports'!CG$290</f>
        <v>1.323</v>
      </c>
      <c r="G262" s="242">
        <f>'[2]Canada Sun Oil Imports'!CS$290</f>
        <v>1.476</v>
      </c>
      <c r="H262" s="242">
        <f>'[2]Canada Sun Oil Imports'!DE$290</f>
        <v>1.736</v>
      </c>
      <c r="I262" s="242">
        <f>'[2]Canada Sun Oil Imports'!DQ$290</f>
        <v>2.86</v>
      </c>
      <c r="J262" s="242">
        <f>'[2]Canada Sun Oil Imports'!EC$290</f>
        <v>2.6789999999999998</v>
      </c>
      <c r="K262" s="242">
        <f>'[2]Canada Sun Oil Imports'!EO$290</f>
        <v>1.139</v>
      </c>
      <c r="L262" s="242">
        <f>'[2]Canada Sun Oil Imports'!FA$290</f>
        <v>1.968</v>
      </c>
      <c r="M262" s="242">
        <f>'[2]Canada Sun Oil Imports'!FM$290</f>
        <v>3.4809999999999999</v>
      </c>
      <c r="N262" s="242">
        <f>'[2]Canada Sun Oil Imports'!FY$290</f>
        <v>4.891</v>
      </c>
      <c r="O262" s="242">
        <f>'[2]Canada Sun Oil Imports'!GK$290</f>
        <v>5.7039999999999997</v>
      </c>
      <c r="P262" s="242">
        <f>'[2]Canada Sun Oil Imports'!GW$290</f>
        <v>5.6479999999999997</v>
      </c>
      <c r="Q262" s="242">
        <f>'[2]Canada Sun Oil Imports'!HI$290</f>
        <v>3.0350000000000001</v>
      </c>
      <c r="R262" s="242">
        <f>'[2]Canada Sun Oil Imports'!HU$290</f>
        <v>2.9359999999999999</v>
      </c>
      <c r="S262" s="242">
        <f>'[2]Canada Sun Oil Imports'!IG$290</f>
        <v>1.9490000000000001</v>
      </c>
      <c r="T262" s="242">
        <f>'[2]Canada Sun Oil Imports'!IS$290</f>
        <v>1.7889999999999999</v>
      </c>
      <c r="U262" s="242">
        <f>'[2]Canada Sun Oil Imports'!JE$290</f>
        <v>1.4079999999999999</v>
      </c>
      <c r="V262" s="242">
        <f>'[2]Canada Sun Oil Imports'!JQ$290</f>
        <v>1.629</v>
      </c>
      <c r="W262" s="242">
        <f>'[2]Canada Sun Oil Imports'!KC$290</f>
        <v>1.921</v>
      </c>
      <c r="X262" s="242">
        <f>'[2]Canada Sun Oil Imports'!KO$290</f>
        <v>2.0230000000000001</v>
      </c>
      <c r="Y262" s="242">
        <f>'[2]Canada Sun Oil Imports'!LA$290</f>
        <v>2.2549999999999999</v>
      </c>
      <c r="Z262" s="242">
        <f>'[2]Canada Sun Oil Imports'!LM$290</f>
        <v>3.0385979999999999</v>
      </c>
      <c r="AA262" s="242">
        <f>'[2]Canada Sun Oil Imports'!LY$290</f>
        <v>2.8662179999999999</v>
      </c>
      <c r="AB262" s="242">
        <f>'[2]Canada Sun Oil Imports'!MK$290</f>
        <v>2.8357049999999999</v>
      </c>
      <c r="AC262" s="242">
        <f>'[2]Canada Sun Oil Imports'!MW$290</f>
        <v>4.3600000000000003</v>
      </c>
      <c r="AD262" s="242">
        <f>'[2]Canada Sun Oil Imports'!NI$290</f>
        <v>7.0460000000000003</v>
      </c>
      <c r="AE262" s="243">
        <f t="shared" si="128"/>
        <v>2.4806111739495464</v>
      </c>
    </row>
    <row r="263" spans="1:31">
      <c r="A263" s="240" t="s">
        <v>234</v>
      </c>
      <c r="B263" s="241">
        <f t="shared" si="129"/>
        <v>0.80255362121106322</v>
      </c>
      <c r="C263" s="242">
        <f>'[2]Canada Sun Oil Imports'!AX$290</f>
        <v>1.3759999999999999</v>
      </c>
      <c r="D263" s="242">
        <f>'[2]Canada Sun Oil Imports'!BJ$290</f>
        <v>1.23</v>
      </c>
      <c r="E263" s="242">
        <f>'[2]Canada Sun Oil Imports'!BV$290</f>
        <v>1.008</v>
      </c>
      <c r="F263" s="242">
        <f>'[2]Canada Sun Oil Imports'!CH$290</f>
        <v>0.83399999999999996</v>
      </c>
      <c r="G263" s="242">
        <f>'[2]Canada Sun Oil Imports'!CT$290</f>
        <v>1.833</v>
      </c>
      <c r="H263" s="242">
        <f>'[2]Canada Sun Oil Imports'!DF$290</f>
        <v>1.407</v>
      </c>
      <c r="I263" s="242">
        <f>'[2]Canada Sun Oil Imports'!DR$290</f>
        <v>2.66</v>
      </c>
      <c r="J263" s="242">
        <f>'[2]Canada Sun Oil Imports'!ED$290</f>
        <v>3.899</v>
      </c>
      <c r="K263" s="242">
        <f>'[2]Canada Sun Oil Imports'!EP$290</f>
        <v>1.5569999999999999</v>
      </c>
      <c r="L263" s="242">
        <f>'[2]Canada Sun Oil Imports'!FB$290</f>
        <v>1.4410000000000001</v>
      </c>
      <c r="M263" s="242">
        <f>'[2]Canada Sun Oil Imports'!FN$290</f>
        <v>4.46</v>
      </c>
      <c r="N263" s="242">
        <f>'[2]Canada Sun Oil Imports'!FZ$290</f>
        <v>3.8069999999999999</v>
      </c>
      <c r="O263" s="242">
        <f>'[2]Canada Sun Oil Imports'!GL$290</f>
        <v>5.3360000000000003</v>
      </c>
      <c r="P263" s="242">
        <f>'[2]Canada Sun Oil Imports'!GX$290</f>
        <v>3.3010000000000002</v>
      </c>
      <c r="Q263" s="242">
        <f>'[2]Canada Sun Oil Imports'!HJ$290</f>
        <v>4.3920000000000003</v>
      </c>
      <c r="R263" s="242">
        <f>'[2]Canada Sun Oil Imports'!HV$290</f>
        <v>2.4169999999999998</v>
      </c>
      <c r="S263" s="242">
        <f>'[2]Canada Sun Oil Imports'!IH$290</f>
        <v>1.464</v>
      </c>
      <c r="T263" s="242">
        <f>'[2]Canada Sun Oil Imports'!IT$290</f>
        <v>1.915</v>
      </c>
      <c r="U263" s="242">
        <f>'[2]Canada Sun Oil Imports'!JF$290</f>
        <v>1.474</v>
      </c>
      <c r="V263" s="242">
        <f>'[2]Canada Sun Oil Imports'!JR$290</f>
        <v>1.464</v>
      </c>
      <c r="W263" s="242">
        <f>'[2]Canada Sun Oil Imports'!KD$290</f>
        <v>2.5409999999999999</v>
      </c>
      <c r="X263" s="242">
        <f>'[2]Canada Sun Oil Imports'!KP$290</f>
        <v>1.716</v>
      </c>
      <c r="Y263" s="242">
        <f>'[2]Canada Sun Oil Imports'!LB$290</f>
        <v>1.7509999999999999</v>
      </c>
      <c r="Z263" s="242">
        <f>'[2]Canada Sun Oil Imports'!LN$290</f>
        <v>1.501369</v>
      </c>
      <c r="AA263" s="242">
        <f>'[2]Canada Sun Oil Imports'!LZ$290</f>
        <v>1.928126</v>
      </c>
      <c r="AB263" s="242">
        <f>'[2]Canada Sun Oil Imports'!ML$290</f>
        <v>2.6845859999999999</v>
      </c>
      <c r="AC263" s="242">
        <f>'[2]Canada Sun Oil Imports'!MX$290</f>
        <v>3.5379999999999998</v>
      </c>
      <c r="AD263" s="243">
        <f t="shared" ref="AD263:AD265" si="130">(SUM(X263:AB263)/SUM(X$267:AB$267))*AD$267</f>
        <v>1.8427102200048215</v>
      </c>
      <c r="AE263" s="243">
        <f t="shared" si="128"/>
        <v>1.842113344513141</v>
      </c>
    </row>
    <row r="264" spans="1:31">
      <c r="A264" s="240" t="s">
        <v>46</v>
      </c>
      <c r="B264" s="241">
        <f t="shared" si="129"/>
        <v>0.81396273238543893</v>
      </c>
      <c r="C264" s="242">
        <f>'[2]Canada Sun Oil Imports'!AY$290</f>
        <v>1.08</v>
      </c>
      <c r="D264" s="242">
        <f>'[2]Canada Sun Oil Imports'!BK$290</f>
        <v>2.452</v>
      </c>
      <c r="E264" s="242">
        <f>'[2]Canada Sun Oil Imports'!BW$290</f>
        <v>1.075</v>
      </c>
      <c r="F264" s="242">
        <f>'[2]Canada Sun Oil Imports'!CI$290</f>
        <v>1.405</v>
      </c>
      <c r="G264" s="242">
        <f>'[2]Canada Sun Oil Imports'!CU$290</f>
        <v>1.7450000000000001</v>
      </c>
      <c r="H264" s="242">
        <f>'[2]Canada Sun Oil Imports'!DG$290</f>
        <v>1.96</v>
      </c>
      <c r="I264" s="242">
        <f>'[2]Canada Sun Oil Imports'!DS$290</f>
        <v>4.3760000000000003</v>
      </c>
      <c r="J264" s="242">
        <f>'[2]Canada Sun Oil Imports'!EE$290</f>
        <v>0.84399999999999997</v>
      </c>
      <c r="K264" s="242">
        <f>'[2]Canada Sun Oil Imports'!EQ$290</f>
        <v>1.4279999999999999</v>
      </c>
      <c r="L264" s="242">
        <f>'[2]Canada Sun Oil Imports'!FC$290</f>
        <v>1.8160000000000001</v>
      </c>
      <c r="M264" s="242">
        <f>'[2]Canada Sun Oil Imports'!FO$290</f>
        <v>4.5839999999999996</v>
      </c>
      <c r="N264" s="242">
        <f>'[2]Canada Sun Oil Imports'!GA$290</f>
        <v>5.3879999999999999</v>
      </c>
      <c r="O264" s="242">
        <f>'[2]Canada Sun Oil Imports'!GM$290</f>
        <v>3.621</v>
      </c>
      <c r="P264" s="242">
        <f>'[2]Canada Sun Oil Imports'!GY$290</f>
        <v>3.7509999999999999</v>
      </c>
      <c r="Q264" s="242">
        <f>'[2]Canada Sun Oil Imports'!HK$290</f>
        <v>4.5730000000000004</v>
      </c>
      <c r="R264" s="242">
        <f>'[2]Canada Sun Oil Imports'!HW$290</f>
        <v>2.2389999999999999</v>
      </c>
      <c r="S264" s="242">
        <f>'[2]Canada Sun Oil Imports'!II$290</f>
        <v>2.0070000000000001</v>
      </c>
      <c r="T264" s="242">
        <f>'[2]Canada Sun Oil Imports'!IU$290</f>
        <v>1.7709999999999999</v>
      </c>
      <c r="U264" s="242">
        <f>'[2]Canada Sun Oil Imports'!JG$290</f>
        <v>1.389</v>
      </c>
      <c r="V264" s="242">
        <f>'[2]Canada Sun Oil Imports'!JS$290</f>
        <v>1.5229999999999999</v>
      </c>
      <c r="W264" s="242">
        <f>'[2]Canada Sun Oil Imports'!KE$290</f>
        <v>1.837</v>
      </c>
      <c r="X264" s="242">
        <f>'[2]Canada Sun Oil Imports'!KQ$290</f>
        <v>1.4279999999999999</v>
      </c>
      <c r="Y264" s="242">
        <f>'[2]Canada Sun Oil Imports'!LC$290</f>
        <v>2.1619999999999999</v>
      </c>
      <c r="Z264" s="242">
        <f>'[2]Canada Sun Oil Imports'!LO$290</f>
        <v>1.77475</v>
      </c>
      <c r="AA264" s="242">
        <f>'[2]Canada Sun Oil Imports'!MA$290</f>
        <v>2.3433069999999998</v>
      </c>
      <c r="AB264" s="242">
        <f>'[2]Canada Sun Oil Imports'!MM$290</f>
        <v>3.7536019999999999</v>
      </c>
      <c r="AC264" s="242">
        <f>'[2]Canada Sun Oil Imports'!MY$290</f>
        <v>4.3179999999999996</v>
      </c>
      <c r="AD264" s="243">
        <f t="shared" si="130"/>
        <v>2.2043980400030274</v>
      </c>
      <c r="AE264" s="243">
        <f t="shared" si="128"/>
        <v>2.3184420561251926</v>
      </c>
    </row>
    <row r="265" spans="1:31">
      <c r="A265" s="240" t="s">
        <v>235</v>
      </c>
      <c r="B265" s="241">
        <f t="shared" si="129"/>
        <v>0.72665402568661475</v>
      </c>
      <c r="C265" s="242">
        <f>'[2]Canada Sun Oil Imports'!AZ$290</f>
        <v>0.82899999999999996</v>
      </c>
      <c r="D265" s="242">
        <f>'[2]Canada Sun Oil Imports'!BL$290</f>
        <v>2.4289999999999998</v>
      </c>
      <c r="E265" s="242">
        <f>'[2]Canada Sun Oil Imports'!BX$290</f>
        <v>0.90300000000000002</v>
      </c>
      <c r="F265" s="242">
        <f>'[2]Canada Sun Oil Imports'!CJ$290</f>
        <v>1.39</v>
      </c>
      <c r="G265" s="242">
        <f>'[2]Canada Sun Oil Imports'!CV$290</f>
        <v>2.2330000000000001</v>
      </c>
      <c r="H265" s="242">
        <f>'[2]Canada Sun Oil Imports'!DH$290</f>
        <v>2.6520000000000001</v>
      </c>
      <c r="I265" s="242">
        <f>'[2]Canada Sun Oil Imports'!DT$290</f>
        <v>1.548</v>
      </c>
      <c r="J265" s="242">
        <f>'[2]Canada Sun Oil Imports'!EF$290</f>
        <v>1.839</v>
      </c>
      <c r="K265" s="242">
        <f>'[2]Canada Sun Oil Imports'!ER$290</f>
        <v>1.3049999999999999</v>
      </c>
      <c r="L265" s="242">
        <f>'[2]Canada Sun Oil Imports'!FD$290</f>
        <v>2.1160000000000001</v>
      </c>
      <c r="M265" s="242">
        <f>'[2]Canada Sun Oil Imports'!FP$290</f>
        <v>3.327</v>
      </c>
      <c r="N265" s="242">
        <f>'[2]Canada Sun Oil Imports'!GB$290</f>
        <v>4.0179999999999998</v>
      </c>
      <c r="O265" s="242">
        <f>'[2]Canada Sun Oil Imports'!GN$290</f>
        <v>4.2649999999999997</v>
      </c>
      <c r="P265" s="242">
        <f>'[2]Canada Sun Oil Imports'!GZ$290</f>
        <v>5.415</v>
      </c>
      <c r="Q265" s="242">
        <f>'[2]Canada Sun Oil Imports'!HL$290</f>
        <v>3.948</v>
      </c>
      <c r="R265" s="242">
        <f>'[2]Canada Sun Oil Imports'!HX$290</f>
        <v>1.9870000000000001</v>
      </c>
      <c r="S265" s="242">
        <f>'[2]Canada Sun Oil Imports'!IJ$290</f>
        <v>1.169</v>
      </c>
      <c r="T265" s="242">
        <f>'[2]Canada Sun Oil Imports'!IV$290</f>
        <v>2.08</v>
      </c>
      <c r="U265" s="242">
        <f>'[2]Canada Sun Oil Imports'!JH$290</f>
        <v>1.5169999999999999</v>
      </c>
      <c r="V265" s="242">
        <f>'[2]Canada Sun Oil Imports'!JT$290</f>
        <v>1.4750000000000001</v>
      </c>
      <c r="W265" s="242">
        <f>'[2]Canada Sun Oil Imports'!KF$290</f>
        <v>1.5529999999999999</v>
      </c>
      <c r="X265" s="242">
        <f>'[2]Canada Sun Oil Imports'!KR$290</f>
        <v>1.9159999999999999</v>
      </c>
      <c r="Y265" s="242">
        <f>'[2]Canada Sun Oil Imports'!LD$290</f>
        <v>2.0135070000000002</v>
      </c>
      <c r="Z265" s="242">
        <f>'[2]Canada Sun Oil Imports'!LP$290</f>
        <v>2.4345289999999999</v>
      </c>
      <c r="AA265" s="242">
        <f>'[2]Canada Sun Oil Imports'!MB$290</f>
        <v>2.4217360000000001</v>
      </c>
      <c r="AB265" s="242">
        <f>'[2]Canada Sun Oil Imports'!MN$290</f>
        <v>3.2840699999999998</v>
      </c>
      <c r="AC265" s="242">
        <f>'[2]Canada Sun Oil Imports'!MZ$290</f>
        <v>3.738</v>
      </c>
      <c r="AD265" s="243">
        <f t="shared" si="130"/>
        <v>2.3213686646886127</v>
      </c>
      <c r="AE265" s="243">
        <f t="shared" si="128"/>
        <v>2.2441608130353647</v>
      </c>
    </row>
    <row r="266" spans="1:31">
      <c r="A266" s="240" t="s">
        <v>236</v>
      </c>
      <c r="B266" s="241">
        <f t="shared" si="129"/>
        <v>0.78950082452851478</v>
      </c>
      <c r="C266" s="242">
        <f>'[2]Canada Sun Oil Imports'!BA$290</f>
        <v>0.66700000000000004</v>
      </c>
      <c r="D266" s="242">
        <f>'[2]Canada Sun Oil Imports'!BM$290</f>
        <v>1.619</v>
      </c>
      <c r="E266" s="242">
        <f>'[2]Canada Sun Oil Imports'!BY$290</f>
        <v>1.0029999999999999</v>
      </c>
      <c r="F266" s="242">
        <f>'[2]Canada Sun Oil Imports'!CK$290</f>
        <v>1.3320000000000001</v>
      </c>
      <c r="G266" s="242">
        <f>'[2]Canada Sun Oil Imports'!CW$290</f>
        <v>1.542</v>
      </c>
      <c r="H266" s="242">
        <f>'[2]Canada Sun Oil Imports'!DI$290</f>
        <v>1.409</v>
      </c>
      <c r="I266" s="242">
        <f>'[2]Canada Sun Oil Imports'!DU$290</f>
        <v>1.62</v>
      </c>
      <c r="J266" s="242">
        <f>'[2]Canada Sun Oil Imports'!EG$290</f>
        <v>1.5649999999999999</v>
      </c>
      <c r="K266" s="242">
        <f>'[2]Canada Sun Oil Imports'!ES$290</f>
        <v>1.5820000000000001</v>
      </c>
      <c r="L266" s="242">
        <f>'[2]Canada Sun Oil Imports'!FE$290</f>
        <v>1.706</v>
      </c>
      <c r="M266" s="242">
        <f>'[2]Canada Sun Oil Imports'!FQ$290</f>
        <v>3.1720000000000002</v>
      </c>
      <c r="N266" s="242">
        <f>'[2]Canada Sun Oil Imports'!GC$290</f>
        <v>5.0229999999999997</v>
      </c>
      <c r="O266" s="242">
        <f>'[2]Canada Sun Oil Imports'!GO$290</f>
        <v>4.8479999999999999</v>
      </c>
      <c r="P266" s="242">
        <f>'[2]Canada Sun Oil Imports'!HA$290</f>
        <v>4.335</v>
      </c>
      <c r="Q266" s="242">
        <f>'[2]Canada Sun Oil Imports'!HM$290</f>
        <v>4.8179999999999996</v>
      </c>
      <c r="R266" s="242">
        <f>'[2]Canada Sun Oil Imports'!HY$290</f>
        <v>1.5249999999999999</v>
      </c>
      <c r="S266" s="242">
        <f>'[2]Canada Sun Oil Imports'!IK$290</f>
        <v>1.6739999999999999</v>
      </c>
      <c r="T266" s="242">
        <f>'[2]Canada Sun Oil Imports'!IW$290</f>
        <v>1.506</v>
      </c>
      <c r="U266" s="242">
        <f>'[2]Canada Sun Oil Imports'!JI$290</f>
        <v>1.7549999999999999</v>
      </c>
      <c r="V266" s="242">
        <f>'[2]Canada Sun Oil Imports'!JU$290</f>
        <v>1.5009999999999999</v>
      </c>
      <c r="W266" s="242">
        <f>'[2]Canada Sun Oil Imports'!KG$290</f>
        <v>2.1459999999999999</v>
      </c>
      <c r="X266" s="242">
        <f>'[2]Canada Sun Oil Imports'!KS$290</f>
        <v>1.71</v>
      </c>
      <c r="Y266" s="242">
        <f>'[2]Canada Sun Oil Imports'!LE$290</f>
        <v>2.0616430000000001</v>
      </c>
      <c r="Z266" s="242">
        <f>'[2]Canada Sun Oil Imports'!LQ$290</f>
        <v>2.7275550000000002</v>
      </c>
      <c r="AA266" s="242">
        <f>'[2]Canada Sun Oil Imports'!MC$290</f>
        <v>3.0427300000000002</v>
      </c>
      <c r="AB266" s="242">
        <f>'[2]Canada Sun Oil Imports'!MO$290</f>
        <v>3.44659</v>
      </c>
      <c r="AC266" s="242">
        <f>'[2]Canada Sun Oil Imports'!NA$290</f>
        <v>4.5810000000000004</v>
      </c>
      <c r="AD266" s="243">
        <f t="shared" ref="AD266:AE266" si="131">AD267-SUM(AD255:AD265)</f>
        <v>-17.39247692469646</v>
      </c>
      <c r="AE266" s="243">
        <f t="shared" si="131"/>
        <v>2.5620294853072032</v>
      </c>
    </row>
    <row r="267" spans="1:31" ht="15.75" thickBot="1">
      <c r="A267" s="240" t="s">
        <v>242</v>
      </c>
      <c r="B267" s="245">
        <f t="shared" ref="B267:C267" si="132">B34</f>
        <v>9</v>
      </c>
      <c r="C267" s="245">
        <f t="shared" si="132"/>
        <v>11</v>
      </c>
      <c r="D267" s="245">
        <f t="shared" ref="D267:Y267" si="133">SUM(D255:D266)</f>
        <v>19.082000000000001</v>
      </c>
      <c r="E267" s="245">
        <f t="shared" si="133"/>
        <v>13.651000000000002</v>
      </c>
      <c r="F267" s="245">
        <f t="shared" si="133"/>
        <v>15.073</v>
      </c>
      <c r="G267" s="245">
        <f t="shared" si="133"/>
        <v>18.092000000000002</v>
      </c>
      <c r="H267" s="245">
        <f t="shared" si="133"/>
        <v>26.005000000000003</v>
      </c>
      <c r="I267" s="245">
        <f t="shared" si="133"/>
        <v>29.217000000000002</v>
      </c>
      <c r="J267" s="245">
        <f t="shared" si="133"/>
        <v>30.637</v>
      </c>
      <c r="K267" s="245">
        <f t="shared" si="133"/>
        <v>21.541999999999998</v>
      </c>
      <c r="L267" s="245">
        <f t="shared" si="133"/>
        <v>20.149000000000001</v>
      </c>
      <c r="M267" s="245">
        <f t="shared" si="133"/>
        <v>42.335999999999984</v>
      </c>
      <c r="N267" s="245">
        <f t="shared" si="133"/>
        <v>49.394999999999996</v>
      </c>
      <c r="O267" s="245">
        <f t="shared" si="133"/>
        <v>52.744999999999997</v>
      </c>
      <c r="P267" s="245">
        <f t="shared" si="133"/>
        <v>48.957999999999998</v>
      </c>
      <c r="Q267" s="245">
        <f t="shared" si="133"/>
        <v>47.713000000000001</v>
      </c>
      <c r="R267" s="245">
        <f t="shared" si="133"/>
        <v>36.841999999999999</v>
      </c>
      <c r="S267" s="245">
        <f t="shared" si="133"/>
        <v>22.955000000000002</v>
      </c>
      <c r="T267" s="245">
        <f t="shared" si="133"/>
        <v>20.128999999999998</v>
      </c>
      <c r="U267" s="245">
        <f t="shared" si="133"/>
        <v>19.186999999999998</v>
      </c>
      <c r="V267" s="245">
        <f t="shared" si="133"/>
        <v>19.208000000000002</v>
      </c>
      <c r="W267" s="245">
        <f t="shared" si="133"/>
        <v>27.304000000000002</v>
      </c>
      <c r="X267" s="245">
        <f t="shared" si="133"/>
        <v>21.792000000000002</v>
      </c>
      <c r="Y267" s="245">
        <f t="shared" si="133"/>
        <v>24.77515</v>
      </c>
      <c r="Z267" s="242">
        <f>SUM(Z255:Z266)</f>
        <v>25.360256</v>
      </c>
      <c r="AA267" s="242">
        <f>SUM(AA255:AA266)</f>
        <v>28.861849999999997</v>
      </c>
      <c r="AB267" s="242">
        <f>SUM(AB255:AB266)</f>
        <v>34.396462999999997</v>
      </c>
      <c r="AC267" s="242">
        <f>SUM(AC255:AC266)</f>
        <v>53.742134999999998</v>
      </c>
      <c r="AD267" s="243">
        <f t="shared" ref="AD267:AE267" si="134">AD34</f>
        <v>26</v>
      </c>
      <c r="AE267" s="243">
        <f t="shared" si="134"/>
        <v>27</v>
      </c>
    </row>
    <row r="268" spans="1:31">
      <c r="A268" s="248"/>
      <c r="B268" s="248"/>
      <c r="C268" s="263"/>
      <c r="D268" s="264"/>
      <c r="E268" s="264"/>
      <c r="F268" s="264"/>
      <c r="G268" s="264"/>
      <c r="H268" s="264"/>
      <c r="I268" s="254"/>
      <c r="J268" s="254"/>
      <c r="K268" s="254"/>
      <c r="L268" s="254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  <c r="AD268" s="248"/>
      <c r="AE268" s="248"/>
    </row>
    <row r="269" spans="1:31" ht="15.75" thickBot="1">
      <c r="A269" s="235" t="s">
        <v>267</v>
      </c>
      <c r="D269" s="271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</row>
    <row r="270" spans="1:31" ht="15.75" thickBot="1">
      <c r="A270" s="236"/>
      <c r="B270" s="237" t="str">
        <f>B$2</f>
        <v xml:space="preserve">93/94 </v>
      </c>
      <c r="C270" s="237" t="str">
        <f t="shared" ref="C270:AE270" si="135">C$2</f>
        <v xml:space="preserve">94/95 </v>
      </c>
      <c r="D270" s="237" t="str">
        <f t="shared" si="135"/>
        <v xml:space="preserve">95/96 </v>
      </c>
      <c r="E270" s="237" t="str">
        <f t="shared" si="135"/>
        <v xml:space="preserve">96/97 </v>
      </c>
      <c r="F270" s="237" t="str">
        <f t="shared" si="135"/>
        <v xml:space="preserve">97/98 </v>
      </c>
      <c r="G270" s="237" t="str">
        <f t="shared" si="135"/>
        <v xml:space="preserve">98/99 </v>
      </c>
      <c r="H270" s="237" t="str">
        <f t="shared" si="135"/>
        <v xml:space="preserve">99/00 </v>
      </c>
      <c r="I270" s="237" t="str">
        <f t="shared" si="135"/>
        <v xml:space="preserve">00/01 </v>
      </c>
      <c r="J270" s="237" t="str">
        <f t="shared" si="135"/>
        <v xml:space="preserve">01/02 </v>
      </c>
      <c r="K270" s="237" t="str">
        <f t="shared" si="135"/>
        <v xml:space="preserve">02/03 </v>
      </c>
      <c r="L270" s="237" t="str">
        <f t="shared" si="135"/>
        <v xml:space="preserve">03/04 </v>
      </c>
      <c r="M270" s="237" t="str">
        <f t="shared" si="135"/>
        <v xml:space="preserve">04/05 </v>
      </c>
      <c r="N270" s="237" t="str">
        <f t="shared" si="135"/>
        <v xml:space="preserve">05/06 </v>
      </c>
      <c r="O270" s="237" t="str">
        <f t="shared" si="135"/>
        <v xml:space="preserve">06/07 </v>
      </c>
      <c r="P270" s="237" t="str">
        <f t="shared" si="135"/>
        <v xml:space="preserve">07/08 </v>
      </c>
      <c r="Q270" s="237" t="str">
        <f t="shared" si="135"/>
        <v xml:space="preserve">08/09 </v>
      </c>
      <c r="R270" s="237" t="str">
        <f t="shared" si="135"/>
        <v xml:space="preserve">09/10 </v>
      </c>
      <c r="S270" s="237" t="str">
        <f t="shared" si="135"/>
        <v xml:space="preserve">10/11 </v>
      </c>
      <c r="T270" s="237" t="str">
        <f t="shared" si="135"/>
        <v xml:space="preserve">11/12 </v>
      </c>
      <c r="U270" s="237" t="str">
        <f t="shared" si="135"/>
        <v xml:space="preserve">12/13 </v>
      </c>
      <c r="V270" s="237" t="str">
        <f t="shared" si="135"/>
        <v xml:space="preserve">13/14 </v>
      </c>
      <c r="W270" s="237" t="str">
        <f t="shared" si="135"/>
        <v xml:space="preserve">14/15 </v>
      </c>
      <c r="X270" s="237" t="str">
        <f t="shared" si="135"/>
        <v xml:space="preserve">15/16 </v>
      </c>
      <c r="Y270" s="237" t="str">
        <f t="shared" si="135"/>
        <v xml:space="preserve">16/17 </v>
      </c>
      <c r="Z270" s="237" t="str">
        <f t="shared" si="135"/>
        <v xml:space="preserve">17/18 </v>
      </c>
      <c r="AA270" s="237" t="str">
        <f t="shared" si="135"/>
        <v xml:space="preserve">18/19 </v>
      </c>
      <c r="AB270" s="237" t="str">
        <f t="shared" si="135"/>
        <v xml:space="preserve">19/20 </v>
      </c>
      <c r="AC270" s="237" t="str">
        <f t="shared" si="135"/>
        <v xml:space="preserve">20/21 </v>
      </c>
      <c r="AD270" s="237" t="str">
        <f t="shared" si="135"/>
        <v>21/22</v>
      </c>
      <c r="AE270" s="237" t="str">
        <f t="shared" si="135"/>
        <v>22/23</v>
      </c>
    </row>
    <row r="271" spans="1:31">
      <c r="A271" s="240" t="s">
        <v>237</v>
      </c>
      <c r="B271" s="241">
        <f>(SUM(K271:O271)/SUM(K$283:O$283))*B$283</f>
        <v>0</v>
      </c>
      <c r="C271" s="241">
        <v>4.3387401855817277E-2</v>
      </c>
      <c r="D271" s="242">
        <f>'[2]Canada Sun Oil Exports'!BB$290</f>
        <v>0.27400000000000002</v>
      </c>
      <c r="E271" s="242">
        <f>'[2]Canada Sun Oil Exports'!BN$290</f>
        <v>4.0000000000000001E-3</v>
      </c>
      <c r="F271" s="242">
        <f>'[2]Canada Sun Oil Exports'!BZ$290</f>
        <v>1E-3</v>
      </c>
      <c r="G271" s="242">
        <f>'[2]Canada Sun Oil Exports'!CL$290</f>
        <v>5.0000000000000001E-3</v>
      </c>
      <c r="H271" s="242">
        <f>'[2]Canada Sun Oil Exports'!CX$290</f>
        <v>1E-3</v>
      </c>
      <c r="I271" s="242">
        <f>'[2]Canada Sun Oil Exports'!DJ$290</f>
        <v>8.0000000000000002E-3</v>
      </c>
      <c r="J271" s="242">
        <f>'[2]Canada Sun Oil Exports'!DV$290</f>
        <v>6.0000000000000001E-3</v>
      </c>
      <c r="K271" s="242">
        <f>'[2]Canada Sun Oil Exports'!EH$290</f>
        <v>4.0000000000000001E-3</v>
      </c>
      <c r="L271" s="242">
        <f>'[2]Canada Sun Oil Exports'!ET$290</f>
        <v>2.7E-2</v>
      </c>
      <c r="M271" s="242">
        <f>'[2]Canada Sun Oil Exports'!FF$290</f>
        <v>2.4E-2</v>
      </c>
      <c r="N271" s="242">
        <f>'[2]Canada Sun Oil Exports'!FR$290</f>
        <v>6.4000000000000001E-2</v>
      </c>
      <c r="O271" s="242">
        <f>'[2]Canada Sun Oil Exports'!GD$290</f>
        <v>4.4999999999999998E-2</v>
      </c>
      <c r="P271" s="242">
        <f>'[2]Canada Sun Oil Exports'!GP$290</f>
        <v>4.3999999999999997E-2</v>
      </c>
      <c r="Q271" s="242">
        <f>'[2]Canada Sun Oil Exports'!HB$290</f>
        <v>5.5E-2</v>
      </c>
      <c r="R271" s="242">
        <f>'[2]Canada Sun Oil Exports'!HN$290</f>
        <v>0.14000000000000001</v>
      </c>
      <c r="S271" s="242">
        <f>'[2]Canada Sun Oil Exports'!HZ$290</f>
        <v>0.11700000000000001</v>
      </c>
      <c r="T271" s="242">
        <f>'[2]Canada Sun Oil Exports'!IL$290</f>
        <v>0.185</v>
      </c>
      <c r="U271" s="242">
        <f>'[2]Canada Sun Oil Exports'!IX$290</f>
        <v>3.2000000000000001E-2</v>
      </c>
      <c r="V271" s="242">
        <f>'[2]Canada Sun Oil Exports'!JJ$290</f>
        <v>5.7000000000000002E-2</v>
      </c>
      <c r="W271" s="242">
        <f>'[2]Canada Sun Oil Exports'!JV$290</f>
        <v>1.4E-2</v>
      </c>
      <c r="X271" s="242">
        <f>'[2]Canada Sun Oil Exports'!KH$290</f>
        <v>0.128</v>
      </c>
      <c r="Y271" s="242">
        <f>'[2]Canada Sun Oil Exports'!KT$290</f>
        <v>9.2999999999999999E-2</v>
      </c>
      <c r="Z271" s="242">
        <f>'[2]Canada Sun Oil Exports'!LF$290</f>
        <v>7.0350999999999997E-2</v>
      </c>
      <c r="AA271" s="242">
        <f>'[2]Canada Sun Oil Exports'!LR$290</f>
        <v>6.0031000000000001E-2</v>
      </c>
      <c r="AB271" s="242">
        <f>'[2]Canada Sun Oil Exports'!MD$290</f>
        <v>3.1078999999999999E-2</v>
      </c>
      <c r="AC271" s="242">
        <f>'[2]Canada Sun Oil Exports'!MP$290</f>
        <v>6.5770999999999996E-2</v>
      </c>
      <c r="AD271" s="242">
        <f>'[2]Canada Sun Oil Exports'!NB$290</f>
        <v>5.1999999999999998E-2</v>
      </c>
      <c r="AE271" s="243">
        <f t="shared" ref="AE271:AE281" si="136">(SUM(Y271:AC271)/SUM(Y$283:AC$283))*AE$283</f>
        <v>0.15380828789279116</v>
      </c>
    </row>
    <row r="272" spans="1:31">
      <c r="A272" s="240" t="s">
        <v>238</v>
      </c>
      <c r="B272" s="241">
        <f t="shared" ref="B272:B282" si="137">(SUM(K272:O272)/SUM(K$283:O$283))*B$283</f>
        <v>0</v>
      </c>
      <c r="C272" s="241">
        <v>2.429694503925767E-2</v>
      </c>
      <c r="D272" s="242">
        <f>'[2]Canada Sun Oil Exports'!BC$290</f>
        <v>7.3599999999999999E-2</v>
      </c>
      <c r="E272" s="242">
        <f>'[2]Canada Sun Oil Exports'!BO$290</f>
        <v>2.7E-2</v>
      </c>
      <c r="F272" s="242">
        <f>'[2]Canada Sun Oil Exports'!CA$290</f>
        <v>3.5999999999999997E-2</v>
      </c>
      <c r="G272" s="242">
        <f>'[2]Canada Sun Oil Exports'!CM$290</f>
        <v>2.3E-2</v>
      </c>
      <c r="H272" s="242">
        <f>'[2]Canada Sun Oil Exports'!CY$290</f>
        <v>0</v>
      </c>
      <c r="I272" s="242">
        <f>'[2]Canada Sun Oil Exports'!DK$290</f>
        <v>3.2000000000000001E-2</v>
      </c>
      <c r="J272" s="242">
        <f>'[2]Canada Sun Oil Exports'!DW$290</f>
        <v>0</v>
      </c>
      <c r="K272" s="242">
        <f>'[2]Canada Sun Oil Exports'!EI$290</f>
        <v>1.6E-2</v>
      </c>
      <c r="L272" s="242">
        <f>'[2]Canada Sun Oil Exports'!EU$290</f>
        <v>1E-3</v>
      </c>
      <c r="M272" s="242">
        <f>'[2]Canada Sun Oil Exports'!FG$290</f>
        <v>1.9E-2</v>
      </c>
      <c r="N272" s="242">
        <f>'[2]Canada Sun Oil Exports'!FS$290</f>
        <v>1E-3</v>
      </c>
      <c r="O272" s="242">
        <f>'[2]Canada Sun Oil Exports'!GE$290</f>
        <v>9.4E-2</v>
      </c>
      <c r="P272" s="242">
        <f>'[2]Canada Sun Oil Exports'!GQ$290</f>
        <v>9.6000000000000002E-2</v>
      </c>
      <c r="Q272" s="242">
        <f>'[2]Canada Sun Oil Exports'!HC$290</f>
        <v>5.1999999999999998E-2</v>
      </c>
      <c r="R272" s="242">
        <f>'[2]Canada Sun Oil Exports'!HO$290</f>
        <v>4.4999999999999998E-2</v>
      </c>
      <c r="S272" s="242">
        <f>'[2]Canada Sun Oil Exports'!IA$290</f>
        <v>5.8000000000000003E-2</v>
      </c>
      <c r="T272" s="242">
        <f>'[2]Canada Sun Oil Exports'!IM$290</f>
        <v>6.6000000000000003E-2</v>
      </c>
      <c r="U272" s="242">
        <f>'[2]Canada Sun Oil Exports'!IY$290</f>
        <v>0.114</v>
      </c>
      <c r="V272" s="242">
        <f>'[2]Canada Sun Oil Exports'!JK$290</f>
        <v>0.02</v>
      </c>
      <c r="W272" s="242">
        <f>'[2]Canada Sun Oil Exports'!JW$290</f>
        <v>4.1000000000000002E-2</v>
      </c>
      <c r="X272" s="242">
        <f>'[2]Canada Sun Oil Exports'!KI$290</f>
        <v>2.3E-2</v>
      </c>
      <c r="Y272" s="242">
        <f>'[2]Canada Sun Oil Exports'!KU$290</f>
        <v>7.3999999999999996E-2</v>
      </c>
      <c r="Z272" s="242">
        <f>'[2]Canada Sun Oil Exports'!LG$290</f>
        <v>0.12865099999999999</v>
      </c>
      <c r="AA272" s="242">
        <f>'[2]Canada Sun Oil Exports'!LS$290</f>
        <v>5.2054000000000003E-2</v>
      </c>
      <c r="AB272" s="242">
        <f>'[2]Canada Sun Oil Exports'!ME$290</f>
        <v>5.0960999999999999E-2</v>
      </c>
      <c r="AC272" s="242">
        <f>'[2]Canada Sun Oil Exports'!MQ$290</f>
        <v>0.36122599999999999</v>
      </c>
      <c r="AD272" s="242">
        <f>'[2]Canada Sun Oil Exports'!NC$290</f>
        <v>0.20200000000000001</v>
      </c>
      <c r="AE272" s="243">
        <f t="shared" si="136"/>
        <v>0.32031001501848433</v>
      </c>
    </row>
    <row r="273" spans="1:31">
      <c r="A273" s="240" t="s">
        <v>239</v>
      </c>
      <c r="B273" s="241">
        <f t="shared" si="137"/>
        <v>0</v>
      </c>
      <c r="C273" s="241">
        <v>0.2939686771353795</v>
      </c>
      <c r="D273" s="242">
        <f>'[2]Canada Sun Oil Exports'!BD$290</f>
        <v>0.32700000000000001</v>
      </c>
      <c r="E273" s="242">
        <f>'[2]Canada Sun Oil Exports'!BP$290</f>
        <v>3.2000000000000001E-2</v>
      </c>
      <c r="F273" s="242">
        <f>'[2]Canada Sun Oil Exports'!CB$290</f>
        <v>1.5389999999999999</v>
      </c>
      <c r="G273" s="242">
        <f>'[2]Canada Sun Oil Exports'!CN$290</f>
        <v>0.01</v>
      </c>
      <c r="H273" s="242">
        <f>'[2]Canada Sun Oil Exports'!CZ$290</f>
        <v>2.3E-2</v>
      </c>
      <c r="I273" s="242">
        <f>'[2]Canada Sun Oil Exports'!DL$290</f>
        <v>2.3E-2</v>
      </c>
      <c r="J273" s="242">
        <f>'[2]Canada Sun Oil Exports'!DX$290</f>
        <v>4.0000000000000001E-3</v>
      </c>
      <c r="K273" s="242">
        <f>'[2]Canada Sun Oil Exports'!EJ$290</f>
        <v>3.2000000000000001E-2</v>
      </c>
      <c r="L273" s="242">
        <f>'[2]Canada Sun Oil Exports'!EV$290</f>
        <v>1E-3</v>
      </c>
      <c r="M273" s="242">
        <f>'[2]Canada Sun Oil Exports'!FH$290</f>
        <v>8.9999999999999993E-3</v>
      </c>
      <c r="N273" s="242">
        <f>'[2]Canada Sun Oil Exports'!FT$290</f>
        <v>1E-3</v>
      </c>
      <c r="O273" s="242">
        <f>'[2]Canada Sun Oil Exports'!GF$290</f>
        <v>6.8000000000000005E-2</v>
      </c>
      <c r="P273" s="242">
        <f>'[2]Canada Sun Oil Exports'!GR$290</f>
        <v>0.25800000000000001</v>
      </c>
      <c r="Q273" s="242">
        <f>'[2]Canada Sun Oil Exports'!HD$290</f>
        <v>2.7E-2</v>
      </c>
      <c r="R273" s="242">
        <f>'[2]Canada Sun Oil Exports'!HP$290</f>
        <v>2.7E-2</v>
      </c>
      <c r="S273" s="242">
        <f>'[2]Canada Sun Oil Exports'!IB$290</f>
        <v>2.5999999999999999E-2</v>
      </c>
      <c r="T273" s="242">
        <f>'[2]Canada Sun Oil Exports'!IN$290</f>
        <v>0.11600000000000001</v>
      </c>
      <c r="U273" s="242">
        <f>'[2]Canada Sun Oil Exports'!IZ$290</f>
        <v>7.3999999999999996E-2</v>
      </c>
      <c r="V273" s="242">
        <f>'[2]Canada Sun Oil Exports'!JL$290</f>
        <v>0.10100000000000001</v>
      </c>
      <c r="W273" s="242">
        <f>'[2]Canada Sun Oil Exports'!JX$290</f>
        <v>0.184</v>
      </c>
      <c r="X273" s="242">
        <f>'[2]Canada Sun Oil Exports'!KJ$290</f>
        <v>7.2999999999999995E-2</v>
      </c>
      <c r="Y273" s="242">
        <f>'[2]Canada Sun Oil Exports'!KV$290</f>
        <v>9.8000000000000004E-2</v>
      </c>
      <c r="Z273" s="242">
        <f>'[2]Canada Sun Oil Exports'!LH$290</f>
        <v>9.0371000000000007E-2</v>
      </c>
      <c r="AA273" s="242">
        <f>'[2]Canada Sun Oil Exports'!LT$290</f>
        <v>0.17421200000000001</v>
      </c>
      <c r="AB273" s="242">
        <f>'[2]Canada Sun Oil Exports'!MF$290</f>
        <v>0.102713</v>
      </c>
      <c r="AC273" s="242">
        <f>'[2]Canada Sun Oil Exports'!MR$290</f>
        <v>0.50655399999999995</v>
      </c>
      <c r="AD273" s="242">
        <f>'[2]Canada Sun Oil Exports'!ND$290</f>
        <v>0.11799999999999999</v>
      </c>
      <c r="AE273" s="243">
        <f t="shared" si="136"/>
        <v>0.46678215977356752</v>
      </c>
    </row>
    <row r="274" spans="1:31">
      <c r="A274" s="240" t="s">
        <v>240</v>
      </c>
      <c r="B274" s="241">
        <f t="shared" si="137"/>
        <v>0</v>
      </c>
      <c r="C274" s="241">
        <v>0.31847875327147274</v>
      </c>
      <c r="D274" s="242">
        <f>'[2]Canada Sun Oil Exports'!BE$290</f>
        <v>1.7000000000000001E-2</v>
      </c>
      <c r="E274" s="242">
        <f>'[2]Canada Sun Oil Exports'!BQ$290</f>
        <v>2.044</v>
      </c>
      <c r="F274" s="242">
        <f>'[2]Canada Sun Oil Exports'!CC$290</f>
        <v>5.0000000000000001E-3</v>
      </c>
      <c r="G274" s="242">
        <f>'[2]Canada Sun Oil Exports'!CO$290</f>
        <v>0.02</v>
      </c>
      <c r="H274" s="242">
        <f>'[2]Canada Sun Oil Exports'!DA$290</f>
        <v>6.0000000000000001E-3</v>
      </c>
      <c r="I274" s="242">
        <f>'[2]Canada Sun Oil Exports'!DM$290</f>
        <v>5.0000000000000001E-3</v>
      </c>
      <c r="J274" s="242">
        <f>'[2]Canada Sun Oil Exports'!DY$290</f>
        <v>3.0000000000000001E-3</v>
      </c>
      <c r="K274" s="242">
        <f>'[2]Canada Sun Oil Exports'!EK$290</f>
        <v>2E-3</v>
      </c>
      <c r="L274" s="242">
        <f>'[2]Canada Sun Oil Exports'!EW$290</f>
        <v>2.5000000000000001E-2</v>
      </c>
      <c r="M274" s="242">
        <f>'[2]Canada Sun Oil Exports'!FI$290</f>
        <v>0.48</v>
      </c>
      <c r="N274" s="242">
        <f>'[2]Canada Sun Oil Exports'!FU$290</f>
        <v>2.1999999999999999E-2</v>
      </c>
      <c r="O274" s="242">
        <f>'[2]Canada Sun Oil Exports'!GG$290</f>
        <v>2.3E-2</v>
      </c>
      <c r="P274" s="242">
        <f>'[2]Canada Sun Oil Exports'!GS$290</f>
        <v>0.22500000000000001</v>
      </c>
      <c r="Q274" s="242">
        <f>'[2]Canada Sun Oil Exports'!HE$290</f>
        <v>0.159</v>
      </c>
      <c r="R274" s="242">
        <f>'[2]Canada Sun Oil Exports'!HQ$290</f>
        <v>0.14899999999999999</v>
      </c>
      <c r="S274" s="242">
        <f>'[2]Canada Sun Oil Exports'!IC$290</f>
        <v>1.7000000000000001E-2</v>
      </c>
      <c r="T274" s="242">
        <f>'[2]Canada Sun Oil Exports'!IO$290</f>
        <v>0.08</v>
      </c>
      <c r="U274" s="242">
        <f>'[2]Canada Sun Oil Exports'!JA$290</f>
        <v>0.13800000000000001</v>
      </c>
      <c r="V274" s="242">
        <f>'[2]Canada Sun Oil Exports'!JM$290</f>
        <v>7.3999999999999996E-2</v>
      </c>
      <c r="W274" s="242">
        <f>'[2]Canada Sun Oil Exports'!JY$290</f>
        <v>0.123</v>
      </c>
      <c r="X274" s="242">
        <f>'[2]Canada Sun Oil Exports'!KK$290</f>
        <v>4.9000000000000002E-2</v>
      </c>
      <c r="Y274" s="242">
        <f>'[2]Canada Sun Oil Exports'!KW$290</f>
        <v>0.26300000000000001</v>
      </c>
      <c r="Z274" s="242">
        <f>'[2]Canada Sun Oil Exports'!LI$290</f>
        <v>0.14685200000000001</v>
      </c>
      <c r="AA274" s="242">
        <f>'[2]Canada Sun Oil Exports'!LU$290</f>
        <v>0.21847900000000001</v>
      </c>
      <c r="AB274" s="242">
        <f>'[2]Canada Sun Oil Exports'!MG$290</f>
        <v>3.3866E-2</v>
      </c>
      <c r="AC274" s="242">
        <f>'[2]Canada Sun Oil Exports'!MS$290</f>
        <v>6.3632999999999995E-2</v>
      </c>
      <c r="AD274" s="242">
        <f>'[2]Canada Sun Oil Exports'!NE$290</f>
        <v>0.17399999999999999</v>
      </c>
      <c r="AE274" s="243">
        <f t="shared" si="136"/>
        <v>0.34861809438539748</v>
      </c>
    </row>
    <row r="275" spans="1:31">
      <c r="A275" s="240" t="s">
        <v>241</v>
      </c>
      <c r="B275" s="241">
        <f t="shared" si="137"/>
        <v>0</v>
      </c>
      <c r="C275" s="241">
        <v>8.7688222698072818E-2</v>
      </c>
      <c r="D275" s="242">
        <f>'[2]Canada Sun Oil Exports'!BF$290</f>
        <v>0.54800000000000004</v>
      </c>
      <c r="E275" s="242">
        <f>'[2]Canada Sun Oil Exports'!BR$290</f>
        <v>2.1999999999999999E-2</v>
      </c>
      <c r="F275" s="242">
        <f>'[2]Canada Sun Oil Exports'!CD$290</f>
        <v>2E-3</v>
      </c>
      <c r="G275" s="242">
        <f>'[2]Canada Sun Oil Exports'!CP$290</f>
        <v>0</v>
      </c>
      <c r="H275" s="242">
        <f>'[2]Canada Sun Oil Exports'!DB$290</f>
        <v>4.0000000000000001E-3</v>
      </c>
      <c r="I275" s="242">
        <f>'[2]Canada Sun Oil Exports'!DN$290</f>
        <v>4.0000000000000001E-3</v>
      </c>
      <c r="J275" s="242">
        <f>'[2]Canada Sun Oil Exports'!DZ$290</f>
        <v>6.0000000000000001E-3</v>
      </c>
      <c r="K275" s="242">
        <f>'[2]Canada Sun Oil Exports'!EL$290</f>
        <v>0.01</v>
      </c>
      <c r="L275" s="242">
        <f>'[2]Canada Sun Oil Exports'!EX$290</f>
        <v>0.16300000000000001</v>
      </c>
      <c r="M275" s="242">
        <f>'[2]Canada Sun Oil Exports'!FJ$290</f>
        <v>1.4750000000000001</v>
      </c>
      <c r="N275" s="242">
        <f>'[2]Canada Sun Oil Exports'!FV$290</f>
        <v>4.4999999999999998E-2</v>
      </c>
      <c r="O275" s="242">
        <f>'[2]Canada Sun Oil Exports'!GH$290</f>
        <v>8.5999999999999993E-2</v>
      </c>
      <c r="P275" s="242">
        <f>'[2]Canada Sun Oil Exports'!GT$290</f>
        <v>0.20499999999999999</v>
      </c>
      <c r="Q275" s="242">
        <f>'[2]Canada Sun Oil Exports'!HF$290</f>
        <v>6.2E-2</v>
      </c>
      <c r="R275" s="242">
        <f>'[2]Canada Sun Oil Exports'!HR$290</f>
        <v>7.0000000000000007E-2</v>
      </c>
      <c r="S275" s="242">
        <f>'[2]Canada Sun Oil Exports'!ID$290</f>
        <v>7.9000000000000001E-2</v>
      </c>
      <c r="T275" s="242">
        <f>'[2]Canada Sun Oil Exports'!IP$290</f>
        <v>0.14299999999999999</v>
      </c>
      <c r="U275" s="242">
        <f>'[2]Canada Sun Oil Exports'!JB$290</f>
        <v>4.8000000000000001E-2</v>
      </c>
      <c r="V275" s="242">
        <f>'[2]Canada Sun Oil Exports'!JN$290</f>
        <v>4.9000000000000002E-2</v>
      </c>
      <c r="W275" s="242">
        <f>'[2]Canada Sun Oil Exports'!JZ$290</f>
        <v>5.3999999999999999E-2</v>
      </c>
      <c r="X275" s="242">
        <f>'[2]Canada Sun Oil Exports'!KL$290</f>
        <v>4.7E-2</v>
      </c>
      <c r="Y275" s="242">
        <f>'[2]Canada Sun Oil Exports'!KX$290</f>
        <v>4.9000000000000002E-2</v>
      </c>
      <c r="Z275" s="242">
        <f>'[2]Canada Sun Oil Exports'!LJ$290</f>
        <v>7.6924999999999993E-2</v>
      </c>
      <c r="AA275" s="242">
        <f>'[2]Canada Sun Oil Exports'!LV$290</f>
        <v>0.39636900000000003</v>
      </c>
      <c r="AB275" s="242">
        <f>'[2]Canada Sun Oil Exports'!MH$290</f>
        <v>0.159466</v>
      </c>
      <c r="AC275" s="242">
        <f>'[2]Canada Sun Oil Exports'!MT$290</f>
        <v>0.13014200000000001</v>
      </c>
      <c r="AD275" s="242">
        <f>'[2]Canada Sun Oil Exports'!NF$290</f>
        <v>0.17199999999999999</v>
      </c>
      <c r="AE275" s="243">
        <f t="shared" si="136"/>
        <v>0.38995870667744925</v>
      </c>
    </row>
    <row r="276" spans="1:31">
      <c r="A276" s="240" t="s">
        <v>231</v>
      </c>
      <c r="B276" s="241">
        <f t="shared" si="137"/>
        <v>0</v>
      </c>
      <c r="C276" s="242">
        <f>'[2]Canada Sun Oil Exports'!AU$290</f>
        <v>1.2999999999999999E-2</v>
      </c>
      <c r="D276" s="242">
        <f>'[2]Canada Sun Oil Exports'!BG$290</f>
        <v>1.0680000000000001</v>
      </c>
      <c r="E276" s="242">
        <f>'[2]Canada Sun Oil Exports'!BS$290</f>
        <v>1E-3</v>
      </c>
      <c r="F276" s="242">
        <f>'[2]Canada Sun Oil Exports'!CE$290</f>
        <v>4.0000000000000001E-3</v>
      </c>
      <c r="G276" s="242">
        <f>'[2]Canada Sun Oil Exports'!CQ$290</f>
        <v>2.4E-2</v>
      </c>
      <c r="H276" s="242">
        <f>'[2]Canada Sun Oil Exports'!DC$290</f>
        <v>8.0000000000000002E-3</v>
      </c>
      <c r="I276" s="242">
        <f>'[2]Canada Sun Oil Exports'!DO$290</f>
        <v>2.1999999999999999E-2</v>
      </c>
      <c r="J276" s="242">
        <f>'[2]Canada Sun Oil Exports'!EA$290</f>
        <v>2.4E-2</v>
      </c>
      <c r="K276" s="242">
        <f>'[2]Canada Sun Oil Exports'!EM$290</f>
        <v>5.0000000000000001E-3</v>
      </c>
      <c r="L276" s="242">
        <f>'[2]Canada Sun Oil Exports'!EY$290</f>
        <v>5.8000000000000003E-2</v>
      </c>
      <c r="M276" s="242">
        <f>'[2]Canada Sun Oil Exports'!FK$290</f>
        <v>5.8999999999999997E-2</v>
      </c>
      <c r="N276" s="242">
        <f>'[2]Canada Sun Oil Exports'!FW$290</f>
        <v>2E-3</v>
      </c>
      <c r="O276" s="242">
        <f>'[2]Canada Sun Oil Exports'!GI$290</f>
        <v>0.126</v>
      </c>
      <c r="P276" s="242">
        <f>'[2]Canada Sun Oil Exports'!GU$290</f>
        <v>0.106</v>
      </c>
      <c r="Q276" s="242">
        <f>'[2]Canada Sun Oil Exports'!HG$290</f>
        <v>3.0000000000000001E-3</v>
      </c>
      <c r="R276" s="242">
        <f>'[2]Canada Sun Oil Exports'!HS$290</f>
        <v>0.12</v>
      </c>
      <c r="S276" s="242">
        <f>'[2]Canada Sun Oil Exports'!IE$290</f>
        <v>4.3999999999999997E-2</v>
      </c>
      <c r="T276" s="242">
        <f>'[2]Canada Sun Oil Exports'!IQ$290</f>
        <v>1.0999999999999999E-2</v>
      </c>
      <c r="U276" s="242">
        <f>'[2]Canada Sun Oil Exports'!JC$290</f>
        <v>2.7280000000000002</v>
      </c>
      <c r="V276" s="242">
        <f>'[2]Canada Sun Oil Exports'!JO$290</f>
        <v>1.8149999999999999</v>
      </c>
      <c r="W276" s="242">
        <f>'[2]Canada Sun Oil Exports'!KA$290</f>
        <v>0.996</v>
      </c>
      <c r="X276" s="242">
        <f>'[2]Canada Sun Oil Exports'!KM$290</f>
        <v>4.3999999999999997E-2</v>
      </c>
      <c r="Y276" s="242">
        <f>'[2]Canada Sun Oil Exports'!KY$290</f>
        <v>4.9000000000000002E-2</v>
      </c>
      <c r="Z276" s="242">
        <f>'[2]Canada Sun Oil Exports'!LK$290</f>
        <v>9.4646999999999995E-2</v>
      </c>
      <c r="AA276" s="242">
        <f>'[2]Canada Sun Oil Exports'!LW$290</f>
        <v>0.122992</v>
      </c>
      <c r="AB276" s="242">
        <f>'[2]Canada Sun Oil Exports'!MI$290</f>
        <v>9.3893000000000004E-2</v>
      </c>
      <c r="AC276" s="242">
        <f>'[2]Canada Sun Oil Exports'!MU$290</f>
        <v>0.184</v>
      </c>
      <c r="AD276" s="242">
        <f>'[2]Canada Sun Oil Exports'!NG$290</f>
        <v>5.7000000000000002E-2</v>
      </c>
      <c r="AE276" s="243">
        <f t="shared" si="136"/>
        <v>0.26154017906654348</v>
      </c>
    </row>
    <row r="277" spans="1:31">
      <c r="A277" s="240" t="s">
        <v>232</v>
      </c>
      <c r="B277" s="241">
        <f t="shared" si="137"/>
        <v>0</v>
      </c>
      <c r="C277" s="242">
        <f>'[2]Canada Sun Oil Exports'!AV$290</f>
        <v>0.1</v>
      </c>
      <c r="D277" s="242">
        <f>'[2]Canada Sun Oil Exports'!BH$290</f>
        <v>1.0780000000000001</v>
      </c>
      <c r="E277" s="242">
        <f>'[2]Canada Sun Oil Exports'!BT$290</f>
        <v>2E-3</v>
      </c>
      <c r="F277" s="242">
        <f>'[2]Canada Sun Oil Exports'!CF$290</f>
        <v>1.012</v>
      </c>
      <c r="G277" s="242">
        <f>'[2]Canada Sun Oil Exports'!CR$290</f>
        <v>3.0000000000000001E-3</v>
      </c>
      <c r="H277" s="242">
        <f>'[2]Canada Sun Oil Exports'!DD$290</f>
        <v>7.0000000000000001E-3</v>
      </c>
      <c r="I277" s="242">
        <f>'[2]Canada Sun Oil Exports'!DP$290</f>
        <v>3.4489999999999998</v>
      </c>
      <c r="J277" s="242">
        <f>'[2]Canada Sun Oil Exports'!EB$290</f>
        <v>8.0000000000000002E-3</v>
      </c>
      <c r="K277" s="242">
        <f>'[2]Canada Sun Oil Exports'!EN$290</f>
        <v>2E-3</v>
      </c>
      <c r="L277" s="242">
        <f>'[2]Canada Sun Oil Exports'!EZ$290</f>
        <v>3.0000000000000001E-3</v>
      </c>
      <c r="M277" s="242">
        <f>'[2]Canada Sun Oil Exports'!FL$290</f>
        <v>0.42599999999999999</v>
      </c>
      <c r="N277" s="242">
        <f>'[2]Canada Sun Oil Exports'!FX$290</f>
        <v>6.4000000000000001E-2</v>
      </c>
      <c r="O277" s="242">
        <f>'[2]Canada Sun Oil Exports'!GJ$290</f>
        <v>2.5000000000000001E-2</v>
      </c>
      <c r="P277" s="242">
        <f>'[2]Canada Sun Oil Exports'!GV$290</f>
        <v>0.13</v>
      </c>
      <c r="Q277" s="242">
        <f>'[2]Canada Sun Oil Exports'!HH$290</f>
        <v>0.19400000000000001</v>
      </c>
      <c r="R277" s="242">
        <f>'[2]Canada Sun Oil Exports'!HT$290</f>
        <v>7.0000000000000007E-2</v>
      </c>
      <c r="S277" s="242">
        <f>'[2]Canada Sun Oil Exports'!IF$290</f>
        <v>4.5999999999999999E-2</v>
      </c>
      <c r="T277" s="242">
        <f>'[2]Canada Sun Oil Exports'!IR$290</f>
        <v>8.0000000000000002E-3</v>
      </c>
      <c r="U277" s="242">
        <f>'[2]Canada Sun Oil Exports'!JD$290</f>
        <v>0.108</v>
      </c>
      <c r="V277" s="242">
        <f>'[2]Canada Sun Oil Exports'!JP$290</f>
        <v>1.0999999999999999E-2</v>
      </c>
      <c r="W277" s="242">
        <f>'[2]Canada Sun Oil Exports'!KB$290</f>
        <v>0.12</v>
      </c>
      <c r="X277" s="242">
        <f>'[2]Canada Sun Oil Exports'!KN$290</f>
        <v>2.3E-2</v>
      </c>
      <c r="Y277" s="242">
        <f>'[2]Canada Sun Oil Exports'!KZ$290</f>
        <v>3.5999999999999997E-2</v>
      </c>
      <c r="Z277" s="242">
        <f>'[2]Canada Sun Oil Exports'!LL$290</f>
        <v>9.6645999999999996E-2</v>
      </c>
      <c r="AA277" s="242">
        <f>'[2]Canada Sun Oil Exports'!LX$290</f>
        <v>5.2374999999999998E-2</v>
      </c>
      <c r="AB277" s="242">
        <f>'[2]Canada Sun Oil Exports'!MJ$290</f>
        <v>0.114415</v>
      </c>
      <c r="AC277" s="242">
        <f>'[2]Canada Sun Oil Exports'!MV$290</f>
        <v>0.27800000000000002</v>
      </c>
      <c r="AD277" s="242">
        <f>'[2]Canada Sun Oil Exports'!NH$290</f>
        <v>7.9000000000000001E-2</v>
      </c>
      <c r="AE277" s="243">
        <f t="shared" si="136"/>
        <v>0.27734405845656201</v>
      </c>
    </row>
    <row r="278" spans="1:31">
      <c r="A278" s="240" t="s">
        <v>233</v>
      </c>
      <c r="B278" s="241">
        <f t="shared" si="137"/>
        <v>0</v>
      </c>
      <c r="C278" s="242">
        <f>'[2]Canada Sun Oil Exports'!AW$290</f>
        <v>1E-3</v>
      </c>
      <c r="D278" s="242">
        <f>'[2]Canada Sun Oil Exports'!BI$290</f>
        <v>1.1999999999999999E-3</v>
      </c>
      <c r="E278" s="242">
        <f>'[2]Canada Sun Oil Exports'!BU$290</f>
        <v>1.8E-5</v>
      </c>
      <c r="F278" s="242">
        <f>'[2]Canada Sun Oil Exports'!CG$290</f>
        <v>5.0000000000000001E-3</v>
      </c>
      <c r="G278" s="242">
        <f>'[2]Canada Sun Oil Exports'!CS$290</f>
        <v>3.0000000000000001E-3</v>
      </c>
      <c r="H278" s="242">
        <f>'[2]Canada Sun Oil Exports'!DE$290</f>
        <v>5.0000000000000001E-3</v>
      </c>
      <c r="I278" s="242">
        <f>'[2]Canada Sun Oil Exports'!DQ$290</f>
        <v>6.0000000000000001E-3</v>
      </c>
      <c r="J278" s="242">
        <f>'[2]Canada Sun Oil Exports'!EC$290</f>
        <v>5.586E-2</v>
      </c>
      <c r="K278" s="242">
        <f>'[2]Canada Sun Oil Exports'!EO$290</f>
        <v>1E-3</v>
      </c>
      <c r="L278" s="242">
        <f>'[2]Canada Sun Oil Exports'!FA$290</f>
        <v>2.5000000000000001E-2</v>
      </c>
      <c r="M278" s="242">
        <f>'[2]Canada Sun Oil Exports'!FM$290</f>
        <v>0.47</v>
      </c>
      <c r="N278" s="242">
        <f>'[2]Canada Sun Oil Exports'!FY$290</f>
        <v>6.5000000000000002E-2</v>
      </c>
      <c r="O278" s="242">
        <f>'[2]Canada Sun Oil Exports'!GK$290</f>
        <v>8.6999999999999994E-2</v>
      </c>
      <c r="P278" s="242">
        <f>'[2]Canada Sun Oil Exports'!GW$290</f>
        <v>9.5000000000000001E-2</v>
      </c>
      <c r="Q278" s="242">
        <f>'[2]Canada Sun Oil Exports'!HI$290</f>
        <v>0.17499999999999999</v>
      </c>
      <c r="R278" s="242">
        <f>'[2]Canada Sun Oil Exports'!HU$290</f>
        <v>2.7E-2</v>
      </c>
      <c r="S278" s="242">
        <f>'[2]Canada Sun Oil Exports'!IG$290</f>
        <v>5.7000000000000002E-2</v>
      </c>
      <c r="T278" s="242">
        <f>'[2]Canada Sun Oil Exports'!IS$290</f>
        <v>0.06</v>
      </c>
      <c r="U278" s="242">
        <f>'[2]Canada Sun Oil Exports'!JE$290</f>
        <v>0.153</v>
      </c>
      <c r="V278" s="242">
        <f>'[2]Canada Sun Oil Exports'!JQ$290</f>
        <v>1.6E-2</v>
      </c>
      <c r="W278" s="242">
        <f>'[2]Canada Sun Oil Exports'!KC$290</f>
        <v>1.143</v>
      </c>
      <c r="X278" s="242">
        <f>'[2]Canada Sun Oil Exports'!KO$290</f>
        <v>0.13700000000000001</v>
      </c>
      <c r="Y278" s="242">
        <f>'[2]Canada Sun Oil Exports'!LA$290</f>
        <v>8.6999999999999994E-2</v>
      </c>
      <c r="Z278" s="242">
        <f>'[2]Canada Sun Oil Exports'!LM$290</f>
        <v>7.9479999999999995E-2</v>
      </c>
      <c r="AA278" s="242">
        <f>'[2]Canada Sun Oil Exports'!LY$290</f>
        <v>5.5079999999999997E-2</v>
      </c>
      <c r="AB278" s="242">
        <f>'[2]Canada Sun Oil Exports'!MK$290</f>
        <v>0.128667</v>
      </c>
      <c r="AC278" s="242">
        <f>'[2]Canada Sun Oil Exports'!MW$290</f>
        <v>0.11799999999999999</v>
      </c>
      <c r="AD278" s="242">
        <f>'[2]Canada Sun Oil Exports'!NI$290</f>
        <v>0.126</v>
      </c>
      <c r="AE278" s="243">
        <f t="shared" si="136"/>
        <v>0.22489068305221815</v>
      </c>
    </row>
    <row r="279" spans="1:31">
      <c r="A279" s="240" t="s">
        <v>234</v>
      </c>
      <c r="B279" s="241">
        <f t="shared" si="137"/>
        <v>0</v>
      </c>
      <c r="C279" s="242">
        <f>'[2]Canada Sun Oil Exports'!AX$290</f>
        <v>9.5600000000000004E-2</v>
      </c>
      <c r="D279" s="242">
        <f>'[2]Canada Sun Oil Exports'!BJ$290</f>
        <v>0.99299999999999999</v>
      </c>
      <c r="E279" s="242">
        <f>'[2]Canada Sun Oil Exports'!BV$290</f>
        <v>4.0000000000000001E-3</v>
      </c>
      <c r="F279" s="242">
        <f>'[2]Canada Sun Oil Exports'!CH$290</f>
        <v>6.0000000000000001E-3</v>
      </c>
      <c r="G279" s="242">
        <f>'[2]Canada Sun Oil Exports'!CT$290</f>
        <v>2E-3</v>
      </c>
      <c r="H279" s="242">
        <f>'[2]Canada Sun Oil Exports'!DF$290</f>
        <v>2E-3</v>
      </c>
      <c r="I279" s="242">
        <f>'[2]Canada Sun Oil Exports'!DR$290</f>
        <v>3.0000000000000001E-3</v>
      </c>
      <c r="J279" s="242">
        <f>'[2]Canada Sun Oil Exports'!ED$290</f>
        <v>2E-3</v>
      </c>
      <c r="K279" s="242">
        <f>'[2]Canada Sun Oil Exports'!EP$290</f>
        <v>2.1999999999999999E-2</v>
      </c>
      <c r="L279" s="242">
        <f>'[2]Canada Sun Oil Exports'!FB$290</f>
        <v>6.6000000000000003E-2</v>
      </c>
      <c r="M279" s="242">
        <f>'[2]Canada Sun Oil Exports'!FN$290</f>
        <v>4.2000000000000003E-2</v>
      </c>
      <c r="N279" s="242">
        <f>'[2]Canada Sun Oil Exports'!FZ$290</f>
        <v>4.4999999999999998E-2</v>
      </c>
      <c r="O279" s="242">
        <f>'[2]Canada Sun Oil Exports'!GL$290</f>
        <v>0.17199999999999999</v>
      </c>
      <c r="P279" s="242">
        <f>'[2]Canada Sun Oil Exports'!GX$290</f>
        <v>5.1999999999999998E-2</v>
      </c>
      <c r="Q279" s="242">
        <f>'[2]Canada Sun Oil Exports'!HJ$290</f>
        <v>0.112</v>
      </c>
      <c r="R279" s="242">
        <f>'[2]Canada Sun Oil Exports'!HV$290</f>
        <v>0.106</v>
      </c>
      <c r="S279" s="242">
        <f>'[2]Canada Sun Oil Exports'!IH$290</f>
        <v>9.4E-2</v>
      </c>
      <c r="T279" s="242">
        <f>'[2]Canada Sun Oil Exports'!IT$290</f>
        <v>0.05</v>
      </c>
      <c r="U279" s="242">
        <f>'[2]Canada Sun Oil Exports'!JF$290</f>
        <v>0.152</v>
      </c>
      <c r="V279" s="242">
        <f>'[2]Canada Sun Oil Exports'!JR$290</f>
        <v>1.0999999999999999E-2</v>
      </c>
      <c r="W279" s="242">
        <f>'[2]Canada Sun Oil Exports'!KD$290</f>
        <v>0.11</v>
      </c>
      <c r="X279" s="242">
        <f>'[2]Canada Sun Oil Exports'!KP$290</f>
        <v>5.0999999999999997E-2</v>
      </c>
      <c r="Y279" s="242">
        <f>'[2]Canada Sun Oil Exports'!LB$290</f>
        <v>9.4E-2</v>
      </c>
      <c r="Z279" s="242">
        <f>'[2]Canada Sun Oil Exports'!LN$290</f>
        <v>6.6878999999999994E-2</v>
      </c>
      <c r="AA279" s="242">
        <f>'[2]Canada Sun Oil Exports'!LZ$290</f>
        <v>4.8515000000000003E-2</v>
      </c>
      <c r="AB279" s="242">
        <f>'[2]Canada Sun Oil Exports'!ML$290</f>
        <v>5.7959999999999998E-2</v>
      </c>
      <c r="AC279" s="242">
        <f>'[2]Canada Sun Oil Exports'!MX$290</f>
        <v>0.15</v>
      </c>
      <c r="AD279" s="243">
        <f t="shared" ref="AD279:AD281" si="138">(SUM(X279:AB279)/SUM(X$283:AB$283))*AD$283</f>
        <v>0.14165377082698072</v>
      </c>
      <c r="AE279" s="243">
        <f t="shared" si="136"/>
        <v>0.20045624480129395</v>
      </c>
    </row>
    <row r="280" spans="1:31">
      <c r="A280" s="240" t="s">
        <v>46</v>
      </c>
      <c r="B280" s="241">
        <f t="shared" si="137"/>
        <v>0</v>
      </c>
      <c r="C280" s="242">
        <f>'[2]Canada Sun Oil Exports'!AY$290</f>
        <v>2.1080000000000002E-2</v>
      </c>
      <c r="D280" s="242">
        <f>'[2]Canada Sun Oil Exports'!BK$290</f>
        <v>2.1344999999999999E-2</v>
      </c>
      <c r="E280" s="242">
        <f>'[2]Canada Sun Oil Exports'!BW$290</f>
        <v>5.0000000000000001E-3</v>
      </c>
      <c r="F280" s="242">
        <f>'[2]Canada Sun Oil Exports'!CI$290</f>
        <v>1.4999999999999999E-2</v>
      </c>
      <c r="G280" s="242">
        <f>'[2]Canada Sun Oil Exports'!CU$290</f>
        <v>1.7000000000000001E-2</v>
      </c>
      <c r="H280" s="242">
        <f>'[2]Canada Sun Oil Exports'!DG$290</f>
        <v>8.9999999999999993E-3</v>
      </c>
      <c r="I280" s="242">
        <f>'[2]Canada Sun Oil Exports'!DS$290</f>
        <v>0.51100000000000001</v>
      </c>
      <c r="J280" s="242">
        <f>'[2]Canada Sun Oil Exports'!EE$290</f>
        <v>1.9E-2</v>
      </c>
      <c r="K280" s="242">
        <f>'[2]Canada Sun Oil Exports'!EQ$290</f>
        <v>8.0199999999999994E-2</v>
      </c>
      <c r="L280" s="242">
        <f>'[2]Canada Sun Oil Exports'!FC$290</f>
        <v>1.4999999999999999E-2</v>
      </c>
      <c r="M280" s="242">
        <f>'[2]Canada Sun Oil Exports'!FO$290</f>
        <v>7.0000000000000001E-3</v>
      </c>
      <c r="N280" s="242">
        <f>'[2]Canada Sun Oil Exports'!GA$290</f>
        <v>2.1999999999999999E-2</v>
      </c>
      <c r="O280" s="242">
        <f>'[2]Canada Sun Oil Exports'!GM$290</f>
        <v>4.7E-2</v>
      </c>
      <c r="P280" s="242">
        <f>'[2]Canada Sun Oil Exports'!GY$290</f>
        <v>2.5000000000000001E-2</v>
      </c>
      <c r="Q280" s="242">
        <f>'[2]Canada Sun Oil Exports'!HK$290</f>
        <v>0.06</v>
      </c>
      <c r="R280" s="242">
        <f>'[2]Canada Sun Oil Exports'!HW$290</f>
        <v>0.249</v>
      </c>
      <c r="S280" s="242">
        <f>'[2]Canada Sun Oil Exports'!II$290</f>
        <v>0.29699999999999999</v>
      </c>
      <c r="T280" s="242">
        <f>'[2]Canada Sun Oil Exports'!IU$290</f>
        <v>1.2999999999999999E-2</v>
      </c>
      <c r="U280" s="242">
        <f>'[2]Canada Sun Oil Exports'!JG$290</f>
        <v>0.10199999999999999</v>
      </c>
      <c r="V280" s="242">
        <f>'[2]Canada Sun Oil Exports'!JS$290</f>
        <v>5.3999999999999999E-2</v>
      </c>
      <c r="W280" s="242">
        <f>'[2]Canada Sun Oil Exports'!KE$290</f>
        <v>4.5999999999999999E-2</v>
      </c>
      <c r="X280" s="242">
        <f>'[2]Canada Sun Oil Exports'!KQ$290</f>
        <v>0.02</v>
      </c>
      <c r="Y280" s="242">
        <f>'[2]Canada Sun Oil Exports'!LC$290</f>
        <v>4.1000000000000002E-2</v>
      </c>
      <c r="Z280" s="242">
        <f>'[2]Canada Sun Oil Exports'!LO$290</f>
        <v>0.145202</v>
      </c>
      <c r="AA280" s="242">
        <f>'[2]Canada Sun Oil Exports'!MA$290</f>
        <v>0.123378</v>
      </c>
      <c r="AB280" s="242">
        <f>'[2]Canada Sun Oil Exports'!MM$290</f>
        <v>0.12739800000000001</v>
      </c>
      <c r="AC280" s="242">
        <f>'[2]Canada Sun Oil Exports'!MY$290</f>
        <v>0.251</v>
      </c>
      <c r="AD280" s="243">
        <f t="shared" si="138"/>
        <v>0.20333545953552329</v>
      </c>
      <c r="AE280" s="243">
        <f t="shared" si="136"/>
        <v>0.33043767733364149</v>
      </c>
    </row>
    <row r="281" spans="1:31">
      <c r="A281" s="240" t="s">
        <v>235</v>
      </c>
      <c r="B281" s="241">
        <f t="shared" si="137"/>
        <v>0</v>
      </c>
      <c r="C281" s="242">
        <f>'[2]Canada Sun Oil Exports'!AZ$290</f>
        <v>0</v>
      </c>
      <c r="D281" s="242">
        <f>'[2]Canada Sun Oil Exports'!BL$290</f>
        <v>7.0000000000000001E-3</v>
      </c>
      <c r="E281" s="242">
        <f>'[2]Canada Sun Oil Exports'!BX$290</f>
        <v>1.7999999999999999E-2</v>
      </c>
      <c r="F281" s="242">
        <f>'[2]Canada Sun Oil Exports'!CJ$290</f>
        <v>2.1999999999999999E-2</v>
      </c>
      <c r="G281" s="242">
        <f>'[2]Canada Sun Oil Exports'!CV$290</f>
        <v>3.0000000000000001E-3</v>
      </c>
      <c r="H281" s="242">
        <f>'[2]Canada Sun Oil Exports'!DH$290</f>
        <v>6.0000000000000001E-3</v>
      </c>
      <c r="I281" s="242">
        <f>'[2]Canada Sun Oil Exports'!DT$290</f>
        <v>5.0000000000000001E-3</v>
      </c>
      <c r="J281" s="242">
        <f>'[2]Canada Sun Oil Exports'!EF$290</f>
        <v>1.7999999999999999E-2</v>
      </c>
      <c r="K281" s="242">
        <f>'[2]Canada Sun Oil Exports'!ER$290</f>
        <v>1.6E-2</v>
      </c>
      <c r="L281" s="242">
        <f>'[2]Canada Sun Oil Exports'!FD$290</f>
        <v>0.10299999999999999</v>
      </c>
      <c r="M281" s="242">
        <f>'[2]Canada Sun Oil Exports'!FP$290</f>
        <v>2.4E-2</v>
      </c>
      <c r="N281" s="242">
        <f>'[2]Canada Sun Oil Exports'!GB$290</f>
        <v>1E-3</v>
      </c>
      <c r="O281" s="242">
        <f>'[2]Canada Sun Oil Exports'!GN$290</f>
        <v>0.124</v>
      </c>
      <c r="P281" s="242">
        <f>'[2]Canada Sun Oil Exports'!GZ$290</f>
        <v>0.26700000000000002</v>
      </c>
      <c r="Q281" s="242">
        <f>'[2]Canada Sun Oil Exports'!HL$290</f>
        <v>7.0999999999999994E-2</v>
      </c>
      <c r="R281" s="242">
        <f>'[2]Canada Sun Oil Exports'!HX$290</f>
        <v>0.18099999999999999</v>
      </c>
      <c r="S281" s="242">
        <f>'[2]Canada Sun Oil Exports'!IJ$290</f>
        <v>5.0999999999999997E-2</v>
      </c>
      <c r="T281" s="242">
        <f>'[2]Canada Sun Oil Exports'!IV$290</f>
        <v>1.4999999999999999E-2</v>
      </c>
      <c r="U281" s="242">
        <f>'[2]Canada Sun Oil Exports'!JH$290</f>
        <v>0.10199999999999999</v>
      </c>
      <c r="V281" s="242">
        <f>'[2]Canada Sun Oil Exports'!JT$290</f>
        <v>0.10199999999999999</v>
      </c>
      <c r="W281" s="242">
        <f>'[2]Canada Sun Oil Exports'!KF$290</f>
        <v>0.112</v>
      </c>
      <c r="X281" s="242">
        <f>'[2]Canada Sun Oil Exports'!KR$290</f>
        <v>2.8000000000000001E-2</v>
      </c>
      <c r="Y281" s="242">
        <f>'[2]Canada Sun Oil Exports'!LD$290</f>
        <v>7.5284000000000004E-2</v>
      </c>
      <c r="Z281" s="242">
        <f>'[2]Canada Sun Oil Exports'!LP$290</f>
        <v>3.5255000000000002E-2</v>
      </c>
      <c r="AA281" s="242">
        <f>'[2]Canada Sun Oil Exports'!MB$290</f>
        <v>1.772E-2</v>
      </c>
      <c r="AB281" s="242">
        <f>'[2]Canada Sun Oil Exports'!MN$290</f>
        <v>5.0444999999999997E-2</v>
      </c>
      <c r="AC281" s="242">
        <f>'[2]Canada Sun Oil Exports'!MZ$290</f>
        <v>0.108</v>
      </c>
      <c r="AD281" s="243">
        <f t="shared" si="138"/>
        <v>9.1974346309517743E-2</v>
      </c>
      <c r="AE281" s="243">
        <f t="shared" si="136"/>
        <v>0.13770469963031426</v>
      </c>
    </row>
    <row r="282" spans="1:31">
      <c r="A282" s="240" t="s">
        <v>236</v>
      </c>
      <c r="B282" s="241">
        <f t="shared" si="137"/>
        <v>0</v>
      </c>
      <c r="C282" s="242">
        <f>'[2]Canada Sun Oil Exports'!BA$290</f>
        <v>1.5E-3</v>
      </c>
      <c r="D282" s="242">
        <f>'[2]Canada Sun Oil Exports'!BM$290</f>
        <v>6.0000000000000001E-3</v>
      </c>
      <c r="E282" s="242">
        <f>'[2]Canada Sun Oil Exports'!BY$290</f>
        <v>6.0000000000000001E-3</v>
      </c>
      <c r="F282" s="242">
        <f>'[2]Canada Sun Oil Exports'!CK$290</f>
        <v>1E-3</v>
      </c>
      <c r="G282" s="242">
        <f>'[2]Canada Sun Oil Exports'!CW$290</f>
        <v>2.1999999999999999E-2</v>
      </c>
      <c r="H282" s="242">
        <f>'[2]Canada Sun Oil Exports'!DI$290</f>
        <v>3.3000000000000002E-2</v>
      </c>
      <c r="I282" s="242">
        <f>'[2]Canada Sun Oil Exports'!DU$290</f>
        <v>5.0000000000000001E-3</v>
      </c>
      <c r="J282" s="242">
        <f>'[2]Canada Sun Oil Exports'!EG$290</f>
        <v>8.0000000000000002E-3</v>
      </c>
      <c r="K282" s="242">
        <f>'[2]Canada Sun Oil Exports'!ES$290</f>
        <v>4.8000000000000001E-2</v>
      </c>
      <c r="L282" s="242">
        <f>'[2]Canada Sun Oil Exports'!FE$290</f>
        <v>2.4E-2</v>
      </c>
      <c r="M282" s="242">
        <f>'[2]Canada Sun Oil Exports'!FQ$290</f>
        <v>2.5999999999999999E-2</v>
      </c>
      <c r="N282" s="242">
        <f>'[2]Canada Sun Oil Exports'!GC$290</f>
        <v>4.3999999999999997E-2</v>
      </c>
      <c r="O282" s="242">
        <f>'[2]Canada Sun Oil Exports'!GO$290</f>
        <v>3.7999999999999999E-2</v>
      </c>
      <c r="P282" s="242">
        <f>'[2]Canada Sun Oil Exports'!HA$290</f>
        <v>0.03</v>
      </c>
      <c r="Q282" s="242">
        <f>'[2]Canada Sun Oil Exports'!HM$290</f>
        <v>7.5999999999999998E-2</v>
      </c>
      <c r="R282" s="242">
        <f>'[2]Canada Sun Oil Exports'!HY$290</f>
        <v>8.3000000000000004E-2</v>
      </c>
      <c r="S282" s="242">
        <f>'[2]Canada Sun Oil Exports'!IK$290</f>
        <v>7.0000000000000001E-3</v>
      </c>
      <c r="T282" s="242">
        <f>'[2]Canada Sun Oil Exports'!IW$290</f>
        <v>4.3999999999999997E-2</v>
      </c>
      <c r="U282" s="242">
        <f>'[2]Canada Sun Oil Exports'!JI$290</f>
        <v>0.1</v>
      </c>
      <c r="V282" s="242">
        <f>'[2]Canada Sun Oil Exports'!JU$290</f>
        <v>2.1000000000000001E-2</v>
      </c>
      <c r="W282" s="242">
        <f>'[2]Canada Sun Oil Exports'!KG$290</f>
        <v>0.114</v>
      </c>
      <c r="X282" s="242">
        <f>'[2]Canada Sun Oil Exports'!KS$290</f>
        <v>6.7000000000000004E-2</v>
      </c>
      <c r="Y282" s="242">
        <f>'[2]Canada Sun Oil Exports'!LE$290</f>
        <v>4.5649000000000002E-2</v>
      </c>
      <c r="Z282" s="242">
        <f>'[2]Canada Sun Oil Exports'!LQ$290</f>
        <v>7.6717999999999995E-2</v>
      </c>
      <c r="AA282" s="242">
        <f>'[2]Canada Sun Oil Exports'!MC$290</f>
        <v>9.4624E-2</v>
      </c>
      <c r="AB282" s="242">
        <f>'[2]Canada Sun Oil Exports'!MO$290</f>
        <v>5.7872E-2</v>
      </c>
      <c r="AC282" s="242">
        <f>'[2]Canada Sun Oil Exports'!NA$290</f>
        <v>0.17100000000000001</v>
      </c>
      <c r="AD282" s="243">
        <f t="shared" ref="AD282:AE282" si="139">AD283-SUM(AD271:AD281)</f>
        <v>0.90903642332797885</v>
      </c>
      <c r="AE282" s="243">
        <f t="shared" si="139"/>
        <v>0.2141491939117377</v>
      </c>
    </row>
    <row r="283" spans="1:31" ht="15.75" thickBot="1">
      <c r="A283" s="240" t="s">
        <v>242</v>
      </c>
      <c r="B283" s="242">
        <f t="shared" ref="B283:C283" si="140">B40</f>
        <v>0</v>
      </c>
      <c r="C283" s="242">
        <f t="shared" si="140"/>
        <v>1</v>
      </c>
      <c r="D283" s="242">
        <f t="shared" ref="D283:W283" si="141">SUM(D271:D282)</f>
        <v>4.4141450000000004</v>
      </c>
      <c r="E283" s="242">
        <f t="shared" si="141"/>
        <v>2.165017999999999</v>
      </c>
      <c r="F283" s="242">
        <f t="shared" si="141"/>
        <v>2.6479999999999992</v>
      </c>
      <c r="G283" s="242">
        <f t="shared" si="141"/>
        <v>0.13200000000000001</v>
      </c>
      <c r="H283" s="242">
        <f t="shared" si="141"/>
        <v>0.10400000000000001</v>
      </c>
      <c r="I283" s="242">
        <f t="shared" si="141"/>
        <v>4.0729999999999995</v>
      </c>
      <c r="J283" s="242">
        <f t="shared" si="141"/>
        <v>0.15386</v>
      </c>
      <c r="K283" s="242">
        <f t="shared" si="141"/>
        <v>0.23819999999999997</v>
      </c>
      <c r="L283" s="242">
        <f t="shared" si="141"/>
        <v>0.51100000000000001</v>
      </c>
      <c r="M283" s="242">
        <f t="shared" si="141"/>
        <v>3.0610000000000004</v>
      </c>
      <c r="N283" s="242">
        <f t="shared" si="141"/>
        <v>0.376</v>
      </c>
      <c r="O283" s="242">
        <f t="shared" si="141"/>
        <v>0.93500000000000005</v>
      </c>
      <c r="P283" s="242">
        <f t="shared" si="141"/>
        <v>1.5330000000000001</v>
      </c>
      <c r="Q283" s="242">
        <f t="shared" si="141"/>
        <v>1.046</v>
      </c>
      <c r="R283" s="242">
        <f t="shared" si="141"/>
        <v>1.2670000000000001</v>
      </c>
      <c r="S283" s="242">
        <f t="shared" si="141"/>
        <v>0.89300000000000002</v>
      </c>
      <c r="T283" s="242">
        <f t="shared" si="141"/>
        <v>0.79100000000000015</v>
      </c>
      <c r="U283" s="242">
        <f t="shared" si="141"/>
        <v>3.8510000000000004</v>
      </c>
      <c r="V283" s="242">
        <f t="shared" si="141"/>
        <v>2.331</v>
      </c>
      <c r="W283" s="242">
        <f t="shared" si="141"/>
        <v>3.0569999999999995</v>
      </c>
      <c r="X283" s="242">
        <f t="shared" ref="X283:AC283" si="142">SUM(X271:X282)</f>
        <v>0.69000000000000017</v>
      </c>
      <c r="Y283" s="242">
        <f t="shared" si="142"/>
        <v>1.0049330000000001</v>
      </c>
      <c r="Z283" s="242">
        <f t="shared" si="142"/>
        <v>1.1079770000000002</v>
      </c>
      <c r="AA283" s="242">
        <f t="shared" si="142"/>
        <v>1.4158290000000002</v>
      </c>
      <c r="AB283" s="242">
        <f t="shared" si="142"/>
        <v>1.0087349999999999</v>
      </c>
      <c r="AC283" s="242">
        <f t="shared" si="142"/>
        <v>2.3873259999999994</v>
      </c>
      <c r="AD283" s="243">
        <f t="shared" ref="AD283:AE283" si="143">AD40</f>
        <v>2.3260000000000005</v>
      </c>
      <c r="AE283" s="243">
        <f t="shared" si="143"/>
        <v>3.3260000000000005</v>
      </c>
    </row>
    <row r="284" spans="1:31">
      <c r="A284" s="248"/>
      <c r="B284" s="248"/>
      <c r="C284" s="263"/>
      <c r="D284" s="263"/>
      <c r="E284" s="263"/>
      <c r="F284" s="263"/>
      <c r="G284" s="263"/>
      <c r="H284" s="263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  <c r="AD284" s="248"/>
      <c r="AE284" s="248"/>
    </row>
    <row r="285" spans="1:31" ht="15.75" thickBot="1">
      <c r="A285" s="235" t="s">
        <v>268</v>
      </c>
      <c r="D285" s="264"/>
      <c r="E285" s="264"/>
      <c r="F285" s="264"/>
      <c r="G285" s="264"/>
      <c r="H285" s="264"/>
      <c r="I285" s="264"/>
    </row>
    <row r="286" spans="1:31" ht="15.75" thickBot="1">
      <c r="A286" s="236"/>
      <c r="B286" s="237" t="str">
        <f>B$2</f>
        <v xml:space="preserve">93/94 </v>
      </c>
      <c r="C286" s="237" t="str">
        <f t="shared" ref="C286:AE286" si="144">C$2</f>
        <v xml:space="preserve">94/95 </v>
      </c>
      <c r="D286" s="237" t="str">
        <f t="shared" si="144"/>
        <v xml:space="preserve">95/96 </v>
      </c>
      <c r="E286" s="237" t="str">
        <f t="shared" si="144"/>
        <v xml:space="preserve">96/97 </v>
      </c>
      <c r="F286" s="237" t="str">
        <f t="shared" si="144"/>
        <v xml:space="preserve">97/98 </v>
      </c>
      <c r="G286" s="237" t="str">
        <f t="shared" si="144"/>
        <v xml:space="preserve">98/99 </v>
      </c>
      <c r="H286" s="237" t="str">
        <f t="shared" si="144"/>
        <v xml:space="preserve">99/00 </v>
      </c>
      <c r="I286" s="237" t="str">
        <f t="shared" si="144"/>
        <v xml:space="preserve">00/01 </v>
      </c>
      <c r="J286" s="237" t="str">
        <f t="shared" si="144"/>
        <v xml:space="preserve">01/02 </v>
      </c>
      <c r="K286" s="237" t="str">
        <f t="shared" si="144"/>
        <v xml:space="preserve">02/03 </v>
      </c>
      <c r="L286" s="237" t="str">
        <f t="shared" si="144"/>
        <v xml:space="preserve">03/04 </v>
      </c>
      <c r="M286" s="237" t="str">
        <f t="shared" si="144"/>
        <v xml:space="preserve">04/05 </v>
      </c>
      <c r="N286" s="237" t="str">
        <f t="shared" si="144"/>
        <v xml:space="preserve">05/06 </v>
      </c>
      <c r="O286" s="237" t="str">
        <f t="shared" si="144"/>
        <v xml:space="preserve">06/07 </v>
      </c>
      <c r="P286" s="237" t="str">
        <f t="shared" si="144"/>
        <v xml:space="preserve">07/08 </v>
      </c>
      <c r="Q286" s="237" t="str">
        <f t="shared" si="144"/>
        <v xml:space="preserve">08/09 </v>
      </c>
      <c r="R286" s="237" t="str">
        <f t="shared" si="144"/>
        <v xml:space="preserve">09/10 </v>
      </c>
      <c r="S286" s="237" t="str">
        <f t="shared" si="144"/>
        <v xml:space="preserve">10/11 </v>
      </c>
      <c r="T286" s="237" t="str">
        <f t="shared" si="144"/>
        <v xml:space="preserve">11/12 </v>
      </c>
      <c r="U286" s="237" t="str">
        <f t="shared" si="144"/>
        <v xml:space="preserve">12/13 </v>
      </c>
      <c r="V286" s="237" t="str">
        <f t="shared" si="144"/>
        <v xml:space="preserve">13/14 </v>
      </c>
      <c r="W286" s="237" t="str">
        <f t="shared" si="144"/>
        <v xml:space="preserve">14/15 </v>
      </c>
      <c r="X286" s="237" t="str">
        <f t="shared" si="144"/>
        <v xml:space="preserve">15/16 </v>
      </c>
      <c r="Y286" s="237" t="str">
        <f t="shared" si="144"/>
        <v xml:space="preserve">16/17 </v>
      </c>
      <c r="Z286" s="237" t="str">
        <f t="shared" si="144"/>
        <v xml:space="preserve">17/18 </v>
      </c>
      <c r="AA286" s="237" t="str">
        <f t="shared" si="144"/>
        <v xml:space="preserve">18/19 </v>
      </c>
      <c r="AB286" s="237" t="str">
        <f t="shared" si="144"/>
        <v xml:space="preserve">19/20 </v>
      </c>
      <c r="AC286" s="237" t="str">
        <f t="shared" si="144"/>
        <v xml:space="preserve">20/21 </v>
      </c>
      <c r="AD286" s="237" t="str">
        <f t="shared" si="144"/>
        <v>21/22</v>
      </c>
      <c r="AE286" s="237" t="str">
        <f t="shared" si="144"/>
        <v>22/23</v>
      </c>
    </row>
    <row r="287" spans="1:31">
      <c r="A287" s="240" t="s">
        <v>237</v>
      </c>
      <c r="B287" s="290">
        <f t="shared" ref="B287:Q298" si="145">B$299/12</f>
        <v>2.25</v>
      </c>
      <c r="C287" s="290">
        <f t="shared" si="145"/>
        <v>1.9166666666666667</v>
      </c>
      <c r="D287" s="290">
        <f t="shared" si="145"/>
        <v>1.2916666666666667</v>
      </c>
      <c r="E287" s="290">
        <f t="shared" si="145"/>
        <v>1.0833333333333333</v>
      </c>
      <c r="F287" s="290">
        <f t="shared" si="145"/>
        <v>1.0833333333333333</v>
      </c>
      <c r="G287" s="290">
        <f t="shared" si="145"/>
        <v>1.5</v>
      </c>
      <c r="H287" s="290">
        <f t="shared" si="145"/>
        <v>2.1666666666666665</v>
      </c>
      <c r="I287" s="290">
        <f t="shared" si="145"/>
        <v>2.4166666666666665</v>
      </c>
      <c r="J287" s="290">
        <f t="shared" si="145"/>
        <v>2.5416666666666665</v>
      </c>
      <c r="K287" s="290">
        <f t="shared" si="145"/>
        <v>1.7916666666666667</v>
      </c>
      <c r="L287" s="290">
        <f t="shared" si="145"/>
        <v>1.6666666666666667</v>
      </c>
      <c r="M287" s="290">
        <f t="shared" si="145"/>
        <v>3.5</v>
      </c>
      <c r="N287" s="290">
        <f t="shared" si="145"/>
        <v>4.1166666666666663</v>
      </c>
      <c r="O287" s="290">
        <f t="shared" si="145"/>
        <v>4.333333333333333</v>
      </c>
      <c r="P287" s="290">
        <f t="shared" si="145"/>
        <v>4</v>
      </c>
      <c r="Q287" s="290">
        <f t="shared" si="145"/>
        <v>3.9166666666666665</v>
      </c>
      <c r="R287" s="290">
        <f t="shared" ref="R287:AE298" si="146">R$299/12</f>
        <v>3</v>
      </c>
      <c r="S287" s="290">
        <f t="shared" si="146"/>
        <v>1.8666666666666665</v>
      </c>
      <c r="T287" s="290">
        <f t="shared" si="146"/>
        <v>1.6166666666666665</v>
      </c>
      <c r="U287" s="290">
        <f t="shared" si="146"/>
        <v>1.2833333333333334</v>
      </c>
      <c r="V287" s="290">
        <f t="shared" si="146"/>
        <v>1.4166666666666667</v>
      </c>
      <c r="W287" s="290">
        <f t="shared" si="146"/>
        <v>2.0333333333333332</v>
      </c>
      <c r="X287" s="290">
        <f t="shared" si="146"/>
        <v>1.7833333333333332</v>
      </c>
      <c r="Y287" s="290">
        <f t="shared" si="146"/>
        <v>2</v>
      </c>
      <c r="Z287" s="252">
        <f t="shared" si="146"/>
        <v>2.0833333333333335</v>
      </c>
      <c r="AA287" s="252">
        <f t="shared" si="146"/>
        <v>2.0833333333333335</v>
      </c>
      <c r="AB287" s="252">
        <f t="shared" si="146"/>
        <v>2.0833333333333335</v>
      </c>
      <c r="AC287" s="252">
        <f t="shared" si="146"/>
        <v>2.0833333333333335</v>
      </c>
      <c r="AD287" s="252">
        <f t="shared" si="146"/>
        <v>2.0833333333333335</v>
      </c>
      <c r="AE287" s="252">
        <f t="shared" si="146"/>
        <v>2.0833333333333335</v>
      </c>
    </row>
    <row r="288" spans="1:31">
      <c r="A288" s="240" t="s">
        <v>238</v>
      </c>
      <c r="B288" s="290">
        <f t="shared" si="145"/>
        <v>2.25</v>
      </c>
      <c r="C288" s="290">
        <f t="shared" si="145"/>
        <v>1.9166666666666667</v>
      </c>
      <c r="D288" s="290">
        <f t="shared" si="145"/>
        <v>1.2916666666666667</v>
      </c>
      <c r="E288" s="290">
        <f t="shared" si="145"/>
        <v>1.0833333333333333</v>
      </c>
      <c r="F288" s="290">
        <f t="shared" si="145"/>
        <v>1.0833333333333333</v>
      </c>
      <c r="G288" s="290">
        <f t="shared" si="145"/>
        <v>1.5</v>
      </c>
      <c r="H288" s="290">
        <f t="shared" si="145"/>
        <v>2.1666666666666665</v>
      </c>
      <c r="I288" s="290">
        <f t="shared" si="145"/>
        <v>2.4166666666666665</v>
      </c>
      <c r="J288" s="290">
        <f t="shared" si="145"/>
        <v>2.5416666666666665</v>
      </c>
      <c r="K288" s="290">
        <f t="shared" si="145"/>
        <v>1.7916666666666667</v>
      </c>
      <c r="L288" s="290">
        <f t="shared" si="145"/>
        <v>1.6666666666666667</v>
      </c>
      <c r="M288" s="290">
        <f t="shared" si="145"/>
        <v>3.5</v>
      </c>
      <c r="N288" s="290">
        <f t="shared" si="145"/>
        <v>4.1166666666666663</v>
      </c>
      <c r="O288" s="290">
        <f t="shared" si="145"/>
        <v>4.333333333333333</v>
      </c>
      <c r="P288" s="290">
        <f t="shared" si="145"/>
        <v>4</v>
      </c>
      <c r="Q288" s="290">
        <f t="shared" si="145"/>
        <v>3.9166666666666665</v>
      </c>
      <c r="R288" s="290">
        <f t="shared" si="146"/>
        <v>3</v>
      </c>
      <c r="S288" s="290">
        <f t="shared" si="146"/>
        <v>1.8666666666666665</v>
      </c>
      <c r="T288" s="290">
        <f t="shared" si="146"/>
        <v>1.6166666666666665</v>
      </c>
      <c r="U288" s="290">
        <f t="shared" si="146"/>
        <v>1.2833333333333334</v>
      </c>
      <c r="V288" s="290">
        <f t="shared" si="146"/>
        <v>1.4166666666666667</v>
      </c>
      <c r="W288" s="290">
        <f t="shared" si="146"/>
        <v>2.0333333333333332</v>
      </c>
      <c r="X288" s="290">
        <f t="shared" si="146"/>
        <v>1.7833333333333332</v>
      </c>
      <c r="Y288" s="290">
        <f t="shared" si="146"/>
        <v>2</v>
      </c>
      <c r="Z288" s="252">
        <f t="shared" si="146"/>
        <v>2.0833333333333335</v>
      </c>
      <c r="AA288" s="252">
        <f>AA$299/12</f>
        <v>2.0833333333333335</v>
      </c>
      <c r="AB288" s="252">
        <f>AB$299/12</f>
        <v>2.0833333333333335</v>
      </c>
      <c r="AC288" s="252">
        <f>AC$299/12</f>
        <v>2.0833333333333335</v>
      </c>
      <c r="AD288" s="252">
        <f t="shared" si="146"/>
        <v>2.0833333333333335</v>
      </c>
      <c r="AE288" s="252">
        <f t="shared" si="146"/>
        <v>2.0833333333333335</v>
      </c>
    </row>
    <row r="289" spans="1:31">
      <c r="A289" s="240" t="s">
        <v>239</v>
      </c>
      <c r="B289" s="290">
        <f t="shared" si="145"/>
        <v>2.25</v>
      </c>
      <c r="C289" s="290">
        <f t="shared" si="145"/>
        <v>1.9166666666666667</v>
      </c>
      <c r="D289" s="290">
        <f t="shared" si="145"/>
        <v>1.2916666666666667</v>
      </c>
      <c r="E289" s="290">
        <f t="shared" si="145"/>
        <v>1.0833333333333333</v>
      </c>
      <c r="F289" s="290">
        <f t="shared" si="145"/>
        <v>1.0833333333333333</v>
      </c>
      <c r="G289" s="290">
        <f t="shared" si="145"/>
        <v>1.5</v>
      </c>
      <c r="H289" s="290">
        <f t="shared" si="145"/>
        <v>2.1666666666666665</v>
      </c>
      <c r="I289" s="290">
        <f t="shared" si="145"/>
        <v>2.4166666666666665</v>
      </c>
      <c r="J289" s="290">
        <f t="shared" si="145"/>
        <v>2.5416666666666665</v>
      </c>
      <c r="K289" s="290">
        <f t="shared" si="145"/>
        <v>1.7916666666666667</v>
      </c>
      <c r="L289" s="290">
        <f t="shared" si="145"/>
        <v>1.6666666666666667</v>
      </c>
      <c r="M289" s="290">
        <f t="shared" si="145"/>
        <v>3.5</v>
      </c>
      <c r="N289" s="290">
        <f t="shared" si="145"/>
        <v>4.1166666666666663</v>
      </c>
      <c r="O289" s="290">
        <f t="shared" si="145"/>
        <v>4.333333333333333</v>
      </c>
      <c r="P289" s="290">
        <f t="shared" si="145"/>
        <v>4</v>
      </c>
      <c r="Q289" s="290">
        <f t="shared" si="145"/>
        <v>3.9166666666666665</v>
      </c>
      <c r="R289" s="290">
        <f t="shared" si="146"/>
        <v>3</v>
      </c>
      <c r="S289" s="290">
        <f t="shared" si="146"/>
        <v>1.8666666666666665</v>
      </c>
      <c r="T289" s="290">
        <f t="shared" si="146"/>
        <v>1.6166666666666665</v>
      </c>
      <c r="U289" s="290">
        <f t="shared" si="146"/>
        <v>1.2833333333333334</v>
      </c>
      <c r="V289" s="290">
        <f t="shared" si="146"/>
        <v>1.4166666666666667</v>
      </c>
      <c r="W289" s="290">
        <f t="shared" si="146"/>
        <v>2.0333333333333332</v>
      </c>
      <c r="X289" s="290">
        <f t="shared" si="146"/>
        <v>1.7833333333333332</v>
      </c>
      <c r="Y289" s="290">
        <f t="shared" si="146"/>
        <v>2</v>
      </c>
      <c r="Z289" s="252">
        <f t="shared" si="146"/>
        <v>2.0833333333333335</v>
      </c>
      <c r="AA289" s="252">
        <f t="shared" si="146"/>
        <v>2.0833333333333335</v>
      </c>
      <c r="AB289" s="252">
        <f t="shared" si="146"/>
        <v>2.0833333333333335</v>
      </c>
      <c r="AC289" s="252">
        <f t="shared" si="146"/>
        <v>2.0833333333333335</v>
      </c>
      <c r="AD289" s="252">
        <f t="shared" si="146"/>
        <v>2.0833333333333335</v>
      </c>
      <c r="AE289" s="252">
        <f t="shared" si="146"/>
        <v>2.0833333333333335</v>
      </c>
    </row>
    <row r="290" spans="1:31">
      <c r="A290" s="240" t="s">
        <v>240</v>
      </c>
      <c r="B290" s="290">
        <f t="shared" si="145"/>
        <v>2.25</v>
      </c>
      <c r="C290" s="290">
        <f t="shared" si="145"/>
        <v>1.9166666666666667</v>
      </c>
      <c r="D290" s="290">
        <f t="shared" si="145"/>
        <v>1.2916666666666667</v>
      </c>
      <c r="E290" s="290">
        <f t="shared" si="145"/>
        <v>1.0833333333333333</v>
      </c>
      <c r="F290" s="290">
        <f t="shared" si="145"/>
        <v>1.0833333333333333</v>
      </c>
      <c r="G290" s="290">
        <f t="shared" si="145"/>
        <v>1.5</v>
      </c>
      <c r="H290" s="290">
        <f t="shared" si="145"/>
        <v>2.1666666666666665</v>
      </c>
      <c r="I290" s="290">
        <f t="shared" si="145"/>
        <v>2.4166666666666665</v>
      </c>
      <c r="J290" s="290">
        <f t="shared" si="145"/>
        <v>2.5416666666666665</v>
      </c>
      <c r="K290" s="290">
        <f t="shared" si="145"/>
        <v>1.7916666666666667</v>
      </c>
      <c r="L290" s="290">
        <f t="shared" si="145"/>
        <v>1.6666666666666667</v>
      </c>
      <c r="M290" s="290">
        <f t="shared" si="145"/>
        <v>3.5</v>
      </c>
      <c r="N290" s="290">
        <f t="shared" si="145"/>
        <v>4.1166666666666663</v>
      </c>
      <c r="O290" s="290">
        <f t="shared" si="145"/>
        <v>4.333333333333333</v>
      </c>
      <c r="P290" s="290">
        <f t="shared" si="145"/>
        <v>4</v>
      </c>
      <c r="Q290" s="290">
        <f t="shared" si="145"/>
        <v>3.9166666666666665</v>
      </c>
      <c r="R290" s="290">
        <f t="shared" si="146"/>
        <v>3</v>
      </c>
      <c r="S290" s="290">
        <f t="shared" si="146"/>
        <v>1.8666666666666665</v>
      </c>
      <c r="T290" s="290">
        <f t="shared" si="146"/>
        <v>1.6166666666666665</v>
      </c>
      <c r="U290" s="290">
        <f t="shared" si="146"/>
        <v>1.2833333333333334</v>
      </c>
      <c r="V290" s="290">
        <f t="shared" si="146"/>
        <v>1.4166666666666667</v>
      </c>
      <c r="W290" s="290">
        <f t="shared" si="146"/>
        <v>2.0333333333333332</v>
      </c>
      <c r="X290" s="290">
        <f t="shared" si="146"/>
        <v>1.7833333333333332</v>
      </c>
      <c r="Y290" s="290">
        <f t="shared" si="146"/>
        <v>2</v>
      </c>
      <c r="Z290" s="252">
        <f t="shared" si="146"/>
        <v>2.0833333333333335</v>
      </c>
      <c r="AA290" s="252">
        <f t="shared" si="146"/>
        <v>2.0833333333333335</v>
      </c>
      <c r="AB290" s="252">
        <f t="shared" si="146"/>
        <v>2.0833333333333335</v>
      </c>
      <c r="AC290" s="252">
        <f t="shared" si="146"/>
        <v>2.0833333333333335</v>
      </c>
      <c r="AD290" s="252">
        <f t="shared" si="146"/>
        <v>2.0833333333333335</v>
      </c>
      <c r="AE290" s="252">
        <f t="shared" si="146"/>
        <v>2.0833333333333335</v>
      </c>
    </row>
    <row r="291" spans="1:31">
      <c r="A291" s="240" t="s">
        <v>241</v>
      </c>
      <c r="B291" s="290">
        <f t="shared" si="145"/>
        <v>2.25</v>
      </c>
      <c r="C291" s="290">
        <f t="shared" si="145"/>
        <v>1.9166666666666667</v>
      </c>
      <c r="D291" s="290">
        <f t="shared" si="145"/>
        <v>1.2916666666666667</v>
      </c>
      <c r="E291" s="290">
        <f t="shared" si="145"/>
        <v>1.0833333333333333</v>
      </c>
      <c r="F291" s="290">
        <f t="shared" si="145"/>
        <v>1.0833333333333333</v>
      </c>
      <c r="G291" s="290">
        <f t="shared" si="145"/>
        <v>1.5</v>
      </c>
      <c r="H291" s="290">
        <f t="shared" si="145"/>
        <v>2.1666666666666665</v>
      </c>
      <c r="I291" s="290">
        <f t="shared" si="145"/>
        <v>2.4166666666666665</v>
      </c>
      <c r="J291" s="290">
        <f t="shared" si="145"/>
        <v>2.5416666666666665</v>
      </c>
      <c r="K291" s="290">
        <f t="shared" si="145"/>
        <v>1.7916666666666667</v>
      </c>
      <c r="L291" s="290">
        <f t="shared" si="145"/>
        <v>1.6666666666666667</v>
      </c>
      <c r="M291" s="290">
        <f t="shared" si="145"/>
        <v>3.5</v>
      </c>
      <c r="N291" s="290">
        <f t="shared" si="145"/>
        <v>4.1166666666666663</v>
      </c>
      <c r="O291" s="290">
        <f t="shared" si="145"/>
        <v>4.333333333333333</v>
      </c>
      <c r="P291" s="290">
        <f t="shared" si="145"/>
        <v>4</v>
      </c>
      <c r="Q291" s="290">
        <f t="shared" si="145"/>
        <v>3.9166666666666665</v>
      </c>
      <c r="R291" s="290">
        <f t="shared" si="146"/>
        <v>3</v>
      </c>
      <c r="S291" s="290">
        <f t="shared" si="146"/>
        <v>1.8666666666666665</v>
      </c>
      <c r="T291" s="290">
        <f t="shared" si="146"/>
        <v>1.6166666666666665</v>
      </c>
      <c r="U291" s="290">
        <f t="shared" si="146"/>
        <v>1.2833333333333334</v>
      </c>
      <c r="V291" s="290">
        <f t="shared" si="146"/>
        <v>1.4166666666666667</v>
      </c>
      <c r="W291" s="290">
        <f t="shared" si="146"/>
        <v>2.0333333333333332</v>
      </c>
      <c r="X291" s="290">
        <f t="shared" si="146"/>
        <v>1.7833333333333332</v>
      </c>
      <c r="Y291" s="290">
        <f t="shared" si="146"/>
        <v>2</v>
      </c>
      <c r="Z291" s="252">
        <f t="shared" si="146"/>
        <v>2.0833333333333335</v>
      </c>
      <c r="AA291" s="252">
        <f t="shared" si="146"/>
        <v>2.0833333333333335</v>
      </c>
      <c r="AB291" s="252">
        <f t="shared" si="146"/>
        <v>2.0833333333333335</v>
      </c>
      <c r="AC291" s="252">
        <f t="shared" si="146"/>
        <v>2.0833333333333335</v>
      </c>
      <c r="AD291" s="252">
        <f t="shared" si="146"/>
        <v>2.0833333333333335</v>
      </c>
      <c r="AE291" s="252">
        <f t="shared" si="146"/>
        <v>2.0833333333333335</v>
      </c>
    </row>
    <row r="292" spans="1:31">
      <c r="A292" s="240" t="s">
        <v>231</v>
      </c>
      <c r="B292" s="290">
        <f t="shared" si="145"/>
        <v>2.25</v>
      </c>
      <c r="C292" s="290">
        <f t="shared" si="145"/>
        <v>1.9166666666666667</v>
      </c>
      <c r="D292" s="290">
        <f t="shared" si="145"/>
        <v>1.2916666666666667</v>
      </c>
      <c r="E292" s="290">
        <f t="shared" si="145"/>
        <v>1.0833333333333333</v>
      </c>
      <c r="F292" s="290">
        <f t="shared" si="145"/>
        <v>1.0833333333333333</v>
      </c>
      <c r="G292" s="290">
        <f t="shared" si="145"/>
        <v>1.5</v>
      </c>
      <c r="H292" s="290">
        <f t="shared" si="145"/>
        <v>2.1666666666666665</v>
      </c>
      <c r="I292" s="290">
        <f t="shared" si="145"/>
        <v>2.4166666666666665</v>
      </c>
      <c r="J292" s="290">
        <f t="shared" si="145"/>
        <v>2.5416666666666665</v>
      </c>
      <c r="K292" s="290">
        <f t="shared" si="145"/>
        <v>1.7916666666666667</v>
      </c>
      <c r="L292" s="290">
        <f t="shared" si="145"/>
        <v>1.6666666666666667</v>
      </c>
      <c r="M292" s="290">
        <f t="shared" si="145"/>
        <v>3.5</v>
      </c>
      <c r="N292" s="290">
        <f t="shared" si="145"/>
        <v>4.1166666666666663</v>
      </c>
      <c r="O292" s="290">
        <f t="shared" si="145"/>
        <v>4.333333333333333</v>
      </c>
      <c r="P292" s="290">
        <f t="shared" si="145"/>
        <v>4</v>
      </c>
      <c r="Q292" s="290">
        <f t="shared" si="145"/>
        <v>3.9166666666666665</v>
      </c>
      <c r="R292" s="290">
        <f t="shared" si="146"/>
        <v>3</v>
      </c>
      <c r="S292" s="290">
        <f t="shared" si="146"/>
        <v>1.8666666666666665</v>
      </c>
      <c r="T292" s="290">
        <f t="shared" si="146"/>
        <v>1.6166666666666665</v>
      </c>
      <c r="U292" s="290">
        <f t="shared" si="146"/>
        <v>1.2833333333333334</v>
      </c>
      <c r="V292" s="290">
        <f t="shared" si="146"/>
        <v>1.4166666666666667</v>
      </c>
      <c r="W292" s="290">
        <f t="shared" si="146"/>
        <v>2.0333333333333332</v>
      </c>
      <c r="X292" s="290">
        <f t="shared" si="146"/>
        <v>1.7833333333333332</v>
      </c>
      <c r="Y292" s="290">
        <f t="shared" si="146"/>
        <v>2</v>
      </c>
      <c r="Z292" s="252">
        <f t="shared" si="146"/>
        <v>2.0833333333333335</v>
      </c>
      <c r="AA292" s="252">
        <f t="shared" si="146"/>
        <v>2.0833333333333335</v>
      </c>
      <c r="AB292" s="252">
        <f t="shared" si="146"/>
        <v>2.0833333333333335</v>
      </c>
      <c r="AC292" s="252">
        <f t="shared" si="146"/>
        <v>2.0833333333333335</v>
      </c>
      <c r="AD292" s="252">
        <f t="shared" si="146"/>
        <v>2.0833333333333335</v>
      </c>
      <c r="AE292" s="252">
        <f t="shared" si="146"/>
        <v>2.0833333333333335</v>
      </c>
    </row>
    <row r="293" spans="1:31">
      <c r="A293" s="240" t="s">
        <v>232</v>
      </c>
      <c r="B293" s="290">
        <f t="shared" si="145"/>
        <v>2.25</v>
      </c>
      <c r="C293" s="290">
        <f t="shared" si="145"/>
        <v>1.9166666666666667</v>
      </c>
      <c r="D293" s="290">
        <f t="shared" si="145"/>
        <v>1.2916666666666667</v>
      </c>
      <c r="E293" s="290">
        <f t="shared" si="145"/>
        <v>1.0833333333333333</v>
      </c>
      <c r="F293" s="290">
        <f t="shared" si="145"/>
        <v>1.0833333333333333</v>
      </c>
      <c r="G293" s="290">
        <f t="shared" si="145"/>
        <v>1.5</v>
      </c>
      <c r="H293" s="290">
        <f t="shared" si="145"/>
        <v>2.1666666666666665</v>
      </c>
      <c r="I293" s="290">
        <f t="shared" si="145"/>
        <v>2.4166666666666665</v>
      </c>
      <c r="J293" s="290">
        <f t="shared" si="145"/>
        <v>2.5416666666666665</v>
      </c>
      <c r="K293" s="290">
        <f t="shared" si="145"/>
        <v>1.7916666666666667</v>
      </c>
      <c r="L293" s="290">
        <f t="shared" si="145"/>
        <v>1.6666666666666667</v>
      </c>
      <c r="M293" s="290">
        <f t="shared" si="145"/>
        <v>3.5</v>
      </c>
      <c r="N293" s="290">
        <f t="shared" si="145"/>
        <v>4.1166666666666663</v>
      </c>
      <c r="O293" s="290">
        <f t="shared" si="145"/>
        <v>4.333333333333333</v>
      </c>
      <c r="P293" s="290">
        <f t="shared" si="145"/>
        <v>4</v>
      </c>
      <c r="Q293" s="290">
        <f t="shared" si="145"/>
        <v>3.9166666666666665</v>
      </c>
      <c r="R293" s="290">
        <f t="shared" si="146"/>
        <v>3</v>
      </c>
      <c r="S293" s="290">
        <f t="shared" si="146"/>
        <v>1.8666666666666665</v>
      </c>
      <c r="T293" s="290">
        <f t="shared" si="146"/>
        <v>1.6166666666666665</v>
      </c>
      <c r="U293" s="290">
        <f t="shared" si="146"/>
        <v>1.2833333333333334</v>
      </c>
      <c r="V293" s="290">
        <f t="shared" si="146"/>
        <v>1.4166666666666667</v>
      </c>
      <c r="W293" s="290">
        <f t="shared" si="146"/>
        <v>2.0333333333333332</v>
      </c>
      <c r="X293" s="290">
        <f t="shared" si="146"/>
        <v>1.7833333333333332</v>
      </c>
      <c r="Y293" s="290">
        <f t="shared" si="146"/>
        <v>2</v>
      </c>
      <c r="Z293" s="252">
        <f t="shared" si="146"/>
        <v>2.0833333333333335</v>
      </c>
      <c r="AA293" s="252">
        <f t="shared" si="146"/>
        <v>2.0833333333333335</v>
      </c>
      <c r="AB293" s="252">
        <f t="shared" si="146"/>
        <v>2.0833333333333335</v>
      </c>
      <c r="AC293" s="252">
        <f t="shared" si="146"/>
        <v>2.0833333333333335</v>
      </c>
      <c r="AD293" s="252">
        <f t="shared" si="146"/>
        <v>2.0833333333333335</v>
      </c>
      <c r="AE293" s="252">
        <f t="shared" si="146"/>
        <v>2.0833333333333335</v>
      </c>
    </row>
    <row r="294" spans="1:31">
      <c r="A294" s="240" t="s">
        <v>233</v>
      </c>
      <c r="B294" s="290">
        <f t="shared" si="145"/>
        <v>2.25</v>
      </c>
      <c r="C294" s="290">
        <f t="shared" si="145"/>
        <v>1.9166666666666667</v>
      </c>
      <c r="D294" s="290">
        <f t="shared" si="145"/>
        <v>1.2916666666666667</v>
      </c>
      <c r="E294" s="290">
        <f t="shared" si="145"/>
        <v>1.0833333333333333</v>
      </c>
      <c r="F294" s="290">
        <f t="shared" si="145"/>
        <v>1.0833333333333333</v>
      </c>
      <c r="G294" s="290">
        <f t="shared" si="145"/>
        <v>1.5</v>
      </c>
      <c r="H294" s="290">
        <f t="shared" si="145"/>
        <v>2.1666666666666665</v>
      </c>
      <c r="I294" s="290">
        <f t="shared" si="145"/>
        <v>2.4166666666666665</v>
      </c>
      <c r="J294" s="290">
        <f t="shared" si="145"/>
        <v>2.5416666666666665</v>
      </c>
      <c r="K294" s="290">
        <f t="shared" si="145"/>
        <v>1.7916666666666667</v>
      </c>
      <c r="L294" s="290">
        <f t="shared" si="145"/>
        <v>1.6666666666666667</v>
      </c>
      <c r="M294" s="290">
        <f t="shared" si="145"/>
        <v>3.5</v>
      </c>
      <c r="N294" s="290">
        <f t="shared" si="145"/>
        <v>4.1166666666666663</v>
      </c>
      <c r="O294" s="290">
        <f t="shared" si="145"/>
        <v>4.333333333333333</v>
      </c>
      <c r="P294" s="290">
        <f t="shared" si="145"/>
        <v>4</v>
      </c>
      <c r="Q294" s="290">
        <f t="shared" si="145"/>
        <v>3.9166666666666665</v>
      </c>
      <c r="R294" s="290">
        <f t="shared" si="146"/>
        <v>3</v>
      </c>
      <c r="S294" s="290">
        <f t="shared" si="146"/>
        <v>1.8666666666666665</v>
      </c>
      <c r="T294" s="290">
        <f t="shared" si="146"/>
        <v>1.6166666666666665</v>
      </c>
      <c r="U294" s="290">
        <f t="shared" si="146"/>
        <v>1.2833333333333334</v>
      </c>
      <c r="V294" s="290">
        <f t="shared" si="146"/>
        <v>1.4166666666666667</v>
      </c>
      <c r="W294" s="290">
        <f t="shared" si="146"/>
        <v>2.0333333333333332</v>
      </c>
      <c r="X294" s="290">
        <f t="shared" si="146"/>
        <v>1.7833333333333332</v>
      </c>
      <c r="Y294" s="290">
        <f t="shared" si="146"/>
        <v>2</v>
      </c>
      <c r="Z294" s="252">
        <f t="shared" si="146"/>
        <v>2.0833333333333335</v>
      </c>
      <c r="AA294" s="252">
        <f t="shared" si="146"/>
        <v>2.0833333333333335</v>
      </c>
      <c r="AB294" s="252">
        <f t="shared" si="146"/>
        <v>2.0833333333333335</v>
      </c>
      <c r="AC294" s="252">
        <f t="shared" si="146"/>
        <v>2.0833333333333335</v>
      </c>
      <c r="AD294" s="252">
        <f t="shared" si="146"/>
        <v>2.0833333333333335</v>
      </c>
      <c r="AE294" s="252">
        <f t="shared" si="146"/>
        <v>2.0833333333333335</v>
      </c>
    </row>
    <row r="295" spans="1:31">
      <c r="A295" s="240" t="s">
        <v>234</v>
      </c>
      <c r="B295" s="290">
        <f t="shared" si="145"/>
        <v>2.25</v>
      </c>
      <c r="C295" s="290">
        <f t="shared" si="145"/>
        <v>1.9166666666666667</v>
      </c>
      <c r="D295" s="290">
        <f t="shared" si="145"/>
        <v>1.2916666666666667</v>
      </c>
      <c r="E295" s="290">
        <f t="shared" si="145"/>
        <v>1.0833333333333333</v>
      </c>
      <c r="F295" s="290">
        <f t="shared" si="145"/>
        <v>1.0833333333333333</v>
      </c>
      <c r="G295" s="290">
        <f t="shared" si="145"/>
        <v>1.5</v>
      </c>
      <c r="H295" s="290">
        <f t="shared" si="145"/>
        <v>2.1666666666666665</v>
      </c>
      <c r="I295" s="290">
        <f t="shared" si="145"/>
        <v>2.4166666666666665</v>
      </c>
      <c r="J295" s="290">
        <f t="shared" si="145"/>
        <v>2.5416666666666665</v>
      </c>
      <c r="K295" s="290">
        <f t="shared" si="145"/>
        <v>1.7916666666666667</v>
      </c>
      <c r="L295" s="290">
        <f t="shared" si="145"/>
        <v>1.6666666666666667</v>
      </c>
      <c r="M295" s="290">
        <f t="shared" si="145"/>
        <v>3.5</v>
      </c>
      <c r="N295" s="290">
        <f t="shared" si="145"/>
        <v>4.1166666666666663</v>
      </c>
      <c r="O295" s="290">
        <f t="shared" si="145"/>
        <v>4.333333333333333</v>
      </c>
      <c r="P295" s="290">
        <f t="shared" si="145"/>
        <v>4</v>
      </c>
      <c r="Q295" s="290">
        <f t="shared" si="145"/>
        <v>3.9166666666666665</v>
      </c>
      <c r="R295" s="290">
        <f t="shared" si="146"/>
        <v>3</v>
      </c>
      <c r="S295" s="290">
        <f t="shared" si="146"/>
        <v>1.8666666666666665</v>
      </c>
      <c r="T295" s="290">
        <f t="shared" si="146"/>
        <v>1.6166666666666665</v>
      </c>
      <c r="U295" s="290">
        <f t="shared" si="146"/>
        <v>1.2833333333333334</v>
      </c>
      <c r="V295" s="290">
        <f t="shared" si="146"/>
        <v>1.4166666666666667</v>
      </c>
      <c r="W295" s="290">
        <f t="shared" si="146"/>
        <v>2.0333333333333332</v>
      </c>
      <c r="X295" s="290">
        <f t="shared" si="146"/>
        <v>1.7833333333333332</v>
      </c>
      <c r="Y295" s="290">
        <f t="shared" si="146"/>
        <v>2</v>
      </c>
      <c r="Z295" s="252">
        <f t="shared" si="146"/>
        <v>2.0833333333333335</v>
      </c>
      <c r="AA295" s="252">
        <f t="shared" si="146"/>
        <v>2.0833333333333335</v>
      </c>
      <c r="AB295" s="252">
        <f t="shared" si="146"/>
        <v>2.0833333333333335</v>
      </c>
      <c r="AC295" s="252">
        <f t="shared" si="146"/>
        <v>2.0833333333333335</v>
      </c>
      <c r="AD295" s="252">
        <f t="shared" si="146"/>
        <v>2.0833333333333335</v>
      </c>
      <c r="AE295" s="252">
        <f t="shared" si="146"/>
        <v>2.0833333333333335</v>
      </c>
    </row>
    <row r="296" spans="1:31">
      <c r="A296" s="240" t="s">
        <v>46</v>
      </c>
      <c r="B296" s="290">
        <f t="shared" si="145"/>
        <v>2.25</v>
      </c>
      <c r="C296" s="290">
        <f t="shared" si="145"/>
        <v>1.9166666666666667</v>
      </c>
      <c r="D296" s="290">
        <f t="shared" si="145"/>
        <v>1.2916666666666667</v>
      </c>
      <c r="E296" s="290">
        <f t="shared" si="145"/>
        <v>1.0833333333333333</v>
      </c>
      <c r="F296" s="290">
        <f t="shared" si="145"/>
        <v>1.0833333333333333</v>
      </c>
      <c r="G296" s="290">
        <f t="shared" si="145"/>
        <v>1.5</v>
      </c>
      <c r="H296" s="290">
        <f t="shared" si="145"/>
        <v>2.1666666666666665</v>
      </c>
      <c r="I296" s="290">
        <f t="shared" si="145"/>
        <v>2.4166666666666665</v>
      </c>
      <c r="J296" s="290">
        <f t="shared" si="145"/>
        <v>2.5416666666666665</v>
      </c>
      <c r="K296" s="290">
        <f t="shared" si="145"/>
        <v>1.7916666666666667</v>
      </c>
      <c r="L296" s="290">
        <f t="shared" si="145"/>
        <v>1.6666666666666667</v>
      </c>
      <c r="M296" s="290">
        <f t="shared" si="145"/>
        <v>3.5</v>
      </c>
      <c r="N296" s="290">
        <f t="shared" si="145"/>
        <v>4.1166666666666663</v>
      </c>
      <c r="O296" s="290">
        <f t="shared" si="145"/>
        <v>4.333333333333333</v>
      </c>
      <c r="P296" s="290">
        <f t="shared" si="145"/>
        <v>4</v>
      </c>
      <c r="Q296" s="290">
        <f t="shared" si="145"/>
        <v>3.9166666666666665</v>
      </c>
      <c r="R296" s="290">
        <f t="shared" si="146"/>
        <v>3</v>
      </c>
      <c r="S296" s="290">
        <f t="shared" si="146"/>
        <v>1.8666666666666665</v>
      </c>
      <c r="T296" s="290">
        <f t="shared" si="146"/>
        <v>1.6166666666666665</v>
      </c>
      <c r="U296" s="290">
        <f t="shared" si="146"/>
        <v>1.2833333333333334</v>
      </c>
      <c r="V296" s="290">
        <f t="shared" si="146"/>
        <v>1.4166666666666667</v>
      </c>
      <c r="W296" s="290">
        <f t="shared" si="146"/>
        <v>2.0333333333333332</v>
      </c>
      <c r="X296" s="290">
        <f t="shared" si="146"/>
        <v>1.7833333333333332</v>
      </c>
      <c r="Y296" s="290">
        <f t="shared" si="146"/>
        <v>2</v>
      </c>
      <c r="Z296" s="252">
        <f t="shared" si="146"/>
        <v>2.0833333333333335</v>
      </c>
      <c r="AA296" s="252">
        <f t="shared" si="146"/>
        <v>2.0833333333333335</v>
      </c>
      <c r="AB296" s="252">
        <f t="shared" si="146"/>
        <v>2.0833333333333335</v>
      </c>
      <c r="AC296" s="252">
        <f t="shared" si="146"/>
        <v>2.0833333333333335</v>
      </c>
      <c r="AD296" s="252">
        <f t="shared" si="146"/>
        <v>2.0833333333333335</v>
      </c>
      <c r="AE296" s="252">
        <f t="shared" si="146"/>
        <v>2.0833333333333335</v>
      </c>
    </row>
    <row r="297" spans="1:31">
      <c r="A297" s="240" t="s">
        <v>235</v>
      </c>
      <c r="B297" s="290">
        <f t="shared" si="145"/>
        <v>2.25</v>
      </c>
      <c r="C297" s="290">
        <f t="shared" si="145"/>
        <v>1.9166666666666667</v>
      </c>
      <c r="D297" s="290">
        <f t="shared" si="145"/>
        <v>1.2916666666666667</v>
      </c>
      <c r="E297" s="290">
        <f t="shared" si="145"/>
        <v>1.0833333333333333</v>
      </c>
      <c r="F297" s="290">
        <f t="shared" si="145"/>
        <v>1.0833333333333333</v>
      </c>
      <c r="G297" s="290">
        <f t="shared" si="145"/>
        <v>1.5</v>
      </c>
      <c r="H297" s="290">
        <f t="shared" si="145"/>
        <v>2.1666666666666665</v>
      </c>
      <c r="I297" s="290">
        <f t="shared" si="145"/>
        <v>2.4166666666666665</v>
      </c>
      <c r="J297" s="290">
        <f t="shared" si="145"/>
        <v>2.5416666666666665</v>
      </c>
      <c r="K297" s="290">
        <f t="shared" si="145"/>
        <v>1.7916666666666667</v>
      </c>
      <c r="L297" s="290">
        <f t="shared" si="145"/>
        <v>1.6666666666666667</v>
      </c>
      <c r="M297" s="290">
        <f t="shared" si="145"/>
        <v>3.5</v>
      </c>
      <c r="N297" s="290">
        <f t="shared" si="145"/>
        <v>4.1166666666666663</v>
      </c>
      <c r="O297" s="290">
        <f t="shared" si="145"/>
        <v>4.333333333333333</v>
      </c>
      <c r="P297" s="290">
        <f t="shared" si="145"/>
        <v>4</v>
      </c>
      <c r="Q297" s="290">
        <f t="shared" si="145"/>
        <v>3.9166666666666665</v>
      </c>
      <c r="R297" s="290">
        <f t="shared" si="146"/>
        <v>3</v>
      </c>
      <c r="S297" s="290">
        <f t="shared" si="146"/>
        <v>1.8666666666666665</v>
      </c>
      <c r="T297" s="290">
        <f t="shared" si="146"/>
        <v>1.6166666666666665</v>
      </c>
      <c r="U297" s="290">
        <f t="shared" si="146"/>
        <v>1.2833333333333334</v>
      </c>
      <c r="V297" s="290">
        <f t="shared" si="146"/>
        <v>1.4166666666666667</v>
      </c>
      <c r="W297" s="290">
        <f t="shared" si="146"/>
        <v>2.0333333333333332</v>
      </c>
      <c r="X297" s="290">
        <f t="shared" si="146"/>
        <v>1.7833333333333332</v>
      </c>
      <c r="Y297" s="290">
        <f t="shared" si="146"/>
        <v>2</v>
      </c>
      <c r="Z297" s="252">
        <f t="shared" si="146"/>
        <v>2.0833333333333335</v>
      </c>
      <c r="AA297" s="252">
        <f t="shared" si="146"/>
        <v>2.0833333333333335</v>
      </c>
      <c r="AB297" s="252">
        <f t="shared" si="146"/>
        <v>2.0833333333333335</v>
      </c>
      <c r="AC297" s="252">
        <f t="shared" si="146"/>
        <v>2.0833333333333335</v>
      </c>
      <c r="AD297" s="252">
        <f t="shared" si="146"/>
        <v>2.0833333333333335</v>
      </c>
      <c r="AE297" s="252">
        <f t="shared" si="146"/>
        <v>2.0833333333333335</v>
      </c>
    </row>
    <row r="298" spans="1:31">
      <c r="A298" s="240" t="s">
        <v>236</v>
      </c>
      <c r="B298" s="290">
        <f t="shared" si="145"/>
        <v>2.25</v>
      </c>
      <c r="C298" s="290">
        <f t="shared" si="145"/>
        <v>1.9166666666666667</v>
      </c>
      <c r="D298" s="290">
        <f t="shared" si="145"/>
        <v>1.2916666666666667</v>
      </c>
      <c r="E298" s="290">
        <f t="shared" si="145"/>
        <v>1.0833333333333333</v>
      </c>
      <c r="F298" s="290">
        <f t="shared" si="145"/>
        <v>1.0833333333333333</v>
      </c>
      <c r="G298" s="290">
        <f t="shared" si="145"/>
        <v>1.5</v>
      </c>
      <c r="H298" s="290">
        <f t="shared" si="145"/>
        <v>2.1666666666666665</v>
      </c>
      <c r="I298" s="290">
        <f t="shared" si="145"/>
        <v>2.4166666666666665</v>
      </c>
      <c r="J298" s="290">
        <f t="shared" si="145"/>
        <v>2.5416666666666665</v>
      </c>
      <c r="K298" s="290">
        <f t="shared" si="145"/>
        <v>1.7916666666666667</v>
      </c>
      <c r="L298" s="290">
        <f t="shared" si="145"/>
        <v>1.6666666666666667</v>
      </c>
      <c r="M298" s="290">
        <f t="shared" si="145"/>
        <v>3.5</v>
      </c>
      <c r="N298" s="290">
        <f t="shared" si="145"/>
        <v>4.1166666666666663</v>
      </c>
      <c r="O298" s="290">
        <f t="shared" si="145"/>
        <v>4.333333333333333</v>
      </c>
      <c r="P298" s="290">
        <f t="shared" si="145"/>
        <v>4</v>
      </c>
      <c r="Q298" s="290">
        <f t="shared" si="145"/>
        <v>3.9166666666666665</v>
      </c>
      <c r="R298" s="290">
        <f t="shared" si="146"/>
        <v>3</v>
      </c>
      <c r="S298" s="290">
        <f t="shared" si="146"/>
        <v>1.8666666666666665</v>
      </c>
      <c r="T298" s="290">
        <f t="shared" si="146"/>
        <v>1.6166666666666665</v>
      </c>
      <c r="U298" s="290">
        <f t="shared" si="146"/>
        <v>1.2833333333333334</v>
      </c>
      <c r="V298" s="290">
        <f t="shared" si="146"/>
        <v>1.4166666666666667</v>
      </c>
      <c r="W298" s="290">
        <f t="shared" si="146"/>
        <v>2.0333333333333332</v>
      </c>
      <c r="X298" s="290">
        <f t="shared" si="146"/>
        <v>1.7833333333333332</v>
      </c>
      <c r="Y298" s="290">
        <f t="shared" si="146"/>
        <v>2</v>
      </c>
      <c r="Z298" s="252">
        <f t="shared" si="146"/>
        <v>2.0833333333333335</v>
      </c>
      <c r="AA298" s="252">
        <f t="shared" si="146"/>
        <v>2.0833333333333335</v>
      </c>
      <c r="AB298" s="252">
        <f t="shared" si="146"/>
        <v>2.0833333333333335</v>
      </c>
      <c r="AC298" s="252">
        <f t="shared" si="146"/>
        <v>2.0833333333333335</v>
      </c>
      <c r="AD298" s="252">
        <f t="shared" si="146"/>
        <v>2.0833333333333335</v>
      </c>
      <c r="AE298" s="252">
        <f t="shared" si="146"/>
        <v>2.0833333333333335</v>
      </c>
    </row>
    <row r="299" spans="1:31" ht="15.75" thickBot="1">
      <c r="A299" s="240" t="s">
        <v>242</v>
      </c>
      <c r="B299" s="146">
        <f>B36</f>
        <v>27</v>
      </c>
      <c r="C299" s="146">
        <f t="shared" ref="C299:Y299" si="147">C36</f>
        <v>23</v>
      </c>
      <c r="D299" s="146">
        <f t="shared" si="147"/>
        <v>15.5</v>
      </c>
      <c r="E299" s="146">
        <f t="shared" si="147"/>
        <v>13</v>
      </c>
      <c r="F299" s="146">
        <f t="shared" si="147"/>
        <v>13</v>
      </c>
      <c r="G299" s="146">
        <f t="shared" si="147"/>
        <v>18</v>
      </c>
      <c r="H299" s="146">
        <f t="shared" si="147"/>
        <v>26</v>
      </c>
      <c r="I299" s="146">
        <f t="shared" si="147"/>
        <v>29</v>
      </c>
      <c r="J299" s="146">
        <f t="shared" si="147"/>
        <v>30.5</v>
      </c>
      <c r="K299" s="146">
        <f t="shared" si="147"/>
        <v>21.5</v>
      </c>
      <c r="L299" s="146">
        <f t="shared" si="147"/>
        <v>20</v>
      </c>
      <c r="M299" s="146">
        <f t="shared" si="147"/>
        <v>42</v>
      </c>
      <c r="N299" s="146">
        <f t="shared" si="147"/>
        <v>49.4</v>
      </c>
      <c r="O299" s="146">
        <f t="shared" si="147"/>
        <v>52</v>
      </c>
      <c r="P299" s="146">
        <f t="shared" si="147"/>
        <v>48</v>
      </c>
      <c r="Q299" s="146">
        <f t="shared" si="147"/>
        <v>47</v>
      </c>
      <c r="R299" s="146">
        <f t="shared" si="147"/>
        <v>36</v>
      </c>
      <c r="S299" s="146">
        <f t="shared" si="147"/>
        <v>22.4</v>
      </c>
      <c r="T299" s="146">
        <f t="shared" si="147"/>
        <v>19.399999999999999</v>
      </c>
      <c r="U299" s="146">
        <f t="shared" si="147"/>
        <v>15.4</v>
      </c>
      <c r="V299" s="146">
        <f t="shared" si="147"/>
        <v>17</v>
      </c>
      <c r="W299" s="146">
        <f t="shared" si="147"/>
        <v>24.4</v>
      </c>
      <c r="X299" s="146">
        <f t="shared" si="147"/>
        <v>21.4</v>
      </c>
      <c r="Y299" s="146">
        <f t="shared" si="147"/>
        <v>24</v>
      </c>
      <c r="Z299" s="253">
        <f>Z36</f>
        <v>25</v>
      </c>
      <c r="AA299" s="253">
        <f>AA36</f>
        <v>25</v>
      </c>
      <c r="AB299" s="253">
        <f>AB36</f>
        <v>25</v>
      </c>
      <c r="AC299" s="253">
        <f>AC36</f>
        <v>25</v>
      </c>
      <c r="AD299" s="253">
        <f t="shared" ref="AD299:AE299" si="148">AD36</f>
        <v>25</v>
      </c>
      <c r="AE299" s="253">
        <f t="shared" si="148"/>
        <v>25</v>
      </c>
    </row>
    <row r="300" spans="1:31">
      <c r="A300" s="248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  <c r="AD300" s="254"/>
      <c r="AE300" s="254"/>
    </row>
    <row r="301" spans="1:31" ht="15.75" thickBot="1">
      <c r="A301" s="235" t="s">
        <v>269</v>
      </c>
    </row>
    <row r="302" spans="1:31" ht="15.75" thickBot="1">
      <c r="A302" s="236"/>
      <c r="B302" s="237" t="str">
        <f>B$2</f>
        <v xml:space="preserve">93/94 </v>
      </c>
      <c r="C302" s="237" t="str">
        <f t="shared" ref="C302:AE302" si="149">C$2</f>
        <v xml:space="preserve">94/95 </v>
      </c>
      <c r="D302" s="237" t="str">
        <f t="shared" si="149"/>
        <v xml:space="preserve">95/96 </v>
      </c>
      <c r="E302" s="237" t="str">
        <f t="shared" si="149"/>
        <v xml:space="preserve">96/97 </v>
      </c>
      <c r="F302" s="237" t="str">
        <f t="shared" si="149"/>
        <v xml:space="preserve">97/98 </v>
      </c>
      <c r="G302" s="237" t="str">
        <f t="shared" si="149"/>
        <v xml:space="preserve">98/99 </v>
      </c>
      <c r="H302" s="237" t="str">
        <f t="shared" si="149"/>
        <v xml:space="preserve">99/00 </v>
      </c>
      <c r="I302" s="237" t="str">
        <f t="shared" si="149"/>
        <v xml:space="preserve">00/01 </v>
      </c>
      <c r="J302" s="237" t="str">
        <f t="shared" si="149"/>
        <v xml:space="preserve">01/02 </v>
      </c>
      <c r="K302" s="237" t="str">
        <f t="shared" si="149"/>
        <v xml:space="preserve">02/03 </v>
      </c>
      <c r="L302" s="237" t="str">
        <f t="shared" si="149"/>
        <v xml:space="preserve">03/04 </v>
      </c>
      <c r="M302" s="237" t="str">
        <f t="shared" si="149"/>
        <v xml:space="preserve">04/05 </v>
      </c>
      <c r="N302" s="237" t="str">
        <f t="shared" si="149"/>
        <v xml:space="preserve">05/06 </v>
      </c>
      <c r="O302" s="237" t="str">
        <f t="shared" si="149"/>
        <v xml:space="preserve">06/07 </v>
      </c>
      <c r="P302" s="237" t="str">
        <f t="shared" si="149"/>
        <v xml:space="preserve">07/08 </v>
      </c>
      <c r="Q302" s="237" t="str">
        <f t="shared" si="149"/>
        <v xml:space="preserve">08/09 </v>
      </c>
      <c r="R302" s="237" t="str">
        <f t="shared" si="149"/>
        <v xml:space="preserve">09/10 </v>
      </c>
      <c r="S302" s="237" t="str">
        <f t="shared" si="149"/>
        <v xml:space="preserve">10/11 </v>
      </c>
      <c r="T302" s="237" t="str">
        <f t="shared" si="149"/>
        <v xml:space="preserve">11/12 </v>
      </c>
      <c r="U302" s="237" t="str">
        <f t="shared" si="149"/>
        <v xml:space="preserve">12/13 </v>
      </c>
      <c r="V302" s="237" t="str">
        <f t="shared" si="149"/>
        <v xml:space="preserve">13/14 </v>
      </c>
      <c r="W302" s="237" t="str">
        <f t="shared" si="149"/>
        <v xml:space="preserve">14/15 </v>
      </c>
      <c r="X302" s="237" t="str">
        <f t="shared" si="149"/>
        <v xml:space="preserve">15/16 </v>
      </c>
      <c r="Y302" s="237" t="str">
        <f t="shared" si="149"/>
        <v xml:space="preserve">16/17 </v>
      </c>
      <c r="Z302" s="237" t="str">
        <f t="shared" si="149"/>
        <v xml:space="preserve">17/18 </v>
      </c>
      <c r="AA302" s="237" t="str">
        <f t="shared" si="149"/>
        <v xml:space="preserve">18/19 </v>
      </c>
      <c r="AB302" s="237" t="str">
        <f t="shared" si="149"/>
        <v xml:space="preserve">19/20 </v>
      </c>
      <c r="AC302" s="237" t="str">
        <f t="shared" si="149"/>
        <v xml:space="preserve">20/21 </v>
      </c>
      <c r="AD302" s="237" t="str">
        <f t="shared" si="149"/>
        <v>21/22</v>
      </c>
      <c r="AE302" s="237" t="str">
        <f t="shared" si="149"/>
        <v>22/23</v>
      </c>
    </row>
    <row r="303" spans="1:31">
      <c r="A303" s="240" t="s">
        <v>237</v>
      </c>
      <c r="B303" s="290">
        <f>(B$314-B$32)/13+B32</f>
        <v>0</v>
      </c>
      <c r="C303" s="290">
        <f>(C$314-B$314)/13+B314</f>
        <v>0</v>
      </c>
      <c r="D303" s="290">
        <f t="shared" ref="D303:Y303" si="150">(D$314-C$314)/13+C314</f>
        <v>0</v>
      </c>
      <c r="E303" s="290">
        <f t="shared" si="150"/>
        <v>0</v>
      </c>
      <c r="F303" s="290">
        <f t="shared" si="150"/>
        <v>0</v>
      </c>
      <c r="G303" s="290">
        <f t="shared" si="150"/>
        <v>0</v>
      </c>
      <c r="H303" s="290">
        <f t="shared" si="150"/>
        <v>0</v>
      </c>
      <c r="I303" s="290">
        <f t="shared" si="150"/>
        <v>0</v>
      </c>
      <c r="J303" s="290">
        <f t="shared" si="150"/>
        <v>0</v>
      </c>
      <c r="K303" s="290">
        <f t="shared" si="150"/>
        <v>0</v>
      </c>
      <c r="L303" s="290">
        <f t="shared" si="150"/>
        <v>0</v>
      </c>
      <c r="M303" s="290">
        <f t="shared" si="150"/>
        <v>0</v>
      </c>
      <c r="N303" s="290">
        <f t="shared" si="150"/>
        <v>0</v>
      </c>
      <c r="O303" s="290">
        <f t="shared" si="150"/>
        <v>0</v>
      </c>
      <c r="P303" s="290">
        <f t="shared" si="150"/>
        <v>0</v>
      </c>
      <c r="Q303" s="290">
        <f t="shared" si="150"/>
        <v>0</v>
      </c>
      <c r="R303" s="290">
        <f t="shared" si="150"/>
        <v>0</v>
      </c>
      <c r="S303" s="290">
        <f t="shared" si="150"/>
        <v>0</v>
      </c>
      <c r="T303" s="290">
        <f t="shared" si="150"/>
        <v>0</v>
      </c>
      <c r="U303" s="290">
        <f t="shared" si="150"/>
        <v>0</v>
      </c>
      <c r="V303" s="290">
        <f t="shared" si="150"/>
        <v>0</v>
      </c>
      <c r="W303" s="290">
        <f t="shared" si="150"/>
        <v>0</v>
      </c>
      <c r="X303" s="290">
        <f t="shared" si="150"/>
        <v>0</v>
      </c>
      <c r="Y303" s="290">
        <f t="shared" si="150"/>
        <v>0</v>
      </c>
      <c r="Z303" s="252">
        <f>(Z$314-Z$314)/13+Y314</f>
        <v>0</v>
      </c>
      <c r="AA303" s="252">
        <f>(AA$314-AA$314)/13+Z314</f>
        <v>0</v>
      </c>
      <c r="AB303" s="252">
        <f>(AB$314-AB$314)/13+AA314</f>
        <v>0</v>
      </c>
      <c r="AC303" s="252">
        <f>(AC$314-AC$314)/13+AB314</f>
        <v>0</v>
      </c>
      <c r="AD303" s="252">
        <f t="shared" ref="AD303:AE303" si="151">(AD$314-AD$314)/13+AC314</f>
        <v>0</v>
      </c>
      <c r="AE303" s="252">
        <f t="shared" si="151"/>
        <v>0</v>
      </c>
    </row>
    <row r="304" spans="1:31">
      <c r="A304" s="240" t="s">
        <v>238</v>
      </c>
      <c r="B304" s="290">
        <f t="shared" ref="B304:B313" si="152">(B$314-B$32)/13+B303</f>
        <v>0</v>
      </c>
      <c r="C304" s="290">
        <f>(C$314-B$314)/13+C303</f>
        <v>0</v>
      </c>
      <c r="D304" s="290">
        <f t="shared" ref="D304:Y313" si="153">(D$314-C$314)/13+D303</f>
        <v>0</v>
      </c>
      <c r="E304" s="290">
        <f t="shared" si="153"/>
        <v>0</v>
      </c>
      <c r="F304" s="290">
        <f t="shared" si="153"/>
        <v>0</v>
      </c>
      <c r="G304" s="290">
        <f t="shared" si="153"/>
        <v>0</v>
      </c>
      <c r="H304" s="290">
        <f t="shared" si="153"/>
        <v>0</v>
      </c>
      <c r="I304" s="290">
        <f t="shared" si="153"/>
        <v>0</v>
      </c>
      <c r="J304" s="290">
        <f t="shared" si="153"/>
        <v>0</v>
      </c>
      <c r="K304" s="290">
        <f t="shared" si="153"/>
        <v>0</v>
      </c>
      <c r="L304" s="290">
        <f t="shared" si="153"/>
        <v>0</v>
      </c>
      <c r="M304" s="290">
        <f t="shared" si="153"/>
        <v>0</v>
      </c>
      <c r="N304" s="290">
        <f t="shared" si="153"/>
        <v>0</v>
      </c>
      <c r="O304" s="290">
        <f t="shared" si="153"/>
        <v>0</v>
      </c>
      <c r="P304" s="290">
        <f t="shared" si="153"/>
        <v>0</v>
      </c>
      <c r="Q304" s="290">
        <f t="shared" si="153"/>
        <v>0</v>
      </c>
      <c r="R304" s="290">
        <f t="shared" si="153"/>
        <v>0</v>
      </c>
      <c r="S304" s="290">
        <f t="shared" si="153"/>
        <v>0</v>
      </c>
      <c r="T304" s="290">
        <f t="shared" si="153"/>
        <v>0</v>
      </c>
      <c r="U304" s="290">
        <f t="shared" si="153"/>
        <v>0</v>
      </c>
      <c r="V304" s="290">
        <f t="shared" si="153"/>
        <v>0</v>
      </c>
      <c r="W304" s="290">
        <f t="shared" si="153"/>
        <v>0</v>
      </c>
      <c r="X304" s="290">
        <f t="shared" si="153"/>
        <v>0</v>
      </c>
      <c r="Y304" s="290">
        <f t="shared" si="153"/>
        <v>0</v>
      </c>
      <c r="Z304" s="252">
        <f t="shared" ref="Z304:AE313" si="154">(Z$314-Z$32)/13+Z303</f>
        <v>0</v>
      </c>
      <c r="AA304" s="252">
        <f t="shared" si="154"/>
        <v>0</v>
      </c>
      <c r="AB304" s="252">
        <f t="shared" si="154"/>
        <v>0</v>
      </c>
      <c r="AC304" s="252">
        <f t="shared" si="154"/>
        <v>0</v>
      </c>
      <c r="AD304" s="252">
        <f t="shared" si="154"/>
        <v>0</v>
      </c>
      <c r="AE304" s="252">
        <f t="shared" si="154"/>
        <v>0</v>
      </c>
    </row>
    <row r="305" spans="1:31">
      <c r="A305" s="240" t="s">
        <v>239</v>
      </c>
      <c r="B305" s="290">
        <f t="shared" si="152"/>
        <v>0</v>
      </c>
      <c r="C305" s="290">
        <f t="shared" ref="C305:C313" si="155">(C$314-B$314)/13+C304</f>
        <v>0</v>
      </c>
      <c r="D305" s="290">
        <f t="shared" si="153"/>
        <v>0</v>
      </c>
      <c r="E305" s="290">
        <f t="shared" si="153"/>
        <v>0</v>
      </c>
      <c r="F305" s="290">
        <f t="shared" si="153"/>
        <v>0</v>
      </c>
      <c r="G305" s="290">
        <f t="shared" si="153"/>
        <v>0</v>
      </c>
      <c r="H305" s="290">
        <f t="shared" si="153"/>
        <v>0</v>
      </c>
      <c r="I305" s="290">
        <f t="shared" si="153"/>
        <v>0</v>
      </c>
      <c r="J305" s="290">
        <f t="shared" si="153"/>
        <v>0</v>
      </c>
      <c r="K305" s="290">
        <f t="shared" si="153"/>
        <v>0</v>
      </c>
      <c r="L305" s="290">
        <f t="shared" si="153"/>
        <v>0</v>
      </c>
      <c r="M305" s="290">
        <f t="shared" si="153"/>
        <v>0</v>
      </c>
      <c r="N305" s="290">
        <f t="shared" si="153"/>
        <v>0</v>
      </c>
      <c r="O305" s="290">
        <f t="shared" si="153"/>
        <v>0</v>
      </c>
      <c r="P305" s="290">
        <f t="shared" si="153"/>
        <v>0</v>
      </c>
      <c r="Q305" s="290">
        <f t="shared" si="153"/>
        <v>0</v>
      </c>
      <c r="R305" s="290">
        <f t="shared" si="153"/>
        <v>0</v>
      </c>
      <c r="S305" s="290">
        <f t="shared" si="153"/>
        <v>0</v>
      </c>
      <c r="T305" s="290">
        <f t="shared" si="153"/>
        <v>0</v>
      </c>
      <c r="U305" s="290">
        <f t="shared" si="153"/>
        <v>0</v>
      </c>
      <c r="V305" s="290">
        <f t="shared" si="153"/>
        <v>0</v>
      </c>
      <c r="W305" s="290">
        <f t="shared" si="153"/>
        <v>0</v>
      </c>
      <c r="X305" s="290">
        <f t="shared" si="153"/>
        <v>0</v>
      </c>
      <c r="Y305" s="290">
        <f t="shared" si="153"/>
        <v>0</v>
      </c>
      <c r="Z305" s="252">
        <f t="shared" si="154"/>
        <v>0</v>
      </c>
      <c r="AA305" s="252">
        <f t="shared" si="154"/>
        <v>0</v>
      </c>
      <c r="AB305" s="252">
        <f t="shared" si="154"/>
        <v>0</v>
      </c>
      <c r="AC305" s="252">
        <f t="shared" si="154"/>
        <v>0</v>
      </c>
      <c r="AD305" s="252">
        <f t="shared" si="154"/>
        <v>0</v>
      </c>
      <c r="AE305" s="252">
        <f t="shared" si="154"/>
        <v>0</v>
      </c>
    </row>
    <row r="306" spans="1:31">
      <c r="A306" s="240" t="s">
        <v>240</v>
      </c>
      <c r="B306" s="290">
        <f t="shared" si="152"/>
        <v>0</v>
      </c>
      <c r="C306" s="290">
        <f t="shared" si="155"/>
        <v>0</v>
      </c>
      <c r="D306" s="290">
        <f t="shared" si="153"/>
        <v>0</v>
      </c>
      <c r="E306" s="290">
        <f t="shared" si="153"/>
        <v>0</v>
      </c>
      <c r="F306" s="290">
        <f t="shared" si="153"/>
        <v>0</v>
      </c>
      <c r="G306" s="290">
        <f t="shared" si="153"/>
        <v>0</v>
      </c>
      <c r="H306" s="290">
        <f t="shared" si="153"/>
        <v>0</v>
      </c>
      <c r="I306" s="290">
        <f t="shared" si="153"/>
        <v>0</v>
      </c>
      <c r="J306" s="290">
        <f t="shared" si="153"/>
        <v>0</v>
      </c>
      <c r="K306" s="290">
        <f t="shared" si="153"/>
        <v>0</v>
      </c>
      <c r="L306" s="290">
        <f t="shared" si="153"/>
        <v>0</v>
      </c>
      <c r="M306" s="290">
        <f t="shared" si="153"/>
        <v>0</v>
      </c>
      <c r="N306" s="290">
        <f t="shared" si="153"/>
        <v>0</v>
      </c>
      <c r="O306" s="290">
        <f t="shared" si="153"/>
        <v>0</v>
      </c>
      <c r="P306" s="290">
        <f t="shared" si="153"/>
        <v>0</v>
      </c>
      <c r="Q306" s="290">
        <f t="shared" si="153"/>
        <v>0</v>
      </c>
      <c r="R306" s="290">
        <f t="shared" si="153"/>
        <v>0</v>
      </c>
      <c r="S306" s="290">
        <f t="shared" si="153"/>
        <v>0</v>
      </c>
      <c r="T306" s="290">
        <f t="shared" si="153"/>
        <v>0</v>
      </c>
      <c r="U306" s="290">
        <f t="shared" si="153"/>
        <v>0</v>
      </c>
      <c r="V306" s="290">
        <f t="shared" si="153"/>
        <v>0</v>
      </c>
      <c r="W306" s="290">
        <f t="shared" si="153"/>
        <v>0</v>
      </c>
      <c r="X306" s="290">
        <f t="shared" si="153"/>
        <v>0</v>
      </c>
      <c r="Y306" s="290">
        <f t="shared" si="153"/>
        <v>0</v>
      </c>
      <c r="Z306" s="252">
        <f t="shared" si="154"/>
        <v>0</v>
      </c>
      <c r="AA306" s="252">
        <f t="shared" si="154"/>
        <v>0</v>
      </c>
      <c r="AB306" s="252">
        <f t="shared" si="154"/>
        <v>0</v>
      </c>
      <c r="AC306" s="252">
        <f t="shared" si="154"/>
        <v>0</v>
      </c>
      <c r="AD306" s="252">
        <f t="shared" si="154"/>
        <v>0</v>
      </c>
      <c r="AE306" s="252">
        <f t="shared" si="154"/>
        <v>0</v>
      </c>
    </row>
    <row r="307" spans="1:31">
      <c r="A307" s="240" t="s">
        <v>241</v>
      </c>
      <c r="B307" s="290">
        <f t="shared" si="152"/>
        <v>0</v>
      </c>
      <c r="C307" s="290">
        <f t="shared" si="155"/>
        <v>0</v>
      </c>
      <c r="D307" s="290">
        <f t="shared" si="153"/>
        <v>0</v>
      </c>
      <c r="E307" s="290">
        <f t="shared" si="153"/>
        <v>0</v>
      </c>
      <c r="F307" s="290">
        <f t="shared" si="153"/>
        <v>0</v>
      </c>
      <c r="G307" s="290">
        <f t="shared" si="153"/>
        <v>0</v>
      </c>
      <c r="H307" s="290">
        <f t="shared" si="153"/>
        <v>0</v>
      </c>
      <c r="I307" s="290">
        <f t="shared" si="153"/>
        <v>0</v>
      </c>
      <c r="J307" s="290">
        <f t="shared" si="153"/>
        <v>0</v>
      </c>
      <c r="K307" s="290">
        <f t="shared" si="153"/>
        <v>0</v>
      </c>
      <c r="L307" s="290">
        <f t="shared" si="153"/>
        <v>0</v>
      </c>
      <c r="M307" s="290">
        <f t="shared" si="153"/>
        <v>0</v>
      </c>
      <c r="N307" s="290">
        <f t="shared" si="153"/>
        <v>0</v>
      </c>
      <c r="O307" s="290">
        <f t="shared" si="153"/>
        <v>0</v>
      </c>
      <c r="P307" s="290">
        <f t="shared" si="153"/>
        <v>0</v>
      </c>
      <c r="Q307" s="290">
        <f t="shared" si="153"/>
        <v>0</v>
      </c>
      <c r="R307" s="290">
        <f t="shared" si="153"/>
        <v>0</v>
      </c>
      <c r="S307" s="290">
        <f t="shared" si="153"/>
        <v>0</v>
      </c>
      <c r="T307" s="290">
        <f t="shared" si="153"/>
        <v>0</v>
      </c>
      <c r="U307" s="290">
        <f t="shared" si="153"/>
        <v>0</v>
      </c>
      <c r="V307" s="290">
        <f t="shared" si="153"/>
        <v>0</v>
      </c>
      <c r="W307" s="290">
        <f t="shared" si="153"/>
        <v>0</v>
      </c>
      <c r="X307" s="290">
        <f t="shared" si="153"/>
        <v>0</v>
      </c>
      <c r="Y307" s="290">
        <f t="shared" si="153"/>
        <v>0</v>
      </c>
      <c r="Z307" s="252">
        <f t="shared" si="154"/>
        <v>0</v>
      </c>
      <c r="AA307" s="252">
        <f t="shared" si="154"/>
        <v>0</v>
      </c>
      <c r="AB307" s="252">
        <f t="shared" si="154"/>
        <v>0</v>
      </c>
      <c r="AC307" s="252">
        <f t="shared" si="154"/>
        <v>0</v>
      </c>
      <c r="AD307" s="252">
        <f t="shared" si="154"/>
        <v>0</v>
      </c>
      <c r="AE307" s="252">
        <f t="shared" si="154"/>
        <v>0</v>
      </c>
    </row>
    <row r="308" spans="1:31">
      <c r="A308" s="240" t="s">
        <v>231</v>
      </c>
      <c r="B308" s="290">
        <f t="shared" si="152"/>
        <v>0</v>
      </c>
      <c r="C308" s="290">
        <f t="shared" si="155"/>
        <v>0</v>
      </c>
      <c r="D308" s="290">
        <f t="shared" si="153"/>
        <v>0</v>
      </c>
      <c r="E308" s="290">
        <f t="shared" si="153"/>
        <v>0</v>
      </c>
      <c r="F308" s="290">
        <f t="shared" si="153"/>
        <v>0</v>
      </c>
      <c r="G308" s="290">
        <f t="shared" si="153"/>
        <v>0</v>
      </c>
      <c r="H308" s="290">
        <f t="shared" si="153"/>
        <v>0</v>
      </c>
      <c r="I308" s="290">
        <f t="shared" si="153"/>
        <v>0</v>
      </c>
      <c r="J308" s="290">
        <f t="shared" si="153"/>
        <v>0</v>
      </c>
      <c r="K308" s="290">
        <f t="shared" si="153"/>
        <v>0</v>
      </c>
      <c r="L308" s="290">
        <f t="shared" si="153"/>
        <v>0</v>
      </c>
      <c r="M308" s="290">
        <f t="shared" si="153"/>
        <v>0</v>
      </c>
      <c r="N308" s="290">
        <f t="shared" si="153"/>
        <v>0</v>
      </c>
      <c r="O308" s="290">
        <f t="shared" si="153"/>
        <v>0</v>
      </c>
      <c r="P308" s="290">
        <f t="shared" si="153"/>
        <v>0</v>
      </c>
      <c r="Q308" s="290">
        <f t="shared" si="153"/>
        <v>0</v>
      </c>
      <c r="R308" s="290">
        <f t="shared" si="153"/>
        <v>0</v>
      </c>
      <c r="S308" s="290">
        <f t="shared" si="153"/>
        <v>0</v>
      </c>
      <c r="T308" s="290">
        <f t="shared" si="153"/>
        <v>0</v>
      </c>
      <c r="U308" s="290">
        <f t="shared" si="153"/>
        <v>0</v>
      </c>
      <c r="V308" s="290">
        <f t="shared" si="153"/>
        <v>0</v>
      </c>
      <c r="W308" s="290">
        <f t="shared" si="153"/>
        <v>0</v>
      </c>
      <c r="X308" s="290">
        <f t="shared" si="153"/>
        <v>0</v>
      </c>
      <c r="Y308" s="290">
        <f t="shared" si="153"/>
        <v>0</v>
      </c>
      <c r="Z308" s="252">
        <f t="shared" si="154"/>
        <v>0</v>
      </c>
      <c r="AA308" s="252">
        <f t="shared" si="154"/>
        <v>0</v>
      </c>
      <c r="AB308" s="252">
        <f t="shared" si="154"/>
        <v>0</v>
      </c>
      <c r="AC308" s="252">
        <f t="shared" si="154"/>
        <v>0</v>
      </c>
      <c r="AD308" s="252">
        <f t="shared" si="154"/>
        <v>0</v>
      </c>
      <c r="AE308" s="252">
        <f t="shared" si="154"/>
        <v>0</v>
      </c>
    </row>
    <row r="309" spans="1:31">
      <c r="A309" s="240" t="s">
        <v>232</v>
      </c>
      <c r="B309" s="290">
        <f t="shared" si="152"/>
        <v>0</v>
      </c>
      <c r="C309" s="290">
        <f t="shared" si="155"/>
        <v>0</v>
      </c>
      <c r="D309" s="290">
        <f t="shared" si="153"/>
        <v>0</v>
      </c>
      <c r="E309" s="290">
        <f t="shared" si="153"/>
        <v>0</v>
      </c>
      <c r="F309" s="290">
        <f t="shared" si="153"/>
        <v>0</v>
      </c>
      <c r="G309" s="290">
        <f t="shared" si="153"/>
        <v>0</v>
      </c>
      <c r="H309" s="290">
        <f t="shared" si="153"/>
        <v>0</v>
      </c>
      <c r="I309" s="290">
        <f t="shared" si="153"/>
        <v>0</v>
      </c>
      <c r="J309" s="290">
        <f t="shared" si="153"/>
        <v>0</v>
      </c>
      <c r="K309" s="290">
        <f t="shared" si="153"/>
        <v>0</v>
      </c>
      <c r="L309" s="290">
        <f t="shared" si="153"/>
        <v>0</v>
      </c>
      <c r="M309" s="290">
        <f t="shared" si="153"/>
        <v>0</v>
      </c>
      <c r="N309" s="290">
        <f t="shared" si="153"/>
        <v>0</v>
      </c>
      <c r="O309" s="290">
        <f t="shared" si="153"/>
        <v>0</v>
      </c>
      <c r="P309" s="290">
        <f t="shared" si="153"/>
        <v>0</v>
      </c>
      <c r="Q309" s="290">
        <f t="shared" si="153"/>
        <v>0</v>
      </c>
      <c r="R309" s="290">
        <f t="shared" si="153"/>
        <v>0</v>
      </c>
      <c r="S309" s="290">
        <f t="shared" si="153"/>
        <v>0</v>
      </c>
      <c r="T309" s="290">
        <f t="shared" si="153"/>
        <v>0</v>
      </c>
      <c r="U309" s="290">
        <f t="shared" si="153"/>
        <v>0</v>
      </c>
      <c r="V309" s="290">
        <f t="shared" si="153"/>
        <v>0</v>
      </c>
      <c r="W309" s="290">
        <f t="shared" si="153"/>
        <v>0</v>
      </c>
      <c r="X309" s="290">
        <f t="shared" si="153"/>
        <v>0</v>
      </c>
      <c r="Y309" s="290">
        <f t="shared" si="153"/>
        <v>0</v>
      </c>
      <c r="Z309" s="252">
        <f t="shared" si="154"/>
        <v>0</v>
      </c>
      <c r="AA309" s="252">
        <f t="shared" si="154"/>
        <v>0</v>
      </c>
      <c r="AB309" s="252">
        <f t="shared" si="154"/>
        <v>0</v>
      </c>
      <c r="AC309" s="252">
        <f t="shared" si="154"/>
        <v>0</v>
      </c>
      <c r="AD309" s="252">
        <f t="shared" si="154"/>
        <v>0</v>
      </c>
      <c r="AE309" s="252">
        <f t="shared" si="154"/>
        <v>0</v>
      </c>
    </row>
    <row r="310" spans="1:31">
      <c r="A310" s="240" t="s">
        <v>233</v>
      </c>
      <c r="B310" s="290">
        <f t="shared" si="152"/>
        <v>0</v>
      </c>
      <c r="C310" s="290">
        <f t="shared" si="155"/>
        <v>0</v>
      </c>
      <c r="D310" s="290">
        <f t="shared" si="153"/>
        <v>0</v>
      </c>
      <c r="E310" s="290">
        <f t="shared" si="153"/>
        <v>0</v>
      </c>
      <c r="F310" s="290">
        <f t="shared" si="153"/>
        <v>0</v>
      </c>
      <c r="G310" s="290">
        <f t="shared" si="153"/>
        <v>0</v>
      </c>
      <c r="H310" s="290">
        <f t="shared" si="153"/>
        <v>0</v>
      </c>
      <c r="I310" s="290">
        <f t="shared" si="153"/>
        <v>0</v>
      </c>
      <c r="J310" s="290">
        <f t="shared" si="153"/>
        <v>0</v>
      </c>
      <c r="K310" s="290">
        <f t="shared" si="153"/>
        <v>0</v>
      </c>
      <c r="L310" s="290">
        <f t="shared" si="153"/>
        <v>0</v>
      </c>
      <c r="M310" s="290">
        <f t="shared" si="153"/>
        <v>0</v>
      </c>
      <c r="N310" s="290">
        <f t="shared" si="153"/>
        <v>0</v>
      </c>
      <c r="O310" s="290">
        <f t="shared" si="153"/>
        <v>0</v>
      </c>
      <c r="P310" s="290">
        <f t="shared" si="153"/>
        <v>0</v>
      </c>
      <c r="Q310" s="290">
        <f t="shared" si="153"/>
        <v>0</v>
      </c>
      <c r="R310" s="290">
        <f t="shared" si="153"/>
        <v>0</v>
      </c>
      <c r="S310" s="290">
        <f t="shared" si="153"/>
        <v>0</v>
      </c>
      <c r="T310" s="290">
        <f t="shared" si="153"/>
        <v>0</v>
      </c>
      <c r="U310" s="290">
        <f t="shared" si="153"/>
        <v>0</v>
      </c>
      <c r="V310" s="290">
        <f t="shared" si="153"/>
        <v>0</v>
      </c>
      <c r="W310" s="290">
        <f t="shared" si="153"/>
        <v>0</v>
      </c>
      <c r="X310" s="290">
        <f t="shared" si="153"/>
        <v>0</v>
      </c>
      <c r="Y310" s="290">
        <f t="shared" si="153"/>
        <v>0</v>
      </c>
      <c r="Z310" s="252">
        <f t="shared" si="154"/>
        <v>0</v>
      </c>
      <c r="AA310" s="252">
        <f t="shared" si="154"/>
        <v>0</v>
      </c>
      <c r="AB310" s="252">
        <f t="shared" si="154"/>
        <v>0</v>
      </c>
      <c r="AC310" s="252">
        <f t="shared" si="154"/>
        <v>0</v>
      </c>
      <c r="AD310" s="252">
        <f t="shared" si="154"/>
        <v>0</v>
      </c>
      <c r="AE310" s="252">
        <f t="shared" si="154"/>
        <v>0</v>
      </c>
    </row>
    <row r="311" spans="1:31">
      <c r="A311" s="240" t="s">
        <v>234</v>
      </c>
      <c r="B311" s="290">
        <f t="shared" si="152"/>
        <v>0</v>
      </c>
      <c r="C311" s="290">
        <f t="shared" si="155"/>
        <v>0</v>
      </c>
      <c r="D311" s="290">
        <f t="shared" si="153"/>
        <v>0</v>
      </c>
      <c r="E311" s="290">
        <f t="shared" si="153"/>
        <v>0</v>
      </c>
      <c r="F311" s="290">
        <f t="shared" si="153"/>
        <v>0</v>
      </c>
      <c r="G311" s="290">
        <f t="shared" si="153"/>
        <v>0</v>
      </c>
      <c r="H311" s="290">
        <f t="shared" si="153"/>
        <v>0</v>
      </c>
      <c r="I311" s="290">
        <f t="shared" si="153"/>
        <v>0</v>
      </c>
      <c r="J311" s="290">
        <f t="shared" si="153"/>
        <v>0</v>
      </c>
      <c r="K311" s="290">
        <f t="shared" si="153"/>
        <v>0</v>
      </c>
      <c r="L311" s="290">
        <f t="shared" si="153"/>
        <v>0</v>
      </c>
      <c r="M311" s="290">
        <f t="shared" si="153"/>
        <v>0</v>
      </c>
      <c r="N311" s="290">
        <f t="shared" si="153"/>
        <v>0</v>
      </c>
      <c r="O311" s="290">
        <f t="shared" si="153"/>
        <v>0</v>
      </c>
      <c r="P311" s="290">
        <f t="shared" si="153"/>
        <v>0</v>
      </c>
      <c r="Q311" s="290">
        <f t="shared" si="153"/>
        <v>0</v>
      </c>
      <c r="R311" s="290">
        <f t="shared" si="153"/>
        <v>0</v>
      </c>
      <c r="S311" s="290">
        <f t="shared" si="153"/>
        <v>0</v>
      </c>
      <c r="T311" s="290">
        <f t="shared" si="153"/>
        <v>0</v>
      </c>
      <c r="U311" s="290">
        <f t="shared" si="153"/>
        <v>0</v>
      </c>
      <c r="V311" s="290">
        <f t="shared" si="153"/>
        <v>0</v>
      </c>
      <c r="W311" s="290">
        <f t="shared" si="153"/>
        <v>0</v>
      </c>
      <c r="X311" s="290">
        <f t="shared" si="153"/>
        <v>0</v>
      </c>
      <c r="Y311" s="290">
        <f t="shared" si="153"/>
        <v>0</v>
      </c>
      <c r="Z311" s="252">
        <f t="shared" si="154"/>
        <v>0</v>
      </c>
      <c r="AA311" s="252">
        <f t="shared" si="154"/>
        <v>0</v>
      </c>
      <c r="AB311" s="252">
        <f t="shared" si="154"/>
        <v>0</v>
      </c>
      <c r="AC311" s="252">
        <f t="shared" si="154"/>
        <v>0</v>
      </c>
      <c r="AD311" s="252">
        <f t="shared" si="154"/>
        <v>0</v>
      </c>
      <c r="AE311" s="252">
        <f t="shared" si="154"/>
        <v>0</v>
      </c>
    </row>
    <row r="312" spans="1:31">
      <c r="A312" s="240" t="s">
        <v>46</v>
      </c>
      <c r="B312" s="290">
        <f t="shared" si="152"/>
        <v>0</v>
      </c>
      <c r="C312" s="290">
        <f t="shared" si="155"/>
        <v>0</v>
      </c>
      <c r="D312" s="290">
        <f t="shared" si="153"/>
        <v>0</v>
      </c>
      <c r="E312" s="290">
        <f t="shared" si="153"/>
        <v>0</v>
      </c>
      <c r="F312" s="290">
        <f t="shared" si="153"/>
        <v>0</v>
      </c>
      <c r="G312" s="290">
        <f t="shared" si="153"/>
        <v>0</v>
      </c>
      <c r="H312" s="290">
        <f t="shared" si="153"/>
        <v>0</v>
      </c>
      <c r="I312" s="290">
        <f t="shared" si="153"/>
        <v>0</v>
      </c>
      <c r="J312" s="290">
        <f t="shared" si="153"/>
        <v>0</v>
      </c>
      <c r="K312" s="290">
        <f t="shared" si="153"/>
        <v>0</v>
      </c>
      <c r="L312" s="290">
        <f t="shared" si="153"/>
        <v>0</v>
      </c>
      <c r="M312" s="290">
        <f t="shared" si="153"/>
        <v>0</v>
      </c>
      <c r="N312" s="290">
        <f t="shared" si="153"/>
        <v>0</v>
      </c>
      <c r="O312" s="290">
        <f t="shared" si="153"/>
        <v>0</v>
      </c>
      <c r="P312" s="290">
        <f t="shared" si="153"/>
        <v>0</v>
      </c>
      <c r="Q312" s="290">
        <f t="shared" si="153"/>
        <v>0</v>
      </c>
      <c r="R312" s="290">
        <f t="shared" si="153"/>
        <v>0</v>
      </c>
      <c r="S312" s="290">
        <f t="shared" si="153"/>
        <v>0</v>
      </c>
      <c r="T312" s="290">
        <f t="shared" si="153"/>
        <v>0</v>
      </c>
      <c r="U312" s="290">
        <f t="shared" si="153"/>
        <v>0</v>
      </c>
      <c r="V312" s="290">
        <f t="shared" si="153"/>
        <v>0</v>
      </c>
      <c r="W312" s="290">
        <f t="shared" si="153"/>
        <v>0</v>
      </c>
      <c r="X312" s="290">
        <f t="shared" si="153"/>
        <v>0</v>
      </c>
      <c r="Y312" s="290">
        <f t="shared" si="153"/>
        <v>0</v>
      </c>
      <c r="Z312" s="252">
        <f t="shared" si="154"/>
        <v>0</v>
      </c>
      <c r="AA312" s="252">
        <f t="shared" si="154"/>
        <v>0</v>
      </c>
      <c r="AB312" s="252">
        <f t="shared" si="154"/>
        <v>0</v>
      </c>
      <c r="AC312" s="252">
        <f t="shared" si="154"/>
        <v>0</v>
      </c>
      <c r="AD312" s="252">
        <f t="shared" si="154"/>
        <v>0</v>
      </c>
      <c r="AE312" s="252">
        <f t="shared" si="154"/>
        <v>0</v>
      </c>
    </row>
    <row r="313" spans="1:31">
      <c r="A313" s="240" t="s">
        <v>235</v>
      </c>
      <c r="B313" s="290">
        <f t="shared" si="152"/>
        <v>0</v>
      </c>
      <c r="C313" s="290">
        <f t="shared" si="155"/>
        <v>0</v>
      </c>
      <c r="D313" s="290">
        <f t="shared" si="153"/>
        <v>0</v>
      </c>
      <c r="E313" s="290">
        <f t="shared" si="153"/>
        <v>0</v>
      </c>
      <c r="F313" s="290">
        <f t="shared" si="153"/>
        <v>0</v>
      </c>
      <c r="G313" s="290">
        <f t="shared" si="153"/>
        <v>0</v>
      </c>
      <c r="H313" s="290">
        <f t="shared" si="153"/>
        <v>0</v>
      </c>
      <c r="I313" s="290">
        <f t="shared" si="153"/>
        <v>0</v>
      </c>
      <c r="J313" s="290">
        <f t="shared" si="153"/>
        <v>0</v>
      </c>
      <c r="K313" s="290">
        <f t="shared" si="153"/>
        <v>0</v>
      </c>
      <c r="L313" s="290">
        <f t="shared" si="153"/>
        <v>0</v>
      </c>
      <c r="M313" s="290">
        <f t="shared" si="153"/>
        <v>0</v>
      </c>
      <c r="N313" s="290">
        <f t="shared" si="153"/>
        <v>0</v>
      </c>
      <c r="O313" s="290">
        <f t="shared" si="153"/>
        <v>0</v>
      </c>
      <c r="P313" s="290">
        <f t="shared" si="153"/>
        <v>0</v>
      </c>
      <c r="Q313" s="290">
        <f t="shared" si="153"/>
        <v>0</v>
      </c>
      <c r="R313" s="290">
        <f t="shared" si="153"/>
        <v>0</v>
      </c>
      <c r="S313" s="290">
        <f t="shared" si="153"/>
        <v>0</v>
      </c>
      <c r="T313" s="290">
        <f t="shared" si="153"/>
        <v>0</v>
      </c>
      <c r="U313" s="290">
        <f t="shared" si="153"/>
        <v>0</v>
      </c>
      <c r="V313" s="290">
        <f t="shared" si="153"/>
        <v>0</v>
      </c>
      <c r="W313" s="290">
        <f t="shared" si="153"/>
        <v>0</v>
      </c>
      <c r="X313" s="290">
        <f t="shared" si="153"/>
        <v>0</v>
      </c>
      <c r="Y313" s="290">
        <f t="shared" si="153"/>
        <v>0</v>
      </c>
      <c r="Z313" s="252">
        <f t="shared" si="154"/>
        <v>0</v>
      </c>
      <c r="AA313" s="252">
        <f t="shared" si="154"/>
        <v>0</v>
      </c>
      <c r="AB313" s="252">
        <f t="shared" si="154"/>
        <v>0</v>
      </c>
      <c r="AC313" s="252">
        <f t="shared" si="154"/>
        <v>0</v>
      </c>
      <c r="AD313" s="252">
        <f t="shared" si="154"/>
        <v>0</v>
      </c>
      <c r="AE313" s="252">
        <f t="shared" si="154"/>
        <v>0</v>
      </c>
    </row>
    <row r="314" spans="1:31" ht="15.75" thickBot="1">
      <c r="A314" s="240" t="s">
        <v>236</v>
      </c>
      <c r="B314" s="146">
        <f>B42</f>
        <v>0</v>
      </c>
      <c r="C314" s="146">
        <f t="shared" ref="C314:AE314" si="156">C42</f>
        <v>0</v>
      </c>
      <c r="D314" s="146">
        <f t="shared" si="156"/>
        <v>0</v>
      </c>
      <c r="E314" s="146">
        <f t="shared" si="156"/>
        <v>0</v>
      </c>
      <c r="F314" s="146">
        <f t="shared" si="156"/>
        <v>0</v>
      </c>
      <c r="G314" s="146">
        <f t="shared" si="156"/>
        <v>0</v>
      </c>
      <c r="H314" s="146">
        <f t="shared" si="156"/>
        <v>0</v>
      </c>
      <c r="I314" s="146">
        <f t="shared" si="156"/>
        <v>0</v>
      </c>
      <c r="J314" s="146">
        <f t="shared" si="156"/>
        <v>0</v>
      </c>
      <c r="K314" s="146">
        <f t="shared" si="156"/>
        <v>0</v>
      </c>
      <c r="L314" s="146">
        <f t="shared" si="156"/>
        <v>0</v>
      </c>
      <c r="M314" s="146">
        <f t="shared" si="156"/>
        <v>0</v>
      </c>
      <c r="N314" s="146">
        <f t="shared" si="156"/>
        <v>0</v>
      </c>
      <c r="O314" s="146">
        <f t="shared" si="156"/>
        <v>0</v>
      </c>
      <c r="P314" s="146">
        <f t="shared" si="156"/>
        <v>0</v>
      </c>
      <c r="Q314" s="146">
        <f t="shared" si="156"/>
        <v>0</v>
      </c>
      <c r="R314" s="146">
        <f t="shared" si="156"/>
        <v>0</v>
      </c>
      <c r="S314" s="146">
        <f t="shared" si="156"/>
        <v>0</v>
      </c>
      <c r="T314" s="146">
        <f t="shared" si="156"/>
        <v>0</v>
      </c>
      <c r="U314" s="146">
        <f t="shared" si="156"/>
        <v>0</v>
      </c>
      <c r="V314" s="146">
        <f t="shared" si="156"/>
        <v>0</v>
      </c>
      <c r="W314" s="146">
        <f t="shared" si="156"/>
        <v>0</v>
      </c>
      <c r="X314" s="146">
        <f t="shared" si="156"/>
        <v>0</v>
      </c>
      <c r="Y314" s="146">
        <f t="shared" si="156"/>
        <v>0</v>
      </c>
      <c r="Z314" s="253">
        <f t="shared" si="156"/>
        <v>0</v>
      </c>
      <c r="AA314" s="253">
        <f t="shared" si="156"/>
        <v>0</v>
      </c>
      <c r="AB314" s="253">
        <f t="shared" si="156"/>
        <v>0</v>
      </c>
      <c r="AC314" s="253">
        <f t="shared" si="156"/>
        <v>0</v>
      </c>
      <c r="AD314" s="253">
        <f t="shared" si="156"/>
        <v>0</v>
      </c>
      <c r="AE314" s="253">
        <f t="shared" si="156"/>
        <v>0</v>
      </c>
    </row>
    <row r="315" spans="1:31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  <c r="AE315" s="248"/>
    </row>
    <row r="316" spans="1:31" ht="15.75" thickBot="1">
      <c r="A316" s="235" t="s">
        <v>270</v>
      </c>
    </row>
    <row r="317" spans="1:31" ht="15.75" thickBot="1">
      <c r="A317" s="236"/>
      <c r="B317" s="237" t="str">
        <f>B$2</f>
        <v xml:space="preserve">93/94 </v>
      </c>
      <c r="C317" s="237" t="str">
        <f t="shared" ref="C317:AE317" si="157">C$2</f>
        <v xml:space="preserve">94/95 </v>
      </c>
      <c r="D317" s="237" t="str">
        <f t="shared" si="157"/>
        <v xml:space="preserve">95/96 </v>
      </c>
      <c r="E317" s="237" t="str">
        <f t="shared" si="157"/>
        <v xml:space="preserve">96/97 </v>
      </c>
      <c r="F317" s="237" t="str">
        <f t="shared" si="157"/>
        <v xml:space="preserve">97/98 </v>
      </c>
      <c r="G317" s="237" t="str">
        <f t="shared" si="157"/>
        <v xml:space="preserve">98/99 </v>
      </c>
      <c r="H317" s="237" t="str">
        <f t="shared" si="157"/>
        <v xml:space="preserve">99/00 </v>
      </c>
      <c r="I317" s="237" t="str">
        <f t="shared" si="157"/>
        <v xml:space="preserve">00/01 </v>
      </c>
      <c r="J317" s="237" t="str">
        <f t="shared" si="157"/>
        <v xml:space="preserve">01/02 </v>
      </c>
      <c r="K317" s="237" t="str">
        <f t="shared" si="157"/>
        <v xml:space="preserve">02/03 </v>
      </c>
      <c r="L317" s="237" t="str">
        <f t="shared" si="157"/>
        <v xml:space="preserve">03/04 </v>
      </c>
      <c r="M317" s="237" t="str">
        <f t="shared" si="157"/>
        <v xml:space="preserve">04/05 </v>
      </c>
      <c r="N317" s="237" t="str">
        <f t="shared" si="157"/>
        <v xml:space="preserve">05/06 </v>
      </c>
      <c r="O317" s="237" t="str">
        <f t="shared" si="157"/>
        <v xml:space="preserve">06/07 </v>
      </c>
      <c r="P317" s="237" t="str">
        <f t="shared" si="157"/>
        <v xml:space="preserve">07/08 </v>
      </c>
      <c r="Q317" s="237" t="str">
        <f t="shared" si="157"/>
        <v xml:space="preserve">08/09 </v>
      </c>
      <c r="R317" s="237" t="str">
        <f t="shared" si="157"/>
        <v xml:space="preserve">09/10 </v>
      </c>
      <c r="S317" s="237" t="str">
        <f t="shared" si="157"/>
        <v xml:space="preserve">10/11 </v>
      </c>
      <c r="T317" s="237" t="str">
        <f t="shared" si="157"/>
        <v xml:space="preserve">11/12 </v>
      </c>
      <c r="U317" s="237" t="str">
        <f t="shared" si="157"/>
        <v xml:space="preserve">12/13 </v>
      </c>
      <c r="V317" s="237" t="str">
        <f t="shared" si="157"/>
        <v xml:space="preserve">13/14 </v>
      </c>
      <c r="W317" s="237" t="str">
        <f t="shared" si="157"/>
        <v xml:space="preserve">14/15 </v>
      </c>
      <c r="X317" s="237" t="str">
        <f t="shared" si="157"/>
        <v xml:space="preserve">15/16 </v>
      </c>
      <c r="Y317" s="237" t="str">
        <f t="shared" si="157"/>
        <v xml:space="preserve">16/17 </v>
      </c>
      <c r="Z317" s="237" t="str">
        <f t="shared" si="157"/>
        <v xml:space="preserve">17/18 </v>
      </c>
      <c r="AA317" s="237" t="str">
        <f t="shared" si="157"/>
        <v xml:space="preserve">18/19 </v>
      </c>
      <c r="AB317" s="237" t="str">
        <f t="shared" si="157"/>
        <v xml:space="preserve">19/20 </v>
      </c>
      <c r="AC317" s="237" t="str">
        <f t="shared" si="157"/>
        <v xml:space="preserve">20/21 </v>
      </c>
      <c r="AD317" s="237" t="str">
        <f t="shared" si="157"/>
        <v>21/22</v>
      </c>
      <c r="AE317" s="237" t="str">
        <f t="shared" si="157"/>
        <v>22/23</v>
      </c>
    </row>
    <row r="318" spans="1:31">
      <c r="A318" s="240" t="s">
        <v>237</v>
      </c>
    </row>
    <row r="319" spans="1:31">
      <c r="A319" s="240" t="s">
        <v>238</v>
      </c>
    </row>
    <row r="320" spans="1:31">
      <c r="A320" s="240" t="s">
        <v>239</v>
      </c>
    </row>
    <row r="321" spans="1:31">
      <c r="A321" s="240" t="s">
        <v>240</v>
      </c>
    </row>
    <row r="322" spans="1:31">
      <c r="A322" s="240" t="s">
        <v>241</v>
      </c>
    </row>
    <row r="323" spans="1:31">
      <c r="A323" s="240" t="s">
        <v>231</v>
      </c>
    </row>
    <row r="324" spans="1:31">
      <c r="A324" s="240" t="s">
        <v>232</v>
      </c>
    </row>
    <row r="325" spans="1:31">
      <c r="A325" s="240" t="s">
        <v>233</v>
      </c>
    </row>
    <row r="326" spans="1:31">
      <c r="A326" s="240" t="s">
        <v>234</v>
      </c>
    </row>
    <row r="327" spans="1:31">
      <c r="A327" s="240" t="s">
        <v>46</v>
      </c>
    </row>
    <row r="328" spans="1:31">
      <c r="A328" s="240" t="s">
        <v>235</v>
      </c>
    </row>
    <row r="329" spans="1:31">
      <c r="A329" s="240" t="s">
        <v>236</v>
      </c>
    </row>
    <row r="330" spans="1:31" ht="15.75" thickBot="1">
      <c r="A330" s="240" t="s">
        <v>255</v>
      </c>
    </row>
    <row r="331" spans="1:31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  <c r="AD331" s="248"/>
      <c r="AE331" s="24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054C-91A2-4CE6-AF88-DF6895924E78}">
  <dimension ref="A1:BM331"/>
  <sheetViews>
    <sheetView zoomScaleNormal="100" workbookViewId="0">
      <pane xSplit="1" ySplit="2" topLeftCell="W251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2" customWidth="1"/>
    <col min="32" max="33" width="11" customWidth="1"/>
    <col min="34" max="34" width="11.28515625" bestFit="1" customWidth="1"/>
    <col min="35" max="35" width="9.85546875" style="201" bestFit="1" customWidth="1"/>
  </cols>
  <sheetData>
    <row r="1" spans="1:65" ht="18.75" thickBot="1">
      <c r="A1" s="199" t="s">
        <v>415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300"/>
      <c r="AG1" s="300"/>
      <c r="AH1" s="390"/>
      <c r="AI1" s="282"/>
      <c r="AJ1" s="300"/>
      <c r="AK1" s="300"/>
      <c r="AL1" s="302"/>
      <c r="AN1" s="300"/>
      <c r="AO1" s="303"/>
      <c r="AQ1" s="303"/>
      <c r="AR1" s="300"/>
      <c r="AS1" s="300"/>
      <c r="AT1" s="300"/>
    </row>
    <row r="2" spans="1:65" ht="15.75" thickBot="1">
      <c r="A2" s="202"/>
      <c r="B2" s="203" t="s">
        <v>272</v>
      </c>
      <c r="C2" s="204" t="s">
        <v>273</v>
      </c>
      <c r="D2" s="203" t="s">
        <v>274</v>
      </c>
      <c r="E2" s="204" t="s">
        <v>275</v>
      </c>
      <c r="F2" s="203" t="s">
        <v>276</v>
      </c>
      <c r="G2" s="204" t="s">
        <v>277</v>
      </c>
      <c r="H2" s="203" t="s">
        <v>278</v>
      </c>
      <c r="I2" s="204" t="s">
        <v>279</v>
      </c>
      <c r="J2" s="203" t="s">
        <v>280</v>
      </c>
      <c r="K2" s="204" t="s">
        <v>281</v>
      </c>
      <c r="L2" s="203" t="s">
        <v>282</v>
      </c>
      <c r="M2" s="204" t="s">
        <v>283</v>
      </c>
      <c r="N2" s="203" t="s">
        <v>284</v>
      </c>
      <c r="O2" s="204" t="s">
        <v>285</v>
      </c>
      <c r="P2" s="203" t="s">
        <v>286</v>
      </c>
      <c r="Q2" s="204" t="s">
        <v>287</v>
      </c>
      <c r="R2" s="203" t="s">
        <v>288</v>
      </c>
      <c r="S2" s="204" t="s">
        <v>289</v>
      </c>
      <c r="T2" s="203" t="s">
        <v>290</v>
      </c>
      <c r="U2" s="204" t="s">
        <v>291</v>
      </c>
      <c r="V2" s="203" t="s">
        <v>292</v>
      </c>
      <c r="W2" s="204" t="s">
        <v>293</v>
      </c>
      <c r="X2" s="203" t="s">
        <v>294</v>
      </c>
      <c r="Y2" s="204" t="s">
        <v>295</v>
      </c>
      <c r="Z2" s="203" t="s">
        <v>296</v>
      </c>
      <c r="AA2" s="204" t="s">
        <v>297</v>
      </c>
      <c r="AB2" s="204" t="s">
        <v>298</v>
      </c>
      <c r="AC2" s="204" t="s">
        <v>299</v>
      </c>
      <c r="AD2" s="204" t="s">
        <v>373</v>
      </c>
      <c r="AE2" s="204" t="s">
        <v>374</v>
      </c>
      <c r="AF2" s="392"/>
      <c r="AG2" s="392"/>
      <c r="AH2" s="201" t="s">
        <v>327</v>
      </c>
      <c r="AI2" s="201" t="s">
        <v>328</v>
      </c>
      <c r="AJ2" s="201" t="s">
        <v>329</v>
      </c>
      <c r="AK2" s="302"/>
      <c r="AO2" s="302"/>
      <c r="AQ2" s="302"/>
      <c r="AR2" s="302"/>
      <c r="AS2" s="302"/>
      <c r="AT2" s="302"/>
    </row>
    <row r="3" spans="1:65" ht="16.5">
      <c r="A3" s="3" t="s">
        <v>416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F3" s="377"/>
      <c r="AG3" s="377"/>
      <c r="AH3" s="379"/>
      <c r="AJ3" s="399"/>
      <c r="AK3" s="379"/>
      <c r="AL3" s="379"/>
      <c r="AM3" s="379"/>
      <c r="AN3" s="379"/>
      <c r="AO3" s="379"/>
      <c r="AP3" s="379"/>
      <c r="AQ3" s="379"/>
      <c r="AR3" s="379"/>
      <c r="AS3" s="379"/>
      <c r="AT3" s="379"/>
      <c r="AU3" s="379"/>
      <c r="AV3" s="379"/>
      <c r="AW3" s="379"/>
      <c r="AX3" s="379"/>
      <c r="AY3" s="379"/>
      <c r="AZ3" s="379"/>
      <c r="BA3" s="379"/>
      <c r="BB3" s="379"/>
      <c r="BC3" s="379"/>
      <c r="BD3" s="379"/>
      <c r="BE3" s="379"/>
      <c r="BF3" s="379"/>
      <c r="BG3" s="379"/>
      <c r="BH3" s="379"/>
      <c r="BI3" s="379"/>
      <c r="BJ3" s="379"/>
      <c r="BK3" s="379"/>
      <c r="BL3" s="379"/>
      <c r="BM3" s="379"/>
    </row>
    <row r="4" spans="1:65">
      <c r="A4" s="3" t="s">
        <v>213</v>
      </c>
      <c r="B4" s="207">
        <f>B5/0.97</f>
        <v>3.0927835051546393</v>
      </c>
      <c r="C4" s="207">
        <f t="shared" ref="C4:Z4" si="0">C5/0.97</f>
        <v>3.0927835051546393</v>
      </c>
      <c r="D4" s="207">
        <f t="shared" si="0"/>
        <v>6.1855670103092786</v>
      </c>
      <c r="E4" s="207">
        <f t="shared" si="0"/>
        <v>6.1855670103092786</v>
      </c>
      <c r="F4" s="207">
        <f t="shared" si="0"/>
        <v>6.1855670103092786</v>
      </c>
      <c r="G4" s="207">
        <f t="shared" si="0"/>
        <v>1.0309278350515465</v>
      </c>
      <c r="H4" s="207">
        <f t="shared" si="0"/>
        <v>1.0309278350515465</v>
      </c>
      <c r="I4" s="207">
        <f t="shared" si="0"/>
        <v>1.0309278350515465</v>
      </c>
      <c r="J4" s="207">
        <f t="shared" si="0"/>
        <v>1.0309278350515465</v>
      </c>
      <c r="K4" s="207">
        <f t="shared" si="0"/>
        <v>1.0309278350515465</v>
      </c>
      <c r="L4" s="207">
        <f t="shared" si="0"/>
        <v>1.0309278350515465</v>
      </c>
      <c r="M4" s="207">
        <f t="shared" si="0"/>
        <v>1.0309278350515465</v>
      </c>
      <c r="N4" s="207">
        <f t="shared" si="0"/>
        <v>1.0309278350515465</v>
      </c>
      <c r="O4" s="207">
        <f t="shared" si="0"/>
        <v>1.0309278350515465</v>
      </c>
      <c r="P4" s="207">
        <f t="shared" si="0"/>
        <v>1.0309278350515465</v>
      </c>
      <c r="Q4" s="207">
        <f t="shared" si="0"/>
        <v>1.0309278350515465</v>
      </c>
      <c r="R4" s="207">
        <f t="shared" si="0"/>
        <v>1.0309278350515465</v>
      </c>
      <c r="S4" s="207">
        <f t="shared" si="0"/>
        <v>2.061855670103093</v>
      </c>
      <c r="T4" s="207">
        <f t="shared" si="0"/>
        <v>2.061855670103093</v>
      </c>
      <c r="U4" s="207">
        <f t="shared" si="0"/>
        <v>1.0309278350515465</v>
      </c>
      <c r="V4" s="207">
        <f t="shared" si="0"/>
        <v>4.123711340206186</v>
      </c>
      <c r="W4" s="207">
        <f t="shared" si="0"/>
        <v>16.494845360824744</v>
      </c>
      <c r="X4" s="207">
        <f t="shared" si="0"/>
        <v>11.340206185567011</v>
      </c>
      <c r="Y4" s="207">
        <f t="shared" si="0"/>
        <v>9.2783505154639183</v>
      </c>
      <c r="Z4" s="207">
        <f t="shared" si="0"/>
        <v>6.1855670103092786</v>
      </c>
      <c r="AA4" s="207">
        <f>(AA5/(SUM(C5:Z5)/SUM(C4:Z4)))</f>
        <v>6.1855670103092804</v>
      </c>
      <c r="AB4" s="207">
        <f t="shared" ref="AB4:AC4" si="1">(AB5/(SUM(D5:AA5)/SUM(D4:AA4)))</f>
        <v>3.0927835051546402</v>
      </c>
      <c r="AC4" s="207">
        <f t="shared" si="1"/>
        <v>9.2783505154639201</v>
      </c>
      <c r="AD4" s="208">
        <f t="shared" ref="AD4" si="2">(AD5/(SUM(F5:AC5)/SUM(F4:AC4)))</f>
        <v>6.1855670103092795</v>
      </c>
      <c r="AE4" s="208">
        <f t="shared" ref="AE4" si="3">(AE5/(SUM(G5:AD5)/SUM(G4:AD4)))</f>
        <v>6.1958762886598331</v>
      </c>
      <c r="AF4" s="208">
        <f>(AF5/(SUM(H5:AE5)/SUM(H4:AE4)))</f>
        <v>8.537731958762917</v>
      </c>
      <c r="AG4" s="208"/>
      <c r="AH4" s="403"/>
      <c r="AJ4" s="209"/>
      <c r="AK4" s="403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6"/>
    </row>
    <row r="5" spans="1:65">
      <c r="A5" s="3" t="s">
        <v>2</v>
      </c>
      <c r="B5" s="207">
        <v>3</v>
      </c>
      <c r="C5" s="207">
        <v>3</v>
      </c>
      <c r="D5" s="207">
        <v>6</v>
      </c>
      <c r="E5" s="207">
        <v>6</v>
      </c>
      <c r="F5" s="207">
        <v>6</v>
      </c>
      <c r="G5" s="207">
        <v>1</v>
      </c>
      <c r="H5" s="207">
        <v>1</v>
      </c>
      <c r="I5" s="207">
        <v>1</v>
      </c>
      <c r="J5" s="207">
        <v>1</v>
      </c>
      <c r="K5" s="207">
        <v>1</v>
      </c>
      <c r="L5" s="207">
        <v>1</v>
      </c>
      <c r="M5" s="207">
        <v>1</v>
      </c>
      <c r="N5" s="207">
        <v>1</v>
      </c>
      <c r="O5" s="207">
        <v>1</v>
      </c>
      <c r="P5" s="207">
        <v>1</v>
      </c>
      <c r="Q5" s="207">
        <v>1</v>
      </c>
      <c r="R5" s="207">
        <v>1</v>
      </c>
      <c r="S5" s="207">
        <v>2</v>
      </c>
      <c r="T5" s="207">
        <v>2</v>
      </c>
      <c r="U5" s="207">
        <v>1</v>
      </c>
      <c r="V5" s="207">
        <v>4</v>
      </c>
      <c r="W5" s="207">
        <v>16</v>
      </c>
      <c r="X5" s="207">
        <v>11</v>
      </c>
      <c r="Y5" s="207">
        <v>9</v>
      </c>
      <c r="Z5" s="207">
        <v>6</v>
      </c>
      <c r="AA5" s="210">
        <v>6</v>
      </c>
      <c r="AB5" s="210">
        <v>3</v>
      </c>
      <c r="AC5" s="210">
        <v>9</v>
      </c>
      <c r="AD5" s="211">
        <v>6</v>
      </c>
      <c r="AE5" s="211">
        <f>FORECAST(AE45,F5:AD5,F45:AD45)-1.7</f>
        <v>6.0100000000000362</v>
      </c>
      <c r="AF5" s="211">
        <f>FORECAST(AF45,G5:AE5,G45:AE45)</f>
        <v>8.2816000000000258</v>
      </c>
      <c r="AG5" s="211"/>
      <c r="AH5" s="223">
        <v>3</v>
      </c>
      <c r="AI5" s="223">
        <v>9</v>
      </c>
      <c r="AJ5" s="223">
        <v>6</v>
      </c>
      <c r="AK5" s="403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</row>
    <row r="6" spans="1:65" s="219" customFormat="1">
      <c r="A6" s="214" t="s">
        <v>214</v>
      </c>
      <c r="B6" s="215">
        <f>B5/B4</f>
        <v>0.97</v>
      </c>
      <c r="C6" s="215">
        <f t="shared" ref="C6:AE6" si="4">C5/C4</f>
        <v>0.97</v>
      </c>
      <c r="D6" s="215">
        <f t="shared" si="4"/>
        <v>0.97</v>
      </c>
      <c r="E6" s="215">
        <f t="shared" si="4"/>
        <v>0.97</v>
      </c>
      <c r="F6" s="215">
        <f t="shared" si="4"/>
        <v>0.97</v>
      </c>
      <c r="G6" s="215">
        <f t="shared" si="4"/>
        <v>0.96999999999999986</v>
      </c>
      <c r="H6" s="215">
        <f t="shared" si="4"/>
        <v>0.96999999999999986</v>
      </c>
      <c r="I6" s="215">
        <f t="shared" si="4"/>
        <v>0.96999999999999986</v>
      </c>
      <c r="J6" s="215">
        <f t="shared" si="4"/>
        <v>0.96999999999999986</v>
      </c>
      <c r="K6" s="215">
        <f t="shared" si="4"/>
        <v>0.96999999999999986</v>
      </c>
      <c r="L6" s="215">
        <f t="shared" si="4"/>
        <v>0.96999999999999986</v>
      </c>
      <c r="M6" s="215">
        <f t="shared" si="4"/>
        <v>0.96999999999999986</v>
      </c>
      <c r="N6" s="215">
        <f t="shared" si="4"/>
        <v>0.96999999999999986</v>
      </c>
      <c r="O6" s="215">
        <f t="shared" si="4"/>
        <v>0.96999999999999986</v>
      </c>
      <c r="P6" s="215">
        <f t="shared" si="4"/>
        <v>0.96999999999999986</v>
      </c>
      <c r="Q6" s="215">
        <f t="shared" si="4"/>
        <v>0.96999999999999986</v>
      </c>
      <c r="R6" s="215">
        <f t="shared" si="4"/>
        <v>0.96999999999999986</v>
      </c>
      <c r="S6" s="215">
        <f t="shared" si="4"/>
        <v>0.96999999999999986</v>
      </c>
      <c r="T6" s="215">
        <f t="shared" si="4"/>
        <v>0.96999999999999986</v>
      </c>
      <c r="U6" s="215">
        <f t="shared" si="4"/>
        <v>0.96999999999999986</v>
      </c>
      <c r="V6" s="215">
        <f t="shared" si="4"/>
        <v>0.96999999999999986</v>
      </c>
      <c r="W6" s="215">
        <f t="shared" si="4"/>
        <v>0.96999999999999986</v>
      </c>
      <c r="X6" s="215">
        <f t="shared" si="4"/>
        <v>0.97</v>
      </c>
      <c r="Y6" s="215">
        <f t="shared" si="4"/>
        <v>0.96999999999999986</v>
      </c>
      <c r="Z6" s="215">
        <f t="shared" si="4"/>
        <v>0.97</v>
      </c>
      <c r="AA6" s="215">
        <f t="shared" si="4"/>
        <v>0.96999999999999964</v>
      </c>
      <c r="AB6" s="215">
        <f t="shared" si="4"/>
        <v>0.96999999999999964</v>
      </c>
      <c r="AC6" s="215">
        <f t="shared" si="4"/>
        <v>0.96999999999999975</v>
      </c>
      <c r="AD6" s="216">
        <f t="shared" si="4"/>
        <v>0.96999999999999986</v>
      </c>
      <c r="AE6" s="216">
        <f t="shared" si="4"/>
        <v>0.96999999999999964</v>
      </c>
      <c r="AF6" s="324"/>
      <c r="AG6" s="324"/>
      <c r="AH6" s="397"/>
      <c r="AI6" s="218"/>
      <c r="AJ6" s="409"/>
      <c r="AK6" s="397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  <c r="BM6" s="325"/>
    </row>
    <row r="7" spans="1:65">
      <c r="A7" s="3" t="s">
        <v>215</v>
      </c>
      <c r="B7" s="23">
        <f t="shared" ref="B7:AC7" si="5">B9/B5</f>
        <v>0.66666666666666663</v>
      </c>
      <c r="C7" s="23">
        <f t="shared" si="5"/>
        <v>0.66666666666666663</v>
      </c>
      <c r="D7" s="23">
        <f t="shared" si="5"/>
        <v>0.83333333333333337</v>
      </c>
      <c r="E7" s="23">
        <f t="shared" si="5"/>
        <v>0.83333333333333337</v>
      </c>
      <c r="F7" s="23">
        <f t="shared" si="5"/>
        <v>0.83333333333333337</v>
      </c>
      <c r="G7" s="23">
        <f t="shared" si="5"/>
        <v>1</v>
      </c>
      <c r="H7" s="23">
        <f t="shared" si="5"/>
        <v>1</v>
      </c>
      <c r="I7" s="23">
        <f t="shared" si="5"/>
        <v>1</v>
      </c>
      <c r="J7" s="23">
        <f t="shared" si="5"/>
        <v>1</v>
      </c>
      <c r="K7" s="23">
        <f t="shared" si="5"/>
        <v>1</v>
      </c>
      <c r="L7" s="23">
        <f t="shared" si="5"/>
        <v>1</v>
      </c>
      <c r="M7" s="23">
        <f t="shared" si="5"/>
        <v>1</v>
      </c>
      <c r="N7" s="23">
        <f t="shared" si="5"/>
        <v>1</v>
      </c>
      <c r="O7" s="23">
        <f t="shared" si="5"/>
        <v>1</v>
      </c>
      <c r="P7" s="23">
        <f t="shared" si="5"/>
        <v>1</v>
      </c>
      <c r="Q7" s="23">
        <f t="shared" si="5"/>
        <v>1</v>
      </c>
      <c r="R7" s="23">
        <f t="shared" si="5"/>
        <v>1</v>
      </c>
      <c r="S7" s="23">
        <f t="shared" si="5"/>
        <v>2</v>
      </c>
      <c r="T7" s="23">
        <f t="shared" si="5"/>
        <v>1.5</v>
      </c>
      <c r="U7" s="23">
        <f t="shared" si="5"/>
        <v>1</v>
      </c>
      <c r="V7" s="23">
        <f t="shared" si="5"/>
        <v>1.25</v>
      </c>
      <c r="W7" s="23">
        <f t="shared" si="5"/>
        <v>1.0625</v>
      </c>
      <c r="X7" s="23">
        <f t="shared" si="5"/>
        <v>1.2727272727272727</v>
      </c>
      <c r="Y7" s="23">
        <f t="shared" si="5"/>
        <v>1.1111111111111112</v>
      </c>
      <c r="Z7" s="23">
        <f t="shared" si="5"/>
        <v>1.5</v>
      </c>
      <c r="AA7" s="23">
        <f t="shared" si="5"/>
        <v>1.3333333333333333</v>
      </c>
      <c r="AB7" s="23">
        <f t="shared" si="5"/>
        <v>1.6666666666666667</v>
      </c>
      <c r="AC7" s="23">
        <f t="shared" si="5"/>
        <v>1.3333333333333333</v>
      </c>
      <c r="AD7" s="220">
        <f t="shared" ref="AD7:AE7" si="6">FORECAST(AD45,E7:AC7,E45:AC45)</f>
        <v>1.4570833333333368</v>
      </c>
      <c r="AE7" s="220">
        <f t="shared" si="6"/>
        <v>1.478253282828291</v>
      </c>
      <c r="AF7" s="315"/>
      <c r="AG7" s="315"/>
      <c r="AH7" s="226"/>
      <c r="AJ7" s="201"/>
      <c r="AK7" s="226"/>
    </row>
    <row r="8" spans="1:65">
      <c r="A8" s="221" t="s">
        <v>316</v>
      </c>
      <c r="B8" s="13">
        <v>14</v>
      </c>
      <c r="C8" s="13">
        <f>B17</f>
        <v>5</v>
      </c>
      <c r="D8" s="13">
        <f t="shared" ref="D8:AE8" si="7">C17</f>
        <v>5</v>
      </c>
      <c r="E8" s="13">
        <f t="shared" si="7"/>
        <v>7</v>
      </c>
      <c r="F8" s="13">
        <f t="shared" si="7"/>
        <v>24</v>
      </c>
      <c r="G8" s="13">
        <f t="shared" si="7"/>
        <v>39</v>
      </c>
      <c r="H8" s="13">
        <f t="shared" si="7"/>
        <v>37</v>
      </c>
      <c r="I8" s="13">
        <f t="shared" si="7"/>
        <v>23</v>
      </c>
      <c r="J8" s="13">
        <f t="shared" si="7"/>
        <v>14</v>
      </c>
      <c r="K8" s="13">
        <f t="shared" si="7"/>
        <v>4</v>
      </c>
      <c r="L8" s="13">
        <f t="shared" si="7"/>
        <v>1</v>
      </c>
      <c r="M8" s="13">
        <f t="shared" si="7"/>
        <v>1</v>
      </c>
      <c r="N8" s="13">
        <f t="shared" si="7"/>
        <v>1</v>
      </c>
      <c r="O8" s="13">
        <f t="shared" si="7"/>
        <v>1</v>
      </c>
      <c r="P8" s="13">
        <f t="shared" si="7"/>
        <v>1</v>
      </c>
      <c r="Q8" s="13">
        <f t="shared" si="7"/>
        <v>1</v>
      </c>
      <c r="R8" s="13">
        <f t="shared" si="7"/>
        <v>1</v>
      </c>
      <c r="S8" s="13">
        <f t="shared" si="7"/>
        <v>1</v>
      </c>
      <c r="T8" s="13">
        <f t="shared" si="7"/>
        <v>2</v>
      </c>
      <c r="U8" s="13">
        <f t="shared" si="7"/>
        <v>2</v>
      </c>
      <c r="V8" s="13">
        <f t="shared" si="7"/>
        <v>0</v>
      </c>
      <c r="W8" s="13">
        <f t="shared" si="7"/>
        <v>2</v>
      </c>
      <c r="X8" s="13">
        <f t="shared" si="7"/>
        <v>2</v>
      </c>
      <c r="Y8" s="13">
        <f t="shared" si="7"/>
        <v>3</v>
      </c>
      <c r="Z8" s="13">
        <f t="shared" si="7"/>
        <v>2</v>
      </c>
      <c r="AA8" s="13">
        <f t="shared" si="7"/>
        <v>2</v>
      </c>
      <c r="AB8" s="13">
        <f t="shared" si="7"/>
        <v>1</v>
      </c>
      <c r="AC8" s="13">
        <f t="shared" si="7"/>
        <v>2</v>
      </c>
      <c r="AD8" s="222">
        <f t="shared" si="7"/>
        <v>2</v>
      </c>
      <c r="AE8" s="222">
        <f t="shared" si="7"/>
        <v>2</v>
      </c>
      <c r="AF8" s="315"/>
      <c r="AG8" s="315"/>
      <c r="AH8" s="223">
        <v>1</v>
      </c>
      <c r="AI8" s="223">
        <v>2</v>
      </c>
      <c r="AJ8" s="223">
        <v>3</v>
      </c>
      <c r="AK8" s="403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6"/>
    </row>
    <row r="9" spans="1:65">
      <c r="A9" s="3" t="s">
        <v>5</v>
      </c>
      <c r="B9" s="6">
        <v>2</v>
      </c>
      <c r="C9" s="6">
        <v>2</v>
      </c>
      <c r="D9" s="6">
        <v>5</v>
      </c>
      <c r="E9" s="6">
        <v>5</v>
      </c>
      <c r="F9" s="6">
        <v>5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4</v>
      </c>
      <c r="T9" s="6">
        <v>3</v>
      </c>
      <c r="U9" s="6">
        <v>1</v>
      </c>
      <c r="V9" s="6">
        <v>5</v>
      </c>
      <c r="W9" s="6">
        <v>17</v>
      </c>
      <c r="X9" s="6">
        <v>14</v>
      </c>
      <c r="Y9" s="6">
        <v>10</v>
      </c>
      <c r="Z9" s="6">
        <v>9</v>
      </c>
      <c r="AA9" s="6">
        <v>8</v>
      </c>
      <c r="AB9" s="6">
        <v>5</v>
      </c>
      <c r="AC9" s="6">
        <v>12</v>
      </c>
      <c r="AD9" s="224">
        <v>8</v>
      </c>
      <c r="AE9" s="224">
        <f t="shared" ref="AE9" si="8">AE5*AE7</f>
        <v>8.8843022297980827</v>
      </c>
      <c r="AH9" s="223">
        <v>5</v>
      </c>
      <c r="AI9" s="223">
        <v>12</v>
      </c>
      <c r="AJ9" s="223">
        <v>8</v>
      </c>
      <c r="AK9" s="226"/>
    </row>
    <row r="10" spans="1:65">
      <c r="A10" s="3" t="s">
        <v>6</v>
      </c>
      <c r="B10" s="6">
        <v>61</v>
      </c>
      <c r="C10" s="6">
        <v>72.446607331246227</v>
      </c>
      <c r="D10" s="6">
        <f t="shared" ref="D10:AB10" si="9">D60</f>
        <v>133.52700000000002</v>
      </c>
      <c r="E10" s="6">
        <f t="shared" si="9"/>
        <v>142.33100000000002</v>
      </c>
      <c r="F10" s="6">
        <f t="shared" si="9"/>
        <v>59.33100000000001</v>
      </c>
      <c r="G10" s="6">
        <f t="shared" si="9"/>
        <v>9.282</v>
      </c>
      <c r="H10" s="6">
        <f t="shared" si="9"/>
        <v>9.713000000000001</v>
      </c>
      <c r="I10" s="6">
        <f t="shared" si="9"/>
        <v>27.209999999999997</v>
      </c>
      <c r="J10" s="6">
        <f t="shared" si="9"/>
        <v>9.2139999999999986</v>
      </c>
      <c r="K10" s="6">
        <f t="shared" si="9"/>
        <v>103.491</v>
      </c>
      <c r="L10" s="6">
        <f t="shared" si="9"/>
        <v>36.910000000000011</v>
      </c>
      <c r="M10" s="6">
        <f t="shared" si="9"/>
        <v>10.242000000000001</v>
      </c>
      <c r="N10" s="6">
        <f t="shared" si="9"/>
        <v>15.576000000000001</v>
      </c>
      <c r="O10" s="6">
        <f t="shared" si="9"/>
        <v>12.02</v>
      </c>
      <c r="P10" s="6">
        <f t="shared" si="9"/>
        <v>7.7590000000000012</v>
      </c>
      <c r="Q10" s="6">
        <f t="shared" si="9"/>
        <v>12.77</v>
      </c>
      <c r="R10" s="6">
        <f t="shared" si="9"/>
        <v>12.808</v>
      </c>
      <c r="S10" s="6">
        <f t="shared" si="9"/>
        <v>12.972</v>
      </c>
      <c r="T10" s="6">
        <f t="shared" si="9"/>
        <v>14.705</v>
      </c>
      <c r="U10" s="6">
        <f t="shared" si="9"/>
        <v>12.834</v>
      </c>
      <c r="V10" s="6">
        <f t="shared" si="9"/>
        <v>16.389000000000003</v>
      </c>
      <c r="W10" s="6">
        <f t="shared" si="9"/>
        <v>16.203000000000003</v>
      </c>
      <c r="X10" s="6">
        <f t="shared" si="9"/>
        <v>17.942</v>
      </c>
      <c r="Y10" s="6">
        <f t="shared" si="9"/>
        <v>25.040142000000003</v>
      </c>
      <c r="Z10" s="6">
        <f t="shared" si="9"/>
        <v>25.320078000000002</v>
      </c>
      <c r="AA10" s="6">
        <f t="shared" si="9"/>
        <v>22.741097000000003</v>
      </c>
      <c r="AB10" s="6">
        <f t="shared" si="9"/>
        <v>18.526721999999999</v>
      </c>
      <c r="AC10" s="6">
        <v>20</v>
      </c>
      <c r="AD10" s="224">
        <v>20</v>
      </c>
      <c r="AE10" s="224">
        <v>20</v>
      </c>
      <c r="AH10" s="223">
        <v>20</v>
      </c>
      <c r="AI10" s="223">
        <v>22</v>
      </c>
      <c r="AJ10" s="223">
        <v>20</v>
      </c>
      <c r="AK10" s="226"/>
    </row>
    <row r="11" spans="1:65">
      <c r="A11" s="221" t="s">
        <v>7</v>
      </c>
      <c r="B11" s="13">
        <f>SUM(B8:B10)</f>
        <v>77</v>
      </c>
      <c r="C11" s="13">
        <f t="shared" ref="C11:Z11" si="10">SUM(C8:C10)</f>
        <v>79.446607331246227</v>
      </c>
      <c r="D11" s="13">
        <f t="shared" si="10"/>
        <v>143.52700000000002</v>
      </c>
      <c r="E11" s="13">
        <f t="shared" si="10"/>
        <v>154.33100000000002</v>
      </c>
      <c r="F11" s="13">
        <f t="shared" si="10"/>
        <v>88.331000000000017</v>
      </c>
      <c r="G11" s="13">
        <f t="shared" si="10"/>
        <v>49.281999999999996</v>
      </c>
      <c r="H11" s="13">
        <f t="shared" si="10"/>
        <v>47.713000000000001</v>
      </c>
      <c r="I11" s="13">
        <f t="shared" si="10"/>
        <v>51.209999999999994</v>
      </c>
      <c r="J11" s="13">
        <f t="shared" si="10"/>
        <v>24.213999999999999</v>
      </c>
      <c r="K11" s="13">
        <f t="shared" si="10"/>
        <v>108.491</v>
      </c>
      <c r="L11" s="13">
        <f t="shared" si="10"/>
        <v>38.910000000000011</v>
      </c>
      <c r="M11" s="13">
        <f t="shared" si="10"/>
        <v>12.242000000000001</v>
      </c>
      <c r="N11" s="13">
        <f t="shared" si="10"/>
        <v>17.576000000000001</v>
      </c>
      <c r="O11" s="13">
        <f t="shared" si="10"/>
        <v>14.02</v>
      </c>
      <c r="P11" s="13">
        <f t="shared" si="10"/>
        <v>9.7590000000000003</v>
      </c>
      <c r="Q11" s="13">
        <f t="shared" si="10"/>
        <v>14.77</v>
      </c>
      <c r="R11" s="13">
        <f t="shared" si="10"/>
        <v>14.808</v>
      </c>
      <c r="S11" s="13">
        <f t="shared" si="10"/>
        <v>17.972000000000001</v>
      </c>
      <c r="T11" s="13">
        <f t="shared" si="10"/>
        <v>19.704999999999998</v>
      </c>
      <c r="U11" s="13">
        <f t="shared" si="10"/>
        <v>15.834</v>
      </c>
      <c r="V11" s="13">
        <f t="shared" si="10"/>
        <v>21.389000000000003</v>
      </c>
      <c r="W11" s="13">
        <f t="shared" si="10"/>
        <v>35.203000000000003</v>
      </c>
      <c r="X11" s="13">
        <f t="shared" si="10"/>
        <v>33.942</v>
      </c>
      <c r="Y11" s="13">
        <f t="shared" si="10"/>
        <v>38.040142000000003</v>
      </c>
      <c r="Z11" s="13">
        <f t="shared" si="10"/>
        <v>36.320078000000002</v>
      </c>
      <c r="AA11" s="13">
        <f>SUM(AA8:AA10)</f>
        <v>32.741097000000003</v>
      </c>
      <c r="AB11" s="13">
        <f>SUM(AB8:AB10)</f>
        <v>24.526721999999999</v>
      </c>
      <c r="AC11" s="13">
        <f>SUM(AC8:AC10)</f>
        <v>34</v>
      </c>
      <c r="AD11" s="222">
        <f t="shared" ref="AD11:AE11" si="11">SUM(AD8:AD10)</f>
        <v>30</v>
      </c>
      <c r="AE11" s="222">
        <f t="shared" si="11"/>
        <v>30.884302229798081</v>
      </c>
      <c r="AH11" s="223">
        <v>26</v>
      </c>
      <c r="AI11" s="223">
        <v>36</v>
      </c>
      <c r="AJ11" s="223">
        <v>31</v>
      </c>
      <c r="AK11" s="226"/>
    </row>
    <row r="12" spans="1:65">
      <c r="A12" s="3" t="s">
        <v>8</v>
      </c>
      <c r="B12" s="6">
        <f>B92</f>
        <v>37.869565217391212</v>
      </c>
      <c r="C12" s="6">
        <f t="shared" ref="C12:T12" si="12">C92</f>
        <v>0.86084188353223734</v>
      </c>
      <c r="D12" s="6">
        <f t="shared" si="12"/>
        <v>215.75747999999993</v>
      </c>
      <c r="E12" s="6">
        <f t="shared" si="12"/>
        <v>130.64722222222218</v>
      </c>
      <c r="F12" s="6">
        <f t="shared" si="12"/>
        <v>334.80571428571437</v>
      </c>
      <c r="G12" s="6">
        <f t="shared" si="12"/>
        <v>250.30784615384616</v>
      </c>
      <c r="H12" s="6">
        <f t="shared" si="12"/>
        <v>107.63142857142857</v>
      </c>
      <c r="I12" s="6">
        <f t="shared" si="12"/>
        <v>31.172923076923041</v>
      </c>
      <c r="J12" s="6">
        <f t="shared" si="12"/>
        <v>17.991000000000014</v>
      </c>
      <c r="K12" s="6">
        <f t="shared" si="12"/>
        <v>115.18677272727274</v>
      </c>
      <c r="L12" s="6">
        <f t="shared" si="12"/>
        <v>36.512000000000015</v>
      </c>
      <c r="M12" s="6">
        <f t="shared" si="12"/>
        <v>8.3182500000000026</v>
      </c>
      <c r="N12" s="6">
        <f t="shared" si="12"/>
        <v>17.898571428571433</v>
      </c>
      <c r="O12" s="6">
        <f t="shared" si="12"/>
        <v>10.331199999999985</v>
      </c>
      <c r="P12" s="6">
        <f t="shared" si="12"/>
        <v>8.3059999999999867</v>
      </c>
      <c r="Q12" s="6">
        <f t="shared" si="12"/>
        <v>13.082399999999996</v>
      </c>
      <c r="R12" s="6">
        <f t="shared" si="12"/>
        <v>11.860799999999998</v>
      </c>
      <c r="S12" s="6">
        <f t="shared" si="12"/>
        <v>16.742499999999993</v>
      </c>
      <c r="T12" s="6">
        <f t="shared" si="12"/>
        <v>14.741999999999992</v>
      </c>
      <c r="U12" s="6">
        <v>14</v>
      </c>
      <c r="V12" s="6">
        <v>18</v>
      </c>
      <c r="W12" s="6">
        <v>33</v>
      </c>
      <c r="X12" s="6">
        <v>30</v>
      </c>
      <c r="Y12" s="6">
        <v>35</v>
      </c>
      <c r="Z12" s="6">
        <v>32</v>
      </c>
      <c r="AA12" s="6">
        <v>31</v>
      </c>
      <c r="AB12" s="6">
        <v>21</v>
      </c>
      <c r="AC12" s="224">
        <v>24</v>
      </c>
      <c r="AD12" s="224">
        <v>25</v>
      </c>
      <c r="AE12" s="224">
        <v>25</v>
      </c>
      <c r="AF12" s="377"/>
      <c r="AG12" s="377"/>
      <c r="AH12" s="223">
        <v>21</v>
      </c>
      <c r="AI12" s="223">
        <v>30</v>
      </c>
      <c r="AJ12" s="223">
        <v>25</v>
      </c>
      <c r="AK12" s="226"/>
    </row>
    <row r="13" spans="1:65">
      <c r="A13" s="3" t="s">
        <v>9</v>
      </c>
      <c r="B13" s="6">
        <v>0</v>
      </c>
      <c r="C13" s="6">
        <v>0</v>
      </c>
      <c r="D13" s="6">
        <f t="shared" ref="D13:Y13" si="13">D76</f>
        <v>0.27200000000000002</v>
      </c>
      <c r="E13" s="6">
        <f t="shared" si="13"/>
        <v>0.18600000000000003</v>
      </c>
      <c r="F13" s="6">
        <f t="shared" si="13"/>
        <v>0.189</v>
      </c>
      <c r="G13" s="6">
        <f t="shared" si="13"/>
        <v>0.15300000000000002</v>
      </c>
      <c r="H13" s="6">
        <f t="shared" si="13"/>
        <v>5.0000000000000001E-3</v>
      </c>
      <c r="I13" s="6">
        <f t="shared" si="13"/>
        <v>1.1000000000000001E-2</v>
      </c>
      <c r="J13" s="6">
        <f t="shared" si="13"/>
        <v>2.2000000000000006E-2</v>
      </c>
      <c r="K13" s="6">
        <f t="shared" si="13"/>
        <v>3.0000000000000001E-3</v>
      </c>
      <c r="L13" s="6">
        <f t="shared" si="13"/>
        <v>6.3E-2</v>
      </c>
      <c r="M13" s="6">
        <f t="shared" si="13"/>
        <v>1.3999999999999999E-2</v>
      </c>
      <c r="N13" s="6">
        <f t="shared" si="13"/>
        <v>6.0000000000000001E-3</v>
      </c>
      <c r="O13" s="6">
        <f t="shared" si="13"/>
        <v>6.0000000000000001E-3</v>
      </c>
      <c r="P13" s="6">
        <f t="shared" si="13"/>
        <v>1.0999999999999999E-2</v>
      </c>
      <c r="Q13" s="6">
        <f t="shared" si="13"/>
        <v>3.4000000000000002E-2</v>
      </c>
      <c r="R13" s="6">
        <f t="shared" si="13"/>
        <v>3.9000000000000007E-2</v>
      </c>
      <c r="S13" s="6">
        <f t="shared" si="13"/>
        <v>2.9000000000000001E-2</v>
      </c>
      <c r="T13" s="6">
        <f t="shared" si="13"/>
        <v>0.01</v>
      </c>
      <c r="U13" s="6">
        <f t="shared" si="13"/>
        <v>4.0000000000000001E-3</v>
      </c>
      <c r="V13" s="6">
        <f t="shared" si="13"/>
        <v>5.0000000000000001E-3</v>
      </c>
      <c r="W13" s="6">
        <f t="shared" si="13"/>
        <v>6.0000000000000001E-3</v>
      </c>
      <c r="X13" s="6">
        <f t="shared" si="13"/>
        <v>1.2E-2</v>
      </c>
      <c r="Y13" s="6">
        <f t="shared" si="13"/>
        <v>5.6260000000000008E-3</v>
      </c>
      <c r="Z13" s="6">
        <v>0.1</v>
      </c>
      <c r="AA13" s="6">
        <v>0.1</v>
      </c>
      <c r="AB13" s="6">
        <v>0.1</v>
      </c>
      <c r="AC13" s="224">
        <v>0.1</v>
      </c>
      <c r="AD13" s="224">
        <v>0.05</v>
      </c>
      <c r="AE13" s="224">
        <v>0.05</v>
      </c>
      <c r="AH13" s="223">
        <v>0</v>
      </c>
      <c r="AI13" s="223">
        <v>0</v>
      </c>
      <c r="AJ13" s="223">
        <v>0</v>
      </c>
      <c r="AK13" s="226"/>
    </row>
    <row r="14" spans="1:65">
      <c r="A14" s="3" t="s">
        <v>10</v>
      </c>
      <c r="B14" s="6">
        <f>ROUND(C4*0.007,0)</f>
        <v>0</v>
      </c>
      <c r="C14" s="6">
        <f t="shared" ref="C14:AE14" si="14">ROUND(D4*0.007,0)</f>
        <v>0</v>
      </c>
      <c r="D14" s="6">
        <f t="shared" si="14"/>
        <v>0</v>
      </c>
      <c r="E14" s="6">
        <f t="shared" si="14"/>
        <v>0</v>
      </c>
      <c r="F14" s="6">
        <f t="shared" si="14"/>
        <v>0</v>
      </c>
      <c r="G14" s="6">
        <f t="shared" si="14"/>
        <v>0</v>
      </c>
      <c r="H14" s="6">
        <f t="shared" si="14"/>
        <v>0</v>
      </c>
      <c r="I14" s="6">
        <f t="shared" si="14"/>
        <v>0</v>
      </c>
      <c r="J14" s="6">
        <f t="shared" si="14"/>
        <v>0</v>
      </c>
      <c r="K14" s="6">
        <f t="shared" si="14"/>
        <v>0</v>
      </c>
      <c r="L14" s="6">
        <f t="shared" si="14"/>
        <v>0</v>
      </c>
      <c r="M14" s="6">
        <f t="shared" si="14"/>
        <v>0</v>
      </c>
      <c r="N14" s="6">
        <f t="shared" si="14"/>
        <v>0</v>
      </c>
      <c r="O14" s="6">
        <f t="shared" si="14"/>
        <v>0</v>
      </c>
      <c r="P14" s="6">
        <f t="shared" si="14"/>
        <v>0</v>
      </c>
      <c r="Q14" s="6">
        <f t="shared" si="14"/>
        <v>0</v>
      </c>
      <c r="R14" s="6">
        <f t="shared" si="14"/>
        <v>0</v>
      </c>
      <c r="S14" s="6">
        <f t="shared" si="14"/>
        <v>0</v>
      </c>
      <c r="T14" s="6">
        <f t="shared" si="14"/>
        <v>0</v>
      </c>
      <c r="U14" s="6">
        <f t="shared" si="14"/>
        <v>0</v>
      </c>
      <c r="V14" s="6">
        <f t="shared" si="14"/>
        <v>0</v>
      </c>
      <c r="W14" s="6">
        <f t="shared" si="14"/>
        <v>0</v>
      </c>
      <c r="X14" s="6">
        <f t="shared" si="14"/>
        <v>0</v>
      </c>
      <c r="Y14" s="6">
        <f t="shared" si="14"/>
        <v>0</v>
      </c>
      <c r="Z14" s="6">
        <f t="shared" si="14"/>
        <v>0</v>
      </c>
      <c r="AA14" s="6">
        <f t="shared" si="14"/>
        <v>0</v>
      </c>
      <c r="AB14" s="6">
        <f t="shared" si="14"/>
        <v>0</v>
      </c>
      <c r="AC14" s="224">
        <f t="shared" si="14"/>
        <v>0</v>
      </c>
      <c r="AD14" s="224">
        <f t="shared" si="14"/>
        <v>0</v>
      </c>
      <c r="AE14" s="224">
        <f t="shared" si="14"/>
        <v>0</v>
      </c>
      <c r="AH14" s="226"/>
      <c r="AJ14" s="201" t="s">
        <v>218</v>
      </c>
      <c r="AK14" s="226"/>
    </row>
    <row r="15" spans="1:65">
      <c r="A15" s="3" t="s">
        <v>11</v>
      </c>
      <c r="B15" s="6">
        <f>B16-SUM(B12:B14)</f>
        <v>34.130434782608788</v>
      </c>
      <c r="C15" s="6">
        <f t="shared" ref="C15:AC15" si="15">C16-SUM(C12:C14)</f>
        <v>73.585765447713996</v>
      </c>
      <c r="D15" s="6">
        <f t="shared" si="15"/>
        <v>-79.502479999999906</v>
      </c>
      <c r="E15" s="6">
        <f t="shared" si="15"/>
        <v>-0.50222222222217283</v>
      </c>
      <c r="F15" s="6">
        <f t="shared" si="15"/>
        <v>-285.66371428571438</v>
      </c>
      <c r="G15" s="6">
        <f t="shared" si="15"/>
        <v>-238.17884615384617</v>
      </c>
      <c r="H15" s="6">
        <f t="shared" si="15"/>
        <v>-82.923428571428559</v>
      </c>
      <c r="I15" s="6">
        <f t="shared" si="15"/>
        <v>6.0260769230769533</v>
      </c>
      <c r="J15" s="6">
        <f t="shared" si="15"/>
        <v>2.2009999999999863</v>
      </c>
      <c r="K15" s="6">
        <f t="shared" si="15"/>
        <v>-7.6987727272727398</v>
      </c>
      <c r="L15" s="6">
        <f t="shared" si="15"/>
        <v>1.3349999999999937</v>
      </c>
      <c r="M15" s="6">
        <f t="shared" si="15"/>
        <v>2.9097499999999989</v>
      </c>
      <c r="N15" s="6">
        <f t="shared" si="15"/>
        <v>-1.3285714285714327</v>
      </c>
      <c r="O15" s="6">
        <f t="shared" si="15"/>
        <v>2.6828000000000145</v>
      </c>
      <c r="P15" s="6">
        <f t="shared" si="15"/>
        <v>0.44200000000001438</v>
      </c>
      <c r="Q15" s="6">
        <f t="shared" si="15"/>
        <v>0.65360000000000262</v>
      </c>
      <c r="R15" s="6">
        <f t="shared" si="15"/>
        <v>1.9082000000000026</v>
      </c>
      <c r="S15" s="6">
        <f t="shared" si="15"/>
        <v>-0.79949999999999122</v>
      </c>
      <c r="T15" s="6">
        <f t="shared" si="15"/>
        <v>2.9530000000000065</v>
      </c>
      <c r="U15" s="6">
        <f t="shared" si="15"/>
        <v>1.83</v>
      </c>
      <c r="V15" s="6">
        <f t="shared" si="15"/>
        <v>1.3840000000000039</v>
      </c>
      <c r="W15" s="6">
        <f t="shared" si="15"/>
        <v>0.19700000000000273</v>
      </c>
      <c r="X15" s="6">
        <f t="shared" si="15"/>
        <v>0.92999999999999972</v>
      </c>
      <c r="Y15" s="6">
        <f t="shared" si="15"/>
        <v>1.0345160000000035</v>
      </c>
      <c r="Z15" s="6">
        <f t="shared" si="15"/>
        <v>2.2200780000000009</v>
      </c>
      <c r="AA15" s="6">
        <f t="shared" si="15"/>
        <v>0.64109700000000203</v>
      </c>
      <c r="AB15" s="6">
        <f t="shared" si="15"/>
        <v>1.426721999999998</v>
      </c>
      <c r="AC15" s="224">
        <f t="shared" si="15"/>
        <v>7.8999999999999986</v>
      </c>
      <c r="AD15" s="224">
        <f t="shared" ref="AD15:AE15" si="16">AD16-SUM(AD12:AD14)</f>
        <v>2.9499999999999993</v>
      </c>
      <c r="AE15" s="224">
        <f t="shared" si="16"/>
        <v>3.8343022297980802</v>
      </c>
      <c r="AH15" s="226"/>
      <c r="AJ15" s="201" t="s">
        <v>218</v>
      </c>
      <c r="AK15" s="226"/>
    </row>
    <row r="16" spans="1:65">
      <c r="A16" s="221" t="s">
        <v>12</v>
      </c>
      <c r="B16" s="13">
        <f t="shared" ref="B16:AE16" si="17">B11-B17</f>
        <v>72</v>
      </c>
      <c r="C16" s="13">
        <f t="shared" si="17"/>
        <v>74.446607331246227</v>
      </c>
      <c r="D16" s="13">
        <f t="shared" si="17"/>
        <v>136.52700000000002</v>
      </c>
      <c r="E16" s="13">
        <f t="shared" si="17"/>
        <v>130.33100000000002</v>
      </c>
      <c r="F16" s="13">
        <f t="shared" si="17"/>
        <v>49.331000000000017</v>
      </c>
      <c r="G16" s="13">
        <f t="shared" si="17"/>
        <v>12.281999999999996</v>
      </c>
      <c r="H16" s="13">
        <f t="shared" si="17"/>
        <v>24.713000000000001</v>
      </c>
      <c r="I16" s="13">
        <f t="shared" si="17"/>
        <v>37.209999999999994</v>
      </c>
      <c r="J16" s="13">
        <f t="shared" si="17"/>
        <v>20.213999999999999</v>
      </c>
      <c r="K16" s="13">
        <f t="shared" si="17"/>
        <v>107.491</v>
      </c>
      <c r="L16" s="13">
        <f t="shared" si="17"/>
        <v>37.910000000000011</v>
      </c>
      <c r="M16" s="13">
        <f t="shared" si="17"/>
        <v>11.242000000000001</v>
      </c>
      <c r="N16" s="13">
        <f t="shared" si="17"/>
        <v>16.576000000000001</v>
      </c>
      <c r="O16" s="13">
        <f t="shared" si="17"/>
        <v>13.02</v>
      </c>
      <c r="P16" s="13">
        <f t="shared" si="17"/>
        <v>8.7590000000000003</v>
      </c>
      <c r="Q16" s="13">
        <f t="shared" si="17"/>
        <v>13.77</v>
      </c>
      <c r="R16" s="13">
        <f t="shared" si="17"/>
        <v>13.808</v>
      </c>
      <c r="S16" s="13">
        <f t="shared" si="17"/>
        <v>15.972000000000001</v>
      </c>
      <c r="T16" s="13">
        <f t="shared" si="17"/>
        <v>17.704999999999998</v>
      </c>
      <c r="U16" s="13">
        <f t="shared" si="17"/>
        <v>15.834</v>
      </c>
      <c r="V16" s="13">
        <f t="shared" si="17"/>
        <v>19.389000000000003</v>
      </c>
      <c r="W16" s="13">
        <f t="shared" si="17"/>
        <v>33.203000000000003</v>
      </c>
      <c r="X16" s="13">
        <f t="shared" si="17"/>
        <v>30.942</v>
      </c>
      <c r="Y16" s="13">
        <f t="shared" si="17"/>
        <v>36.040142000000003</v>
      </c>
      <c r="Z16" s="13">
        <f t="shared" si="17"/>
        <v>34.320078000000002</v>
      </c>
      <c r="AA16" s="13">
        <f t="shared" si="17"/>
        <v>31.741097000000003</v>
      </c>
      <c r="AB16" s="13">
        <f t="shared" si="17"/>
        <v>22.526721999999999</v>
      </c>
      <c r="AC16" s="222">
        <f t="shared" si="17"/>
        <v>32</v>
      </c>
      <c r="AD16" s="222">
        <f t="shared" si="17"/>
        <v>28</v>
      </c>
      <c r="AE16" s="222">
        <f t="shared" si="17"/>
        <v>28.884302229798081</v>
      </c>
      <c r="AH16" s="226"/>
      <c r="AJ16" s="201"/>
      <c r="AK16" s="226"/>
    </row>
    <row r="17" spans="1:37">
      <c r="A17" s="3" t="s">
        <v>317</v>
      </c>
      <c r="B17" s="6">
        <v>5</v>
      </c>
      <c r="C17" s="6">
        <v>5</v>
      </c>
      <c r="D17" s="6">
        <v>7</v>
      </c>
      <c r="E17" s="6">
        <v>24</v>
      </c>
      <c r="F17" s="6">
        <v>39</v>
      </c>
      <c r="G17" s="6">
        <v>37</v>
      </c>
      <c r="H17" s="6">
        <v>23</v>
      </c>
      <c r="I17" s="6">
        <v>14</v>
      </c>
      <c r="J17" s="6">
        <v>4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2</v>
      </c>
      <c r="T17" s="6">
        <v>2</v>
      </c>
      <c r="U17" s="6">
        <v>0</v>
      </c>
      <c r="V17" s="6">
        <v>2</v>
      </c>
      <c r="W17" s="6">
        <v>2</v>
      </c>
      <c r="X17" s="6">
        <v>3</v>
      </c>
      <c r="Y17" s="6">
        <v>2</v>
      </c>
      <c r="Z17" s="6">
        <v>2</v>
      </c>
      <c r="AA17" s="6">
        <v>1</v>
      </c>
      <c r="AB17" s="6">
        <v>2</v>
      </c>
      <c r="AC17" s="224">
        <v>2</v>
      </c>
      <c r="AD17" s="224">
        <v>2</v>
      </c>
      <c r="AE17" s="224">
        <v>2</v>
      </c>
      <c r="AH17" s="223">
        <v>2</v>
      </c>
      <c r="AI17" s="223">
        <v>3</v>
      </c>
      <c r="AJ17" s="223">
        <v>3</v>
      </c>
      <c r="AK17" s="226"/>
    </row>
    <row r="18" spans="1:37">
      <c r="A18" s="221" t="s">
        <v>221</v>
      </c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8"/>
      <c r="AD18" s="228"/>
      <c r="AE18" s="228"/>
      <c r="AH18" s="226"/>
      <c r="AJ18" s="201"/>
      <c r="AK18" s="226"/>
    </row>
    <row r="19" spans="1:37" ht="15.75" thickBot="1">
      <c r="A19" s="3" t="s">
        <v>222</v>
      </c>
      <c r="AH19" s="226"/>
      <c r="AJ19" s="201"/>
      <c r="AK19" s="226"/>
    </row>
    <row r="20" spans="1:37" ht="16.5">
      <c r="A20" s="229" t="s">
        <v>417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H20" s="226"/>
      <c r="AJ20" s="201"/>
      <c r="AK20" s="226"/>
    </row>
    <row r="21" spans="1:37">
      <c r="A21" s="3" t="s">
        <v>224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224"/>
      <c r="AD21" s="224"/>
      <c r="AE21" s="224"/>
      <c r="AH21" s="226"/>
      <c r="AJ21" s="201"/>
      <c r="AK21" s="226"/>
    </row>
    <row r="22" spans="1:37">
      <c r="A22" s="221" t="s">
        <v>316</v>
      </c>
      <c r="B22" s="13">
        <v>0</v>
      </c>
      <c r="C22" s="13">
        <f>B29</f>
        <v>0</v>
      </c>
      <c r="D22" s="13">
        <f t="shared" ref="D22:AE22" si="18">C29</f>
        <v>0</v>
      </c>
      <c r="E22" s="13">
        <f t="shared" si="18"/>
        <v>0</v>
      </c>
      <c r="F22" s="13">
        <f t="shared" si="18"/>
        <v>0</v>
      </c>
      <c r="G22" s="13">
        <f t="shared" si="18"/>
        <v>0</v>
      </c>
      <c r="H22" s="13">
        <f t="shared" si="18"/>
        <v>0</v>
      </c>
      <c r="I22" s="13">
        <f t="shared" si="18"/>
        <v>0</v>
      </c>
      <c r="J22" s="13">
        <f t="shared" si="18"/>
        <v>0</v>
      </c>
      <c r="K22" s="13">
        <f t="shared" si="18"/>
        <v>0</v>
      </c>
      <c r="L22" s="13">
        <f t="shared" si="18"/>
        <v>0</v>
      </c>
      <c r="M22" s="13">
        <f t="shared" si="18"/>
        <v>0</v>
      </c>
      <c r="N22" s="13">
        <f t="shared" si="18"/>
        <v>0</v>
      </c>
      <c r="O22" s="13">
        <f t="shared" si="18"/>
        <v>0</v>
      </c>
      <c r="P22" s="13">
        <f t="shared" si="18"/>
        <v>0</v>
      </c>
      <c r="Q22" s="13">
        <f t="shared" si="18"/>
        <v>0</v>
      </c>
      <c r="R22" s="13">
        <f t="shared" si="18"/>
        <v>0</v>
      </c>
      <c r="S22" s="13">
        <f t="shared" si="18"/>
        <v>0</v>
      </c>
      <c r="T22" s="13">
        <f t="shared" si="18"/>
        <v>0</v>
      </c>
      <c r="U22" s="13">
        <f t="shared" si="18"/>
        <v>0</v>
      </c>
      <c r="V22" s="13">
        <f t="shared" si="18"/>
        <v>0</v>
      </c>
      <c r="W22" s="13">
        <f t="shared" si="18"/>
        <v>0</v>
      </c>
      <c r="X22" s="13">
        <f t="shared" si="18"/>
        <v>0</v>
      </c>
      <c r="Y22" s="13">
        <f t="shared" si="18"/>
        <v>0</v>
      </c>
      <c r="Z22" s="13">
        <f t="shared" si="18"/>
        <v>0</v>
      </c>
      <c r="AA22" s="13">
        <f t="shared" si="18"/>
        <v>0</v>
      </c>
      <c r="AB22" s="13">
        <f t="shared" si="18"/>
        <v>0</v>
      </c>
      <c r="AC22" s="13">
        <f t="shared" si="18"/>
        <v>0</v>
      </c>
      <c r="AD22" s="222">
        <f t="shared" si="18"/>
        <v>0</v>
      </c>
      <c r="AE22" s="222">
        <f t="shared" si="18"/>
        <v>0</v>
      </c>
      <c r="AH22" s="223">
        <v>0</v>
      </c>
      <c r="AI22" s="223">
        <v>0</v>
      </c>
      <c r="AJ22" s="223">
        <v>0</v>
      </c>
      <c r="AK22" s="226"/>
    </row>
    <row r="23" spans="1:37">
      <c r="A23" s="3" t="s">
        <v>5</v>
      </c>
      <c r="B23" s="6">
        <f>B108</f>
        <v>16.391304347826047</v>
      </c>
      <c r="C23" s="6">
        <f t="shared" ref="C23:Z23" si="19">C108</f>
        <v>0.38942847112172929</v>
      </c>
      <c r="D23" s="6">
        <f t="shared" si="19"/>
        <v>90.680679999999995</v>
      </c>
      <c r="E23" s="6">
        <f t="shared" si="19"/>
        <v>60.968703703703689</v>
      </c>
      <c r="F23" s="6">
        <f t="shared" si="19"/>
        <v>159.03271428571432</v>
      </c>
      <c r="G23" s="6">
        <f t="shared" si="19"/>
        <v>121.7713846153846</v>
      </c>
      <c r="H23" s="6">
        <f t="shared" si="19"/>
        <v>48.434142857142852</v>
      </c>
      <c r="I23" s="6">
        <f t="shared" si="19"/>
        <v>13.638153846153834</v>
      </c>
      <c r="J23" s="6">
        <f t="shared" si="19"/>
        <v>7.996000000000004</v>
      </c>
      <c r="K23" s="6">
        <f t="shared" si="19"/>
        <v>51.44263636363636</v>
      </c>
      <c r="L23" s="6">
        <f t="shared" si="19"/>
        <v>16.691200000000009</v>
      </c>
      <c r="M23" s="6">
        <f t="shared" si="19"/>
        <v>3.6970000000000018</v>
      </c>
      <c r="N23" s="6">
        <f t="shared" si="19"/>
        <v>8.4228571428571453</v>
      </c>
      <c r="O23" s="6">
        <f t="shared" si="19"/>
        <v>5.635199999999994</v>
      </c>
      <c r="P23" s="6">
        <f t="shared" si="19"/>
        <v>4.1529999999999934</v>
      </c>
      <c r="Q23" s="6">
        <f t="shared" si="19"/>
        <v>5.4509999999999978</v>
      </c>
      <c r="R23" s="6">
        <f t="shared" si="19"/>
        <v>4.9419999999999984</v>
      </c>
      <c r="S23" s="6">
        <f t="shared" si="19"/>
        <v>6.6969999999999983</v>
      </c>
      <c r="T23" s="6">
        <f t="shared" si="19"/>
        <v>6.3179999999999987</v>
      </c>
      <c r="U23" s="6">
        <f t="shared" si="19"/>
        <v>5.7179401993355512</v>
      </c>
      <c r="V23" s="6">
        <f t="shared" si="19"/>
        <v>9.693939393939397</v>
      </c>
      <c r="W23" s="6">
        <f t="shared" si="19"/>
        <v>13.285416666666663</v>
      </c>
      <c r="X23" s="6">
        <f t="shared" si="19"/>
        <v>11.484341085271307</v>
      </c>
      <c r="Y23" s="6">
        <f t="shared" si="19"/>
        <v>4.7860016611295659</v>
      </c>
      <c r="Z23" s="6">
        <f t="shared" si="19"/>
        <v>21.940171753246744</v>
      </c>
      <c r="AA23" s="6">
        <f>AA124*AA92</f>
        <v>10.827011184962343</v>
      </c>
      <c r="AB23" s="6">
        <f>AB124*AB92</f>
        <v>9.2427239938073651</v>
      </c>
      <c r="AC23" s="224">
        <f>AC124*AC92</f>
        <v>10.057283333548263</v>
      </c>
      <c r="AD23" s="224">
        <f t="shared" ref="AD23:AE23" si="20">AD124*AD92</f>
        <v>10.352158324734596</v>
      </c>
      <c r="AE23" s="224">
        <f t="shared" si="20"/>
        <v>10.21959729212556</v>
      </c>
      <c r="AH23" s="223">
        <v>9</v>
      </c>
      <c r="AI23" s="223">
        <v>13</v>
      </c>
      <c r="AJ23" s="223">
        <v>11</v>
      </c>
      <c r="AK23" s="226"/>
    </row>
    <row r="24" spans="1:37">
      <c r="A24" s="3" t="s">
        <v>6</v>
      </c>
      <c r="B24" s="6">
        <v>11</v>
      </c>
      <c r="C24" s="6">
        <v>25</v>
      </c>
      <c r="D24" s="6">
        <f t="shared" ref="D24:Y24" si="21">D140</f>
        <v>2.0259999999999998</v>
      </c>
      <c r="E24" s="6">
        <f t="shared" si="21"/>
        <v>2.919</v>
      </c>
      <c r="F24" s="6">
        <f t="shared" si="21"/>
        <v>2.6669999999999998</v>
      </c>
      <c r="G24" s="6">
        <f t="shared" si="21"/>
        <v>11.202999999999999</v>
      </c>
      <c r="H24" s="6">
        <f t="shared" si="21"/>
        <v>4.4420000000000002</v>
      </c>
      <c r="I24" s="6">
        <f t="shared" si="21"/>
        <v>2.7309999999999999</v>
      </c>
      <c r="J24" s="6">
        <f t="shared" si="21"/>
        <v>2.1879999999999997</v>
      </c>
      <c r="K24" s="6">
        <f t="shared" si="21"/>
        <v>1.3039999999999998</v>
      </c>
      <c r="L24" s="6">
        <f t="shared" si="21"/>
        <v>1.4949999999999999</v>
      </c>
      <c r="M24" s="6">
        <f t="shared" si="21"/>
        <v>2.915</v>
      </c>
      <c r="N24" s="6">
        <f t="shared" si="21"/>
        <v>4.3410000000000002</v>
      </c>
      <c r="O24" s="6">
        <f t="shared" si="21"/>
        <v>6.2020000000000008</v>
      </c>
      <c r="P24" s="6">
        <f t="shared" si="21"/>
        <v>3.8520000000000003</v>
      </c>
      <c r="Q24" s="6">
        <f t="shared" si="21"/>
        <v>2.4459999999999997</v>
      </c>
      <c r="R24" s="6">
        <f t="shared" si="21"/>
        <v>1.1910000000000001</v>
      </c>
      <c r="S24" s="6">
        <f t="shared" si="21"/>
        <v>0.44999999999999996</v>
      </c>
      <c r="T24" s="6">
        <f t="shared" si="21"/>
        <v>0</v>
      </c>
      <c r="U24" s="6">
        <f t="shared" si="21"/>
        <v>0</v>
      </c>
      <c r="V24" s="6">
        <f t="shared" si="21"/>
        <v>0</v>
      </c>
      <c r="W24" s="6">
        <f t="shared" si="21"/>
        <v>0</v>
      </c>
      <c r="X24" s="6">
        <f t="shared" si="21"/>
        <v>0.18</v>
      </c>
      <c r="Y24" s="6">
        <f t="shared" si="21"/>
        <v>8.2000000000000003E-2</v>
      </c>
      <c r="Z24" s="6">
        <v>0.4</v>
      </c>
      <c r="AA24" s="6">
        <v>0.4</v>
      </c>
      <c r="AB24" s="6">
        <v>0.4</v>
      </c>
      <c r="AC24" s="224">
        <v>0.4</v>
      </c>
      <c r="AD24" s="224">
        <v>0</v>
      </c>
      <c r="AE24" s="224">
        <v>0</v>
      </c>
      <c r="AH24" s="223">
        <v>0</v>
      </c>
      <c r="AI24" s="223">
        <v>0</v>
      </c>
      <c r="AJ24" s="223">
        <v>0</v>
      </c>
      <c r="AK24" s="226"/>
    </row>
    <row r="25" spans="1:37">
      <c r="A25" s="221" t="s">
        <v>7</v>
      </c>
      <c r="B25" s="13">
        <f>SUM(B22:B24)</f>
        <v>27.391304347826047</v>
      </c>
      <c r="C25" s="13">
        <f t="shared" ref="C25:AE25" si="22">SUM(C22:C24)</f>
        <v>25.389428471121729</v>
      </c>
      <c r="D25" s="13">
        <f t="shared" si="22"/>
        <v>92.706679999999992</v>
      </c>
      <c r="E25" s="13">
        <f t="shared" si="22"/>
        <v>63.887703703703686</v>
      </c>
      <c r="F25" s="13">
        <f t="shared" si="22"/>
        <v>161.69971428571432</v>
      </c>
      <c r="G25" s="13">
        <f t="shared" si="22"/>
        <v>132.97438461538459</v>
      </c>
      <c r="H25" s="13">
        <f t="shared" si="22"/>
        <v>52.876142857142852</v>
      </c>
      <c r="I25" s="13">
        <f t="shared" si="22"/>
        <v>16.369153846153836</v>
      </c>
      <c r="J25" s="13">
        <f t="shared" si="22"/>
        <v>10.184000000000005</v>
      </c>
      <c r="K25" s="13">
        <f t="shared" si="22"/>
        <v>52.746636363636362</v>
      </c>
      <c r="L25" s="13">
        <f t="shared" si="22"/>
        <v>18.18620000000001</v>
      </c>
      <c r="M25" s="13">
        <f t="shared" si="22"/>
        <v>6.6120000000000019</v>
      </c>
      <c r="N25" s="13">
        <f t="shared" si="22"/>
        <v>12.763857142857145</v>
      </c>
      <c r="O25" s="13">
        <f t="shared" si="22"/>
        <v>11.837199999999996</v>
      </c>
      <c r="P25" s="13">
        <f t="shared" si="22"/>
        <v>8.0049999999999937</v>
      </c>
      <c r="Q25" s="13">
        <f t="shared" si="22"/>
        <v>7.8969999999999976</v>
      </c>
      <c r="R25" s="13">
        <f t="shared" si="22"/>
        <v>6.1329999999999982</v>
      </c>
      <c r="S25" s="13">
        <f t="shared" si="22"/>
        <v>7.1469999999999985</v>
      </c>
      <c r="T25" s="13">
        <f t="shared" si="22"/>
        <v>6.3179999999999987</v>
      </c>
      <c r="U25" s="13">
        <f t="shared" si="22"/>
        <v>5.7179401993355512</v>
      </c>
      <c r="V25" s="13">
        <f t="shared" si="22"/>
        <v>9.693939393939397</v>
      </c>
      <c r="W25" s="13">
        <f t="shared" si="22"/>
        <v>13.285416666666663</v>
      </c>
      <c r="X25" s="13">
        <f t="shared" si="22"/>
        <v>11.664341085271307</v>
      </c>
      <c r="Y25" s="13">
        <f t="shared" si="22"/>
        <v>4.8680016611295658</v>
      </c>
      <c r="Z25" s="13">
        <f t="shared" si="22"/>
        <v>22.340171753246743</v>
      </c>
      <c r="AA25" s="13">
        <f t="shared" si="22"/>
        <v>11.227011184962343</v>
      </c>
      <c r="AB25" s="13">
        <f t="shared" si="22"/>
        <v>9.6427239938073654</v>
      </c>
      <c r="AC25" s="222">
        <f t="shared" si="22"/>
        <v>10.457283333548263</v>
      </c>
      <c r="AD25" s="222">
        <f t="shared" si="22"/>
        <v>10.352158324734596</v>
      </c>
      <c r="AE25" s="222">
        <f t="shared" si="22"/>
        <v>10.21959729212556</v>
      </c>
      <c r="AH25" s="223">
        <v>9</v>
      </c>
      <c r="AI25" s="223">
        <v>13</v>
      </c>
      <c r="AJ25" s="223">
        <v>11</v>
      </c>
      <c r="AK25" s="226"/>
    </row>
    <row r="26" spans="1:37">
      <c r="A26" s="3" t="s">
        <v>24</v>
      </c>
      <c r="B26" s="6">
        <f>B28-B27</f>
        <v>27.391304347826047</v>
      </c>
      <c r="C26" s="6">
        <f t="shared" ref="C26:AE26" si="23">C28-C27</f>
        <v>25.389428471121729</v>
      </c>
      <c r="D26" s="6">
        <f t="shared" si="23"/>
        <v>92.706679999999992</v>
      </c>
      <c r="E26" s="6">
        <f t="shared" si="23"/>
        <v>63.887703703703686</v>
      </c>
      <c r="F26" s="6">
        <f t="shared" si="23"/>
        <v>161.69971428571432</v>
      </c>
      <c r="G26" s="6">
        <f t="shared" si="23"/>
        <v>132.97438461538459</v>
      </c>
      <c r="H26" s="6">
        <f t="shared" si="23"/>
        <v>52.876142857142852</v>
      </c>
      <c r="I26" s="6">
        <f t="shared" si="23"/>
        <v>16.369153846153836</v>
      </c>
      <c r="J26" s="6">
        <f t="shared" si="23"/>
        <v>10.184000000000005</v>
      </c>
      <c r="K26" s="6">
        <f t="shared" si="23"/>
        <v>52.746636363636362</v>
      </c>
      <c r="L26" s="6">
        <f t="shared" si="23"/>
        <v>18.18620000000001</v>
      </c>
      <c r="M26" s="6">
        <f t="shared" si="23"/>
        <v>6.6120000000000019</v>
      </c>
      <c r="N26" s="6">
        <f t="shared" si="23"/>
        <v>12.763857142857145</v>
      </c>
      <c r="O26" s="6">
        <f t="shared" si="23"/>
        <v>11.837199999999996</v>
      </c>
      <c r="P26" s="6">
        <f t="shared" si="23"/>
        <v>8.0049999999999937</v>
      </c>
      <c r="Q26" s="6">
        <f t="shared" si="23"/>
        <v>7.8969999999999976</v>
      </c>
      <c r="R26" s="6">
        <f t="shared" si="23"/>
        <v>6.1329999999999982</v>
      </c>
      <c r="S26" s="6">
        <f t="shared" si="23"/>
        <v>7.1469999999999985</v>
      </c>
      <c r="T26" s="6">
        <f t="shared" si="23"/>
        <v>6.3179999999999987</v>
      </c>
      <c r="U26" s="6">
        <f t="shared" si="23"/>
        <v>5.7179401993355512</v>
      </c>
      <c r="V26" s="6">
        <f t="shared" si="23"/>
        <v>9.693939393939397</v>
      </c>
      <c r="W26" s="6">
        <f t="shared" si="23"/>
        <v>13.285416666666663</v>
      </c>
      <c r="X26" s="6">
        <f t="shared" si="23"/>
        <v>11.664341085271307</v>
      </c>
      <c r="Y26" s="6">
        <f t="shared" si="23"/>
        <v>4.8680016611295658</v>
      </c>
      <c r="Z26" s="6">
        <f t="shared" si="23"/>
        <v>22.340171753246743</v>
      </c>
      <c r="AA26" s="6">
        <f t="shared" si="23"/>
        <v>11.225011184962343</v>
      </c>
      <c r="AB26" s="6">
        <f t="shared" si="23"/>
        <v>9.641723993807366</v>
      </c>
      <c r="AC26" s="224">
        <f t="shared" si="23"/>
        <v>10.447283333548263</v>
      </c>
      <c r="AD26" s="224">
        <f t="shared" si="23"/>
        <v>10.342158324734596</v>
      </c>
      <c r="AE26" s="224">
        <f t="shared" si="23"/>
        <v>10.20959729212556</v>
      </c>
      <c r="AH26" s="223">
        <v>9</v>
      </c>
      <c r="AI26" s="223">
        <v>13</v>
      </c>
      <c r="AJ26" s="223">
        <v>11</v>
      </c>
      <c r="AK26" s="226"/>
    </row>
    <row r="27" spans="1:37">
      <c r="A27" s="3" t="s">
        <v>9</v>
      </c>
      <c r="B27" s="6">
        <v>0</v>
      </c>
      <c r="C27" s="6">
        <v>0</v>
      </c>
      <c r="D27" s="6">
        <f t="shared" ref="D27:AB27" si="24">D156</f>
        <v>0</v>
      </c>
      <c r="E27" s="6">
        <f t="shared" si="24"/>
        <v>0</v>
      </c>
      <c r="F27" s="6">
        <f t="shared" si="24"/>
        <v>0</v>
      </c>
      <c r="G27" s="6">
        <f t="shared" si="24"/>
        <v>0</v>
      </c>
      <c r="H27" s="6">
        <f t="shared" si="24"/>
        <v>0</v>
      </c>
      <c r="I27" s="6">
        <f t="shared" si="24"/>
        <v>0</v>
      </c>
      <c r="J27" s="6">
        <f t="shared" si="24"/>
        <v>0</v>
      </c>
      <c r="K27" s="6">
        <f t="shared" si="24"/>
        <v>0</v>
      </c>
      <c r="L27" s="6">
        <f t="shared" si="24"/>
        <v>0</v>
      </c>
      <c r="M27" s="6">
        <f t="shared" si="24"/>
        <v>0</v>
      </c>
      <c r="N27" s="6">
        <f t="shared" si="24"/>
        <v>0</v>
      </c>
      <c r="O27" s="6">
        <f t="shared" si="24"/>
        <v>0</v>
      </c>
      <c r="P27" s="6">
        <f t="shared" si="24"/>
        <v>0</v>
      </c>
      <c r="Q27" s="6">
        <f t="shared" si="24"/>
        <v>0</v>
      </c>
      <c r="R27" s="6">
        <f t="shared" si="24"/>
        <v>0</v>
      </c>
      <c r="S27" s="6">
        <f t="shared" si="24"/>
        <v>0</v>
      </c>
      <c r="T27" s="6">
        <f t="shared" si="24"/>
        <v>0</v>
      </c>
      <c r="U27" s="6">
        <f t="shared" si="24"/>
        <v>0</v>
      </c>
      <c r="V27" s="6">
        <f t="shared" si="24"/>
        <v>0</v>
      </c>
      <c r="W27" s="6">
        <f t="shared" si="24"/>
        <v>0</v>
      </c>
      <c r="X27" s="6">
        <f t="shared" si="24"/>
        <v>0</v>
      </c>
      <c r="Y27" s="6">
        <f t="shared" si="24"/>
        <v>0</v>
      </c>
      <c r="Z27" s="6">
        <f t="shared" si="24"/>
        <v>0</v>
      </c>
      <c r="AA27" s="6">
        <f t="shared" si="24"/>
        <v>2E-3</v>
      </c>
      <c r="AB27" s="6">
        <f t="shared" si="24"/>
        <v>1E-3</v>
      </c>
      <c r="AC27" s="224">
        <v>0.01</v>
      </c>
      <c r="AD27" s="224">
        <v>0.01</v>
      </c>
      <c r="AE27" s="224">
        <v>0.01</v>
      </c>
      <c r="AH27" s="223">
        <v>0</v>
      </c>
      <c r="AI27" s="223">
        <v>0</v>
      </c>
      <c r="AJ27" s="223">
        <v>0</v>
      </c>
      <c r="AK27" s="226"/>
    </row>
    <row r="28" spans="1:37">
      <c r="A28" s="221" t="s">
        <v>12</v>
      </c>
      <c r="B28" s="13">
        <f>B25-B29</f>
        <v>27.391304347826047</v>
      </c>
      <c r="C28" s="13">
        <f t="shared" ref="C28:AE28" si="25">C25-C29</f>
        <v>25.389428471121729</v>
      </c>
      <c r="D28" s="13">
        <f t="shared" si="25"/>
        <v>92.706679999999992</v>
      </c>
      <c r="E28" s="13">
        <f t="shared" si="25"/>
        <v>63.887703703703686</v>
      </c>
      <c r="F28" s="13">
        <f t="shared" si="25"/>
        <v>161.69971428571432</v>
      </c>
      <c r="G28" s="13">
        <f t="shared" si="25"/>
        <v>132.97438461538459</v>
      </c>
      <c r="H28" s="13">
        <f t="shared" si="25"/>
        <v>52.876142857142852</v>
      </c>
      <c r="I28" s="13">
        <f t="shared" si="25"/>
        <v>16.369153846153836</v>
      </c>
      <c r="J28" s="13">
        <f t="shared" si="25"/>
        <v>10.184000000000005</v>
      </c>
      <c r="K28" s="13">
        <f t="shared" si="25"/>
        <v>52.746636363636362</v>
      </c>
      <c r="L28" s="13">
        <f t="shared" si="25"/>
        <v>18.18620000000001</v>
      </c>
      <c r="M28" s="13">
        <f t="shared" si="25"/>
        <v>6.6120000000000019</v>
      </c>
      <c r="N28" s="13">
        <f t="shared" si="25"/>
        <v>12.763857142857145</v>
      </c>
      <c r="O28" s="13">
        <f t="shared" si="25"/>
        <v>11.837199999999996</v>
      </c>
      <c r="P28" s="13">
        <f t="shared" si="25"/>
        <v>8.0049999999999937</v>
      </c>
      <c r="Q28" s="13">
        <f t="shared" si="25"/>
        <v>7.8969999999999976</v>
      </c>
      <c r="R28" s="13">
        <f t="shared" si="25"/>
        <v>6.1329999999999982</v>
      </c>
      <c r="S28" s="13">
        <f t="shared" si="25"/>
        <v>7.1469999999999985</v>
      </c>
      <c r="T28" s="13">
        <f t="shared" si="25"/>
        <v>6.3179999999999987</v>
      </c>
      <c r="U28" s="13">
        <f t="shared" si="25"/>
        <v>5.7179401993355512</v>
      </c>
      <c r="V28" s="13">
        <f t="shared" si="25"/>
        <v>9.693939393939397</v>
      </c>
      <c r="W28" s="13">
        <f t="shared" si="25"/>
        <v>13.285416666666663</v>
      </c>
      <c r="X28" s="13">
        <f t="shared" si="25"/>
        <v>11.664341085271307</v>
      </c>
      <c r="Y28" s="13">
        <f t="shared" si="25"/>
        <v>4.8680016611295658</v>
      </c>
      <c r="Z28" s="13">
        <f t="shared" si="25"/>
        <v>22.340171753246743</v>
      </c>
      <c r="AA28" s="13">
        <f t="shared" si="25"/>
        <v>11.227011184962343</v>
      </c>
      <c r="AB28" s="13">
        <f t="shared" si="25"/>
        <v>9.6427239938073654</v>
      </c>
      <c r="AC28" s="222">
        <f t="shared" si="25"/>
        <v>10.457283333548263</v>
      </c>
      <c r="AD28" s="222">
        <f t="shared" si="25"/>
        <v>10.352158324734596</v>
      </c>
      <c r="AE28" s="222">
        <f t="shared" si="25"/>
        <v>10.21959729212556</v>
      </c>
      <c r="AH28" s="226"/>
      <c r="AJ28" s="201"/>
      <c r="AK28" s="226"/>
    </row>
    <row r="29" spans="1:37">
      <c r="A29" s="3" t="s">
        <v>317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224">
        <v>0</v>
      </c>
      <c r="AD29" s="224">
        <v>0</v>
      </c>
      <c r="AE29" s="224">
        <v>0</v>
      </c>
      <c r="AH29" s="223">
        <v>0</v>
      </c>
      <c r="AI29" s="223">
        <v>0</v>
      </c>
      <c r="AJ29" s="223">
        <v>0</v>
      </c>
      <c r="AK29" s="226"/>
    </row>
    <row r="30" spans="1:37" ht="15.75" thickBot="1">
      <c r="A30" s="3" t="s">
        <v>225</v>
      </c>
      <c r="AH30" s="226"/>
      <c r="AJ30" s="201"/>
      <c r="AK30" s="226"/>
    </row>
    <row r="31" spans="1:37">
      <c r="A31" s="229" t="s">
        <v>418</v>
      </c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H31" s="226"/>
      <c r="AJ31" s="201"/>
      <c r="AK31" s="226"/>
    </row>
    <row r="32" spans="1:37">
      <c r="A32" s="221" t="s">
        <v>316</v>
      </c>
      <c r="B32" s="13">
        <v>20</v>
      </c>
      <c r="C32" s="13">
        <f>B42</f>
        <v>9</v>
      </c>
      <c r="D32" s="13">
        <f t="shared" ref="D32:AE32" si="26">C42</f>
        <v>5</v>
      </c>
      <c r="E32" s="13">
        <f t="shared" si="26"/>
        <v>11</v>
      </c>
      <c r="F32" s="13">
        <f t="shared" si="26"/>
        <v>10</v>
      </c>
      <c r="G32" s="13">
        <f t="shared" si="26"/>
        <v>10</v>
      </c>
      <c r="H32" s="13">
        <f t="shared" si="26"/>
        <v>11</v>
      </c>
      <c r="I32" s="13">
        <f t="shared" si="26"/>
        <v>10</v>
      </c>
      <c r="J32" s="13">
        <f t="shared" si="26"/>
        <v>11</v>
      </c>
      <c r="K32" s="13">
        <f t="shared" si="26"/>
        <v>0</v>
      </c>
      <c r="L32" s="13">
        <f t="shared" si="26"/>
        <v>8</v>
      </c>
      <c r="M32" s="13">
        <f t="shared" si="26"/>
        <v>28</v>
      </c>
      <c r="N32" s="13">
        <f t="shared" si="26"/>
        <v>0</v>
      </c>
      <c r="O32" s="13">
        <f t="shared" si="26"/>
        <v>7</v>
      </c>
      <c r="P32" s="13">
        <f t="shared" si="26"/>
        <v>11</v>
      </c>
      <c r="Q32" s="13">
        <f t="shared" si="26"/>
        <v>0</v>
      </c>
      <c r="R32" s="13">
        <f t="shared" si="26"/>
        <v>0</v>
      </c>
      <c r="S32" s="13">
        <f t="shared" si="26"/>
        <v>0</v>
      </c>
      <c r="T32" s="13">
        <f t="shared" si="26"/>
        <v>0</v>
      </c>
      <c r="U32" s="13">
        <f t="shared" si="26"/>
        <v>0</v>
      </c>
      <c r="V32" s="13">
        <f t="shared" si="26"/>
        <v>0</v>
      </c>
      <c r="W32" s="13">
        <f t="shared" si="26"/>
        <v>0</v>
      </c>
      <c r="X32" s="13">
        <f t="shared" si="26"/>
        <v>5</v>
      </c>
      <c r="Y32" s="13">
        <f t="shared" si="26"/>
        <v>25</v>
      </c>
      <c r="Z32" s="13">
        <f t="shared" si="26"/>
        <v>0</v>
      </c>
      <c r="AA32" s="13">
        <f t="shared" si="26"/>
        <v>55</v>
      </c>
      <c r="AB32" s="13">
        <f t="shared" si="26"/>
        <v>22</v>
      </c>
      <c r="AC32" s="13">
        <f t="shared" si="26"/>
        <v>9</v>
      </c>
      <c r="AD32" s="222">
        <f t="shared" si="26"/>
        <v>10</v>
      </c>
      <c r="AE32" s="222">
        <f t="shared" si="26"/>
        <v>10</v>
      </c>
      <c r="AH32" s="223">
        <v>22</v>
      </c>
      <c r="AI32" s="223">
        <v>9</v>
      </c>
      <c r="AJ32" s="223">
        <v>18</v>
      </c>
      <c r="AK32" s="226"/>
    </row>
    <row r="33" spans="1:37">
      <c r="A33" s="3" t="s">
        <v>5</v>
      </c>
      <c r="B33" s="6">
        <f>B219</f>
        <v>12.999999999999972</v>
      </c>
      <c r="C33" s="6">
        <f>C219</f>
        <v>0.30744352983294299</v>
      </c>
      <c r="D33" s="6">
        <f t="shared" ref="D33:Y33" si="27">D219</f>
        <v>78.172999999999973</v>
      </c>
      <c r="E33" s="6">
        <f t="shared" si="27"/>
        <v>47.032999999999987</v>
      </c>
      <c r="F33" s="6">
        <f t="shared" si="27"/>
        <v>117.182</v>
      </c>
      <c r="G33" s="6">
        <f t="shared" si="27"/>
        <v>87.945999999999984</v>
      </c>
      <c r="H33" s="6">
        <f t="shared" si="27"/>
        <v>37.670999999999999</v>
      </c>
      <c r="I33" s="6">
        <f t="shared" si="27"/>
        <v>12.663999999999989</v>
      </c>
      <c r="J33" s="6">
        <f t="shared" si="27"/>
        <v>7.996000000000004</v>
      </c>
      <c r="K33" s="6">
        <f t="shared" si="27"/>
        <v>49.205999999999989</v>
      </c>
      <c r="L33" s="6">
        <f t="shared" si="27"/>
        <v>15.64800000000001</v>
      </c>
      <c r="M33" s="6">
        <f t="shared" si="27"/>
        <v>3.6970000000000018</v>
      </c>
      <c r="N33" s="6">
        <f t="shared" si="27"/>
        <v>7.3699999999999974</v>
      </c>
      <c r="O33" s="6">
        <f t="shared" si="27"/>
        <v>4.6959999999999944</v>
      </c>
      <c r="P33" s="6">
        <f t="shared" si="27"/>
        <v>4.1529999999999934</v>
      </c>
      <c r="Q33" s="6">
        <f t="shared" si="27"/>
        <v>5.4509999999999978</v>
      </c>
      <c r="R33" s="6">
        <f t="shared" si="27"/>
        <v>4.9420000000000002</v>
      </c>
      <c r="S33" s="6">
        <f t="shared" si="27"/>
        <v>6.6969999999999992</v>
      </c>
      <c r="T33" s="6">
        <f t="shared" si="27"/>
        <v>6.3179999999999996</v>
      </c>
      <c r="U33" s="6">
        <f t="shared" si="27"/>
        <v>5.7370000000000019</v>
      </c>
      <c r="V33" s="6">
        <f t="shared" si="27"/>
        <v>9.5969999999999995</v>
      </c>
      <c r="W33" s="6">
        <f t="shared" si="27"/>
        <v>12.754000000000001</v>
      </c>
      <c r="X33" s="6">
        <f t="shared" si="27"/>
        <v>11.395999999999994</v>
      </c>
      <c r="Y33" s="6">
        <f t="shared" si="27"/>
        <v>4.8019549999999995</v>
      </c>
      <c r="Z33" s="6">
        <f>Z235*Z92</f>
        <v>22.525242999999993</v>
      </c>
      <c r="AA33" s="6">
        <f>AA235*AA92</f>
        <v>10.643279999999976</v>
      </c>
      <c r="AB33" s="6">
        <f>AB235*AB92</f>
        <v>9.3722769999999951</v>
      </c>
      <c r="AC33" s="224">
        <f>AC235*AC92</f>
        <v>10.08</v>
      </c>
      <c r="AD33" s="224">
        <f t="shared" ref="AD33:AE33" si="28">AD235*AD92</f>
        <v>11</v>
      </c>
      <c r="AE33" s="224">
        <f t="shared" si="28"/>
        <v>10.647425530552468</v>
      </c>
      <c r="AH33" s="223">
        <v>9</v>
      </c>
      <c r="AI33" s="223">
        <v>10</v>
      </c>
      <c r="AJ33" s="223">
        <v>11</v>
      </c>
      <c r="AK33" s="226"/>
    </row>
    <row r="34" spans="1:37">
      <c r="A34" s="3" t="s">
        <v>6</v>
      </c>
      <c r="B34" s="6">
        <v>213</v>
      </c>
      <c r="C34" s="6">
        <v>270.51477647016708</v>
      </c>
      <c r="D34" s="6">
        <f t="shared" ref="D34:AB34" si="29">D267</f>
        <v>231.94800000000004</v>
      </c>
      <c r="E34" s="6">
        <f t="shared" si="29"/>
        <v>257.84899999999999</v>
      </c>
      <c r="F34" s="6">
        <f t="shared" si="29"/>
        <v>184.25200000000004</v>
      </c>
      <c r="G34" s="6">
        <f t="shared" si="29"/>
        <v>164.44399999999999</v>
      </c>
      <c r="H34" s="6">
        <f t="shared" si="29"/>
        <v>184.35999999999996</v>
      </c>
      <c r="I34" s="6">
        <f t="shared" si="29"/>
        <v>69.545999999999992</v>
      </c>
      <c r="J34" s="6">
        <f t="shared" si="29"/>
        <v>40.005000000000003</v>
      </c>
      <c r="K34" s="6">
        <f t="shared" si="29"/>
        <v>51.993000000000002</v>
      </c>
      <c r="L34" s="6">
        <f t="shared" si="29"/>
        <v>109.69099999999999</v>
      </c>
      <c r="M34" s="6">
        <f t="shared" si="29"/>
        <v>53.34</v>
      </c>
      <c r="N34" s="6">
        <f t="shared" si="29"/>
        <v>90.512999999999991</v>
      </c>
      <c r="O34" s="6">
        <f t="shared" si="29"/>
        <v>87.480999999999995</v>
      </c>
      <c r="P34" s="6">
        <f t="shared" si="29"/>
        <v>32.814</v>
      </c>
      <c r="Q34" s="6">
        <f t="shared" si="29"/>
        <v>29.029</v>
      </c>
      <c r="R34" s="6">
        <f t="shared" si="29"/>
        <v>22.334</v>
      </c>
      <c r="S34" s="6">
        <f t="shared" si="29"/>
        <v>35.710999999999999</v>
      </c>
      <c r="T34" s="6">
        <f t="shared" si="29"/>
        <v>30.581999999999997</v>
      </c>
      <c r="U34" s="6">
        <f t="shared" si="29"/>
        <v>32.853999999999999</v>
      </c>
      <c r="V34" s="6">
        <f t="shared" si="29"/>
        <v>37.802999999999997</v>
      </c>
      <c r="W34" s="6">
        <f t="shared" si="29"/>
        <v>40.262999999999998</v>
      </c>
      <c r="X34" s="6">
        <f t="shared" si="29"/>
        <v>49.224000000000004</v>
      </c>
      <c r="Y34" s="6">
        <f t="shared" si="29"/>
        <v>11.075783999999999</v>
      </c>
      <c r="Z34" s="6">
        <f t="shared" si="29"/>
        <v>140.79506800000001</v>
      </c>
      <c r="AA34" s="6">
        <f t="shared" si="29"/>
        <v>72.634400999999983</v>
      </c>
      <c r="AB34" s="6">
        <f t="shared" si="29"/>
        <v>24.676779</v>
      </c>
      <c r="AC34" s="224">
        <v>35</v>
      </c>
      <c r="AD34" s="224">
        <v>25</v>
      </c>
      <c r="AE34" s="224">
        <v>25</v>
      </c>
      <c r="AH34" s="223">
        <v>25</v>
      </c>
      <c r="AI34" s="223">
        <v>66</v>
      </c>
      <c r="AJ34" s="223">
        <v>50</v>
      </c>
      <c r="AK34" s="226"/>
    </row>
    <row r="35" spans="1:37">
      <c r="A35" s="221" t="s">
        <v>7</v>
      </c>
      <c r="B35" s="13">
        <f>SUM(B32:B34)</f>
        <v>245.99999999999997</v>
      </c>
      <c r="C35" s="13">
        <f t="shared" ref="C35:AE35" si="30">SUM(C32:C34)</f>
        <v>279.82222000000002</v>
      </c>
      <c r="D35" s="13">
        <f t="shared" si="30"/>
        <v>315.12099999999998</v>
      </c>
      <c r="E35" s="13">
        <f t="shared" si="30"/>
        <v>315.88199999999995</v>
      </c>
      <c r="F35" s="13">
        <f t="shared" si="30"/>
        <v>311.43400000000003</v>
      </c>
      <c r="G35" s="13">
        <f t="shared" si="30"/>
        <v>262.39</v>
      </c>
      <c r="H35" s="13">
        <f t="shared" si="30"/>
        <v>233.03099999999995</v>
      </c>
      <c r="I35" s="13">
        <f t="shared" si="30"/>
        <v>92.20999999999998</v>
      </c>
      <c r="J35" s="13">
        <f t="shared" si="30"/>
        <v>59.001000000000005</v>
      </c>
      <c r="K35" s="13">
        <f t="shared" si="30"/>
        <v>101.19899999999998</v>
      </c>
      <c r="L35" s="13">
        <f t="shared" si="30"/>
        <v>133.339</v>
      </c>
      <c r="M35" s="13">
        <f t="shared" si="30"/>
        <v>85.037000000000006</v>
      </c>
      <c r="N35" s="13">
        <f t="shared" si="30"/>
        <v>97.882999999999981</v>
      </c>
      <c r="O35" s="13">
        <f t="shared" si="30"/>
        <v>99.176999999999992</v>
      </c>
      <c r="P35" s="13">
        <f t="shared" si="30"/>
        <v>47.966999999999992</v>
      </c>
      <c r="Q35" s="13">
        <f t="shared" si="30"/>
        <v>34.479999999999997</v>
      </c>
      <c r="R35" s="13">
        <f t="shared" si="30"/>
        <v>27.276</v>
      </c>
      <c r="S35" s="13">
        <f t="shared" si="30"/>
        <v>42.408000000000001</v>
      </c>
      <c r="T35" s="13">
        <f t="shared" si="30"/>
        <v>36.9</v>
      </c>
      <c r="U35" s="13">
        <f t="shared" si="30"/>
        <v>38.591000000000001</v>
      </c>
      <c r="V35" s="13">
        <f t="shared" si="30"/>
        <v>47.4</v>
      </c>
      <c r="W35" s="13">
        <f t="shared" si="30"/>
        <v>53.016999999999996</v>
      </c>
      <c r="X35" s="13">
        <f t="shared" si="30"/>
        <v>65.62</v>
      </c>
      <c r="Y35" s="13">
        <f t="shared" si="30"/>
        <v>40.877738999999998</v>
      </c>
      <c r="Z35" s="13">
        <f t="shared" si="30"/>
        <v>163.320311</v>
      </c>
      <c r="AA35" s="13">
        <f t="shared" si="30"/>
        <v>138.27768099999997</v>
      </c>
      <c r="AB35" s="13">
        <f t="shared" si="30"/>
        <v>56.049055999999993</v>
      </c>
      <c r="AC35" s="222">
        <f t="shared" si="30"/>
        <v>54.08</v>
      </c>
      <c r="AD35" s="222">
        <f t="shared" si="30"/>
        <v>46</v>
      </c>
      <c r="AE35" s="222">
        <f t="shared" si="30"/>
        <v>45.647425530552468</v>
      </c>
      <c r="AH35" s="223">
        <v>56</v>
      </c>
      <c r="AI35" s="223">
        <v>85</v>
      </c>
      <c r="AJ35" s="223">
        <v>79</v>
      </c>
      <c r="AK35" s="226"/>
    </row>
    <row r="36" spans="1:37">
      <c r="A36" s="3" t="s">
        <v>24</v>
      </c>
      <c r="B36" s="6">
        <f>SUM(B37:B39)</f>
        <v>237</v>
      </c>
      <c r="C36" s="6">
        <f t="shared" ref="C36:AB36" si="31">SUM(C37:C39)</f>
        <v>245</v>
      </c>
      <c r="D36" s="6">
        <f t="shared" si="31"/>
        <v>262</v>
      </c>
      <c r="E36" s="6">
        <f t="shared" si="31"/>
        <v>265</v>
      </c>
      <c r="F36" s="6">
        <f t="shared" si="31"/>
        <v>254</v>
      </c>
      <c r="G36" s="6">
        <f t="shared" si="31"/>
        <v>202</v>
      </c>
      <c r="H36" s="6">
        <f t="shared" si="31"/>
        <v>182</v>
      </c>
      <c r="I36" s="6">
        <f t="shared" si="31"/>
        <v>55</v>
      </c>
      <c r="J36" s="6">
        <f t="shared" si="31"/>
        <v>39</v>
      </c>
      <c r="K36" s="6">
        <f t="shared" si="31"/>
        <v>58</v>
      </c>
      <c r="L36" s="6">
        <f t="shared" si="31"/>
        <v>68</v>
      </c>
      <c r="M36" s="6">
        <f t="shared" si="31"/>
        <v>48</v>
      </c>
      <c r="N36" s="6">
        <f t="shared" si="31"/>
        <v>54</v>
      </c>
      <c r="O36" s="6">
        <f t="shared" si="31"/>
        <v>47</v>
      </c>
      <c r="P36" s="6">
        <f t="shared" si="31"/>
        <v>5</v>
      </c>
      <c r="Q36" s="6">
        <f t="shared" si="31"/>
        <v>13</v>
      </c>
      <c r="R36" s="6">
        <f t="shared" si="31"/>
        <v>3</v>
      </c>
      <c r="S36" s="6">
        <f t="shared" si="31"/>
        <v>17</v>
      </c>
      <c r="T36" s="6">
        <f t="shared" si="31"/>
        <v>4</v>
      </c>
      <c r="U36" s="6">
        <f t="shared" si="31"/>
        <v>7</v>
      </c>
      <c r="V36" s="6">
        <f t="shared" si="31"/>
        <v>12</v>
      </c>
      <c r="W36" s="6">
        <f t="shared" si="31"/>
        <v>18</v>
      </c>
      <c r="X36" s="6">
        <f t="shared" si="31"/>
        <v>19</v>
      </c>
      <c r="Y36" s="6">
        <f t="shared" si="31"/>
        <v>21</v>
      </c>
      <c r="Z36" s="6">
        <f t="shared" si="31"/>
        <v>90</v>
      </c>
      <c r="AA36" s="6">
        <f t="shared" si="31"/>
        <v>95</v>
      </c>
      <c r="AB36" s="6">
        <f t="shared" si="31"/>
        <v>25</v>
      </c>
      <c r="AC36" s="224">
        <f>SUM(AC37:AC39)</f>
        <v>30</v>
      </c>
      <c r="AD36" s="224">
        <f t="shared" ref="AD36:AE36" si="32">SUM(AD37:AD39)</f>
        <v>35</v>
      </c>
      <c r="AE36" s="224">
        <f t="shared" si="32"/>
        <v>27</v>
      </c>
      <c r="AH36" s="223">
        <v>25</v>
      </c>
      <c r="AI36" s="223">
        <v>40</v>
      </c>
      <c r="AJ36" s="223">
        <v>40</v>
      </c>
      <c r="AK36" s="226"/>
    </row>
    <row r="37" spans="1:37">
      <c r="A37" s="3" t="s">
        <v>30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224">
        <v>0</v>
      </c>
      <c r="AD37" s="224">
        <v>0</v>
      </c>
      <c r="AE37" s="224">
        <v>0</v>
      </c>
      <c r="AH37" s="223">
        <v>0</v>
      </c>
      <c r="AI37" s="223">
        <v>0</v>
      </c>
      <c r="AJ37" s="223">
        <v>0</v>
      </c>
      <c r="AK37" s="226"/>
    </row>
    <row r="38" spans="1:37">
      <c r="A38" s="3" t="s">
        <v>31</v>
      </c>
      <c r="B38" s="6">
        <v>0</v>
      </c>
      <c r="C38" s="6">
        <v>41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224">
        <v>0</v>
      </c>
      <c r="AD38" s="224">
        <v>0</v>
      </c>
      <c r="AE38" s="224">
        <v>0</v>
      </c>
      <c r="AH38" s="223">
        <v>0</v>
      </c>
      <c r="AI38" s="223">
        <v>0</v>
      </c>
      <c r="AJ38" s="223">
        <v>0</v>
      </c>
      <c r="AK38" s="226"/>
    </row>
    <row r="39" spans="1:37">
      <c r="A39" s="3" t="s">
        <v>32</v>
      </c>
      <c r="B39" s="6">
        <v>237</v>
      </c>
      <c r="C39" s="6">
        <v>204</v>
      </c>
      <c r="D39" s="6">
        <v>262</v>
      </c>
      <c r="E39" s="6">
        <v>265</v>
      </c>
      <c r="F39" s="6">
        <v>254</v>
      </c>
      <c r="G39" s="6">
        <v>202</v>
      </c>
      <c r="H39" s="6">
        <v>182</v>
      </c>
      <c r="I39" s="6">
        <v>55</v>
      </c>
      <c r="J39" s="6">
        <v>39</v>
      </c>
      <c r="K39" s="6">
        <v>58</v>
      </c>
      <c r="L39" s="6">
        <v>68</v>
      </c>
      <c r="M39" s="6">
        <v>48</v>
      </c>
      <c r="N39" s="6">
        <v>54</v>
      </c>
      <c r="O39" s="6">
        <v>47</v>
      </c>
      <c r="P39" s="6">
        <v>5</v>
      </c>
      <c r="Q39" s="6">
        <v>13</v>
      </c>
      <c r="R39" s="6">
        <v>3</v>
      </c>
      <c r="S39" s="6">
        <v>17</v>
      </c>
      <c r="T39" s="6">
        <v>4</v>
      </c>
      <c r="U39" s="6">
        <v>7</v>
      </c>
      <c r="V39" s="6">
        <v>12</v>
      </c>
      <c r="W39" s="6">
        <v>18</v>
      </c>
      <c r="X39" s="6">
        <v>19</v>
      </c>
      <c r="Y39" s="6">
        <v>21</v>
      </c>
      <c r="Z39" s="6">
        <v>90</v>
      </c>
      <c r="AA39" s="6">
        <v>95</v>
      </c>
      <c r="AB39" s="6">
        <v>25</v>
      </c>
      <c r="AC39" s="224">
        <v>30</v>
      </c>
      <c r="AD39" s="224">
        <v>35</v>
      </c>
      <c r="AE39" s="224">
        <v>27</v>
      </c>
      <c r="AH39" s="223">
        <v>25</v>
      </c>
      <c r="AI39" s="223">
        <v>40</v>
      </c>
      <c r="AJ39" s="223">
        <v>40</v>
      </c>
      <c r="AK39" s="226"/>
    </row>
    <row r="40" spans="1:37">
      <c r="A40" s="3" t="s">
        <v>9</v>
      </c>
      <c r="B40" s="6">
        <v>0</v>
      </c>
      <c r="C40" s="6">
        <v>1</v>
      </c>
      <c r="D40" s="6">
        <f t="shared" ref="D40:AB40" si="33">D283</f>
        <v>42.120999999999995</v>
      </c>
      <c r="E40" s="6">
        <f t="shared" si="33"/>
        <v>40.882000000000005</v>
      </c>
      <c r="F40" s="6">
        <f t="shared" si="33"/>
        <v>47.43399999999999</v>
      </c>
      <c r="G40" s="6">
        <f t="shared" si="33"/>
        <v>49.39</v>
      </c>
      <c r="H40" s="6">
        <f t="shared" si="33"/>
        <v>41.030999999999999</v>
      </c>
      <c r="I40" s="6">
        <f t="shared" si="33"/>
        <v>26.21</v>
      </c>
      <c r="J40" s="6">
        <f t="shared" si="33"/>
        <v>20.001000000000001</v>
      </c>
      <c r="K40" s="6">
        <f t="shared" si="33"/>
        <v>35.198999999999998</v>
      </c>
      <c r="L40" s="6">
        <f t="shared" si="33"/>
        <v>37.338999999999999</v>
      </c>
      <c r="M40" s="6">
        <f t="shared" si="33"/>
        <v>37.036999999999999</v>
      </c>
      <c r="N40" s="6">
        <f t="shared" si="33"/>
        <v>36.883000000000003</v>
      </c>
      <c r="O40" s="6">
        <f t="shared" si="33"/>
        <v>41.177</v>
      </c>
      <c r="P40" s="6">
        <f t="shared" si="33"/>
        <v>42.966999999999999</v>
      </c>
      <c r="Q40" s="6">
        <f t="shared" si="33"/>
        <v>21.48</v>
      </c>
      <c r="R40" s="6">
        <f t="shared" si="33"/>
        <v>24.275999999999996</v>
      </c>
      <c r="S40" s="6">
        <f t="shared" si="33"/>
        <v>25.407999999999998</v>
      </c>
      <c r="T40" s="6">
        <f t="shared" si="33"/>
        <v>32.9</v>
      </c>
      <c r="U40" s="6">
        <f t="shared" si="33"/>
        <v>31.591000000000001</v>
      </c>
      <c r="V40" s="6">
        <f t="shared" si="33"/>
        <v>35.400000000000006</v>
      </c>
      <c r="W40" s="6">
        <f t="shared" si="33"/>
        <v>30.016999999999992</v>
      </c>
      <c r="X40" s="6">
        <f t="shared" si="33"/>
        <v>21.62</v>
      </c>
      <c r="Y40" s="6">
        <f t="shared" si="33"/>
        <v>19.877739000000002</v>
      </c>
      <c r="Z40" s="6">
        <f t="shared" si="33"/>
        <v>18.320311000000004</v>
      </c>
      <c r="AA40" s="6">
        <f t="shared" si="33"/>
        <v>21.277681000000001</v>
      </c>
      <c r="AB40" s="6">
        <f t="shared" si="33"/>
        <v>22.049056</v>
      </c>
      <c r="AC40" s="224">
        <f>AC41-AC36</f>
        <v>14.079999999999998</v>
      </c>
      <c r="AD40" s="224">
        <f t="shared" ref="AD40:AE40" si="34">AD41-AD36</f>
        <v>1</v>
      </c>
      <c r="AE40" s="224">
        <f t="shared" si="34"/>
        <v>11.647425530552468</v>
      </c>
      <c r="AH40" s="223">
        <v>22</v>
      </c>
      <c r="AI40" s="223">
        <v>27</v>
      </c>
      <c r="AJ40" s="223">
        <v>20</v>
      </c>
      <c r="AK40" s="226"/>
    </row>
    <row r="41" spans="1:37">
      <c r="A41" s="221" t="s">
        <v>12</v>
      </c>
      <c r="B41" s="13">
        <f>B35-B42</f>
        <v>236.99999999999997</v>
      </c>
      <c r="C41" s="13">
        <f t="shared" ref="C41:AE41" si="35">C35-C42</f>
        <v>274.82222000000002</v>
      </c>
      <c r="D41" s="13">
        <f t="shared" si="35"/>
        <v>304.12099999999998</v>
      </c>
      <c r="E41" s="13">
        <f t="shared" si="35"/>
        <v>305.88199999999995</v>
      </c>
      <c r="F41" s="13">
        <f t="shared" si="35"/>
        <v>301.43400000000003</v>
      </c>
      <c r="G41" s="13">
        <f t="shared" si="35"/>
        <v>251.39</v>
      </c>
      <c r="H41" s="13">
        <f t="shared" si="35"/>
        <v>223.03099999999995</v>
      </c>
      <c r="I41" s="13">
        <f t="shared" si="35"/>
        <v>81.20999999999998</v>
      </c>
      <c r="J41" s="13">
        <f t="shared" si="35"/>
        <v>59.001000000000005</v>
      </c>
      <c r="K41" s="13">
        <f t="shared" si="35"/>
        <v>93.198999999999984</v>
      </c>
      <c r="L41" s="13">
        <f t="shared" si="35"/>
        <v>105.339</v>
      </c>
      <c r="M41" s="13">
        <f t="shared" si="35"/>
        <v>85.037000000000006</v>
      </c>
      <c r="N41" s="13">
        <f t="shared" si="35"/>
        <v>90.882999999999981</v>
      </c>
      <c r="O41" s="13">
        <f t="shared" si="35"/>
        <v>88.176999999999992</v>
      </c>
      <c r="P41" s="13">
        <f t="shared" si="35"/>
        <v>47.966999999999992</v>
      </c>
      <c r="Q41" s="13">
        <f t="shared" si="35"/>
        <v>34.479999999999997</v>
      </c>
      <c r="R41" s="13">
        <f t="shared" si="35"/>
        <v>27.276</v>
      </c>
      <c r="S41" s="13">
        <f t="shared" si="35"/>
        <v>42.408000000000001</v>
      </c>
      <c r="T41" s="13">
        <f t="shared" si="35"/>
        <v>36.9</v>
      </c>
      <c r="U41" s="13">
        <f t="shared" si="35"/>
        <v>38.591000000000001</v>
      </c>
      <c r="V41" s="13">
        <f t="shared" si="35"/>
        <v>47.4</v>
      </c>
      <c r="W41" s="13">
        <f t="shared" si="35"/>
        <v>48.016999999999996</v>
      </c>
      <c r="X41" s="13">
        <f t="shared" si="35"/>
        <v>40.620000000000005</v>
      </c>
      <c r="Y41" s="13">
        <f t="shared" si="35"/>
        <v>40.877738999999998</v>
      </c>
      <c r="Z41" s="13">
        <f t="shared" si="35"/>
        <v>108.320311</v>
      </c>
      <c r="AA41" s="13">
        <f t="shared" si="35"/>
        <v>116.27768099999997</v>
      </c>
      <c r="AB41" s="13">
        <f t="shared" si="35"/>
        <v>47.049055999999993</v>
      </c>
      <c r="AC41" s="222">
        <f t="shared" si="35"/>
        <v>44.08</v>
      </c>
      <c r="AD41" s="222">
        <f t="shared" si="35"/>
        <v>36</v>
      </c>
      <c r="AE41" s="222">
        <f t="shared" si="35"/>
        <v>38.647425530552468</v>
      </c>
      <c r="AH41" s="226"/>
      <c r="AJ41" s="201"/>
      <c r="AK41" s="226"/>
    </row>
    <row r="42" spans="1:37">
      <c r="A42" s="3" t="s">
        <v>317</v>
      </c>
      <c r="B42" s="6">
        <v>9</v>
      </c>
      <c r="C42" s="6">
        <v>5</v>
      </c>
      <c r="D42" s="6">
        <v>11</v>
      </c>
      <c r="E42" s="6">
        <v>10</v>
      </c>
      <c r="F42" s="6">
        <v>10</v>
      </c>
      <c r="G42" s="6">
        <v>11</v>
      </c>
      <c r="H42" s="6">
        <v>10</v>
      </c>
      <c r="I42" s="6">
        <v>11</v>
      </c>
      <c r="J42" s="6">
        <v>0</v>
      </c>
      <c r="K42" s="6">
        <v>8</v>
      </c>
      <c r="L42" s="6">
        <v>28</v>
      </c>
      <c r="M42" s="6">
        <v>0</v>
      </c>
      <c r="N42" s="6">
        <v>7</v>
      </c>
      <c r="O42" s="6">
        <v>11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5</v>
      </c>
      <c r="X42" s="6">
        <v>25</v>
      </c>
      <c r="Y42" s="6">
        <v>0</v>
      </c>
      <c r="Z42" s="6">
        <v>55</v>
      </c>
      <c r="AA42" s="6">
        <v>22</v>
      </c>
      <c r="AB42" s="6">
        <v>9</v>
      </c>
      <c r="AC42" s="224">
        <v>10</v>
      </c>
      <c r="AD42" s="224">
        <v>10</v>
      </c>
      <c r="AE42" s="224">
        <v>7</v>
      </c>
      <c r="AH42" s="223">
        <v>9</v>
      </c>
      <c r="AI42" s="223">
        <v>18</v>
      </c>
      <c r="AJ42" s="223">
        <v>19</v>
      </c>
      <c r="AK42" s="226"/>
    </row>
    <row r="43" spans="1:37" ht="15.75" thickBot="1">
      <c r="A43" s="3" t="s">
        <v>225</v>
      </c>
      <c r="AH43" s="226"/>
      <c r="AJ43" s="226"/>
      <c r="AK43" s="226"/>
    </row>
    <row r="44" spans="1:37">
      <c r="A44" s="232" t="s">
        <v>227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H44" s="226"/>
      <c r="AJ44" s="226"/>
      <c r="AK44" s="226"/>
    </row>
    <row r="45" spans="1:37">
      <c r="A45" s="234"/>
      <c r="B45" s="234">
        <v>1993</v>
      </c>
      <c r="C45" s="234">
        <v>1994</v>
      </c>
      <c r="D45" s="234">
        <v>1995</v>
      </c>
      <c r="E45" s="234">
        <v>1996</v>
      </c>
      <c r="F45" s="234">
        <v>1997</v>
      </c>
      <c r="G45" s="234">
        <v>1998</v>
      </c>
      <c r="H45" s="234">
        <v>1999</v>
      </c>
      <c r="I45" s="234">
        <v>2000</v>
      </c>
      <c r="J45" s="234">
        <v>2001</v>
      </c>
      <c r="K45" s="234">
        <v>2002</v>
      </c>
      <c r="L45" s="234">
        <v>2003</v>
      </c>
      <c r="M45" s="234">
        <v>2004</v>
      </c>
      <c r="N45" s="234">
        <v>2005</v>
      </c>
      <c r="O45" s="234">
        <v>2006</v>
      </c>
      <c r="P45" s="234">
        <v>2007</v>
      </c>
      <c r="Q45" s="234">
        <v>2008</v>
      </c>
      <c r="R45" s="234">
        <v>2009</v>
      </c>
      <c r="S45" s="234">
        <v>2010</v>
      </c>
      <c r="T45" s="234">
        <v>2011</v>
      </c>
      <c r="U45" s="234">
        <v>2012</v>
      </c>
      <c r="V45" s="234">
        <v>2013</v>
      </c>
      <c r="W45" s="234">
        <v>2014</v>
      </c>
      <c r="X45" s="234">
        <v>2015</v>
      </c>
      <c r="Y45" s="234">
        <v>2016</v>
      </c>
      <c r="Z45" s="234">
        <v>2017</v>
      </c>
      <c r="AA45" s="234">
        <v>2018</v>
      </c>
      <c r="AB45" s="234">
        <v>2019</v>
      </c>
      <c r="AC45" s="234">
        <v>2020</v>
      </c>
      <c r="AD45" s="234">
        <v>2021</v>
      </c>
      <c r="AE45" s="234">
        <v>2022</v>
      </c>
      <c r="AF45" s="234">
        <v>2023</v>
      </c>
      <c r="AG45" s="234"/>
    </row>
    <row r="46" spans="1:37" ht="15.75" thickBot="1">
      <c r="A46" s="235" t="s">
        <v>228</v>
      </c>
      <c r="B46" s="353">
        <f t="shared" ref="B46:AB46" si="36">B15/B11</f>
        <v>0.4432523997741401</v>
      </c>
      <c r="C46" s="353">
        <f t="shared" si="36"/>
        <v>0.92622917352410128</v>
      </c>
      <c r="D46" s="353">
        <f t="shared" si="36"/>
        <v>-0.55392002898409287</v>
      </c>
      <c r="E46" s="353">
        <f t="shared" si="36"/>
        <v>-3.254188868225909E-3</v>
      </c>
      <c r="F46" s="353">
        <f t="shared" si="36"/>
        <v>-3.2340142677623294</v>
      </c>
      <c r="G46" s="353">
        <f t="shared" si="36"/>
        <v>-4.8329784942544167</v>
      </c>
      <c r="H46" s="353">
        <f t="shared" si="36"/>
        <v>-1.7379629990029668</v>
      </c>
      <c r="I46" s="353">
        <f t="shared" si="36"/>
        <v>0.1176738317335863</v>
      </c>
      <c r="J46" s="353">
        <f t="shared" si="36"/>
        <v>9.0897827702981188E-2</v>
      </c>
      <c r="K46" s="353">
        <f t="shared" si="36"/>
        <v>-7.096231694124619E-2</v>
      </c>
      <c r="L46" s="353">
        <f t="shared" si="36"/>
        <v>3.4309946029298211E-2</v>
      </c>
      <c r="M46" s="353">
        <f t="shared" si="36"/>
        <v>0.23768583564776988</v>
      </c>
      <c r="N46" s="353">
        <f t="shared" si="36"/>
        <v>-7.5590090382990027E-2</v>
      </c>
      <c r="O46" s="353">
        <f t="shared" si="36"/>
        <v>0.19135520684736196</v>
      </c>
      <c r="P46" s="353">
        <f t="shared" si="36"/>
        <v>4.5291525771084577E-2</v>
      </c>
      <c r="Q46" s="353">
        <f t="shared" si="36"/>
        <v>4.4251861882193815E-2</v>
      </c>
      <c r="R46" s="353">
        <f t="shared" si="36"/>
        <v>0.12886277687736375</v>
      </c>
      <c r="S46" s="353">
        <f t="shared" si="36"/>
        <v>-4.448586690407251E-2</v>
      </c>
      <c r="T46" s="353">
        <f t="shared" si="36"/>
        <v>0.14986044151230687</v>
      </c>
      <c r="U46" s="353">
        <f t="shared" si="36"/>
        <v>0.11557408109132247</v>
      </c>
      <c r="V46" s="353">
        <f t="shared" si="36"/>
        <v>6.4706157370611236E-2</v>
      </c>
      <c r="W46" s="353">
        <f t="shared" si="36"/>
        <v>5.5961139675596598E-3</v>
      </c>
      <c r="X46" s="353">
        <f t="shared" si="36"/>
        <v>2.7399681810146712E-2</v>
      </c>
      <c r="Y46" s="353">
        <f t="shared" si="36"/>
        <v>2.7195376925774974E-2</v>
      </c>
      <c r="Z46" s="353">
        <f t="shared" si="36"/>
        <v>6.1125364323281486E-2</v>
      </c>
      <c r="AA46" s="353">
        <f t="shared" si="36"/>
        <v>1.9580803905257113E-2</v>
      </c>
      <c r="AB46" s="353">
        <f t="shared" si="36"/>
        <v>5.8170105242763302E-2</v>
      </c>
      <c r="AC46" s="353">
        <f>AC15/AC11</f>
        <v>0.23235294117647054</v>
      </c>
      <c r="AD46" s="353">
        <f t="shared" ref="AD46:AE46" si="37">AD15/AD11</f>
        <v>9.8333333333333314E-2</v>
      </c>
      <c r="AE46" s="353">
        <f t="shared" si="37"/>
        <v>0.12415052155844508</v>
      </c>
    </row>
    <row r="47" spans="1:37" ht="15.75" thickBot="1">
      <c r="A47" s="236"/>
      <c r="B47" s="237" t="str">
        <f>B$2</f>
        <v xml:space="preserve">93/94 </v>
      </c>
      <c r="C47" s="237" t="str">
        <f t="shared" ref="C47:AE47" si="38">C$2</f>
        <v xml:space="preserve">94/95 </v>
      </c>
      <c r="D47" s="237" t="str">
        <f t="shared" si="38"/>
        <v xml:space="preserve">95/96 </v>
      </c>
      <c r="E47" s="237" t="str">
        <f t="shared" si="38"/>
        <v xml:space="preserve">96/97 </v>
      </c>
      <c r="F47" s="237" t="str">
        <f t="shared" si="38"/>
        <v xml:space="preserve">97/98 </v>
      </c>
      <c r="G47" s="237" t="str">
        <f t="shared" si="38"/>
        <v xml:space="preserve">98/99 </v>
      </c>
      <c r="H47" s="237" t="str">
        <f t="shared" si="38"/>
        <v xml:space="preserve">99/00 </v>
      </c>
      <c r="I47" s="237" t="str">
        <f t="shared" si="38"/>
        <v xml:space="preserve">00/01 </v>
      </c>
      <c r="J47" s="237" t="str">
        <f t="shared" si="38"/>
        <v xml:space="preserve">01/02 </v>
      </c>
      <c r="K47" s="237" t="str">
        <f t="shared" si="38"/>
        <v xml:space="preserve">02/03 </v>
      </c>
      <c r="L47" s="237" t="str">
        <f t="shared" si="38"/>
        <v xml:space="preserve">03/04 </v>
      </c>
      <c r="M47" s="237" t="str">
        <f t="shared" si="38"/>
        <v xml:space="preserve">04/05 </v>
      </c>
      <c r="N47" s="237" t="str">
        <f t="shared" si="38"/>
        <v xml:space="preserve">05/06 </v>
      </c>
      <c r="O47" s="237" t="str">
        <f t="shared" si="38"/>
        <v xml:space="preserve">06/07 </v>
      </c>
      <c r="P47" s="237" t="str">
        <f t="shared" si="38"/>
        <v xml:space="preserve">07/08 </v>
      </c>
      <c r="Q47" s="237" t="str">
        <f t="shared" si="38"/>
        <v xml:space="preserve">08/09 </v>
      </c>
      <c r="R47" s="237" t="str">
        <f t="shared" si="38"/>
        <v xml:space="preserve">09/10 </v>
      </c>
      <c r="S47" s="237" t="str">
        <f t="shared" si="38"/>
        <v xml:space="preserve">10/11 </v>
      </c>
      <c r="T47" s="237" t="str">
        <f t="shared" si="38"/>
        <v xml:space="preserve">11/12 </v>
      </c>
      <c r="U47" s="237" t="str">
        <f t="shared" si="38"/>
        <v xml:space="preserve">12/13 </v>
      </c>
      <c r="V47" s="237" t="str">
        <f t="shared" si="38"/>
        <v xml:space="preserve">13/14 </v>
      </c>
      <c r="W47" s="237" t="str">
        <f t="shared" si="38"/>
        <v xml:space="preserve">14/15 </v>
      </c>
      <c r="X47" s="237" t="str">
        <f t="shared" si="38"/>
        <v xml:space="preserve">15/16 </v>
      </c>
      <c r="Y47" s="237" t="str">
        <f t="shared" si="38"/>
        <v xml:space="preserve">16/17 </v>
      </c>
      <c r="Z47" s="237" t="str">
        <f t="shared" si="38"/>
        <v xml:space="preserve">17/18 </v>
      </c>
      <c r="AA47" s="237" t="str">
        <f t="shared" si="38"/>
        <v xml:space="preserve">18/19 </v>
      </c>
      <c r="AB47" s="237" t="str">
        <f t="shared" si="38"/>
        <v xml:space="preserve">19/20 </v>
      </c>
      <c r="AC47" s="237" t="str">
        <f t="shared" si="38"/>
        <v xml:space="preserve">20/21 </v>
      </c>
      <c r="AD47" s="237" t="str">
        <f t="shared" si="38"/>
        <v xml:space="preserve">21/22 </v>
      </c>
      <c r="AE47" s="237" t="str">
        <f t="shared" si="38"/>
        <v xml:space="preserve">22/23 </v>
      </c>
    </row>
    <row r="48" spans="1:37">
      <c r="A48" s="240" t="s">
        <v>239</v>
      </c>
      <c r="B48" s="241">
        <f>(SUM(K48:O48)/SUM(K$60:O$60))*B$60</f>
        <v>1.4616946908364612</v>
      </c>
      <c r="C48" s="241">
        <v>13.058609878229202</v>
      </c>
      <c r="D48" s="242">
        <f>'[2]Mexico Sunflower Imports'!BD$290</f>
        <v>0.50600000000000001</v>
      </c>
      <c r="E48" s="242">
        <f>'[2]Mexico Sunflower Imports'!BP$290</f>
        <v>15.381</v>
      </c>
      <c r="F48" s="242">
        <f>'[2]Mexico Sunflower Imports'!CB$290</f>
        <v>0.53</v>
      </c>
      <c r="G48" s="242">
        <f>'[2]Mexico Sunflower Imports'!CN$290</f>
        <v>0.54100000000000004</v>
      </c>
      <c r="H48" s="242">
        <f>'[2]Mexico Sunflower Imports'!CZ$290</f>
        <v>0.70599999999999996</v>
      </c>
      <c r="I48" s="242">
        <f>'[2]Mexico Sunflower Imports'!DL$290</f>
        <v>0.81</v>
      </c>
      <c r="J48" s="242">
        <f>'[2]Mexico Sunflower Imports'!DX$290</f>
        <v>0.85699999999999998</v>
      </c>
      <c r="K48" s="242">
        <f>'[2]Mexico Sunflower Imports'!EJ$290</f>
        <v>0.67100000000000004</v>
      </c>
      <c r="L48" s="242">
        <f>'[2]Mexico Sunflower Imports'!EV$290</f>
        <v>0.72</v>
      </c>
      <c r="M48" s="242">
        <f>'[2]Mexico Sunflower Imports'!FH$290</f>
        <v>0.76</v>
      </c>
      <c r="N48" s="242">
        <f>'[2]Mexico Sunflower Imports'!FT$290</f>
        <v>0.80900000000000005</v>
      </c>
      <c r="O48" s="242">
        <f>'[2]Mexico Sunflower Imports'!GF$290</f>
        <v>1.3109999999999999</v>
      </c>
      <c r="P48" s="242">
        <f>'[2]Mexico Sunflower Imports'!GR$290</f>
        <v>0.83199999999999996</v>
      </c>
      <c r="Q48" s="242">
        <f>'[2]Mexico Sunflower Imports'!HD$290</f>
        <v>0.80500000000000005</v>
      </c>
      <c r="R48" s="242">
        <f>'[2]Mexico Sunflower Imports'!HP$290</f>
        <v>1.2549999999999999</v>
      </c>
      <c r="S48" s="242">
        <f>'[2]Mexico Sunflower Imports'!IB$290</f>
        <v>1.1839999999999999</v>
      </c>
      <c r="T48" s="242">
        <f>'[2]Mexico Sunflower Imports'!IN$290</f>
        <v>1.504</v>
      </c>
      <c r="U48" s="242">
        <f>'[2]Mexico Sunflower Imports'!IZ$290</f>
        <v>0.98399999999999999</v>
      </c>
      <c r="V48" s="242">
        <f>'[2]Mexico Sunflower Imports'!JL$290</f>
        <v>1.2010000000000001</v>
      </c>
      <c r="W48" s="242">
        <f>'[2]Mexico Sunflower Imports'!JX$290</f>
        <v>1.655</v>
      </c>
      <c r="X48" s="242">
        <f>'[2]Mexico Sunflower Imports'!KJ$290</f>
        <v>1.845</v>
      </c>
      <c r="Y48" s="242">
        <f>'[2]Mexico Sunflower Imports'!KV$290</f>
        <v>1.6839999999999999</v>
      </c>
      <c r="Z48" s="242">
        <f>'[2]Mexico Sunflower Imports'!LH$290</f>
        <v>2.58189</v>
      </c>
      <c r="AA48" s="242">
        <f>'[2]Mexico Sunflower Imports'!LT$290</f>
        <v>0.81434700000000004</v>
      </c>
      <c r="AB48" s="242">
        <f>'[2]Mexico Sunflower Imports'!MF$290</f>
        <v>1.782799</v>
      </c>
      <c r="AC48" s="242">
        <f>'[2]Mexico Sunflower Imports'!MR$290</f>
        <v>1.683103</v>
      </c>
      <c r="AD48" s="242">
        <f>'[2]Mexico Sunflower Imports'!ND$290</f>
        <v>3.5840000000000001</v>
      </c>
      <c r="AE48" s="243">
        <f t="shared" ref="AE48:AE53" si="39">(SUM(Y48:AC48)/SUM(Y$60:AC$60))*AE$60</f>
        <v>1.5315339064371656</v>
      </c>
    </row>
    <row r="49" spans="1:31">
      <c r="A49" s="240" t="s">
        <v>240</v>
      </c>
      <c r="B49" s="241">
        <f t="shared" ref="B49:B58" si="40">(SUM(K49:O49)/SUM(K$60:O$60))*B$60</f>
        <v>10.187714248845651</v>
      </c>
      <c r="C49" s="241">
        <v>11.951565096164789</v>
      </c>
      <c r="D49" s="242">
        <f>'[2]Mexico Sunflower Imports'!BE$290</f>
        <v>0.61799999999999999</v>
      </c>
      <c r="E49" s="242">
        <f>'[2]Mexico Sunflower Imports'!BQ$290</f>
        <v>0.67300000000000004</v>
      </c>
      <c r="F49" s="242">
        <f>'[2]Mexico Sunflower Imports'!CC$290</f>
        <v>0.55600000000000005</v>
      </c>
      <c r="G49" s="242">
        <f>'[2]Mexico Sunflower Imports'!CO$290</f>
        <v>0.625</v>
      </c>
      <c r="H49" s="242">
        <f>'[2]Mexico Sunflower Imports'!DA$290</f>
        <v>0.78100000000000003</v>
      </c>
      <c r="I49" s="242">
        <f>'[2]Mexico Sunflower Imports'!DM$290</f>
        <v>6.3760000000000003</v>
      </c>
      <c r="J49" s="242">
        <f>'[2]Mexico Sunflower Imports'!DY$290</f>
        <v>0.94599999999999995</v>
      </c>
      <c r="K49" s="242">
        <f>'[2]Mexico Sunflower Imports'!EK$290</f>
        <v>0.46800000000000003</v>
      </c>
      <c r="L49" s="242">
        <f>'[2]Mexico Sunflower Imports'!EW$290</f>
        <v>26.042000000000002</v>
      </c>
      <c r="M49" s="242">
        <f>'[2]Mexico Sunflower Imports'!FI$290</f>
        <v>0.49099999999999999</v>
      </c>
      <c r="N49" s="242">
        <f>'[2]Mexico Sunflower Imports'!FU$290</f>
        <v>1.214</v>
      </c>
      <c r="O49" s="242">
        <f>'[2]Mexico Sunflower Imports'!GG$290</f>
        <v>1.5529999999999999</v>
      </c>
      <c r="P49" s="242">
        <f>'[2]Mexico Sunflower Imports'!GS$290</f>
        <v>1.1719999999999999</v>
      </c>
      <c r="Q49" s="242">
        <f>'[2]Mexico Sunflower Imports'!HE$290</f>
        <v>0.69799999999999995</v>
      </c>
      <c r="R49" s="242">
        <f>'[2]Mexico Sunflower Imports'!HQ$290</f>
        <v>1.2649999999999999</v>
      </c>
      <c r="S49" s="242">
        <f>'[2]Mexico Sunflower Imports'!IC$290</f>
        <v>1.0629999999999999</v>
      </c>
      <c r="T49" s="242">
        <f>'[2]Mexico Sunflower Imports'!IO$290</f>
        <v>1.323</v>
      </c>
      <c r="U49" s="242">
        <f>'[2]Mexico Sunflower Imports'!JA$290</f>
        <v>0.872</v>
      </c>
      <c r="V49" s="242">
        <f>'[2]Mexico Sunflower Imports'!JM$290</f>
        <v>1.236</v>
      </c>
      <c r="W49" s="242">
        <f>'[2]Mexico Sunflower Imports'!JY$290</f>
        <v>1.2010000000000001</v>
      </c>
      <c r="X49" s="242">
        <f>'[2]Mexico Sunflower Imports'!KK$290</f>
        <v>1.7150000000000001</v>
      </c>
      <c r="Y49" s="242">
        <f>'[2]Mexico Sunflower Imports'!KW$290</f>
        <v>2.2170000000000001</v>
      </c>
      <c r="Z49" s="242">
        <f>'[2]Mexico Sunflower Imports'!LI$290</f>
        <v>2.440099</v>
      </c>
      <c r="AA49" s="242">
        <f>'[2]Mexico Sunflower Imports'!LU$290</f>
        <v>1.2828900000000001</v>
      </c>
      <c r="AB49" s="242">
        <f>'[2]Mexico Sunflower Imports'!MG$290</f>
        <v>1.5930949999999999</v>
      </c>
      <c r="AC49" s="242">
        <f>'[2]Mexico Sunflower Imports'!MS$290</f>
        <v>0.83875900000000003</v>
      </c>
      <c r="AD49" s="242">
        <f>'[2]Mexico Sunflower Imports'!NE$290</f>
        <v>2.597</v>
      </c>
      <c r="AE49" s="243">
        <f t="shared" si="39"/>
        <v>1.5002987213136412</v>
      </c>
    </row>
    <row r="50" spans="1:31">
      <c r="A50" s="240" t="s">
        <v>241</v>
      </c>
      <c r="B50" s="241">
        <f t="shared" si="40"/>
        <v>1.9048917464752382</v>
      </c>
      <c r="C50" s="241">
        <v>11.084825025606007</v>
      </c>
      <c r="D50" s="242">
        <f>'[2]Mexico Sunflower Imports'!BF$290</f>
        <v>0.41199999999999998</v>
      </c>
      <c r="E50" s="242">
        <f>'[2]Mexico Sunflower Imports'!BR$290</f>
        <v>16.184000000000001</v>
      </c>
      <c r="F50" s="242">
        <f>'[2]Mexico Sunflower Imports'!CD$290</f>
        <v>15.244999999999999</v>
      </c>
      <c r="G50" s="242">
        <f>'[2]Mexico Sunflower Imports'!CP$290</f>
        <v>0.82399999999999995</v>
      </c>
      <c r="H50" s="242">
        <f>'[2]Mexico Sunflower Imports'!DB$290</f>
        <v>1.0009999999999999</v>
      </c>
      <c r="I50" s="242">
        <f>'[2]Mexico Sunflower Imports'!DN$290</f>
        <v>6.5220000000000002</v>
      </c>
      <c r="J50" s="242">
        <f>'[2]Mexico Sunflower Imports'!DZ$290</f>
        <v>0.93899999999999995</v>
      </c>
      <c r="K50" s="242">
        <f>'[2]Mexico Sunflower Imports'!EL$290</f>
        <v>0.746</v>
      </c>
      <c r="L50" s="242">
        <f>'[2]Mexico Sunflower Imports'!EX$290</f>
        <v>1.2569999999999999</v>
      </c>
      <c r="M50" s="242">
        <f>'[2]Mexico Sunflower Imports'!FJ$290</f>
        <v>0.78100000000000003</v>
      </c>
      <c r="N50" s="242">
        <f>'[2]Mexico Sunflower Imports'!FV$290</f>
        <v>1.492</v>
      </c>
      <c r="O50" s="242">
        <f>'[2]Mexico Sunflower Imports'!GH$290</f>
        <v>1.29</v>
      </c>
      <c r="P50" s="242">
        <f>'[2]Mexico Sunflower Imports'!GT$290</f>
        <v>0.84</v>
      </c>
      <c r="Q50" s="242">
        <f>'[2]Mexico Sunflower Imports'!HF$290</f>
        <v>1.1419999999999999</v>
      </c>
      <c r="R50" s="242">
        <f>'[2]Mexico Sunflower Imports'!HR$290</f>
        <v>1.3340000000000001</v>
      </c>
      <c r="S50" s="242">
        <f>'[2]Mexico Sunflower Imports'!ID$290</f>
        <v>1.1379999999999999</v>
      </c>
      <c r="T50" s="242">
        <f>'[2]Mexico Sunflower Imports'!IP$290</f>
        <v>1.8120000000000001</v>
      </c>
      <c r="U50" s="242">
        <f>'[2]Mexico Sunflower Imports'!JB$290</f>
        <v>0.58699999999999997</v>
      </c>
      <c r="V50" s="242">
        <f>'[2]Mexico Sunflower Imports'!JN$290</f>
        <v>0.95799999999999996</v>
      </c>
      <c r="W50" s="242">
        <f>'[2]Mexico Sunflower Imports'!JZ$290</f>
        <v>1.038</v>
      </c>
      <c r="X50" s="242">
        <f>'[2]Mexico Sunflower Imports'!KL$290</f>
        <v>1.272</v>
      </c>
      <c r="Y50" s="242">
        <f>'[2]Mexico Sunflower Imports'!KX$290</f>
        <v>1.891</v>
      </c>
      <c r="Z50" s="242">
        <f>'[2]Mexico Sunflower Imports'!LJ$290</f>
        <v>2.2531880000000002</v>
      </c>
      <c r="AA50" s="242">
        <f>'[2]Mexico Sunflower Imports'!LV$290</f>
        <v>0.99024500000000004</v>
      </c>
      <c r="AB50" s="242">
        <f>'[2]Mexico Sunflower Imports'!MH$290</f>
        <v>2.181969</v>
      </c>
      <c r="AC50" s="242">
        <f>'[2]Mexico Sunflower Imports'!MT$290</f>
        <v>1.071447</v>
      </c>
      <c r="AD50" s="242">
        <f>'[2]Mexico Sunflower Imports'!NF$290</f>
        <v>2.2342569999999999</v>
      </c>
      <c r="AE50" s="243">
        <f t="shared" si="39"/>
        <v>1.503167119745545</v>
      </c>
    </row>
    <row r="51" spans="1:31">
      <c r="A51" s="240" t="s">
        <v>231</v>
      </c>
      <c r="B51" s="241">
        <f t="shared" si="40"/>
        <v>1.7799752018357371</v>
      </c>
      <c r="C51" s="242">
        <f>'[2]Mexico Sunflower Imports'!AU$290</f>
        <v>2.2530000000000001</v>
      </c>
      <c r="D51" s="242">
        <f>'[2]Mexico Sunflower Imports'!BG$290</f>
        <v>0.374</v>
      </c>
      <c r="E51" s="242">
        <f>'[2]Mexico Sunflower Imports'!BS$290</f>
        <v>16.381</v>
      </c>
      <c r="F51" s="242">
        <f>'[2]Mexico Sunflower Imports'!CE$290</f>
        <v>38.293999999999997</v>
      </c>
      <c r="G51" s="242">
        <f>'[2]Mexico Sunflower Imports'!CQ$290</f>
        <v>0.73899999999999999</v>
      </c>
      <c r="H51" s="242">
        <f>'[2]Mexico Sunflower Imports'!DC$290</f>
        <v>0.871</v>
      </c>
      <c r="I51" s="242">
        <f>'[2]Mexico Sunflower Imports'!DO$290</f>
        <v>6.7439999999999998</v>
      </c>
      <c r="J51" s="242">
        <f>'[2]Mexico Sunflower Imports'!EA$290</f>
        <v>0.97699999999999998</v>
      </c>
      <c r="K51" s="242">
        <f>'[2]Mexico Sunflower Imports'!EM$290</f>
        <v>1.0649999999999999</v>
      </c>
      <c r="L51" s="242">
        <f>'[2]Mexico Sunflower Imports'!EY$290</f>
        <v>0.68799999999999994</v>
      </c>
      <c r="M51" s="242">
        <f>'[2]Mexico Sunflower Imports'!FK$290</f>
        <v>0.45400000000000001</v>
      </c>
      <c r="N51" s="242">
        <f>'[2]Mexico Sunflower Imports'!FW$290</f>
        <v>1.5129999999999999</v>
      </c>
      <c r="O51" s="242">
        <f>'[2]Mexico Sunflower Imports'!GI$290</f>
        <v>1.4810000000000001</v>
      </c>
      <c r="P51" s="242">
        <f>'[2]Mexico Sunflower Imports'!GU$290</f>
        <v>0.58199999999999996</v>
      </c>
      <c r="Q51" s="242">
        <f>'[2]Mexico Sunflower Imports'!HG$290</f>
        <v>1.02</v>
      </c>
      <c r="R51" s="242">
        <f>'[2]Mexico Sunflower Imports'!HS$290</f>
        <v>1.0289999999999999</v>
      </c>
      <c r="S51" s="242">
        <f>'[2]Mexico Sunflower Imports'!IE$290</f>
        <v>1.0940000000000001</v>
      </c>
      <c r="T51" s="242">
        <f>'[2]Mexico Sunflower Imports'!IQ$290</f>
        <v>1.76</v>
      </c>
      <c r="U51" s="242">
        <f>'[2]Mexico Sunflower Imports'!JC$290</f>
        <v>0.88300000000000001</v>
      </c>
      <c r="V51" s="242">
        <f>'[2]Mexico Sunflower Imports'!JO$290</f>
        <v>1.181</v>
      </c>
      <c r="W51" s="242">
        <f>'[2]Mexico Sunflower Imports'!KA$290</f>
        <v>1.74</v>
      </c>
      <c r="X51" s="242">
        <f>'[2]Mexico Sunflower Imports'!KM$290</f>
        <v>1.964</v>
      </c>
      <c r="Y51" s="242">
        <f>'[2]Mexico Sunflower Imports'!KY$290</f>
        <v>0.92900000000000005</v>
      </c>
      <c r="Z51" s="242">
        <f>'[2]Mexico Sunflower Imports'!LK$290</f>
        <v>2.8888750000000001</v>
      </c>
      <c r="AA51" s="242">
        <f>'[2]Mexico Sunflower Imports'!LW$290</f>
        <v>2.2844790000000001</v>
      </c>
      <c r="AB51" s="242">
        <f>'[2]Mexico Sunflower Imports'!MI$290</f>
        <v>2.261018</v>
      </c>
      <c r="AC51" s="242">
        <f>'[2]Mexico Sunflower Imports'!MU$290</f>
        <v>1.472</v>
      </c>
      <c r="AD51" s="243">
        <f t="shared" ref="AD51:AE58" si="41">(SUM(X51:AB51)/SUM(X$60:AB$60))*AD$60</f>
        <v>1.885072250453429</v>
      </c>
      <c r="AE51" s="243">
        <f t="shared" si="39"/>
        <v>1.7625743859797645</v>
      </c>
    </row>
    <row r="52" spans="1:31">
      <c r="A52" s="240" t="s">
        <v>232</v>
      </c>
      <c r="B52" s="241">
        <f t="shared" si="40"/>
        <v>2.0688233214952954</v>
      </c>
      <c r="C52" s="242">
        <f>'[2]Mexico Sunflower Imports'!AV$290</f>
        <v>2.9830000000000001</v>
      </c>
      <c r="D52" s="242">
        <f>'[2]Mexico Sunflower Imports'!BH$290</f>
        <v>0.61099999999999999</v>
      </c>
      <c r="E52" s="242">
        <f>'[2]Mexico Sunflower Imports'!BT$290</f>
        <v>0.83499999999999996</v>
      </c>
      <c r="F52" s="242">
        <f>'[2]Mexico Sunflower Imports'!CF$290</f>
        <v>0.81599999999999995</v>
      </c>
      <c r="G52" s="242">
        <f>'[2]Mexico Sunflower Imports'!CR$290</f>
        <v>1.1879999999999999</v>
      </c>
      <c r="H52" s="242">
        <f>'[2]Mexico Sunflower Imports'!DD$290</f>
        <v>1.1000000000000001</v>
      </c>
      <c r="I52" s="242">
        <f>'[2]Mexico Sunflower Imports'!DP$290</f>
        <v>1.296</v>
      </c>
      <c r="J52" s="242">
        <f>'[2]Mexico Sunflower Imports'!EB$290</f>
        <v>1.1120000000000001</v>
      </c>
      <c r="K52" s="242">
        <f>'[2]Mexico Sunflower Imports'!EN$290</f>
        <v>1.1160000000000001</v>
      </c>
      <c r="L52" s="242">
        <f>'[2]Mexico Sunflower Imports'!EZ$290</f>
        <v>0.59099999999999997</v>
      </c>
      <c r="M52" s="242">
        <f>'[2]Mexico Sunflower Imports'!FL$290</f>
        <v>1.254</v>
      </c>
      <c r="N52" s="242">
        <f>'[2]Mexico Sunflower Imports'!FX$290</f>
        <v>2.036</v>
      </c>
      <c r="O52" s="242">
        <f>'[2]Mexico Sunflower Imports'!GJ$290</f>
        <v>1.048</v>
      </c>
      <c r="P52" s="242">
        <f>'[2]Mexico Sunflower Imports'!GV$290</f>
        <v>0.97199999999999998</v>
      </c>
      <c r="Q52" s="242">
        <f>'[2]Mexico Sunflower Imports'!HH$290</f>
        <v>1.3109999999999999</v>
      </c>
      <c r="R52" s="242">
        <f>'[2]Mexico Sunflower Imports'!HT$290</f>
        <v>1.0529999999999999</v>
      </c>
      <c r="S52" s="242">
        <f>'[2]Mexico Sunflower Imports'!IF$290</f>
        <v>1.7509999999999999</v>
      </c>
      <c r="T52" s="242">
        <f>'[2]Mexico Sunflower Imports'!IR$290</f>
        <v>1.198</v>
      </c>
      <c r="U52" s="242">
        <f>'[2]Mexico Sunflower Imports'!JD$290</f>
        <v>1.1180000000000001</v>
      </c>
      <c r="V52" s="242">
        <f>'[2]Mexico Sunflower Imports'!JP$290</f>
        <v>0.92</v>
      </c>
      <c r="W52" s="242">
        <f>'[2]Mexico Sunflower Imports'!KB$290</f>
        <v>1.252</v>
      </c>
      <c r="X52" s="242">
        <f>'[2]Mexico Sunflower Imports'!KN$290</f>
        <v>1.0860000000000001</v>
      </c>
      <c r="Y52" s="242">
        <f>'[2]Mexico Sunflower Imports'!KZ$290</f>
        <v>2.2309999999999999</v>
      </c>
      <c r="Z52" s="242">
        <f>'[2]Mexico Sunflower Imports'!LL$290</f>
        <v>1.4786459999999999</v>
      </c>
      <c r="AA52" s="242">
        <f>'[2]Mexico Sunflower Imports'!LX$290</f>
        <v>0.99872000000000005</v>
      </c>
      <c r="AB52" s="242">
        <f>'[2]Mexico Sunflower Imports'!MJ$290</f>
        <v>1.4543980000000001</v>
      </c>
      <c r="AC52" s="242">
        <f>'[2]Mexico Sunflower Imports'!MV$290</f>
        <v>1.2310000000000001</v>
      </c>
      <c r="AD52" s="243">
        <f t="shared" si="41"/>
        <v>1.3231288527696883</v>
      </c>
      <c r="AE52" s="243">
        <f t="shared" si="39"/>
        <v>1.3250194341789294</v>
      </c>
    </row>
    <row r="53" spans="1:31">
      <c r="A53" s="240" t="s">
        <v>233</v>
      </c>
      <c r="B53" s="241">
        <f t="shared" si="40"/>
        <v>2.2854594112399642</v>
      </c>
      <c r="C53" s="242">
        <f>'[2]Mexico Sunflower Imports'!AW$290</f>
        <v>0.29599999999999999</v>
      </c>
      <c r="D53" s="242">
        <f>'[2]Mexico Sunflower Imports'!BI$290</f>
        <v>37.085000000000001</v>
      </c>
      <c r="E53" s="242">
        <f>'[2]Mexico Sunflower Imports'!BU$290</f>
        <v>0.60499999999999998</v>
      </c>
      <c r="F53" s="242">
        <f>'[2]Mexico Sunflower Imports'!CG$290</f>
        <v>0.83399999999999996</v>
      </c>
      <c r="G53" s="242">
        <f>'[2]Mexico Sunflower Imports'!CS$290</f>
        <v>1.468</v>
      </c>
      <c r="H53" s="242">
        <f>'[2]Mexico Sunflower Imports'!DE$290</f>
        <v>1.0780000000000001</v>
      </c>
      <c r="I53" s="242">
        <f>'[2]Mexico Sunflower Imports'!DQ$290</f>
        <v>1.056</v>
      </c>
      <c r="J53" s="242">
        <f>'[2]Mexico Sunflower Imports'!EC$290</f>
        <v>0.95699999999999996</v>
      </c>
      <c r="K53" s="242">
        <f>'[2]Mexico Sunflower Imports'!EO$290</f>
        <v>0.86599999999999999</v>
      </c>
      <c r="L53" s="242">
        <f>'[2]Mexico Sunflower Imports'!FA$290</f>
        <v>1.258</v>
      </c>
      <c r="M53" s="242">
        <f>'[2]Mexico Sunflower Imports'!FM$290</f>
        <v>1.1890000000000001</v>
      </c>
      <c r="N53" s="242">
        <f>'[2]Mexico Sunflower Imports'!FY$290</f>
        <v>2.1469999999999998</v>
      </c>
      <c r="O53" s="242">
        <f>'[2]Mexico Sunflower Imports'!GK$290</f>
        <v>1.218</v>
      </c>
      <c r="P53" s="242">
        <f>'[2]Mexico Sunflower Imports'!GW$290</f>
        <v>0.45600000000000002</v>
      </c>
      <c r="Q53" s="242">
        <f>'[2]Mexico Sunflower Imports'!HI$290</f>
        <v>1.0880000000000001</v>
      </c>
      <c r="R53" s="242">
        <f>'[2]Mexico Sunflower Imports'!HU$290</f>
        <v>1.4079999999999999</v>
      </c>
      <c r="S53" s="242">
        <f>'[2]Mexico Sunflower Imports'!IG$290</f>
        <v>1.22</v>
      </c>
      <c r="T53" s="242">
        <f>'[2]Mexico Sunflower Imports'!IS$290</f>
        <v>1.421</v>
      </c>
      <c r="U53" s="242">
        <f>'[2]Mexico Sunflower Imports'!JE$290</f>
        <v>0.84</v>
      </c>
      <c r="V53" s="242">
        <f>'[2]Mexico Sunflower Imports'!JQ$290</f>
        <v>1.1419999999999999</v>
      </c>
      <c r="W53" s="242">
        <f>'[2]Mexico Sunflower Imports'!KC$290</f>
        <v>0.76100000000000001</v>
      </c>
      <c r="X53" s="242">
        <f>'[2]Mexico Sunflower Imports'!KO$290</f>
        <v>1.4970000000000001</v>
      </c>
      <c r="Y53" s="242">
        <f>'[2]Mexico Sunflower Imports'!LA$290</f>
        <v>2.508</v>
      </c>
      <c r="Z53" s="242">
        <f>'[2]Mexico Sunflower Imports'!LM$290</f>
        <v>1.6870750000000001</v>
      </c>
      <c r="AA53" s="242">
        <f>'[2]Mexico Sunflower Imports'!LY$290</f>
        <v>1.347488</v>
      </c>
      <c r="AB53" s="242">
        <f>'[2]Mexico Sunflower Imports'!MK$290</f>
        <v>1.848619</v>
      </c>
      <c r="AC53" s="242">
        <f>'[2]Mexico Sunflower Imports'!MW$290</f>
        <v>1.534</v>
      </c>
      <c r="AD53" s="243">
        <f t="shared" si="41"/>
        <v>1.6223745252112212</v>
      </c>
      <c r="AE53" s="243">
        <f t="shared" si="39"/>
        <v>1.5994613303297169</v>
      </c>
    </row>
    <row r="54" spans="1:31">
      <c r="A54" s="240" t="s">
        <v>234</v>
      </c>
      <c r="B54" s="241">
        <f t="shared" si="40"/>
        <v>2.0352840848523606</v>
      </c>
      <c r="C54" s="242">
        <f>'[2]Mexico Sunflower Imports'!AX$290</f>
        <v>20.969000000000001</v>
      </c>
      <c r="D54" s="242">
        <f>'[2]Mexico Sunflower Imports'!BJ$290</f>
        <v>38.6</v>
      </c>
      <c r="E54" s="242">
        <f>'[2]Mexico Sunflower Imports'!BV$290</f>
        <v>32.978000000000002</v>
      </c>
      <c r="F54" s="242">
        <f>'[2]Mexico Sunflower Imports'!CH$290</f>
        <v>0.63900000000000001</v>
      </c>
      <c r="G54" s="242">
        <f>'[2]Mexico Sunflower Imports'!CT$290</f>
        <v>0.94899999999999995</v>
      </c>
      <c r="H54" s="242">
        <f>'[2]Mexico Sunflower Imports'!DF$290</f>
        <v>0.90700000000000003</v>
      </c>
      <c r="I54" s="242">
        <f>'[2]Mexico Sunflower Imports'!DR$290</f>
        <v>0.66800000000000004</v>
      </c>
      <c r="J54" s="242">
        <f>'[2]Mexico Sunflower Imports'!ED$290</f>
        <v>0.63300000000000001</v>
      </c>
      <c r="K54" s="242">
        <f>'[2]Mexico Sunflower Imports'!EP$290</f>
        <v>1.046</v>
      </c>
      <c r="L54" s="242">
        <f>'[2]Mexico Sunflower Imports'!FB$290</f>
        <v>1.7509999999999999</v>
      </c>
      <c r="M54" s="242">
        <f>'[2]Mexico Sunflower Imports'!FN$290</f>
        <v>1.2150000000000001</v>
      </c>
      <c r="N54" s="242">
        <f>'[2]Mexico Sunflower Imports'!FZ$290</f>
        <v>1.0289999999999999</v>
      </c>
      <c r="O54" s="242">
        <f>'[2]Mexico Sunflower Imports'!GL$290</f>
        <v>0.90600000000000003</v>
      </c>
      <c r="P54" s="242">
        <f>'[2]Mexico Sunflower Imports'!GX$290</f>
        <v>0.83699999999999997</v>
      </c>
      <c r="Q54" s="242">
        <f>'[2]Mexico Sunflower Imports'!HJ$290</f>
        <v>1.7729999999999999</v>
      </c>
      <c r="R54" s="242">
        <f>'[2]Mexico Sunflower Imports'!HV$290</f>
        <v>1.387</v>
      </c>
      <c r="S54" s="242">
        <f>'[2]Mexico Sunflower Imports'!IH$290</f>
        <v>1.113</v>
      </c>
      <c r="T54" s="242">
        <f>'[2]Mexico Sunflower Imports'!IT$290</f>
        <v>1.0089999999999999</v>
      </c>
      <c r="U54" s="242">
        <f>'[2]Mexico Sunflower Imports'!JF$290</f>
        <v>1.6619999999999999</v>
      </c>
      <c r="V54" s="242">
        <f>'[2]Mexico Sunflower Imports'!JR$290</f>
        <v>1.5660000000000001</v>
      </c>
      <c r="W54" s="242">
        <f>'[2]Mexico Sunflower Imports'!KD$290</f>
        <v>1.38</v>
      </c>
      <c r="X54" s="242">
        <f>'[2]Mexico Sunflower Imports'!KP$290</f>
        <v>1.7350000000000001</v>
      </c>
      <c r="Y54" s="242">
        <f>'[2]Mexico Sunflower Imports'!LB$290</f>
        <v>1.875</v>
      </c>
      <c r="Z54" s="242">
        <f>'[2]Mexico Sunflower Imports'!LN$290</f>
        <v>1.641832</v>
      </c>
      <c r="AA54" s="242">
        <f>'[2]Mexico Sunflower Imports'!LZ$290</f>
        <v>1.301847</v>
      </c>
      <c r="AB54" s="242">
        <f>'[2]Mexico Sunflower Imports'!ML$290</f>
        <v>2.1995490000000002</v>
      </c>
      <c r="AC54" s="242">
        <f>'[2]Mexico Sunflower Imports'!MX$290</f>
        <v>2.3639999999999999</v>
      </c>
      <c r="AD54" s="243">
        <f t="shared" si="41"/>
        <v>1.5977411489284949</v>
      </c>
      <c r="AE54" s="243">
        <f t="shared" si="41"/>
        <v>1.681367492375698</v>
      </c>
    </row>
    <row r="55" spans="1:31">
      <c r="A55" s="240" t="s">
        <v>46</v>
      </c>
      <c r="B55" s="241">
        <f t="shared" si="40"/>
        <v>27.047340929875062</v>
      </c>
      <c r="C55" s="242">
        <f>'[2]Mexico Sunflower Imports'!AY$290</f>
        <v>18.082000000000001</v>
      </c>
      <c r="D55" s="242">
        <f>'[2]Mexico Sunflower Imports'!BK$290</f>
        <v>14.122</v>
      </c>
      <c r="E55" s="242">
        <f>'[2]Mexico Sunflower Imports'!BW$290</f>
        <v>14.632</v>
      </c>
      <c r="F55" s="242">
        <f>'[2]Mexico Sunflower Imports'!CI$290</f>
        <v>0.77</v>
      </c>
      <c r="G55" s="242">
        <f>'[2]Mexico Sunflower Imports'!CU$290</f>
        <v>0.88700000000000001</v>
      </c>
      <c r="H55" s="242">
        <f>'[2]Mexico Sunflower Imports'!DG$290</f>
        <v>0.82699999999999996</v>
      </c>
      <c r="I55" s="242">
        <f>'[2]Mexico Sunflower Imports'!DS$290</f>
        <v>0.99</v>
      </c>
      <c r="J55" s="242">
        <f>'[2]Mexico Sunflower Imports'!EE$290</f>
        <v>0.66</v>
      </c>
      <c r="K55" s="242">
        <f>'[2]Mexico Sunflower Imports'!EQ$290</f>
        <v>74.063000000000002</v>
      </c>
      <c r="L55" s="242">
        <f>'[2]Mexico Sunflower Imports'!FC$290</f>
        <v>1.5840000000000001</v>
      </c>
      <c r="M55" s="242">
        <f>'[2]Mexico Sunflower Imports'!FO$290</f>
        <v>1.4330000000000001</v>
      </c>
      <c r="N55" s="242">
        <f>'[2]Mexico Sunflower Imports'!GA$290</f>
        <v>1.143</v>
      </c>
      <c r="O55" s="242">
        <f>'[2]Mexico Sunflower Imports'!GM$290</f>
        <v>0.80800000000000005</v>
      </c>
      <c r="P55" s="242">
        <f>'[2]Mexico Sunflower Imports'!GY$290</f>
        <v>0.53600000000000003</v>
      </c>
      <c r="Q55" s="242">
        <f>'[2]Mexico Sunflower Imports'!HK$290</f>
        <v>0.99399999999999999</v>
      </c>
      <c r="R55" s="242">
        <f>'[2]Mexico Sunflower Imports'!HW$290</f>
        <v>1.375</v>
      </c>
      <c r="S55" s="242">
        <f>'[2]Mexico Sunflower Imports'!II$290</f>
        <v>0.84599999999999997</v>
      </c>
      <c r="T55" s="242">
        <f>'[2]Mexico Sunflower Imports'!IU$290</f>
        <v>0.90700000000000003</v>
      </c>
      <c r="U55" s="242">
        <f>'[2]Mexico Sunflower Imports'!JG$290</f>
        <v>1.6990000000000001</v>
      </c>
      <c r="V55" s="242">
        <f>'[2]Mexico Sunflower Imports'!JS$290</f>
        <v>1.556</v>
      </c>
      <c r="W55" s="242">
        <f>'[2]Mexico Sunflower Imports'!KE$290</f>
        <v>1.048</v>
      </c>
      <c r="X55" s="242">
        <f>'[2]Mexico Sunflower Imports'!KQ$290</f>
        <v>1.792</v>
      </c>
      <c r="Y55" s="242">
        <f>'[2]Mexico Sunflower Imports'!LC$290</f>
        <v>1.889</v>
      </c>
      <c r="Z55" s="242">
        <f>'[2]Mexico Sunflower Imports'!LO$290</f>
        <v>2.3111769999999998</v>
      </c>
      <c r="AA55" s="242">
        <f>'[2]Mexico Sunflower Imports'!MA$290</f>
        <v>2.0481400000000001</v>
      </c>
      <c r="AB55" s="242">
        <f>'[2]Mexico Sunflower Imports'!MM$290</f>
        <v>1.475093</v>
      </c>
      <c r="AC55" s="242">
        <f>'[2]Mexico Sunflower Imports'!MY$290</f>
        <v>2.64</v>
      </c>
      <c r="AD55" s="243">
        <f t="shared" si="41"/>
        <v>1.7368634869245594</v>
      </c>
      <c r="AE55" s="243">
        <f t="shared" si="41"/>
        <v>1.8572028610007378</v>
      </c>
    </row>
    <row r="56" spans="1:31">
      <c r="A56" s="240" t="s">
        <v>235</v>
      </c>
      <c r="B56" s="241">
        <f t="shared" si="40"/>
        <v>8.7332065372898207</v>
      </c>
      <c r="C56" s="242">
        <f>'[2]Mexico Sunflower Imports'!AZ$290</f>
        <v>0.58399999999999996</v>
      </c>
      <c r="D56" s="242">
        <f>'[2]Mexico Sunflower Imports'!BL$290</f>
        <v>20.315999999999999</v>
      </c>
      <c r="E56" s="242">
        <f>'[2]Mexico Sunflower Imports'!BX$290</f>
        <v>15.802</v>
      </c>
      <c r="F56" s="242">
        <f>'[2]Mexico Sunflower Imports'!CJ$290</f>
        <v>0.45500000000000002</v>
      </c>
      <c r="G56" s="242">
        <f>'[2]Mexico Sunflower Imports'!CV$290</f>
        <v>0.54700000000000004</v>
      </c>
      <c r="H56" s="242">
        <f>'[2]Mexico Sunflower Imports'!DH$290</f>
        <v>0.71899999999999997</v>
      </c>
      <c r="I56" s="242">
        <f>'[2]Mexico Sunflower Imports'!DT$290</f>
        <v>0.53600000000000003</v>
      </c>
      <c r="J56" s="242">
        <f>'[2]Mexico Sunflower Imports'!EF$290</f>
        <v>0.71299999999999997</v>
      </c>
      <c r="K56" s="242">
        <f>'[2]Mexico Sunflower Imports'!ER$290</f>
        <v>21.792000000000002</v>
      </c>
      <c r="L56" s="242">
        <f>'[2]Mexico Sunflower Imports'!FD$290</f>
        <v>1.173</v>
      </c>
      <c r="M56" s="242">
        <f>'[2]Mexico Sunflower Imports'!FP$290</f>
        <v>0.67200000000000004</v>
      </c>
      <c r="N56" s="242">
        <f>'[2]Mexico Sunflower Imports'!GB$290</f>
        <v>1.101</v>
      </c>
      <c r="O56" s="242">
        <f>'[2]Mexico Sunflower Imports'!GN$290</f>
        <v>0.78</v>
      </c>
      <c r="P56" s="242">
        <f>'[2]Mexico Sunflower Imports'!GZ$290</f>
        <v>0.40799999999999997</v>
      </c>
      <c r="Q56" s="242">
        <f>'[2]Mexico Sunflower Imports'!HL$290</f>
        <v>1.5469999999999999</v>
      </c>
      <c r="R56" s="242">
        <f>'[2]Mexico Sunflower Imports'!HX$290</f>
        <v>0.97399999999999998</v>
      </c>
      <c r="S56" s="242">
        <f>'[2]Mexico Sunflower Imports'!IJ$290</f>
        <v>1.26</v>
      </c>
      <c r="T56" s="242">
        <f>'[2]Mexico Sunflower Imports'!IV$290</f>
        <v>1.2549999999999999</v>
      </c>
      <c r="U56" s="242">
        <f>'[2]Mexico Sunflower Imports'!JH$290</f>
        <v>1.488</v>
      </c>
      <c r="V56" s="242">
        <f>'[2]Mexico Sunflower Imports'!JT$290</f>
        <v>1.631</v>
      </c>
      <c r="W56" s="242">
        <f>'[2]Mexico Sunflower Imports'!KF$290</f>
        <v>1.851</v>
      </c>
      <c r="X56" s="242">
        <f>'[2]Mexico Sunflower Imports'!KR$290</f>
        <v>1.823</v>
      </c>
      <c r="Y56" s="242">
        <f>'[2]Mexico Sunflower Imports'!LD$290</f>
        <v>5.983962</v>
      </c>
      <c r="Z56" s="242">
        <f>'[2]Mexico Sunflower Imports'!LP$290</f>
        <v>4.9112400000000003</v>
      </c>
      <c r="AA56" s="242">
        <f>'[2]Mexico Sunflower Imports'!MB$290</f>
        <v>4.55844</v>
      </c>
      <c r="AB56" s="242">
        <f>'[2]Mexico Sunflower Imports'!MN$290</f>
        <v>1.17723</v>
      </c>
      <c r="AC56" s="242">
        <f>'[2]Mexico Sunflower Imports'!MZ$290</f>
        <v>2.1930000000000001</v>
      </c>
      <c r="AD56" s="243">
        <f t="shared" si="41"/>
        <v>3.368415703493544</v>
      </c>
      <c r="AE56" s="243">
        <f t="shared" si="41"/>
        <v>3.3733827894015285</v>
      </c>
    </row>
    <row r="57" spans="1:31">
      <c r="A57" s="240" t="s">
        <v>236</v>
      </c>
      <c r="B57" s="241">
        <f t="shared" si="40"/>
        <v>1.7881888924421703</v>
      </c>
      <c r="C57" s="242">
        <f>'[2]Mexico Sunflower Imports'!BA$290</f>
        <v>0.437</v>
      </c>
      <c r="D57" s="242">
        <f>'[2]Mexico Sunflower Imports'!BM$290</f>
        <v>20.257000000000001</v>
      </c>
      <c r="E57" s="242">
        <f>'[2]Mexico Sunflower Imports'!BY$290</f>
        <v>14.733000000000001</v>
      </c>
      <c r="F57" s="242">
        <f>'[2]Mexico Sunflower Imports'!CK$290</f>
        <v>0.75800000000000001</v>
      </c>
      <c r="G57" s="242">
        <f>'[2]Mexico Sunflower Imports'!CW$290</f>
        <v>0.76</v>
      </c>
      <c r="H57" s="242">
        <f>'[2]Mexico Sunflower Imports'!DI$290</f>
        <v>0.72099999999999997</v>
      </c>
      <c r="I57" s="242">
        <f>'[2]Mexico Sunflower Imports'!DU$290</f>
        <v>1.159</v>
      </c>
      <c r="J57" s="242">
        <f>'[2]Mexico Sunflower Imports'!EG$290</f>
        <v>0.60499999999999998</v>
      </c>
      <c r="K57" s="242">
        <f>'[2]Mexico Sunflower Imports'!ES$290</f>
        <v>0.91300000000000003</v>
      </c>
      <c r="L57" s="242">
        <f>'[2]Mexico Sunflower Imports'!FE$290</f>
        <v>1.1000000000000001</v>
      </c>
      <c r="M57" s="242">
        <f>'[2]Mexico Sunflower Imports'!FQ$290</f>
        <v>0.98499999999999999</v>
      </c>
      <c r="N57" s="242">
        <f>'[2]Mexico Sunflower Imports'!GC$290</f>
        <v>1.4179999999999999</v>
      </c>
      <c r="O57" s="242">
        <f>'[2]Mexico Sunflower Imports'!GO$290</f>
        <v>0.80900000000000005</v>
      </c>
      <c r="P57" s="242">
        <f>'[2]Mexico Sunflower Imports'!HA$290</f>
        <v>0.55400000000000005</v>
      </c>
      <c r="Q57" s="242">
        <f>'[2]Mexico Sunflower Imports'!HM$290</f>
        <v>1.296</v>
      </c>
      <c r="R57" s="242">
        <f>'[2]Mexico Sunflower Imports'!HY$290</f>
        <v>0.82799999999999996</v>
      </c>
      <c r="S57" s="242">
        <f>'[2]Mexico Sunflower Imports'!IK$290</f>
        <v>1.0720000000000001</v>
      </c>
      <c r="T57" s="242">
        <f>'[2]Mexico Sunflower Imports'!IW$290</f>
        <v>1.5820000000000001</v>
      </c>
      <c r="U57" s="242">
        <f>'[2]Mexico Sunflower Imports'!JI$290</f>
        <v>1.8109999999999999</v>
      </c>
      <c r="V57" s="242">
        <f>'[2]Mexico Sunflower Imports'!JU$290</f>
        <v>2.2440000000000002</v>
      </c>
      <c r="W57" s="242">
        <f>'[2]Mexico Sunflower Imports'!KG$290</f>
        <v>2.4910000000000001</v>
      </c>
      <c r="X57" s="242">
        <f>'[2]Mexico Sunflower Imports'!KS$290</f>
        <v>1.2350000000000001</v>
      </c>
      <c r="Y57" s="242">
        <f>'[2]Mexico Sunflower Imports'!LE$290</f>
        <v>1.8739140000000001</v>
      </c>
      <c r="Z57" s="242">
        <f>'[2]Mexico Sunflower Imports'!LQ$290</f>
        <v>2.197613</v>
      </c>
      <c r="AA57" s="242">
        <f>'[2]Mexico Sunflower Imports'!MC$290</f>
        <v>5.2361789999999999</v>
      </c>
      <c r="AB57" s="242">
        <f>'[2]Mexico Sunflower Imports'!MO$290</f>
        <v>1.3012509999999999</v>
      </c>
      <c r="AC57" s="242">
        <f>'[2]Mexico Sunflower Imports'!NA$290</f>
        <v>2.4489999999999998</v>
      </c>
      <c r="AD57" s="243">
        <f t="shared" si="41"/>
        <v>2.1618970127408641</v>
      </c>
      <c r="AE57" s="243">
        <f t="shared" si="41"/>
        <v>2.340086429005956</v>
      </c>
    </row>
    <row r="58" spans="1:31">
      <c r="A58" s="240" t="s">
        <v>237</v>
      </c>
      <c r="B58" s="241">
        <f t="shared" si="40"/>
        <v>1.7074209348122462</v>
      </c>
      <c r="C58" s="242">
        <f>'[2]Mexico Sunflower Imports'!BB$290</f>
        <v>11.92</v>
      </c>
      <c r="D58" s="242">
        <f>'[2]Mexico Sunflower Imports'!BN$290</f>
        <v>0.626</v>
      </c>
      <c r="E58" s="242">
        <f>'[2]Mexico Sunflower Imports'!BZ$290</f>
        <v>14.127000000000001</v>
      </c>
      <c r="F58" s="242">
        <f>'[2]Mexico Sunflower Imports'!CL$290</f>
        <v>0.434</v>
      </c>
      <c r="G58" s="242">
        <f>'[2]Mexico Sunflower Imports'!CX$290</f>
        <v>0.754</v>
      </c>
      <c r="H58" s="242">
        <f>'[2]Mexico Sunflower Imports'!DJ$290</f>
        <v>1.002</v>
      </c>
      <c r="I58" s="242">
        <f>'[2]Mexico Sunflower Imports'!DV$290</f>
        <v>1.0529999999999999</v>
      </c>
      <c r="J58" s="242">
        <f>'[2]Mexico Sunflower Imports'!EH$290</f>
        <v>0.81499999999999995</v>
      </c>
      <c r="K58" s="242">
        <f>'[2]Mexico Sunflower Imports'!ET$290</f>
        <v>0.745</v>
      </c>
      <c r="L58" s="242">
        <f>'[2]Mexico Sunflower Imports'!FF$290</f>
        <v>0.746</v>
      </c>
      <c r="M58" s="242">
        <f>'[2]Mexico Sunflower Imports'!FR$290</f>
        <v>1.008</v>
      </c>
      <c r="N58" s="242">
        <f>'[2]Mexico Sunflower Imports'!GD$290</f>
        <v>1.6739999999999999</v>
      </c>
      <c r="O58" s="242">
        <f>'[2]Mexico Sunflower Imports'!GP$290</f>
        <v>0.81599999999999995</v>
      </c>
      <c r="P58" s="242">
        <f>'[2]Mexico Sunflower Imports'!HB$290</f>
        <v>0.56999999999999995</v>
      </c>
      <c r="Q58" s="242">
        <f>'[2]Mexico Sunflower Imports'!HN$290</f>
        <v>1.0960000000000001</v>
      </c>
      <c r="R58" s="242">
        <f>'[2]Mexico Sunflower Imports'!HZ$290</f>
        <v>0.9</v>
      </c>
      <c r="S58" s="242">
        <f>'[2]Mexico Sunflower Imports'!IL$290</f>
        <v>1.2310000000000001</v>
      </c>
      <c r="T58" s="242">
        <f>'[2]Mexico Sunflower Imports'!IX$290</f>
        <v>0.93400000000000005</v>
      </c>
      <c r="U58" s="242">
        <f>'[2]Mexico Sunflower Imports'!JJ$290</f>
        <v>0.89</v>
      </c>
      <c r="V58" s="242">
        <f>'[2]Mexico Sunflower Imports'!JV$290</f>
        <v>2.754</v>
      </c>
      <c r="W58" s="242">
        <f>'[2]Mexico Sunflower Imports'!KH$290</f>
        <v>1.786</v>
      </c>
      <c r="X58" s="242">
        <f>'[2]Mexico Sunflower Imports'!KT$290</f>
        <v>1.978</v>
      </c>
      <c r="Y58" s="242">
        <f>'[2]Mexico Sunflower Imports'!LF$290</f>
        <v>1.9582660000000001</v>
      </c>
      <c r="Z58" s="242">
        <f>'[2]Mexico Sunflower Imports'!LR$290</f>
        <v>0.92844300000000002</v>
      </c>
      <c r="AA58" s="242">
        <f>'[2]Mexico Sunflower Imports'!MD$290</f>
        <v>1.878322</v>
      </c>
      <c r="AB58" s="242">
        <f>'[2]Mexico Sunflower Imports'!MP$290</f>
        <v>1.251701</v>
      </c>
      <c r="AC58" s="242">
        <f>'[2]Mexico Sunflower Imports'!NB$290</f>
        <v>2.4980000000000002</v>
      </c>
      <c r="AD58" s="243">
        <f t="shared" si="41"/>
        <v>1.4592916225940191</v>
      </c>
      <c r="AE58" s="243">
        <f t="shared" si="41"/>
        <v>1.5259055302313174</v>
      </c>
    </row>
    <row r="59" spans="1:31">
      <c r="A59" s="240" t="s">
        <v>238</v>
      </c>
      <c r="B59" s="241">
        <f>(SUM(K59:O59)/SUM(K$60:O$60))*B$60</f>
        <v>1.3374626204141631</v>
      </c>
      <c r="C59" s="242">
        <f>'[2]Mexico Sunflower Imports'!BC$290</f>
        <v>0.66800000000000004</v>
      </c>
      <c r="D59" s="242">
        <f>'[2]Mexico Sunflower Imports'!BO$290</f>
        <v>0.47399999999999998</v>
      </c>
      <c r="E59" s="242">
        <f>'[2]Mexico Sunflower Imports'!CA$290</f>
        <v>0.68</v>
      </c>
      <c r="F59" s="242">
        <f>'[2]Mexico Sunflower Imports'!CM$290</f>
        <v>0.50600000000000001</v>
      </c>
      <c r="G59" s="242">
        <f>'[2]Mexico Sunflower Imports'!CY$290</f>
        <v>0.95399999999999996</v>
      </c>
      <c r="H59" s="242">
        <f>'[2]Mexico Sunflower Imports'!DK$290</f>
        <v>0.86799999999999999</v>
      </c>
      <c r="I59" s="242">
        <f>'[2]Mexico Sunflower Imports'!DW$290</f>
        <v>0.89300000000000002</v>
      </c>
      <c r="J59" s="242">
        <f>'[2]Mexico Sunflower Imports'!EI$290</f>
        <v>0.85799999999999998</v>
      </c>
      <c r="K59" s="242">
        <f>'[2]Mexico Sunflower Imports'!EU$290</f>
        <v>0.63900000000000001</v>
      </c>
      <c r="L59" s="242">
        <f>'[2]Mexico Sunflower Imports'!FG$290</f>
        <v>0.64800000000000002</v>
      </c>
      <c r="M59" s="242">
        <f>'[2]Mexico Sunflower Imports'!FS$290</f>
        <v>0.54500000000000004</v>
      </c>
      <c r="N59" s="242">
        <f>'[2]Mexico Sunflower Imports'!GE$290</f>
        <v>1.327</v>
      </c>
      <c r="O59" s="242">
        <f>'[2]Mexico Sunflower Imports'!GQ$290</f>
        <v>0.749</v>
      </c>
      <c r="P59" s="242">
        <f>'[2]Mexico Sunflower Imports'!HC$290</f>
        <v>0.69499999999999995</v>
      </c>
      <c r="Q59" s="242">
        <f>'[2]Mexico Sunflower Imports'!HO$290</f>
        <v>1.2250000000000001</v>
      </c>
      <c r="R59" s="242">
        <f>'[2]Mexico Sunflower Imports'!IA$290</f>
        <v>1.1020000000000001</v>
      </c>
      <c r="S59" s="242">
        <f>'[2]Mexico Sunflower Imports'!IM$290</f>
        <v>1.9039999999999999</v>
      </c>
      <c r="T59" s="242">
        <f>'[2]Mexico Sunflower Imports'!IY$290</f>
        <v>0.68899999999999995</v>
      </c>
      <c r="U59" s="242">
        <f>'[2]Mexico Sunflower Imports'!JK$290</f>
        <v>1.0269999999999999</v>
      </c>
      <c r="V59" s="242">
        <f>'[2]Mexico Sunflower Imports'!JW$290</f>
        <v>1.9770000000000001</v>
      </c>
      <c r="W59" s="242">
        <f>'[2]Mexico Sunflower Imports'!KI$290</f>
        <v>1.3480000000000001</v>
      </c>
      <c r="X59" s="242">
        <f>'[2]Mexico Sunflower Imports'!KU$290</f>
        <v>2.3849999999999998</v>
      </c>
      <c r="Y59" s="242">
        <f>'[2]Mexico Sunflower Imports'!LG$290</f>
        <v>1.926539</v>
      </c>
      <c r="Z59" s="242">
        <f>'[2]Mexico Sunflower Imports'!LS$290</f>
        <v>1.432474</v>
      </c>
      <c r="AA59" s="242">
        <f>'[2]Mexico Sunflower Imports'!ME$290</f>
        <v>1.9461550000000001</v>
      </c>
      <c r="AB59" s="242">
        <f>'[2]Mexico Sunflower Imports'!MQ$290</f>
        <v>1.385456</v>
      </c>
      <c r="AC59" s="242">
        <f>'[2]Mexico Sunflower Imports'!NC$290</f>
        <v>2.08</v>
      </c>
      <c r="AD59" s="243">
        <f t="shared" ref="AD59:AE59" si="42">AD60-SUM(AD48:AD58)</f>
        <v>-3.570041603115822</v>
      </c>
      <c r="AE59" s="243">
        <f t="shared" si="42"/>
        <v>0</v>
      </c>
    </row>
    <row r="60" spans="1:31" ht="15.75" thickBot="1">
      <c r="A60" s="240" t="s">
        <v>242</v>
      </c>
      <c r="B60" s="245">
        <f t="shared" ref="B60:C60" si="43">B10</f>
        <v>61</v>
      </c>
      <c r="C60" s="245">
        <f t="shared" si="43"/>
        <v>72.446607331246227</v>
      </c>
      <c r="D60" s="245">
        <f t="shared" ref="D60:Y60" si="44">SUM(D48:D58)</f>
        <v>133.52700000000002</v>
      </c>
      <c r="E60" s="245">
        <f t="shared" si="44"/>
        <v>142.33100000000002</v>
      </c>
      <c r="F60" s="245">
        <f t="shared" si="44"/>
        <v>59.33100000000001</v>
      </c>
      <c r="G60" s="245">
        <f t="shared" si="44"/>
        <v>9.282</v>
      </c>
      <c r="H60" s="245">
        <f t="shared" si="44"/>
        <v>9.713000000000001</v>
      </c>
      <c r="I60" s="245">
        <f t="shared" si="44"/>
        <v>27.209999999999997</v>
      </c>
      <c r="J60" s="245">
        <f t="shared" si="44"/>
        <v>9.2139999999999986</v>
      </c>
      <c r="K60" s="245">
        <f t="shared" si="44"/>
        <v>103.491</v>
      </c>
      <c r="L60" s="245">
        <f t="shared" si="44"/>
        <v>36.910000000000011</v>
      </c>
      <c r="M60" s="245">
        <f t="shared" si="44"/>
        <v>10.242000000000001</v>
      </c>
      <c r="N60" s="245">
        <f t="shared" si="44"/>
        <v>15.576000000000001</v>
      </c>
      <c r="O60" s="245">
        <f t="shared" si="44"/>
        <v>12.02</v>
      </c>
      <c r="P60" s="245">
        <f t="shared" si="44"/>
        <v>7.7590000000000012</v>
      </c>
      <c r="Q60" s="245">
        <f t="shared" si="44"/>
        <v>12.77</v>
      </c>
      <c r="R60" s="245">
        <f t="shared" si="44"/>
        <v>12.808</v>
      </c>
      <c r="S60" s="245">
        <f t="shared" si="44"/>
        <v>12.972</v>
      </c>
      <c r="T60" s="245">
        <f t="shared" si="44"/>
        <v>14.705</v>
      </c>
      <c r="U60" s="245">
        <f t="shared" si="44"/>
        <v>12.834</v>
      </c>
      <c r="V60" s="245">
        <f t="shared" si="44"/>
        <v>16.389000000000003</v>
      </c>
      <c r="W60" s="245">
        <f t="shared" si="44"/>
        <v>16.203000000000003</v>
      </c>
      <c r="X60" s="245">
        <f t="shared" si="44"/>
        <v>17.942</v>
      </c>
      <c r="Y60" s="245">
        <f t="shared" si="44"/>
        <v>25.040142000000003</v>
      </c>
      <c r="Z60" s="245">
        <f>SUM(Z48:Z58)</f>
        <v>25.320078000000002</v>
      </c>
      <c r="AA60" s="245">
        <f>SUM(AA48:AA58)</f>
        <v>22.741097000000003</v>
      </c>
      <c r="AB60" s="245">
        <f>SUM(AB48:AB58)</f>
        <v>18.526721999999999</v>
      </c>
      <c r="AC60" s="246">
        <f>SUM(AC48:AC58)</f>
        <v>19.974309000000002</v>
      </c>
      <c r="AD60" s="247">
        <f t="shared" ref="AD60:AE60" si="45">AD10</f>
        <v>20</v>
      </c>
      <c r="AE60" s="247">
        <f t="shared" si="45"/>
        <v>20</v>
      </c>
    </row>
    <row r="61" spans="1:31">
      <c r="A61" s="248"/>
      <c r="B61" s="248"/>
      <c r="C61" s="263"/>
      <c r="D61" s="433"/>
      <c r="E61" s="433"/>
      <c r="F61" s="433"/>
      <c r="G61" s="433"/>
      <c r="H61" s="433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</row>
    <row r="62" spans="1:31" ht="15.75" thickBot="1">
      <c r="A62" s="235" t="s">
        <v>243</v>
      </c>
      <c r="J62" s="355"/>
    </row>
    <row r="63" spans="1:31" ht="15.75" thickBot="1">
      <c r="A63" s="236"/>
      <c r="B63" s="237" t="str">
        <f>B$2</f>
        <v xml:space="preserve">93/94 </v>
      </c>
      <c r="C63" s="237" t="str">
        <f t="shared" ref="C63:AE63" si="46">C$2</f>
        <v xml:space="preserve">94/95 </v>
      </c>
      <c r="D63" s="237" t="str">
        <f t="shared" si="46"/>
        <v xml:space="preserve">95/96 </v>
      </c>
      <c r="E63" s="237" t="str">
        <f t="shared" si="46"/>
        <v xml:space="preserve">96/97 </v>
      </c>
      <c r="F63" s="237" t="str">
        <f t="shared" si="46"/>
        <v xml:space="preserve">97/98 </v>
      </c>
      <c r="G63" s="237" t="str">
        <f t="shared" si="46"/>
        <v xml:space="preserve">98/99 </v>
      </c>
      <c r="H63" s="237" t="str">
        <f t="shared" si="46"/>
        <v xml:space="preserve">99/00 </v>
      </c>
      <c r="I63" s="237" t="str">
        <f t="shared" si="46"/>
        <v xml:space="preserve">00/01 </v>
      </c>
      <c r="J63" s="237" t="str">
        <f t="shared" si="46"/>
        <v xml:space="preserve">01/02 </v>
      </c>
      <c r="K63" s="237" t="str">
        <f t="shared" si="46"/>
        <v xml:space="preserve">02/03 </v>
      </c>
      <c r="L63" s="237" t="str">
        <f t="shared" si="46"/>
        <v xml:space="preserve">03/04 </v>
      </c>
      <c r="M63" s="237" t="str">
        <f t="shared" si="46"/>
        <v xml:space="preserve">04/05 </v>
      </c>
      <c r="N63" s="237" t="str">
        <f t="shared" si="46"/>
        <v xml:space="preserve">05/06 </v>
      </c>
      <c r="O63" s="237" t="str">
        <f t="shared" si="46"/>
        <v xml:space="preserve">06/07 </v>
      </c>
      <c r="P63" s="237" t="str">
        <f t="shared" si="46"/>
        <v xml:space="preserve">07/08 </v>
      </c>
      <c r="Q63" s="237" t="str">
        <f t="shared" si="46"/>
        <v xml:space="preserve">08/09 </v>
      </c>
      <c r="R63" s="237" t="str">
        <f t="shared" si="46"/>
        <v xml:space="preserve">09/10 </v>
      </c>
      <c r="S63" s="237" t="str">
        <f t="shared" si="46"/>
        <v xml:space="preserve">10/11 </v>
      </c>
      <c r="T63" s="237" t="str">
        <f t="shared" si="46"/>
        <v xml:space="preserve">11/12 </v>
      </c>
      <c r="U63" s="237" t="str">
        <f t="shared" si="46"/>
        <v xml:space="preserve">12/13 </v>
      </c>
      <c r="V63" s="237" t="str">
        <f t="shared" si="46"/>
        <v xml:space="preserve">13/14 </v>
      </c>
      <c r="W63" s="237" t="str">
        <f t="shared" si="46"/>
        <v xml:space="preserve">14/15 </v>
      </c>
      <c r="X63" s="237" t="str">
        <f t="shared" si="46"/>
        <v xml:space="preserve">15/16 </v>
      </c>
      <c r="Y63" s="237" t="str">
        <f t="shared" si="46"/>
        <v xml:space="preserve">16/17 </v>
      </c>
      <c r="Z63" s="237" t="str">
        <f t="shared" si="46"/>
        <v xml:space="preserve">17/18 </v>
      </c>
      <c r="AA63" s="237" t="str">
        <f t="shared" si="46"/>
        <v xml:space="preserve">18/19 </v>
      </c>
      <c r="AB63" s="237" t="str">
        <f t="shared" si="46"/>
        <v xml:space="preserve">19/20 </v>
      </c>
      <c r="AC63" s="237" t="str">
        <f t="shared" si="46"/>
        <v xml:space="preserve">20/21 </v>
      </c>
      <c r="AD63" s="237" t="str">
        <f t="shared" si="46"/>
        <v xml:space="preserve">21/22 </v>
      </c>
      <c r="AE63" s="237" t="str">
        <f t="shared" si="46"/>
        <v xml:space="preserve">22/23 </v>
      </c>
    </row>
    <row r="64" spans="1:31">
      <c r="A64" s="240" t="s">
        <v>239</v>
      </c>
      <c r="B64" s="241">
        <f>(SUM(K64:O64)/SUM(K$76:O$76))*B$76</f>
        <v>0</v>
      </c>
      <c r="C64" s="241">
        <v>0</v>
      </c>
      <c r="D64" s="325">
        <f>'[2]Mexico Sunflower Exports'!BD$290</f>
        <v>0</v>
      </c>
      <c r="E64" s="325">
        <f>'[2]Mexico Sunflower Exports'!BP$290</f>
        <v>0.01</v>
      </c>
      <c r="F64" s="325">
        <f>'[2]Mexico Sunflower Exports'!CB$290</f>
        <v>2.5999999999999999E-2</v>
      </c>
      <c r="G64" s="325">
        <f>'[2]Mexico Sunflower Exports'!CN$290</f>
        <v>2.4E-2</v>
      </c>
      <c r="H64" s="325">
        <f>'[2]Mexico Sunflower Exports'!CZ$290</f>
        <v>0</v>
      </c>
      <c r="I64" s="325">
        <f>'[2]Mexico Sunflower Exports'!DL$290</f>
        <v>2E-3</v>
      </c>
      <c r="J64" s="325">
        <f>'[2]Mexico Sunflower Exports'!DX$290</f>
        <v>1E-3</v>
      </c>
      <c r="K64" s="325">
        <f>'[2]Mexico Sunflower Exports'!EJ$290</f>
        <v>1E-3</v>
      </c>
      <c r="L64" s="325">
        <f>'[2]Mexico Sunflower Exports'!EV$290</f>
        <v>0</v>
      </c>
      <c r="M64" s="325">
        <f>'[2]Mexico Sunflower Exports'!FH$290</f>
        <v>0</v>
      </c>
      <c r="N64" s="325">
        <f>'[2]Mexico Sunflower Exports'!FT$290</f>
        <v>0</v>
      </c>
      <c r="O64" s="325">
        <f>'[2]Mexico Sunflower Exports'!GF$290</f>
        <v>2E-3</v>
      </c>
      <c r="P64" s="325">
        <f>'[2]Mexico Sunflower Exports'!GR$290</f>
        <v>0</v>
      </c>
      <c r="Q64" s="325">
        <f>'[2]Mexico Sunflower Exports'!HD$290</f>
        <v>0</v>
      </c>
      <c r="R64" s="325">
        <f>'[2]Mexico Sunflower Exports'!HP$290</f>
        <v>0</v>
      </c>
      <c r="S64" s="325">
        <f>'[2]Mexico Sunflower Exports'!IB$290</f>
        <v>6.0000000000000001E-3</v>
      </c>
      <c r="T64" s="325">
        <f>'[2]Mexico Sunflower Exports'!IN$290</f>
        <v>0</v>
      </c>
      <c r="U64" s="325">
        <f>'[2]Mexico Sunflower Exports'!IZ$290</f>
        <v>0</v>
      </c>
      <c r="V64" s="325">
        <f>'[2]Mexico Sunflower Exports'!JL$290</f>
        <v>0</v>
      </c>
      <c r="W64" s="325">
        <f>'[2]Mexico Sunflower Exports'!JX$290</f>
        <v>0</v>
      </c>
      <c r="X64" s="325">
        <f>'[2]Mexico Sunflower Exports'!KJ$290</f>
        <v>0</v>
      </c>
      <c r="Y64" s="325">
        <f>'[2]Mexico Sunflower Exports'!KV$290</f>
        <v>0</v>
      </c>
      <c r="Z64" s="325">
        <f>'[2]Mexico Sunflower Exports'!LH$290</f>
        <v>2.2499999999999999E-4</v>
      </c>
      <c r="AA64" s="325">
        <f>'[2]Mexico Sunflower Exports'!LT$290</f>
        <v>0</v>
      </c>
      <c r="AB64" s="325">
        <f>'[2]Mexico Sunflower Exports'!MF$290</f>
        <v>3.0000000000000001E-6</v>
      </c>
      <c r="AC64" s="325">
        <f>'[2]Mexico Sunflower Exports'!MR$290</f>
        <v>5.28E-3</v>
      </c>
      <c r="AD64" s="325">
        <f>'[2]Mexico Sunflower Exports'!ND$290</f>
        <v>2E-3</v>
      </c>
      <c r="AE64" s="327">
        <f t="shared" ref="AE64:AE74" si="47">(SUM(Y64:AC64)/SUM(Y$76:AC$76))*AE$76</f>
        <v>2.837390919112723E-3</v>
      </c>
    </row>
    <row r="65" spans="1:33">
      <c r="A65" s="240" t="s">
        <v>240</v>
      </c>
      <c r="B65" s="241">
        <f t="shared" ref="B65:B75" si="48">(SUM(K65:O65)/SUM(K$76:O$76))*B$76</f>
        <v>0</v>
      </c>
      <c r="C65" s="241">
        <v>0</v>
      </c>
      <c r="D65" s="325">
        <f>'[2]Mexico Sunflower Exports'!BE$290</f>
        <v>0</v>
      </c>
      <c r="E65" s="325">
        <f>'[2]Mexico Sunflower Exports'!BQ$290</f>
        <v>6.0000000000000001E-3</v>
      </c>
      <c r="F65" s="325">
        <f>'[2]Mexico Sunflower Exports'!CC$290</f>
        <v>8.0000000000000002E-3</v>
      </c>
      <c r="G65" s="325">
        <f>'[2]Mexico Sunflower Exports'!CO$290</f>
        <v>5.0000000000000001E-3</v>
      </c>
      <c r="H65" s="325">
        <f>'[2]Mexico Sunflower Exports'!DA$290</f>
        <v>0</v>
      </c>
      <c r="I65" s="325">
        <f>'[2]Mexico Sunflower Exports'!DM$290</f>
        <v>1E-3</v>
      </c>
      <c r="J65" s="325">
        <f>'[2]Mexico Sunflower Exports'!DY$290</f>
        <v>1E-3</v>
      </c>
      <c r="K65" s="325">
        <f>'[2]Mexico Sunflower Exports'!EK$290</f>
        <v>0</v>
      </c>
      <c r="L65" s="325">
        <f>'[2]Mexico Sunflower Exports'!EW$290</f>
        <v>1E-3</v>
      </c>
      <c r="M65" s="325">
        <f>'[2]Mexico Sunflower Exports'!FI$290</f>
        <v>0</v>
      </c>
      <c r="N65" s="325">
        <f>'[2]Mexico Sunflower Exports'!FU$290</f>
        <v>4.0000000000000001E-3</v>
      </c>
      <c r="O65" s="325">
        <f>'[2]Mexico Sunflower Exports'!GG$290</f>
        <v>1E-3</v>
      </c>
      <c r="P65" s="325">
        <f>'[2]Mexico Sunflower Exports'!GS$290</f>
        <v>0</v>
      </c>
      <c r="Q65" s="325">
        <f>'[2]Mexico Sunflower Exports'!HE$290</f>
        <v>1E-3</v>
      </c>
      <c r="R65" s="325">
        <f>'[2]Mexico Sunflower Exports'!HQ$290</f>
        <v>0</v>
      </c>
      <c r="S65" s="325">
        <f>'[2]Mexico Sunflower Exports'!IC$290</f>
        <v>5.0000000000000001E-3</v>
      </c>
      <c r="T65" s="325">
        <f>'[2]Mexico Sunflower Exports'!IO$290</f>
        <v>0</v>
      </c>
      <c r="U65" s="325">
        <f>'[2]Mexico Sunflower Exports'!JA$290</f>
        <v>0</v>
      </c>
      <c r="V65" s="325">
        <f>'[2]Mexico Sunflower Exports'!JM$290</f>
        <v>0</v>
      </c>
      <c r="W65" s="325">
        <f>'[2]Mexico Sunflower Exports'!JY$290</f>
        <v>4.0000000000000001E-3</v>
      </c>
      <c r="X65" s="325">
        <f>'[2]Mexico Sunflower Exports'!KK$290</f>
        <v>0</v>
      </c>
      <c r="Y65" s="325">
        <f>'[2]Mexico Sunflower Exports'!KW$290</f>
        <v>1E-3</v>
      </c>
      <c r="Z65" s="325">
        <f>'[2]Mexico Sunflower Exports'!LI$290</f>
        <v>9.2599999999999996E-4</v>
      </c>
      <c r="AA65" s="325">
        <f>'[2]Mexico Sunflower Exports'!LU$290</f>
        <v>2.0000000000000002E-5</v>
      </c>
      <c r="AB65" s="325">
        <f>'[2]Mexico Sunflower Exports'!MG$290</f>
        <v>2.0000000000000002E-5</v>
      </c>
      <c r="AC65" s="325">
        <f>'[2]Mexico Sunflower Exports'!MS$290</f>
        <v>3.405E-3</v>
      </c>
      <c r="AD65" s="325">
        <f>'[2]Mexico Sunflower Exports'!NE$290</f>
        <v>0.02</v>
      </c>
      <c r="AE65" s="327">
        <f t="shared" si="47"/>
        <v>2.7668167441093744E-3</v>
      </c>
    </row>
    <row r="66" spans="1:33">
      <c r="A66" s="240" t="s">
        <v>241</v>
      </c>
      <c r="B66" s="241">
        <f t="shared" si="48"/>
        <v>0</v>
      </c>
      <c r="C66" s="241">
        <v>0</v>
      </c>
      <c r="D66" s="325">
        <f>'[2]Mexico Sunflower Exports'!BF$290</f>
        <v>1.0999999999999999E-2</v>
      </c>
      <c r="E66" s="325">
        <f>'[2]Mexico Sunflower Exports'!BR$290</f>
        <v>3.2000000000000001E-2</v>
      </c>
      <c r="F66" s="325">
        <f>'[2]Mexico Sunflower Exports'!CD$290</f>
        <v>2.4E-2</v>
      </c>
      <c r="G66" s="325">
        <f>'[2]Mexico Sunflower Exports'!CP$290</f>
        <v>7.0000000000000001E-3</v>
      </c>
      <c r="H66" s="325">
        <f>'[2]Mexico Sunflower Exports'!DB$290</f>
        <v>0</v>
      </c>
      <c r="I66" s="325">
        <f>'[2]Mexico Sunflower Exports'!DN$290</f>
        <v>1E-3</v>
      </c>
      <c r="J66" s="325">
        <f>'[2]Mexico Sunflower Exports'!DZ$290</f>
        <v>0.01</v>
      </c>
      <c r="K66" s="325">
        <f>'[2]Mexico Sunflower Exports'!EL$290</f>
        <v>0</v>
      </c>
      <c r="L66" s="325">
        <f>'[2]Mexico Sunflower Exports'!EX$290</f>
        <v>0</v>
      </c>
      <c r="M66" s="325">
        <f>'[2]Mexico Sunflower Exports'!FJ$290</f>
        <v>1E-3</v>
      </c>
      <c r="N66" s="325">
        <f>'[2]Mexico Sunflower Exports'!FV$290</f>
        <v>0</v>
      </c>
      <c r="O66" s="325">
        <f>'[2]Mexico Sunflower Exports'!GH$290</f>
        <v>1E-3</v>
      </c>
      <c r="P66" s="325">
        <f>'[2]Mexico Sunflower Exports'!GT$290</f>
        <v>0</v>
      </c>
      <c r="Q66" s="325">
        <f>'[2]Mexico Sunflower Exports'!HF$290</f>
        <v>0</v>
      </c>
      <c r="R66" s="325">
        <f>'[2]Mexico Sunflower Exports'!HR$290</f>
        <v>6.0000000000000001E-3</v>
      </c>
      <c r="S66" s="325">
        <f>'[2]Mexico Sunflower Exports'!ID$290</f>
        <v>5.0000000000000001E-3</v>
      </c>
      <c r="T66" s="325">
        <f>'[2]Mexico Sunflower Exports'!IP$290</f>
        <v>1E-3</v>
      </c>
      <c r="U66" s="325">
        <f>'[2]Mexico Sunflower Exports'!JB$290</f>
        <v>2E-3</v>
      </c>
      <c r="V66" s="325">
        <f>'[2]Mexico Sunflower Exports'!JN$290</f>
        <v>0</v>
      </c>
      <c r="W66" s="325">
        <f>'[2]Mexico Sunflower Exports'!JZ$290</f>
        <v>0</v>
      </c>
      <c r="X66" s="325">
        <f>'[2]Mexico Sunflower Exports'!KL$290</f>
        <v>0</v>
      </c>
      <c r="Y66" s="325">
        <f>'[2]Mexico Sunflower Exports'!KX$290</f>
        <v>1E-3</v>
      </c>
      <c r="Z66" s="325">
        <f>'[2]Mexico Sunflower Exports'!LJ$290</f>
        <v>1.495E-3</v>
      </c>
      <c r="AA66" s="325">
        <f>'[2]Mexico Sunflower Exports'!LV$290</f>
        <v>1.3300000000000001E-4</v>
      </c>
      <c r="AB66" s="325">
        <f>'[2]Mexico Sunflower Exports'!MH$290</f>
        <v>0</v>
      </c>
      <c r="AC66" s="325">
        <f>'[2]Mexico Sunflower Exports'!MT$290</f>
        <v>0</v>
      </c>
      <c r="AD66" s="325">
        <f>'[2]Mexico Sunflower Exports'!NF$290</f>
        <v>0</v>
      </c>
      <c r="AE66" s="327">
        <f t="shared" si="47"/>
        <v>1.3537878241518218E-3</v>
      </c>
    </row>
    <row r="67" spans="1:33">
      <c r="A67" s="240" t="s">
        <v>231</v>
      </c>
      <c r="B67" s="241">
        <f t="shared" si="48"/>
        <v>0</v>
      </c>
      <c r="C67" s="242">
        <f>'[2]Mexico Sunflower Exports'!AU$290</f>
        <v>0</v>
      </c>
      <c r="D67" s="325">
        <f>'[2]Mexico Sunflower Exports'!BG$290</f>
        <v>7.0000000000000001E-3</v>
      </c>
      <c r="E67" s="325">
        <f>'[2]Mexico Sunflower Exports'!BS$290</f>
        <v>1.6E-2</v>
      </c>
      <c r="F67" s="325">
        <f>'[2]Mexico Sunflower Exports'!CE$290</f>
        <v>3.5000000000000003E-2</v>
      </c>
      <c r="G67" s="325">
        <f>'[2]Mexico Sunflower Exports'!CQ$290</f>
        <v>5.0000000000000001E-3</v>
      </c>
      <c r="H67" s="325">
        <f>'[2]Mexico Sunflower Exports'!DC$290</f>
        <v>0</v>
      </c>
      <c r="I67" s="325">
        <f>'[2]Mexico Sunflower Exports'!DO$290</f>
        <v>1E-3</v>
      </c>
      <c r="J67" s="325">
        <f>'[2]Mexico Sunflower Exports'!EA$290</f>
        <v>5.0000000000000001E-3</v>
      </c>
      <c r="K67" s="325">
        <f>'[2]Mexico Sunflower Exports'!EM$290</f>
        <v>0</v>
      </c>
      <c r="L67" s="325">
        <f>'[2]Mexico Sunflower Exports'!EY$290</f>
        <v>0</v>
      </c>
      <c r="M67" s="325">
        <f>'[2]Mexico Sunflower Exports'!FK$290</f>
        <v>0</v>
      </c>
      <c r="N67" s="325">
        <f>'[2]Mexico Sunflower Exports'!FW$290</f>
        <v>0</v>
      </c>
      <c r="O67" s="325">
        <f>'[2]Mexico Sunflower Exports'!GI$290</f>
        <v>0</v>
      </c>
      <c r="P67" s="325">
        <f>'[2]Mexico Sunflower Exports'!GU$290</f>
        <v>0</v>
      </c>
      <c r="Q67" s="325">
        <f>'[2]Mexico Sunflower Exports'!HG$290</f>
        <v>3.0000000000000001E-3</v>
      </c>
      <c r="R67" s="325">
        <f>'[2]Mexico Sunflower Exports'!HS$290</f>
        <v>0</v>
      </c>
      <c r="S67" s="325">
        <f>'[2]Mexico Sunflower Exports'!IE$290</f>
        <v>6.0000000000000001E-3</v>
      </c>
      <c r="T67" s="325">
        <f>'[2]Mexico Sunflower Exports'!IQ$290</f>
        <v>3.0000000000000001E-3</v>
      </c>
      <c r="U67" s="325">
        <f>'[2]Mexico Sunflower Exports'!JC$290</f>
        <v>1E-3</v>
      </c>
      <c r="V67" s="325">
        <f>'[2]Mexico Sunflower Exports'!JO$290</f>
        <v>0</v>
      </c>
      <c r="W67" s="325">
        <f>'[2]Mexico Sunflower Exports'!KA$290</f>
        <v>0</v>
      </c>
      <c r="X67" s="325">
        <f>'[2]Mexico Sunflower Exports'!KM$290</f>
        <v>0</v>
      </c>
      <c r="Y67" s="325">
        <f>'[2]Mexico Sunflower Exports'!KY$290</f>
        <v>0</v>
      </c>
      <c r="Z67" s="325">
        <f>'[2]Mexico Sunflower Exports'!LK$290</f>
        <v>1.859E-3</v>
      </c>
      <c r="AA67" s="325">
        <f>'[2]Mexico Sunflower Exports'!LW$290</f>
        <v>4.4999999999999999E-4</v>
      </c>
      <c r="AB67" s="325">
        <f>'[2]Mexico Sunflower Exports'!MI$290</f>
        <v>2.13E-4</v>
      </c>
      <c r="AC67" s="325">
        <f>'[2]Mexico Sunflower Exports'!MU$290</f>
        <v>0</v>
      </c>
      <c r="AD67" s="327">
        <f t="shared" ref="AD67:AD74" si="49">(SUM(X67:AB67)/SUM(X$76:AB$76))*AD$76</f>
        <v>1.3084170332862955E-3</v>
      </c>
      <c r="AE67" s="327">
        <f t="shared" si="47"/>
        <v>1.2991829880178445E-3</v>
      </c>
    </row>
    <row r="68" spans="1:33">
      <c r="A68" s="240" t="s">
        <v>232</v>
      </c>
      <c r="B68" s="241">
        <f t="shared" si="48"/>
        <v>0</v>
      </c>
      <c r="C68" s="242">
        <f>'[2]Mexico Sunflower Exports'!AV$290</f>
        <v>0</v>
      </c>
      <c r="D68" s="325">
        <f>'[2]Mexico Sunflower Exports'!BH$290</f>
        <v>6.3E-2</v>
      </c>
      <c r="E68" s="325">
        <f>'[2]Mexico Sunflower Exports'!BT$290</f>
        <v>4.1000000000000002E-2</v>
      </c>
      <c r="F68" s="325">
        <f>'[2]Mexico Sunflower Exports'!CF$290</f>
        <v>1.2E-2</v>
      </c>
      <c r="G68" s="325">
        <f>'[2]Mexico Sunflower Exports'!CR$290</f>
        <v>3.3000000000000002E-2</v>
      </c>
      <c r="H68" s="325">
        <f>'[2]Mexico Sunflower Exports'!DD$290</f>
        <v>0</v>
      </c>
      <c r="I68" s="325">
        <f>'[2]Mexico Sunflower Exports'!DP$290</f>
        <v>1E-3</v>
      </c>
      <c r="J68" s="325">
        <f>'[2]Mexico Sunflower Exports'!EB$290</f>
        <v>0</v>
      </c>
      <c r="K68" s="325">
        <f>'[2]Mexico Sunflower Exports'!EN$290</f>
        <v>0</v>
      </c>
      <c r="L68" s="325">
        <f>'[2]Mexico Sunflower Exports'!EZ$290</f>
        <v>1.9E-2</v>
      </c>
      <c r="M68" s="325">
        <f>'[2]Mexico Sunflower Exports'!FL$290</f>
        <v>0</v>
      </c>
      <c r="N68" s="325">
        <f>'[2]Mexico Sunflower Exports'!FX$290</f>
        <v>0</v>
      </c>
      <c r="O68" s="325">
        <f>'[2]Mexico Sunflower Exports'!GJ$290</f>
        <v>0</v>
      </c>
      <c r="P68" s="325">
        <f>'[2]Mexico Sunflower Exports'!GV$290</f>
        <v>1E-3</v>
      </c>
      <c r="Q68" s="325">
        <f>'[2]Mexico Sunflower Exports'!HH$290</f>
        <v>0.02</v>
      </c>
      <c r="R68" s="325">
        <f>'[2]Mexico Sunflower Exports'!HT$290</f>
        <v>0</v>
      </c>
      <c r="S68" s="325">
        <f>'[2]Mexico Sunflower Exports'!IF$290</f>
        <v>0</v>
      </c>
      <c r="T68" s="325">
        <f>'[2]Mexico Sunflower Exports'!IR$290</f>
        <v>1E-3</v>
      </c>
      <c r="U68" s="325">
        <f>'[2]Mexico Sunflower Exports'!JD$290</f>
        <v>1E-3</v>
      </c>
      <c r="V68" s="325">
        <f>'[2]Mexico Sunflower Exports'!JP$290</f>
        <v>0</v>
      </c>
      <c r="W68" s="325">
        <f>'[2]Mexico Sunflower Exports'!KB$290</f>
        <v>0</v>
      </c>
      <c r="X68" s="325">
        <f>'[2]Mexico Sunflower Exports'!KN$290</f>
        <v>1E-3</v>
      </c>
      <c r="Y68" s="325">
        <f>'[2]Mexico Sunflower Exports'!KZ$290</f>
        <v>1E-3</v>
      </c>
      <c r="Z68" s="325">
        <f>'[2]Mexico Sunflower Exports'!LL$290</f>
        <v>4.8000000000000001E-4</v>
      </c>
      <c r="AA68" s="325">
        <f>'[2]Mexico Sunflower Exports'!LX$290</f>
        <v>1.129E-3</v>
      </c>
      <c r="AB68" s="325">
        <f>'[2]Mexico Sunflower Exports'!MJ$290</f>
        <v>4.1399999999999998E-4</v>
      </c>
      <c r="AC68" s="325">
        <f>'[2]Mexico Sunflower Exports'!MV$290</f>
        <v>0</v>
      </c>
      <c r="AD68" s="327">
        <f t="shared" si="49"/>
        <v>2.0871378766497885E-3</v>
      </c>
      <c r="AE68" s="327">
        <f t="shared" si="47"/>
        <v>1.5572681097454179E-3</v>
      </c>
    </row>
    <row r="69" spans="1:33">
      <c r="A69" s="240" t="s">
        <v>233</v>
      </c>
      <c r="B69" s="241">
        <f t="shared" si="48"/>
        <v>0</v>
      </c>
      <c r="C69" s="242">
        <f>'[2]Mexico Sunflower Exports'!AW$290</f>
        <v>0</v>
      </c>
      <c r="D69" s="325">
        <f>'[2]Mexico Sunflower Exports'!BI$290</f>
        <v>1.7999999999999999E-2</v>
      </c>
      <c r="E69" s="325">
        <f>'[2]Mexico Sunflower Exports'!BU$290</f>
        <v>4.0000000000000001E-3</v>
      </c>
      <c r="F69" s="325">
        <f>'[2]Mexico Sunflower Exports'!CG$290</f>
        <v>0.01</v>
      </c>
      <c r="G69" s="325">
        <f>'[2]Mexico Sunflower Exports'!CS$290</f>
        <v>8.0000000000000002E-3</v>
      </c>
      <c r="H69" s="325">
        <f>'[2]Mexico Sunflower Exports'!DE$290</f>
        <v>0</v>
      </c>
      <c r="I69" s="325">
        <f>'[2]Mexico Sunflower Exports'!DQ$290</f>
        <v>3.0000000000000001E-3</v>
      </c>
      <c r="J69" s="325">
        <f>'[2]Mexico Sunflower Exports'!EC$290</f>
        <v>2E-3</v>
      </c>
      <c r="K69" s="325">
        <f>'[2]Mexico Sunflower Exports'!EO$290</f>
        <v>1E-3</v>
      </c>
      <c r="L69" s="325">
        <f>'[2]Mexico Sunflower Exports'!FA$290</f>
        <v>4.1000000000000002E-2</v>
      </c>
      <c r="M69" s="325">
        <f>'[2]Mexico Sunflower Exports'!FM$290</f>
        <v>0</v>
      </c>
      <c r="N69" s="325">
        <f>'[2]Mexico Sunflower Exports'!FY$290</f>
        <v>0</v>
      </c>
      <c r="O69" s="325">
        <f>'[2]Mexico Sunflower Exports'!GK$290</f>
        <v>0</v>
      </c>
      <c r="P69" s="325">
        <f>'[2]Mexico Sunflower Exports'!GW$290</f>
        <v>0</v>
      </c>
      <c r="Q69" s="325">
        <f>'[2]Mexico Sunflower Exports'!HI$290</f>
        <v>0</v>
      </c>
      <c r="R69" s="325">
        <f>'[2]Mexico Sunflower Exports'!HU$290</f>
        <v>6.0000000000000001E-3</v>
      </c>
      <c r="S69" s="325">
        <f>'[2]Mexico Sunflower Exports'!IG$290</f>
        <v>0</v>
      </c>
      <c r="T69" s="325">
        <f>'[2]Mexico Sunflower Exports'!IS$290</f>
        <v>1E-3</v>
      </c>
      <c r="U69" s="325">
        <f>'[2]Mexico Sunflower Exports'!JE$290</f>
        <v>0</v>
      </c>
      <c r="V69" s="325">
        <f>'[2]Mexico Sunflower Exports'!JQ$290</f>
        <v>0</v>
      </c>
      <c r="W69" s="325">
        <f>'[2]Mexico Sunflower Exports'!KC$290</f>
        <v>0</v>
      </c>
      <c r="X69" s="325">
        <f>'[2]Mexico Sunflower Exports'!KO$290</f>
        <v>1E-3</v>
      </c>
      <c r="Y69" s="325">
        <f>'[2]Mexico Sunflower Exports'!LA$290</f>
        <v>8.2999999999999998E-5</v>
      </c>
      <c r="Z69" s="325">
        <f>'[2]Mexico Sunflower Exports'!LM$290</f>
        <v>2.5000000000000001E-4</v>
      </c>
      <c r="AA69" s="325">
        <f>'[2]Mexico Sunflower Exports'!LY$290</f>
        <v>1.08E-4</v>
      </c>
      <c r="AB69" s="325">
        <f>'[2]Mexico Sunflower Exports'!MK$290</f>
        <v>0</v>
      </c>
      <c r="AC69" s="325">
        <f>'[2]Mexico Sunflower Exports'!MW$290</f>
        <v>2E-3</v>
      </c>
      <c r="AD69" s="327">
        <f t="shared" si="49"/>
        <v>7.4759276168340672E-4</v>
      </c>
      <c r="AE69" s="327">
        <f t="shared" si="47"/>
        <v>1.2574566509720691E-3</v>
      </c>
    </row>
    <row r="70" spans="1:33">
      <c r="A70" s="240" t="s">
        <v>234</v>
      </c>
      <c r="B70" s="241">
        <f t="shared" si="48"/>
        <v>0</v>
      </c>
      <c r="C70" s="242">
        <f>'[2]Mexico Sunflower Exports'!AX$290</f>
        <v>0</v>
      </c>
      <c r="D70" s="325">
        <f>'[2]Mexico Sunflower Exports'!BJ$290</f>
        <v>6.0000000000000001E-3</v>
      </c>
      <c r="E70" s="325">
        <f>'[2]Mexico Sunflower Exports'!BV$290</f>
        <v>7.0000000000000001E-3</v>
      </c>
      <c r="F70" s="325">
        <f>'[2]Mexico Sunflower Exports'!CH$290</f>
        <v>2.1999999999999999E-2</v>
      </c>
      <c r="G70" s="325">
        <f>'[2]Mexico Sunflower Exports'!CT$290</f>
        <v>2.3E-2</v>
      </c>
      <c r="H70" s="325">
        <f>'[2]Mexico Sunflower Exports'!DF$290</f>
        <v>0</v>
      </c>
      <c r="I70" s="325">
        <f>'[2]Mexico Sunflower Exports'!DR$290</f>
        <v>0</v>
      </c>
      <c r="J70" s="325">
        <f>'[2]Mexico Sunflower Exports'!ED$290</f>
        <v>1E-3</v>
      </c>
      <c r="K70" s="325">
        <f>'[2]Mexico Sunflower Exports'!EP$290</f>
        <v>0</v>
      </c>
      <c r="L70" s="325">
        <f>'[2]Mexico Sunflower Exports'!FB$290</f>
        <v>0</v>
      </c>
      <c r="M70" s="325">
        <f>'[2]Mexico Sunflower Exports'!FN$290</f>
        <v>0</v>
      </c>
      <c r="N70" s="325">
        <f>'[2]Mexico Sunflower Exports'!FZ$290</f>
        <v>1E-3</v>
      </c>
      <c r="O70" s="325">
        <f>'[2]Mexico Sunflower Exports'!GL$290</f>
        <v>0</v>
      </c>
      <c r="P70" s="325">
        <f>'[2]Mexico Sunflower Exports'!GX$290</f>
        <v>3.0000000000000001E-3</v>
      </c>
      <c r="Q70" s="325">
        <f>'[2]Mexico Sunflower Exports'!HJ$290</f>
        <v>6.0000000000000001E-3</v>
      </c>
      <c r="R70" s="325">
        <f>'[2]Mexico Sunflower Exports'!HV$290</f>
        <v>0.01</v>
      </c>
      <c r="S70" s="325">
        <f>'[2]Mexico Sunflower Exports'!IH$290</f>
        <v>4.0000000000000001E-3</v>
      </c>
      <c r="T70" s="325">
        <f>'[2]Mexico Sunflower Exports'!IT$290</f>
        <v>1E-3</v>
      </c>
      <c r="U70" s="325">
        <f>'[2]Mexico Sunflower Exports'!JF$290</f>
        <v>0</v>
      </c>
      <c r="V70" s="325">
        <f>'[2]Mexico Sunflower Exports'!JR$290</f>
        <v>2E-3</v>
      </c>
      <c r="W70" s="325">
        <f>'[2]Mexico Sunflower Exports'!KD$290</f>
        <v>0</v>
      </c>
      <c r="X70" s="325">
        <f>'[2]Mexico Sunflower Exports'!KP$290</f>
        <v>6.0000000000000001E-3</v>
      </c>
      <c r="Y70" s="325">
        <f>'[2]Mexico Sunflower Exports'!LB$290</f>
        <v>4.4900000000000002E-4</v>
      </c>
      <c r="Z70" s="325">
        <f>'[2]Mexico Sunflower Exports'!LN$290</f>
        <v>6.4999999999999994E-5</v>
      </c>
      <c r="AA70" s="325">
        <f>'[2]Mexico Sunflower Exports'!LZ$290</f>
        <v>6.1899999999999998E-4</v>
      </c>
      <c r="AB70" s="325">
        <f>'[2]Mexico Sunflower Exports'!ML$290</f>
        <v>1.5699999999999999E-4</v>
      </c>
      <c r="AC70" s="325">
        <f>'[2]Mexico Sunflower Exports'!MX$290</f>
        <v>0</v>
      </c>
      <c r="AD70" s="327">
        <f t="shared" si="49"/>
        <v>3.7820619241304889E-3</v>
      </c>
      <c r="AE70" s="327">
        <f t="shared" si="47"/>
        <v>6.6453055295123686E-4</v>
      </c>
    </row>
    <row r="71" spans="1:33">
      <c r="A71" s="240" t="s">
        <v>46</v>
      </c>
      <c r="B71" s="241">
        <f t="shared" si="48"/>
        <v>0</v>
      </c>
      <c r="C71" s="242">
        <f>'[2]Mexico Sunflower Exports'!AY$290</f>
        <v>0</v>
      </c>
      <c r="D71" s="325">
        <f>'[2]Mexico Sunflower Exports'!BK$290</f>
        <v>7.2999999999999995E-2</v>
      </c>
      <c r="E71" s="325">
        <f>'[2]Mexico Sunflower Exports'!BW$290</f>
        <v>2.4E-2</v>
      </c>
      <c r="F71" s="325">
        <f>'[2]Mexico Sunflower Exports'!CI$290</f>
        <v>1.2E-2</v>
      </c>
      <c r="G71" s="325">
        <f>'[2]Mexico Sunflower Exports'!CU$290</f>
        <v>1.7999999999999999E-2</v>
      </c>
      <c r="H71" s="325">
        <f>'[2]Mexico Sunflower Exports'!DG$290</f>
        <v>0</v>
      </c>
      <c r="I71" s="325">
        <f>'[2]Mexico Sunflower Exports'!DS$290</f>
        <v>0</v>
      </c>
      <c r="J71" s="325">
        <f>'[2]Mexico Sunflower Exports'!EE$290</f>
        <v>0</v>
      </c>
      <c r="K71" s="325">
        <f>'[2]Mexico Sunflower Exports'!EQ$290</f>
        <v>0</v>
      </c>
      <c r="L71" s="325">
        <f>'[2]Mexico Sunflower Exports'!FC$290</f>
        <v>2E-3</v>
      </c>
      <c r="M71" s="325">
        <f>'[2]Mexico Sunflower Exports'!FO$290</f>
        <v>1.2999999999999999E-2</v>
      </c>
      <c r="N71" s="325">
        <f>'[2]Mexico Sunflower Exports'!GA$290</f>
        <v>0</v>
      </c>
      <c r="O71" s="325">
        <f>'[2]Mexico Sunflower Exports'!GM$290</f>
        <v>1E-3</v>
      </c>
      <c r="P71" s="325">
        <f>'[2]Mexico Sunflower Exports'!GY$290</f>
        <v>1E-3</v>
      </c>
      <c r="Q71" s="325">
        <f>'[2]Mexico Sunflower Exports'!HK$290</f>
        <v>0</v>
      </c>
      <c r="R71" s="325">
        <f>'[2]Mexico Sunflower Exports'!HW$290</f>
        <v>7.0000000000000001E-3</v>
      </c>
      <c r="S71" s="325">
        <f>'[2]Mexico Sunflower Exports'!II$290</f>
        <v>0</v>
      </c>
      <c r="T71" s="325">
        <f>'[2]Mexico Sunflower Exports'!IU$290</f>
        <v>3.0000000000000001E-3</v>
      </c>
      <c r="U71" s="325">
        <f>'[2]Mexico Sunflower Exports'!JG$290</f>
        <v>0</v>
      </c>
      <c r="V71" s="325">
        <f>'[2]Mexico Sunflower Exports'!JS$290</f>
        <v>3.0000000000000001E-3</v>
      </c>
      <c r="W71" s="325">
        <f>'[2]Mexico Sunflower Exports'!KE$290</f>
        <v>2E-3</v>
      </c>
      <c r="X71" s="325">
        <f>'[2]Mexico Sunflower Exports'!KQ$290</f>
        <v>2E-3</v>
      </c>
      <c r="Y71" s="325">
        <f>'[2]Mexico Sunflower Exports'!LC$290</f>
        <v>5.8100000000000003E-4</v>
      </c>
      <c r="Z71" s="325">
        <f>'[2]Mexico Sunflower Exports'!LO$290</f>
        <v>9.9999999999999995E-7</v>
      </c>
      <c r="AA71" s="325">
        <f>'[2]Mexico Sunflower Exports'!MA$290</f>
        <v>2.04E-4</v>
      </c>
      <c r="AB71" s="325">
        <f>'[2]Mexico Sunflower Exports'!MM$290</f>
        <v>0</v>
      </c>
      <c r="AC71" s="325">
        <f>'[2]Mexico Sunflower Exports'!MY$290</f>
        <v>0</v>
      </c>
      <c r="AD71" s="327">
        <f t="shared" si="49"/>
        <v>1.4453805926786755E-3</v>
      </c>
      <c r="AE71" s="327">
        <f t="shared" si="47"/>
        <v>4.0490001133307914E-4</v>
      </c>
    </row>
    <row r="72" spans="1:33">
      <c r="A72" s="240" t="s">
        <v>235</v>
      </c>
      <c r="B72" s="241">
        <f t="shared" si="48"/>
        <v>0</v>
      </c>
      <c r="C72" s="242">
        <f>'[2]Mexico Sunflower Exports'!AZ$290</f>
        <v>0</v>
      </c>
      <c r="D72" s="325">
        <f>'[2]Mexico Sunflower Exports'!BL$290</f>
        <v>5.6000000000000001E-2</v>
      </c>
      <c r="E72" s="325">
        <f>'[2]Mexico Sunflower Exports'!BX$290</f>
        <v>2.7E-2</v>
      </c>
      <c r="F72" s="325">
        <f>'[2]Mexico Sunflower Exports'!CJ$290</f>
        <v>1.4E-2</v>
      </c>
      <c r="G72" s="325">
        <f>'[2]Mexico Sunflower Exports'!CV$290</f>
        <v>1.7999999999999999E-2</v>
      </c>
      <c r="H72" s="325">
        <f>'[2]Mexico Sunflower Exports'!DH$290</f>
        <v>2E-3</v>
      </c>
      <c r="I72" s="325">
        <f>'[2]Mexico Sunflower Exports'!DT$290</f>
        <v>0</v>
      </c>
      <c r="J72" s="325">
        <f>'[2]Mexico Sunflower Exports'!EF$290</f>
        <v>0</v>
      </c>
      <c r="K72" s="325">
        <f>'[2]Mexico Sunflower Exports'!ER$290</f>
        <v>0</v>
      </c>
      <c r="L72" s="325">
        <f>'[2]Mexico Sunflower Exports'!FD$290</f>
        <v>0</v>
      </c>
      <c r="M72" s="325">
        <f>'[2]Mexico Sunflower Exports'!FP$290</f>
        <v>0</v>
      </c>
      <c r="N72" s="325">
        <f>'[2]Mexico Sunflower Exports'!GB$290</f>
        <v>0</v>
      </c>
      <c r="O72" s="325">
        <f>'[2]Mexico Sunflower Exports'!GN$290</f>
        <v>0</v>
      </c>
      <c r="P72" s="325">
        <f>'[2]Mexico Sunflower Exports'!GZ$290</f>
        <v>5.0000000000000001E-3</v>
      </c>
      <c r="Q72" s="325">
        <f>'[2]Mexico Sunflower Exports'!HL$290</f>
        <v>2E-3</v>
      </c>
      <c r="R72" s="325">
        <f>'[2]Mexico Sunflower Exports'!HX$290</f>
        <v>4.0000000000000001E-3</v>
      </c>
      <c r="S72" s="325">
        <f>'[2]Mexico Sunflower Exports'!IJ$290</f>
        <v>1E-3</v>
      </c>
      <c r="T72" s="325">
        <f>'[2]Mexico Sunflower Exports'!IV$290</f>
        <v>0</v>
      </c>
      <c r="U72" s="325">
        <f>'[2]Mexico Sunflower Exports'!JH$290</f>
        <v>0</v>
      </c>
      <c r="V72" s="325">
        <f>'[2]Mexico Sunflower Exports'!JT$290</f>
        <v>0</v>
      </c>
      <c r="W72" s="325">
        <f>'[2]Mexico Sunflower Exports'!KF$290</f>
        <v>0</v>
      </c>
      <c r="X72" s="325">
        <f>'[2]Mexico Sunflower Exports'!KR$290</f>
        <v>1E-3</v>
      </c>
      <c r="Y72" s="325">
        <f>'[2]Mexico Sunflower Exports'!LD$290</f>
        <v>7.2199999999999999E-4</v>
      </c>
      <c r="Z72" s="325">
        <f>'[2]Mexico Sunflower Exports'!LP$290</f>
        <v>6.5230000000000002E-3</v>
      </c>
      <c r="AA72" s="325">
        <f>'[2]Mexico Sunflower Exports'!MB$290</f>
        <v>0</v>
      </c>
      <c r="AB72" s="325">
        <f>'[2]Mexico Sunflower Exports'!MN$290</f>
        <v>0</v>
      </c>
      <c r="AC72" s="325">
        <f>'[2]Mexico Sunflower Exports'!MZ$290</f>
        <v>2E-3</v>
      </c>
      <c r="AD72" s="327">
        <f t="shared" si="49"/>
        <v>4.2775172242051967E-3</v>
      </c>
      <c r="AE72" s="327">
        <f t="shared" si="47"/>
        <v>4.7624689628171972E-3</v>
      </c>
    </row>
    <row r="73" spans="1:33">
      <c r="A73" s="240" t="s">
        <v>236</v>
      </c>
      <c r="B73" s="241">
        <f t="shared" si="48"/>
        <v>0</v>
      </c>
      <c r="C73" s="242">
        <f>'[2]Mexico Sunflower Exports'!BA$290</f>
        <v>0</v>
      </c>
      <c r="D73" s="325">
        <f>'[2]Mexico Sunflower Exports'!BM$290</f>
        <v>2.7E-2</v>
      </c>
      <c r="E73" s="325">
        <f>'[2]Mexico Sunflower Exports'!BY$290</f>
        <v>1.4E-2</v>
      </c>
      <c r="F73" s="325">
        <f>'[2]Mexico Sunflower Exports'!CK$290</f>
        <v>8.9999999999999993E-3</v>
      </c>
      <c r="G73" s="325">
        <f>'[2]Mexico Sunflower Exports'!CW$290</f>
        <v>8.9999999999999993E-3</v>
      </c>
      <c r="H73" s="325">
        <f>'[2]Mexico Sunflower Exports'!DI$290</f>
        <v>2E-3</v>
      </c>
      <c r="I73" s="325">
        <f>'[2]Mexico Sunflower Exports'!DU$290</f>
        <v>0</v>
      </c>
      <c r="J73" s="325">
        <f>'[2]Mexico Sunflower Exports'!EG$290</f>
        <v>1E-3</v>
      </c>
      <c r="K73" s="325">
        <f>'[2]Mexico Sunflower Exports'!ES$290</f>
        <v>1E-3</v>
      </c>
      <c r="L73" s="325">
        <f>'[2]Mexico Sunflower Exports'!FE$290</f>
        <v>0</v>
      </c>
      <c r="M73" s="325">
        <f>'[2]Mexico Sunflower Exports'!FQ$290</f>
        <v>0</v>
      </c>
      <c r="N73" s="325">
        <f>'[2]Mexico Sunflower Exports'!GC$290</f>
        <v>0</v>
      </c>
      <c r="O73" s="325">
        <f>'[2]Mexico Sunflower Exports'!GO$290</f>
        <v>0</v>
      </c>
      <c r="P73" s="325">
        <f>'[2]Mexico Sunflower Exports'!HA$290</f>
        <v>1E-3</v>
      </c>
      <c r="Q73" s="325">
        <f>'[2]Mexico Sunflower Exports'!HM$290</f>
        <v>2E-3</v>
      </c>
      <c r="R73" s="325">
        <f>'[2]Mexico Sunflower Exports'!HY$290</f>
        <v>2E-3</v>
      </c>
      <c r="S73" s="325">
        <f>'[2]Mexico Sunflower Exports'!IK$290</f>
        <v>1E-3</v>
      </c>
      <c r="T73" s="325">
        <f>'[2]Mexico Sunflower Exports'!IW$290</f>
        <v>0</v>
      </c>
      <c r="U73" s="325">
        <f>'[2]Mexico Sunflower Exports'!JI$290</f>
        <v>0</v>
      </c>
      <c r="V73" s="325">
        <f>'[2]Mexico Sunflower Exports'!JU$290</f>
        <v>0</v>
      </c>
      <c r="W73" s="325">
        <f>'[2]Mexico Sunflower Exports'!KG$290</f>
        <v>0</v>
      </c>
      <c r="X73" s="325">
        <f>'[2]Mexico Sunflower Exports'!KS$290</f>
        <v>1E-3</v>
      </c>
      <c r="Y73" s="325">
        <f>'[2]Mexico Sunflower Exports'!LE$290</f>
        <v>4.95E-4</v>
      </c>
      <c r="Z73" s="325">
        <f>'[2]Mexico Sunflower Exports'!LQ$290</f>
        <v>2.5999999999999999E-2</v>
      </c>
      <c r="AA73" s="325">
        <f>'[2]Mexico Sunflower Exports'!MC$290</f>
        <v>0</v>
      </c>
      <c r="AB73" s="325">
        <f>'[2]Mexico Sunflower Exports'!MO$290</f>
        <v>1.8700000000000001E-2</v>
      </c>
      <c r="AC73" s="325">
        <f>'[2]Mexico Sunflower Exports'!NA$290</f>
        <v>0</v>
      </c>
      <c r="AD73" s="327">
        <f t="shared" si="49"/>
        <v>2.3966028886859798E-2</v>
      </c>
      <c r="AE73" s="327">
        <f t="shared" si="47"/>
        <v>2.3281750651652052E-2</v>
      </c>
    </row>
    <row r="74" spans="1:33">
      <c r="A74" s="240" t="s">
        <v>237</v>
      </c>
      <c r="B74" s="241">
        <f t="shared" si="48"/>
        <v>0</v>
      </c>
      <c r="C74" s="242">
        <f>'[2]Mexico Sunflower Exports'!BB$290</f>
        <v>8.9999999999999993E-3</v>
      </c>
      <c r="D74" s="325">
        <f>'[2]Mexico Sunflower Exports'!BN$290</f>
        <v>1.0999999999999999E-2</v>
      </c>
      <c r="E74" s="325">
        <f>'[2]Mexico Sunflower Exports'!BZ$290</f>
        <v>5.0000000000000001E-3</v>
      </c>
      <c r="F74" s="325">
        <f>'[2]Mexico Sunflower Exports'!CL$290</f>
        <v>1.7000000000000001E-2</v>
      </c>
      <c r="G74" s="325">
        <f>'[2]Mexico Sunflower Exports'!CX$290</f>
        <v>3.0000000000000001E-3</v>
      </c>
      <c r="H74" s="325">
        <f>'[2]Mexico Sunflower Exports'!DJ$290</f>
        <v>1E-3</v>
      </c>
      <c r="I74" s="325">
        <f>'[2]Mexico Sunflower Exports'!DV$290</f>
        <v>2E-3</v>
      </c>
      <c r="J74" s="325">
        <f>'[2]Mexico Sunflower Exports'!EH$290</f>
        <v>1E-3</v>
      </c>
      <c r="K74" s="325">
        <f>'[2]Mexico Sunflower Exports'!ET$290</f>
        <v>0</v>
      </c>
      <c r="L74" s="325">
        <f>'[2]Mexico Sunflower Exports'!FF$290</f>
        <v>0</v>
      </c>
      <c r="M74" s="325">
        <f>'[2]Mexico Sunflower Exports'!FR$290</f>
        <v>0</v>
      </c>
      <c r="N74" s="325">
        <f>'[2]Mexico Sunflower Exports'!GD$290</f>
        <v>1E-3</v>
      </c>
      <c r="O74" s="325">
        <f>'[2]Mexico Sunflower Exports'!GP$290</f>
        <v>1E-3</v>
      </c>
      <c r="P74" s="325">
        <f>'[2]Mexico Sunflower Exports'!HB$290</f>
        <v>0</v>
      </c>
      <c r="Q74" s="325">
        <f>'[2]Mexico Sunflower Exports'!HN$290</f>
        <v>0</v>
      </c>
      <c r="R74" s="325">
        <f>'[2]Mexico Sunflower Exports'!HZ$290</f>
        <v>4.0000000000000001E-3</v>
      </c>
      <c r="S74" s="325">
        <f>'[2]Mexico Sunflower Exports'!IL$290</f>
        <v>1E-3</v>
      </c>
      <c r="T74" s="325">
        <f>'[2]Mexico Sunflower Exports'!IX$290</f>
        <v>0</v>
      </c>
      <c r="U74" s="325">
        <f>'[2]Mexico Sunflower Exports'!JJ$290</f>
        <v>0</v>
      </c>
      <c r="V74" s="325">
        <f>'[2]Mexico Sunflower Exports'!JV$290</f>
        <v>0</v>
      </c>
      <c r="W74" s="325">
        <f>'[2]Mexico Sunflower Exports'!KH$290</f>
        <v>0</v>
      </c>
      <c r="X74" s="325">
        <f>'[2]Mexico Sunflower Exports'!KT$290</f>
        <v>0</v>
      </c>
      <c r="Y74" s="325">
        <f>'[2]Mexico Sunflower Exports'!LF$290</f>
        <v>2.9599999999999998E-4</v>
      </c>
      <c r="Z74" s="325">
        <f>'[2]Mexico Sunflower Exports'!LR$290</f>
        <v>4.5000000000000003E-5</v>
      </c>
      <c r="AA74" s="325">
        <f>'[2]Mexico Sunflower Exports'!MD$290</f>
        <v>0</v>
      </c>
      <c r="AB74" s="325">
        <f>'[2]Mexico Sunflower Exports'!MP$290</f>
        <v>1.8710999999999998E-2</v>
      </c>
      <c r="AC74" s="325">
        <f>'[2]Mexico Sunflower Exports'!NB$290</f>
        <v>0</v>
      </c>
      <c r="AD74" s="327">
        <f t="shared" si="49"/>
        <v>9.8842035361500786E-3</v>
      </c>
      <c r="AE74" s="327">
        <f t="shared" si="47"/>
        <v>9.814446585137181E-3</v>
      </c>
    </row>
    <row r="75" spans="1:33">
      <c r="A75" s="240" t="s">
        <v>238</v>
      </c>
      <c r="B75" s="241">
        <f t="shared" si="48"/>
        <v>0</v>
      </c>
      <c r="C75" s="242">
        <f>'[2]Mexico Sunflower Exports'!BC$290</f>
        <v>0</v>
      </c>
      <c r="D75" s="325">
        <f>'[2]Mexico Sunflower Exports'!BO$290</f>
        <v>8.0000000000000002E-3</v>
      </c>
      <c r="E75" s="325">
        <f>'[2]Mexico Sunflower Exports'!CA$290</f>
        <v>0.01</v>
      </c>
      <c r="F75" s="325">
        <f>'[2]Mexico Sunflower Exports'!CM$290</f>
        <v>2.8000000000000001E-2</v>
      </c>
      <c r="G75" s="325">
        <f>'[2]Mexico Sunflower Exports'!CY$290</f>
        <v>0</v>
      </c>
      <c r="H75" s="325">
        <f>'[2]Mexico Sunflower Exports'!DK$290</f>
        <v>0</v>
      </c>
      <c r="I75" s="325">
        <f>'[2]Mexico Sunflower Exports'!DW$290</f>
        <v>3.0000000000000001E-3</v>
      </c>
      <c r="J75" s="325">
        <f>'[2]Mexico Sunflower Exports'!EI$290</f>
        <v>1E-3</v>
      </c>
      <c r="K75" s="325">
        <f>'[2]Mexico Sunflower Exports'!EU$290</f>
        <v>0</v>
      </c>
      <c r="L75" s="325">
        <f>'[2]Mexico Sunflower Exports'!FG$290</f>
        <v>0</v>
      </c>
      <c r="M75" s="325">
        <f>'[2]Mexico Sunflower Exports'!FS$290</f>
        <v>1E-3</v>
      </c>
      <c r="N75" s="325">
        <f>'[2]Mexico Sunflower Exports'!GE$290</f>
        <v>0</v>
      </c>
      <c r="O75" s="325">
        <f>'[2]Mexico Sunflower Exports'!GQ$290</f>
        <v>0</v>
      </c>
      <c r="P75" s="325">
        <f>'[2]Mexico Sunflower Exports'!HC$290</f>
        <v>0</v>
      </c>
      <c r="Q75" s="325">
        <f>'[2]Mexico Sunflower Exports'!HO$290</f>
        <v>0</v>
      </c>
      <c r="R75" s="325">
        <f>'[2]Mexico Sunflower Exports'!IA$290</f>
        <v>7.0000000000000001E-3</v>
      </c>
      <c r="S75" s="325">
        <f>'[2]Mexico Sunflower Exports'!IM$290</f>
        <v>0</v>
      </c>
      <c r="T75" s="325">
        <f>'[2]Mexico Sunflower Exports'!IY$290</f>
        <v>0</v>
      </c>
      <c r="U75" s="325">
        <f>'[2]Mexico Sunflower Exports'!JK$290</f>
        <v>0</v>
      </c>
      <c r="V75" s="325">
        <f>'[2]Mexico Sunflower Exports'!JW$290</f>
        <v>0</v>
      </c>
      <c r="W75" s="325">
        <f>'[2]Mexico Sunflower Exports'!KI$290</f>
        <v>0</v>
      </c>
      <c r="X75" s="325">
        <f>'[2]Mexico Sunflower Exports'!KU$290</f>
        <v>0</v>
      </c>
      <c r="Y75" s="325">
        <f>'[2]Mexico Sunflower Exports'!LG$290</f>
        <v>2.3E-5</v>
      </c>
      <c r="Z75" s="325">
        <f>'[2]Mexico Sunflower Exports'!LS$290</f>
        <v>3.5200000000000001E-3</v>
      </c>
      <c r="AA75" s="325">
        <f>'[2]Mexico Sunflower Exports'!ME$290</f>
        <v>1.078E-2</v>
      </c>
      <c r="AB75" s="325">
        <f>'[2]Mexico Sunflower Exports'!MQ$290</f>
        <v>1.9105E-2</v>
      </c>
      <c r="AC75" s="325">
        <f>'[2]Mexico Sunflower Exports'!NC$290</f>
        <v>0</v>
      </c>
      <c r="AD75" s="327">
        <f t="shared" ref="AD75:AE75" si="50">AD76-SUM(AD64:AD74)</f>
        <v>-1.9498339835643724E-2</v>
      </c>
      <c r="AE75" s="327">
        <f t="shared" si="50"/>
        <v>0</v>
      </c>
    </row>
    <row r="76" spans="1:33" ht="15.75" thickBot="1">
      <c r="A76" s="240" t="s">
        <v>242</v>
      </c>
      <c r="B76" s="245">
        <f t="shared" ref="B76:C76" si="51">B13</f>
        <v>0</v>
      </c>
      <c r="C76" s="245">
        <f t="shared" si="51"/>
        <v>0</v>
      </c>
      <c r="D76" s="434">
        <f t="shared" ref="D76:G76" si="52">SUM(D64:D74)</f>
        <v>0.27200000000000002</v>
      </c>
      <c r="E76" s="434">
        <f t="shared" si="52"/>
        <v>0.18600000000000003</v>
      </c>
      <c r="F76" s="434">
        <f t="shared" si="52"/>
        <v>0.189</v>
      </c>
      <c r="G76" s="434">
        <f t="shared" si="52"/>
        <v>0.15300000000000002</v>
      </c>
      <c r="H76" s="434">
        <f t="shared" ref="H76:AA76" si="53">SUM(H64:H74)</f>
        <v>5.0000000000000001E-3</v>
      </c>
      <c r="I76" s="434">
        <f t="shared" si="53"/>
        <v>1.1000000000000001E-2</v>
      </c>
      <c r="J76" s="434">
        <f t="shared" si="53"/>
        <v>2.2000000000000006E-2</v>
      </c>
      <c r="K76" s="434">
        <f t="shared" si="53"/>
        <v>3.0000000000000001E-3</v>
      </c>
      <c r="L76" s="434">
        <f t="shared" si="53"/>
        <v>6.3E-2</v>
      </c>
      <c r="M76" s="434">
        <f t="shared" si="53"/>
        <v>1.3999999999999999E-2</v>
      </c>
      <c r="N76" s="434">
        <f t="shared" si="53"/>
        <v>6.0000000000000001E-3</v>
      </c>
      <c r="O76" s="434">
        <f t="shared" si="53"/>
        <v>6.0000000000000001E-3</v>
      </c>
      <c r="P76" s="434">
        <f t="shared" si="53"/>
        <v>1.0999999999999999E-2</v>
      </c>
      <c r="Q76" s="434">
        <f t="shared" si="53"/>
        <v>3.4000000000000002E-2</v>
      </c>
      <c r="R76" s="434">
        <f t="shared" si="53"/>
        <v>3.9000000000000007E-2</v>
      </c>
      <c r="S76" s="434">
        <f t="shared" si="53"/>
        <v>2.9000000000000001E-2</v>
      </c>
      <c r="T76" s="434">
        <f t="shared" si="53"/>
        <v>0.01</v>
      </c>
      <c r="U76" s="434">
        <f t="shared" si="53"/>
        <v>4.0000000000000001E-3</v>
      </c>
      <c r="V76" s="434">
        <f t="shared" si="53"/>
        <v>5.0000000000000001E-3</v>
      </c>
      <c r="W76" s="434">
        <f t="shared" si="53"/>
        <v>6.0000000000000001E-3</v>
      </c>
      <c r="X76" s="434">
        <f t="shared" si="53"/>
        <v>1.2E-2</v>
      </c>
      <c r="Y76" s="434">
        <f t="shared" si="53"/>
        <v>5.6260000000000008E-3</v>
      </c>
      <c r="Z76" s="434">
        <f t="shared" si="53"/>
        <v>3.7869E-2</v>
      </c>
      <c r="AA76" s="434">
        <f t="shared" si="53"/>
        <v>2.6630000000000004E-3</v>
      </c>
      <c r="AB76" s="434">
        <f>SUM(AB64:AB74)</f>
        <v>3.8218000000000002E-2</v>
      </c>
      <c r="AC76" s="435">
        <f>SUM(AC64:AC74)</f>
        <v>1.2685E-2</v>
      </c>
      <c r="AD76" s="247">
        <f t="shared" ref="AD76:AE76" si="54">AD13</f>
        <v>0.05</v>
      </c>
      <c r="AE76" s="247">
        <f t="shared" si="54"/>
        <v>0.05</v>
      </c>
    </row>
    <row r="77" spans="1:33">
      <c r="A77" s="248"/>
      <c r="B77" s="248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</row>
    <row r="78" spans="1:33" ht="15.75" thickBot="1">
      <c r="A78" s="235" t="s">
        <v>244</v>
      </c>
    </row>
    <row r="79" spans="1:33" ht="15.75" thickBot="1">
      <c r="A79" s="236"/>
      <c r="B79" s="237" t="str">
        <f>B$2</f>
        <v xml:space="preserve">93/94 </v>
      </c>
      <c r="C79" s="237" t="str">
        <f t="shared" ref="C79:AE79" si="55">C$2</f>
        <v xml:space="preserve">94/95 </v>
      </c>
      <c r="D79" s="237" t="str">
        <f t="shared" si="55"/>
        <v xml:space="preserve">95/96 </v>
      </c>
      <c r="E79" s="237" t="str">
        <f t="shared" si="55"/>
        <v xml:space="preserve">96/97 </v>
      </c>
      <c r="F79" s="237" t="str">
        <f t="shared" si="55"/>
        <v xml:space="preserve">97/98 </v>
      </c>
      <c r="G79" s="237" t="str">
        <f t="shared" si="55"/>
        <v xml:space="preserve">98/99 </v>
      </c>
      <c r="H79" s="237" t="str">
        <f t="shared" si="55"/>
        <v xml:space="preserve">99/00 </v>
      </c>
      <c r="I79" s="237" t="str">
        <f t="shared" si="55"/>
        <v xml:space="preserve">00/01 </v>
      </c>
      <c r="J79" s="237" t="str">
        <f t="shared" si="55"/>
        <v xml:space="preserve">01/02 </v>
      </c>
      <c r="K79" s="237" t="str">
        <f t="shared" si="55"/>
        <v xml:space="preserve">02/03 </v>
      </c>
      <c r="L79" s="237" t="str">
        <f t="shared" si="55"/>
        <v xml:space="preserve">03/04 </v>
      </c>
      <c r="M79" s="237" t="str">
        <f t="shared" si="55"/>
        <v xml:space="preserve">04/05 </v>
      </c>
      <c r="N79" s="237" t="str">
        <f t="shared" si="55"/>
        <v xml:space="preserve">05/06 </v>
      </c>
      <c r="O79" s="237" t="str">
        <f t="shared" si="55"/>
        <v xml:space="preserve">06/07 </v>
      </c>
      <c r="P79" s="237" t="str">
        <f t="shared" si="55"/>
        <v xml:space="preserve">07/08 </v>
      </c>
      <c r="Q79" s="237" t="str">
        <f t="shared" si="55"/>
        <v xml:space="preserve">08/09 </v>
      </c>
      <c r="R79" s="237" t="str">
        <f t="shared" si="55"/>
        <v xml:space="preserve">09/10 </v>
      </c>
      <c r="S79" s="237" t="str">
        <f t="shared" si="55"/>
        <v xml:space="preserve">10/11 </v>
      </c>
      <c r="T79" s="237" t="str">
        <f t="shared" si="55"/>
        <v xml:space="preserve">11/12 </v>
      </c>
      <c r="U79" s="237" t="str">
        <f t="shared" si="55"/>
        <v xml:space="preserve">12/13 </v>
      </c>
      <c r="V79" s="237" t="str">
        <f t="shared" si="55"/>
        <v xml:space="preserve">13/14 </v>
      </c>
      <c r="W79" s="237" t="str">
        <f t="shared" si="55"/>
        <v xml:space="preserve">14/15 </v>
      </c>
      <c r="X79" s="237" t="str">
        <f t="shared" si="55"/>
        <v xml:space="preserve">15/16 </v>
      </c>
      <c r="Y79" s="237" t="str">
        <f t="shared" si="55"/>
        <v xml:space="preserve">16/17 </v>
      </c>
      <c r="Z79" s="237" t="str">
        <f t="shared" si="55"/>
        <v xml:space="preserve">17/18 </v>
      </c>
      <c r="AA79" s="237" t="str">
        <f t="shared" si="55"/>
        <v xml:space="preserve">18/19 </v>
      </c>
      <c r="AB79" s="237" t="str">
        <f t="shared" si="55"/>
        <v xml:space="preserve">19/20 </v>
      </c>
      <c r="AC79" s="237" t="str">
        <f t="shared" si="55"/>
        <v xml:space="preserve">20/21 </v>
      </c>
      <c r="AD79" s="237" t="str">
        <f t="shared" si="55"/>
        <v xml:space="preserve">21/22 </v>
      </c>
      <c r="AE79" s="237" t="str">
        <f t="shared" si="55"/>
        <v xml:space="preserve">22/23 </v>
      </c>
    </row>
    <row r="80" spans="1:33">
      <c r="A80" s="240" t="s">
        <v>239</v>
      </c>
      <c r="B80" s="290">
        <f t="shared" ref="B80:AC89" si="56">B207/B$235</f>
        <v>0.10344764775509689</v>
      </c>
      <c r="C80" s="290">
        <f t="shared" si="56"/>
        <v>15.568732713834802</v>
      </c>
      <c r="D80" s="290">
        <f t="shared" si="56"/>
        <v>-29.918753846153837</v>
      </c>
      <c r="E80" s="290">
        <f t="shared" si="56"/>
        <v>33.73725071225072</v>
      </c>
      <c r="F80" s="290">
        <f t="shared" si="56"/>
        <v>-6.0580952380952322</v>
      </c>
      <c r="G80" s="290">
        <f t="shared" si="56"/>
        <v>51.36526824457593</v>
      </c>
      <c r="H80" s="290">
        <f t="shared" si="56"/>
        <v>19.316410256410261</v>
      </c>
      <c r="I80" s="290">
        <f t="shared" si="56"/>
        <v>7.1637080867850065</v>
      </c>
      <c r="J80" s="290">
        <f t="shared" si="56"/>
        <v>-0.35809615384615245</v>
      </c>
      <c r="K80" s="290">
        <f t="shared" si="56"/>
        <v>13.218453379953379</v>
      </c>
      <c r="L80" s="290">
        <f t="shared" si="56"/>
        <v>17.02196581196581</v>
      </c>
      <c r="M80" s="290">
        <f t="shared" si="56"/>
        <v>9.4278461538461578</v>
      </c>
      <c r="N80" s="290">
        <f t="shared" si="56"/>
        <v>-42.863164835164838</v>
      </c>
      <c r="O80" s="290">
        <f t="shared" si="56"/>
        <v>4.8583897435897443</v>
      </c>
      <c r="P80" s="290">
        <f t="shared" si="56"/>
        <v>5.2430256410256391</v>
      </c>
      <c r="Q80" s="290">
        <f t="shared" si="56"/>
        <v>3.4592000000000001</v>
      </c>
      <c r="R80" s="290">
        <f t="shared" si="56"/>
        <v>-1.9080000000000004</v>
      </c>
      <c r="S80" s="290">
        <f t="shared" si="56"/>
        <v>9.1666666666666661</v>
      </c>
      <c r="T80" s="290">
        <f t="shared" si="56"/>
        <v>6.5667777777777792</v>
      </c>
      <c r="U80" s="290">
        <f t="shared" si="56"/>
        <v>8.9751937984496131</v>
      </c>
      <c r="V80" s="290">
        <f t="shared" si="56"/>
        <v>1.481818181818183</v>
      </c>
      <c r="W80" s="290">
        <f t="shared" si="56"/>
        <v>8.1943223443223445</v>
      </c>
      <c r="X80" s="290">
        <f t="shared" si="56"/>
        <v>13.208825283243888</v>
      </c>
      <c r="Y80" s="290">
        <f t="shared" si="56"/>
        <v>3.6951699463327374</v>
      </c>
      <c r="Z80" s="290">
        <f t="shared" si="56"/>
        <v>28.345627797202795</v>
      </c>
      <c r="AA80" s="290">
        <f t="shared" si="56"/>
        <v>14.637876495726486</v>
      </c>
      <c r="AB80" s="290">
        <f t="shared" si="56"/>
        <v>2.6728984496124042</v>
      </c>
      <c r="AC80" s="290">
        <f t="shared" si="56"/>
        <v>-8.9177974358974392</v>
      </c>
      <c r="AD80" s="252">
        <f t="shared" ref="AD80:AD82" si="57">(SUM(X80:AB80)/SUM(X$92:AB$92))*AD$92</f>
        <v>11.500028106800899</v>
      </c>
      <c r="AE80" s="252">
        <f t="shared" ref="AE80:AE82" si="58">(SUM(Y80:AC80)/SUM(Y$92:AC$92))*AE$92</f>
        <v>7.5719697115995812</v>
      </c>
      <c r="AF80" s="108">
        <f>AE80</f>
        <v>7.5719697115995812</v>
      </c>
      <c r="AG80" s="108"/>
    </row>
    <row r="81" spans="1:31">
      <c r="A81" s="240" t="s">
        <v>240</v>
      </c>
      <c r="B81" s="290">
        <f t="shared" si="56"/>
        <v>33.614054198135484</v>
      </c>
      <c r="C81" s="290">
        <f t="shared" si="56"/>
        <v>19.291140276025434</v>
      </c>
      <c r="D81" s="290">
        <f t="shared" si="56"/>
        <v>36.73248615384616</v>
      </c>
      <c r="E81" s="290">
        <f t="shared" si="56"/>
        <v>-45.612749287749281</v>
      </c>
      <c r="F81" s="290">
        <f t="shared" si="56"/>
        <v>47.936190476190482</v>
      </c>
      <c r="G81" s="290">
        <f t="shared" si="56"/>
        <v>34.450575936883624</v>
      </c>
      <c r="H81" s="290">
        <f t="shared" si="56"/>
        <v>2.6278388278388274</v>
      </c>
      <c r="I81" s="290">
        <f t="shared" si="56"/>
        <v>-22.369830374753459</v>
      </c>
      <c r="J81" s="290">
        <f t="shared" si="56"/>
        <v>-30.220096153846153</v>
      </c>
      <c r="K81" s="290">
        <f t="shared" si="56"/>
        <v>13.749839743589742</v>
      </c>
      <c r="L81" s="290">
        <f t="shared" si="56"/>
        <v>19.483632478632479</v>
      </c>
      <c r="M81" s="290">
        <f t="shared" si="56"/>
        <v>11.662096153846155</v>
      </c>
      <c r="N81" s="290">
        <f t="shared" si="56"/>
        <v>19.815835164835168</v>
      </c>
      <c r="O81" s="290">
        <f t="shared" si="56"/>
        <v>-9.9608102564102605</v>
      </c>
      <c r="P81" s="290">
        <f t="shared" si="56"/>
        <v>3.7890256410256384</v>
      </c>
      <c r="Q81" s="290">
        <f t="shared" si="56"/>
        <v>6.2719999999999994</v>
      </c>
      <c r="R81" s="290">
        <f t="shared" si="56"/>
        <v>2.5559999999999996</v>
      </c>
      <c r="S81" s="290">
        <f t="shared" si="56"/>
        <v>-3.2133333333333334</v>
      </c>
      <c r="T81" s="290">
        <f t="shared" si="56"/>
        <v>2.520777777777778</v>
      </c>
      <c r="U81" s="290">
        <f t="shared" si="56"/>
        <v>-1.3131782945736434</v>
      </c>
      <c r="V81" s="290">
        <f t="shared" si="56"/>
        <v>9.2431818181818191</v>
      </c>
      <c r="W81" s="290">
        <f t="shared" si="56"/>
        <v>9.2586080586080595</v>
      </c>
      <c r="X81" s="290">
        <f t="shared" si="56"/>
        <v>9.664639236732258</v>
      </c>
      <c r="Y81" s="290">
        <f t="shared" si="56"/>
        <v>-2.8327370304114452</v>
      </c>
      <c r="Z81" s="290">
        <f t="shared" si="56"/>
        <v>-26.424944930069934</v>
      </c>
      <c r="AA81" s="290">
        <f t="shared" si="56"/>
        <v>-46.810621123321134</v>
      </c>
      <c r="AB81" s="290">
        <f t="shared" si="56"/>
        <v>0.68915193798449215</v>
      </c>
      <c r="AC81" s="290">
        <f t="shared" si="56"/>
        <v>-7.5089593406593425</v>
      </c>
      <c r="AD81" s="252">
        <f t="shared" si="57"/>
        <v>-12.07982619157881</v>
      </c>
      <c r="AE81" s="252">
        <f t="shared" si="58"/>
        <v>-15.522326523519874</v>
      </c>
    </row>
    <row r="82" spans="1:31">
      <c r="A82" s="240" t="s">
        <v>241</v>
      </c>
      <c r="B82" s="290">
        <f t="shared" si="56"/>
        <v>-31.452662958529775</v>
      </c>
      <c r="C82" s="290">
        <f t="shared" si="56"/>
        <v>7.0011535090566008</v>
      </c>
      <c r="D82" s="290">
        <f t="shared" si="56"/>
        <v>27.000726153846145</v>
      </c>
      <c r="E82" s="290">
        <f t="shared" si="56"/>
        <v>-3.8544159544159524</v>
      </c>
      <c r="F82" s="290">
        <f t="shared" si="56"/>
        <v>12.23619047619048</v>
      </c>
      <c r="G82" s="290">
        <f t="shared" si="56"/>
        <v>-8.8251932938856026</v>
      </c>
      <c r="H82" s="290">
        <f t="shared" si="56"/>
        <v>-23.237875457875461</v>
      </c>
      <c r="I82" s="290">
        <f t="shared" si="56"/>
        <v>-41.715061143984222</v>
      </c>
      <c r="J82" s="290">
        <f t="shared" si="56"/>
        <v>-3.0108461538461553</v>
      </c>
      <c r="K82" s="290">
        <f t="shared" si="56"/>
        <v>9.9973624708624698</v>
      </c>
      <c r="L82" s="290">
        <f t="shared" si="56"/>
        <v>-9.935034188034189</v>
      </c>
      <c r="M82" s="290">
        <f t="shared" si="56"/>
        <v>-1.6016538461538445</v>
      </c>
      <c r="N82" s="290">
        <f t="shared" si="56"/>
        <v>-62.092593406593416</v>
      </c>
      <c r="O82" s="290">
        <f t="shared" si="56"/>
        <v>11.429789743589744</v>
      </c>
      <c r="P82" s="290">
        <f t="shared" si="56"/>
        <v>13.689025641025637</v>
      </c>
      <c r="Q82" s="290">
        <f t="shared" si="56"/>
        <v>4.1768000000000001</v>
      </c>
      <c r="R82" s="290">
        <f t="shared" si="56"/>
        <v>4.3127999999999993</v>
      </c>
      <c r="S82" s="290">
        <f t="shared" si="56"/>
        <v>6.1416666666666675</v>
      </c>
      <c r="T82" s="290">
        <f t="shared" si="56"/>
        <v>4.7584444444444447</v>
      </c>
      <c r="U82" s="290">
        <f t="shared" si="56"/>
        <v>-0.13875968992248083</v>
      </c>
      <c r="V82" s="290">
        <f t="shared" si="56"/>
        <v>5.411363636363637</v>
      </c>
      <c r="W82" s="290">
        <f t="shared" si="56"/>
        <v>7.6586080586080598</v>
      </c>
      <c r="X82" s="290">
        <f t="shared" si="56"/>
        <v>6.1483601669648156</v>
      </c>
      <c r="Y82" s="290">
        <f t="shared" si="56"/>
        <v>-0.22343470483005853</v>
      </c>
      <c r="Z82" s="290">
        <f t="shared" si="56"/>
        <v>27.063745979020979</v>
      </c>
      <c r="AA82" s="290">
        <f t="shared" si="56"/>
        <v>10.778221733821729</v>
      </c>
      <c r="AB82" s="290">
        <f t="shared" si="56"/>
        <v>3.3458751937984457</v>
      </c>
      <c r="AC82" s="290">
        <f t="shared" si="56"/>
        <v>7.5962001831501835</v>
      </c>
      <c r="AD82" s="252">
        <f t="shared" si="57"/>
        <v>8.6604014359306039</v>
      </c>
      <c r="AE82" s="252">
        <f t="shared" si="58"/>
        <v>9.0938690133987219</v>
      </c>
    </row>
    <row r="83" spans="1:31">
      <c r="A83" s="240" t="s">
        <v>231</v>
      </c>
      <c r="B83" s="290">
        <f t="shared" si="56"/>
        <v>-17.512275893616049</v>
      </c>
      <c r="C83" s="290">
        <f t="shared" si="56"/>
        <v>-2.4080717948717969</v>
      </c>
      <c r="D83" s="290">
        <f t="shared" si="56"/>
        <v>15.880686153846151</v>
      </c>
      <c r="E83" s="290">
        <f t="shared" si="56"/>
        <v>0.73725071225070082</v>
      </c>
      <c r="F83" s="290">
        <f t="shared" si="56"/>
        <v>-48.709523809523809</v>
      </c>
      <c r="G83" s="290">
        <f t="shared" si="56"/>
        <v>16.733268244575935</v>
      </c>
      <c r="H83" s="290">
        <f t="shared" si="56"/>
        <v>8.0621245421245451</v>
      </c>
      <c r="I83" s="290">
        <f t="shared" si="56"/>
        <v>9.8935542406311647</v>
      </c>
      <c r="J83" s="290">
        <f t="shared" si="56"/>
        <v>2.8009038461538474</v>
      </c>
      <c r="K83" s="290">
        <f t="shared" si="56"/>
        <v>3.7869306526806512</v>
      </c>
      <c r="L83" s="290">
        <f t="shared" si="56"/>
        <v>-0.8700341880341842</v>
      </c>
      <c r="M83" s="290">
        <f t="shared" si="56"/>
        <v>10.440346153846157</v>
      </c>
      <c r="N83" s="290">
        <f t="shared" si="56"/>
        <v>11.408120879120881</v>
      </c>
      <c r="O83" s="290">
        <f t="shared" si="56"/>
        <v>-47.662210256410255</v>
      </c>
      <c r="P83" s="290">
        <f t="shared" si="56"/>
        <v>2.2090256410256437</v>
      </c>
      <c r="Q83" s="290">
        <f t="shared" si="56"/>
        <v>5.4391999999999996</v>
      </c>
      <c r="R83" s="290">
        <f t="shared" si="56"/>
        <v>3.5015999999999998</v>
      </c>
      <c r="S83" s="290">
        <f t="shared" si="56"/>
        <v>7.4691666666666672</v>
      </c>
      <c r="T83" s="290">
        <f t="shared" si="56"/>
        <v>-1.3152222222222214</v>
      </c>
      <c r="U83" s="290">
        <f t="shared" si="56"/>
        <v>2.7077519379844963</v>
      </c>
      <c r="V83" s="290">
        <f t="shared" si="56"/>
        <v>5.2136363636363647</v>
      </c>
      <c r="W83" s="290">
        <f t="shared" si="56"/>
        <v>10.075274725274724</v>
      </c>
      <c r="X83" s="290">
        <f t="shared" si="56"/>
        <v>5.3530113297555166</v>
      </c>
      <c r="Y83" s="290">
        <f t="shared" si="56"/>
        <v>3.8347048300536648</v>
      </c>
      <c r="Z83" s="290">
        <f t="shared" si="56"/>
        <v>27.570109615384617</v>
      </c>
      <c r="AA83" s="290">
        <f t="shared" si="56"/>
        <v>10.931193162393155</v>
      </c>
      <c r="AB83" s="290">
        <f t="shared" si="56"/>
        <v>2.6248775193798406</v>
      </c>
      <c r="AC83" s="290">
        <f t="shared" si="56"/>
        <v>7.6974358974358985</v>
      </c>
      <c r="AD83" s="252">
        <f t="shared" ref="AD83:AE90" si="59">(SUM(X83:AB83)/SUM(X$92:AB$92))*AD$92</f>
        <v>9.2488417940637397</v>
      </c>
      <c r="AE83" s="252">
        <f t="shared" si="59"/>
        <v>9.8612412362597563</v>
      </c>
    </row>
    <row r="84" spans="1:31">
      <c r="A84" s="240" t="s">
        <v>232</v>
      </c>
      <c r="B84" s="290">
        <f t="shared" si="56"/>
        <v>37.608298736553564</v>
      </c>
      <c r="C84" s="290">
        <f t="shared" si="56"/>
        <v>-8.3132717948717882</v>
      </c>
      <c r="D84" s="290">
        <f t="shared" si="56"/>
        <v>10.208886153846155</v>
      </c>
      <c r="E84" s="290">
        <f t="shared" si="56"/>
        <v>34.315028490028496</v>
      </c>
      <c r="F84" s="290">
        <f t="shared" si="56"/>
        <v>20.387619047619047</v>
      </c>
      <c r="G84" s="290">
        <f t="shared" si="56"/>
        <v>-14.790731755424064</v>
      </c>
      <c r="H84" s="290">
        <f t="shared" si="56"/>
        <v>-0.57787545787544814</v>
      </c>
      <c r="I84" s="290">
        <f t="shared" si="56"/>
        <v>9.2904773175542381</v>
      </c>
      <c r="J84" s="290">
        <f t="shared" si="56"/>
        <v>5.6831538461538473</v>
      </c>
      <c r="K84" s="290">
        <f t="shared" si="56"/>
        <v>16.390385198135203</v>
      </c>
      <c r="L84" s="290">
        <f t="shared" si="56"/>
        <v>5.1009658119658141</v>
      </c>
      <c r="M84" s="290">
        <f t="shared" si="56"/>
        <v>7.3488461538461509</v>
      </c>
      <c r="N84" s="290">
        <f t="shared" si="56"/>
        <v>19.133406593406598</v>
      </c>
      <c r="O84" s="290">
        <f t="shared" si="56"/>
        <v>8.8535897435897457</v>
      </c>
      <c r="P84" s="290">
        <f t="shared" si="56"/>
        <v>3.8330256410256407</v>
      </c>
      <c r="Q84" s="290">
        <f t="shared" si="56"/>
        <v>4.5439999999999996</v>
      </c>
      <c r="R84" s="290">
        <f t="shared" si="56"/>
        <v>4.0223999999999993</v>
      </c>
      <c r="S84" s="290">
        <f t="shared" si="56"/>
        <v>5.689166666666666</v>
      </c>
      <c r="T84" s="290">
        <f t="shared" si="56"/>
        <v>1.9234444444444445</v>
      </c>
      <c r="U84" s="290">
        <f t="shared" si="56"/>
        <v>3.0798449612403109</v>
      </c>
      <c r="V84" s="290">
        <f t="shared" si="56"/>
        <v>3.4977272727272721</v>
      </c>
      <c r="W84" s="290">
        <f t="shared" si="56"/>
        <v>5.3467032967032972</v>
      </c>
      <c r="X84" s="290">
        <f t="shared" si="56"/>
        <v>3.5158020274299369</v>
      </c>
      <c r="Y84" s="290">
        <f t="shared" si="56"/>
        <v>-0.95599284436493703</v>
      </c>
      <c r="Z84" s="290">
        <f t="shared" si="56"/>
        <v>-27.821215384615389</v>
      </c>
      <c r="AA84" s="290">
        <f t="shared" si="56"/>
        <v>-46.273244932844946</v>
      </c>
      <c r="AB84" s="290">
        <f t="shared" si="56"/>
        <v>2.2615914728682185</v>
      </c>
      <c r="AC84" s="290">
        <f t="shared" si="56"/>
        <v>7.6521978021978025</v>
      </c>
      <c r="AD84" s="252">
        <f t="shared" si="59"/>
        <v>-12.733968436497189</v>
      </c>
      <c r="AE84" s="252">
        <f t="shared" si="59"/>
        <v>-12.198040944219523</v>
      </c>
    </row>
    <row r="85" spans="1:31">
      <c r="A85" s="240" t="s">
        <v>233</v>
      </c>
      <c r="B85" s="290">
        <f t="shared" si="56"/>
        <v>41.976707684301729</v>
      </c>
      <c r="C85" s="290">
        <f t="shared" si="56"/>
        <v>26.126728205128213</v>
      </c>
      <c r="D85" s="290">
        <f t="shared" si="56"/>
        <v>53.237286153846156</v>
      </c>
      <c r="E85" s="290">
        <f t="shared" si="56"/>
        <v>38.05113960113961</v>
      </c>
      <c r="F85" s="290">
        <f t="shared" si="56"/>
        <v>18.113333333333344</v>
      </c>
      <c r="G85" s="290">
        <f t="shared" si="56"/>
        <v>48.186114398422085</v>
      </c>
      <c r="H85" s="290">
        <f t="shared" si="56"/>
        <v>33.390695970695973</v>
      </c>
      <c r="I85" s="290">
        <f t="shared" si="56"/>
        <v>7.1858619329388533</v>
      </c>
      <c r="J85" s="290">
        <f t="shared" si="56"/>
        <v>3.6581538461538519</v>
      </c>
      <c r="K85" s="290">
        <f t="shared" si="56"/>
        <v>13.061612470862473</v>
      </c>
      <c r="L85" s="290">
        <f t="shared" si="56"/>
        <v>16.132965811965814</v>
      </c>
      <c r="M85" s="290">
        <f t="shared" si="56"/>
        <v>11.747596153846155</v>
      </c>
      <c r="N85" s="290">
        <f t="shared" si="56"/>
        <v>8.9261208791208784</v>
      </c>
      <c r="O85" s="290">
        <f t="shared" si="56"/>
        <v>13.024789743589743</v>
      </c>
      <c r="P85" s="290">
        <f t="shared" si="56"/>
        <v>-32.876974358974365</v>
      </c>
      <c r="Q85" s="290">
        <f t="shared" si="56"/>
        <v>5.9743999999999993</v>
      </c>
      <c r="R85" s="290">
        <f t="shared" si="56"/>
        <v>2.7744000000000004</v>
      </c>
      <c r="S85" s="290">
        <f t="shared" si="56"/>
        <v>-4.8908333333333331</v>
      </c>
      <c r="T85" s="290">
        <f t="shared" si="56"/>
        <v>7.0217777777777792</v>
      </c>
      <c r="U85" s="290">
        <f t="shared" si="56"/>
        <v>-0.18527131782945658</v>
      </c>
      <c r="V85" s="290">
        <f t="shared" si="56"/>
        <v>6.8159090909090914</v>
      </c>
      <c r="W85" s="290">
        <f t="shared" si="56"/>
        <v>7.4300366300366285</v>
      </c>
      <c r="X85" s="290">
        <f t="shared" si="56"/>
        <v>7.9367322599880721</v>
      </c>
      <c r="Y85" s="290">
        <f t="shared" si="56"/>
        <v>1.7998211091234322</v>
      </c>
      <c r="Z85" s="290">
        <f t="shared" si="56"/>
        <v>27.93144825174825</v>
      </c>
      <c r="AA85" s="290">
        <f t="shared" si="56"/>
        <v>7.7844193528693362</v>
      </c>
      <c r="AB85" s="290">
        <f t="shared" si="56"/>
        <v>3.6345124031007763</v>
      </c>
      <c r="AC85" s="290">
        <f t="shared" si="56"/>
        <v>9.430769230769231</v>
      </c>
      <c r="AD85" s="252">
        <f t="shared" si="59"/>
        <v>9.0232979937530366</v>
      </c>
      <c r="AE85" s="252">
        <f t="shared" si="59"/>
        <v>9.4722190312226306</v>
      </c>
    </row>
    <row r="86" spans="1:31">
      <c r="A86" s="240" t="s">
        <v>234</v>
      </c>
      <c r="B86" s="290">
        <f t="shared" si="56"/>
        <v>-57.271585955086884</v>
      </c>
      <c r="C86" s="290">
        <f t="shared" si="56"/>
        <v>-10.080071794871795</v>
      </c>
      <c r="D86" s="290">
        <f t="shared" si="56"/>
        <v>3.8691661538461442</v>
      </c>
      <c r="E86" s="290">
        <f t="shared" si="56"/>
        <v>-48.340527065527084</v>
      </c>
      <c r="F86" s="290">
        <f t="shared" si="56"/>
        <v>41.576190476190476</v>
      </c>
      <c r="G86" s="290">
        <f t="shared" si="56"/>
        <v>5.1721913214990094</v>
      </c>
      <c r="H86" s="290">
        <f t="shared" si="56"/>
        <v>15.582124542124545</v>
      </c>
      <c r="I86" s="290">
        <f t="shared" si="56"/>
        <v>12.062169625246545</v>
      </c>
      <c r="J86" s="290">
        <f t="shared" si="56"/>
        <v>3.322903846153848</v>
      </c>
      <c r="K86" s="290">
        <f t="shared" si="56"/>
        <v>-17.395955710955711</v>
      </c>
      <c r="L86" s="290">
        <f t="shared" si="56"/>
        <v>5.2222991452991554</v>
      </c>
      <c r="M86" s="290">
        <f t="shared" si="56"/>
        <v>-30.883153846153846</v>
      </c>
      <c r="N86" s="290">
        <f t="shared" si="56"/>
        <v>-2.9180219780219803</v>
      </c>
      <c r="O86" s="290">
        <f t="shared" si="56"/>
        <v>-32.38541025641026</v>
      </c>
      <c r="P86" s="290">
        <f t="shared" si="56"/>
        <v>0.48302564102564105</v>
      </c>
      <c r="Q86" s="290">
        <f t="shared" si="56"/>
        <v>3.2743999999999995</v>
      </c>
      <c r="R86" s="290">
        <f t="shared" si="56"/>
        <v>-1.9224000000000003</v>
      </c>
      <c r="S86" s="290">
        <f t="shared" si="56"/>
        <v>4.296666666666666</v>
      </c>
      <c r="T86" s="290">
        <f t="shared" si="56"/>
        <v>6.450111111111112</v>
      </c>
      <c r="U86" s="290">
        <f t="shared" si="56"/>
        <v>-5.0294573643410851</v>
      </c>
      <c r="V86" s="290">
        <f t="shared" si="56"/>
        <v>6.9795454545454536</v>
      </c>
      <c r="W86" s="290">
        <f t="shared" si="56"/>
        <v>7.5657509157509164</v>
      </c>
      <c r="X86" s="290">
        <f t="shared" si="56"/>
        <v>5.6018485390578405</v>
      </c>
      <c r="Y86" s="290">
        <f t="shared" si="56"/>
        <v>0.55796064400715562</v>
      </c>
      <c r="Z86" s="290">
        <f t="shared" si="56"/>
        <v>24.125893706293695</v>
      </c>
      <c r="AA86" s="290">
        <f t="shared" si="56"/>
        <v>14.684076495726472</v>
      </c>
      <c r="AB86" s="290">
        <f t="shared" si="56"/>
        <v>0.53388682170542434</v>
      </c>
      <c r="AC86" s="252">
        <f t="shared" ref="AC86:AC90" si="60">(SUM(W86:AA86)/SUM(W$92:AA$92))*AC$92</f>
        <v>8.7213267328232611</v>
      </c>
      <c r="AD86" s="252">
        <f t="shared" si="59"/>
        <v>8.3646117560472923</v>
      </c>
      <c r="AE86" s="252">
        <f t="shared" si="59"/>
        <v>9.1055800350138139</v>
      </c>
    </row>
    <row r="87" spans="1:31">
      <c r="A87" s="240" t="s">
        <v>46</v>
      </c>
      <c r="B87" s="290">
        <f t="shared" si="56"/>
        <v>-18.467421326716043</v>
      </c>
      <c r="C87" s="290">
        <f t="shared" si="56"/>
        <v>-52.096871794871809</v>
      </c>
      <c r="D87" s="290">
        <f t="shared" si="56"/>
        <v>-26.159633846153849</v>
      </c>
      <c r="E87" s="290">
        <f t="shared" si="56"/>
        <v>-14.301638176638193</v>
      </c>
      <c r="F87" s="290">
        <f t="shared" si="56"/>
        <v>31.641904761904772</v>
      </c>
      <c r="G87" s="290">
        <f t="shared" si="56"/>
        <v>47.932806706114391</v>
      </c>
      <c r="H87" s="290">
        <f t="shared" si="56"/>
        <v>-9.726446886446892</v>
      </c>
      <c r="I87" s="290">
        <f t="shared" si="56"/>
        <v>8.1015542406311614</v>
      </c>
      <c r="J87" s="290">
        <f t="shared" si="56"/>
        <v>8.3021538461538444</v>
      </c>
      <c r="K87" s="290">
        <f t="shared" si="56"/>
        <v>15.573407925407921</v>
      </c>
      <c r="L87" s="290">
        <f t="shared" si="56"/>
        <v>-19.821367521367524</v>
      </c>
      <c r="M87" s="290">
        <f t="shared" si="56"/>
        <v>-11.425153846153844</v>
      </c>
      <c r="N87" s="290">
        <f t="shared" si="56"/>
        <v>6.1842637362637376</v>
      </c>
      <c r="O87" s="290">
        <f t="shared" si="56"/>
        <v>-8.3900102564102532</v>
      </c>
      <c r="P87" s="290">
        <f t="shared" si="56"/>
        <v>-2.8069743589743581</v>
      </c>
      <c r="Q87" s="290">
        <f t="shared" si="56"/>
        <v>-47.324800000000003</v>
      </c>
      <c r="R87" s="290">
        <f t="shared" si="56"/>
        <v>-6.5015999999999998</v>
      </c>
      <c r="S87" s="290">
        <f t="shared" si="56"/>
        <v>-48.075833333333335</v>
      </c>
      <c r="T87" s="290">
        <f t="shared" si="56"/>
        <v>5.738444444444446</v>
      </c>
      <c r="U87" s="290">
        <f t="shared" si="56"/>
        <v>-3.1573643410852705</v>
      </c>
      <c r="V87" s="290">
        <f t="shared" si="56"/>
        <v>-25.715909090909093</v>
      </c>
      <c r="W87" s="290">
        <f t="shared" si="56"/>
        <v>9.6752747252747255</v>
      </c>
      <c r="X87" s="290">
        <f t="shared" si="56"/>
        <v>-1.0702444841979775</v>
      </c>
      <c r="Y87" s="290">
        <f t="shared" si="56"/>
        <v>2.7021466905187848</v>
      </c>
      <c r="Z87" s="290">
        <f t="shared" si="56"/>
        <v>-28.952624475524466</v>
      </c>
      <c r="AA87" s="290">
        <f t="shared" si="56"/>
        <v>9.8853788766788693</v>
      </c>
      <c r="AB87" s="290">
        <f t="shared" si="56"/>
        <v>1.6359635658914717</v>
      </c>
      <c r="AC87" s="252">
        <f t="shared" si="60"/>
        <v>-1.2882347228377573</v>
      </c>
      <c r="AD87" s="252">
        <f t="shared" si="59"/>
        <v>-2.9042863850911358</v>
      </c>
      <c r="AE87" s="252">
        <f t="shared" si="59"/>
        <v>-2.9995477848633514</v>
      </c>
    </row>
    <row r="88" spans="1:31">
      <c r="A88" s="240" t="s">
        <v>235</v>
      </c>
      <c r="B88" s="290">
        <f t="shared" si="56"/>
        <v>-14.894703781087527</v>
      </c>
      <c r="C88" s="290">
        <f t="shared" si="56"/>
        <v>18.138328205128218</v>
      </c>
      <c r="D88" s="290">
        <f t="shared" si="56"/>
        <v>-6.6629938461538432</v>
      </c>
      <c r="E88" s="290">
        <f t="shared" si="56"/>
        <v>32.592806267806267</v>
      </c>
      <c r="F88" s="290">
        <f t="shared" si="56"/>
        <v>25.801904761904769</v>
      </c>
      <c r="G88" s="290">
        <f t="shared" si="56"/>
        <v>-18.502116370808675</v>
      </c>
      <c r="H88" s="290">
        <f t="shared" si="56"/>
        <v>40.202124542124544</v>
      </c>
      <c r="I88" s="290">
        <f t="shared" si="56"/>
        <v>9.3126311637080814</v>
      </c>
      <c r="J88" s="290">
        <f t="shared" si="56"/>
        <v>7.1029038461538452</v>
      </c>
      <c r="K88" s="290">
        <f t="shared" si="56"/>
        <v>-11.539001165501166</v>
      </c>
      <c r="L88" s="290">
        <f t="shared" si="56"/>
        <v>-24.518367521367509</v>
      </c>
      <c r="M88" s="290">
        <f t="shared" si="56"/>
        <v>11.275096153846153</v>
      </c>
      <c r="N88" s="290">
        <f t="shared" si="56"/>
        <v>9.4506923076923091</v>
      </c>
      <c r="O88" s="290">
        <f t="shared" si="56"/>
        <v>16.408389743589741</v>
      </c>
      <c r="P88" s="290">
        <f t="shared" si="56"/>
        <v>2.4850256410256417</v>
      </c>
      <c r="Q88" s="290">
        <f t="shared" si="56"/>
        <v>7.8679999999999994</v>
      </c>
      <c r="R88" s="290">
        <f t="shared" si="56"/>
        <v>2.6807999999999992</v>
      </c>
      <c r="S88" s="290">
        <f t="shared" si="56"/>
        <v>8.7566666666666659</v>
      </c>
      <c r="T88" s="290">
        <f t="shared" si="56"/>
        <v>-45.991555555555564</v>
      </c>
      <c r="U88" s="290">
        <f t="shared" si="56"/>
        <v>0.89147286821705529</v>
      </c>
      <c r="V88" s="290">
        <f t="shared" si="56"/>
        <v>-19.127272727272725</v>
      </c>
      <c r="W88" s="290">
        <f t="shared" si="56"/>
        <v>-12.62948717948718</v>
      </c>
      <c r="X88" s="290">
        <f t="shared" si="56"/>
        <v>10.755336911150867</v>
      </c>
      <c r="Y88" s="290">
        <f t="shared" si="56"/>
        <v>4.4464373881931998</v>
      </c>
      <c r="Z88" s="290">
        <f t="shared" si="56"/>
        <v>25.778561888111895</v>
      </c>
      <c r="AA88" s="290">
        <f t="shared" si="56"/>
        <v>13.696743162393163</v>
      </c>
      <c r="AB88" s="290">
        <f t="shared" si="56"/>
        <v>-0.90106666666666813</v>
      </c>
      <c r="AC88" s="252">
        <f t="shared" si="60"/>
        <v>6.9802434190026945</v>
      </c>
      <c r="AD88" s="252">
        <f t="shared" si="59"/>
        <v>9.8852577249252409</v>
      </c>
      <c r="AE88" s="252">
        <f t="shared" si="59"/>
        <v>9.36359376036188</v>
      </c>
    </row>
    <row r="89" spans="1:31">
      <c r="A89" s="240" t="s">
        <v>236</v>
      </c>
      <c r="B89" s="290">
        <f t="shared" si="56"/>
        <v>-5.0906490049703965</v>
      </c>
      <c r="C89" s="290">
        <f t="shared" si="56"/>
        <v>-16.444471794871795</v>
      </c>
      <c r="D89" s="290">
        <f t="shared" si="56"/>
        <v>43.29852615384614</v>
      </c>
      <c r="E89" s="290">
        <f t="shared" si="56"/>
        <v>56.123361823361833</v>
      </c>
      <c r="F89" s="290">
        <f t="shared" si="56"/>
        <v>52.133333333333326</v>
      </c>
      <c r="G89" s="290">
        <f t="shared" si="56"/>
        <v>9.9736528599605503</v>
      </c>
      <c r="H89" s="290">
        <f t="shared" ref="B89:AE91" si="61">H216/H$235</f>
        <v>16.067838827838823</v>
      </c>
      <c r="I89" s="290">
        <f t="shared" si="61"/>
        <v>18.873246548323472</v>
      </c>
      <c r="J89" s="290">
        <f t="shared" si="61"/>
        <v>4.8056538461538469</v>
      </c>
      <c r="K89" s="290">
        <f t="shared" si="61"/>
        <v>17.345476107226101</v>
      </c>
      <c r="L89" s="290">
        <f t="shared" si="61"/>
        <v>8.8389658119658154</v>
      </c>
      <c r="M89" s="290">
        <f t="shared" si="61"/>
        <v>-25.953403846153844</v>
      </c>
      <c r="N89" s="290">
        <f t="shared" si="61"/>
        <v>9.5211208791208755</v>
      </c>
      <c r="O89" s="290">
        <f t="shared" si="61"/>
        <v>16.089389743589745</v>
      </c>
      <c r="P89" s="290">
        <f t="shared" si="61"/>
        <v>5.5230256410256411</v>
      </c>
      <c r="Q89" s="290">
        <f t="shared" si="61"/>
        <v>3.0583999999999993</v>
      </c>
      <c r="R89" s="290">
        <f t="shared" si="61"/>
        <v>4.9992000000000001</v>
      </c>
      <c r="S89" s="290">
        <f t="shared" si="61"/>
        <v>12.236666666666666</v>
      </c>
      <c r="T89" s="290">
        <f t="shared" si="61"/>
        <v>9.2757777777777761</v>
      </c>
      <c r="U89" s="290">
        <f t="shared" si="61"/>
        <v>4.5775193798449623</v>
      </c>
      <c r="V89" s="290">
        <f t="shared" si="61"/>
        <v>9.165909090909091</v>
      </c>
      <c r="W89" s="290">
        <f t="shared" si="61"/>
        <v>-1.1104395604395594</v>
      </c>
      <c r="X89" s="290">
        <f t="shared" si="61"/>
        <v>13.413476446034588</v>
      </c>
      <c r="Y89" s="290">
        <f t="shared" si="61"/>
        <v>2.1371187835420398</v>
      </c>
      <c r="Z89" s="290">
        <f t="shared" si="61"/>
        <v>-31.72232447552447</v>
      </c>
      <c r="AA89" s="290">
        <f t="shared" si="61"/>
        <v>13.531940781440762</v>
      </c>
      <c r="AB89" s="290">
        <f t="shared" si="61"/>
        <v>2.6760100775193822</v>
      </c>
      <c r="AC89" s="252">
        <f t="shared" si="60"/>
        <v>-0.62256845492677204</v>
      </c>
      <c r="AD89" s="252">
        <f t="shared" si="59"/>
        <v>6.6583586616689181E-3</v>
      </c>
      <c r="AE89" s="252">
        <f t="shared" si="59"/>
        <v>-2.6217249623825789</v>
      </c>
    </row>
    <row r="90" spans="1:31">
      <c r="A90" s="240" t="s">
        <v>237</v>
      </c>
      <c r="B90" s="290">
        <f t="shared" si="61"/>
        <v>23.753164321866951</v>
      </c>
      <c r="C90" s="290">
        <f t="shared" si="61"/>
        <v>-0.89887179487178515</v>
      </c>
      <c r="D90" s="290">
        <f t="shared" si="61"/>
        <v>51.528846153846146</v>
      </c>
      <c r="E90" s="290">
        <f t="shared" si="61"/>
        <v>-2.1460826210826136</v>
      </c>
      <c r="F90" s="290">
        <f t="shared" si="61"/>
        <v>74.816190476190485</v>
      </c>
      <c r="G90" s="290">
        <f t="shared" si="61"/>
        <v>54.103268244575943</v>
      </c>
      <c r="H90" s="290">
        <f t="shared" si="61"/>
        <v>18.293553113553116</v>
      </c>
      <c r="I90" s="290">
        <f t="shared" si="61"/>
        <v>2.0215542406311591</v>
      </c>
      <c r="J90" s="290">
        <f t="shared" si="61"/>
        <v>10.943653846153845</v>
      </c>
      <c r="K90" s="290">
        <f t="shared" si="61"/>
        <v>24.152839743589745</v>
      </c>
      <c r="L90" s="290">
        <f t="shared" si="61"/>
        <v>-4.0247008547008392</v>
      </c>
      <c r="M90" s="290">
        <f t="shared" si="61"/>
        <v>10.672096153846157</v>
      </c>
      <c r="N90" s="290">
        <f t="shared" si="61"/>
        <v>21.151549450549453</v>
      </c>
      <c r="O90" s="290">
        <f t="shared" si="61"/>
        <v>17.495189743589748</v>
      </c>
      <c r="P90" s="290">
        <f t="shared" si="61"/>
        <v>4.7210256410256406</v>
      </c>
      <c r="Q90" s="290">
        <f t="shared" si="61"/>
        <v>7.2656000000000001</v>
      </c>
      <c r="R90" s="290">
        <f t="shared" si="61"/>
        <v>-4.9680000000000009</v>
      </c>
      <c r="S90" s="290">
        <f t="shared" si="61"/>
        <v>10.286666666666665</v>
      </c>
      <c r="T90" s="290">
        <f t="shared" si="61"/>
        <v>8.5127777777777762</v>
      </c>
      <c r="U90" s="290">
        <f t="shared" si="61"/>
        <v>-1.7108527131782942</v>
      </c>
      <c r="V90" s="290">
        <f t="shared" si="61"/>
        <v>9.0863636363636342</v>
      </c>
      <c r="W90" s="290">
        <f t="shared" si="61"/>
        <v>-31.072344322344325</v>
      </c>
      <c r="X90" s="290">
        <f t="shared" si="61"/>
        <v>-51.077221228384019</v>
      </c>
      <c r="Y90" s="290">
        <f t="shared" si="61"/>
        <v>1.3978955277280853</v>
      </c>
      <c r="Z90" s="290">
        <f t="shared" si="61"/>
        <v>29.87868688811189</v>
      </c>
      <c r="AA90" s="290">
        <f t="shared" si="61"/>
        <v>14.142474114774117</v>
      </c>
      <c r="AB90" s="290">
        <f t="shared" si="61"/>
        <v>1.8979310077519405</v>
      </c>
      <c r="AC90" s="252">
        <f t="shared" si="60"/>
        <v>-6.0975642273516817</v>
      </c>
      <c r="AD90" s="252">
        <f t="shared" si="59"/>
        <v>-0.69121672056208527</v>
      </c>
      <c r="AE90" s="252">
        <f t="shared" si="59"/>
        <v>7.7190967919233007</v>
      </c>
    </row>
    <row r="91" spans="1:31">
      <c r="A91" s="240" t="s">
        <v>238</v>
      </c>
      <c r="B91" s="290">
        <f t="shared" si="61"/>
        <v>45.503191548785061</v>
      </c>
      <c r="C91" s="290">
        <f t="shared" si="61"/>
        <v>4.9763897435897455</v>
      </c>
      <c r="D91" s="290">
        <f t="shared" si="61"/>
        <v>36.742252307692283</v>
      </c>
      <c r="E91" s="290">
        <f t="shared" si="61"/>
        <v>49.345797720797691</v>
      </c>
      <c r="F91" s="290">
        <f t="shared" si="61"/>
        <v>64.930476190476199</v>
      </c>
      <c r="G91" s="290">
        <f t="shared" si="61"/>
        <v>24.508741617357003</v>
      </c>
      <c r="H91" s="290">
        <f t="shared" si="61"/>
        <v>-12.369084249084272</v>
      </c>
      <c r="I91" s="290">
        <f t="shared" si="61"/>
        <v>11.353057199211049</v>
      </c>
      <c r="J91" s="290">
        <f t="shared" si="61"/>
        <v>4.9605576923076935</v>
      </c>
      <c r="K91" s="290">
        <f t="shared" si="61"/>
        <v>16.845421911421909</v>
      </c>
      <c r="L91" s="290">
        <f t="shared" si="61"/>
        <v>23.880709401709378</v>
      </c>
      <c r="M91" s="290">
        <f t="shared" si="61"/>
        <v>5.607692307692294</v>
      </c>
      <c r="N91" s="290">
        <f t="shared" si="61"/>
        <v>20.181241758241761</v>
      </c>
      <c r="O91" s="290">
        <f t="shared" si="61"/>
        <v>20.570112820512811</v>
      </c>
      <c r="P91" s="290">
        <f t="shared" si="61"/>
        <v>2.0147179487179487</v>
      </c>
      <c r="Q91" s="290">
        <f t="shared" si="61"/>
        <v>9.0752000000000006</v>
      </c>
      <c r="R91" s="290">
        <f t="shared" si="61"/>
        <v>2.3136000000000005</v>
      </c>
      <c r="S91" s="290">
        <f t="shared" si="61"/>
        <v>8.8791666666666647</v>
      </c>
      <c r="T91" s="290">
        <f t="shared" si="61"/>
        <v>9.2804444444444449</v>
      </c>
      <c r="U91" s="290">
        <f t="shared" si="61"/>
        <v>4.644961240310078</v>
      </c>
      <c r="V91" s="290">
        <f t="shared" si="61"/>
        <v>9.7590909090909079</v>
      </c>
      <c r="W91" s="290">
        <f t="shared" si="61"/>
        <v>9.9743589743589745</v>
      </c>
      <c r="X91" s="290">
        <f t="shared" si="61"/>
        <v>3.0517590936195496</v>
      </c>
      <c r="Y91" s="290">
        <f t="shared" si="61"/>
        <v>-5.3917531305903337</v>
      </c>
      <c r="Z91" s="290">
        <f t="shared" si="61"/>
        <v>-24.579230769230794</v>
      </c>
      <c r="AA91" s="290">
        <f t="shared" si="61"/>
        <v>8.3526847374847826</v>
      </c>
      <c r="AB91" s="290">
        <f t="shared" si="61"/>
        <v>0.72436124031007909</v>
      </c>
      <c r="AC91" s="252">
        <f>AC92-SUM(AC80:AC90)</f>
        <v>0.35695091629392195</v>
      </c>
      <c r="AD91" s="252">
        <f t="shared" ref="AD91:AE91" si="62">AD92-SUM(AD80:AD90)</f>
        <v>-3.2797994364532563</v>
      </c>
      <c r="AE91" s="252">
        <f t="shared" si="62"/>
        <v>-3.8459293647943511</v>
      </c>
    </row>
    <row r="92" spans="1:31" ht="15.75" thickBot="1">
      <c r="A92" s="240" t="s">
        <v>242</v>
      </c>
      <c r="B92" s="146">
        <f>SUM(B80:B91)</f>
        <v>37.869565217391212</v>
      </c>
      <c r="C92" s="146">
        <f t="shared" ref="C92:AB92" si="63">SUM(C80:C91)</f>
        <v>0.86084188353223734</v>
      </c>
      <c r="D92" s="146">
        <f t="shared" si="63"/>
        <v>215.75747999999993</v>
      </c>
      <c r="E92" s="146">
        <f t="shared" si="63"/>
        <v>130.64722222222218</v>
      </c>
      <c r="F92" s="146">
        <f t="shared" si="63"/>
        <v>334.80571428571437</v>
      </c>
      <c r="G92" s="146">
        <f t="shared" si="63"/>
        <v>250.30784615384616</v>
      </c>
      <c r="H92" s="146">
        <f t="shared" si="63"/>
        <v>107.63142857142857</v>
      </c>
      <c r="I92" s="146">
        <f t="shared" si="63"/>
        <v>31.172923076923041</v>
      </c>
      <c r="J92" s="146">
        <f t="shared" si="63"/>
        <v>17.991000000000014</v>
      </c>
      <c r="K92" s="146">
        <f t="shared" si="63"/>
        <v>115.18677272727274</v>
      </c>
      <c r="L92" s="146">
        <f t="shared" si="63"/>
        <v>36.512000000000015</v>
      </c>
      <c r="M92" s="146">
        <f t="shared" si="63"/>
        <v>8.3182500000000026</v>
      </c>
      <c r="N92" s="146">
        <f t="shared" si="63"/>
        <v>17.898571428571433</v>
      </c>
      <c r="O92" s="146">
        <f t="shared" si="63"/>
        <v>10.331199999999985</v>
      </c>
      <c r="P92" s="146">
        <f t="shared" si="63"/>
        <v>8.3059999999999867</v>
      </c>
      <c r="Q92" s="146">
        <f t="shared" si="63"/>
        <v>13.082399999999996</v>
      </c>
      <c r="R92" s="146">
        <f t="shared" si="63"/>
        <v>11.860799999999998</v>
      </c>
      <c r="S92" s="146">
        <f t="shared" si="63"/>
        <v>16.742499999999993</v>
      </c>
      <c r="T92" s="146">
        <f t="shared" si="63"/>
        <v>14.741999999999992</v>
      </c>
      <c r="U92" s="146">
        <f t="shared" si="63"/>
        <v>13.341860465116284</v>
      </c>
      <c r="V92" s="146">
        <f t="shared" si="63"/>
        <v>21.811363636363637</v>
      </c>
      <c r="W92" s="146">
        <f t="shared" si="63"/>
        <v>30.366666666666674</v>
      </c>
      <c r="X92" s="146">
        <f t="shared" si="63"/>
        <v>26.502325581395336</v>
      </c>
      <c r="Y92" s="146">
        <f t="shared" si="63"/>
        <v>11.167337209302325</v>
      </c>
      <c r="Z92" s="146">
        <f t="shared" si="63"/>
        <v>51.193734090909075</v>
      </c>
      <c r="AA92" s="146">
        <f t="shared" si="63"/>
        <v>25.341142857142799</v>
      </c>
      <c r="AB92" s="146">
        <f t="shared" si="63"/>
        <v>21.795993023255804</v>
      </c>
      <c r="AC92" s="253">
        <f>AC12</f>
        <v>24</v>
      </c>
      <c r="AD92" s="253">
        <f t="shared" ref="AD92:AE92" si="64">AD12</f>
        <v>25</v>
      </c>
      <c r="AE92" s="253">
        <f t="shared" si="64"/>
        <v>25</v>
      </c>
    </row>
    <row r="93" spans="1:31">
      <c r="A93" s="248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</row>
    <row r="94" spans="1:31" ht="15.75" thickBot="1">
      <c r="A94" s="235" t="s">
        <v>252</v>
      </c>
    </row>
    <row r="95" spans="1:31" ht="15.75" thickBot="1">
      <c r="A95" s="236"/>
      <c r="B95" s="237" t="str">
        <f>B$2</f>
        <v xml:space="preserve">93/94 </v>
      </c>
      <c r="C95" s="237" t="str">
        <f t="shared" ref="C95:AE95" si="65">C$2</f>
        <v xml:space="preserve">94/95 </v>
      </c>
      <c r="D95" s="237" t="str">
        <f t="shared" si="65"/>
        <v xml:space="preserve">95/96 </v>
      </c>
      <c r="E95" s="237" t="str">
        <f t="shared" si="65"/>
        <v xml:space="preserve">96/97 </v>
      </c>
      <c r="F95" s="237" t="str">
        <f t="shared" si="65"/>
        <v xml:space="preserve">97/98 </v>
      </c>
      <c r="G95" s="237" t="str">
        <f t="shared" si="65"/>
        <v xml:space="preserve">98/99 </v>
      </c>
      <c r="H95" s="237" t="str">
        <f t="shared" si="65"/>
        <v xml:space="preserve">99/00 </v>
      </c>
      <c r="I95" s="237" t="str">
        <f t="shared" si="65"/>
        <v xml:space="preserve">00/01 </v>
      </c>
      <c r="J95" s="237" t="str">
        <f t="shared" si="65"/>
        <v xml:space="preserve">01/02 </v>
      </c>
      <c r="K95" s="237" t="str">
        <f t="shared" si="65"/>
        <v xml:space="preserve">02/03 </v>
      </c>
      <c r="L95" s="237" t="str">
        <f t="shared" si="65"/>
        <v xml:space="preserve">03/04 </v>
      </c>
      <c r="M95" s="237" t="str">
        <f t="shared" si="65"/>
        <v xml:space="preserve">04/05 </v>
      </c>
      <c r="N95" s="237" t="str">
        <f t="shared" si="65"/>
        <v xml:space="preserve">05/06 </v>
      </c>
      <c r="O95" s="237" t="str">
        <f t="shared" si="65"/>
        <v xml:space="preserve">06/07 </v>
      </c>
      <c r="P95" s="237" t="str">
        <f t="shared" si="65"/>
        <v xml:space="preserve">07/08 </v>
      </c>
      <c r="Q95" s="237" t="str">
        <f t="shared" si="65"/>
        <v xml:space="preserve">08/09 </v>
      </c>
      <c r="R95" s="237" t="str">
        <f t="shared" si="65"/>
        <v xml:space="preserve">09/10 </v>
      </c>
      <c r="S95" s="237" t="str">
        <f t="shared" si="65"/>
        <v xml:space="preserve">10/11 </v>
      </c>
      <c r="T95" s="237" t="str">
        <f t="shared" si="65"/>
        <v xml:space="preserve">11/12 </v>
      </c>
      <c r="U95" s="237" t="str">
        <f t="shared" si="65"/>
        <v xml:space="preserve">12/13 </v>
      </c>
      <c r="V95" s="237" t="str">
        <f t="shared" si="65"/>
        <v xml:space="preserve">13/14 </v>
      </c>
      <c r="W95" s="237" t="str">
        <f t="shared" si="65"/>
        <v xml:space="preserve">14/15 </v>
      </c>
      <c r="X95" s="237" t="str">
        <f t="shared" si="65"/>
        <v xml:space="preserve">15/16 </v>
      </c>
      <c r="Y95" s="237" t="str">
        <f t="shared" si="65"/>
        <v xml:space="preserve">16/17 </v>
      </c>
      <c r="Z95" s="237" t="str">
        <f t="shared" si="65"/>
        <v xml:space="preserve">17/18 </v>
      </c>
      <c r="AA95" s="237" t="str">
        <f t="shared" si="65"/>
        <v xml:space="preserve">18/19 </v>
      </c>
      <c r="AB95" s="237" t="str">
        <f t="shared" si="65"/>
        <v xml:space="preserve">19/20 </v>
      </c>
      <c r="AC95" s="237" t="str">
        <f t="shared" si="65"/>
        <v xml:space="preserve">20/21 </v>
      </c>
      <c r="AD95" s="237" t="str">
        <f t="shared" si="65"/>
        <v xml:space="preserve">21/22 </v>
      </c>
      <c r="AE95" s="237" t="str">
        <f t="shared" si="65"/>
        <v xml:space="preserve">22/23 </v>
      </c>
    </row>
    <row r="96" spans="1:31">
      <c r="A96" s="240" t="s">
        <v>239</v>
      </c>
      <c r="B96" s="290">
        <f t="shared" ref="B96:AE104" si="66">B$124*B80</f>
        <v>4.4775847535788206E-2</v>
      </c>
      <c r="C96" s="290">
        <f t="shared" si="66"/>
        <v>7.0429981324490774</v>
      </c>
      <c r="D96" s="290">
        <f t="shared" si="66"/>
        <v>-12.574548717948714</v>
      </c>
      <c r="E96" s="290">
        <f t="shared" si="66"/>
        <v>15.74405033238367</v>
      </c>
      <c r="F96" s="290">
        <f t="shared" si="66"/>
        <v>-2.877595238095235</v>
      </c>
      <c r="G96" s="290">
        <f t="shared" si="66"/>
        <v>24.988508875739644</v>
      </c>
      <c r="H96" s="290">
        <f t="shared" si="66"/>
        <v>8.6923846153846185</v>
      </c>
      <c r="I96" s="290">
        <f t="shared" si="66"/>
        <v>3.1341222879684403</v>
      </c>
      <c r="J96" s="290">
        <f t="shared" si="66"/>
        <v>-0.15915384615384554</v>
      </c>
      <c r="K96" s="290">
        <f t="shared" si="66"/>
        <v>5.9033869463869459</v>
      </c>
      <c r="L96" s="290">
        <f t="shared" si="66"/>
        <v>7.781470085470084</v>
      </c>
      <c r="M96" s="290">
        <f t="shared" si="66"/>
        <v>4.1901538461538479</v>
      </c>
      <c r="N96" s="290">
        <f t="shared" si="66"/>
        <v>-20.170901098901101</v>
      </c>
      <c r="O96" s="290">
        <f t="shared" si="66"/>
        <v>2.6500307692307694</v>
      </c>
      <c r="P96" s="290">
        <f t="shared" si="66"/>
        <v>2.6215128205128195</v>
      </c>
      <c r="Q96" s="290">
        <f t="shared" si="66"/>
        <v>1.4413333333333334</v>
      </c>
      <c r="R96" s="290">
        <f t="shared" si="66"/>
        <v>-0.79500000000000015</v>
      </c>
      <c r="S96" s="290">
        <f t="shared" si="66"/>
        <v>3.6666666666666665</v>
      </c>
      <c r="T96" s="290">
        <f t="shared" si="66"/>
        <v>2.8143333333333338</v>
      </c>
      <c r="U96" s="290">
        <f t="shared" si="66"/>
        <v>3.8465116279069766</v>
      </c>
      <c r="V96" s="290">
        <f t="shared" si="66"/>
        <v>0.65858585858585905</v>
      </c>
      <c r="W96" s="290">
        <f t="shared" si="66"/>
        <v>3.5850160256410257</v>
      </c>
      <c r="X96" s="290">
        <f t="shared" si="66"/>
        <v>5.7238242894056848</v>
      </c>
      <c r="Y96" s="290">
        <f t="shared" si="66"/>
        <v>1.5836442627140301</v>
      </c>
      <c r="Z96" s="290">
        <f t="shared" si="66"/>
        <v>12.148126198801197</v>
      </c>
      <c r="AA96" s="290">
        <f t="shared" si="66"/>
        <v>6.2540372956643004</v>
      </c>
      <c r="AB96" s="290">
        <f t="shared" si="66"/>
        <v>1.1334589163652042</v>
      </c>
      <c r="AC96" s="290">
        <f t="shared" si="66"/>
        <v>-3.7370339801671144</v>
      </c>
      <c r="AD96" s="252">
        <f t="shared" si="66"/>
        <v>4.76200446802003</v>
      </c>
      <c r="AE96" s="252">
        <f t="shared" si="66"/>
        <v>3.0952992464287932</v>
      </c>
    </row>
    <row r="97" spans="1:31">
      <c r="A97" s="240" t="s">
        <v>240</v>
      </c>
      <c r="B97" s="290">
        <f t="shared" si="66"/>
        <v>14.549366742476552</v>
      </c>
      <c r="C97" s="290">
        <f t="shared" si="66"/>
        <v>8.7269444105829344</v>
      </c>
      <c r="D97" s="290">
        <f t="shared" si="66"/>
        <v>15.438291282051283</v>
      </c>
      <c r="E97" s="290">
        <f t="shared" si="66"/>
        <v>-21.285949667616332</v>
      </c>
      <c r="F97" s="290">
        <f t="shared" si="66"/>
        <v>22.76969047619048</v>
      </c>
      <c r="G97" s="290">
        <f t="shared" si="66"/>
        <v>16.759739644970413</v>
      </c>
      <c r="H97" s="290">
        <f t="shared" si="66"/>
        <v>1.1825274725274724</v>
      </c>
      <c r="I97" s="290">
        <f t="shared" si="66"/>
        <v>-9.786800788954638</v>
      </c>
      <c r="J97" s="290">
        <f t="shared" si="66"/>
        <v>-13.431153846153846</v>
      </c>
      <c r="K97" s="290">
        <f t="shared" si="66"/>
        <v>6.1407051282051279</v>
      </c>
      <c r="L97" s="290">
        <f t="shared" si="66"/>
        <v>8.9068034188034186</v>
      </c>
      <c r="M97" s="290">
        <f t="shared" si="66"/>
        <v>5.1831538461538464</v>
      </c>
      <c r="N97" s="290">
        <f t="shared" si="66"/>
        <v>9.3250989010989027</v>
      </c>
      <c r="O97" s="290">
        <f t="shared" si="66"/>
        <v>-5.4331692307692325</v>
      </c>
      <c r="P97" s="290">
        <f t="shared" si="66"/>
        <v>1.8945128205128192</v>
      </c>
      <c r="Q97" s="290">
        <f t="shared" si="66"/>
        <v>2.6133333333333333</v>
      </c>
      <c r="R97" s="290">
        <f t="shared" si="66"/>
        <v>1.0649999999999999</v>
      </c>
      <c r="S97" s="290">
        <f t="shared" si="66"/>
        <v>-1.2853333333333334</v>
      </c>
      <c r="T97" s="290">
        <f t="shared" si="66"/>
        <v>1.0803333333333334</v>
      </c>
      <c r="U97" s="290">
        <f t="shared" si="66"/>
        <v>-0.56279069767441858</v>
      </c>
      <c r="V97" s="290">
        <f t="shared" si="66"/>
        <v>4.1080808080808087</v>
      </c>
      <c r="W97" s="290">
        <f t="shared" si="66"/>
        <v>4.0506410256410259</v>
      </c>
      <c r="X97" s="290">
        <f t="shared" si="66"/>
        <v>4.188010335917312</v>
      </c>
      <c r="Y97" s="290">
        <f t="shared" si="66"/>
        <v>-1.2140301558906192</v>
      </c>
      <c r="Z97" s="290">
        <f t="shared" si="66"/>
        <v>-11.3249763986014</v>
      </c>
      <c r="AA97" s="290">
        <f t="shared" si="66"/>
        <v>-19.999852466574037</v>
      </c>
      <c r="AB97" s="290">
        <f t="shared" si="66"/>
        <v>0.29223908934967335</v>
      </c>
      <c r="AC97" s="290">
        <f t="shared" si="66"/>
        <v>-3.1466554845460317</v>
      </c>
      <c r="AD97" s="252">
        <f t="shared" si="66"/>
        <v>-5.0020909308199828</v>
      </c>
      <c r="AE97" s="252">
        <f t="shared" si="66"/>
        <v>-6.3452770442900981</v>
      </c>
    </row>
    <row r="98" spans="1:31">
      <c r="A98" s="240" t="s">
        <v>241</v>
      </c>
      <c r="B98" s="290">
        <f t="shared" si="66"/>
        <v>-13.613839191005424</v>
      </c>
      <c r="C98" s="290">
        <f t="shared" si="66"/>
        <v>3.1671884921922717</v>
      </c>
      <c r="D98" s="290">
        <f t="shared" si="66"/>
        <v>11.348131282051277</v>
      </c>
      <c r="E98" s="290">
        <f t="shared" si="66"/>
        <v>-1.7987274453941111</v>
      </c>
      <c r="F98" s="290">
        <f t="shared" si="66"/>
        <v>5.8121904761904775</v>
      </c>
      <c r="G98" s="290">
        <f t="shared" si="66"/>
        <v>-4.2933372781065096</v>
      </c>
      <c r="H98" s="290">
        <f t="shared" si="66"/>
        <v>-10.457043956043957</v>
      </c>
      <c r="I98" s="290">
        <f t="shared" si="66"/>
        <v>-18.250339250493099</v>
      </c>
      <c r="J98" s="290">
        <f t="shared" si="66"/>
        <v>-1.3381538461538467</v>
      </c>
      <c r="K98" s="290">
        <f t="shared" si="66"/>
        <v>4.4648414918414918</v>
      </c>
      <c r="L98" s="290">
        <f t="shared" si="66"/>
        <v>-4.541729914529915</v>
      </c>
      <c r="M98" s="290">
        <f t="shared" si="66"/>
        <v>-0.71184615384615313</v>
      </c>
      <c r="N98" s="290">
        <f t="shared" si="66"/>
        <v>-29.220043956043959</v>
      </c>
      <c r="O98" s="290">
        <f t="shared" si="66"/>
        <v>6.2344307692307686</v>
      </c>
      <c r="P98" s="290">
        <f t="shared" si="66"/>
        <v>6.8445128205128185</v>
      </c>
      <c r="Q98" s="290">
        <f t="shared" si="66"/>
        <v>1.7403333333333335</v>
      </c>
      <c r="R98" s="290">
        <f t="shared" si="66"/>
        <v>1.7969999999999997</v>
      </c>
      <c r="S98" s="290">
        <f t="shared" si="66"/>
        <v>2.456666666666667</v>
      </c>
      <c r="T98" s="290">
        <f t="shared" si="66"/>
        <v>2.0393333333333334</v>
      </c>
      <c r="U98" s="290">
        <f t="shared" si="66"/>
        <v>-5.9468438538206068E-2</v>
      </c>
      <c r="V98" s="290">
        <f t="shared" si="66"/>
        <v>2.4050505050505051</v>
      </c>
      <c r="W98" s="290">
        <f t="shared" si="66"/>
        <v>3.3506410256410262</v>
      </c>
      <c r="X98" s="290">
        <f t="shared" si="66"/>
        <v>2.6642894056847535</v>
      </c>
      <c r="Y98" s="290">
        <f t="shared" si="66"/>
        <v>-9.5757730641453653E-2</v>
      </c>
      <c r="Z98" s="290">
        <f t="shared" si="66"/>
        <v>11.598748276723276</v>
      </c>
      <c r="AA98" s="290">
        <f t="shared" si="66"/>
        <v>4.604998595523071</v>
      </c>
      <c r="AB98" s="290">
        <f t="shared" si="66"/>
        <v>1.4188388159699594</v>
      </c>
      <c r="AC98" s="290">
        <f t="shared" si="66"/>
        <v>3.1832140625121919</v>
      </c>
      <c r="AD98" s="252">
        <f t="shared" si="66"/>
        <v>3.5861538728204976</v>
      </c>
      <c r="AE98" s="252">
        <f t="shared" si="66"/>
        <v>3.7174271657709643</v>
      </c>
    </row>
    <row r="99" spans="1:31">
      <c r="A99" s="240" t="s">
        <v>231</v>
      </c>
      <c r="B99" s="290">
        <f t="shared" si="66"/>
        <v>-7.5799403121621705</v>
      </c>
      <c r="C99" s="290">
        <f t="shared" si="66"/>
        <v>-1.0893658119658129</v>
      </c>
      <c r="D99" s="290">
        <f t="shared" si="66"/>
        <v>6.6744912820512807</v>
      </c>
      <c r="E99" s="290">
        <f t="shared" si="66"/>
        <v>0.3440503323836604</v>
      </c>
      <c r="F99" s="290">
        <f t="shared" si="66"/>
        <v>-23.137023809523807</v>
      </c>
      <c r="G99" s="290">
        <f t="shared" si="66"/>
        <v>8.1405088757396449</v>
      </c>
      <c r="H99" s="290">
        <f t="shared" si="66"/>
        <v>3.6279560439560452</v>
      </c>
      <c r="I99" s="290">
        <f t="shared" si="66"/>
        <v>4.3284299802761348</v>
      </c>
      <c r="J99" s="290">
        <f t="shared" si="66"/>
        <v>1.2448461538461544</v>
      </c>
      <c r="K99" s="290">
        <f t="shared" si="66"/>
        <v>1.6912505827505822</v>
      </c>
      <c r="L99" s="290">
        <f t="shared" si="66"/>
        <v>-0.39772991452991274</v>
      </c>
      <c r="M99" s="290">
        <f t="shared" si="66"/>
        <v>4.6401538461538472</v>
      </c>
      <c r="N99" s="290">
        <f t="shared" si="66"/>
        <v>5.3685274725274734</v>
      </c>
      <c r="O99" s="290">
        <f t="shared" si="66"/>
        <v>-25.997569230769226</v>
      </c>
      <c r="P99" s="290">
        <f t="shared" si="66"/>
        <v>1.1045128205128218</v>
      </c>
      <c r="Q99" s="290">
        <f t="shared" si="66"/>
        <v>2.2663333333333333</v>
      </c>
      <c r="R99" s="290">
        <f t="shared" si="66"/>
        <v>1.4590000000000001</v>
      </c>
      <c r="S99" s="290">
        <f t="shared" si="66"/>
        <v>2.9876666666666671</v>
      </c>
      <c r="T99" s="290">
        <f t="shared" si="66"/>
        <v>-0.56366666666666632</v>
      </c>
      <c r="U99" s="290">
        <f t="shared" si="66"/>
        <v>1.1604651162790698</v>
      </c>
      <c r="V99" s="290">
        <f t="shared" si="66"/>
        <v>2.3171717171717177</v>
      </c>
      <c r="W99" s="290">
        <f t="shared" si="66"/>
        <v>4.4079326923076918</v>
      </c>
      <c r="X99" s="290">
        <f t="shared" si="66"/>
        <v>2.3196382428940572</v>
      </c>
      <c r="Y99" s="290">
        <f t="shared" si="66"/>
        <v>1.6434449271658562</v>
      </c>
      <c r="Z99" s="290">
        <f t="shared" si="66"/>
        <v>11.815761263736263</v>
      </c>
      <c r="AA99" s="290">
        <f t="shared" si="66"/>
        <v>4.6703556860639051</v>
      </c>
      <c r="AB99" s="290">
        <f t="shared" si="66"/>
        <v>1.1130953475389573</v>
      </c>
      <c r="AC99" s="290">
        <f t="shared" si="66"/>
        <v>3.225637240097424</v>
      </c>
      <c r="AD99" s="252">
        <f t="shared" si="66"/>
        <v>3.8298189829028075</v>
      </c>
      <c r="AE99" s="252">
        <f t="shared" si="66"/>
        <v>4.0311165694030846</v>
      </c>
    </row>
    <row r="100" spans="1:31">
      <c r="A100" s="240" t="s">
        <v>232</v>
      </c>
      <c r="B100" s="290">
        <f t="shared" si="66"/>
        <v>16.278218856120198</v>
      </c>
      <c r="C100" s="290">
        <f t="shared" si="66"/>
        <v>-3.7607658119658089</v>
      </c>
      <c r="D100" s="290">
        <f t="shared" si="66"/>
        <v>4.2906912820512826</v>
      </c>
      <c r="E100" s="290">
        <f t="shared" si="66"/>
        <v>16.013679962013299</v>
      </c>
      <c r="F100" s="290">
        <f t="shared" si="66"/>
        <v>9.6841190476190473</v>
      </c>
      <c r="G100" s="290">
        <f t="shared" si="66"/>
        <v>-7.1954911242603554</v>
      </c>
      <c r="H100" s="290">
        <f t="shared" si="66"/>
        <v>-0.2600439560439517</v>
      </c>
      <c r="I100" s="290">
        <f t="shared" si="66"/>
        <v>4.0645838264299794</v>
      </c>
      <c r="J100" s="290">
        <f t="shared" si="66"/>
        <v>2.5258461538461541</v>
      </c>
      <c r="K100" s="290">
        <f t="shared" si="66"/>
        <v>7.3199778554778581</v>
      </c>
      <c r="L100" s="290">
        <f t="shared" si="66"/>
        <v>2.3318700854700865</v>
      </c>
      <c r="M100" s="290">
        <f t="shared" si="66"/>
        <v>3.2661538461538449</v>
      </c>
      <c r="N100" s="290">
        <f t="shared" si="66"/>
        <v>9.0039560439560464</v>
      </c>
      <c r="O100" s="290">
        <f t="shared" si="66"/>
        <v>4.8292307692307697</v>
      </c>
      <c r="P100" s="290">
        <f t="shared" si="66"/>
        <v>1.9165128205128203</v>
      </c>
      <c r="Q100" s="290">
        <f t="shared" si="66"/>
        <v>1.8933333333333333</v>
      </c>
      <c r="R100" s="290">
        <f t="shared" si="66"/>
        <v>1.6759999999999997</v>
      </c>
      <c r="S100" s="290">
        <f t="shared" si="66"/>
        <v>2.2756666666666665</v>
      </c>
      <c r="T100" s="290">
        <f t="shared" si="66"/>
        <v>0.82433333333333336</v>
      </c>
      <c r="U100" s="290">
        <f t="shared" si="66"/>
        <v>1.3199335548172761</v>
      </c>
      <c r="V100" s="290">
        <f t="shared" si="66"/>
        <v>1.5545454545454542</v>
      </c>
      <c r="W100" s="290">
        <f t="shared" si="66"/>
        <v>2.3391826923076926</v>
      </c>
      <c r="X100" s="290">
        <f t="shared" si="66"/>
        <v>1.5235142118863061</v>
      </c>
      <c r="Y100" s="290">
        <f t="shared" si="66"/>
        <v>-0.4097112190135444</v>
      </c>
      <c r="Z100" s="290">
        <f t="shared" si="66"/>
        <v>-11.923378021978023</v>
      </c>
      <c r="AA100" s="290">
        <f t="shared" si="66"/>
        <v>-19.770258321684153</v>
      </c>
      <c r="AB100" s="290">
        <f t="shared" si="66"/>
        <v>0.95904168019167257</v>
      </c>
      <c r="AC100" s="290">
        <f t="shared" si="66"/>
        <v>3.2066800592107754</v>
      </c>
      <c r="AD100" s="252">
        <f t="shared" si="66"/>
        <v>-5.2729622942716778</v>
      </c>
      <c r="AE100" s="252">
        <f t="shared" si="66"/>
        <v>-4.9863626481113013</v>
      </c>
    </row>
    <row r="101" spans="1:31">
      <c r="A101" s="240" t="s">
        <v>233</v>
      </c>
      <c r="B101" s="290">
        <f t="shared" si="66"/>
        <v>18.169022729026121</v>
      </c>
      <c r="C101" s="290">
        <f t="shared" si="66"/>
        <v>11.819234188034192</v>
      </c>
      <c r="D101" s="290">
        <f t="shared" si="66"/>
        <v>22.375091282051283</v>
      </c>
      <c r="E101" s="290">
        <f t="shared" si="66"/>
        <v>17.757198480531819</v>
      </c>
      <c r="F101" s="290">
        <f t="shared" si="66"/>
        <v>8.6038333333333377</v>
      </c>
      <c r="G101" s="290">
        <f t="shared" si="66"/>
        <v>23.441893491124258</v>
      </c>
      <c r="H101" s="290">
        <f t="shared" si="66"/>
        <v>15.025813186813188</v>
      </c>
      <c r="I101" s="290">
        <f t="shared" si="66"/>
        <v>3.1438145956607482</v>
      </c>
      <c r="J101" s="290">
        <f t="shared" si="66"/>
        <v>1.6258461538461564</v>
      </c>
      <c r="K101" s="290">
        <f t="shared" si="66"/>
        <v>5.8333414918414928</v>
      </c>
      <c r="L101" s="290">
        <f t="shared" si="66"/>
        <v>7.3750700854700861</v>
      </c>
      <c r="M101" s="290">
        <f t="shared" si="66"/>
        <v>5.2211538461538467</v>
      </c>
      <c r="N101" s="290">
        <f t="shared" si="66"/>
        <v>4.2005274725274724</v>
      </c>
      <c r="O101" s="290">
        <f t="shared" si="66"/>
        <v>7.1044307692307687</v>
      </c>
      <c r="P101" s="290">
        <f t="shared" si="66"/>
        <v>-16.438487179487183</v>
      </c>
      <c r="Q101" s="290">
        <f t="shared" si="66"/>
        <v>2.4893333333333332</v>
      </c>
      <c r="R101" s="290">
        <f t="shared" si="66"/>
        <v>1.1560000000000001</v>
      </c>
      <c r="S101" s="290">
        <f t="shared" si="66"/>
        <v>-1.9563333333333333</v>
      </c>
      <c r="T101" s="290">
        <f t="shared" si="66"/>
        <v>3.0093333333333336</v>
      </c>
      <c r="U101" s="290">
        <f t="shared" si="66"/>
        <v>-7.9401993355481384E-2</v>
      </c>
      <c r="V101" s="290">
        <f t="shared" si="66"/>
        <v>3.0292929292929291</v>
      </c>
      <c r="W101" s="290">
        <f t="shared" si="66"/>
        <v>3.2506410256410252</v>
      </c>
      <c r="X101" s="290">
        <f t="shared" si="66"/>
        <v>3.4392506459948313</v>
      </c>
      <c r="Y101" s="290">
        <f t="shared" si="66"/>
        <v>0.77135190391004227</v>
      </c>
      <c r="Z101" s="290">
        <f t="shared" si="66"/>
        <v>11.970620679320678</v>
      </c>
      <c r="AA101" s="290">
        <f t="shared" si="66"/>
        <v>3.3258955950440661</v>
      </c>
      <c r="AB101" s="290">
        <f t="shared" si="66"/>
        <v>1.5412371878669304</v>
      </c>
      <c r="AC101" s="290">
        <f t="shared" si="66"/>
        <v>3.9519965919647984</v>
      </c>
      <c r="AD101" s="252">
        <f t="shared" si="66"/>
        <v>3.7364243777036585</v>
      </c>
      <c r="AE101" s="252">
        <f t="shared" si="66"/>
        <v>3.8720905584761196</v>
      </c>
    </row>
    <row r="102" spans="1:31">
      <c r="A102" s="240" t="s">
        <v>234</v>
      </c>
      <c r="B102" s="290">
        <f t="shared" si="66"/>
        <v>-24.789193920858501</v>
      </c>
      <c r="C102" s="290">
        <f t="shared" si="66"/>
        <v>-4.5600324786324791</v>
      </c>
      <c r="D102" s="290">
        <f t="shared" si="66"/>
        <v>1.6261712820512779</v>
      </c>
      <c r="E102" s="290">
        <f t="shared" si="66"/>
        <v>-22.558912630579307</v>
      </c>
      <c r="F102" s="290">
        <f t="shared" si="66"/>
        <v>19.748690476190475</v>
      </c>
      <c r="G102" s="290">
        <f t="shared" si="66"/>
        <v>2.5162011834319506</v>
      </c>
      <c r="H102" s="290">
        <f t="shared" si="66"/>
        <v>7.0119560439560455</v>
      </c>
      <c r="I102" s="290">
        <f t="shared" si="66"/>
        <v>5.2771992110453638</v>
      </c>
      <c r="J102" s="290">
        <f t="shared" si="66"/>
        <v>1.4768461538461546</v>
      </c>
      <c r="K102" s="290">
        <f t="shared" si="66"/>
        <v>-7.7690675990675997</v>
      </c>
      <c r="L102" s="290">
        <f t="shared" si="66"/>
        <v>2.3873367521367568</v>
      </c>
      <c r="M102" s="290">
        <f t="shared" si="66"/>
        <v>-13.725846153846152</v>
      </c>
      <c r="N102" s="290">
        <f t="shared" si="66"/>
        <v>-1.3731868131868141</v>
      </c>
      <c r="O102" s="290">
        <f t="shared" si="66"/>
        <v>-17.664769230769231</v>
      </c>
      <c r="P102" s="290">
        <f t="shared" si="66"/>
        <v>0.24151282051282053</v>
      </c>
      <c r="Q102" s="290">
        <f t="shared" si="66"/>
        <v>1.3643333333333332</v>
      </c>
      <c r="R102" s="290">
        <f t="shared" si="66"/>
        <v>-0.80100000000000016</v>
      </c>
      <c r="S102" s="290">
        <f t="shared" si="66"/>
        <v>1.7186666666666666</v>
      </c>
      <c r="T102" s="290">
        <f t="shared" si="66"/>
        <v>2.7643333333333335</v>
      </c>
      <c r="U102" s="290">
        <f t="shared" si="66"/>
        <v>-2.1554817275747506</v>
      </c>
      <c r="V102" s="290">
        <f t="shared" si="66"/>
        <v>3.1020202020202015</v>
      </c>
      <c r="W102" s="290">
        <f t="shared" si="66"/>
        <v>3.3100160256410258</v>
      </c>
      <c r="X102" s="290">
        <f t="shared" si="66"/>
        <v>2.4274677002583975</v>
      </c>
      <c r="Y102" s="290">
        <f t="shared" si="66"/>
        <v>0.23912599028878095</v>
      </c>
      <c r="Z102" s="290">
        <f t="shared" si="66"/>
        <v>10.339668731268725</v>
      </c>
      <c r="AA102" s="290">
        <f t="shared" si="66"/>
        <v>6.2737762600655893</v>
      </c>
      <c r="AB102" s="290">
        <f t="shared" si="66"/>
        <v>0.22639796827284783</v>
      </c>
      <c r="AC102" s="252">
        <f t="shared" si="66"/>
        <v>3.6547022498521793</v>
      </c>
      <c r="AD102" s="252">
        <f t="shared" si="66"/>
        <v>3.4636714089415133</v>
      </c>
      <c r="AE102" s="252">
        <f t="shared" si="66"/>
        <v>3.7222144427623891</v>
      </c>
    </row>
    <row r="103" spans="1:31">
      <c r="A103" s="240" t="s">
        <v>46</v>
      </c>
      <c r="B103" s="290">
        <f t="shared" si="66"/>
        <v>-7.9933614697726147</v>
      </c>
      <c r="C103" s="290">
        <f t="shared" si="66"/>
        <v>-23.567632478632486</v>
      </c>
      <c r="D103" s="290">
        <f t="shared" si="66"/>
        <v>-10.994628717948718</v>
      </c>
      <c r="E103" s="290">
        <f t="shared" si="66"/>
        <v>-6.6740978157644903</v>
      </c>
      <c r="F103" s="290">
        <f t="shared" si="66"/>
        <v>15.029904761904767</v>
      </c>
      <c r="G103" s="290">
        <f t="shared" si="66"/>
        <v>23.318662721893489</v>
      </c>
      <c r="H103" s="290">
        <f t="shared" si="66"/>
        <v>-4.3769010989011017</v>
      </c>
      <c r="I103" s="290">
        <f t="shared" si="66"/>
        <v>3.5444299802761332</v>
      </c>
      <c r="J103" s="290">
        <f t="shared" si="66"/>
        <v>3.6898461538461529</v>
      </c>
      <c r="K103" s="290">
        <f t="shared" si="66"/>
        <v>6.9551142191142175</v>
      </c>
      <c r="L103" s="290">
        <f t="shared" si="66"/>
        <v>-9.0611965811965813</v>
      </c>
      <c r="M103" s="290">
        <f t="shared" si="66"/>
        <v>-5.0778461538461528</v>
      </c>
      <c r="N103" s="290">
        <f t="shared" si="66"/>
        <v>2.9102417582417588</v>
      </c>
      <c r="O103" s="290">
        <f t="shared" si="66"/>
        <v>-4.5763692307692283</v>
      </c>
      <c r="P103" s="290">
        <f t="shared" si="66"/>
        <v>-1.403487179487179</v>
      </c>
      <c r="Q103" s="290">
        <f t="shared" si="66"/>
        <v>-19.718666666666667</v>
      </c>
      <c r="R103" s="290">
        <f t="shared" si="66"/>
        <v>-2.7090000000000001</v>
      </c>
      <c r="S103" s="290">
        <f t="shared" si="66"/>
        <v>-19.230333333333334</v>
      </c>
      <c r="T103" s="290">
        <f t="shared" si="66"/>
        <v>2.4593333333333338</v>
      </c>
      <c r="U103" s="290">
        <f t="shared" si="66"/>
        <v>-1.3531561461794015</v>
      </c>
      <c r="V103" s="290">
        <f t="shared" si="66"/>
        <v>-11.429292929292929</v>
      </c>
      <c r="W103" s="290">
        <f t="shared" si="66"/>
        <v>4.232932692307692</v>
      </c>
      <c r="X103" s="290">
        <f t="shared" si="66"/>
        <v>-0.4637726098191236</v>
      </c>
      <c r="Y103" s="290">
        <f t="shared" si="66"/>
        <v>1.1580628673651934</v>
      </c>
      <c r="Z103" s="290">
        <f t="shared" si="66"/>
        <v>-12.408267632367627</v>
      </c>
      <c r="AA103" s="290">
        <f t="shared" si="66"/>
        <v>4.2235312064950836</v>
      </c>
      <c r="AB103" s="290">
        <f t="shared" si="66"/>
        <v>0.6937403442608131</v>
      </c>
      <c r="AC103" s="252">
        <f t="shared" si="66"/>
        <v>-0.53983923365393094</v>
      </c>
      <c r="AD103" s="252">
        <f t="shared" si="66"/>
        <v>-1.2026252991533819</v>
      </c>
      <c r="AE103" s="252">
        <f t="shared" si="66"/>
        <v>-1.2261668167916291</v>
      </c>
    </row>
    <row r="104" spans="1:31">
      <c r="A104" s="240" t="s">
        <v>235</v>
      </c>
      <c r="B104" s="290">
        <f t="shared" si="66"/>
        <v>-6.4469613380826605</v>
      </c>
      <c r="C104" s="290">
        <f t="shared" si="66"/>
        <v>8.2054341880341948</v>
      </c>
      <c r="D104" s="290">
        <f t="shared" si="66"/>
        <v>-2.8003887179487164</v>
      </c>
      <c r="E104" s="290">
        <f t="shared" si="66"/>
        <v>15.209976258309592</v>
      </c>
      <c r="F104" s="290">
        <f t="shared" si="66"/>
        <v>12.255904761904764</v>
      </c>
      <c r="G104" s="290">
        <f t="shared" si="66"/>
        <v>-9.0010295857988147</v>
      </c>
      <c r="H104" s="290">
        <f t="shared" si="66"/>
        <v>18.090956043956044</v>
      </c>
      <c r="I104" s="290">
        <f t="shared" si="66"/>
        <v>4.074276134122286</v>
      </c>
      <c r="J104" s="290">
        <f t="shared" si="66"/>
        <v>3.1568461538461534</v>
      </c>
      <c r="K104" s="290">
        <f t="shared" si="66"/>
        <v>-5.1533403263403263</v>
      </c>
      <c r="L104" s="290">
        <f t="shared" si="66"/>
        <v>-11.208396581196576</v>
      </c>
      <c r="M104" s="290">
        <f t="shared" si="66"/>
        <v>5.0111538461538458</v>
      </c>
      <c r="N104" s="290">
        <f t="shared" si="66"/>
        <v>4.4473846153846157</v>
      </c>
      <c r="O104" s="290">
        <f t="shared" si="66"/>
        <v>8.9500307692307661</v>
      </c>
      <c r="P104" s="290">
        <f t="shared" si="66"/>
        <v>1.2425128205128209</v>
      </c>
      <c r="Q104" s="290">
        <f t="shared" ref="B104:AR107" si="67">Q$124*Q88</f>
        <v>3.2783333333333333</v>
      </c>
      <c r="R104" s="290">
        <f t="shared" si="67"/>
        <v>1.1169999999999998</v>
      </c>
      <c r="S104" s="290">
        <f t="shared" si="67"/>
        <v>3.5026666666666664</v>
      </c>
      <c r="T104" s="290">
        <f t="shared" si="67"/>
        <v>-19.710666666666668</v>
      </c>
      <c r="U104" s="290">
        <f t="shared" si="67"/>
        <v>0.38205980066445222</v>
      </c>
      <c r="V104" s="290">
        <f t="shared" si="67"/>
        <v>-8.5010101010100989</v>
      </c>
      <c r="W104" s="290">
        <f t="shared" si="67"/>
        <v>-5.5254006410256409</v>
      </c>
      <c r="X104" s="290">
        <f t="shared" si="67"/>
        <v>4.6606459948320422</v>
      </c>
      <c r="Y104" s="290">
        <f t="shared" si="67"/>
        <v>1.9056160235113713</v>
      </c>
      <c r="Z104" s="290">
        <f t="shared" si="67"/>
        <v>11.047955094905097</v>
      </c>
      <c r="AA104" s="290">
        <f t="shared" si="67"/>
        <v>5.8519377856310086</v>
      </c>
      <c r="AB104" s="290">
        <f t="shared" si="67"/>
        <v>-0.38210282464001194</v>
      </c>
      <c r="AC104" s="252">
        <f t="shared" si="67"/>
        <v>2.9250952417519058</v>
      </c>
      <c r="AD104" s="252">
        <f t="shared" si="67"/>
        <v>4.0933501219692721</v>
      </c>
      <c r="AE104" s="252">
        <f t="shared" si="67"/>
        <v>3.8276862975183223</v>
      </c>
    </row>
    <row r="105" spans="1:31">
      <c r="A105" s="240" t="s">
        <v>236</v>
      </c>
      <c r="B105" s="290">
        <f t="shared" si="67"/>
        <v>-2.2034152409573355</v>
      </c>
      <c r="C105" s="290">
        <f t="shared" si="67"/>
        <v>-7.4391658119658119</v>
      </c>
      <c r="D105" s="290">
        <f t="shared" si="67"/>
        <v>18.197931282051275</v>
      </c>
      <c r="E105" s="290">
        <f t="shared" si="67"/>
        <v>26.190902184235522</v>
      </c>
      <c r="F105" s="290">
        <f t="shared" si="67"/>
        <v>24.763333333333328</v>
      </c>
      <c r="G105" s="290">
        <f t="shared" si="67"/>
        <v>4.8520473372781057</v>
      </c>
      <c r="H105" s="290">
        <f t="shared" si="67"/>
        <v>7.2305274725274709</v>
      </c>
      <c r="I105" s="290">
        <f t="shared" si="67"/>
        <v>8.2570453648915194</v>
      </c>
      <c r="J105" s="290">
        <f t="shared" si="67"/>
        <v>2.1358461538461539</v>
      </c>
      <c r="K105" s="290">
        <f t="shared" si="67"/>
        <v>7.7465233100233082</v>
      </c>
      <c r="L105" s="290">
        <f t="shared" si="67"/>
        <v>4.0406700854700865</v>
      </c>
      <c r="M105" s="290">
        <f t="shared" si="67"/>
        <v>-11.534846153846152</v>
      </c>
      <c r="N105" s="290">
        <f t="shared" si="67"/>
        <v>4.4805274725274709</v>
      </c>
      <c r="O105" s="290">
        <f t="shared" si="67"/>
        <v>8.7760307692307702</v>
      </c>
      <c r="P105" s="290">
        <f t="shared" si="67"/>
        <v>2.7615128205128205</v>
      </c>
      <c r="Q105" s="290">
        <f t="shared" si="67"/>
        <v>1.2743333333333331</v>
      </c>
      <c r="R105" s="290">
        <f t="shared" si="67"/>
        <v>2.0830000000000002</v>
      </c>
      <c r="S105" s="290">
        <f t="shared" si="67"/>
        <v>4.8946666666666667</v>
      </c>
      <c r="T105" s="290">
        <f t="shared" si="67"/>
        <v>3.9753333333333325</v>
      </c>
      <c r="U105" s="290">
        <f t="shared" si="67"/>
        <v>1.9617940199335551</v>
      </c>
      <c r="V105" s="290">
        <f t="shared" si="67"/>
        <v>4.0737373737373739</v>
      </c>
      <c r="W105" s="290">
        <f t="shared" si="67"/>
        <v>-0.48581730769230724</v>
      </c>
      <c r="X105" s="290">
        <f t="shared" si="67"/>
        <v>5.812506459948322</v>
      </c>
      <c r="Y105" s="290">
        <f t="shared" si="67"/>
        <v>0.91590805008944554</v>
      </c>
      <c r="Z105" s="290">
        <f t="shared" si="67"/>
        <v>-13.595281918081914</v>
      </c>
      <c r="AA105" s="290">
        <f t="shared" si="67"/>
        <v>5.7815259169975013</v>
      </c>
      <c r="AB105" s="290">
        <f t="shared" si="67"/>
        <v>1.1347784211881751</v>
      </c>
      <c r="AC105" s="252">
        <f t="shared" si="67"/>
        <v>-0.2608894727386632</v>
      </c>
      <c r="AD105" s="252">
        <f t="shared" si="67"/>
        <v>2.7571353219385834E-3</v>
      </c>
      <c r="AE105" s="252">
        <f t="shared" si="67"/>
        <v>-1.0717189330505195</v>
      </c>
    </row>
    <row r="106" spans="1:31">
      <c r="A106" s="240" t="s">
        <v>237</v>
      </c>
      <c r="B106" s="290">
        <f t="shared" si="67"/>
        <v>10.281220378121516</v>
      </c>
      <c r="C106" s="290">
        <f t="shared" si="67"/>
        <v>-0.40663247863247426</v>
      </c>
      <c r="D106" s="290">
        <f t="shared" si="67"/>
        <v>21.657051282051277</v>
      </c>
      <c r="E106" s="290">
        <f t="shared" si="67"/>
        <v>-1.0015052231718864</v>
      </c>
      <c r="F106" s="290">
        <f t="shared" si="67"/>
        <v>35.537690476190477</v>
      </c>
      <c r="G106" s="290">
        <f t="shared" si="67"/>
        <v>26.320508875739648</v>
      </c>
      <c r="H106" s="290">
        <f t="shared" si="67"/>
        <v>8.2320989010989027</v>
      </c>
      <c r="I106" s="290">
        <f t="shared" si="67"/>
        <v>0.88442998027613207</v>
      </c>
      <c r="J106" s="290">
        <f t="shared" si="67"/>
        <v>4.8638461538461533</v>
      </c>
      <c r="K106" s="290">
        <f t="shared" si="67"/>
        <v>10.78670512820513</v>
      </c>
      <c r="L106" s="290">
        <f t="shared" si="67"/>
        <v>-1.8398632478632406</v>
      </c>
      <c r="M106" s="290">
        <f t="shared" si="67"/>
        <v>4.7431538461538469</v>
      </c>
      <c r="N106" s="290">
        <f t="shared" si="67"/>
        <v>9.9536703296703308</v>
      </c>
      <c r="O106" s="290">
        <f t="shared" si="67"/>
        <v>9.5428307692307701</v>
      </c>
      <c r="P106" s="290">
        <f t="shared" si="67"/>
        <v>2.3605128205128203</v>
      </c>
      <c r="Q106" s="290">
        <f t="shared" si="67"/>
        <v>3.0273333333333334</v>
      </c>
      <c r="R106" s="290">
        <f t="shared" si="67"/>
        <v>-2.0700000000000003</v>
      </c>
      <c r="S106" s="290">
        <f t="shared" si="67"/>
        <v>4.1146666666666665</v>
      </c>
      <c r="T106" s="290">
        <f t="shared" si="67"/>
        <v>3.6483333333333325</v>
      </c>
      <c r="U106" s="290">
        <f t="shared" si="67"/>
        <v>-0.73322259136212609</v>
      </c>
      <c r="V106" s="290">
        <f t="shared" si="67"/>
        <v>4.0383838383838375</v>
      </c>
      <c r="W106" s="290">
        <f t="shared" si="67"/>
        <v>-13.594150641025642</v>
      </c>
      <c r="X106" s="290">
        <f t="shared" si="67"/>
        <v>-22.133462532299742</v>
      </c>
      <c r="Y106" s="290">
        <f t="shared" si="67"/>
        <v>0.59909808331203651</v>
      </c>
      <c r="Z106" s="290">
        <f t="shared" si="67"/>
        <v>12.805151523476523</v>
      </c>
      <c r="AA106" s="290">
        <f t="shared" si="67"/>
        <v>6.0423764739773889</v>
      </c>
      <c r="AB106" s="290">
        <f t="shared" si="67"/>
        <v>0.80482923834775044</v>
      </c>
      <c r="AC106" s="252">
        <f t="shared" si="67"/>
        <v>-2.55520546162434</v>
      </c>
      <c r="AD106" s="252">
        <f t="shared" si="67"/>
        <v>-0.28622339711850148</v>
      </c>
      <c r="AE106" s="252">
        <f t="shared" si="67"/>
        <v>3.1554424268957781</v>
      </c>
    </row>
    <row r="107" spans="1:31">
      <c r="A107" s="240" t="s">
        <v>238</v>
      </c>
      <c r="B107" s="290">
        <f t="shared" si="67"/>
        <v>19.695411267384578</v>
      </c>
      <c r="C107" s="290">
        <f t="shared" si="67"/>
        <v>2.2512239316239326</v>
      </c>
      <c r="D107" s="290">
        <f t="shared" si="67"/>
        <v>15.442395897435887</v>
      </c>
      <c r="E107" s="290">
        <f t="shared" si="67"/>
        <v>23.028038936372255</v>
      </c>
      <c r="F107" s="290">
        <f t="shared" si="67"/>
        <v>30.841976190476192</v>
      </c>
      <c r="G107" s="290">
        <f t="shared" si="67"/>
        <v>11.923171597633138</v>
      </c>
      <c r="H107" s="290">
        <f t="shared" si="67"/>
        <v>-5.566087912087923</v>
      </c>
      <c r="I107" s="290">
        <f t="shared" si="67"/>
        <v>4.9669625246548339</v>
      </c>
      <c r="J107" s="290">
        <f t="shared" si="67"/>
        <v>2.2046923076923082</v>
      </c>
      <c r="K107" s="290">
        <f t="shared" si="67"/>
        <v>7.5231981351981343</v>
      </c>
      <c r="L107" s="290">
        <f t="shared" si="67"/>
        <v>10.916895726495715</v>
      </c>
      <c r="M107" s="290">
        <f t="shared" si="67"/>
        <v>2.4923076923076861</v>
      </c>
      <c r="N107" s="290">
        <f t="shared" si="67"/>
        <v>9.4970549450549466</v>
      </c>
      <c r="O107" s="290">
        <f t="shared" si="67"/>
        <v>11.220061538461533</v>
      </c>
      <c r="P107" s="290">
        <f t="shared" si="67"/>
        <v>1.0073589743589744</v>
      </c>
      <c r="Q107" s="290">
        <f t="shared" si="67"/>
        <v>3.7813333333333339</v>
      </c>
      <c r="R107" s="290">
        <f t="shared" si="67"/>
        <v>0.9640000000000003</v>
      </c>
      <c r="S107" s="290">
        <f t="shared" si="67"/>
        <v>3.5516666666666659</v>
      </c>
      <c r="T107" s="290">
        <f t="shared" si="67"/>
        <v>3.9773333333333332</v>
      </c>
      <c r="U107" s="290">
        <f t="shared" si="67"/>
        <v>1.9906976744186047</v>
      </c>
      <c r="V107" s="290">
        <f t="shared" si="67"/>
        <v>4.3373737373737367</v>
      </c>
      <c r="W107" s="290">
        <f t="shared" si="67"/>
        <v>4.3637820512820511</v>
      </c>
      <c r="X107" s="290">
        <f t="shared" si="67"/>
        <v>1.3224289405684715</v>
      </c>
      <c r="Y107" s="290">
        <f t="shared" si="67"/>
        <v>-2.3107513416815713</v>
      </c>
      <c r="Z107" s="290">
        <f t="shared" si="67"/>
        <v>-10.533956043956055</v>
      </c>
      <c r="AA107" s="290">
        <f t="shared" si="67"/>
        <v>3.5686871577586166</v>
      </c>
      <c r="AB107" s="290">
        <f t="shared" si="67"/>
        <v>0.30716980909539426</v>
      </c>
      <c r="AC107" s="252">
        <f t="shared" si="67"/>
        <v>0.14958152088906843</v>
      </c>
      <c r="AD107" s="252">
        <f t="shared" si="67"/>
        <v>-1.3581201215815764</v>
      </c>
      <c r="AE107" s="252">
        <f t="shared" si="67"/>
        <v>-1.572153972886341</v>
      </c>
    </row>
    <row r="108" spans="1:31" ht="15.75" thickBot="1">
      <c r="A108" s="240" t="s">
        <v>242</v>
      </c>
      <c r="B108" s="290">
        <f>SUM(B96:B107)</f>
        <v>16.391304347826047</v>
      </c>
      <c r="C108" s="290">
        <f t="shared" ref="C108:AB108" si="68">SUM(C96:C107)</f>
        <v>0.38942847112172929</v>
      </c>
      <c r="D108" s="290">
        <f t="shared" si="68"/>
        <v>90.680679999999995</v>
      </c>
      <c r="E108" s="290">
        <f t="shared" si="68"/>
        <v>60.968703703703689</v>
      </c>
      <c r="F108" s="290">
        <f t="shared" si="68"/>
        <v>159.03271428571432</v>
      </c>
      <c r="G108" s="290">
        <f t="shared" si="68"/>
        <v>121.7713846153846</v>
      </c>
      <c r="H108" s="290">
        <f t="shared" si="68"/>
        <v>48.434142857142852</v>
      </c>
      <c r="I108" s="290">
        <f t="shared" si="68"/>
        <v>13.638153846153834</v>
      </c>
      <c r="J108" s="290">
        <f t="shared" si="68"/>
        <v>7.996000000000004</v>
      </c>
      <c r="K108" s="290">
        <f t="shared" si="68"/>
        <v>51.44263636363636</v>
      </c>
      <c r="L108" s="290">
        <f t="shared" si="68"/>
        <v>16.691200000000009</v>
      </c>
      <c r="M108" s="290">
        <f t="shared" si="68"/>
        <v>3.6970000000000018</v>
      </c>
      <c r="N108" s="290">
        <f t="shared" si="68"/>
        <v>8.4228571428571453</v>
      </c>
      <c r="O108" s="290">
        <f t="shared" si="68"/>
        <v>5.635199999999994</v>
      </c>
      <c r="P108" s="290">
        <f t="shared" si="68"/>
        <v>4.1529999999999934</v>
      </c>
      <c r="Q108" s="290">
        <f t="shared" si="68"/>
        <v>5.4509999999999978</v>
      </c>
      <c r="R108" s="290">
        <f t="shared" si="68"/>
        <v>4.9419999999999984</v>
      </c>
      <c r="S108" s="290">
        <f t="shared" si="68"/>
        <v>6.6969999999999983</v>
      </c>
      <c r="T108" s="290">
        <f t="shared" si="68"/>
        <v>6.3179999999999987</v>
      </c>
      <c r="U108" s="290">
        <f t="shared" si="68"/>
        <v>5.7179401993355512</v>
      </c>
      <c r="V108" s="290">
        <f t="shared" si="68"/>
        <v>9.693939393939397</v>
      </c>
      <c r="W108" s="290">
        <f t="shared" si="68"/>
        <v>13.285416666666663</v>
      </c>
      <c r="X108" s="290">
        <f t="shared" si="68"/>
        <v>11.484341085271307</v>
      </c>
      <c r="Y108" s="290">
        <f t="shared" si="68"/>
        <v>4.7860016611295659</v>
      </c>
      <c r="Z108" s="290">
        <f t="shared" si="68"/>
        <v>21.940171753246744</v>
      </c>
      <c r="AA108" s="290">
        <f t="shared" si="68"/>
        <v>10.827011184962341</v>
      </c>
      <c r="AB108" s="290">
        <f t="shared" si="68"/>
        <v>9.2427239938073669</v>
      </c>
      <c r="AC108" s="253">
        <f>SUM(AC96:AC107)</f>
        <v>10.057283333548265</v>
      </c>
      <c r="AD108" s="253">
        <f t="shared" ref="AD108:AE108" si="69">SUM(AD96:AD107)</f>
        <v>10.352158324734598</v>
      </c>
      <c r="AE108" s="253">
        <f t="shared" si="69"/>
        <v>10.219597292125563</v>
      </c>
    </row>
    <row r="109" spans="1:31">
      <c r="A109" s="248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48"/>
      <c r="AA109" s="248"/>
      <c r="AB109" s="248"/>
      <c r="AC109" s="254"/>
      <c r="AD109" s="254"/>
      <c r="AE109" s="254"/>
    </row>
    <row r="110" spans="1:31" ht="15.75" thickBot="1">
      <c r="A110" s="235" t="s">
        <v>254</v>
      </c>
    </row>
    <row r="111" spans="1:31" ht="15.75" thickBot="1">
      <c r="A111" s="236"/>
      <c r="B111" s="237" t="str">
        <f>B$2</f>
        <v xml:space="preserve">93/94 </v>
      </c>
      <c r="C111" s="237" t="str">
        <f t="shared" ref="C111:AE111" si="70">C$2</f>
        <v xml:space="preserve">94/95 </v>
      </c>
      <c r="D111" s="237" t="str">
        <f t="shared" si="70"/>
        <v xml:space="preserve">95/96 </v>
      </c>
      <c r="E111" s="237" t="str">
        <f t="shared" si="70"/>
        <v xml:space="preserve">96/97 </v>
      </c>
      <c r="F111" s="237" t="str">
        <f t="shared" si="70"/>
        <v xml:space="preserve">97/98 </v>
      </c>
      <c r="G111" s="237" t="str">
        <f t="shared" si="70"/>
        <v xml:space="preserve">98/99 </v>
      </c>
      <c r="H111" s="237" t="str">
        <f t="shared" si="70"/>
        <v xml:space="preserve">99/00 </v>
      </c>
      <c r="I111" s="237" t="str">
        <f t="shared" si="70"/>
        <v xml:space="preserve">00/01 </v>
      </c>
      <c r="J111" s="237" t="str">
        <f t="shared" si="70"/>
        <v xml:space="preserve">01/02 </v>
      </c>
      <c r="K111" s="237" t="str">
        <f t="shared" si="70"/>
        <v xml:space="preserve">02/03 </v>
      </c>
      <c r="L111" s="237" t="str">
        <f t="shared" si="70"/>
        <v xml:space="preserve">03/04 </v>
      </c>
      <c r="M111" s="237" t="str">
        <f t="shared" si="70"/>
        <v xml:space="preserve">04/05 </v>
      </c>
      <c r="N111" s="237" t="str">
        <f t="shared" si="70"/>
        <v xml:space="preserve">05/06 </v>
      </c>
      <c r="O111" s="237" t="str">
        <f t="shared" si="70"/>
        <v xml:space="preserve">06/07 </v>
      </c>
      <c r="P111" s="237" t="str">
        <f t="shared" si="70"/>
        <v xml:space="preserve">07/08 </v>
      </c>
      <c r="Q111" s="237" t="str">
        <f t="shared" si="70"/>
        <v xml:space="preserve">08/09 </v>
      </c>
      <c r="R111" s="237" t="str">
        <f t="shared" si="70"/>
        <v xml:space="preserve">09/10 </v>
      </c>
      <c r="S111" s="237" t="str">
        <f t="shared" si="70"/>
        <v xml:space="preserve">10/11 </v>
      </c>
      <c r="T111" s="237" t="str">
        <f t="shared" si="70"/>
        <v xml:space="preserve">11/12 </v>
      </c>
      <c r="U111" s="237" t="str">
        <f t="shared" si="70"/>
        <v xml:space="preserve">12/13 </v>
      </c>
      <c r="V111" s="237" t="str">
        <f t="shared" si="70"/>
        <v xml:space="preserve">13/14 </v>
      </c>
      <c r="W111" s="237" t="str">
        <f t="shared" si="70"/>
        <v xml:space="preserve">14/15 </v>
      </c>
      <c r="X111" s="237" t="str">
        <f t="shared" si="70"/>
        <v xml:space="preserve">15/16 </v>
      </c>
      <c r="Y111" s="237" t="str">
        <f t="shared" si="70"/>
        <v xml:space="preserve">16/17 </v>
      </c>
      <c r="Z111" s="237" t="str">
        <f t="shared" si="70"/>
        <v xml:space="preserve">17/18 </v>
      </c>
      <c r="AA111" s="237" t="str">
        <f t="shared" si="70"/>
        <v xml:space="preserve">18/19 </v>
      </c>
      <c r="AB111" s="237" t="str">
        <f t="shared" si="70"/>
        <v xml:space="preserve">19/20 </v>
      </c>
      <c r="AC111" s="237" t="str">
        <f t="shared" si="70"/>
        <v xml:space="preserve">20/21 </v>
      </c>
      <c r="AD111" s="237" t="str">
        <f t="shared" si="70"/>
        <v xml:space="preserve">21/22 </v>
      </c>
      <c r="AE111" s="237" t="str">
        <f t="shared" si="70"/>
        <v xml:space="preserve">22/23 </v>
      </c>
    </row>
    <row r="112" spans="1:31">
      <c r="A112" s="240" t="s">
        <v>239</v>
      </c>
      <c r="B112" s="298">
        <f t="shared" ref="B112:AE120" si="71">B96/B80</f>
        <v>0.43283582089552236</v>
      </c>
      <c r="C112" s="298">
        <f t="shared" si="71"/>
        <v>0.45238095238095238</v>
      </c>
      <c r="D112" s="298">
        <f t="shared" si="71"/>
        <v>0.42028985507246375</v>
      </c>
      <c r="E112" s="298">
        <f t="shared" si="71"/>
        <v>0.46666666666666667</v>
      </c>
      <c r="F112" s="298">
        <f t="shared" si="71"/>
        <v>0.47499999999999992</v>
      </c>
      <c r="G112" s="298">
        <f t="shared" si="71"/>
        <v>0.48648648648648651</v>
      </c>
      <c r="H112" s="298">
        <f t="shared" si="71"/>
        <v>0.45000000000000007</v>
      </c>
      <c r="I112" s="298">
        <f t="shared" si="71"/>
        <v>0.4375</v>
      </c>
      <c r="J112" s="298">
        <f t="shared" si="71"/>
        <v>0.44444444444444442</v>
      </c>
      <c r="K112" s="298">
        <f t="shared" si="71"/>
        <v>0.44660194174757278</v>
      </c>
      <c r="L112" s="298">
        <f t="shared" si="71"/>
        <v>0.45714285714285713</v>
      </c>
      <c r="M112" s="298">
        <f t="shared" si="71"/>
        <v>0.44444444444444442</v>
      </c>
      <c r="N112" s="298">
        <f t="shared" si="71"/>
        <v>0.4705882352941177</v>
      </c>
      <c r="O112" s="298">
        <f t="shared" si="71"/>
        <v>0.54545454545454541</v>
      </c>
      <c r="P112" s="298">
        <f t="shared" si="71"/>
        <v>0.5</v>
      </c>
      <c r="Q112" s="298">
        <f t="shared" si="71"/>
        <v>0.41666666666666669</v>
      </c>
      <c r="R112" s="298">
        <f t="shared" si="71"/>
        <v>0.41666666666666669</v>
      </c>
      <c r="S112" s="298">
        <f t="shared" si="71"/>
        <v>0.4</v>
      </c>
      <c r="T112" s="298">
        <f t="shared" si="71"/>
        <v>0.42857142857142855</v>
      </c>
      <c r="U112" s="298">
        <f t="shared" si="71"/>
        <v>0.42857142857142855</v>
      </c>
      <c r="V112" s="298">
        <f t="shared" si="71"/>
        <v>0.44444444444444442</v>
      </c>
      <c r="W112" s="298">
        <f t="shared" si="71"/>
        <v>0.4375</v>
      </c>
      <c r="X112" s="298">
        <f t="shared" si="71"/>
        <v>0.43333333333333335</v>
      </c>
      <c r="Y112" s="298">
        <f t="shared" si="71"/>
        <v>0.42857142857142855</v>
      </c>
      <c r="Z112" s="298">
        <f t="shared" si="71"/>
        <v>0.42857142857142855</v>
      </c>
      <c r="AA112" s="298">
        <f t="shared" si="71"/>
        <v>0.42725031171633132</v>
      </c>
      <c r="AB112" s="298">
        <f t="shared" si="71"/>
        <v>0.42405610902635177</v>
      </c>
      <c r="AC112" s="298">
        <f t="shared" si="71"/>
        <v>0.41905347223117762</v>
      </c>
      <c r="AD112" s="259">
        <f t="shared" si="71"/>
        <v>0.4140863329893838</v>
      </c>
      <c r="AE112" s="259">
        <f t="shared" si="71"/>
        <v>0.40878389168502238</v>
      </c>
    </row>
    <row r="113" spans="1:31">
      <c r="A113" s="240" t="s">
        <v>240</v>
      </c>
      <c r="B113" s="298">
        <f t="shared" si="71"/>
        <v>0.43283582089552236</v>
      </c>
      <c r="C113" s="298">
        <f t="shared" si="71"/>
        <v>0.45238095238095238</v>
      </c>
      <c r="D113" s="298">
        <f t="shared" si="71"/>
        <v>0.42028985507246375</v>
      </c>
      <c r="E113" s="298">
        <f t="shared" si="71"/>
        <v>0.46666666666666667</v>
      </c>
      <c r="F113" s="298">
        <f t="shared" si="71"/>
        <v>0.47500000000000003</v>
      </c>
      <c r="G113" s="298">
        <f t="shared" si="71"/>
        <v>0.48648648648648651</v>
      </c>
      <c r="H113" s="298">
        <f t="shared" si="71"/>
        <v>0.45</v>
      </c>
      <c r="I113" s="298">
        <f t="shared" si="71"/>
        <v>0.4375</v>
      </c>
      <c r="J113" s="298">
        <f t="shared" si="71"/>
        <v>0.44444444444444442</v>
      </c>
      <c r="K113" s="298">
        <f t="shared" si="71"/>
        <v>0.44660194174757284</v>
      </c>
      <c r="L113" s="298">
        <f t="shared" si="71"/>
        <v>0.45714285714285713</v>
      </c>
      <c r="M113" s="298">
        <f t="shared" si="71"/>
        <v>0.44444444444444442</v>
      </c>
      <c r="N113" s="298">
        <f t="shared" si="71"/>
        <v>0.47058823529411764</v>
      </c>
      <c r="O113" s="298">
        <f t="shared" si="71"/>
        <v>0.54545454545454541</v>
      </c>
      <c r="P113" s="298">
        <f t="shared" si="71"/>
        <v>0.5</v>
      </c>
      <c r="Q113" s="298">
        <f t="shared" si="71"/>
        <v>0.41666666666666669</v>
      </c>
      <c r="R113" s="298">
        <f t="shared" si="71"/>
        <v>0.41666666666666669</v>
      </c>
      <c r="S113" s="298">
        <f t="shared" si="71"/>
        <v>0.4</v>
      </c>
      <c r="T113" s="298">
        <f t="shared" si="71"/>
        <v>0.42857142857142855</v>
      </c>
      <c r="U113" s="298">
        <f t="shared" si="71"/>
        <v>0.42857142857142855</v>
      </c>
      <c r="V113" s="298">
        <f t="shared" si="71"/>
        <v>0.44444444444444448</v>
      </c>
      <c r="W113" s="298">
        <f t="shared" si="71"/>
        <v>0.4375</v>
      </c>
      <c r="X113" s="298">
        <f t="shared" si="71"/>
        <v>0.43333333333333335</v>
      </c>
      <c r="Y113" s="298">
        <f t="shared" si="71"/>
        <v>0.42857142857142855</v>
      </c>
      <c r="Z113" s="298">
        <f t="shared" si="71"/>
        <v>0.42857142857142855</v>
      </c>
      <c r="AA113" s="298">
        <f t="shared" si="71"/>
        <v>0.42725031171633132</v>
      </c>
      <c r="AB113" s="298">
        <f t="shared" si="71"/>
        <v>0.42405610902635166</v>
      </c>
      <c r="AC113" s="298">
        <f t="shared" si="71"/>
        <v>0.41905347223117762</v>
      </c>
      <c r="AD113" s="259">
        <f t="shared" si="71"/>
        <v>0.41408633298938374</v>
      </c>
      <c r="AE113" s="259">
        <f t="shared" si="71"/>
        <v>0.40878389168502238</v>
      </c>
    </row>
    <row r="114" spans="1:31">
      <c r="A114" s="240" t="s">
        <v>241</v>
      </c>
      <c r="B114" s="298">
        <f t="shared" si="71"/>
        <v>0.43283582089552236</v>
      </c>
      <c r="C114" s="298">
        <f t="shared" si="71"/>
        <v>0.45238095238095238</v>
      </c>
      <c r="D114" s="298">
        <f t="shared" si="71"/>
        <v>0.42028985507246369</v>
      </c>
      <c r="E114" s="298">
        <f t="shared" si="71"/>
        <v>0.46666666666666667</v>
      </c>
      <c r="F114" s="298">
        <f t="shared" si="71"/>
        <v>0.47499999999999998</v>
      </c>
      <c r="G114" s="298">
        <f t="shared" si="71"/>
        <v>0.48648648648648651</v>
      </c>
      <c r="H114" s="298">
        <f t="shared" si="71"/>
        <v>0.45</v>
      </c>
      <c r="I114" s="298">
        <f t="shared" si="71"/>
        <v>0.43750000000000006</v>
      </c>
      <c r="J114" s="298">
        <f t="shared" si="71"/>
        <v>0.44444444444444442</v>
      </c>
      <c r="K114" s="298">
        <f t="shared" si="71"/>
        <v>0.44660194174757284</v>
      </c>
      <c r="L114" s="298">
        <f t="shared" si="71"/>
        <v>0.45714285714285713</v>
      </c>
      <c r="M114" s="298">
        <f t="shared" si="71"/>
        <v>0.44444444444444442</v>
      </c>
      <c r="N114" s="298">
        <f t="shared" si="71"/>
        <v>0.47058823529411764</v>
      </c>
      <c r="O114" s="298">
        <f t="shared" si="71"/>
        <v>0.54545454545454541</v>
      </c>
      <c r="P114" s="298">
        <f t="shared" si="71"/>
        <v>0.5</v>
      </c>
      <c r="Q114" s="298">
        <f t="shared" si="71"/>
        <v>0.41666666666666669</v>
      </c>
      <c r="R114" s="298">
        <f t="shared" si="71"/>
        <v>0.41666666666666669</v>
      </c>
      <c r="S114" s="298">
        <f t="shared" si="71"/>
        <v>0.4</v>
      </c>
      <c r="T114" s="298">
        <f t="shared" si="71"/>
        <v>0.42857142857142855</v>
      </c>
      <c r="U114" s="298">
        <f t="shared" si="71"/>
        <v>0.42857142857142855</v>
      </c>
      <c r="V114" s="298">
        <f t="shared" si="71"/>
        <v>0.44444444444444442</v>
      </c>
      <c r="W114" s="298">
        <f t="shared" si="71"/>
        <v>0.4375</v>
      </c>
      <c r="X114" s="298">
        <f t="shared" si="71"/>
        <v>0.43333333333333335</v>
      </c>
      <c r="Y114" s="298">
        <f t="shared" si="71"/>
        <v>0.42857142857142855</v>
      </c>
      <c r="Z114" s="298">
        <f t="shared" si="71"/>
        <v>0.42857142857142855</v>
      </c>
      <c r="AA114" s="298">
        <f t="shared" si="71"/>
        <v>0.42725031171633132</v>
      </c>
      <c r="AB114" s="298">
        <f t="shared" si="71"/>
        <v>0.42405610902635171</v>
      </c>
      <c r="AC114" s="298">
        <f t="shared" si="71"/>
        <v>0.41905347223117762</v>
      </c>
      <c r="AD114" s="259">
        <f t="shared" si="71"/>
        <v>0.4140863329893838</v>
      </c>
      <c r="AE114" s="259">
        <f t="shared" si="71"/>
        <v>0.40878389168502238</v>
      </c>
    </row>
    <row r="115" spans="1:31">
      <c r="A115" s="240" t="s">
        <v>231</v>
      </c>
      <c r="B115" s="298">
        <f t="shared" si="71"/>
        <v>0.43283582089552236</v>
      </c>
      <c r="C115" s="298">
        <f t="shared" si="71"/>
        <v>0.45238095238095238</v>
      </c>
      <c r="D115" s="298">
        <f t="shared" si="71"/>
        <v>0.42028985507246375</v>
      </c>
      <c r="E115" s="298">
        <f t="shared" si="71"/>
        <v>0.46666666666666667</v>
      </c>
      <c r="F115" s="298">
        <f t="shared" si="71"/>
        <v>0.47499999999999998</v>
      </c>
      <c r="G115" s="298">
        <f t="shared" si="71"/>
        <v>0.48648648648648651</v>
      </c>
      <c r="H115" s="298">
        <f t="shared" si="71"/>
        <v>0.45</v>
      </c>
      <c r="I115" s="298">
        <f t="shared" si="71"/>
        <v>0.4375</v>
      </c>
      <c r="J115" s="298">
        <f t="shared" si="71"/>
        <v>0.44444444444444442</v>
      </c>
      <c r="K115" s="298">
        <f t="shared" si="71"/>
        <v>0.44660194174757284</v>
      </c>
      <c r="L115" s="298">
        <f t="shared" si="71"/>
        <v>0.45714285714285713</v>
      </c>
      <c r="M115" s="298">
        <f t="shared" si="71"/>
        <v>0.44444444444444442</v>
      </c>
      <c r="N115" s="298">
        <f t="shared" si="71"/>
        <v>0.47058823529411764</v>
      </c>
      <c r="O115" s="298">
        <f t="shared" si="71"/>
        <v>0.54545454545454541</v>
      </c>
      <c r="P115" s="298">
        <f t="shared" si="71"/>
        <v>0.5</v>
      </c>
      <c r="Q115" s="298">
        <f t="shared" si="71"/>
        <v>0.41666666666666669</v>
      </c>
      <c r="R115" s="298">
        <f t="shared" si="71"/>
        <v>0.41666666666666669</v>
      </c>
      <c r="S115" s="298">
        <f t="shared" si="71"/>
        <v>0.4</v>
      </c>
      <c r="T115" s="298">
        <f t="shared" si="71"/>
        <v>0.42857142857142855</v>
      </c>
      <c r="U115" s="298">
        <f t="shared" si="71"/>
        <v>0.42857142857142855</v>
      </c>
      <c r="V115" s="298">
        <f t="shared" si="71"/>
        <v>0.44444444444444442</v>
      </c>
      <c r="W115" s="298">
        <f t="shared" si="71"/>
        <v>0.4375</v>
      </c>
      <c r="X115" s="298">
        <f t="shared" si="71"/>
        <v>0.43333333333333335</v>
      </c>
      <c r="Y115" s="298">
        <f t="shared" si="71"/>
        <v>0.42857142857142855</v>
      </c>
      <c r="Z115" s="298">
        <f t="shared" si="71"/>
        <v>0.42857142857142855</v>
      </c>
      <c r="AA115" s="298">
        <f t="shared" si="71"/>
        <v>0.42725031171633132</v>
      </c>
      <c r="AB115" s="298">
        <f t="shared" si="71"/>
        <v>0.42405610902635171</v>
      </c>
      <c r="AC115" s="298">
        <f t="shared" si="71"/>
        <v>0.41905347223117762</v>
      </c>
      <c r="AD115" s="259">
        <f t="shared" si="71"/>
        <v>0.4140863329893838</v>
      </c>
      <c r="AE115" s="259">
        <f t="shared" si="71"/>
        <v>0.40878389168502238</v>
      </c>
    </row>
    <row r="116" spans="1:31">
      <c r="A116" s="240" t="s">
        <v>232</v>
      </c>
      <c r="B116" s="298">
        <f t="shared" si="71"/>
        <v>0.43283582089552236</v>
      </c>
      <c r="C116" s="298">
        <f t="shared" si="71"/>
        <v>0.45238095238095238</v>
      </c>
      <c r="D116" s="298">
        <f t="shared" si="71"/>
        <v>0.42028985507246375</v>
      </c>
      <c r="E116" s="298">
        <f t="shared" si="71"/>
        <v>0.46666666666666667</v>
      </c>
      <c r="F116" s="298">
        <f t="shared" si="71"/>
        <v>0.47499999999999998</v>
      </c>
      <c r="G116" s="298">
        <f t="shared" si="71"/>
        <v>0.48648648648648651</v>
      </c>
      <c r="H116" s="298">
        <f t="shared" si="71"/>
        <v>0.45000000000000007</v>
      </c>
      <c r="I116" s="298">
        <f t="shared" si="71"/>
        <v>0.4375</v>
      </c>
      <c r="J116" s="298">
        <f t="shared" si="71"/>
        <v>0.44444444444444442</v>
      </c>
      <c r="K116" s="298">
        <f t="shared" si="71"/>
        <v>0.44660194174757284</v>
      </c>
      <c r="L116" s="298">
        <f t="shared" si="71"/>
        <v>0.45714285714285713</v>
      </c>
      <c r="M116" s="298">
        <f t="shared" si="71"/>
        <v>0.44444444444444442</v>
      </c>
      <c r="N116" s="298">
        <f t="shared" si="71"/>
        <v>0.4705882352941177</v>
      </c>
      <c r="O116" s="298">
        <f t="shared" si="71"/>
        <v>0.54545454545454541</v>
      </c>
      <c r="P116" s="298">
        <f t="shared" si="71"/>
        <v>0.5</v>
      </c>
      <c r="Q116" s="298">
        <f t="shared" si="71"/>
        <v>0.41666666666666669</v>
      </c>
      <c r="R116" s="298">
        <f t="shared" si="71"/>
        <v>0.41666666666666669</v>
      </c>
      <c r="S116" s="298">
        <f t="shared" si="71"/>
        <v>0.4</v>
      </c>
      <c r="T116" s="298">
        <f t="shared" si="71"/>
        <v>0.42857142857142855</v>
      </c>
      <c r="U116" s="298">
        <f t="shared" si="71"/>
        <v>0.4285714285714286</v>
      </c>
      <c r="V116" s="298">
        <f t="shared" si="71"/>
        <v>0.44444444444444442</v>
      </c>
      <c r="W116" s="298">
        <f t="shared" si="71"/>
        <v>0.4375</v>
      </c>
      <c r="X116" s="298">
        <f t="shared" si="71"/>
        <v>0.43333333333333335</v>
      </c>
      <c r="Y116" s="298">
        <f t="shared" si="71"/>
        <v>0.42857142857142855</v>
      </c>
      <c r="Z116" s="298">
        <f t="shared" si="71"/>
        <v>0.42857142857142855</v>
      </c>
      <c r="AA116" s="298">
        <f t="shared" si="71"/>
        <v>0.42725031171633132</v>
      </c>
      <c r="AB116" s="298">
        <f t="shared" si="71"/>
        <v>0.42405610902635171</v>
      </c>
      <c r="AC116" s="298">
        <f t="shared" si="71"/>
        <v>0.41905347223117762</v>
      </c>
      <c r="AD116" s="259">
        <f t="shared" si="71"/>
        <v>0.4140863329893838</v>
      </c>
      <c r="AE116" s="259">
        <f t="shared" si="71"/>
        <v>0.40878389168502238</v>
      </c>
    </row>
    <row r="117" spans="1:31">
      <c r="A117" s="240" t="s">
        <v>233</v>
      </c>
      <c r="B117" s="298">
        <f t="shared" si="71"/>
        <v>0.43283582089552236</v>
      </c>
      <c r="C117" s="298">
        <f t="shared" si="71"/>
        <v>0.45238095238095244</v>
      </c>
      <c r="D117" s="298">
        <f t="shared" si="71"/>
        <v>0.42028985507246375</v>
      </c>
      <c r="E117" s="298">
        <f t="shared" si="71"/>
        <v>0.46666666666666673</v>
      </c>
      <c r="F117" s="298">
        <f t="shared" si="71"/>
        <v>0.47499999999999998</v>
      </c>
      <c r="G117" s="298">
        <f t="shared" si="71"/>
        <v>0.48648648648648651</v>
      </c>
      <c r="H117" s="298">
        <f t="shared" si="71"/>
        <v>0.45</v>
      </c>
      <c r="I117" s="298">
        <f t="shared" si="71"/>
        <v>0.4375</v>
      </c>
      <c r="J117" s="298">
        <f t="shared" si="71"/>
        <v>0.44444444444444442</v>
      </c>
      <c r="K117" s="298">
        <f t="shared" si="71"/>
        <v>0.44660194174757284</v>
      </c>
      <c r="L117" s="298">
        <f t="shared" si="71"/>
        <v>0.45714285714285713</v>
      </c>
      <c r="M117" s="298">
        <f t="shared" si="71"/>
        <v>0.44444444444444442</v>
      </c>
      <c r="N117" s="298">
        <f t="shared" si="71"/>
        <v>0.4705882352941177</v>
      </c>
      <c r="O117" s="298">
        <f t="shared" si="71"/>
        <v>0.54545454545454541</v>
      </c>
      <c r="P117" s="298">
        <f t="shared" si="71"/>
        <v>0.5</v>
      </c>
      <c r="Q117" s="298">
        <f t="shared" si="71"/>
        <v>0.41666666666666669</v>
      </c>
      <c r="R117" s="298">
        <f t="shared" si="71"/>
        <v>0.41666666666666663</v>
      </c>
      <c r="S117" s="298">
        <f t="shared" si="71"/>
        <v>0.4</v>
      </c>
      <c r="T117" s="298">
        <f t="shared" si="71"/>
        <v>0.42857142857142855</v>
      </c>
      <c r="U117" s="298">
        <f t="shared" si="71"/>
        <v>0.42857142857142855</v>
      </c>
      <c r="V117" s="298">
        <f t="shared" si="71"/>
        <v>0.44444444444444442</v>
      </c>
      <c r="W117" s="298">
        <f t="shared" si="71"/>
        <v>0.43750000000000006</v>
      </c>
      <c r="X117" s="298">
        <f t="shared" si="71"/>
        <v>0.43333333333333335</v>
      </c>
      <c r="Y117" s="298">
        <f t="shared" si="71"/>
        <v>0.42857142857142849</v>
      </c>
      <c r="Z117" s="298">
        <f t="shared" si="71"/>
        <v>0.42857142857142855</v>
      </c>
      <c r="AA117" s="298">
        <f t="shared" si="71"/>
        <v>0.42725031171633132</v>
      </c>
      <c r="AB117" s="298">
        <f t="shared" si="71"/>
        <v>0.42405610902635171</v>
      </c>
      <c r="AC117" s="298">
        <f t="shared" si="71"/>
        <v>0.41905347223117762</v>
      </c>
      <c r="AD117" s="259">
        <f t="shared" si="71"/>
        <v>0.4140863329893838</v>
      </c>
      <c r="AE117" s="259">
        <f t="shared" si="71"/>
        <v>0.40878389168502238</v>
      </c>
    </row>
    <row r="118" spans="1:31">
      <c r="A118" s="240" t="s">
        <v>234</v>
      </c>
      <c r="B118" s="298">
        <f t="shared" si="71"/>
        <v>0.43283582089552236</v>
      </c>
      <c r="C118" s="298">
        <f t="shared" si="71"/>
        <v>0.45238095238095238</v>
      </c>
      <c r="D118" s="298">
        <f t="shared" si="71"/>
        <v>0.42028985507246375</v>
      </c>
      <c r="E118" s="298">
        <f t="shared" si="71"/>
        <v>0.46666666666666667</v>
      </c>
      <c r="F118" s="298">
        <f t="shared" si="71"/>
        <v>0.47499999999999998</v>
      </c>
      <c r="G118" s="298">
        <f t="shared" si="71"/>
        <v>0.48648648648648651</v>
      </c>
      <c r="H118" s="298">
        <f t="shared" si="71"/>
        <v>0.45</v>
      </c>
      <c r="I118" s="298">
        <f t="shared" si="71"/>
        <v>0.4375</v>
      </c>
      <c r="J118" s="298">
        <f t="shared" si="71"/>
        <v>0.44444444444444442</v>
      </c>
      <c r="K118" s="298">
        <f t="shared" si="71"/>
        <v>0.44660194174757284</v>
      </c>
      <c r="L118" s="298">
        <f t="shared" si="71"/>
        <v>0.45714285714285713</v>
      </c>
      <c r="M118" s="298">
        <f t="shared" si="71"/>
        <v>0.44444444444444442</v>
      </c>
      <c r="N118" s="298">
        <f t="shared" si="71"/>
        <v>0.47058823529411759</v>
      </c>
      <c r="O118" s="298">
        <f t="shared" si="71"/>
        <v>0.54545454545454541</v>
      </c>
      <c r="P118" s="298">
        <f t="shared" si="71"/>
        <v>0.5</v>
      </c>
      <c r="Q118" s="298">
        <f t="shared" si="71"/>
        <v>0.41666666666666669</v>
      </c>
      <c r="R118" s="298">
        <f t="shared" si="71"/>
        <v>0.41666666666666669</v>
      </c>
      <c r="S118" s="298">
        <f t="shared" si="71"/>
        <v>0.4</v>
      </c>
      <c r="T118" s="298">
        <f t="shared" si="71"/>
        <v>0.42857142857142855</v>
      </c>
      <c r="U118" s="298">
        <f t="shared" si="71"/>
        <v>0.42857142857142855</v>
      </c>
      <c r="V118" s="298">
        <f t="shared" si="71"/>
        <v>0.44444444444444442</v>
      </c>
      <c r="W118" s="298">
        <f t="shared" si="71"/>
        <v>0.4375</v>
      </c>
      <c r="X118" s="298">
        <f t="shared" si="71"/>
        <v>0.43333333333333335</v>
      </c>
      <c r="Y118" s="298">
        <f t="shared" si="71"/>
        <v>0.42857142857142855</v>
      </c>
      <c r="Z118" s="298">
        <f t="shared" si="71"/>
        <v>0.42857142857142849</v>
      </c>
      <c r="AA118" s="298">
        <f t="shared" si="71"/>
        <v>0.42725031171633132</v>
      </c>
      <c r="AB118" s="298">
        <f t="shared" si="71"/>
        <v>0.42405610902635171</v>
      </c>
      <c r="AC118" s="259">
        <f t="shared" si="71"/>
        <v>0.41905347223117762</v>
      </c>
      <c r="AD118" s="259">
        <f t="shared" si="71"/>
        <v>0.4140863329893838</v>
      </c>
      <c r="AE118" s="259">
        <f t="shared" si="71"/>
        <v>0.40878389168502238</v>
      </c>
    </row>
    <row r="119" spans="1:31">
      <c r="A119" s="240" t="s">
        <v>46</v>
      </c>
      <c r="B119" s="298">
        <f t="shared" si="71"/>
        <v>0.43283582089552236</v>
      </c>
      <c r="C119" s="298">
        <f t="shared" si="71"/>
        <v>0.45238095238095238</v>
      </c>
      <c r="D119" s="298">
        <f t="shared" si="71"/>
        <v>0.42028985507246375</v>
      </c>
      <c r="E119" s="298">
        <f t="shared" si="71"/>
        <v>0.46666666666666667</v>
      </c>
      <c r="F119" s="298">
        <f t="shared" si="71"/>
        <v>0.47499999999999998</v>
      </c>
      <c r="G119" s="298">
        <f t="shared" si="71"/>
        <v>0.48648648648648651</v>
      </c>
      <c r="H119" s="298">
        <f t="shared" si="71"/>
        <v>0.45</v>
      </c>
      <c r="I119" s="298">
        <f t="shared" si="71"/>
        <v>0.4375</v>
      </c>
      <c r="J119" s="298">
        <f t="shared" si="71"/>
        <v>0.44444444444444442</v>
      </c>
      <c r="K119" s="298">
        <f t="shared" si="71"/>
        <v>0.44660194174757284</v>
      </c>
      <c r="L119" s="298">
        <f t="shared" si="71"/>
        <v>0.45714285714285707</v>
      </c>
      <c r="M119" s="298">
        <f t="shared" si="71"/>
        <v>0.44444444444444442</v>
      </c>
      <c r="N119" s="298">
        <f t="shared" si="71"/>
        <v>0.47058823529411764</v>
      </c>
      <c r="O119" s="298">
        <f t="shared" si="71"/>
        <v>0.54545454545454541</v>
      </c>
      <c r="P119" s="298">
        <f t="shared" si="71"/>
        <v>0.5</v>
      </c>
      <c r="Q119" s="298">
        <f t="shared" si="71"/>
        <v>0.41666666666666663</v>
      </c>
      <c r="R119" s="298">
        <f t="shared" si="71"/>
        <v>0.41666666666666669</v>
      </c>
      <c r="S119" s="298">
        <f t="shared" si="71"/>
        <v>0.4</v>
      </c>
      <c r="T119" s="298">
        <f t="shared" si="71"/>
        <v>0.42857142857142855</v>
      </c>
      <c r="U119" s="298">
        <f t="shared" si="71"/>
        <v>0.42857142857142855</v>
      </c>
      <c r="V119" s="298">
        <f t="shared" si="71"/>
        <v>0.44444444444444436</v>
      </c>
      <c r="W119" s="298">
        <f t="shared" si="71"/>
        <v>0.43749999999999994</v>
      </c>
      <c r="X119" s="298">
        <f t="shared" si="71"/>
        <v>0.43333333333333335</v>
      </c>
      <c r="Y119" s="298">
        <f t="shared" si="71"/>
        <v>0.42857142857142855</v>
      </c>
      <c r="Z119" s="298">
        <f t="shared" si="71"/>
        <v>0.42857142857142855</v>
      </c>
      <c r="AA119" s="298">
        <f t="shared" si="71"/>
        <v>0.42725031171633127</v>
      </c>
      <c r="AB119" s="298">
        <f t="shared" si="71"/>
        <v>0.42405610902635171</v>
      </c>
      <c r="AC119" s="259">
        <f t="shared" si="71"/>
        <v>0.41905347223117762</v>
      </c>
      <c r="AD119" s="259">
        <f t="shared" si="71"/>
        <v>0.41408633298938385</v>
      </c>
      <c r="AE119" s="259">
        <f t="shared" si="71"/>
        <v>0.40878389168502238</v>
      </c>
    </row>
    <row r="120" spans="1:31">
      <c r="A120" s="240" t="s">
        <v>235</v>
      </c>
      <c r="B120" s="298">
        <f t="shared" si="71"/>
        <v>0.43283582089552236</v>
      </c>
      <c r="C120" s="298">
        <f t="shared" si="71"/>
        <v>0.45238095238095244</v>
      </c>
      <c r="D120" s="298">
        <f t="shared" si="71"/>
        <v>0.42028985507246369</v>
      </c>
      <c r="E120" s="298">
        <f t="shared" si="71"/>
        <v>0.46666666666666667</v>
      </c>
      <c r="F120" s="298">
        <f t="shared" si="71"/>
        <v>0.47499999999999998</v>
      </c>
      <c r="G120" s="298">
        <f t="shared" si="71"/>
        <v>0.48648648648648646</v>
      </c>
      <c r="H120" s="298">
        <f t="shared" si="71"/>
        <v>0.45</v>
      </c>
      <c r="I120" s="298">
        <f t="shared" si="71"/>
        <v>0.43750000000000006</v>
      </c>
      <c r="J120" s="298">
        <f t="shared" si="71"/>
        <v>0.44444444444444442</v>
      </c>
      <c r="K120" s="298">
        <f t="shared" si="71"/>
        <v>0.44660194174757284</v>
      </c>
      <c r="L120" s="298">
        <f t="shared" si="71"/>
        <v>0.45714285714285718</v>
      </c>
      <c r="M120" s="298">
        <f t="shared" si="71"/>
        <v>0.44444444444444442</v>
      </c>
      <c r="N120" s="298">
        <f t="shared" si="71"/>
        <v>0.47058823529411764</v>
      </c>
      <c r="O120" s="298">
        <f t="shared" si="71"/>
        <v>0.54545454545454541</v>
      </c>
      <c r="P120" s="298">
        <f t="shared" si="71"/>
        <v>0.5</v>
      </c>
      <c r="Q120" s="298">
        <f t="shared" ref="B120:AR123" si="72">Q104/Q88</f>
        <v>0.41666666666666669</v>
      </c>
      <c r="R120" s="298">
        <f t="shared" si="72"/>
        <v>0.41666666666666669</v>
      </c>
      <c r="S120" s="298">
        <f t="shared" si="72"/>
        <v>0.4</v>
      </c>
      <c r="T120" s="298">
        <f t="shared" si="72"/>
        <v>0.42857142857142855</v>
      </c>
      <c r="U120" s="298">
        <f t="shared" si="72"/>
        <v>0.42857142857142849</v>
      </c>
      <c r="V120" s="298">
        <f t="shared" si="72"/>
        <v>0.44444444444444436</v>
      </c>
      <c r="W120" s="298">
        <f t="shared" si="72"/>
        <v>0.4375</v>
      </c>
      <c r="X120" s="298">
        <f t="shared" si="72"/>
        <v>0.43333333333333335</v>
      </c>
      <c r="Y120" s="298">
        <f t="shared" si="72"/>
        <v>0.42857142857142855</v>
      </c>
      <c r="Z120" s="298">
        <f t="shared" si="72"/>
        <v>0.42857142857142855</v>
      </c>
      <c r="AA120" s="298">
        <f t="shared" si="72"/>
        <v>0.42725031171633132</v>
      </c>
      <c r="AB120" s="298">
        <f t="shared" si="72"/>
        <v>0.42405610902635171</v>
      </c>
      <c r="AC120" s="259">
        <f t="shared" si="72"/>
        <v>0.41905347223117762</v>
      </c>
      <c r="AD120" s="259">
        <f t="shared" si="72"/>
        <v>0.4140863329893838</v>
      </c>
      <c r="AE120" s="259">
        <f t="shared" si="72"/>
        <v>0.40878389168502238</v>
      </c>
    </row>
    <row r="121" spans="1:31">
      <c r="A121" s="240" t="s">
        <v>236</v>
      </c>
      <c r="B121" s="298">
        <f t="shared" si="72"/>
        <v>0.43283582089552236</v>
      </c>
      <c r="C121" s="298">
        <f t="shared" si="72"/>
        <v>0.45238095238095238</v>
      </c>
      <c r="D121" s="298">
        <f t="shared" si="72"/>
        <v>0.42028985507246375</v>
      </c>
      <c r="E121" s="298">
        <f t="shared" si="72"/>
        <v>0.46666666666666667</v>
      </c>
      <c r="F121" s="298">
        <f t="shared" si="72"/>
        <v>0.47499999999999998</v>
      </c>
      <c r="G121" s="298">
        <f t="shared" si="72"/>
        <v>0.48648648648648651</v>
      </c>
      <c r="H121" s="298">
        <f t="shared" si="72"/>
        <v>0.45</v>
      </c>
      <c r="I121" s="298">
        <f t="shared" si="72"/>
        <v>0.4375</v>
      </c>
      <c r="J121" s="298">
        <f t="shared" si="72"/>
        <v>0.44444444444444442</v>
      </c>
      <c r="K121" s="298">
        <f t="shared" si="72"/>
        <v>0.44660194174757284</v>
      </c>
      <c r="L121" s="298">
        <f t="shared" si="72"/>
        <v>0.45714285714285707</v>
      </c>
      <c r="M121" s="298">
        <f t="shared" si="72"/>
        <v>0.44444444444444442</v>
      </c>
      <c r="N121" s="298">
        <f t="shared" si="72"/>
        <v>0.47058823529411764</v>
      </c>
      <c r="O121" s="298">
        <f t="shared" si="72"/>
        <v>0.54545454545454541</v>
      </c>
      <c r="P121" s="298">
        <f t="shared" si="72"/>
        <v>0.5</v>
      </c>
      <c r="Q121" s="298">
        <f t="shared" si="72"/>
        <v>0.41666666666666669</v>
      </c>
      <c r="R121" s="298">
        <f t="shared" si="72"/>
        <v>0.41666666666666669</v>
      </c>
      <c r="S121" s="298">
        <f t="shared" si="72"/>
        <v>0.4</v>
      </c>
      <c r="T121" s="298">
        <f t="shared" si="72"/>
        <v>0.42857142857142855</v>
      </c>
      <c r="U121" s="298">
        <f t="shared" si="72"/>
        <v>0.42857142857142855</v>
      </c>
      <c r="V121" s="298">
        <f t="shared" si="72"/>
        <v>0.44444444444444448</v>
      </c>
      <c r="W121" s="298">
        <f t="shared" si="72"/>
        <v>0.4375</v>
      </c>
      <c r="X121" s="298">
        <f t="shared" si="72"/>
        <v>0.43333333333333335</v>
      </c>
      <c r="Y121" s="298">
        <f t="shared" si="72"/>
        <v>0.42857142857142855</v>
      </c>
      <c r="Z121" s="298">
        <f t="shared" si="72"/>
        <v>0.42857142857142855</v>
      </c>
      <c r="AA121" s="298">
        <f t="shared" si="72"/>
        <v>0.42725031171633132</v>
      </c>
      <c r="AB121" s="298">
        <f t="shared" si="72"/>
        <v>0.42405610902635171</v>
      </c>
      <c r="AC121" s="259">
        <f t="shared" si="72"/>
        <v>0.41905347223117756</v>
      </c>
      <c r="AD121" s="259">
        <f t="shared" si="72"/>
        <v>0.4140863329893838</v>
      </c>
      <c r="AE121" s="259">
        <f t="shared" si="72"/>
        <v>0.40878389168502238</v>
      </c>
    </row>
    <row r="122" spans="1:31">
      <c r="A122" s="240" t="s">
        <v>237</v>
      </c>
      <c r="B122" s="298">
        <f t="shared" si="72"/>
        <v>0.43283582089552236</v>
      </c>
      <c r="C122" s="298">
        <f t="shared" si="72"/>
        <v>0.45238095238095238</v>
      </c>
      <c r="D122" s="298">
        <f t="shared" si="72"/>
        <v>0.42028985507246375</v>
      </c>
      <c r="E122" s="298">
        <f t="shared" si="72"/>
        <v>0.46666666666666667</v>
      </c>
      <c r="F122" s="298">
        <f t="shared" si="72"/>
        <v>0.47499999999999998</v>
      </c>
      <c r="G122" s="298">
        <f t="shared" si="72"/>
        <v>0.48648648648648651</v>
      </c>
      <c r="H122" s="298">
        <f t="shared" si="72"/>
        <v>0.45</v>
      </c>
      <c r="I122" s="298">
        <f t="shared" si="72"/>
        <v>0.4375</v>
      </c>
      <c r="J122" s="298">
        <f t="shared" si="72"/>
        <v>0.44444444444444442</v>
      </c>
      <c r="K122" s="298">
        <f t="shared" si="72"/>
        <v>0.44660194174757284</v>
      </c>
      <c r="L122" s="298">
        <f t="shared" si="72"/>
        <v>0.45714285714285713</v>
      </c>
      <c r="M122" s="298">
        <f t="shared" si="72"/>
        <v>0.44444444444444436</v>
      </c>
      <c r="N122" s="298">
        <f t="shared" si="72"/>
        <v>0.47058823529411764</v>
      </c>
      <c r="O122" s="298">
        <f t="shared" si="72"/>
        <v>0.54545454545454541</v>
      </c>
      <c r="P122" s="298">
        <f t="shared" si="72"/>
        <v>0.5</v>
      </c>
      <c r="Q122" s="298">
        <f t="shared" si="72"/>
        <v>0.41666666666666669</v>
      </c>
      <c r="R122" s="298">
        <f t="shared" si="72"/>
        <v>0.41666666666666663</v>
      </c>
      <c r="S122" s="298">
        <f t="shared" si="72"/>
        <v>0.4</v>
      </c>
      <c r="T122" s="298">
        <f t="shared" si="72"/>
        <v>0.42857142857142855</v>
      </c>
      <c r="U122" s="298">
        <f t="shared" si="72"/>
        <v>0.42857142857142855</v>
      </c>
      <c r="V122" s="298">
        <f t="shared" si="72"/>
        <v>0.44444444444444448</v>
      </c>
      <c r="W122" s="298">
        <f t="shared" si="72"/>
        <v>0.4375</v>
      </c>
      <c r="X122" s="298">
        <f t="shared" si="72"/>
        <v>0.43333333333333335</v>
      </c>
      <c r="Y122" s="298">
        <f t="shared" si="72"/>
        <v>0.42857142857142855</v>
      </c>
      <c r="Z122" s="298">
        <f t="shared" si="72"/>
        <v>0.42857142857142855</v>
      </c>
      <c r="AA122" s="298">
        <f t="shared" si="72"/>
        <v>0.42725031171633132</v>
      </c>
      <c r="AB122" s="298">
        <f t="shared" si="72"/>
        <v>0.42405610902635171</v>
      </c>
      <c r="AC122" s="259">
        <f t="shared" si="72"/>
        <v>0.41905347223117762</v>
      </c>
      <c r="AD122" s="259">
        <f t="shared" si="72"/>
        <v>0.4140863329893838</v>
      </c>
      <c r="AE122" s="259">
        <f t="shared" si="72"/>
        <v>0.40878389168502238</v>
      </c>
    </row>
    <row r="123" spans="1:31">
      <c r="A123" s="240" t="s">
        <v>238</v>
      </c>
      <c r="B123" s="298">
        <f t="shared" si="72"/>
        <v>0.43283582089552236</v>
      </c>
      <c r="C123" s="298">
        <f t="shared" si="72"/>
        <v>0.45238095238095238</v>
      </c>
      <c r="D123" s="298">
        <f t="shared" si="72"/>
        <v>0.42028985507246375</v>
      </c>
      <c r="E123" s="298">
        <f t="shared" si="72"/>
        <v>0.46666666666666667</v>
      </c>
      <c r="F123" s="298">
        <f t="shared" si="72"/>
        <v>0.47499999999999998</v>
      </c>
      <c r="G123" s="298">
        <f t="shared" si="72"/>
        <v>0.48648648648648651</v>
      </c>
      <c r="H123" s="298">
        <f t="shared" si="72"/>
        <v>0.45</v>
      </c>
      <c r="I123" s="298">
        <f t="shared" si="72"/>
        <v>0.4375</v>
      </c>
      <c r="J123" s="298">
        <f t="shared" si="72"/>
        <v>0.44444444444444442</v>
      </c>
      <c r="K123" s="298">
        <f t="shared" si="72"/>
        <v>0.44660194174757284</v>
      </c>
      <c r="L123" s="298">
        <f t="shared" si="72"/>
        <v>0.45714285714285713</v>
      </c>
      <c r="M123" s="298">
        <f t="shared" si="72"/>
        <v>0.44444444444444442</v>
      </c>
      <c r="N123" s="298">
        <f t="shared" si="72"/>
        <v>0.47058823529411764</v>
      </c>
      <c r="O123" s="298">
        <f t="shared" si="72"/>
        <v>0.54545454545454541</v>
      </c>
      <c r="P123" s="298">
        <f t="shared" si="72"/>
        <v>0.5</v>
      </c>
      <c r="Q123" s="298">
        <f t="shared" si="72"/>
        <v>0.41666666666666669</v>
      </c>
      <c r="R123" s="298">
        <f t="shared" si="72"/>
        <v>0.41666666666666669</v>
      </c>
      <c r="S123" s="298">
        <f t="shared" si="72"/>
        <v>0.4</v>
      </c>
      <c r="T123" s="298">
        <f t="shared" si="72"/>
        <v>0.42857142857142855</v>
      </c>
      <c r="U123" s="298">
        <f t="shared" si="72"/>
        <v>0.42857142857142855</v>
      </c>
      <c r="V123" s="298">
        <f t="shared" si="72"/>
        <v>0.44444444444444442</v>
      </c>
      <c r="W123" s="298">
        <f t="shared" si="72"/>
        <v>0.4375</v>
      </c>
      <c r="X123" s="298">
        <f t="shared" si="72"/>
        <v>0.43333333333333335</v>
      </c>
      <c r="Y123" s="298">
        <f t="shared" si="72"/>
        <v>0.42857142857142849</v>
      </c>
      <c r="Z123" s="298">
        <f t="shared" si="72"/>
        <v>0.4285714285714286</v>
      </c>
      <c r="AA123" s="298">
        <f t="shared" si="72"/>
        <v>0.42725031171633132</v>
      </c>
      <c r="AB123" s="298">
        <f t="shared" si="72"/>
        <v>0.42405610902635171</v>
      </c>
      <c r="AC123" s="259">
        <f t="shared" si="72"/>
        <v>0.41905347223117762</v>
      </c>
      <c r="AD123" s="259">
        <f t="shared" si="72"/>
        <v>0.4140863329893838</v>
      </c>
      <c r="AE123" s="259">
        <f t="shared" si="72"/>
        <v>0.40878389168502238</v>
      </c>
    </row>
    <row r="124" spans="1:31" ht="15.75" thickBot="1">
      <c r="A124" s="240" t="s">
        <v>255</v>
      </c>
      <c r="B124" s="258">
        <v>0.43283582089552236</v>
      </c>
      <c r="C124" s="258">
        <v>0.45238095238095238</v>
      </c>
      <c r="D124" s="258">
        <v>0.42028985507246375</v>
      </c>
      <c r="E124" s="258">
        <v>0.46666666666666667</v>
      </c>
      <c r="F124" s="258">
        <v>0.47499999999999998</v>
      </c>
      <c r="G124" s="258">
        <v>0.48648648648648651</v>
      </c>
      <c r="H124" s="258">
        <v>0.45</v>
      </c>
      <c r="I124" s="258">
        <v>0.4375</v>
      </c>
      <c r="J124" s="258">
        <v>0.44444444444444442</v>
      </c>
      <c r="K124" s="258">
        <v>0.44660194174757284</v>
      </c>
      <c r="L124" s="258">
        <v>0.45714285714285713</v>
      </c>
      <c r="M124" s="258">
        <v>0.44444444444444442</v>
      </c>
      <c r="N124" s="258">
        <v>0.47058823529411764</v>
      </c>
      <c r="O124" s="258">
        <v>0.54545454545454541</v>
      </c>
      <c r="P124" s="258">
        <v>0.5</v>
      </c>
      <c r="Q124" s="258">
        <v>0.41666666666666669</v>
      </c>
      <c r="R124" s="258">
        <v>0.41666666666666669</v>
      </c>
      <c r="S124" s="258">
        <v>0.4</v>
      </c>
      <c r="T124" s="258">
        <v>0.42857142857142855</v>
      </c>
      <c r="U124" s="258">
        <v>0.42857142857142855</v>
      </c>
      <c r="V124" s="258">
        <v>0.44444444444444442</v>
      </c>
      <c r="W124" s="258">
        <v>0.4375</v>
      </c>
      <c r="X124" s="258">
        <v>0.43333333333333335</v>
      </c>
      <c r="Y124" s="258">
        <v>0.42857142857142855</v>
      </c>
      <c r="Z124" s="259">
        <v>0.42857142857142855</v>
      </c>
      <c r="AA124" s="259">
        <f>FORECAST(AA45,H124:Z124,H45:Z45)</f>
        <v>0.42725031171633132</v>
      </c>
      <c r="AB124" s="259">
        <f>FORECAST(AB45,I124:AA124,I45:AA45)</f>
        <v>0.42405610902635171</v>
      </c>
      <c r="AC124" s="259">
        <f>FORECAST(AC45,J124:AB124,J45:AB45)</f>
        <v>0.41905347223117762</v>
      </c>
      <c r="AD124" s="259">
        <f t="shared" ref="AD124:AE124" si="73">FORECAST(AD45,K124:AC124,K45:AC45)</f>
        <v>0.4140863329893838</v>
      </c>
      <c r="AE124" s="259">
        <f t="shared" si="73"/>
        <v>0.40878389168502238</v>
      </c>
    </row>
    <row r="125" spans="1:31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  <c r="AE125" s="248"/>
    </row>
    <row r="126" spans="1:31" ht="15.75" thickBot="1">
      <c r="A126" s="235" t="s">
        <v>256</v>
      </c>
    </row>
    <row r="127" spans="1:31" ht="15.75" thickBot="1">
      <c r="A127" s="236"/>
      <c r="B127" s="237" t="str">
        <f>B$2</f>
        <v xml:space="preserve">93/94 </v>
      </c>
      <c r="C127" s="237" t="str">
        <f t="shared" ref="C127:AE127" si="74">C$2</f>
        <v xml:space="preserve">94/95 </v>
      </c>
      <c r="D127" s="237" t="str">
        <f t="shared" si="74"/>
        <v xml:space="preserve">95/96 </v>
      </c>
      <c r="E127" s="237" t="str">
        <f t="shared" si="74"/>
        <v xml:space="preserve">96/97 </v>
      </c>
      <c r="F127" s="237" t="str">
        <f t="shared" si="74"/>
        <v xml:space="preserve">97/98 </v>
      </c>
      <c r="G127" s="237" t="str">
        <f t="shared" si="74"/>
        <v xml:space="preserve">98/99 </v>
      </c>
      <c r="H127" s="237" t="str">
        <f t="shared" si="74"/>
        <v xml:space="preserve">99/00 </v>
      </c>
      <c r="I127" s="237" t="str">
        <f t="shared" si="74"/>
        <v xml:space="preserve">00/01 </v>
      </c>
      <c r="J127" s="237" t="str">
        <f t="shared" si="74"/>
        <v xml:space="preserve">01/02 </v>
      </c>
      <c r="K127" s="237" t="str">
        <f t="shared" si="74"/>
        <v xml:space="preserve">02/03 </v>
      </c>
      <c r="L127" s="237" t="str">
        <f t="shared" si="74"/>
        <v xml:space="preserve">03/04 </v>
      </c>
      <c r="M127" s="237" t="str">
        <f t="shared" si="74"/>
        <v xml:space="preserve">04/05 </v>
      </c>
      <c r="N127" s="237" t="str">
        <f t="shared" si="74"/>
        <v xml:space="preserve">05/06 </v>
      </c>
      <c r="O127" s="237" t="str">
        <f t="shared" si="74"/>
        <v xml:space="preserve">06/07 </v>
      </c>
      <c r="P127" s="237" t="str">
        <f t="shared" si="74"/>
        <v xml:space="preserve">07/08 </v>
      </c>
      <c r="Q127" s="237" t="str">
        <f t="shared" si="74"/>
        <v xml:space="preserve">08/09 </v>
      </c>
      <c r="R127" s="237" t="str">
        <f t="shared" si="74"/>
        <v xml:space="preserve">09/10 </v>
      </c>
      <c r="S127" s="237" t="str">
        <f t="shared" si="74"/>
        <v xml:space="preserve">10/11 </v>
      </c>
      <c r="T127" s="237" t="str">
        <f t="shared" si="74"/>
        <v xml:space="preserve">11/12 </v>
      </c>
      <c r="U127" s="237" t="str">
        <f t="shared" si="74"/>
        <v xml:space="preserve">12/13 </v>
      </c>
      <c r="V127" s="237" t="str">
        <f t="shared" si="74"/>
        <v xml:space="preserve">13/14 </v>
      </c>
      <c r="W127" s="237" t="str">
        <f t="shared" si="74"/>
        <v xml:space="preserve">14/15 </v>
      </c>
      <c r="X127" s="237" t="str">
        <f t="shared" si="74"/>
        <v xml:space="preserve">15/16 </v>
      </c>
      <c r="Y127" s="237" t="str">
        <f t="shared" si="74"/>
        <v xml:space="preserve">16/17 </v>
      </c>
      <c r="Z127" s="237" t="str">
        <f t="shared" si="74"/>
        <v xml:space="preserve">17/18 </v>
      </c>
      <c r="AA127" s="237" t="str">
        <f t="shared" si="74"/>
        <v xml:space="preserve">18/19 </v>
      </c>
      <c r="AB127" s="237" t="str">
        <f t="shared" si="74"/>
        <v xml:space="preserve">19/20 </v>
      </c>
      <c r="AC127" s="237" t="str">
        <f t="shared" si="74"/>
        <v xml:space="preserve">20/21 </v>
      </c>
      <c r="AD127" s="237" t="str">
        <f t="shared" si="74"/>
        <v xml:space="preserve">21/22 </v>
      </c>
      <c r="AE127" s="237" t="str">
        <f t="shared" si="74"/>
        <v xml:space="preserve">22/23 </v>
      </c>
    </row>
    <row r="128" spans="1:31">
      <c r="A128" s="240" t="s">
        <v>239</v>
      </c>
      <c r="B128" s="241">
        <f>(SUM(K128:O128)/SUM(K$140:O$140))*B$140</f>
        <v>0.78962908285661559</v>
      </c>
      <c r="C128" s="241">
        <v>0.36599999999999999</v>
      </c>
      <c r="D128" s="260">
        <f>'[2]Mexico Sun Meal Imports'!BD$290</f>
        <v>7.3999999999999996E-2</v>
      </c>
      <c r="E128" s="260">
        <f>'[2]Mexico Sun Meal Imports'!BP$290</f>
        <v>0</v>
      </c>
      <c r="F128" s="260">
        <f>'[2]Mexico Sun Meal Imports'!CB$290</f>
        <v>7.5999999999999998E-2</v>
      </c>
      <c r="G128" s="260">
        <f>'[2]Mexico Sun Meal Imports'!CN$290</f>
        <v>1.5569999999999999</v>
      </c>
      <c r="H128" s="260">
        <f>'[2]Mexico Sun Meal Imports'!CZ$290</f>
        <v>1.085</v>
      </c>
      <c r="I128" s="260">
        <f>'[2]Mexico Sun Meal Imports'!DL$290</f>
        <v>7.5999999999999998E-2</v>
      </c>
      <c r="J128" s="260">
        <f>'[2]Mexico Sun Meal Imports'!DX$290</f>
        <v>0</v>
      </c>
      <c r="K128" s="260">
        <f>'[2]Mexico Sun Meal Imports'!EJ$290</f>
        <v>0.23200000000000001</v>
      </c>
      <c r="L128" s="260">
        <f>'[2]Mexico Sun Meal Imports'!EV$290</f>
        <v>2.1999999999999999E-2</v>
      </c>
      <c r="M128" s="260">
        <f>'[2]Mexico Sun Meal Imports'!FH$290</f>
        <v>0.23499999999999999</v>
      </c>
      <c r="N128" s="260">
        <f>'[2]Mexico Sun Meal Imports'!FT$290</f>
        <v>0.14799999999999999</v>
      </c>
      <c r="O128" s="260">
        <f>'[2]Mexico Sun Meal Imports'!GF$290</f>
        <v>0.53</v>
      </c>
      <c r="P128" s="260">
        <f>'[2]Mexico Sun Meal Imports'!GR$290</f>
        <v>0.26200000000000001</v>
      </c>
      <c r="Q128" s="260">
        <f>'[2]Mexico Sun Meal Imports'!HD$290</f>
        <v>0.35499999999999998</v>
      </c>
      <c r="R128" s="260">
        <f>'[2]Mexico Sun Meal Imports'!HP$290</f>
        <v>8.1000000000000003E-2</v>
      </c>
      <c r="S128" s="260">
        <f>'[2]Mexico Sun Meal Imports'!IB$290</f>
        <v>0</v>
      </c>
      <c r="T128" s="260">
        <f>'[2]Mexico Sun Meal Imports'!IN$290</f>
        <v>0</v>
      </c>
      <c r="U128" s="260">
        <f>'[2]Mexico Sun Meal Imports'!IZ$290</f>
        <v>0</v>
      </c>
      <c r="V128" s="260">
        <f>'[2]Mexico Sun Meal Imports'!JL$290</f>
        <v>0</v>
      </c>
      <c r="W128" s="260">
        <f>'[2]Mexico Sun Meal Imports'!JX$290</f>
        <v>0</v>
      </c>
      <c r="X128" s="260">
        <f>'[2]Mexico Sun Meal Imports'!KJ$290</f>
        <v>0</v>
      </c>
      <c r="Y128" s="260">
        <f>'[2]Mexico Sun Meal Imports'!KV$290</f>
        <v>8.2000000000000003E-2</v>
      </c>
      <c r="Z128" s="260">
        <f>'[2]Mexico Sun Meal Imports'!LH$290</f>
        <v>0</v>
      </c>
      <c r="AA128" s="260">
        <f>'[2]Mexico Sun Meal Imports'!LT$290</f>
        <v>0</v>
      </c>
      <c r="AB128" s="260">
        <f>'[2]Mexico Sun Meal Imports'!MF$290</f>
        <v>0</v>
      </c>
      <c r="AC128" s="260">
        <f>'[2]Mexico Sun Meal Imports'!MR$290</f>
        <v>0</v>
      </c>
      <c r="AD128" s="260">
        <f>'[2]Mexico Sun Meal Imports'!ND$290</f>
        <v>0</v>
      </c>
      <c r="AE128" s="261">
        <f t="shared" ref="AE128:AE138" si="75">(SUM(Y128:AC128)/SUM(Y$140:AC$140))*AE$140</f>
        <v>0</v>
      </c>
    </row>
    <row r="129" spans="1:31">
      <c r="A129" s="240" t="s">
        <v>240</v>
      </c>
      <c r="B129" s="241">
        <f t="shared" ref="B129:B139" si="76">(SUM(K129:O129)/SUM(K$140:O$140))*B$140</f>
        <v>0.61641139201574702</v>
      </c>
      <c r="C129" s="241">
        <v>0.36599999999999999</v>
      </c>
      <c r="D129" s="260">
        <f>'[2]Mexico Sun Meal Imports'!BE$290</f>
        <v>0.222</v>
      </c>
      <c r="E129" s="260">
        <f>'[2]Mexico Sun Meal Imports'!BQ$290</f>
        <v>2.7810000000000001</v>
      </c>
      <c r="F129" s="260">
        <f>'[2]Mexico Sun Meal Imports'!CC$290</f>
        <v>0</v>
      </c>
      <c r="G129" s="260">
        <f>'[2]Mexico Sun Meal Imports'!CO$290</f>
        <v>1.048</v>
      </c>
      <c r="H129" s="260">
        <f>'[2]Mexico Sun Meal Imports'!DA$290</f>
        <v>0</v>
      </c>
      <c r="I129" s="260">
        <f>'[2]Mexico Sun Meal Imports'!DM$290</f>
        <v>0.40100000000000002</v>
      </c>
      <c r="J129" s="260">
        <f>'[2]Mexico Sun Meal Imports'!DY$290</f>
        <v>0.23</v>
      </c>
      <c r="K129" s="260">
        <f>'[2]Mexico Sun Meal Imports'!EK$290</f>
        <v>0.161</v>
      </c>
      <c r="L129" s="260">
        <f>'[2]Mexico Sun Meal Imports'!EW$290</f>
        <v>4.4999999999999998E-2</v>
      </c>
      <c r="M129" s="260">
        <f>'[2]Mexico Sun Meal Imports'!FI$290</f>
        <v>0.154</v>
      </c>
      <c r="N129" s="260">
        <f>'[2]Mexico Sun Meal Imports'!FU$290</f>
        <v>0.374</v>
      </c>
      <c r="O129" s="260">
        <f>'[2]Mexico Sun Meal Imports'!GG$290</f>
        <v>0.17699999999999999</v>
      </c>
      <c r="P129" s="260">
        <f>'[2]Mexico Sun Meal Imports'!GS$290</f>
        <v>0.42299999999999999</v>
      </c>
      <c r="Q129" s="260">
        <f>'[2]Mexico Sun Meal Imports'!HE$290</f>
        <v>0</v>
      </c>
      <c r="R129" s="260">
        <f>'[2]Mexico Sun Meal Imports'!HQ$290</f>
        <v>0</v>
      </c>
      <c r="S129" s="260">
        <f>'[2]Mexico Sun Meal Imports'!IC$290</f>
        <v>0</v>
      </c>
      <c r="T129" s="260">
        <f>'[2]Mexico Sun Meal Imports'!IO$290</f>
        <v>0</v>
      </c>
      <c r="U129" s="260">
        <f>'[2]Mexico Sun Meal Imports'!JA$290</f>
        <v>0</v>
      </c>
      <c r="V129" s="260">
        <f>'[2]Mexico Sun Meal Imports'!JM$290</f>
        <v>0</v>
      </c>
      <c r="W129" s="260">
        <f>'[2]Mexico Sun Meal Imports'!JY$290</f>
        <v>0</v>
      </c>
      <c r="X129" s="260">
        <f>'[2]Mexico Sun Meal Imports'!KK$290</f>
        <v>0</v>
      </c>
      <c r="Y129" s="260">
        <f>'[2]Mexico Sun Meal Imports'!KW$290</f>
        <v>0</v>
      </c>
      <c r="Z129" s="260">
        <f>'[2]Mexico Sun Meal Imports'!LI$290</f>
        <v>0</v>
      </c>
      <c r="AA129" s="260">
        <f>'[2]Mexico Sun Meal Imports'!LU$290</f>
        <v>0</v>
      </c>
      <c r="AB129" s="260">
        <f>'[2]Mexico Sun Meal Imports'!MG$290</f>
        <v>0</v>
      </c>
      <c r="AC129" s="260">
        <f>'[2]Mexico Sun Meal Imports'!MS$290</f>
        <v>0</v>
      </c>
      <c r="AD129" s="260">
        <f>'[2]Mexico Sun Meal Imports'!NE$290</f>
        <v>0</v>
      </c>
      <c r="AE129" s="261">
        <f t="shared" si="75"/>
        <v>0</v>
      </c>
    </row>
    <row r="130" spans="1:31">
      <c r="A130" s="240" t="s">
        <v>241</v>
      </c>
      <c r="B130" s="241">
        <f t="shared" si="76"/>
        <v>1.3038691025404439</v>
      </c>
      <c r="C130" s="241">
        <v>0.36599999999999999</v>
      </c>
      <c r="D130" s="260">
        <f>'[2]Mexico Sun Meal Imports'!BF$290</f>
        <v>0.3</v>
      </c>
      <c r="E130" s="260">
        <f>'[2]Mexico Sun Meal Imports'!BR$290</f>
        <v>0</v>
      </c>
      <c r="F130" s="260">
        <f>'[2]Mexico Sun Meal Imports'!CD$290</f>
        <v>7.3999999999999996E-2</v>
      </c>
      <c r="G130" s="260">
        <f>'[2]Mexico Sun Meal Imports'!CP$290</f>
        <v>2.3919999999999999</v>
      </c>
      <c r="H130" s="260">
        <f>'[2]Mexico Sun Meal Imports'!DB$290</f>
        <v>0.93300000000000005</v>
      </c>
      <c r="I130" s="260">
        <f>'[2]Mexico Sun Meal Imports'!DN$290</f>
        <v>0.31900000000000001</v>
      </c>
      <c r="J130" s="260">
        <f>'[2]Mexico Sun Meal Imports'!DZ$290</f>
        <v>2.1000000000000001E-2</v>
      </c>
      <c r="K130" s="260">
        <f>'[2]Mexico Sun Meal Imports'!EL$290</f>
        <v>0.25700000000000001</v>
      </c>
      <c r="L130" s="260">
        <f>'[2]Mexico Sun Meal Imports'!EX$290</f>
        <v>0</v>
      </c>
      <c r="M130" s="260">
        <f>'[2]Mexico Sun Meal Imports'!FJ$290</f>
        <v>7.2999999999999995E-2</v>
      </c>
      <c r="N130" s="260">
        <f>'[2]Mexico Sun Meal Imports'!FV$290</f>
        <v>0.502</v>
      </c>
      <c r="O130" s="260">
        <f>'[2]Mexico Sun Meal Imports'!GH$290</f>
        <v>1.095</v>
      </c>
      <c r="P130" s="260">
        <f>'[2]Mexico Sun Meal Imports'!GT$290</f>
        <v>0.09</v>
      </c>
      <c r="Q130" s="260">
        <f>'[2]Mexico Sun Meal Imports'!HF$290</f>
        <v>0</v>
      </c>
      <c r="R130" s="260">
        <f>'[2]Mexico Sun Meal Imports'!HR$290</f>
        <v>0.187</v>
      </c>
      <c r="S130" s="260">
        <f>'[2]Mexico Sun Meal Imports'!ID$290</f>
        <v>0</v>
      </c>
      <c r="T130" s="260">
        <f>'[2]Mexico Sun Meal Imports'!IP$290</f>
        <v>0</v>
      </c>
      <c r="U130" s="260">
        <f>'[2]Mexico Sun Meal Imports'!JB$290</f>
        <v>0</v>
      </c>
      <c r="V130" s="260">
        <f>'[2]Mexico Sun Meal Imports'!JN$290</f>
        <v>0</v>
      </c>
      <c r="W130" s="260">
        <f>'[2]Mexico Sun Meal Imports'!JZ$290</f>
        <v>0</v>
      </c>
      <c r="X130" s="260">
        <f>'[2]Mexico Sun Meal Imports'!KL$290</f>
        <v>0</v>
      </c>
      <c r="Y130" s="260">
        <f>'[2]Mexico Sun Meal Imports'!KX$290</f>
        <v>0</v>
      </c>
      <c r="Z130" s="260">
        <f>'[2]Mexico Sun Meal Imports'!LJ$290</f>
        <v>0</v>
      </c>
      <c r="AA130" s="260">
        <f>'[2]Mexico Sun Meal Imports'!LV$290</f>
        <v>0</v>
      </c>
      <c r="AB130" s="260">
        <f>'[2]Mexico Sun Meal Imports'!MH$290</f>
        <v>0</v>
      </c>
      <c r="AC130" s="260">
        <f>'[2]Mexico Sun Meal Imports'!MT$290</f>
        <v>0</v>
      </c>
      <c r="AD130" s="261">
        <f t="shared" ref="AD130:AD138" si="77">(SUM(X130:AB130)/SUM(X$140:AB$140))*AD$140</f>
        <v>0</v>
      </c>
      <c r="AE130" s="261">
        <f t="shared" si="75"/>
        <v>0</v>
      </c>
    </row>
    <row r="131" spans="1:31">
      <c r="A131" s="240" t="s">
        <v>231</v>
      </c>
      <c r="B131" s="241">
        <f t="shared" si="76"/>
        <v>0.92292550901150283</v>
      </c>
      <c r="C131" s="242">
        <f>'[2]Mexico Sun Meal Imports'!AU$290</f>
        <v>4.968</v>
      </c>
      <c r="D131" s="260">
        <f>'[2]Mexico Sun Meal Imports'!BG$290</f>
        <v>7.8E-2</v>
      </c>
      <c r="E131" s="260">
        <f>'[2]Mexico Sun Meal Imports'!BS$290</f>
        <v>7.0000000000000007E-2</v>
      </c>
      <c r="F131" s="260">
        <f>'[2]Mexico Sun Meal Imports'!CE$290</f>
        <v>7.5999999999999998E-2</v>
      </c>
      <c r="G131" s="260">
        <f>'[2]Mexico Sun Meal Imports'!CQ$290</f>
        <v>0.55200000000000005</v>
      </c>
      <c r="H131" s="260">
        <f>'[2]Mexico Sun Meal Imports'!DC$290</f>
        <v>0</v>
      </c>
      <c r="I131" s="260">
        <f>'[2]Mexico Sun Meal Imports'!DO$290</f>
        <v>0</v>
      </c>
      <c r="J131" s="260">
        <f>'[2]Mexico Sun Meal Imports'!EA$290</f>
        <v>0.22800000000000001</v>
      </c>
      <c r="K131" s="260">
        <f>'[2]Mexico Sun Meal Imports'!EM$290</f>
        <v>0.33200000000000002</v>
      </c>
      <c r="L131" s="260">
        <f>'[2]Mexico Sun Meal Imports'!EY$290</f>
        <v>2.1999999999999999E-2</v>
      </c>
      <c r="M131" s="260">
        <f>'[2]Mexico Sun Meal Imports'!FK$290</f>
        <v>0.33</v>
      </c>
      <c r="N131" s="260">
        <f>'[2]Mexico Sun Meal Imports'!FW$290</f>
        <v>0.26500000000000001</v>
      </c>
      <c r="O131" s="260">
        <f>'[2]Mexico Sun Meal Imports'!GI$290</f>
        <v>0.41499999999999998</v>
      </c>
      <c r="P131" s="260">
        <f>'[2]Mexico Sun Meal Imports'!GU$290</f>
        <v>0.43099999999999999</v>
      </c>
      <c r="Q131" s="260">
        <f>'[2]Mexico Sun Meal Imports'!HG$290</f>
        <v>0.253</v>
      </c>
      <c r="R131" s="260">
        <f>'[2]Mexico Sun Meal Imports'!HS$290</f>
        <v>0</v>
      </c>
      <c r="S131" s="260">
        <f>'[2]Mexico Sun Meal Imports'!IE$290</f>
        <v>8.8999999999999996E-2</v>
      </c>
      <c r="T131" s="260">
        <f>'[2]Mexico Sun Meal Imports'!IQ$290</f>
        <v>0</v>
      </c>
      <c r="U131" s="260">
        <f>'[2]Mexico Sun Meal Imports'!JC$290</f>
        <v>0</v>
      </c>
      <c r="V131" s="260">
        <f>'[2]Mexico Sun Meal Imports'!JO$290</f>
        <v>0</v>
      </c>
      <c r="W131" s="260">
        <f>'[2]Mexico Sun Meal Imports'!KA$290</f>
        <v>0</v>
      </c>
      <c r="X131" s="260">
        <f>'[2]Mexico Sun Meal Imports'!KM$290</f>
        <v>0</v>
      </c>
      <c r="Y131" s="260">
        <f>'[2]Mexico Sun Meal Imports'!KY$290</f>
        <v>0</v>
      </c>
      <c r="Z131" s="260">
        <f>'[2]Mexico Sun Meal Imports'!LK$290</f>
        <v>0</v>
      </c>
      <c r="AA131" s="260">
        <f>'[2]Mexico Sun Meal Imports'!LW$290</f>
        <v>0</v>
      </c>
      <c r="AB131" s="260">
        <f>'[2]Mexico Sun Meal Imports'!MI$290</f>
        <v>0</v>
      </c>
      <c r="AC131" s="260">
        <f>'[2]Mexico Sun Meal Imports'!MU$290</f>
        <v>0</v>
      </c>
      <c r="AD131" s="261">
        <f t="shared" si="77"/>
        <v>0</v>
      </c>
      <c r="AE131" s="261">
        <f t="shared" si="75"/>
        <v>0</v>
      </c>
    </row>
    <row r="132" spans="1:31">
      <c r="A132" s="240" t="s">
        <v>232</v>
      </c>
      <c r="B132" s="241">
        <f t="shared" si="76"/>
        <v>0.38026696192409415</v>
      </c>
      <c r="C132" s="242">
        <f>'[2]Mexico Sun Meal Imports'!AV$290</f>
        <v>4.125</v>
      </c>
      <c r="D132" s="260">
        <f>'[2]Mexico Sun Meal Imports'!BH$290</f>
        <v>0</v>
      </c>
      <c r="E132" s="260">
        <f>'[2]Mexico Sun Meal Imports'!BT$290</f>
        <v>6.8000000000000005E-2</v>
      </c>
      <c r="F132" s="260">
        <f>'[2]Mexico Sun Meal Imports'!CF$290</f>
        <v>0</v>
      </c>
      <c r="G132" s="260">
        <f>'[2]Mexico Sun Meal Imports'!CR$290</f>
        <v>0.73399999999999999</v>
      </c>
      <c r="H132" s="260">
        <f>'[2]Mexico Sun Meal Imports'!DD$290</f>
        <v>0.218</v>
      </c>
      <c r="I132" s="260">
        <f>'[2]Mexico Sun Meal Imports'!DP$290</f>
        <v>0</v>
      </c>
      <c r="J132" s="260">
        <f>'[2]Mexico Sun Meal Imports'!EB$290</f>
        <v>0.45100000000000001</v>
      </c>
      <c r="K132" s="260">
        <f>'[2]Mexico Sun Meal Imports'!EN$290</f>
        <v>0</v>
      </c>
      <c r="L132" s="260">
        <f>'[2]Mexico Sun Meal Imports'!EZ$290</f>
        <v>2.3E-2</v>
      </c>
      <c r="M132" s="260">
        <f>'[2]Mexico Sun Meal Imports'!FL$290</f>
        <v>0.191</v>
      </c>
      <c r="N132" s="260">
        <f>'[2]Mexico Sun Meal Imports'!FX$290</f>
        <v>0.26500000000000001</v>
      </c>
      <c r="O132" s="260">
        <f>'[2]Mexico Sun Meal Imports'!GJ$290</f>
        <v>8.3000000000000004E-2</v>
      </c>
      <c r="P132" s="260">
        <f>'[2]Mexico Sun Meal Imports'!GV$290</f>
        <v>0.42</v>
      </c>
      <c r="Q132" s="260">
        <f>'[2]Mexico Sun Meal Imports'!HH$290</f>
        <v>0.246</v>
      </c>
      <c r="R132" s="260">
        <f>'[2]Mexico Sun Meal Imports'!HT$290</f>
        <v>8.7999999999999995E-2</v>
      </c>
      <c r="S132" s="260">
        <f>'[2]Mexico Sun Meal Imports'!IF$290</f>
        <v>0.182</v>
      </c>
      <c r="T132" s="260">
        <f>'[2]Mexico Sun Meal Imports'!IR$290</f>
        <v>0</v>
      </c>
      <c r="U132" s="260">
        <f>'[2]Mexico Sun Meal Imports'!JD$290</f>
        <v>0</v>
      </c>
      <c r="V132" s="260">
        <f>'[2]Mexico Sun Meal Imports'!JP$290</f>
        <v>0</v>
      </c>
      <c r="W132" s="260">
        <f>'[2]Mexico Sun Meal Imports'!KB$290</f>
        <v>0</v>
      </c>
      <c r="X132" s="260">
        <f>'[2]Mexico Sun Meal Imports'!KN$290</f>
        <v>9.0999999999999998E-2</v>
      </c>
      <c r="Y132" s="260">
        <f>'[2]Mexico Sun Meal Imports'!KZ$290</f>
        <v>0</v>
      </c>
      <c r="Z132" s="260">
        <f>'[2]Mexico Sun Meal Imports'!LL$290</f>
        <v>0</v>
      </c>
      <c r="AA132" s="260">
        <f>'[2]Mexico Sun Meal Imports'!LX$290</f>
        <v>0</v>
      </c>
      <c r="AB132" s="260">
        <f>'[2]Mexico Sun Meal Imports'!MJ$290</f>
        <v>0</v>
      </c>
      <c r="AC132" s="260">
        <f>'[2]Mexico Sun Meal Imports'!MV$290</f>
        <v>0</v>
      </c>
      <c r="AD132" s="261">
        <f t="shared" si="77"/>
        <v>0</v>
      </c>
      <c r="AE132" s="261">
        <f t="shared" si="75"/>
        <v>0</v>
      </c>
    </row>
    <row r="133" spans="1:31">
      <c r="A133" s="240" t="s">
        <v>233</v>
      </c>
      <c r="B133" s="241">
        <f t="shared" si="76"/>
        <v>1.323491419081011</v>
      </c>
      <c r="C133" s="242">
        <f>'[2]Mexico Sun Meal Imports'!AW$290</f>
        <v>4.0979999999999999</v>
      </c>
      <c r="D133" s="260">
        <f>'[2]Mexico Sun Meal Imports'!BI$290</f>
        <v>0.157</v>
      </c>
      <c r="E133" s="260">
        <f>'[2]Mexico Sun Meal Imports'!BU$290</f>
        <v>0</v>
      </c>
      <c r="F133" s="260">
        <f>'[2]Mexico Sun Meal Imports'!CG$290</f>
        <v>0</v>
      </c>
      <c r="G133" s="260">
        <f>'[2]Mexico Sun Meal Imports'!CS$290</f>
        <v>0.46800000000000003</v>
      </c>
      <c r="H133" s="260">
        <f>'[2]Mexico Sun Meal Imports'!DE$290</f>
        <v>0.47299999999999998</v>
      </c>
      <c r="I133" s="260">
        <f>'[2]Mexico Sun Meal Imports'!DQ$290</f>
        <v>0</v>
      </c>
      <c r="J133" s="260">
        <f>'[2]Mexico Sun Meal Imports'!EC$290</f>
        <v>0.28999999999999998</v>
      </c>
      <c r="K133" s="260">
        <f>'[2]Mexico Sun Meal Imports'!EO$290</f>
        <v>2.1999999999999999E-2</v>
      </c>
      <c r="L133" s="260">
        <f>'[2]Mexico Sun Meal Imports'!FA$290</f>
        <v>4.5999999999999999E-2</v>
      </c>
      <c r="M133" s="260">
        <f>'[2]Mexico Sun Meal Imports'!FM$290</f>
        <v>0.27400000000000002</v>
      </c>
      <c r="N133" s="260">
        <f>'[2]Mexico Sun Meal Imports'!FY$290</f>
        <v>1.1299999999999999</v>
      </c>
      <c r="O133" s="260">
        <f>'[2]Mexico Sun Meal Imports'!GK$290</f>
        <v>0.48399999999999999</v>
      </c>
      <c r="P133" s="260">
        <f>'[2]Mexico Sun Meal Imports'!GW$290</f>
        <v>0.24399999999999999</v>
      </c>
      <c r="Q133" s="260">
        <f>'[2]Mexico Sun Meal Imports'!HI$290</f>
        <v>0.41699999999999998</v>
      </c>
      <c r="R133" s="260">
        <f>'[2]Mexico Sun Meal Imports'!HU$290</f>
        <v>0</v>
      </c>
      <c r="S133" s="260">
        <f>'[2]Mexico Sun Meal Imports'!IG$290</f>
        <v>0</v>
      </c>
      <c r="T133" s="260">
        <f>'[2]Mexico Sun Meal Imports'!IS$290</f>
        <v>0</v>
      </c>
      <c r="U133" s="260">
        <f>'[2]Mexico Sun Meal Imports'!JE$290</f>
        <v>0</v>
      </c>
      <c r="V133" s="260">
        <f>'[2]Mexico Sun Meal Imports'!JQ$290</f>
        <v>0</v>
      </c>
      <c r="W133" s="260">
        <f>'[2]Mexico Sun Meal Imports'!KC$290</f>
        <v>0</v>
      </c>
      <c r="X133" s="260">
        <f>'[2]Mexico Sun Meal Imports'!KO$290</f>
        <v>0</v>
      </c>
      <c r="Y133" s="260">
        <f>'[2]Mexico Sun Meal Imports'!LA$290</f>
        <v>0</v>
      </c>
      <c r="Z133" s="260">
        <f>'[2]Mexico Sun Meal Imports'!LM$290</f>
        <v>0</v>
      </c>
      <c r="AA133" s="260">
        <f>'[2]Mexico Sun Meal Imports'!LY$290</f>
        <v>0</v>
      </c>
      <c r="AB133" s="260">
        <f>'[2]Mexico Sun Meal Imports'!MK$290</f>
        <v>0</v>
      </c>
      <c r="AC133" s="260">
        <f>'[2]Mexico Sun Meal Imports'!MW$290</f>
        <v>0</v>
      </c>
      <c r="AD133" s="261">
        <f t="shared" si="77"/>
        <v>0</v>
      </c>
      <c r="AE133" s="261">
        <f t="shared" si="75"/>
        <v>0</v>
      </c>
    </row>
    <row r="134" spans="1:31">
      <c r="A134" s="240" t="s">
        <v>234</v>
      </c>
      <c r="B134" s="241">
        <f t="shared" si="76"/>
        <v>0.8072215045826413</v>
      </c>
      <c r="C134" s="242">
        <f>'[2]Mexico Sun Meal Imports'!AX$290</f>
        <v>2.9569999999999999</v>
      </c>
      <c r="D134" s="260">
        <f>'[2]Mexico Sun Meal Imports'!BJ$290</f>
        <v>0.309</v>
      </c>
      <c r="E134" s="260">
        <f>'[2]Mexico Sun Meal Imports'!BV$290</f>
        <v>0</v>
      </c>
      <c r="F134" s="260">
        <f>'[2]Mexico Sun Meal Imports'!CH$290</f>
        <v>0.64700000000000002</v>
      </c>
      <c r="G134" s="260">
        <f>'[2]Mexico Sun Meal Imports'!CT$290</f>
        <v>1.984</v>
      </c>
      <c r="H134" s="260">
        <f>'[2]Mexico Sun Meal Imports'!DF$290</f>
        <v>0.65600000000000003</v>
      </c>
      <c r="I134" s="260">
        <f>'[2]Mexico Sun Meal Imports'!DR$290</f>
        <v>0.152</v>
      </c>
      <c r="J134" s="260">
        <f>'[2]Mexico Sun Meal Imports'!ED$290</f>
        <v>7.0000000000000007E-2</v>
      </c>
      <c r="K134" s="260">
        <f>'[2]Mexico Sun Meal Imports'!EP$290</f>
        <v>8.1000000000000003E-2</v>
      </c>
      <c r="L134" s="260">
        <f>'[2]Mexico Sun Meal Imports'!FB$290</f>
        <v>0.33200000000000002</v>
      </c>
      <c r="M134" s="260">
        <f>'[2]Mexico Sun Meal Imports'!FN$290</f>
        <v>0.187</v>
      </c>
      <c r="N134" s="260">
        <f>'[2]Mexico Sun Meal Imports'!FZ$290</f>
        <v>0.25</v>
      </c>
      <c r="O134" s="260">
        <f>'[2]Mexico Sun Meal Imports'!GL$290</f>
        <v>0.34300000000000003</v>
      </c>
      <c r="P134" s="260">
        <f>'[2]Mexico Sun Meal Imports'!GX$290</f>
        <v>0.17399999999999999</v>
      </c>
      <c r="Q134" s="260">
        <f>'[2]Mexico Sun Meal Imports'!HJ$290</f>
        <v>0.17499999999999999</v>
      </c>
      <c r="R134" s="260">
        <f>'[2]Mexico Sun Meal Imports'!HV$290</f>
        <v>0.09</v>
      </c>
      <c r="S134" s="260">
        <f>'[2]Mexico Sun Meal Imports'!IH$290</f>
        <v>8.8999999999999996E-2</v>
      </c>
      <c r="T134" s="260">
        <f>'[2]Mexico Sun Meal Imports'!IT$290</f>
        <v>0</v>
      </c>
      <c r="U134" s="260">
        <f>'[2]Mexico Sun Meal Imports'!JF$290</f>
        <v>0</v>
      </c>
      <c r="V134" s="260">
        <f>'[2]Mexico Sun Meal Imports'!JR$290</f>
        <v>0</v>
      </c>
      <c r="W134" s="260">
        <f>'[2]Mexico Sun Meal Imports'!KD$290</f>
        <v>0</v>
      </c>
      <c r="X134" s="260">
        <f>'[2]Mexico Sun Meal Imports'!KP$290</f>
        <v>8.8999999999999996E-2</v>
      </c>
      <c r="Y134" s="260">
        <f>'[2]Mexico Sun Meal Imports'!LB$290</f>
        <v>0</v>
      </c>
      <c r="Z134" s="260">
        <f>'[2]Mexico Sun Meal Imports'!LN$290</f>
        <v>0</v>
      </c>
      <c r="AA134" s="260">
        <f>'[2]Mexico Sun Meal Imports'!LZ$290</f>
        <v>0</v>
      </c>
      <c r="AB134" s="260">
        <f>'[2]Mexico Sun Meal Imports'!ML$290</f>
        <v>0</v>
      </c>
      <c r="AC134" s="260">
        <f>'[2]Mexico Sun Meal Imports'!MX$290</f>
        <v>0</v>
      </c>
      <c r="AD134" s="261">
        <f t="shared" si="77"/>
        <v>0</v>
      </c>
      <c r="AE134" s="261">
        <f t="shared" si="75"/>
        <v>0</v>
      </c>
    </row>
    <row r="135" spans="1:31">
      <c r="A135" s="240" t="s">
        <v>46</v>
      </c>
      <c r="B135" s="241">
        <f t="shared" si="76"/>
        <v>0.93104508826966847</v>
      </c>
      <c r="C135" s="242">
        <f>'[2]Mexico Sun Meal Imports'!AY$290</f>
        <v>3.84</v>
      </c>
      <c r="D135" s="260">
        <f>'[2]Mexico Sun Meal Imports'!BK$290</f>
        <v>0.59199999999999997</v>
      </c>
      <c r="E135" s="260">
        <f>'[2]Mexico Sun Meal Imports'!BW$290</f>
        <v>0</v>
      </c>
      <c r="F135" s="260">
        <f>'[2]Mexico Sun Meal Imports'!CI$290</f>
        <v>1.26</v>
      </c>
      <c r="G135" s="260">
        <f>'[2]Mexico Sun Meal Imports'!CU$290</f>
        <v>1.5089999999999999</v>
      </c>
      <c r="H135" s="260">
        <f>'[2]Mexico Sun Meal Imports'!DG$290</f>
        <v>0.92500000000000004</v>
      </c>
      <c r="I135" s="260">
        <f>'[2]Mexico Sun Meal Imports'!DS$290</f>
        <v>0</v>
      </c>
      <c r="J135" s="260">
        <f>'[2]Mexico Sun Meal Imports'!EE$290</f>
        <v>0.41199999999999998</v>
      </c>
      <c r="K135" s="260">
        <f>'[2]Mexico Sun Meal Imports'!EQ$290</f>
        <v>2.1999999999999999E-2</v>
      </c>
      <c r="L135" s="260">
        <f>'[2]Mexico Sun Meal Imports'!FC$290</f>
        <v>0.38300000000000001</v>
      </c>
      <c r="M135" s="260">
        <f>'[2]Mexico Sun Meal Imports'!FO$290</f>
        <v>0.27900000000000003</v>
      </c>
      <c r="N135" s="260">
        <f>'[2]Mexico Sun Meal Imports'!GA$290</f>
        <v>0.29499999999999998</v>
      </c>
      <c r="O135" s="260">
        <f>'[2]Mexico Sun Meal Imports'!GM$290</f>
        <v>0.39700000000000002</v>
      </c>
      <c r="P135" s="260">
        <f>'[2]Mexico Sun Meal Imports'!GY$290</f>
        <v>0.33400000000000002</v>
      </c>
      <c r="Q135" s="260">
        <f>'[2]Mexico Sun Meal Imports'!HK$290</f>
        <v>0.17299999999999999</v>
      </c>
      <c r="R135" s="260">
        <f>'[2]Mexico Sun Meal Imports'!HW$290</f>
        <v>0.16500000000000001</v>
      </c>
      <c r="S135" s="260">
        <f>'[2]Mexico Sun Meal Imports'!II$290</f>
        <v>0.09</v>
      </c>
      <c r="T135" s="260">
        <f>'[2]Mexico Sun Meal Imports'!IU$290</f>
        <v>0</v>
      </c>
      <c r="U135" s="260">
        <f>'[2]Mexico Sun Meal Imports'!JG$290</f>
        <v>0</v>
      </c>
      <c r="V135" s="260">
        <f>'[2]Mexico Sun Meal Imports'!JS$290</f>
        <v>0</v>
      </c>
      <c r="W135" s="260">
        <f>'[2]Mexico Sun Meal Imports'!KE$290</f>
        <v>0</v>
      </c>
      <c r="X135" s="260">
        <f>'[2]Mexico Sun Meal Imports'!KQ$290</f>
        <v>0</v>
      </c>
      <c r="Y135" s="260">
        <f>'[2]Mexico Sun Meal Imports'!LC$290</f>
        <v>0</v>
      </c>
      <c r="Z135" s="260">
        <f>'[2]Mexico Sun Meal Imports'!LO$290</f>
        <v>0</v>
      </c>
      <c r="AA135" s="260">
        <f>'[2]Mexico Sun Meal Imports'!MA$290</f>
        <v>0</v>
      </c>
      <c r="AB135" s="260">
        <f>'[2]Mexico Sun Meal Imports'!MM$290</f>
        <v>0</v>
      </c>
      <c r="AC135" s="260">
        <f>'[2]Mexico Sun Meal Imports'!MY$290</f>
        <v>0</v>
      </c>
      <c r="AD135" s="261">
        <f t="shared" si="77"/>
        <v>0</v>
      </c>
      <c r="AE135" s="261">
        <f t="shared" si="75"/>
        <v>0</v>
      </c>
    </row>
    <row r="136" spans="1:31">
      <c r="A136" s="240" t="s">
        <v>235</v>
      </c>
      <c r="B136" s="241">
        <f t="shared" si="76"/>
        <v>0.94390108876176404</v>
      </c>
      <c r="C136" s="242">
        <f>'[2]Mexico Sun Meal Imports'!AZ$290</f>
        <v>1.8360000000000001</v>
      </c>
      <c r="D136" s="260">
        <f>'[2]Mexico Sun Meal Imports'!BL$290</f>
        <v>0.14799999999999999</v>
      </c>
      <c r="E136" s="260">
        <f>'[2]Mexico Sun Meal Imports'!BX$290</f>
        <v>0</v>
      </c>
      <c r="F136" s="260">
        <f>'[2]Mexico Sun Meal Imports'!CJ$290</f>
        <v>0.53400000000000003</v>
      </c>
      <c r="G136" s="260">
        <f>'[2]Mexico Sun Meal Imports'!CV$290</f>
        <v>0.95899999999999996</v>
      </c>
      <c r="H136" s="260">
        <f>'[2]Mexico Sun Meal Imports'!DH$290</f>
        <v>7.8E-2</v>
      </c>
      <c r="I136" s="260">
        <f>'[2]Mexico Sun Meal Imports'!DT$290</f>
        <v>1.113</v>
      </c>
      <c r="J136" s="260">
        <f>'[2]Mexico Sun Meal Imports'!EF$290</f>
        <v>0.158</v>
      </c>
      <c r="K136" s="260">
        <f>'[2]Mexico Sun Meal Imports'!ER$290</f>
        <v>4.4999999999999998E-2</v>
      </c>
      <c r="L136" s="260">
        <f>'[2]Mexico Sun Meal Imports'!FD$290</f>
        <v>2.1999999999999999E-2</v>
      </c>
      <c r="M136" s="260">
        <f>'[2]Mexico Sun Meal Imports'!FP$290</f>
        <v>0.26700000000000002</v>
      </c>
      <c r="N136" s="260">
        <f>'[2]Mexico Sun Meal Imports'!GB$290</f>
        <v>0.25</v>
      </c>
      <c r="O136" s="260">
        <f>'[2]Mexico Sun Meal Imports'!GN$290</f>
        <v>0.81100000000000005</v>
      </c>
      <c r="P136" s="260">
        <f>'[2]Mexico Sun Meal Imports'!GZ$290</f>
        <v>0.26500000000000001</v>
      </c>
      <c r="Q136" s="260">
        <f>'[2]Mexico Sun Meal Imports'!HL$290</f>
        <v>0.33300000000000002</v>
      </c>
      <c r="R136" s="260">
        <f>'[2]Mexico Sun Meal Imports'!HX$290</f>
        <v>0</v>
      </c>
      <c r="S136" s="260">
        <f>'[2]Mexico Sun Meal Imports'!IJ$290</f>
        <v>0</v>
      </c>
      <c r="T136" s="260">
        <f>'[2]Mexico Sun Meal Imports'!IV$290</f>
        <v>0</v>
      </c>
      <c r="U136" s="260">
        <f>'[2]Mexico Sun Meal Imports'!JH$290</f>
        <v>0</v>
      </c>
      <c r="V136" s="260">
        <f>'[2]Mexico Sun Meal Imports'!JT$290</f>
        <v>0</v>
      </c>
      <c r="W136" s="260">
        <f>'[2]Mexico Sun Meal Imports'!KF$290</f>
        <v>0</v>
      </c>
      <c r="X136" s="260">
        <f>'[2]Mexico Sun Meal Imports'!KR$290</f>
        <v>0</v>
      </c>
      <c r="Y136" s="260">
        <f>'[2]Mexico Sun Meal Imports'!LD$290</f>
        <v>0</v>
      </c>
      <c r="Z136" s="260">
        <f>'[2]Mexico Sun Meal Imports'!LP$290</f>
        <v>0</v>
      </c>
      <c r="AA136" s="260">
        <f>'[2]Mexico Sun Meal Imports'!MB$290</f>
        <v>0</v>
      </c>
      <c r="AB136" s="260">
        <f>'[2]Mexico Sun Meal Imports'!MN$290</f>
        <v>0</v>
      </c>
      <c r="AC136" s="260">
        <f>'[2]Mexico Sun Meal Imports'!MZ$290</f>
        <v>0</v>
      </c>
      <c r="AD136" s="261">
        <f t="shared" si="77"/>
        <v>0</v>
      </c>
      <c r="AE136" s="261">
        <f t="shared" si="75"/>
        <v>0</v>
      </c>
    </row>
    <row r="137" spans="1:31">
      <c r="A137" s="240" t="s">
        <v>236</v>
      </c>
      <c r="B137" s="241">
        <f t="shared" si="76"/>
        <v>1.5853478501568552</v>
      </c>
      <c r="C137" s="242">
        <f>'[2]Mexico Sun Meal Imports'!BA$290</f>
        <v>1.2929999999999999</v>
      </c>
      <c r="D137" s="260">
        <f>'[2]Mexico Sun Meal Imports'!BM$290</f>
        <v>0</v>
      </c>
      <c r="E137" s="260">
        <f>'[2]Mexico Sun Meal Imports'!BY$290</f>
        <v>0</v>
      </c>
      <c r="F137" s="260">
        <f>'[2]Mexico Sun Meal Imports'!CK$290</f>
        <v>0</v>
      </c>
      <c r="G137" s="260">
        <f>'[2]Mexico Sun Meal Imports'!CW$290</f>
        <v>0</v>
      </c>
      <c r="H137" s="260">
        <f>'[2]Mexico Sun Meal Imports'!DI$290</f>
        <v>0</v>
      </c>
      <c r="I137" s="260">
        <f>'[2]Mexico Sun Meal Imports'!DU$290</f>
        <v>0.67</v>
      </c>
      <c r="J137" s="260">
        <f>'[2]Mexico Sun Meal Imports'!EG$290</f>
        <v>0.32800000000000001</v>
      </c>
      <c r="K137" s="260">
        <f>'[2]Mexico Sun Meal Imports'!ES$290</f>
        <v>0.106</v>
      </c>
      <c r="L137" s="260">
        <f>'[2]Mexico Sun Meal Imports'!FE$290</f>
        <v>0.372</v>
      </c>
      <c r="M137" s="260">
        <f>'[2]Mexico Sun Meal Imports'!FQ$290</f>
        <v>9.4E-2</v>
      </c>
      <c r="N137" s="260">
        <f>'[2]Mexico Sun Meal Imports'!GC$290</f>
        <v>0.42399999999999999</v>
      </c>
      <c r="O137" s="260">
        <f>'[2]Mexico Sun Meal Imports'!GO$290</f>
        <v>1.347</v>
      </c>
      <c r="P137" s="260">
        <f>'[2]Mexico Sun Meal Imports'!HA$290</f>
        <v>0.70899999999999996</v>
      </c>
      <c r="Q137" s="260">
        <f>'[2]Mexico Sun Meal Imports'!HM$290</f>
        <v>0</v>
      </c>
      <c r="R137" s="260">
        <f>'[2]Mexico Sun Meal Imports'!HY$290</f>
        <v>0.16600000000000001</v>
      </c>
      <c r="S137" s="260">
        <f>'[2]Mexico Sun Meal Imports'!IK$290</f>
        <v>0</v>
      </c>
      <c r="T137" s="260">
        <f>'[2]Mexico Sun Meal Imports'!IW$290</f>
        <v>0</v>
      </c>
      <c r="U137" s="260">
        <f>'[2]Mexico Sun Meal Imports'!JI$290</f>
        <v>0</v>
      </c>
      <c r="V137" s="260">
        <f>'[2]Mexico Sun Meal Imports'!JU$290</f>
        <v>0</v>
      </c>
      <c r="W137" s="260">
        <f>'[2]Mexico Sun Meal Imports'!KG$290</f>
        <v>0</v>
      </c>
      <c r="X137" s="260">
        <f>'[2]Mexico Sun Meal Imports'!KS$290</f>
        <v>0</v>
      </c>
      <c r="Y137" s="260">
        <f>'[2]Mexico Sun Meal Imports'!LE$290</f>
        <v>0</v>
      </c>
      <c r="Z137" s="260">
        <f>'[2]Mexico Sun Meal Imports'!LQ$290</f>
        <v>0</v>
      </c>
      <c r="AA137" s="260">
        <f>'[2]Mexico Sun Meal Imports'!MC$290</f>
        <v>0</v>
      </c>
      <c r="AB137" s="260">
        <f>'[2]Mexico Sun Meal Imports'!MO$290</f>
        <v>0</v>
      </c>
      <c r="AC137" s="260">
        <f>'[2]Mexico Sun Meal Imports'!NA$290</f>
        <v>0</v>
      </c>
      <c r="AD137" s="261">
        <f t="shared" si="77"/>
        <v>0</v>
      </c>
      <c r="AE137" s="261">
        <f t="shared" si="75"/>
        <v>0</v>
      </c>
    </row>
    <row r="138" spans="1:31">
      <c r="A138" s="240" t="s">
        <v>237</v>
      </c>
      <c r="B138" s="241">
        <f t="shared" si="76"/>
        <v>1.205080888232761</v>
      </c>
      <c r="C138" s="242">
        <f>'[2]Mexico Sun Meal Imports'!BB$290</f>
        <v>0.80700000000000005</v>
      </c>
      <c r="D138" s="260">
        <f>'[2]Mexico Sun Meal Imports'!BN$290</f>
        <v>0.14599999999999999</v>
      </c>
      <c r="E138" s="260">
        <f>'[2]Mexico Sun Meal Imports'!BZ$290</f>
        <v>0</v>
      </c>
      <c r="F138" s="260">
        <f>'[2]Mexico Sun Meal Imports'!CL$290</f>
        <v>0</v>
      </c>
      <c r="G138" s="260">
        <f>'[2]Mexico Sun Meal Imports'!CX$290</f>
        <v>0</v>
      </c>
      <c r="H138" s="260">
        <f>'[2]Mexico Sun Meal Imports'!DJ$290</f>
        <v>7.3999999999999996E-2</v>
      </c>
      <c r="I138" s="260">
        <f>'[2]Mexico Sun Meal Imports'!DV$290</f>
        <v>0</v>
      </c>
      <c r="J138" s="260">
        <f>'[2]Mexico Sun Meal Imports'!EH$290</f>
        <v>0</v>
      </c>
      <c r="K138" s="260">
        <f>'[2]Mexico Sun Meal Imports'!ET$290</f>
        <v>2.3E-2</v>
      </c>
      <c r="L138" s="260">
        <f>'[2]Mexico Sun Meal Imports'!FF$290</f>
        <v>0.152</v>
      </c>
      <c r="M138" s="260">
        <f>'[2]Mexico Sun Meal Imports'!FR$290</f>
        <v>0.73899999999999999</v>
      </c>
      <c r="N138" s="260">
        <f>'[2]Mexico Sun Meal Imports'!GD$290</f>
        <v>0.438</v>
      </c>
      <c r="O138" s="260">
        <f>'[2]Mexico Sun Meal Imports'!GP$290</f>
        <v>0.42899999999999999</v>
      </c>
      <c r="P138" s="260">
        <f>'[2]Mexico Sun Meal Imports'!HB$290</f>
        <v>0.16200000000000001</v>
      </c>
      <c r="Q138" s="260">
        <f>'[2]Mexico Sun Meal Imports'!HN$290</f>
        <v>0.158</v>
      </c>
      <c r="R138" s="260">
        <f>'[2]Mexico Sun Meal Imports'!HZ$290</f>
        <v>0.251</v>
      </c>
      <c r="S138" s="260">
        <f>'[2]Mexico Sun Meal Imports'!IL$290</f>
        <v>0</v>
      </c>
      <c r="T138" s="260">
        <f>'[2]Mexico Sun Meal Imports'!IX$290</f>
        <v>0</v>
      </c>
      <c r="U138" s="260">
        <f>'[2]Mexico Sun Meal Imports'!JJ$290</f>
        <v>0</v>
      </c>
      <c r="V138" s="260">
        <f>'[2]Mexico Sun Meal Imports'!JV$290</f>
        <v>0</v>
      </c>
      <c r="W138" s="260">
        <f>'[2]Mexico Sun Meal Imports'!KH$290</f>
        <v>0</v>
      </c>
      <c r="X138" s="260">
        <f>'[2]Mexico Sun Meal Imports'!KT$290</f>
        <v>0</v>
      </c>
      <c r="Y138" s="260">
        <f>'[2]Mexico Sun Meal Imports'!LF$290</f>
        <v>0</v>
      </c>
      <c r="Z138" s="260">
        <f>'[2]Mexico Sun Meal Imports'!LR$290</f>
        <v>0</v>
      </c>
      <c r="AA138" s="260">
        <f>'[2]Mexico Sun Meal Imports'!MD$290</f>
        <v>0</v>
      </c>
      <c r="AB138" s="260">
        <f>'[2]Mexico Sun Meal Imports'!MP$290</f>
        <v>0</v>
      </c>
      <c r="AC138" s="260">
        <f>'[2]Mexico Sun Meal Imports'!NB$290</f>
        <v>0</v>
      </c>
      <c r="AD138" s="261">
        <f t="shared" si="77"/>
        <v>0</v>
      </c>
      <c r="AE138" s="261">
        <f t="shared" si="75"/>
        <v>0</v>
      </c>
    </row>
    <row r="139" spans="1:31">
      <c r="A139" s="240" t="s">
        <v>238</v>
      </c>
      <c r="B139" s="241">
        <f t="shared" si="76"/>
        <v>0.19081011256689426</v>
      </c>
      <c r="C139" s="242">
        <f>'[2]Mexico Sun Meal Imports'!BC$290</f>
        <v>0</v>
      </c>
      <c r="D139" s="260">
        <f>'[2]Mexico Sun Meal Imports'!BO$290</f>
        <v>0</v>
      </c>
      <c r="E139" s="260">
        <f>'[2]Mexico Sun Meal Imports'!CA$290</f>
        <v>0</v>
      </c>
      <c r="F139" s="260">
        <f>'[2]Mexico Sun Meal Imports'!CM$290</f>
        <v>0</v>
      </c>
      <c r="G139" s="260">
        <f>'[2]Mexico Sun Meal Imports'!CY$290</f>
        <v>0</v>
      </c>
      <c r="H139" s="260">
        <f>'[2]Mexico Sun Meal Imports'!DK$290</f>
        <v>0</v>
      </c>
      <c r="I139" s="260">
        <f>'[2]Mexico Sun Meal Imports'!DW$290</f>
        <v>0</v>
      </c>
      <c r="J139" s="260">
        <f>'[2]Mexico Sun Meal Imports'!EI$290</f>
        <v>0</v>
      </c>
      <c r="K139" s="260">
        <f>'[2]Mexico Sun Meal Imports'!EU$290</f>
        <v>2.3E-2</v>
      </c>
      <c r="L139" s="260">
        <f>'[2]Mexico Sun Meal Imports'!FG$290</f>
        <v>7.5999999999999998E-2</v>
      </c>
      <c r="M139" s="260">
        <f>'[2]Mexico Sun Meal Imports'!FS$290</f>
        <v>9.1999999999999998E-2</v>
      </c>
      <c r="N139" s="260">
        <f>'[2]Mexico Sun Meal Imports'!GE$290</f>
        <v>0</v>
      </c>
      <c r="O139" s="260">
        <f>'[2]Mexico Sun Meal Imports'!GQ$290</f>
        <v>9.0999999999999998E-2</v>
      </c>
      <c r="P139" s="260">
        <f>'[2]Mexico Sun Meal Imports'!HC$290</f>
        <v>0.33800000000000002</v>
      </c>
      <c r="Q139" s="260">
        <f>'[2]Mexico Sun Meal Imports'!HO$290</f>
        <v>0.33600000000000002</v>
      </c>
      <c r="R139" s="260">
        <f>'[2]Mexico Sun Meal Imports'!IA$290</f>
        <v>0.16300000000000001</v>
      </c>
      <c r="S139" s="260">
        <f>'[2]Mexico Sun Meal Imports'!IM$290</f>
        <v>0</v>
      </c>
      <c r="T139" s="260">
        <f>'[2]Mexico Sun Meal Imports'!IY$290</f>
        <v>0</v>
      </c>
      <c r="U139" s="260">
        <f>'[2]Mexico Sun Meal Imports'!JK$290</f>
        <v>0</v>
      </c>
      <c r="V139" s="260">
        <f>'[2]Mexico Sun Meal Imports'!JW$290</f>
        <v>0</v>
      </c>
      <c r="W139" s="260">
        <f>'[2]Mexico Sun Meal Imports'!KI$290</f>
        <v>0</v>
      </c>
      <c r="X139" s="260">
        <f>'[2]Mexico Sun Meal Imports'!KU$290</f>
        <v>0</v>
      </c>
      <c r="Y139" s="260">
        <f>'[2]Mexico Sun Meal Imports'!LG$290</f>
        <v>0</v>
      </c>
      <c r="Z139" s="260">
        <f>'[2]Mexico Sun Meal Imports'!LS$290</f>
        <v>0</v>
      </c>
      <c r="AA139" s="260">
        <f>'[2]Mexico Sun Meal Imports'!ME$290</f>
        <v>0</v>
      </c>
      <c r="AB139" s="260">
        <f>'[2]Mexico Sun Meal Imports'!MQ$290</f>
        <v>0</v>
      </c>
      <c r="AC139" s="260">
        <f>'[2]Mexico Sun Meal Imports'!NC$290</f>
        <v>0</v>
      </c>
      <c r="AD139" s="261">
        <f t="shared" ref="AD139:AE139" si="78">AD140-SUM(AD128:AD138)</f>
        <v>0</v>
      </c>
      <c r="AE139" s="261">
        <f t="shared" si="78"/>
        <v>0</v>
      </c>
    </row>
    <row r="140" spans="1:31" ht="15.75" thickBot="1">
      <c r="A140" s="240" t="s">
        <v>242</v>
      </c>
      <c r="B140" s="242">
        <f t="shared" ref="B140:C140" si="79">B24</f>
        <v>11</v>
      </c>
      <c r="C140" s="242">
        <f t="shared" si="79"/>
        <v>25</v>
      </c>
      <c r="D140" s="260">
        <f t="shared" ref="D140:AB140" si="80">SUM(D128:D139)</f>
        <v>2.0259999999999998</v>
      </c>
      <c r="E140" s="260">
        <f t="shared" si="80"/>
        <v>2.919</v>
      </c>
      <c r="F140" s="260">
        <f t="shared" si="80"/>
        <v>2.6669999999999998</v>
      </c>
      <c r="G140" s="260">
        <f t="shared" si="80"/>
        <v>11.202999999999999</v>
      </c>
      <c r="H140" s="260">
        <f t="shared" si="80"/>
        <v>4.4420000000000002</v>
      </c>
      <c r="I140" s="260">
        <f t="shared" si="80"/>
        <v>2.7309999999999999</v>
      </c>
      <c r="J140" s="260">
        <f t="shared" si="80"/>
        <v>2.1879999999999997</v>
      </c>
      <c r="K140" s="260">
        <f t="shared" si="80"/>
        <v>1.3039999999999998</v>
      </c>
      <c r="L140" s="260">
        <f t="shared" si="80"/>
        <v>1.4949999999999999</v>
      </c>
      <c r="M140" s="260">
        <f t="shared" si="80"/>
        <v>2.915</v>
      </c>
      <c r="N140" s="260">
        <f t="shared" si="80"/>
        <v>4.3410000000000002</v>
      </c>
      <c r="O140" s="260">
        <f t="shared" si="80"/>
        <v>6.2020000000000008</v>
      </c>
      <c r="P140" s="260">
        <f t="shared" si="80"/>
        <v>3.8520000000000003</v>
      </c>
      <c r="Q140" s="260">
        <f t="shared" si="80"/>
        <v>2.4459999999999997</v>
      </c>
      <c r="R140" s="260">
        <f t="shared" si="80"/>
        <v>1.1910000000000001</v>
      </c>
      <c r="S140" s="260">
        <f t="shared" si="80"/>
        <v>0.44999999999999996</v>
      </c>
      <c r="T140" s="260">
        <f t="shared" si="80"/>
        <v>0</v>
      </c>
      <c r="U140" s="260">
        <f t="shared" si="80"/>
        <v>0</v>
      </c>
      <c r="V140" s="260">
        <f t="shared" si="80"/>
        <v>0</v>
      </c>
      <c r="W140" s="260">
        <f t="shared" si="80"/>
        <v>0</v>
      </c>
      <c r="X140" s="260">
        <f t="shared" si="80"/>
        <v>0.18</v>
      </c>
      <c r="Y140" s="260">
        <f t="shared" si="80"/>
        <v>8.2000000000000003E-2</v>
      </c>
      <c r="Z140" s="260">
        <f t="shared" si="80"/>
        <v>0</v>
      </c>
      <c r="AA140" s="260">
        <f t="shared" si="80"/>
        <v>0</v>
      </c>
      <c r="AB140" s="260">
        <f t="shared" si="80"/>
        <v>0</v>
      </c>
      <c r="AC140" s="260">
        <f>SUM(AC128:AC139)</f>
        <v>0</v>
      </c>
      <c r="AD140" s="261">
        <f t="shared" ref="AD140:AE140" si="81">AD24</f>
        <v>0</v>
      </c>
      <c r="AE140" s="261">
        <f t="shared" si="81"/>
        <v>0</v>
      </c>
    </row>
    <row r="141" spans="1:31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  <c r="AE141" s="248"/>
    </row>
    <row r="142" spans="1:31" ht="15.75" thickBot="1">
      <c r="A142" s="235" t="s">
        <v>257</v>
      </c>
    </row>
    <row r="143" spans="1:31" ht="15.75" thickBot="1">
      <c r="A143" s="236"/>
      <c r="B143" s="237" t="str">
        <f>B$2</f>
        <v xml:space="preserve">93/94 </v>
      </c>
      <c r="C143" s="237" t="str">
        <f t="shared" ref="C143:AE143" si="82">C$2</f>
        <v xml:space="preserve">94/95 </v>
      </c>
      <c r="D143" s="237" t="str">
        <f t="shared" si="82"/>
        <v xml:space="preserve">95/96 </v>
      </c>
      <c r="E143" s="237" t="str">
        <f t="shared" si="82"/>
        <v xml:space="preserve">96/97 </v>
      </c>
      <c r="F143" s="237" t="str">
        <f t="shared" si="82"/>
        <v xml:space="preserve">97/98 </v>
      </c>
      <c r="G143" s="237" t="str">
        <f t="shared" si="82"/>
        <v xml:space="preserve">98/99 </v>
      </c>
      <c r="H143" s="237" t="str">
        <f t="shared" si="82"/>
        <v xml:space="preserve">99/00 </v>
      </c>
      <c r="I143" s="237" t="str">
        <f t="shared" si="82"/>
        <v xml:space="preserve">00/01 </v>
      </c>
      <c r="J143" s="237" t="str">
        <f t="shared" si="82"/>
        <v xml:space="preserve">01/02 </v>
      </c>
      <c r="K143" s="237" t="str">
        <f t="shared" si="82"/>
        <v xml:space="preserve">02/03 </v>
      </c>
      <c r="L143" s="237" t="str">
        <f t="shared" si="82"/>
        <v xml:space="preserve">03/04 </v>
      </c>
      <c r="M143" s="237" t="str">
        <f t="shared" si="82"/>
        <v xml:space="preserve">04/05 </v>
      </c>
      <c r="N143" s="237" t="str">
        <f t="shared" si="82"/>
        <v xml:space="preserve">05/06 </v>
      </c>
      <c r="O143" s="237" t="str">
        <f t="shared" si="82"/>
        <v xml:space="preserve">06/07 </v>
      </c>
      <c r="P143" s="237" t="str">
        <f t="shared" si="82"/>
        <v xml:space="preserve">07/08 </v>
      </c>
      <c r="Q143" s="237" t="str">
        <f t="shared" si="82"/>
        <v xml:space="preserve">08/09 </v>
      </c>
      <c r="R143" s="237" t="str">
        <f t="shared" si="82"/>
        <v xml:space="preserve">09/10 </v>
      </c>
      <c r="S143" s="237" t="str">
        <f t="shared" si="82"/>
        <v xml:space="preserve">10/11 </v>
      </c>
      <c r="T143" s="237" t="str">
        <f t="shared" si="82"/>
        <v xml:space="preserve">11/12 </v>
      </c>
      <c r="U143" s="237" t="str">
        <f t="shared" si="82"/>
        <v xml:space="preserve">12/13 </v>
      </c>
      <c r="V143" s="237" t="str">
        <f t="shared" si="82"/>
        <v xml:space="preserve">13/14 </v>
      </c>
      <c r="W143" s="237" t="str">
        <f t="shared" si="82"/>
        <v xml:space="preserve">14/15 </v>
      </c>
      <c r="X143" s="237" t="str">
        <f t="shared" si="82"/>
        <v xml:space="preserve">15/16 </v>
      </c>
      <c r="Y143" s="237" t="str">
        <f t="shared" si="82"/>
        <v xml:space="preserve">16/17 </v>
      </c>
      <c r="Z143" s="237" t="str">
        <f t="shared" si="82"/>
        <v xml:space="preserve">17/18 </v>
      </c>
      <c r="AA143" s="237" t="str">
        <f t="shared" si="82"/>
        <v xml:space="preserve">18/19 </v>
      </c>
      <c r="AB143" s="237" t="str">
        <f t="shared" si="82"/>
        <v xml:space="preserve">19/20 </v>
      </c>
      <c r="AC143" s="237" t="str">
        <f t="shared" si="82"/>
        <v xml:space="preserve">20/21 </v>
      </c>
      <c r="AD143" s="237" t="str">
        <f t="shared" si="82"/>
        <v xml:space="preserve">21/22 </v>
      </c>
      <c r="AE143" s="237" t="str">
        <f t="shared" si="82"/>
        <v xml:space="preserve">22/23 </v>
      </c>
    </row>
    <row r="144" spans="1:31">
      <c r="A144" s="240" t="s">
        <v>239</v>
      </c>
      <c r="B144" s="241">
        <v>0</v>
      </c>
      <c r="C144" s="241">
        <v>0</v>
      </c>
      <c r="D144" s="260">
        <f>'[2]Mexico Sun Meal Exports'!BD$290</f>
        <v>0</v>
      </c>
      <c r="E144" s="260">
        <f>'[2]Mexico Sun Meal Exports'!BP$290</f>
        <v>0</v>
      </c>
      <c r="F144" s="260">
        <f>'[2]Mexico Sun Meal Exports'!CB$290</f>
        <v>0</v>
      </c>
      <c r="G144" s="260">
        <f>'[2]Mexico Sun Meal Exports'!CN$290</f>
        <v>0</v>
      </c>
      <c r="H144" s="260">
        <f>'[2]Mexico Sun Meal Exports'!CZ$290</f>
        <v>0</v>
      </c>
      <c r="I144" s="260">
        <f>'[2]Mexico Sun Meal Exports'!DL$290</f>
        <v>0</v>
      </c>
      <c r="J144" s="260">
        <f>'[2]Mexico Sun Meal Exports'!DX$290</f>
        <v>0</v>
      </c>
      <c r="K144" s="260">
        <f>'[2]Mexico Sun Meal Exports'!EJ$290</f>
        <v>0</v>
      </c>
      <c r="L144" s="260">
        <f>'[2]Mexico Sun Meal Exports'!EV$290</f>
        <v>0</v>
      </c>
      <c r="M144" s="260">
        <f>'[2]Mexico Sun Meal Exports'!FH$290</f>
        <v>0</v>
      </c>
      <c r="N144" s="260">
        <f>'[2]Mexico Sun Meal Exports'!FT$290</f>
        <v>0</v>
      </c>
      <c r="O144" s="260">
        <f>'[2]Mexico Sun Meal Exports'!GF$290</f>
        <v>0</v>
      </c>
      <c r="P144" s="260">
        <f>'[2]Mexico Sun Meal Exports'!GR$290</f>
        <v>0</v>
      </c>
      <c r="Q144" s="260">
        <f>'[2]Mexico Sun Meal Exports'!HD$290</f>
        <v>0</v>
      </c>
      <c r="R144" s="260">
        <f>'[2]Mexico Sun Meal Exports'!HP$290</f>
        <v>0</v>
      </c>
      <c r="S144" s="260">
        <f>'[2]Mexico Sun Meal Exports'!IB$290</f>
        <v>0</v>
      </c>
      <c r="T144" s="260">
        <f>'[2]Mexico Sun Meal Exports'!IN$290</f>
        <v>0</v>
      </c>
      <c r="U144" s="260">
        <f>'[2]Mexico Sun Meal Exports'!IZ$290</f>
        <v>0</v>
      </c>
      <c r="V144" s="260">
        <f>'[2]Mexico Sun Meal Exports'!JL$290</f>
        <v>0</v>
      </c>
      <c r="W144" s="260">
        <f>'[2]Mexico Sun Meal Exports'!JX$290</f>
        <v>0</v>
      </c>
      <c r="X144" s="260">
        <f>'[2]Mexico Sun Meal Exports'!KJ$290</f>
        <v>0</v>
      </c>
      <c r="Y144" s="260">
        <f>'[2]Mexico Sun Meal Exports'!KV$290</f>
        <v>0</v>
      </c>
      <c r="Z144" s="260">
        <f>'[2]Mexico Sun Meal Exports'!LH$290</f>
        <v>0</v>
      </c>
      <c r="AA144" s="260">
        <f>'[2]Mexico Sun Meal Exports'!LT$290</f>
        <v>0</v>
      </c>
      <c r="AB144" s="260">
        <f>'[2]Mexico Sun Meal Exports'!MF$290</f>
        <v>0</v>
      </c>
      <c r="AC144" s="260">
        <f>'[2]Mexico Sun Meal Exports'!MR$290</f>
        <v>1E-3</v>
      </c>
      <c r="AD144" s="260">
        <f>'[2]Mexico Sun Meal Exports'!ND$290</f>
        <v>2E-3</v>
      </c>
      <c r="AE144" s="261">
        <f t="shared" ref="AD144:AE149" si="83">(SUM(Y144:AC144)/SUM(Y$156:AC$156))*AE$156</f>
        <v>9.0909090909090909E-4</v>
      </c>
    </row>
    <row r="145" spans="1:31">
      <c r="A145" s="240" t="s">
        <v>240</v>
      </c>
      <c r="B145" s="241">
        <v>0</v>
      </c>
      <c r="C145" s="241">
        <v>0</v>
      </c>
      <c r="D145" s="260">
        <f>'[2]Mexico Sun Meal Exports'!BE$290</f>
        <v>0</v>
      </c>
      <c r="E145" s="260">
        <f>'[2]Mexico Sun Meal Exports'!BQ$290</f>
        <v>0</v>
      </c>
      <c r="F145" s="260">
        <f>'[2]Mexico Sun Meal Exports'!CC$290</f>
        <v>0</v>
      </c>
      <c r="G145" s="260">
        <f>'[2]Mexico Sun Meal Exports'!CO$290</f>
        <v>0</v>
      </c>
      <c r="H145" s="260">
        <f>'[2]Mexico Sun Meal Exports'!DA$290</f>
        <v>0</v>
      </c>
      <c r="I145" s="260">
        <f>'[2]Mexico Sun Meal Exports'!DM$290</f>
        <v>0</v>
      </c>
      <c r="J145" s="260">
        <f>'[2]Mexico Sun Meal Exports'!DY$290</f>
        <v>0</v>
      </c>
      <c r="K145" s="260">
        <f>'[2]Mexico Sun Meal Exports'!EK$290</f>
        <v>0</v>
      </c>
      <c r="L145" s="260">
        <f>'[2]Mexico Sun Meal Exports'!EW$290</f>
        <v>0</v>
      </c>
      <c r="M145" s="260">
        <f>'[2]Mexico Sun Meal Exports'!FI$290</f>
        <v>0</v>
      </c>
      <c r="N145" s="260">
        <f>'[2]Mexico Sun Meal Exports'!FU$290</f>
        <v>0</v>
      </c>
      <c r="O145" s="260">
        <f>'[2]Mexico Sun Meal Exports'!GG$290</f>
        <v>0</v>
      </c>
      <c r="P145" s="260">
        <f>'[2]Mexico Sun Meal Exports'!GS$290</f>
        <v>0</v>
      </c>
      <c r="Q145" s="260">
        <f>'[2]Mexico Sun Meal Exports'!HE$290</f>
        <v>0</v>
      </c>
      <c r="R145" s="260">
        <f>'[2]Mexico Sun Meal Exports'!HQ$290</f>
        <v>0</v>
      </c>
      <c r="S145" s="260">
        <f>'[2]Mexico Sun Meal Exports'!IC$290</f>
        <v>0</v>
      </c>
      <c r="T145" s="260">
        <f>'[2]Mexico Sun Meal Exports'!IO$290</f>
        <v>0</v>
      </c>
      <c r="U145" s="260">
        <f>'[2]Mexico Sun Meal Exports'!JA$290</f>
        <v>0</v>
      </c>
      <c r="V145" s="260">
        <f>'[2]Mexico Sun Meal Exports'!JM$290</f>
        <v>0</v>
      </c>
      <c r="W145" s="260">
        <f>'[2]Mexico Sun Meal Exports'!JY$290</f>
        <v>0</v>
      </c>
      <c r="X145" s="260">
        <f>'[2]Mexico Sun Meal Exports'!KK$290</f>
        <v>0</v>
      </c>
      <c r="Y145" s="260">
        <f>'[2]Mexico Sun Meal Exports'!KW$290</f>
        <v>0</v>
      </c>
      <c r="Z145" s="260">
        <f>'[2]Mexico Sun Meal Exports'!LI$290</f>
        <v>0</v>
      </c>
      <c r="AA145" s="260">
        <f>'[2]Mexico Sun Meal Exports'!LU$290</f>
        <v>0</v>
      </c>
      <c r="AB145" s="260">
        <f>'[2]Mexico Sun Meal Exports'!MG$290</f>
        <v>0</v>
      </c>
      <c r="AC145" s="260">
        <f>'[2]Mexico Sun Meal Exports'!MS$290</f>
        <v>2E-3</v>
      </c>
      <c r="AD145" s="260">
        <f>'[2]Mexico Sun Meal Exports'!NE$290</f>
        <v>2E-3</v>
      </c>
      <c r="AE145" s="261">
        <f t="shared" si="83"/>
        <v>1.8181818181818182E-3</v>
      </c>
    </row>
    <row r="146" spans="1:31">
      <c r="A146" s="240" t="s">
        <v>241</v>
      </c>
      <c r="B146" s="241">
        <v>0</v>
      </c>
      <c r="C146" s="241">
        <v>0</v>
      </c>
      <c r="D146" s="260">
        <f>'[2]Mexico Sun Meal Exports'!BF$290</f>
        <v>0</v>
      </c>
      <c r="E146" s="260">
        <f>'[2]Mexico Sun Meal Exports'!BR$290</f>
        <v>0</v>
      </c>
      <c r="F146" s="260">
        <f>'[2]Mexico Sun Meal Exports'!CD$290</f>
        <v>0</v>
      </c>
      <c r="G146" s="260">
        <f>'[2]Mexico Sun Meal Exports'!CP$290</f>
        <v>0</v>
      </c>
      <c r="H146" s="260">
        <f>'[2]Mexico Sun Meal Exports'!DB$290</f>
        <v>0</v>
      </c>
      <c r="I146" s="260">
        <f>'[2]Mexico Sun Meal Exports'!DN$290</f>
        <v>0</v>
      </c>
      <c r="J146" s="260">
        <f>'[2]Mexico Sun Meal Exports'!DZ$290</f>
        <v>0</v>
      </c>
      <c r="K146" s="260">
        <f>'[2]Mexico Sun Meal Exports'!EL$290</f>
        <v>0</v>
      </c>
      <c r="L146" s="260">
        <f>'[2]Mexico Sun Meal Exports'!EX$290</f>
        <v>0</v>
      </c>
      <c r="M146" s="260">
        <f>'[2]Mexico Sun Meal Exports'!FJ$290</f>
        <v>0</v>
      </c>
      <c r="N146" s="260">
        <f>'[2]Mexico Sun Meal Exports'!FV$290</f>
        <v>0</v>
      </c>
      <c r="O146" s="260">
        <f>'[2]Mexico Sun Meal Exports'!GH$290</f>
        <v>0</v>
      </c>
      <c r="P146" s="260">
        <f>'[2]Mexico Sun Meal Exports'!GT$290</f>
        <v>0</v>
      </c>
      <c r="Q146" s="260">
        <f>'[2]Mexico Sun Meal Exports'!HF$290</f>
        <v>0</v>
      </c>
      <c r="R146" s="260">
        <f>'[2]Mexico Sun Meal Exports'!HR$290</f>
        <v>0</v>
      </c>
      <c r="S146" s="260">
        <f>'[2]Mexico Sun Meal Exports'!ID$290</f>
        <v>0</v>
      </c>
      <c r="T146" s="260">
        <f>'[2]Mexico Sun Meal Exports'!IP$290</f>
        <v>0</v>
      </c>
      <c r="U146" s="260">
        <f>'[2]Mexico Sun Meal Exports'!JB$290</f>
        <v>0</v>
      </c>
      <c r="V146" s="260">
        <f>'[2]Mexico Sun Meal Exports'!JN$290</f>
        <v>0</v>
      </c>
      <c r="W146" s="260">
        <f>'[2]Mexico Sun Meal Exports'!JZ$290</f>
        <v>0</v>
      </c>
      <c r="X146" s="260">
        <f>'[2]Mexico Sun Meal Exports'!KL$290</f>
        <v>0</v>
      </c>
      <c r="Y146" s="260">
        <f>'[2]Mexico Sun Meal Exports'!KX$290</f>
        <v>0</v>
      </c>
      <c r="Z146" s="260">
        <f>'[2]Mexico Sun Meal Exports'!LJ$290</f>
        <v>0</v>
      </c>
      <c r="AA146" s="260">
        <f>'[2]Mexico Sun Meal Exports'!LV$290</f>
        <v>0</v>
      </c>
      <c r="AB146" s="260">
        <f>'[2]Mexico Sun Meal Exports'!MH$290</f>
        <v>1E-3</v>
      </c>
      <c r="AC146" s="260">
        <f>'[2]Mexico Sun Meal Exports'!MT$290</f>
        <v>2E-3</v>
      </c>
      <c r="AD146" s="261">
        <f t="shared" si="83"/>
        <v>3.3333333333333331E-3</v>
      </c>
      <c r="AE146" s="261">
        <f t="shared" si="83"/>
        <v>2.7272727272727275E-3</v>
      </c>
    </row>
    <row r="147" spans="1:31">
      <c r="A147" s="240" t="s">
        <v>231</v>
      </c>
      <c r="B147" s="241">
        <v>0</v>
      </c>
      <c r="C147" s="242">
        <f>'[2]Mexico Sun Meal Exports'!AU$290</f>
        <v>0</v>
      </c>
      <c r="D147" s="260">
        <f>'[2]Mexico Sun Meal Exports'!BG$290</f>
        <v>0</v>
      </c>
      <c r="E147" s="260">
        <f>'[2]Mexico Sun Meal Exports'!BS$290</f>
        <v>0</v>
      </c>
      <c r="F147" s="260">
        <f>'[2]Mexico Sun Meal Exports'!CE$290</f>
        <v>0</v>
      </c>
      <c r="G147" s="260">
        <f>'[2]Mexico Sun Meal Exports'!CQ$290</f>
        <v>0</v>
      </c>
      <c r="H147" s="260">
        <f>'[2]Mexico Sun Meal Exports'!DC$290</f>
        <v>0</v>
      </c>
      <c r="I147" s="260">
        <f>'[2]Mexico Sun Meal Exports'!DO$290</f>
        <v>0</v>
      </c>
      <c r="J147" s="260">
        <f>'[2]Mexico Sun Meal Exports'!EA$290</f>
        <v>0</v>
      </c>
      <c r="K147" s="260">
        <f>'[2]Mexico Sun Meal Exports'!EM$290</f>
        <v>0</v>
      </c>
      <c r="L147" s="260">
        <f>'[2]Mexico Sun Meal Exports'!EY$290</f>
        <v>0</v>
      </c>
      <c r="M147" s="260">
        <f>'[2]Mexico Sun Meal Exports'!FK$290</f>
        <v>0</v>
      </c>
      <c r="N147" s="260">
        <f>'[2]Mexico Sun Meal Exports'!FW$290</f>
        <v>0</v>
      </c>
      <c r="O147" s="260">
        <f>'[2]Mexico Sun Meal Exports'!GI$290</f>
        <v>0</v>
      </c>
      <c r="P147" s="260">
        <f>'[2]Mexico Sun Meal Exports'!GU$290</f>
        <v>0</v>
      </c>
      <c r="Q147" s="260">
        <f>'[2]Mexico Sun Meal Exports'!HG$290</f>
        <v>0</v>
      </c>
      <c r="R147" s="260">
        <f>'[2]Mexico Sun Meal Exports'!HS$290</f>
        <v>0</v>
      </c>
      <c r="S147" s="260">
        <f>'[2]Mexico Sun Meal Exports'!IE$290</f>
        <v>0</v>
      </c>
      <c r="T147" s="260">
        <f>'[2]Mexico Sun Meal Exports'!IQ$290</f>
        <v>0</v>
      </c>
      <c r="U147" s="260">
        <f>'[2]Mexico Sun Meal Exports'!JC$290</f>
        <v>0</v>
      </c>
      <c r="V147" s="260">
        <f>'[2]Mexico Sun Meal Exports'!JO$290</f>
        <v>0</v>
      </c>
      <c r="W147" s="260">
        <f>'[2]Mexico Sun Meal Exports'!KA$290</f>
        <v>0</v>
      </c>
      <c r="X147" s="260">
        <f>'[2]Mexico Sun Meal Exports'!KM$290</f>
        <v>0</v>
      </c>
      <c r="Y147" s="260">
        <f>'[2]Mexico Sun Meal Exports'!KY$290</f>
        <v>0</v>
      </c>
      <c r="Z147" s="260">
        <f>'[2]Mexico Sun Meal Exports'!LK$290</f>
        <v>0</v>
      </c>
      <c r="AA147" s="260">
        <f>'[2]Mexico Sun Meal Exports'!LW$290</f>
        <v>0</v>
      </c>
      <c r="AB147" s="260">
        <f>'[2]Mexico Sun Meal Exports'!MI$290</f>
        <v>0</v>
      </c>
      <c r="AC147" s="260" t="str">
        <f>'[2]Mexico Sun Meal Exports'!MU$290</f>
        <v/>
      </c>
      <c r="AD147" s="261">
        <f t="shared" si="83"/>
        <v>0</v>
      </c>
      <c r="AE147" s="261">
        <f t="shared" si="83"/>
        <v>0</v>
      </c>
    </row>
    <row r="148" spans="1:31">
      <c r="A148" s="240" t="s">
        <v>232</v>
      </c>
      <c r="B148" s="241">
        <v>0</v>
      </c>
      <c r="C148" s="242">
        <f>'[2]Mexico Sun Meal Exports'!AV$290</f>
        <v>0</v>
      </c>
      <c r="D148" s="260">
        <f>'[2]Mexico Sun Meal Exports'!BH$290</f>
        <v>0</v>
      </c>
      <c r="E148" s="260">
        <f>'[2]Mexico Sun Meal Exports'!BT$290</f>
        <v>0</v>
      </c>
      <c r="F148" s="260">
        <f>'[2]Mexico Sun Meal Exports'!CF$290</f>
        <v>0</v>
      </c>
      <c r="G148" s="260">
        <f>'[2]Mexico Sun Meal Exports'!CR$290</f>
        <v>0</v>
      </c>
      <c r="H148" s="260">
        <f>'[2]Mexico Sun Meal Exports'!DD$290</f>
        <v>0</v>
      </c>
      <c r="I148" s="260">
        <f>'[2]Mexico Sun Meal Exports'!DP$290</f>
        <v>0</v>
      </c>
      <c r="J148" s="260">
        <f>'[2]Mexico Sun Meal Exports'!EB$290</f>
        <v>0</v>
      </c>
      <c r="K148" s="260">
        <f>'[2]Mexico Sun Meal Exports'!EN$290</f>
        <v>0</v>
      </c>
      <c r="L148" s="260">
        <f>'[2]Mexico Sun Meal Exports'!EZ$290</f>
        <v>0</v>
      </c>
      <c r="M148" s="260">
        <f>'[2]Mexico Sun Meal Exports'!FL$290</f>
        <v>0</v>
      </c>
      <c r="N148" s="260">
        <f>'[2]Mexico Sun Meal Exports'!FX$290</f>
        <v>0</v>
      </c>
      <c r="O148" s="260">
        <f>'[2]Mexico Sun Meal Exports'!GJ$290</f>
        <v>0</v>
      </c>
      <c r="P148" s="260">
        <f>'[2]Mexico Sun Meal Exports'!GV$290</f>
        <v>0</v>
      </c>
      <c r="Q148" s="260">
        <f>'[2]Mexico Sun Meal Exports'!HH$290</f>
        <v>0</v>
      </c>
      <c r="R148" s="260">
        <f>'[2]Mexico Sun Meal Exports'!HT$290</f>
        <v>0</v>
      </c>
      <c r="S148" s="260">
        <f>'[2]Mexico Sun Meal Exports'!IF$290</f>
        <v>0</v>
      </c>
      <c r="T148" s="260">
        <f>'[2]Mexico Sun Meal Exports'!IR$290</f>
        <v>0</v>
      </c>
      <c r="U148" s="260">
        <f>'[2]Mexico Sun Meal Exports'!JD$290</f>
        <v>0</v>
      </c>
      <c r="V148" s="260">
        <f>'[2]Mexico Sun Meal Exports'!JP$290</f>
        <v>0</v>
      </c>
      <c r="W148" s="260">
        <f>'[2]Mexico Sun Meal Exports'!KB$290</f>
        <v>0</v>
      </c>
      <c r="X148" s="260">
        <f>'[2]Mexico Sun Meal Exports'!KN$290</f>
        <v>0</v>
      </c>
      <c r="Y148" s="260">
        <f>'[2]Mexico Sun Meal Exports'!KZ$290</f>
        <v>0</v>
      </c>
      <c r="Z148" s="260">
        <f>'[2]Mexico Sun Meal Exports'!LL$290</f>
        <v>0</v>
      </c>
      <c r="AA148" s="260">
        <f>'[2]Mexico Sun Meal Exports'!LX$290</f>
        <v>0</v>
      </c>
      <c r="AB148" s="260">
        <f>'[2]Mexico Sun Meal Exports'!MJ$290</f>
        <v>0</v>
      </c>
      <c r="AC148" s="260">
        <f>'[2]Mexico Sun Meal Exports'!MV$290</f>
        <v>1E-3</v>
      </c>
      <c r="AD148" s="261">
        <f t="shared" si="83"/>
        <v>0</v>
      </c>
      <c r="AE148" s="261">
        <f t="shared" si="83"/>
        <v>9.0909090909090909E-4</v>
      </c>
    </row>
    <row r="149" spans="1:31">
      <c r="A149" s="240" t="s">
        <v>233</v>
      </c>
      <c r="B149" s="241">
        <v>0</v>
      </c>
      <c r="C149" s="242">
        <f>'[2]Mexico Sun Meal Exports'!AW$290</f>
        <v>0</v>
      </c>
      <c r="D149" s="260">
        <f>'[2]Mexico Sun Meal Exports'!BI$290</f>
        <v>0</v>
      </c>
      <c r="E149" s="260">
        <f>'[2]Mexico Sun Meal Exports'!BU$290</f>
        <v>0</v>
      </c>
      <c r="F149" s="260">
        <f>'[2]Mexico Sun Meal Exports'!CG$290</f>
        <v>0</v>
      </c>
      <c r="G149" s="260">
        <f>'[2]Mexico Sun Meal Exports'!CS$290</f>
        <v>0</v>
      </c>
      <c r="H149" s="260">
        <f>'[2]Mexico Sun Meal Exports'!DE$290</f>
        <v>0</v>
      </c>
      <c r="I149" s="260">
        <f>'[2]Mexico Sun Meal Exports'!DQ$290</f>
        <v>0</v>
      </c>
      <c r="J149" s="260">
        <f>'[2]Mexico Sun Meal Exports'!EC$290</f>
        <v>0</v>
      </c>
      <c r="K149" s="260">
        <f>'[2]Mexico Sun Meal Exports'!EO$290</f>
        <v>0</v>
      </c>
      <c r="L149" s="260">
        <f>'[2]Mexico Sun Meal Exports'!FA$290</f>
        <v>0</v>
      </c>
      <c r="M149" s="260">
        <f>'[2]Mexico Sun Meal Exports'!FM$290</f>
        <v>0</v>
      </c>
      <c r="N149" s="260">
        <f>'[2]Mexico Sun Meal Exports'!FY$290</f>
        <v>0</v>
      </c>
      <c r="O149" s="260">
        <f>'[2]Mexico Sun Meal Exports'!GK$290</f>
        <v>0</v>
      </c>
      <c r="P149" s="260">
        <f>'[2]Mexico Sun Meal Exports'!GW$290</f>
        <v>0</v>
      </c>
      <c r="Q149" s="260">
        <f>'[2]Mexico Sun Meal Exports'!HI$290</f>
        <v>0</v>
      </c>
      <c r="R149" s="260">
        <f>'[2]Mexico Sun Meal Exports'!HU$290</f>
        <v>0</v>
      </c>
      <c r="S149" s="260">
        <f>'[2]Mexico Sun Meal Exports'!IG$290</f>
        <v>0</v>
      </c>
      <c r="T149" s="260">
        <f>'[2]Mexico Sun Meal Exports'!IS$290</f>
        <v>0</v>
      </c>
      <c r="U149" s="260">
        <f>'[2]Mexico Sun Meal Exports'!JE$290</f>
        <v>0</v>
      </c>
      <c r="V149" s="260">
        <f>'[2]Mexico Sun Meal Exports'!JQ$290</f>
        <v>0</v>
      </c>
      <c r="W149" s="260">
        <f>'[2]Mexico Sun Meal Exports'!KC$290</f>
        <v>0</v>
      </c>
      <c r="X149" s="260">
        <f>'[2]Mexico Sun Meal Exports'!KO$290</f>
        <v>0</v>
      </c>
      <c r="Y149" s="260">
        <f>'[2]Mexico Sun Meal Exports'!LA$290</f>
        <v>0</v>
      </c>
      <c r="Z149" s="260">
        <f>'[2]Mexico Sun Meal Exports'!LM$290</f>
        <v>0</v>
      </c>
      <c r="AA149" s="260">
        <f>'[2]Mexico Sun Meal Exports'!LY$290</f>
        <v>0</v>
      </c>
      <c r="AB149" s="260">
        <f>'[2]Mexico Sun Meal Exports'!MK$290</f>
        <v>0</v>
      </c>
      <c r="AC149" s="260">
        <f>'[2]Mexico Sun Meal Exports'!MW$290</f>
        <v>1E-3</v>
      </c>
      <c r="AD149" s="261">
        <f t="shared" si="83"/>
        <v>0</v>
      </c>
      <c r="AE149" s="261">
        <f t="shared" si="83"/>
        <v>9.0909090909090909E-4</v>
      </c>
    </row>
    <row r="150" spans="1:31">
      <c r="A150" s="240" t="s">
        <v>234</v>
      </c>
      <c r="B150" s="241">
        <v>0</v>
      </c>
      <c r="C150" s="242">
        <f>'[2]Mexico Sun Meal Exports'!AX$290</f>
        <v>0</v>
      </c>
      <c r="D150" s="260">
        <f>'[2]Mexico Sun Meal Exports'!BJ$290</f>
        <v>0</v>
      </c>
      <c r="E150" s="260">
        <f>'[2]Mexico Sun Meal Exports'!BV$290</f>
        <v>0</v>
      </c>
      <c r="F150" s="260">
        <f>'[2]Mexico Sun Meal Exports'!CH$290</f>
        <v>0</v>
      </c>
      <c r="G150" s="260">
        <f>'[2]Mexico Sun Meal Exports'!CT$290</f>
        <v>0</v>
      </c>
      <c r="H150" s="260">
        <f>'[2]Mexico Sun Meal Exports'!DF$290</f>
        <v>0</v>
      </c>
      <c r="I150" s="260">
        <f>'[2]Mexico Sun Meal Exports'!DR$290</f>
        <v>0</v>
      </c>
      <c r="J150" s="260">
        <f>'[2]Mexico Sun Meal Exports'!ED$290</f>
        <v>0</v>
      </c>
      <c r="K150" s="260">
        <f>'[2]Mexico Sun Meal Exports'!EP$290</f>
        <v>0</v>
      </c>
      <c r="L150" s="260">
        <f>'[2]Mexico Sun Meal Exports'!FB$290</f>
        <v>0</v>
      </c>
      <c r="M150" s="260">
        <f>'[2]Mexico Sun Meal Exports'!FN$290</f>
        <v>0</v>
      </c>
      <c r="N150" s="260">
        <f>'[2]Mexico Sun Meal Exports'!FZ$290</f>
        <v>0</v>
      </c>
      <c r="O150" s="260">
        <f>'[2]Mexico Sun Meal Exports'!GL$290</f>
        <v>0</v>
      </c>
      <c r="P150" s="260">
        <f>'[2]Mexico Sun Meal Exports'!GX$290</f>
        <v>0</v>
      </c>
      <c r="Q150" s="260">
        <f>'[2]Mexico Sun Meal Exports'!HJ$290</f>
        <v>0</v>
      </c>
      <c r="R150" s="260">
        <f>'[2]Mexico Sun Meal Exports'!HV$290</f>
        <v>0</v>
      </c>
      <c r="S150" s="260">
        <f>'[2]Mexico Sun Meal Exports'!IH$290</f>
        <v>0</v>
      </c>
      <c r="T150" s="260">
        <f>'[2]Mexico Sun Meal Exports'!IT$290</f>
        <v>0</v>
      </c>
      <c r="U150" s="260">
        <f>'[2]Mexico Sun Meal Exports'!JF$290</f>
        <v>0</v>
      </c>
      <c r="V150" s="260">
        <f>'[2]Mexico Sun Meal Exports'!JR$290</f>
        <v>0</v>
      </c>
      <c r="W150" s="260">
        <f>'[2]Mexico Sun Meal Exports'!KD$290</f>
        <v>0</v>
      </c>
      <c r="X150" s="260">
        <f>'[2]Mexico Sun Meal Exports'!KP$290</f>
        <v>0</v>
      </c>
      <c r="Y150" s="260">
        <f>'[2]Mexico Sun Meal Exports'!LB$290</f>
        <v>0</v>
      </c>
      <c r="Z150" s="260">
        <f>'[2]Mexico Sun Meal Exports'!LN$290</f>
        <v>0</v>
      </c>
      <c r="AA150" s="260">
        <f>'[2]Mexico Sun Meal Exports'!LZ$290</f>
        <v>0</v>
      </c>
      <c r="AB150" s="260">
        <f>'[2]Mexico Sun Meal Exports'!ML$290</f>
        <v>0</v>
      </c>
      <c r="AC150" s="260" t="str">
        <f>'[2]Mexico Sun Meal Exports'!MX$290</f>
        <v/>
      </c>
      <c r="AD150" s="261">
        <f>(SUM(X150:AB150)/SUM(X$156:AB$156))*AD$156</f>
        <v>0</v>
      </c>
      <c r="AE150" s="261">
        <f>(SUM(Y150:AC150)/SUM(Y$156:AC$156))*AE$156</f>
        <v>0</v>
      </c>
    </row>
    <row r="151" spans="1:31">
      <c r="A151" s="240" t="s">
        <v>46</v>
      </c>
      <c r="B151" s="241">
        <v>0</v>
      </c>
      <c r="C151" s="242">
        <f>'[2]Mexico Sun Meal Exports'!AY$290</f>
        <v>0</v>
      </c>
      <c r="D151" s="260">
        <f>'[2]Mexico Sun Meal Exports'!BK$290</f>
        <v>0</v>
      </c>
      <c r="E151" s="260">
        <f>'[2]Mexico Sun Meal Exports'!BW$290</f>
        <v>0</v>
      </c>
      <c r="F151" s="260">
        <f>'[2]Mexico Sun Meal Exports'!CI$290</f>
        <v>0</v>
      </c>
      <c r="G151" s="260">
        <f>'[2]Mexico Sun Meal Exports'!CU$290</f>
        <v>0</v>
      </c>
      <c r="H151" s="260">
        <f>'[2]Mexico Sun Meal Exports'!DG$290</f>
        <v>0</v>
      </c>
      <c r="I151" s="260">
        <f>'[2]Mexico Sun Meal Exports'!DS$290</f>
        <v>0</v>
      </c>
      <c r="J151" s="260">
        <f>'[2]Mexico Sun Meal Exports'!EE$290</f>
        <v>0</v>
      </c>
      <c r="K151" s="260">
        <f>'[2]Mexico Sun Meal Exports'!EQ$290</f>
        <v>0</v>
      </c>
      <c r="L151" s="260">
        <f>'[2]Mexico Sun Meal Exports'!FC$290</f>
        <v>0</v>
      </c>
      <c r="M151" s="260">
        <f>'[2]Mexico Sun Meal Exports'!FO$290</f>
        <v>0</v>
      </c>
      <c r="N151" s="260">
        <f>'[2]Mexico Sun Meal Exports'!GA$290</f>
        <v>0</v>
      </c>
      <c r="O151" s="260">
        <f>'[2]Mexico Sun Meal Exports'!GM$290</f>
        <v>0</v>
      </c>
      <c r="P151" s="260">
        <f>'[2]Mexico Sun Meal Exports'!GY$290</f>
        <v>0</v>
      </c>
      <c r="Q151" s="260">
        <f>'[2]Mexico Sun Meal Exports'!HK$290</f>
        <v>0</v>
      </c>
      <c r="R151" s="260">
        <f>'[2]Mexico Sun Meal Exports'!HW$290</f>
        <v>0</v>
      </c>
      <c r="S151" s="260">
        <f>'[2]Mexico Sun Meal Exports'!II$290</f>
        <v>0</v>
      </c>
      <c r="T151" s="260">
        <f>'[2]Mexico Sun Meal Exports'!IU$290</f>
        <v>0</v>
      </c>
      <c r="U151" s="260">
        <f>'[2]Mexico Sun Meal Exports'!JG$290</f>
        <v>0</v>
      </c>
      <c r="V151" s="260">
        <f>'[2]Mexico Sun Meal Exports'!JS$290</f>
        <v>0</v>
      </c>
      <c r="W151" s="260">
        <f>'[2]Mexico Sun Meal Exports'!KE$290</f>
        <v>0</v>
      </c>
      <c r="X151" s="260">
        <f>'[2]Mexico Sun Meal Exports'!KQ$290</f>
        <v>0</v>
      </c>
      <c r="Y151" s="260">
        <f>'[2]Mexico Sun Meal Exports'!LC$290</f>
        <v>0</v>
      </c>
      <c r="Z151" s="260">
        <f>'[2]Mexico Sun Meal Exports'!LO$290</f>
        <v>0</v>
      </c>
      <c r="AA151" s="260">
        <f>'[2]Mexico Sun Meal Exports'!MA$290</f>
        <v>0</v>
      </c>
      <c r="AB151" s="260">
        <f>'[2]Mexico Sun Meal Exports'!MM$290</f>
        <v>0</v>
      </c>
      <c r="AC151" s="260" t="str">
        <f>'[2]Mexico Sun Meal Exports'!MY$290</f>
        <v/>
      </c>
      <c r="AD151" s="261">
        <f t="shared" ref="AD151:AE154" si="84">(SUM(X151:AB151)/SUM(X$156:AB$156))*AD$156</f>
        <v>0</v>
      </c>
      <c r="AE151" s="261">
        <f t="shared" si="84"/>
        <v>0</v>
      </c>
    </row>
    <row r="152" spans="1:31">
      <c r="A152" s="240" t="s">
        <v>235</v>
      </c>
      <c r="B152" s="241">
        <v>0</v>
      </c>
      <c r="C152" s="242">
        <f>'[2]Mexico Sun Meal Exports'!AZ$290</f>
        <v>0</v>
      </c>
      <c r="D152" s="260">
        <f>'[2]Mexico Sun Meal Exports'!BL$290</f>
        <v>0</v>
      </c>
      <c r="E152" s="260">
        <f>'[2]Mexico Sun Meal Exports'!BX$290</f>
        <v>0</v>
      </c>
      <c r="F152" s="260">
        <f>'[2]Mexico Sun Meal Exports'!CJ$290</f>
        <v>0</v>
      </c>
      <c r="G152" s="260">
        <f>'[2]Mexico Sun Meal Exports'!CV$290</f>
        <v>0</v>
      </c>
      <c r="H152" s="260">
        <f>'[2]Mexico Sun Meal Exports'!DH$290</f>
        <v>0</v>
      </c>
      <c r="I152" s="260">
        <f>'[2]Mexico Sun Meal Exports'!DT$290</f>
        <v>0</v>
      </c>
      <c r="J152" s="260">
        <f>'[2]Mexico Sun Meal Exports'!EF$290</f>
        <v>0</v>
      </c>
      <c r="K152" s="260">
        <f>'[2]Mexico Sun Meal Exports'!ER$290</f>
        <v>0</v>
      </c>
      <c r="L152" s="260">
        <f>'[2]Mexico Sun Meal Exports'!FD$290</f>
        <v>0</v>
      </c>
      <c r="M152" s="260">
        <f>'[2]Mexico Sun Meal Exports'!FP$290</f>
        <v>0</v>
      </c>
      <c r="N152" s="260">
        <f>'[2]Mexico Sun Meal Exports'!GB$290</f>
        <v>0</v>
      </c>
      <c r="O152" s="260">
        <f>'[2]Mexico Sun Meal Exports'!GN$290</f>
        <v>0</v>
      </c>
      <c r="P152" s="260">
        <f>'[2]Mexico Sun Meal Exports'!GZ$290</f>
        <v>0</v>
      </c>
      <c r="Q152" s="260">
        <f>'[2]Mexico Sun Meal Exports'!HL$290</f>
        <v>0</v>
      </c>
      <c r="R152" s="260">
        <f>'[2]Mexico Sun Meal Exports'!HX$290</f>
        <v>0</v>
      </c>
      <c r="S152" s="260">
        <f>'[2]Mexico Sun Meal Exports'!IJ$290</f>
        <v>0</v>
      </c>
      <c r="T152" s="260">
        <f>'[2]Mexico Sun Meal Exports'!IV$290</f>
        <v>0</v>
      </c>
      <c r="U152" s="260">
        <f>'[2]Mexico Sun Meal Exports'!JH$290</f>
        <v>0</v>
      </c>
      <c r="V152" s="260">
        <f>'[2]Mexico Sun Meal Exports'!JT$290</f>
        <v>0</v>
      </c>
      <c r="W152" s="260">
        <f>'[2]Mexico Sun Meal Exports'!KF$290</f>
        <v>0</v>
      </c>
      <c r="X152" s="260">
        <f>'[2]Mexico Sun Meal Exports'!KR$290</f>
        <v>0</v>
      </c>
      <c r="Y152" s="260">
        <f>'[2]Mexico Sun Meal Exports'!LD$290</f>
        <v>0</v>
      </c>
      <c r="Z152" s="260">
        <f>'[2]Mexico Sun Meal Exports'!LP$290</f>
        <v>0</v>
      </c>
      <c r="AA152" s="260">
        <f>'[2]Mexico Sun Meal Exports'!MB$290</f>
        <v>0</v>
      </c>
      <c r="AB152" s="260">
        <f>'[2]Mexico Sun Meal Exports'!MN$290</f>
        <v>0</v>
      </c>
      <c r="AC152" s="260" t="str">
        <f>'[2]Mexico Sun Meal Exports'!MZ$290</f>
        <v/>
      </c>
      <c r="AD152" s="261">
        <f t="shared" si="84"/>
        <v>0</v>
      </c>
      <c r="AE152" s="261">
        <f t="shared" si="84"/>
        <v>0</v>
      </c>
    </row>
    <row r="153" spans="1:31">
      <c r="A153" s="240" t="s">
        <v>236</v>
      </c>
      <c r="B153" s="241">
        <v>0</v>
      </c>
      <c r="C153" s="242">
        <f>'[2]Mexico Sun Meal Exports'!BA$290</f>
        <v>0</v>
      </c>
      <c r="D153" s="260">
        <f>'[2]Mexico Sun Meal Exports'!BM$290</f>
        <v>0</v>
      </c>
      <c r="E153" s="260">
        <f>'[2]Mexico Sun Meal Exports'!BY$290</f>
        <v>0</v>
      </c>
      <c r="F153" s="260">
        <f>'[2]Mexico Sun Meal Exports'!CK$290</f>
        <v>0</v>
      </c>
      <c r="G153" s="260">
        <f>'[2]Mexico Sun Meal Exports'!CW$290</f>
        <v>0</v>
      </c>
      <c r="H153" s="260">
        <f>'[2]Mexico Sun Meal Exports'!DI$290</f>
        <v>0</v>
      </c>
      <c r="I153" s="260">
        <f>'[2]Mexico Sun Meal Exports'!DU$290</f>
        <v>0</v>
      </c>
      <c r="J153" s="260">
        <f>'[2]Mexico Sun Meal Exports'!EG$290</f>
        <v>0</v>
      </c>
      <c r="K153" s="260">
        <f>'[2]Mexico Sun Meal Exports'!ES$290</f>
        <v>0</v>
      </c>
      <c r="L153" s="260">
        <f>'[2]Mexico Sun Meal Exports'!FE$290</f>
        <v>0</v>
      </c>
      <c r="M153" s="260">
        <f>'[2]Mexico Sun Meal Exports'!FQ$290</f>
        <v>0</v>
      </c>
      <c r="N153" s="260">
        <f>'[2]Mexico Sun Meal Exports'!GC$290</f>
        <v>0</v>
      </c>
      <c r="O153" s="260">
        <f>'[2]Mexico Sun Meal Exports'!GO$290</f>
        <v>0</v>
      </c>
      <c r="P153" s="260">
        <f>'[2]Mexico Sun Meal Exports'!HA$290</f>
        <v>0</v>
      </c>
      <c r="Q153" s="260">
        <f>'[2]Mexico Sun Meal Exports'!HM$290</f>
        <v>0</v>
      </c>
      <c r="R153" s="260">
        <f>'[2]Mexico Sun Meal Exports'!HY$290</f>
        <v>0</v>
      </c>
      <c r="S153" s="260">
        <f>'[2]Mexico Sun Meal Exports'!IK$290</f>
        <v>0</v>
      </c>
      <c r="T153" s="260">
        <f>'[2]Mexico Sun Meal Exports'!IW$290</f>
        <v>0</v>
      </c>
      <c r="U153" s="260">
        <f>'[2]Mexico Sun Meal Exports'!JI$290</f>
        <v>0</v>
      </c>
      <c r="V153" s="260">
        <f>'[2]Mexico Sun Meal Exports'!JU$290</f>
        <v>0</v>
      </c>
      <c r="W153" s="260">
        <f>'[2]Mexico Sun Meal Exports'!KG$290</f>
        <v>0</v>
      </c>
      <c r="X153" s="260">
        <f>'[2]Mexico Sun Meal Exports'!KS$290</f>
        <v>0</v>
      </c>
      <c r="Y153" s="260">
        <f>'[2]Mexico Sun Meal Exports'!LE$290</f>
        <v>0</v>
      </c>
      <c r="Z153" s="260">
        <f>'[2]Mexico Sun Meal Exports'!LQ$290</f>
        <v>0</v>
      </c>
      <c r="AA153" s="260">
        <f>'[2]Mexico Sun Meal Exports'!MC$290</f>
        <v>2E-3</v>
      </c>
      <c r="AB153" s="260">
        <f>'[2]Mexico Sun Meal Exports'!MO$290</f>
        <v>0</v>
      </c>
      <c r="AC153" s="260" t="str">
        <f>'[2]Mexico Sun Meal Exports'!NA$290</f>
        <v/>
      </c>
      <c r="AD153" s="261">
        <f t="shared" si="84"/>
        <v>6.6666666666666662E-3</v>
      </c>
      <c r="AE153" s="261">
        <f t="shared" si="84"/>
        <v>1.8181818181818182E-3</v>
      </c>
    </row>
    <row r="154" spans="1:31">
      <c r="A154" s="240" t="s">
        <v>237</v>
      </c>
      <c r="B154" s="241">
        <v>0</v>
      </c>
      <c r="C154" s="242">
        <f>'[2]Mexico Sun Meal Exports'!BB$290</f>
        <v>0</v>
      </c>
      <c r="D154" s="260">
        <f>'[2]Mexico Sun Meal Exports'!BN$290</f>
        <v>0</v>
      </c>
      <c r="E154" s="260">
        <f>'[2]Mexico Sun Meal Exports'!BZ$290</f>
        <v>0</v>
      </c>
      <c r="F154" s="260">
        <f>'[2]Mexico Sun Meal Exports'!CL$290</f>
        <v>0</v>
      </c>
      <c r="G154" s="260">
        <f>'[2]Mexico Sun Meal Exports'!CX$290</f>
        <v>0</v>
      </c>
      <c r="H154" s="260">
        <f>'[2]Mexico Sun Meal Exports'!DJ$290</f>
        <v>0</v>
      </c>
      <c r="I154" s="260">
        <f>'[2]Mexico Sun Meal Exports'!DV$290</f>
        <v>0</v>
      </c>
      <c r="J154" s="260">
        <f>'[2]Mexico Sun Meal Exports'!EH$290</f>
        <v>0</v>
      </c>
      <c r="K154" s="260">
        <f>'[2]Mexico Sun Meal Exports'!ET$290</f>
        <v>0</v>
      </c>
      <c r="L154" s="260">
        <f>'[2]Mexico Sun Meal Exports'!FF$290</f>
        <v>0</v>
      </c>
      <c r="M154" s="260">
        <f>'[2]Mexico Sun Meal Exports'!FR$290</f>
        <v>0</v>
      </c>
      <c r="N154" s="260">
        <f>'[2]Mexico Sun Meal Exports'!GD$290</f>
        <v>0</v>
      </c>
      <c r="O154" s="260">
        <f>'[2]Mexico Sun Meal Exports'!GP$290</f>
        <v>0</v>
      </c>
      <c r="P154" s="260">
        <f>'[2]Mexico Sun Meal Exports'!HB$290</f>
        <v>0</v>
      </c>
      <c r="Q154" s="260">
        <f>'[2]Mexico Sun Meal Exports'!HN$290</f>
        <v>0</v>
      </c>
      <c r="R154" s="260">
        <f>'[2]Mexico Sun Meal Exports'!HZ$290</f>
        <v>0</v>
      </c>
      <c r="S154" s="260">
        <f>'[2]Mexico Sun Meal Exports'!IL$290</f>
        <v>0</v>
      </c>
      <c r="T154" s="260">
        <f>'[2]Mexico Sun Meal Exports'!IX$290</f>
        <v>0</v>
      </c>
      <c r="U154" s="260">
        <f>'[2]Mexico Sun Meal Exports'!JJ$290</f>
        <v>0</v>
      </c>
      <c r="V154" s="260">
        <f>'[2]Mexico Sun Meal Exports'!JV$290</f>
        <v>0</v>
      </c>
      <c r="W154" s="260">
        <f>'[2]Mexico Sun Meal Exports'!KH$290</f>
        <v>0</v>
      </c>
      <c r="X154" s="260">
        <f>'[2]Mexico Sun Meal Exports'!KT$290</f>
        <v>0</v>
      </c>
      <c r="Y154" s="260">
        <f>'[2]Mexico Sun Meal Exports'!LF$290</f>
        <v>0</v>
      </c>
      <c r="Z154" s="260">
        <f>'[2]Mexico Sun Meal Exports'!LR$290</f>
        <v>0</v>
      </c>
      <c r="AA154" s="260">
        <f>'[2]Mexico Sun Meal Exports'!MD$290</f>
        <v>0</v>
      </c>
      <c r="AB154" s="260">
        <f>'[2]Mexico Sun Meal Exports'!MP$290</f>
        <v>0</v>
      </c>
      <c r="AC154" s="260" t="str">
        <f>'[2]Mexico Sun Meal Exports'!NB$290</f>
        <v/>
      </c>
      <c r="AD154" s="261">
        <f t="shared" si="84"/>
        <v>0</v>
      </c>
      <c r="AE154" s="261">
        <f t="shared" si="84"/>
        <v>0</v>
      </c>
    </row>
    <row r="155" spans="1:31">
      <c r="A155" s="240" t="s">
        <v>238</v>
      </c>
      <c r="B155" s="241">
        <v>0</v>
      </c>
      <c r="C155" s="242">
        <f>'[2]Mexico Sun Meal Exports'!BC$290</f>
        <v>0</v>
      </c>
      <c r="D155" s="260">
        <f>'[2]Mexico Sun Meal Exports'!BO$290</f>
        <v>0</v>
      </c>
      <c r="E155" s="260">
        <f>'[2]Mexico Sun Meal Exports'!CA$290</f>
        <v>0</v>
      </c>
      <c r="F155" s="260">
        <f>'[2]Mexico Sun Meal Exports'!CM$290</f>
        <v>0</v>
      </c>
      <c r="G155" s="260">
        <f>'[2]Mexico Sun Meal Exports'!CY$290</f>
        <v>0</v>
      </c>
      <c r="H155" s="260">
        <f>'[2]Mexico Sun Meal Exports'!DK$290</f>
        <v>0</v>
      </c>
      <c r="I155" s="260">
        <f>'[2]Mexico Sun Meal Exports'!DW$290</f>
        <v>0</v>
      </c>
      <c r="J155" s="260">
        <f>'[2]Mexico Sun Meal Exports'!EI$290</f>
        <v>0</v>
      </c>
      <c r="K155" s="260">
        <f>'[2]Mexico Sun Meal Exports'!EU$290</f>
        <v>0</v>
      </c>
      <c r="L155" s="260">
        <f>'[2]Mexico Sun Meal Exports'!FG$290</f>
        <v>0</v>
      </c>
      <c r="M155" s="260">
        <f>'[2]Mexico Sun Meal Exports'!FS$290</f>
        <v>0</v>
      </c>
      <c r="N155" s="260">
        <f>'[2]Mexico Sun Meal Exports'!GE$290</f>
        <v>0</v>
      </c>
      <c r="O155" s="260">
        <f>'[2]Mexico Sun Meal Exports'!GQ$290</f>
        <v>0</v>
      </c>
      <c r="P155" s="260">
        <f>'[2]Mexico Sun Meal Exports'!HC$290</f>
        <v>0</v>
      </c>
      <c r="Q155" s="260">
        <f>'[2]Mexico Sun Meal Exports'!HO$290</f>
        <v>0</v>
      </c>
      <c r="R155" s="260">
        <f>'[2]Mexico Sun Meal Exports'!IA$290</f>
        <v>0</v>
      </c>
      <c r="S155" s="260">
        <f>'[2]Mexico Sun Meal Exports'!IM$290</f>
        <v>0</v>
      </c>
      <c r="T155" s="260">
        <f>'[2]Mexico Sun Meal Exports'!IY$290</f>
        <v>0</v>
      </c>
      <c r="U155" s="260">
        <f>'[2]Mexico Sun Meal Exports'!JK$290</f>
        <v>0</v>
      </c>
      <c r="V155" s="260">
        <f>'[2]Mexico Sun Meal Exports'!JW$290</f>
        <v>0</v>
      </c>
      <c r="W155" s="260">
        <f>'[2]Mexico Sun Meal Exports'!KI$290</f>
        <v>0</v>
      </c>
      <c r="X155" s="260">
        <f>'[2]Mexico Sun Meal Exports'!KU$290</f>
        <v>0</v>
      </c>
      <c r="Y155" s="260">
        <f>'[2]Mexico Sun Meal Exports'!LG$290</f>
        <v>0</v>
      </c>
      <c r="Z155" s="260">
        <f>'[2]Mexico Sun Meal Exports'!LS$290</f>
        <v>0</v>
      </c>
      <c r="AA155" s="260">
        <f>'[2]Mexico Sun Meal Exports'!ME$290</f>
        <v>0</v>
      </c>
      <c r="AB155" s="260">
        <f>'[2]Mexico Sun Meal Exports'!MQ$290</f>
        <v>0</v>
      </c>
      <c r="AC155" s="260">
        <f>'[2]Mexico Sun Meal Exports'!NC$290</f>
        <v>1E-3</v>
      </c>
      <c r="AD155" s="261">
        <f t="shared" ref="AD155" si="85">AD156-SUM(AD144:AD154)</f>
        <v>-3.9999999999999983E-3</v>
      </c>
      <c r="AE155" s="261">
        <f t="shared" ref="AE155" si="86">AE156-SUM(AE144:AE154)</f>
        <v>9.0909090909090974E-4</v>
      </c>
    </row>
    <row r="156" spans="1:31" ht="15.75" thickBot="1">
      <c r="A156" s="240" t="s">
        <v>242</v>
      </c>
      <c r="B156" s="242">
        <f t="shared" ref="B156:C156" si="87">B27</f>
        <v>0</v>
      </c>
      <c r="C156" s="242">
        <f t="shared" si="87"/>
        <v>0</v>
      </c>
      <c r="D156" s="260">
        <f t="shared" ref="D156:AB156" si="88">SUM(D144:D155)</f>
        <v>0</v>
      </c>
      <c r="E156" s="260">
        <f t="shared" si="88"/>
        <v>0</v>
      </c>
      <c r="F156" s="260">
        <f t="shared" si="88"/>
        <v>0</v>
      </c>
      <c r="G156" s="260">
        <f t="shared" si="88"/>
        <v>0</v>
      </c>
      <c r="H156" s="260">
        <f t="shared" si="88"/>
        <v>0</v>
      </c>
      <c r="I156" s="260">
        <f t="shared" si="88"/>
        <v>0</v>
      </c>
      <c r="J156" s="260">
        <f t="shared" si="88"/>
        <v>0</v>
      </c>
      <c r="K156" s="260">
        <f t="shared" si="88"/>
        <v>0</v>
      </c>
      <c r="L156" s="260">
        <f t="shared" si="88"/>
        <v>0</v>
      </c>
      <c r="M156" s="260">
        <f t="shared" si="88"/>
        <v>0</v>
      </c>
      <c r="N156" s="260">
        <f t="shared" si="88"/>
        <v>0</v>
      </c>
      <c r="O156" s="260">
        <f t="shared" si="88"/>
        <v>0</v>
      </c>
      <c r="P156" s="260">
        <f t="shared" si="88"/>
        <v>0</v>
      </c>
      <c r="Q156" s="260">
        <f t="shared" si="88"/>
        <v>0</v>
      </c>
      <c r="R156" s="260">
        <f t="shared" si="88"/>
        <v>0</v>
      </c>
      <c r="S156" s="260">
        <f t="shared" si="88"/>
        <v>0</v>
      </c>
      <c r="T156" s="260">
        <f t="shared" si="88"/>
        <v>0</v>
      </c>
      <c r="U156" s="260">
        <f t="shared" si="88"/>
        <v>0</v>
      </c>
      <c r="V156" s="260">
        <f t="shared" si="88"/>
        <v>0</v>
      </c>
      <c r="W156" s="260">
        <f t="shared" si="88"/>
        <v>0</v>
      </c>
      <c r="X156" s="260">
        <f t="shared" si="88"/>
        <v>0</v>
      </c>
      <c r="Y156" s="260">
        <f t="shared" si="88"/>
        <v>0</v>
      </c>
      <c r="Z156" s="260">
        <f t="shared" si="88"/>
        <v>0</v>
      </c>
      <c r="AA156" s="260">
        <f t="shared" si="88"/>
        <v>2E-3</v>
      </c>
      <c r="AB156" s="260">
        <f t="shared" si="88"/>
        <v>1E-3</v>
      </c>
      <c r="AC156" s="260">
        <f>SUM(AC144:AC155)</f>
        <v>8.0000000000000002E-3</v>
      </c>
      <c r="AD156" s="261">
        <f t="shared" ref="AD156:AE156" si="89">AD27</f>
        <v>0.01</v>
      </c>
      <c r="AE156" s="261">
        <f t="shared" si="89"/>
        <v>0.01</v>
      </c>
    </row>
    <row r="157" spans="1:31">
      <c r="A157" s="248"/>
      <c r="B157" s="248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  <c r="AE157" s="248"/>
    </row>
    <row r="158" spans="1:31" ht="15.75" thickBot="1">
      <c r="A158" s="235" t="s">
        <v>258</v>
      </c>
      <c r="D158" s="264"/>
      <c r="E158" s="264"/>
      <c r="F158" s="264"/>
      <c r="G158" s="264"/>
      <c r="H158" s="264"/>
      <c r="I158" s="264"/>
      <c r="J158" s="264"/>
    </row>
    <row r="159" spans="1:31" ht="15.75" thickBot="1">
      <c r="A159" s="236"/>
      <c r="B159" s="237" t="str">
        <f>B$2</f>
        <v xml:space="preserve">93/94 </v>
      </c>
      <c r="C159" s="237" t="str">
        <f t="shared" ref="C159:AE159" si="90">C$2</f>
        <v xml:space="preserve">94/95 </v>
      </c>
      <c r="D159" s="237" t="str">
        <f t="shared" si="90"/>
        <v xml:space="preserve">95/96 </v>
      </c>
      <c r="E159" s="237" t="str">
        <f t="shared" si="90"/>
        <v xml:space="preserve">96/97 </v>
      </c>
      <c r="F159" s="237" t="str">
        <f t="shared" si="90"/>
        <v xml:space="preserve">97/98 </v>
      </c>
      <c r="G159" s="237" t="str">
        <f t="shared" si="90"/>
        <v xml:space="preserve">98/99 </v>
      </c>
      <c r="H159" s="237" t="str">
        <f t="shared" si="90"/>
        <v xml:space="preserve">99/00 </v>
      </c>
      <c r="I159" s="237" t="str">
        <f t="shared" si="90"/>
        <v xml:space="preserve">00/01 </v>
      </c>
      <c r="J159" s="237" t="str">
        <f t="shared" si="90"/>
        <v xml:space="preserve">01/02 </v>
      </c>
      <c r="K159" s="237" t="str">
        <f t="shared" si="90"/>
        <v xml:space="preserve">02/03 </v>
      </c>
      <c r="L159" s="237" t="str">
        <f t="shared" si="90"/>
        <v xml:space="preserve">03/04 </v>
      </c>
      <c r="M159" s="237" t="str">
        <f t="shared" si="90"/>
        <v xml:space="preserve">04/05 </v>
      </c>
      <c r="N159" s="237" t="str">
        <f t="shared" si="90"/>
        <v xml:space="preserve">05/06 </v>
      </c>
      <c r="O159" s="237" t="str">
        <f t="shared" si="90"/>
        <v xml:space="preserve">06/07 </v>
      </c>
      <c r="P159" s="237" t="str">
        <f t="shared" si="90"/>
        <v xml:space="preserve">07/08 </v>
      </c>
      <c r="Q159" s="237" t="str">
        <f t="shared" si="90"/>
        <v xml:space="preserve">08/09 </v>
      </c>
      <c r="R159" s="237" t="str">
        <f t="shared" si="90"/>
        <v xml:space="preserve">09/10 </v>
      </c>
      <c r="S159" s="237" t="str">
        <f t="shared" si="90"/>
        <v xml:space="preserve">10/11 </v>
      </c>
      <c r="T159" s="237" t="str">
        <f t="shared" si="90"/>
        <v xml:space="preserve">11/12 </v>
      </c>
      <c r="U159" s="237" t="str">
        <f t="shared" si="90"/>
        <v xml:space="preserve">12/13 </v>
      </c>
      <c r="V159" s="237" t="str">
        <f t="shared" si="90"/>
        <v xml:space="preserve">13/14 </v>
      </c>
      <c r="W159" s="237" t="str">
        <f t="shared" si="90"/>
        <v xml:space="preserve">14/15 </v>
      </c>
      <c r="X159" s="237" t="str">
        <f t="shared" si="90"/>
        <v xml:space="preserve">15/16 </v>
      </c>
      <c r="Y159" s="237" t="str">
        <f t="shared" si="90"/>
        <v xml:space="preserve">16/17 </v>
      </c>
      <c r="Z159" s="237" t="str">
        <f t="shared" si="90"/>
        <v xml:space="preserve">17/18 </v>
      </c>
      <c r="AA159" s="237" t="str">
        <f t="shared" si="90"/>
        <v xml:space="preserve">18/19 </v>
      </c>
      <c r="AB159" s="237" t="str">
        <f t="shared" si="90"/>
        <v xml:space="preserve">19/20 </v>
      </c>
      <c r="AC159" s="237" t="str">
        <f t="shared" si="90"/>
        <v xml:space="preserve">20/21 </v>
      </c>
      <c r="AD159" s="237" t="str">
        <f t="shared" si="90"/>
        <v xml:space="preserve">21/22 </v>
      </c>
      <c r="AE159" s="237" t="str">
        <f t="shared" si="90"/>
        <v xml:space="preserve">22/23 </v>
      </c>
    </row>
    <row r="160" spans="1:31">
      <c r="A160" s="240" t="s">
        <v>239</v>
      </c>
      <c r="B160" s="290">
        <f t="shared" ref="B160:AC160" si="91">B22+B96+B131-B144-B176</f>
        <v>0.96770135654729106</v>
      </c>
      <c r="C160" s="290">
        <f t="shared" si="91"/>
        <v>12.010998132449078</v>
      </c>
      <c r="D160" s="290">
        <f t="shared" si="91"/>
        <v>-12.496548717948714</v>
      </c>
      <c r="E160" s="290">
        <f t="shared" si="91"/>
        <v>15.814050332383671</v>
      </c>
      <c r="F160" s="290">
        <f t="shared" si="91"/>
        <v>-2.8015952380952349</v>
      </c>
      <c r="G160" s="290">
        <f t="shared" si="91"/>
        <v>25.540508875739643</v>
      </c>
      <c r="H160" s="290">
        <f t="shared" si="91"/>
        <v>8.6923846153846185</v>
      </c>
      <c r="I160" s="290">
        <f t="shared" si="91"/>
        <v>3.1341222879684403</v>
      </c>
      <c r="J160" s="290">
        <f t="shared" si="91"/>
        <v>6.8846153846154473E-2</v>
      </c>
      <c r="K160" s="290">
        <f t="shared" si="91"/>
        <v>6.2353869463869458</v>
      </c>
      <c r="L160" s="290">
        <f t="shared" si="91"/>
        <v>7.8034700854700842</v>
      </c>
      <c r="M160" s="290">
        <f t="shared" si="91"/>
        <v>4.520153846153848</v>
      </c>
      <c r="N160" s="290">
        <f t="shared" si="91"/>
        <v>-19.905901098901101</v>
      </c>
      <c r="O160" s="290">
        <f t="shared" si="91"/>
        <v>3.0650307692307694</v>
      </c>
      <c r="P160" s="290">
        <f t="shared" si="91"/>
        <v>3.0525128205128196</v>
      </c>
      <c r="Q160" s="290">
        <f t="shared" si="91"/>
        <v>1.6943333333333332</v>
      </c>
      <c r="R160" s="290">
        <f t="shared" si="91"/>
        <v>-0.79500000000000015</v>
      </c>
      <c r="S160" s="290">
        <f t="shared" si="91"/>
        <v>3.7556666666666665</v>
      </c>
      <c r="T160" s="290">
        <f t="shared" si="91"/>
        <v>2.8143333333333338</v>
      </c>
      <c r="U160" s="290">
        <f t="shared" si="91"/>
        <v>3.8465116279069766</v>
      </c>
      <c r="V160" s="290">
        <f t="shared" si="91"/>
        <v>0.65858585858585905</v>
      </c>
      <c r="W160" s="290">
        <f t="shared" si="91"/>
        <v>3.5850160256410257</v>
      </c>
      <c r="X160" s="290">
        <f t="shared" si="91"/>
        <v>5.7238242894056848</v>
      </c>
      <c r="Y160" s="290">
        <f t="shared" si="91"/>
        <v>1.5836442627140301</v>
      </c>
      <c r="Z160" s="290">
        <f t="shared" si="91"/>
        <v>12.148126198801197</v>
      </c>
      <c r="AA160" s="290">
        <f t="shared" si="91"/>
        <v>6.2540372956643004</v>
      </c>
      <c r="AB160" s="290">
        <f t="shared" si="91"/>
        <v>1.1334589163652042</v>
      </c>
      <c r="AC160" s="290">
        <f t="shared" si="91"/>
        <v>-3.7380339801671143</v>
      </c>
      <c r="AD160" s="253">
        <f t="shared" ref="AD160:AE160" si="92">AD22+AD96+AD128-AD144-AD176</f>
        <v>4.7600044680200302</v>
      </c>
      <c r="AE160" s="253">
        <f t="shared" si="92"/>
        <v>3.0943901555197022</v>
      </c>
    </row>
    <row r="161" spans="1:31">
      <c r="A161" s="240" t="s">
        <v>240</v>
      </c>
      <c r="B161" s="290">
        <f t="shared" ref="B161:AC168" si="93">B176+B97+B132-B145-B177</f>
        <v>14.929633704400647</v>
      </c>
      <c r="C161" s="290">
        <f t="shared" si="93"/>
        <v>12.851944410582934</v>
      </c>
      <c r="D161" s="290">
        <f t="shared" si="93"/>
        <v>15.438291282051283</v>
      </c>
      <c r="E161" s="290">
        <f t="shared" si="93"/>
        <v>-21.217949667616331</v>
      </c>
      <c r="F161" s="290">
        <f t="shared" si="93"/>
        <v>22.76969047619048</v>
      </c>
      <c r="G161" s="290">
        <f t="shared" si="93"/>
        <v>17.493739644970411</v>
      </c>
      <c r="H161" s="290">
        <f t="shared" si="93"/>
        <v>1.4005274725274723</v>
      </c>
      <c r="I161" s="290">
        <f t="shared" si="93"/>
        <v>-9.786800788954638</v>
      </c>
      <c r="J161" s="290">
        <f t="shared" si="93"/>
        <v>-12.980153846153845</v>
      </c>
      <c r="K161" s="290">
        <f t="shared" si="93"/>
        <v>6.1407051282051279</v>
      </c>
      <c r="L161" s="290">
        <f t="shared" si="93"/>
        <v>8.9298034188034183</v>
      </c>
      <c r="M161" s="290">
        <f t="shared" si="93"/>
        <v>5.3741538461538463</v>
      </c>
      <c r="N161" s="290">
        <f t="shared" si="93"/>
        <v>9.5900989010989033</v>
      </c>
      <c r="O161" s="290">
        <f t="shared" si="93"/>
        <v>-5.3501692307692323</v>
      </c>
      <c r="P161" s="290">
        <f t="shared" si="93"/>
        <v>2.3145128205128191</v>
      </c>
      <c r="Q161" s="290">
        <f t="shared" si="93"/>
        <v>2.8593333333333333</v>
      </c>
      <c r="R161" s="290">
        <f t="shared" si="93"/>
        <v>1.153</v>
      </c>
      <c r="S161" s="290">
        <f t="shared" si="93"/>
        <v>-1.1033333333333335</v>
      </c>
      <c r="T161" s="290">
        <f t="shared" si="93"/>
        <v>1.0803333333333334</v>
      </c>
      <c r="U161" s="290">
        <f t="shared" si="93"/>
        <v>-0.56279069767441858</v>
      </c>
      <c r="V161" s="290">
        <f t="shared" si="93"/>
        <v>4.1080808080808087</v>
      </c>
      <c r="W161" s="290">
        <f t="shared" si="93"/>
        <v>4.0506410256410259</v>
      </c>
      <c r="X161" s="290">
        <f t="shared" si="93"/>
        <v>4.2790103359173122</v>
      </c>
      <c r="Y161" s="290">
        <f t="shared" si="93"/>
        <v>-1.2140301558906192</v>
      </c>
      <c r="Z161" s="290">
        <f t="shared" si="93"/>
        <v>-11.3249763986014</v>
      </c>
      <c r="AA161" s="290">
        <f t="shared" si="93"/>
        <v>-19.999852466574037</v>
      </c>
      <c r="AB161" s="290">
        <f t="shared" si="93"/>
        <v>0.29223908934967335</v>
      </c>
      <c r="AC161" s="290">
        <f t="shared" si="93"/>
        <v>-3.1486554845460315</v>
      </c>
      <c r="AD161" s="253">
        <f t="shared" ref="AD161:AE171" si="94">AD176+AD97+AD129-AD145-AD177</f>
        <v>-5.0040909308199826</v>
      </c>
      <c r="AE161" s="253">
        <f t="shared" si="94"/>
        <v>-6.34709522610828</v>
      </c>
    </row>
    <row r="162" spans="1:31">
      <c r="A162" s="240" t="s">
        <v>241</v>
      </c>
      <c r="B162" s="290">
        <f t="shared" si="93"/>
        <v>-12.290347771924413</v>
      </c>
      <c r="C162" s="290">
        <f t="shared" si="93"/>
        <v>7.2651884921922711</v>
      </c>
      <c r="D162" s="290">
        <f t="shared" si="93"/>
        <v>11.505131282051277</v>
      </c>
      <c r="E162" s="290">
        <f t="shared" si="93"/>
        <v>-1.7987274453941111</v>
      </c>
      <c r="F162" s="290">
        <f t="shared" si="93"/>
        <v>5.8121904761904775</v>
      </c>
      <c r="G162" s="290">
        <f t="shared" si="93"/>
        <v>-3.8253372781065096</v>
      </c>
      <c r="H162" s="290">
        <f t="shared" si="93"/>
        <v>-9.9840439560439567</v>
      </c>
      <c r="I162" s="290">
        <f t="shared" si="93"/>
        <v>-18.250339250493099</v>
      </c>
      <c r="J162" s="290">
        <f t="shared" si="93"/>
        <v>-1.0481538461538467</v>
      </c>
      <c r="K162" s="290">
        <f t="shared" si="93"/>
        <v>4.4868414918414921</v>
      </c>
      <c r="L162" s="290">
        <f t="shared" si="93"/>
        <v>-4.4957299145299148</v>
      </c>
      <c r="M162" s="290">
        <f t="shared" si="93"/>
        <v>-0.43784615384615311</v>
      </c>
      <c r="N162" s="290">
        <f t="shared" si="93"/>
        <v>-28.09004395604396</v>
      </c>
      <c r="O162" s="290">
        <f t="shared" si="93"/>
        <v>6.7184307692307685</v>
      </c>
      <c r="P162" s="290">
        <f t="shared" si="93"/>
        <v>7.0885128205128183</v>
      </c>
      <c r="Q162" s="290">
        <f t="shared" si="93"/>
        <v>2.1573333333333333</v>
      </c>
      <c r="R162" s="290">
        <f t="shared" si="93"/>
        <v>1.7969999999999997</v>
      </c>
      <c r="S162" s="290">
        <f t="shared" si="93"/>
        <v>2.456666666666667</v>
      </c>
      <c r="T162" s="290">
        <f t="shared" si="93"/>
        <v>2.0393333333333334</v>
      </c>
      <c r="U162" s="290">
        <f t="shared" si="93"/>
        <v>-5.9468438538206068E-2</v>
      </c>
      <c r="V162" s="290">
        <f t="shared" si="93"/>
        <v>2.4050505050505051</v>
      </c>
      <c r="W162" s="290">
        <f t="shared" si="93"/>
        <v>3.3506410256410262</v>
      </c>
      <c r="X162" s="290">
        <f t="shared" si="93"/>
        <v>2.6642894056847535</v>
      </c>
      <c r="Y162" s="290">
        <f t="shared" si="93"/>
        <v>-9.5757730641453653E-2</v>
      </c>
      <c r="Z162" s="290">
        <f t="shared" si="93"/>
        <v>11.598748276723276</v>
      </c>
      <c r="AA162" s="290">
        <f t="shared" si="93"/>
        <v>4.604998595523071</v>
      </c>
      <c r="AB162" s="290">
        <f t="shared" si="93"/>
        <v>1.4178388159699595</v>
      </c>
      <c r="AC162" s="290">
        <f t="shared" si="93"/>
        <v>3.1812140625121921</v>
      </c>
      <c r="AD162" s="253">
        <f t="shared" si="94"/>
        <v>3.5828205394871642</v>
      </c>
      <c r="AE162" s="253">
        <f t="shared" si="94"/>
        <v>3.7146998930436914</v>
      </c>
    </row>
    <row r="163" spans="1:31">
      <c r="A163" s="240" t="s">
        <v>231</v>
      </c>
      <c r="B163" s="290">
        <f t="shared" si="93"/>
        <v>-6.7727188075795288</v>
      </c>
      <c r="C163" s="290">
        <f t="shared" si="93"/>
        <v>1.8676341880341869</v>
      </c>
      <c r="D163" s="290">
        <f t="shared" si="93"/>
        <v>6.9834912820512809</v>
      </c>
      <c r="E163" s="290">
        <f t="shared" si="93"/>
        <v>0.3440503323836604</v>
      </c>
      <c r="F163" s="290">
        <f t="shared" si="93"/>
        <v>-22.490023809523809</v>
      </c>
      <c r="G163" s="290">
        <f t="shared" si="93"/>
        <v>10.124508875739645</v>
      </c>
      <c r="H163" s="290">
        <f t="shared" si="93"/>
        <v>4.2839560439560449</v>
      </c>
      <c r="I163" s="290">
        <f t="shared" si="93"/>
        <v>4.4804299802761349</v>
      </c>
      <c r="J163" s="290">
        <f t="shared" si="93"/>
        <v>1.3148461538461544</v>
      </c>
      <c r="K163" s="290">
        <f t="shared" si="93"/>
        <v>1.7722505827505821</v>
      </c>
      <c r="L163" s="290">
        <f t="shared" si="93"/>
        <v>-6.5729914529912725E-2</v>
      </c>
      <c r="M163" s="290">
        <f t="shared" si="93"/>
        <v>4.8271538461538475</v>
      </c>
      <c r="N163" s="290">
        <f t="shared" si="93"/>
        <v>5.6185274725274734</v>
      </c>
      <c r="O163" s="290">
        <f t="shared" si="93"/>
        <v>-25.654569230769226</v>
      </c>
      <c r="P163" s="290">
        <f t="shared" si="93"/>
        <v>1.2785128205128218</v>
      </c>
      <c r="Q163" s="290">
        <f t="shared" si="93"/>
        <v>2.4413333333333331</v>
      </c>
      <c r="R163" s="290">
        <f t="shared" si="93"/>
        <v>1.5490000000000002</v>
      </c>
      <c r="S163" s="290">
        <f t="shared" si="93"/>
        <v>3.0766666666666671</v>
      </c>
      <c r="T163" s="290">
        <f t="shared" si="93"/>
        <v>-0.56366666666666632</v>
      </c>
      <c r="U163" s="290">
        <f t="shared" si="93"/>
        <v>1.1604651162790698</v>
      </c>
      <c r="V163" s="290">
        <f t="shared" si="93"/>
        <v>2.3171717171717177</v>
      </c>
      <c r="W163" s="290">
        <f t="shared" si="93"/>
        <v>4.4079326923076918</v>
      </c>
      <c r="X163" s="290">
        <f t="shared" si="93"/>
        <v>2.4086382428940571</v>
      </c>
      <c r="Y163" s="290">
        <f t="shared" si="93"/>
        <v>1.6434449271658562</v>
      </c>
      <c r="Z163" s="290">
        <f t="shared" si="93"/>
        <v>11.815761263736263</v>
      </c>
      <c r="AA163" s="290">
        <f t="shared" si="93"/>
        <v>4.6703556860639051</v>
      </c>
      <c r="AB163" s="290">
        <f t="shared" si="93"/>
        <v>1.1130953475389573</v>
      </c>
      <c r="AC163" s="290" t="e">
        <f t="shared" si="93"/>
        <v>#VALUE!</v>
      </c>
      <c r="AD163" s="253">
        <f t="shared" si="94"/>
        <v>3.8298189829028075</v>
      </c>
      <c r="AE163" s="253">
        <f t="shared" si="94"/>
        <v>4.0311165694030846</v>
      </c>
    </row>
    <row r="164" spans="1:31">
      <c r="A164" s="240" t="s">
        <v>232</v>
      </c>
      <c r="B164" s="290">
        <f t="shared" si="93"/>
        <v>17.209263944389868</v>
      </c>
      <c r="C164" s="290">
        <f t="shared" si="93"/>
        <v>7.9234188034190911E-2</v>
      </c>
      <c r="D164" s="290">
        <f t="shared" si="93"/>
        <v>4.8826912820512822</v>
      </c>
      <c r="E164" s="290">
        <f t="shared" si="93"/>
        <v>16.013679962013299</v>
      </c>
      <c r="F164" s="290">
        <f t="shared" si="93"/>
        <v>10.944119047619047</v>
      </c>
      <c r="G164" s="290">
        <f t="shared" si="93"/>
        <v>-5.6864911242603551</v>
      </c>
      <c r="H164" s="290">
        <f t="shared" si="93"/>
        <v>0.66495604395604835</v>
      </c>
      <c r="I164" s="290">
        <f t="shared" si="93"/>
        <v>4.0645838264299794</v>
      </c>
      <c r="J164" s="290">
        <f t="shared" si="93"/>
        <v>2.937846153846154</v>
      </c>
      <c r="K164" s="290">
        <f t="shared" si="93"/>
        <v>7.3419778554778583</v>
      </c>
      <c r="L164" s="290">
        <f t="shared" si="93"/>
        <v>2.7148700854700865</v>
      </c>
      <c r="M164" s="290">
        <f t="shared" si="93"/>
        <v>3.5451538461538448</v>
      </c>
      <c r="N164" s="290">
        <f t="shared" si="93"/>
        <v>9.2989560439560464</v>
      </c>
      <c r="O164" s="290">
        <f t="shared" si="93"/>
        <v>5.2262307692307699</v>
      </c>
      <c r="P164" s="290">
        <f t="shared" si="93"/>
        <v>2.2505128205128204</v>
      </c>
      <c r="Q164" s="290">
        <f t="shared" si="93"/>
        <v>2.0663333333333331</v>
      </c>
      <c r="R164" s="290">
        <f t="shared" si="93"/>
        <v>1.8409999999999997</v>
      </c>
      <c r="S164" s="290">
        <f t="shared" si="93"/>
        <v>2.3656666666666664</v>
      </c>
      <c r="T164" s="290">
        <f t="shared" si="93"/>
        <v>0.82433333333333336</v>
      </c>
      <c r="U164" s="290">
        <f t="shared" si="93"/>
        <v>1.3199335548172761</v>
      </c>
      <c r="V164" s="290">
        <f t="shared" si="93"/>
        <v>1.5545454545454542</v>
      </c>
      <c r="W164" s="290">
        <f t="shared" si="93"/>
        <v>2.3391826923076926</v>
      </c>
      <c r="X164" s="290">
        <f t="shared" si="93"/>
        <v>1.5235142118863061</v>
      </c>
      <c r="Y164" s="290">
        <f t="shared" si="93"/>
        <v>-0.4097112190135444</v>
      </c>
      <c r="Z164" s="290">
        <f t="shared" si="93"/>
        <v>-11.923378021978023</v>
      </c>
      <c r="AA164" s="290">
        <f t="shared" si="93"/>
        <v>-19.770258321684153</v>
      </c>
      <c r="AB164" s="290">
        <f t="shared" si="93"/>
        <v>0.95904168019167257</v>
      </c>
      <c r="AC164" s="290">
        <f t="shared" si="93"/>
        <v>3.2056800592107755</v>
      </c>
      <c r="AD164" s="253">
        <f t="shared" si="94"/>
        <v>-5.2729622942716778</v>
      </c>
      <c r="AE164" s="253">
        <f t="shared" si="94"/>
        <v>-4.9872717390203922</v>
      </c>
    </row>
    <row r="165" spans="1:31">
      <c r="A165" s="240" t="s">
        <v>233</v>
      </c>
      <c r="B165" s="290">
        <f t="shared" si="93"/>
        <v>19.112923817787884</v>
      </c>
      <c r="C165" s="290">
        <f t="shared" si="93"/>
        <v>13.655234188034193</v>
      </c>
      <c r="D165" s="290">
        <f t="shared" si="93"/>
        <v>22.523091282051283</v>
      </c>
      <c r="E165" s="290">
        <f t="shared" si="93"/>
        <v>17.757198480531819</v>
      </c>
      <c r="F165" s="290">
        <f t="shared" si="93"/>
        <v>9.1378333333333384</v>
      </c>
      <c r="G165" s="290">
        <f t="shared" si="93"/>
        <v>24.400893491124258</v>
      </c>
      <c r="H165" s="290">
        <f t="shared" si="93"/>
        <v>15.103813186813188</v>
      </c>
      <c r="I165" s="290">
        <f t="shared" si="93"/>
        <v>4.2568145956607477</v>
      </c>
      <c r="J165" s="290">
        <f t="shared" si="93"/>
        <v>1.7838461538461563</v>
      </c>
      <c r="K165" s="290">
        <f t="shared" si="93"/>
        <v>5.8783414918414927</v>
      </c>
      <c r="L165" s="290">
        <f t="shared" si="93"/>
        <v>7.3970700854700864</v>
      </c>
      <c r="M165" s="290">
        <f t="shared" si="93"/>
        <v>5.488153846153847</v>
      </c>
      <c r="N165" s="290">
        <f t="shared" si="93"/>
        <v>4.4505274725274724</v>
      </c>
      <c r="O165" s="290">
        <f t="shared" si="93"/>
        <v>7.9154307692307686</v>
      </c>
      <c r="P165" s="290">
        <f t="shared" si="93"/>
        <v>-16.173487179487182</v>
      </c>
      <c r="Q165" s="290">
        <f t="shared" si="93"/>
        <v>2.8223333333333334</v>
      </c>
      <c r="R165" s="290">
        <f t="shared" si="93"/>
        <v>1.1560000000000001</v>
      </c>
      <c r="S165" s="290">
        <f t="shared" si="93"/>
        <v>-1.9563333333333333</v>
      </c>
      <c r="T165" s="290">
        <f t="shared" si="93"/>
        <v>3.0093333333333336</v>
      </c>
      <c r="U165" s="290">
        <f t="shared" si="93"/>
        <v>-7.9401993355481384E-2</v>
      </c>
      <c r="V165" s="290">
        <f t="shared" si="93"/>
        <v>3.0292929292929291</v>
      </c>
      <c r="W165" s="290">
        <f t="shared" si="93"/>
        <v>3.2506410256410252</v>
      </c>
      <c r="X165" s="290">
        <f t="shared" si="93"/>
        <v>3.4392506459948313</v>
      </c>
      <c r="Y165" s="290">
        <f t="shared" si="93"/>
        <v>0.77135190391004227</v>
      </c>
      <c r="Z165" s="290">
        <f t="shared" si="93"/>
        <v>11.970620679320678</v>
      </c>
      <c r="AA165" s="290">
        <f t="shared" si="93"/>
        <v>3.3258955950440661</v>
      </c>
      <c r="AB165" s="290">
        <f t="shared" si="93"/>
        <v>1.5412371878669304</v>
      </c>
      <c r="AC165" s="290">
        <f t="shared" si="93"/>
        <v>3.9509965919647985</v>
      </c>
      <c r="AD165" s="253">
        <f t="shared" si="94"/>
        <v>3.7364243777036585</v>
      </c>
      <c r="AE165" s="253">
        <f t="shared" si="94"/>
        <v>3.8711814675670286</v>
      </c>
    </row>
    <row r="166" spans="1:31">
      <c r="A166" s="240" t="s">
        <v>234</v>
      </c>
      <c r="B166" s="290">
        <f t="shared" si="93"/>
        <v>-23.203846070701648</v>
      </c>
      <c r="C166" s="290">
        <f t="shared" si="93"/>
        <v>-3.2670324786324789</v>
      </c>
      <c r="D166" s="290">
        <f t="shared" si="93"/>
        <v>1.6261712820512779</v>
      </c>
      <c r="E166" s="290">
        <f t="shared" si="93"/>
        <v>-22.558912630579307</v>
      </c>
      <c r="F166" s="290">
        <f t="shared" si="93"/>
        <v>19.748690476190475</v>
      </c>
      <c r="G166" s="290">
        <f t="shared" si="93"/>
        <v>2.5162011834319506</v>
      </c>
      <c r="H166" s="290">
        <f t="shared" si="93"/>
        <v>7.0119560439560455</v>
      </c>
      <c r="I166" s="290">
        <f t="shared" si="93"/>
        <v>5.9471992110453638</v>
      </c>
      <c r="J166" s="290">
        <f t="shared" si="93"/>
        <v>1.8048461538461547</v>
      </c>
      <c r="K166" s="290">
        <f t="shared" si="93"/>
        <v>-7.6630675990675998</v>
      </c>
      <c r="L166" s="290">
        <f t="shared" si="93"/>
        <v>2.7593367521367567</v>
      </c>
      <c r="M166" s="290">
        <f t="shared" si="93"/>
        <v>-13.631846153846153</v>
      </c>
      <c r="N166" s="290">
        <f t="shared" si="93"/>
        <v>-0.94918681318681419</v>
      </c>
      <c r="O166" s="290">
        <f t="shared" si="93"/>
        <v>-16.31776923076923</v>
      </c>
      <c r="P166" s="290">
        <f t="shared" si="93"/>
        <v>0.95051282051282049</v>
      </c>
      <c r="Q166" s="290">
        <f t="shared" si="93"/>
        <v>1.3643333333333332</v>
      </c>
      <c r="R166" s="290">
        <f t="shared" si="93"/>
        <v>-0.63500000000000012</v>
      </c>
      <c r="S166" s="290">
        <f t="shared" si="93"/>
        <v>1.7186666666666666</v>
      </c>
      <c r="T166" s="290">
        <f t="shared" si="93"/>
        <v>2.7643333333333335</v>
      </c>
      <c r="U166" s="290">
        <f t="shared" si="93"/>
        <v>-2.1554817275747506</v>
      </c>
      <c r="V166" s="290">
        <f t="shared" si="93"/>
        <v>3.1020202020202015</v>
      </c>
      <c r="W166" s="290">
        <f t="shared" si="93"/>
        <v>3.3100160256410258</v>
      </c>
      <c r="X166" s="290">
        <f t="shared" si="93"/>
        <v>2.4274677002583975</v>
      </c>
      <c r="Y166" s="290">
        <f t="shared" si="93"/>
        <v>0.23912599028878095</v>
      </c>
      <c r="Z166" s="290">
        <f t="shared" si="93"/>
        <v>10.339668731268725</v>
      </c>
      <c r="AA166" s="290">
        <f t="shared" si="93"/>
        <v>6.2737762600655893</v>
      </c>
      <c r="AB166" s="290">
        <f t="shared" si="93"/>
        <v>0.22639796827284783</v>
      </c>
      <c r="AC166" s="253" t="e">
        <f t="shared" ref="AC166:AC171" si="95">AC181+AC102+AC134-AC150-AC182</f>
        <v>#VALUE!</v>
      </c>
      <c r="AD166" s="253">
        <f t="shared" si="94"/>
        <v>3.4636714089415133</v>
      </c>
      <c r="AE166" s="253">
        <f t="shared" si="94"/>
        <v>3.7222144427623891</v>
      </c>
    </row>
    <row r="167" spans="1:31">
      <c r="A167" s="240" t="s">
        <v>46</v>
      </c>
      <c r="B167" s="290">
        <f t="shared" si="93"/>
        <v>-6.7882805815398539</v>
      </c>
      <c r="C167" s="290">
        <f t="shared" si="93"/>
        <v>-22.760632478632488</v>
      </c>
      <c r="D167" s="290">
        <f t="shared" si="93"/>
        <v>-10.848628717948717</v>
      </c>
      <c r="E167" s="290">
        <f t="shared" si="93"/>
        <v>-6.6740978157644903</v>
      </c>
      <c r="F167" s="290">
        <f t="shared" si="93"/>
        <v>15.029904761904767</v>
      </c>
      <c r="G167" s="290">
        <f t="shared" si="93"/>
        <v>23.318662721893489</v>
      </c>
      <c r="H167" s="290">
        <f t="shared" si="93"/>
        <v>-4.3029010989011018</v>
      </c>
      <c r="I167" s="290">
        <f t="shared" si="93"/>
        <v>3.5444299802761332</v>
      </c>
      <c r="J167" s="290">
        <f t="shared" si="93"/>
        <v>3.6898461538461529</v>
      </c>
      <c r="K167" s="290">
        <f t="shared" si="93"/>
        <v>6.9781142191142171</v>
      </c>
      <c r="L167" s="290">
        <f t="shared" si="93"/>
        <v>-8.9091965811965821</v>
      </c>
      <c r="M167" s="290">
        <f t="shared" si="93"/>
        <v>-4.3388461538461529</v>
      </c>
      <c r="N167" s="290">
        <f t="shared" si="93"/>
        <v>3.348241758241759</v>
      </c>
      <c r="O167" s="290">
        <f t="shared" si="93"/>
        <v>-4.147369230769228</v>
      </c>
      <c r="P167" s="290">
        <f t="shared" si="93"/>
        <v>-1.2414871794871791</v>
      </c>
      <c r="Q167" s="290">
        <f t="shared" si="93"/>
        <v>-19.560666666666666</v>
      </c>
      <c r="R167" s="290">
        <f t="shared" si="93"/>
        <v>-2.4580000000000002</v>
      </c>
      <c r="S167" s="290">
        <f t="shared" si="93"/>
        <v>-19.230333333333334</v>
      </c>
      <c r="T167" s="290">
        <f t="shared" si="93"/>
        <v>2.4593333333333338</v>
      </c>
      <c r="U167" s="290">
        <f t="shared" si="93"/>
        <v>-1.3531561461794015</v>
      </c>
      <c r="V167" s="290">
        <f t="shared" si="93"/>
        <v>-11.429292929292929</v>
      </c>
      <c r="W167" s="290">
        <f t="shared" si="93"/>
        <v>4.232932692307692</v>
      </c>
      <c r="X167" s="290">
        <f t="shared" si="93"/>
        <v>-0.4637726098191236</v>
      </c>
      <c r="Y167" s="290">
        <f t="shared" si="93"/>
        <v>1.1580628673651934</v>
      </c>
      <c r="Z167" s="290">
        <f t="shared" si="93"/>
        <v>-12.408267632367627</v>
      </c>
      <c r="AA167" s="290">
        <f t="shared" si="93"/>
        <v>4.2235312064950836</v>
      </c>
      <c r="AB167" s="290">
        <f t="shared" si="93"/>
        <v>0.6937403442608131</v>
      </c>
      <c r="AC167" s="253" t="e">
        <f t="shared" si="95"/>
        <v>#VALUE!</v>
      </c>
      <c r="AD167" s="253">
        <f t="shared" si="94"/>
        <v>-1.2026252991533819</v>
      </c>
      <c r="AE167" s="253">
        <f t="shared" si="94"/>
        <v>-1.2261668167916291</v>
      </c>
    </row>
    <row r="168" spans="1:31">
      <c r="A168" s="240" t="s">
        <v>235</v>
      </c>
      <c r="B168" s="290">
        <f t="shared" si="93"/>
        <v>-6.2561512255157661</v>
      </c>
      <c r="C168" s="290">
        <f t="shared" si="93"/>
        <v>8.2054341880341948</v>
      </c>
      <c r="D168" s="290">
        <f t="shared" si="93"/>
        <v>-2.8003887179487164</v>
      </c>
      <c r="E168" s="290">
        <f t="shared" si="93"/>
        <v>15.209976258309592</v>
      </c>
      <c r="F168" s="290">
        <f t="shared" si="93"/>
        <v>12.255904761904764</v>
      </c>
      <c r="G168" s="290">
        <f t="shared" si="93"/>
        <v>-9.0010295857988147</v>
      </c>
      <c r="H168" s="290">
        <f t="shared" si="93"/>
        <v>18.090956043956044</v>
      </c>
      <c r="I168" s="290">
        <f t="shared" si="93"/>
        <v>4.074276134122286</v>
      </c>
      <c r="J168" s="290">
        <f t="shared" si="93"/>
        <v>3.1568461538461534</v>
      </c>
      <c r="K168" s="290">
        <f t="shared" si="93"/>
        <v>-5.1303403263403267</v>
      </c>
      <c r="L168" s="290">
        <f t="shared" si="93"/>
        <v>-11.132396581196575</v>
      </c>
      <c r="M168" s="290">
        <f t="shared" si="93"/>
        <v>5.1031538461538455</v>
      </c>
      <c r="N168" s="290">
        <f t="shared" si="93"/>
        <v>4.4473846153846157</v>
      </c>
      <c r="O168" s="290">
        <f t="shared" si="93"/>
        <v>9.0410307692307654</v>
      </c>
      <c r="P168" s="290">
        <f t="shared" si="93"/>
        <v>1.5805128205128209</v>
      </c>
      <c r="Q168" s="290">
        <f t="shared" si="93"/>
        <v>3.6143333333333332</v>
      </c>
      <c r="R168" s="290">
        <f t="shared" si="93"/>
        <v>1.2799999999999998</v>
      </c>
      <c r="S168" s="290">
        <f t="shared" si="93"/>
        <v>3.5026666666666664</v>
      </c>
      <c r="T168" s="290">
        <f t="shared" si="93"/>
        <v>-19.710666666666668</v>
      </c>
      <c r="U168" s="290">
        <f t="shared" si="93"/>
        <v>0.38205980066445222</v>
      </c>
      <c r="V168" s="290">
        <f t="shared" si="93"/>
        <v>-8.5010101010100989</v>
      </c>
      <c r="W168" s="290">
        <f t="shared" si="93"/>
        <v>-5.5254006410256409</v>
      </c>
      <c r="X168" s="290">
        <f t="shared" si="93"/>
        <v>4.6606459948320422</v>
      </c>
      <c r="Y168" s="290">
        <f t="shared" si="93"/>
        <v>1.9056160235113713</v>
      </c>
      <c r="Z168" s="290">
        <f t="shared" si="93"/>
        <v>11.047955094905097</v>
      </c>
      <c r="AA168" s="290">
        <f t="shared" si="93"/>
        <v>5.8519377856310086</v>
      </c>
      <c r="AB168" s="290">
        <f t="shared" si="93"/>
        <v>-0.38210282464001194</v>
      </c>
      <c r="AC168" s="253" t="e">
        <f t="shared" si="95"/>
        <v>#VALUE!</v>
      </c>
      <c r="AD168" s="253">
        <f t="shared" si="94"/>
        <v>4.0933501219692721</v>
      </c>
      <c r="AE168" s="253">
        <f t="shared" si="94"/>
        <v>3.8276862975183223</v>
      </c>
    </row>
    <row r="169" spans="1:31">
      <c r="A169" s="240" t="s">
        <v>236</v>
      </c>
      <c r="B169" s="290">
        <f t="shared" ref="B169:AB171" si="96">B184+B105+C128-B153-B185</f>
        <v>-1.8374152409573354</v>
      </c>
      <c r="C169" s="290">
        <f t="shared" si="96"/>
        <v>-7.3651658119658121</v>
      </c>
      <c r="D169" s="290">
        <f t="shared" si="96"/>
        <v>18.197931282051275</v>
      </c>
      <c r="E169" s="290">
        <f t="shared" si="96"/>
        <v>26.266902184235523</v>
      </c>
      <c r="F169" s="290">
        <f t="shared" si="96"/>
        <v>26.320333333333327</v>
      </c>
      <c r="G169" s="290">
        <f t="shared" si="96"/>
        <v>5.9370473372781056</v>
      </c>
      <c r="H169" s="290">
        <f t="shared" si="96"/>
        <v>7.3065274725274705</v>
      </c>
      <c r="I169" s="290">
        <f t="shared" si="96"/>
        <v>8.2570453648915194</v>
      </c>
      <c r="J169" s="290">
        <f t="shared" si="96"/>
        <v>2.3678461538461542</v>
      </c>
      <c r="K169" s="290">
        <f t="shared" si="96"/>
        <v>7.7685233100233084</v>
      </c>
      <c r="L169" s="290">
        <f t="shared" si="96"/>
        <v>4.2756700854700869</v>
      </c>
      <c r="M169" s="290">
        <f t="shared" si="96"/>
        <v>-11.386846153846152</v>
      </c>
      <c r="N169" s="290">
        <f t="shared" si="96"/>
        <v>5.0105274725274711</v>
      </c>
      <c r="O169" s="290">
        <f t="shared" si="96"/>
        <v>9.0380307692307706</v>
      </c>
      <c r="P169" s="290">
        <f t="shared" si="96"/>
        <v>3.1165128205128205</v>
      </c>
      <c r="Q169" s="290">
        <f t="shared" si="96"/>
        <v>1.3553333333333331</v>
      </c>
      <c r="R169" s="290">
        <f t="shared" si="96"/>
        <v>2.0830000000000002</v>
      </c>
      <c r="S169" s="290">
        <f t="shared" si="96"/>
        <v>4.8946666666666667</v>
      </c>
      <c r="T169" s="290">
        <f t="shared" si="96"/>
        <v>3.9753333333333325</v>
      </c>
      <c r="U169" s="290">
        <f t="shared" si="96"/>
        <v>1.9617940199335551</v>
      </c>
      <c r="V169" s="290">
        <f t="shared" si="96"/>
        <v>4.0737373737373739</v>
      </c>
      <c r="W169" s="290">
        <f t="shared" si="96"/>
        <v>-0.48581730769230724</v>
      </c>
      <c r="X169" s="290">
        <f t="shared" si="96"/>
        <v>5.8945064599483219</v>
      </c>
      <c r="Y169" s="290">
        <f t="shared" si="96"/>
        <v>0.91590805008944554</v>
      </c>
      <c r="Z169" s="290">
        <f t="shared" si="96"/>
        <v>-13.595281918081914</v>
      </c>
      <c r="AA169" s="290">
        <f t="shared" si="96"/>
        <v>5.7795259169975015</v>
      </c>
      <c r="AB169" s="290">
        <f t="shared" si="96"/>
        <v>1.1347784211881751</v>
      </c>
      <c r="AC169" s="253" t="e">
        <f t="shared" si="95"/>
        <v>#VALUE!</v>
      </c>
      <c r="AD169" s="253">
        <f t="shared" si="94"/>
        <v>-3.9095313447280828E-3</v>
      </c>
      <c r="AE169" s="253">
        <f t="shared" si="94"/>
        <v>-1.0735371148687012</v>
      </c>
    </row>
    <row r="170" spans="1:31">
      <c r="A170" s="240" t="s">
        <v>237</v>
      </c>
      <c r="B170" s="290">
        <f t="shared" si="96"/>
        <v>10.647220378121515</v>
      </c>
      <c r="C170" s="290">
        <f t="shared" si="96"/>
        <v>-0.18463247863247426</v>
      </c>
      <c r="D170" s="290">
        <f t="shared" si="96"/>
        <v>24.438051282051276</v>
      </c>
      <c r="E170" s="290">
        <f t="shared" si="96"/>
        <v>-1.0015052231718864</v>
      </c>
      <c r="F170" s="290">
        <f t="shared" si="96"/>
        <v>36.585690476190479</v>
      </c>
      <c r="G170" s="290">
        <f t="shared" si="96"/>
        <v>26.320508875739648</v>
      </c>
      <c r="H170" s="290">
        <f t="shared" si="96"/>
        <v>8.6330989010989025</v>
      </c>
      <c r="I170" s="290">
        <f t="shared" si="96"/>
        <v>1.1144299802761322</v>
      </c>
      <c r="J170" s="290">
        <f t="shared" si="96"/>
        <v>5.0248461538461529</v>
      </c>
      <c r="K170" s="290">
        <f t="shared" si="96"/>
        <v>10.83170512820513</v>
      </c>
      <c r="L170" s="290">
        <f t="shared" si="96"/>
        <v>-1.6858632478632407</v>
      </c>
      <c r="M170" s="290">
        <f t="shared" si="96"/>
        <v>5.1171538461538466</v>
      </c>
      <c r="N170" s="290">
        <f t="shared" si="96"/>
        <v>10.13067032967033</v>
      </c>
      <c r="O170" s="290">
        <f t="shared" si="96"/>
        <v>9.9658307692307702</v>
      </c>
      <c r="P170" s="290">
        <f t="shared" si="96"/>
        <v>2.3605128205128203</v>
      </c>
      <c r="Q170" s="290">
        <f t="shared" si="96"/>
        <v>3.0273333333333334</v>
      </c>
      <c r="R170" s="290">
        <f t="shared" si="96"/>
        <v>-2.0700000000000003</v>
      </c>
      <c r="S170" s="290">
        <f t="shared" si="96"/>
        <v>4.1146666666666665</v>
      </c>
      <c r="T170" s="290">
        <f t="shared" si="96"/>
        <v>3.6483333333333325</v>
      </c>
      <c r="U170" s="290">
        <f t="shared" si="96"/>
        <v>-0.73322259136212609</v>
      </c>
      <c r="V170" s="290">
        <f t="shared" si="96"/>
        <v>4.0383838383838375</v>
      </c>
      <c r="W170" s="290">
        <f t="shared" si="96"/>
        <v>-13.594150641025642</v>
      </c>
      <c r="X170" s="290">
        <f t="shared" si="96"/>
        <v>-22.133462532299742</v>
      </c>
      <c r="Y170" s="290">
        <f t="shared" si="96"/>
        <v>0.59909808331203651</v>
      </c>
      <c r="Z170" s="290">
        <f t="shared" si="96"/>
        <v>12.805151523476523</v>
      </c>
      <c r="AA170" s="290">
        <f t="shared" si="96"/>
        <v>6.0423764739773889</v>
      </c>
      <c r="AB170" s="290">
        <f t="shared" si="96"/>
        <v>0.80482923834775044</v>
      </c>
      <c r="AC170" s="253" t="e">
        <f t="shared" si="95"/>
        <v>#VALUE!</v>
      </c>
      <c r="AD170" s="253">
        <f t="shared" si="94"/>
        <v>-0.28622339711850148</v>
      </c>
      <c r="AE170" s="253">
        <f t="shared" si="94"/>
        <v>3.1554424268957781</v>
      </c>
    </row>
    <row r="171" spans="1:31">
      <c r="A171" s="240" t="s">
        <v>238</v>
      </c>
      <c r="B171" s="290">
        <f t="shared" si="96"/>
        <v>20.061411267384578</v>
      </c>
      <c r="C171" s="290">
        <f t="shared" si="96"/>
        <v>2.5512239316239325</v>
      </c>
      <c r="D171" s="290">
        <f t="shared" si="96"/>
        <v>15.442395897435887</v>
      </c>
      <c r="E171" s="290">
        <f t="shared" si="96"/>
        <v>23.102038936372256</v>
      </c>
      <c r="F171" s="290">
        <f t="shared" si="96"/>
        <v>33.233976190476191</v>
      </c>
      <c r="G171" s="290">
        <f t="shared" si="96"/>
        <v>12.856171597633137</v>
      </c>
      <c r="H171" s="290">
        <f t="shared" si="96"/>
        <v>-5.247087912087923</v>
      </c>
      <c r="I171" s="290">
        <f t="shared" si="96"/>
        <v>4.9879625246548338</v>
      </c>
      <c r="J171" s="290">
        <f t="shared" si="96"/>
        <v>2.4616923076923083</v>
      </c>
      <c r="K171" s="290">
        <f t="shared" si="96"/>
        <v>7.5231981351981343</v>
      </c>
      <c r="L171" s="290">
        <f t="shared" si="96"/>
        <v>10.989895726495716</v>
      </c>
      <c r="M171" s="290">
        <f t="shared" si="96"/>
        <v>2.9943076923076859</v>
      </c>
      <c r="N171" s="290">
        <f t="shared" si="96"/>
        <v>10.592054945054947</v>
      </c>
      <c r="O171" s="290">
        <f t="shared" si="96"/>
        <v>11.310061538461532</v>
      </c>
      <c r="P171" s="290">
        <f t="shared" si="96"/>
        <v>1.0073589743589744</v>
      </c>
      <c r="Q171" s="290">
        <f t="shared" si="96"/>
        <v>3.9683333333333337</v>
      </c>
      <c r="R171" s="290">
        <f t="shared" si="96"/>
        <v>0.9640000000000003</v>
      </c>
      <c r="S171" s="290">
        <f t="shared" si="96"/>
        <v>3.5516666666666659</v>
      </c>
      <c r="T171" s="290">
        <f t="shared" si="96"/>
        <v>3.9773333333333332</v>
      </c>
      <c r="U171" s="290">
        <f t="shared" si="96"/>
        <v>1.9906976744186047</v>
      </c>
      <c r="V171" s="290">
        <f t="shared" si="96"/>
        <v>4.3373737373737367</v>
      </c>
      <c r="W171" s="290">
        <f t="shared" si="96"/>
        <v>4.3637820512820511</v>
      </c>
      <c r="X171" s="290">
        <f t="shared" si="96"/>
        <v>1.3224289405684715</v>
      </c>
      <c r="Y171" s="290">
        <f t="shared" si="96"/>
        <v>-2.3107513416815713</v>
      </c>
      <c r="Z171" s="290">
        <f t="shared" si="96"/>
        <v>-10.533956043956055</v>
      </c>
      <c r="AA171" s="290">
        <f t="shared" si="96"/>
        <v>3.5686871577586166</v>
      </c>
      <c r="AB171" s="290">
        <f t="shared" si="96"/>
        <v>0.30716980909539426</v>
      </c>
      <c r="AC171" s="253">
        <f t="shared" si="95"/>
        <v>0.14858152088906842</v>
      </c>
      <c r="AD171" s="253">
        <f t="shared" si="94"/>
        <v>-1.3541201215815764</v>
      </c>
      <c r="AE171" s="253">
        <f t="shared" si="94"/>
        <v>-1.5730630637954319</v>
      </c>
    </row>
    <row r="172" spans="1:31" ht="15.75" thickBot="1">
      <c r="A172" s="240" t="s">
        <v>242</v>
      </c>
      <c r="B172" s="146">
        <f>SUM(B160:B171)</f>
        <v>25.779394770413237</v>
      </c>
      <c r="C172" s="146">
        <f t="shared" ref="C172:AE172" si="97">SUM(C160:C171)</f>
        <v>24.909428471121736</v>
      </c>
      <c r="D172" s="146">
        <f t="shared" si="97"/>
        <v>94.89167999999998</v>
      </c>
      <c r="E172" s="146">
        <f t="shared" si="97"/>
        <v>61.256703703703693</v>
      </c>
      <c r="F172" s="146">
        <f t="shared" si="97"/>
        <v>166.5467142857143</v>
      </c>
      <c r="G172" s="146">
        <f t="shared" si="97"/>
        <v>129.99538461538461</v>
      </c>
      <c r="H172" s="146">
        <f t="shared" si="97"/>
        <v>51.654142857142851</v>
      </c>
      <c r="I172" s="146">
        <f t="shared" si="97"/>
        <v>15.824153846153834</v>
      </c>
      <c r="J172" s="146">
        <f t="shared" si="97"/>
        <v>10.583000000000004</v>
      </c>
      <c r="K172" s="146">
        <f t="shared" si="97"/>
        <v>52.163636363636364</v>
      </c>
      <c r="L172" s="146">
        <f t="shared" si="97"/>
        <v>18.581200000000013</v>
      </c>
      <c r="M172" s="146">
        <f t="shared" si="97"/>
        <v>7.1740000000000022</v>
      </c>
      <c r="N172" s="146">
        <f t="shared" si="97"/>
        <v>13.541857142857149</v>
      </c>
      <c r="O172" s="146">
        <f t="shared" si="97"/>
        <v>10.8102</v>
      </c>
      <c r="P172" s="146">
        <f t="shared" si="97"/>
        <v>7.5849999999999937</v>
      </c>
      <c r="Q172" s="146">
        <f t="shared" si="97"/>
        <v>7.8099999999999987</v>
      </c>
      <c r="R172" s="146">
        <f t="shared" si="97"/>
        <v>5.8650000000000002</v>
      </c>
      <c r="S172" s="146">
        <f t="shared" si="97"/>
        <v>7.1469999999999976</v>
      </c>
      <c r="T172" s="146">
        <f t="shared" si="97"/>
        <v>6.3179999999999987</v>
      </c>
      <c r="U172" s="146">
        <f t="shared" si="97"/>
        <v>5.7179401993355512</v>
      </c>
      <c r="V172" s="146">
        <f t="shared" si="97"/>
        <v>9.693939393939397</v>
      </c>
      <c r="W172" s="146">
        <f t="shared" si="97"/>
        <v>13.285416666666663</v>
      </c>
      <c r="X172" s="146">
        <f t="shared" si="97"/>
        <v>11.746341085271315</v>
      </c>
      <c r="Y172" s="146">
        <f t="shared" si="97"/>
        <v>4.7860016611295659</v>
      </c>
      <c r="Z172" s="253">
        <f t="shared" si="97"/>
        <v>21.940171753246744</v>
      </c>
      <c r="AA172" s="253">
        <f t="shared" si="97"/>
        <v>10.825011184962342</v>
      </c>
      <c r="AB172" s="253">
        <f t="shared" si="97"/>
        <v>9.2417239938073656</v>
      </c>
      <c r="AC172" s="253" t="e">
        <f t="shared" si="97"/>
        <v>#VALUE!</v>
      </c>
      <c r="AD172" s="253">
        <f t="shared" si="97"/>
        <v>10.342158324734598</v>
      </c>
      <c r="AE172" s="253">
        <f t="shared" si="97"/>
        <v>10.209597292125562</v>
      </c>
    </row>
    <row r="173" spans="1:31">
      <c r="A173" s="248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</row>
    <row r="174" spans="1:31" ht="15.75" thickBot="1">
      <c r="A174" s="235" t="s">
        <v>259</v>
      </c>
      <c r="Y174" s="146"/>
    </row>
    <row r="175" spans="1:31" ht="15.75" thickBot="1">
      <c r="A175" s="236"/>
      <c r="B175" s="237" t="str">
        <f>B$2</f>
        <v xml:space="preserve">93/94 </v>
      </c>
      <c r="C175" s="237" t="str">
        <f t="shared" ref="C175:AE175" si="98">C$2</f>
        <v xml:space="preserve">94/95 </v>
      </c>
      <c r="D175" s="237" t="str">
        <f t="shared" si="98"/>
        <v xml:space="preserve">95/96 </v>
      </c>
      <c r="E175" s="237" t="str">
        <f t="shared" si="98"/>
        <v xml:space="preserve">96/97 </v>
      </c>
      <c r="F175" s="237" t="str">
        <f t="shared" si="98"/>
        <v xml:space="preserve">97/98 </v>
      </c>
      <c r="G175" s="237" t="str">
        <f t="shared" si="98"/>
        <v xml:space="preserve">98/99 </v>
      </c>
      <c r="H175" s="237" t="str">
        <f t="shared" si="98"/>
        <v xml:space="preserve">99/00 </v>
      </c>
      <c r="I175" s="237" t="str">
        <f t="shared" si="98"/>
        <v xml:space="preserve">00/01 </v>
      </c>
      <c r="J175" s="237" t="str">
        <f t="shared" si="98"/>
        <v xml:space="preserve">01/02 </v>
      </c>
      <c r="K175" s="237" t="str">
        <f t="shared" si="98"/>
        <v xml:space="preserve">02/03 </v>
      </c>
      <c r="L175" s="237" t="str">
        <f t="shared" si="98"/>
        <v xml:space="preserve">03/04 </v>
      </c>
      <c r="M175" s="237" t="str">
        <f t="shared" si="98"/>
        <v xml:space="preserve">04/05 </v>
      </c>
      <c r="N175" s="237" t="str">
        <f t="shared" si="98"/>
        <v xml:space="preserve">05/06 </v>
      </c>
      <c r="O175" s="237" t="str">
        <f t="shared" si="98"/>
        <v xml:space="preserve">06/07 </v>
      </c>
      <c r="P175" s="237" t="str">
        <f t="shared" si="98"/>
        <v xml:space="preserve">07/08 </v>
      </c>
      <c r="Q175" s="237" t="str">
        <f t="shared" si="98"/>
        <v xml:space="preserve">08/09 </v>
      </c>
      <c r="R175" s="237" t="str">
        <f t="shared" si="98"/>
        <v xml:space="preserve">09/10 </v>
      </c>
      <c r="S175" s="237" t="str">
        <f t="shared" si="98"/>
        <v xml:space="preserve">10/11 </v>
      </c>
      <c r="T175" s="237" t="str">
        <f t="shared" si="98"/>
        <v xml:space="preserve">11/12 </v>
      </c>
      <c r="U175" s="237" t="str">
        <f t="shared" si="98"/>
        <v xml:space="preserve">12/13 </v>
      </c>
      <c r="V175" s="237" t="str">
        <f t="shared" si="98"/>
        <v xml:space="preserve">13/14 </v>
      </c>
      <c r="W175" s="237" t="str">
        <f t="shared" si="98"/>
        <v xml:space="preserve">14/15 </v>
      </c>
      <c r="X175" s="237" t="str">
        <f t="shared" si="98"/>
        <v xml:space="preserve">15/16 </v>
      </c>
      <c r="Y175" s="237" t="str">
        <f t="shared" si="98"/>
        <v xml:space="preserve">16/17 </v>
      </c>
      <c r="Z175" s="237" t="str">
        <f t="shared" si="98"/>
        <v xml:space="preserve">17/18 </v>
      </c>
      <c r="AA175" s="237" t="str">
        <f t="shared" si="98"/>
        <v xml:space="preserve">18/19 </v>
      </c>
      <c r="AB175" s="237" t="str">
        <f t="shared" si="98"/>
        <v xml:space="preserve">19/20 </v>
      </c>
      <c r="AC175" s="237" t="str">
        <f t="shared" si="98"/>
        <v xml:space="preserve">20/21 </v>
      </c>
      <c r="AD175" s="237" t="str">
        <f t="shared" si="98"/>
        <v xml:space="preserve">21/22 </v>
      </c>
      <c r="AE175" s="237" t="str">
        <f t="shared" si="98"/>
        <v xml:space="preserve">22/23 </v>
      </c>
    </row>
    <row r="176" spans="1:31">
      <c r="A176" s="240" t="s">
        <v>239</v>
      </c>
      <c r="B176" s="290">
        <f>(B$187-B$22)/13+B22</f>
        <v>0</v>
      </c>
      <c r="C176" s="290">
        <f>(C$187-B$187)/13+B187</f>
        <v>0</v>
      </c>
      <c r="D176" s="290">
        <f t="shared" ref="D176:AE176" si="99">(D$187-C$187)/13+C187</f>
        <v>0</v>
      </c>
      <c r="E176" s="290">
        <f t="shared" si="99"/>
        <v>0</v>
      </c>
      <c r="F176" s="290">
        <f t="shared" si="99"/>
        <v>0</v>
      </c>
      <c r="G176" s="290">
        <f t="shared" si="99"/>
        <v>0</v>
      </c>
      <c r="H176" s="290">
        <f t="shared" si="99"/>
        <v>0</v>
      </c>
      <c r="I176" s="290">
        <f t="shared" si="99"/>
        <v>0</v>
      </c>
      <c r="J176" s="290">
        <f t="shared" si="99"/>
        <v>0</v>
      </c>
      <c r="K176" s="290">
        <f t="shared" si="99"/>
        <v>0</v>
      </c>
      <c r="L176" s="290">
        <f t="shared" si="99"/>
        <v>0</v>
      </c>
      <c r="M176" s="290">
        <f t="shared" si="99"/>
        <v>0</v>
      </c>
      <c r="N176" s="290">
        <f t="shared" si="99"/>
        <v>0</v>
      </c>
      <c r="O176" s="290">
        <f t="shared" si="99"/>
        <v>0</v>
      </c>
      <c r="P176" s="290">
        <f t="shared" si="99"/>
        <v>0</v>
      </c>
      <c r="Q176" s="290">
        <f t="shared" si="99"/>
        <v>0</v>
      </c>
      <c r="R176" s="290">
        <f t="shared" si="99"/>
        <v>0</v>
      </c>
      <c r="S176" s="290">
        <f t="shared" si="99"/>
        <v>0</v>
      </c>
      <c r="T176" s="290">
        <f t="shared" si="99"/>
        <v>0</v>
      </c>
      <c r="U176" s="290">
        <f t="shared" si="99"/>
        <v>0</v>
      </c>
      <c r="V176" s="290">
        <f t="shared" si="99"/>
        <v>0</v>
      </c>
      <c r="W176" s="290">
        <f t="shared" si="99"/>
        <v>0</v>
      </c>
      <c r="X176" s="290">
        <f t="shared" si="99"/>
        <v>0</v>
      </c>
      <c r="Y176" s="290">
        <f t="shared" si="99"/>
        <v>0</v>
      </c>
      <c r="Z176" s="290">
        <f t="shared" si="99"/>
        <v>0</v>
      </c>
      <c r="AA176" s="290">
        <f t="shared" si="99"/>
        <v>0</v>
      </c>
      <c r="AB176" s="290">
        <f t="shared" si="99"/>
        <v>0</v>
      </c>
      <c r="AC176" s="290">
        <f t="shared" si="99"/>
        <v>0</v>
      </c>
      <c r="AD176" s="252">
        <f t="shared" si="99"/>
        <v>0</v>
      </c>
      <c r="AE176" s="252">
        <f t="shared" si="99"/>
        <v>0</v>
      </c>
    </row>
    <row r="177" spans="1:31">
      <c r="A177" s="240" t="s">
        <v>240</v>
      </c>
      <c r="B177" s="290">
        <f>(B$187-B$22)/13+B176</f>
        <v>0</v>
      </c>
      <c r="C177" s="290">
        <f>(C$187-B$187)/13+C176</f>
        <v>0</v>
      </c>
      <c r="D177" s="290">
        <f t="shared" ref="D177:AE186" si="100">(D$187-C$187)/13+D176</f>
        <v>0</v>
      </c>
      <c r="E177" s="290">
        <f t="shared" si="100"/>
        <v>0</v>
      </c>
      <c r="F177" s="290">
        <f t="shared" si="100"/>
        <v>0</v>
      </c>
      <c r="G177" s="290">
        <f t="shared" si="100"/>
        <v>0</v>
      </c>
      <c r="H177" s="290">
        <f t="shared" si="100"/>
        <v>0</v>
      </c>
      <c r="I177" s="290">
        <f t="shared" si="100"/>
        <v>0</v>
      </c>
      <c r="J177" s="290">
        <f t="shared" si="100"/>
        <v>0</v>
      </c>
      <c r="K177" s="290">
        <f t="shared" si="100"/>
        <v>0</v>
      </c>
      <c r="L177" s="290">
        <f t="shared" si="100"/>
        <v>0</v>
      </c>
      <c r="M177" s="290">
        <f t="shared" si="100"/>
        <v>0</v>
      </c>
      <c r="N177" s="290">
        <f t="shared" si="100"/>
        <v>0</v>
      </c>
      <c r="O177" s="290">
        <f t="shared" si="100"/>
        <v>0</v>
      </c>
      <c r="P177" s="290">
        <f t="shared" si="100"/>
        <v>0</v>
      </c>
      <c r="Q177" s="290">
        <f t="shared" si="100"/>
        <v>0</v>
      </c>
      <c r="R177" s="290">
        <f t="shared" si="100"/>
        <v>0</v>
      </c>
      <c r="S177" s="290">
        <f t="shared" si="100"/>
        <v>0</v>
      </c>
      <c r="T177" s="290">
        <f t="shared" si="100"/>
        <v>0</v>
      </c>
      <c r="U177" s="290">
        <f t="shared" si="100"/>
        <v>0</v>
      </c>
      <c r="V177" s="290">
        <f t="shared" si="100"/>
        <v>0</v>
      </c>
      <c r="W177" s="290">
        <f t="shared" si="100"/>
        <v>0</v>
      </c>
      <c r="X177" s="290">
        <f t="shared" si="100"/>
        <v>0</v>
      </c>
      <c r="Y177" s="290">
        <f t="shared" si="100"/>
        <v>0</v>
      </c>
      <c r="Z177" s="290">
        <f t="shared" si="100"/>
        <v>0</v>
      </c>
      <c r="AA177" s="290">
        <f t="shared" si="100"/>
        <v>0</v>
      </c>
      <c r="AB177" s="290">
        <f t="shared" si="100"/>
        <v>0</v>
      </c>
      <c r="AC177" s="290">
        <f t="shared" si="100"/>
        <v>0</v>
      </c>
      <c r="AD177" s="252">
        <f t="shared" si="100"/>
        <v>0</v>
      </c>
      <c r="AE177" s="252">
        <f t="shared" si="100"/>
        <v>0</v>
      </c>
    </row>
    <row r="178" spans="1:31">
      <c r="A178" s="240" t="s">
        <v>241</v>
      </c>
      <c r="B178" s="290">
        <f t="shared" ref="B178:B186" si="101">(B$187-B$22)/13+B177</f>
        <v>0</v>
      </c>
      <c r="C178" s="290">
        <f t="shared" ref="C178:C186" si="102">(C$187-B$187)/13+C177</f>
        <v>0</v>
      </c>
      <c r="D178" s="290">
        <f t="shared" si="100"/>
        <v>0</v>
      </c>
      <c r="E178" s="290">
        <f t="shared" si="100"/>
        <v>0</v>
      </c>
      <c r="F178" s="290">
        <f t="shared" si="100"/>
        <v>0</v>
      </c>
      <c r="G178" s="290">
        <f t="shared" si="100"/>
        <v>0</v>
      </c>
      <c r="H178" s="290">
        <f t="shared" si="100"/>
        <v>0</v>
      </c>
      <c r="I178" s="290">
        <f t="shared" si="100"/>
        <v>0</v>
      </c>
      <c r="J178" s="290">
        <f t="shared" si="100"/>
        <v>0</v>
      </c>
      <c r="K178" s="290">
        <f t="shared" si="100"/>
        <v>0</v>
      </c>
      <c r="L178" s="290">
        <f t="shared" si="100"/>
        <v>0</v>
      </c>
      <c r="M178" s="290">
        <f t="shared" si="100"/>
        <v>0</v>
      </c>
      <c r="N178" s="290">
        <f t="shared" si="100"/>
        <v>0</v>
      </c>
      <c r="O178" s="290">
        <f t="shared" si="100"/>
        <v>0</v>
      </c>
      <c r="P178" s="290">
        <f t="shared" si="100"/>
        <v>0</v>
      </c>
      <c r="Q178" s="290">
        <f t="shared" si="100"/>
        <v>0</v>
      </c>
      <c r="R178" s="290">
        <f t="shared" si="100"/>
        <v>0</v>
      </c>
      <c r="S178" s="290">
        <f t="shared" si="100"/>
        <v>0</v>
      </c>
      <c r="T178" s="290">
        <f t="shared" si="100"/>
        <v>0</v>
      </c>
      <c r="U178" s="290">
        <f t="shared" si="100"/>
        <v>0</v>
      </c>
      <c r="V178" s="290">
        <f t="shared" si="100"/>
        <v>0</v>
      </c>
      <c r="W178" s="290">
        <f t="shared" si="100"/>
        <v>0</v>
      </c>
      <c r="X178" s="290">
        <f t="shared" si="100"/>
        <v>0</v>
      </c>
      <c r="Y178" s="290">
        <f t="shared" si="100"/>
        <v>0</v>
      </c>
      <c r="Z178" s="290">
        <f t="shared" si="100"/>
        <v>0</v>
      </c>
      <c r="AA178" s="290">
        <f t="shared" si="100"/>
        <v>0</v>
      </c>
      <c r="AB178" s="290">
        <f t="shared" si="100"/>
        <v>0</v>
      </c>
      <c r="AC178" s="290">
        <f t="shared" si="100"/>
        <v>0</v>
      </c>
      <c r="AD178" s="252">
        <f t="shared" si="100"/>
        <v>0</v>
      </c>
      <c r="AE178" s="252">
        <f t="shared" si="100"/>
        <v>0</v>
      </c>
    </row>
    <row r="179" spans="1:31">
      <c r="A179" s="240" t="s">
        <v>231</v>
      </c>
      <c r="B179" s="290">
        <f t="shared" si="101"/>
        <v>0</v>
      </c>
      <c r="C179" s="290">
        <f t="shared" si="102"/>
        <v>0</v>
      </c>
      <c r="D179" s="290">
        <f t="shared" si="100"/>
        <v>0</v>
      </c>
      <c r="E179" s="290">
        <f t="shared" si="100"/>
        <v>0</v>
      </c>
      <c r="F179" s="290">
        <f t="shared" si="100"/>
        <v>0</v>
      </c>
      <c r="G179" s="290">
        <f t="shared" si="100"/>
        <v>0</v>
      </c>
      <c r="H179" s="290">
        <f t="shared" si="100"/>
        <v>0</v>
      </c>
      <c r="I179" s="290">
        <f t="shared" si="100"/>
        <v>0</v>
      </c>
      <c r="J179" s="290">
        <f t="shared" si="100"/>
        <v>0</v>
      </c>
      <c r="K179" s="290">
        <f t="shared" si="100"/>
        <v>0</v>
      </c>
      <c r="L179" s="290">
        <f t="shared" si="100"/>
        <v>0</v>
      </c>
      <c r="M179" s="290">
        <f t="shared" si="100"/>
        <v>0</v>
      </c>
      <c r="N179" s="290">
        <f t="shared" si="100"/>
        <v>0</v>
      </c>
      <c r="O179" s="290">
        <f t="shared" si="100"/>
        <v>0</v>
      </c>
      <c r="P179" s="290">
        <f t="shared" si="100"/>
        <v>0</v>
      </c>
      <c r="Q179" s="290">
        <f t="shared" si="100"/>
        <v>0</v>
      </c>
      <c r="R179" s="290">
        <f t="shared" si="100"/>
        <v>0</v>
      </c>
      <c r="S179" s="290">
        <f t="shared" si="100"/>
        <v>0</v>
      </c>
      <c r="T179" s="290">
        <f t="shared" si="100"/>
        <v>0</v>
      </c>
      <c r="U179" s="290">
        <f t="shared" si="100"/>
        <v>0</v>
      </c>
      <c r="V179" s="290">
        <f t="shared" si="100"/>
        <v>0</v>
      </c>
      <c r="W179" s="290">
        <f t="shared" si="100"/>
        <v>0</v>
      </c>
      <c r="X179" s="290">
        <f t="shared" si="100"/>
        <v>0</v>
      </c>
      <c r="Y179" s="290">
        <f t="shared" si="100"/>
        <v>0</v>
      </c>
      <c r="Z179" s="290">
        <f t="shared" si="100"/>
        <v>0</v>
      </c>
      <c r="AA179" s="290">
        <f t="shared" si="100"/>
        <v>0</v>
      </c>
      <c r="AB179" s="290">
        <f t="shared" si="100"/>
        <v>0</v>
      </c>
      <c r="AC179" s="290">
        <f t="shared" si="100"/>
        <v>0</v>
      </c>
      <c r="AD179" s="252">
        <f t="shared" si="100"/>
        <v>0</v>
      </c>
      <c r="AE179" s="252">
        <f t="shared" si="100"/>
        <v>0</v>
      </c>
    </row>
    <row r="180" spans="1:31">
      <c r="A180" s="240" t="s">
        <v>232</v>
      </c>
      <c r="B180" s="290">
        <f t="shared" si="101"/>
        <v>0</v>
      </c>
      <c r="C180" s="290">
        <f t="shared" si="102"/>
        <v>0</v>
      </c>
      <c r="D180" s="290">
        <f t="shared" si="100"/>
        <v>0</v>
      </c>
      <c r="E180" s="290">
        <f t="shared" si="100"/>
        <v>0</v>
      </c>
      <c r="F180" s="290">
        <f t="shared" si="100"/>
        <v>0</v>
      </c>
      <c r="G180" s="290">
        <f t="shared" si="100"/>
        <v>0</v>
      </c>
      <c r="H180" s="290">
        <f t="shared" si="100"/>
        <v>0</v>
      </c>
      <c r="I180" s="290">
        <f t="shared" si="100"/>
        <v>0</v>
      </c>
      <c r="J180" s="290">
        <f t="shared" si="100"/>
        <v>0</v>
      </c>
      <c r="K180" s="290">
        <f t="shared" si="100"/>
        <v>0</v>
      </c>
      <c r="L180" s="290">
        <f t="shared" si="100"/>
        <v>0</v>
      </c>
      <c r="M180" s="290">
        <f t="shared" si="100"/>
        <v>0</v>
      </c>
      <c r="N180" s="290">
        <f t="shared" si="100"/>
        <v>0</v>
      </c>
      <c r="O180" s="290">
        <f t="shared" si="100"/>
        <v>0</v>
      </c>
      <c r="P180" s="290">
        <f t="shared" si="100"/>
        <v>0</v>
      </c>
      <c r="Q180" s="290">
        <f t="shared" si="100"/>
        <v>0</v>
      </c>
      <c r="R180" s="290">
        <f t="shared" si="100"/>
        <v>0</v>
      </c>
      <c r="S180" s="290">
        <f t="shared" si="100"/>
        <v>0</v>
      </c>
      <c r="T180" s="290">
        <f t="shared" si="100"/>
        <v>0</v>
      </c>
      <c r="U180" s="290">
        <f t="shared" si="100"/>
        <v>0</v>
      </c>
      <c r="V180" s="290">
        <f t="shared" si="100"/>
        <v>0</v>
      </c>
      <c r="W180" s="290">
        <f t="shared" si="100"/>
        <v>0</v>
      </c>
      <c r="X180" s="290">
        <f t="shared" si="100"/>
        <v>0</v>
      </c>
      <c r="Y180" s="290">
        <f t="shared" si="100"/>
        <v>0</v>
      </c>
      <c r="Z180" s="290">
        <f t="shared" si="100"/>
        <v>0</v>
      </c>
      <c r="AA180" s="290">
        <f t="shared" si="100"/>
        <v>0</v>
      </c>
      <c r="AB180" s="290">
        <f t="shared" si="100"/>
        <v>0</v>
      </c>
      <c r="AC180" s="290">
        <f t="shared" si="100"/>
        <v>0</v>
      </c>
      <c r="AD180" s="252">
        <f t="shared" si="100"/>
        <v>0</v>
      </c>
      <c r="AE180" s="252">
        <f t="shared" si="100"/>
        <v>0</v>
      </c>
    </row>
    <row r="181" spans="1:31">
      <c r="A181" s="240" t="s">
        <v>233</v>
      </c>
      <c r="B181" s="290">
        <f t="shared" si="101"/>
        <v>0</v>
      </c>
      <c r="C181" s="290">
        <f t="shared" si="102"/>
        <v>0</v>
      </c>
      <c r="D181" s="290">
        <f t="shared" si="100"/>
        <v>0</v>
      </c>
      <c r="E181" s="290">
        <f t="shared" si="100"/>
        <v>0</v>
      </c>
      <c r="F181" s="290">
        <f t="shared" si="100"/>
        <v>0</v>
      </c>
      <c r="G181" s="290">
        <f t="shared" si="100"/>
        <v>0</v>
      </c>
      <c r="H181" s="290">
        <f t="shared" si="100"/>
        <v>0</v>
      </c>
      <c r="I181" s="290">
        <f t="shared" si="100"/>
        <v>0</v>
      </c>
      <c r="J181" s="290">
        <f t="shared" si="100"/>
        <v>0</v>
      </c>
      <c r="K181" s="290">
        <f t="shared" si="100"/>
        <v>0</v>
      </c>
      <c r="L181" s="290">
        <f t="shared" si="100"/>
        <v>0</v>
      </c>
      <c r="M181" s="290">
        <f t="shared" si="100"/>
        <v>0</v>
      </c>
      <c r="N181" s="290">
        <f t="shared" si="100"/>
        <v>0</v>
      </c>
      <c r="O181" s="290">
        <f t="shared" si="100"/>
        <v>0</v>
      </c>
      <c r="P181" s="290">
        <f t="shared" si="100"/>
        <v>0</v>
      </c>
      <c r="Q181" s="290">
        <f t="shared" si="100"/>
        <v>0</v>
      </c>
      <c r="R181" s="290">
        <f t="shared" si="100"/>
        <v>0</v>
      </c>
      <c r="S181" s="290">
        <f t="shared" si="100"/>
        <v>0</v>
      </c>
      <c r="T181" s="290">
        <f t="shared" si="100"/>
        <v>0</v>
      </c>
      <c r="U181" s="290">
        <f t="shared" si="100"/>
        <v>0</v>
      </c>
      <c r="V181" s="290">
        <f t="shared" si="100"/>
        <v>0</v>
      </c>
      <c r="W181" s="290">
        <f t="shared" si="100"/>
        <v>0</v>
      </c>
      <c r="X181" s="290">
        <f t="shared" si="100"/>
        <v>0</v>
      </c>
      <c r="Y181" s="290">
        <f t="shared" si="100"/>
        <v>0</v>
      </c>
      <c r="Z181" s="290">
        <f t="shared" si="100"/>
        <v>0</v>
      </c>
      <c r="AA181" s="290">
        <f t="shared" si="100"/>
        <v>0</v>
      </c>
      <c r="AB181" s="290">
        <f t="shared" si="100"/>
        <v>0</v>
      </c>
      <c r="AC181" s="290">
        <f t="shared" si="100"/>
        <v>0</v>
      </c>
      <c r="AD181" s="252">
        <f t="shared" si="100"/>
        <v>0</v>
      </c>
      <c r="AE181" s="252">
        <f t="shared" si="100"/>
        <v>0</v>
      </c>
    </row>
    <row r="182" spans="1:31">
      <c r="A182" s="240" t="s">
        <v>234</v>
      </c>
      <c r="B182" s="290">
        <f t="shared" si="101"/>
        <v>0</v>
      </c>
      <c r="C182" s="290">
        <f t="shared" si="102"/>
        <v>0</v>
      </c>
      <c r="D182" s="290">
        <f t="shared" si="100"/>
        <v>0</v>
      </c>
      <c r="E182" s="290">
        <f t="shared" si="100"/>
        <v>0</v>
      </c>
      <c r="F182" s="290">
        <f t="shared" si="100"/>
        <v>0</v>
      </c>
      <c r="G182" s="290">
        <f t="shared" si="100"/>
        <v>0</v>
      </c>
      <c r="H182" s="290">
        <f t="shared" si="100"/>
        <v>0</v>
      </c>
      <c r="I182" s="290">
        <f t="shared" si="100"/>
        <v>0</v>
      </c>
      <c r="J182" s="290">
        <f t="shared" si="100"/>
        <v>0</v>
      </c>
      <c r="K182" s="290">
        <f t="shared" si="100"/>
        <v>0</v>
      </c>
      <c r="L182" s="290">
        <f t="shared" si="100"/>
        <v>0</v>
      </c>
      <c r="M182" s="290">
        <f t="shared" si="100"/>
        <v>0</v>
      </c>
      <c r="N182" s="290">
        <f t="shared" si="100"/>
        <v>0</v>
      </c>
      <c r="O182" s="290">
        <f t="shared" si="100"/>
        <v>0</v>
      </c>
      <c r="P182" s="290">
        <f t="shared" si="100"/>
        <v>0</v>
      </c>
      <c r="Q182" s="290">
        <f t="shared" si="100"/>
        <v>0</v>
      </c>
      <c r="R182" s="290">
        <f t="shared" si="100"/>
        <v>0</v>
      </c>
      <c r="S182" s="290">
        <f t="shared" si="100"/>
        <v>0</v>
      </c>
      <c r="T182" s="290">
        <f t="shared" si="100"/>
        <v>0</v>
      </c>
      <c r="U182" s="290">
        <f t="shared" si="100"/>
        <v>0</v>
      </c>
      <c r="V182" s="290">
        <f t="shared" si="100"/>
        <v>0</v>
      </c>
      <c r="W182" s="290">
        <f t="shared" si="100"/>
        <v>0</v>
      </c>
      <c r="X182" s="290">
        <f t="shared" si="100"/>
        <v>0</v>
      </c>
      <c r="Y182" s="290">
        <f t="shared" si="100"/>
        <v>0</v>
      </c>
      <c r="Z182" s="290">
        <f t="shared" si="100"/>
        <v>0</v>
      </c>
      <c r="AA182" s="290">
        <f t="shared" si="100"/>
        <v>0</v>
      </c>
      <c r="AB182" s="290">
        <f t="shared" si="100"/>
        <v>0</v>
      </c>
      <c r="AC182" s="252">
        <f t="shared" si="100"/>
        <v>0</v>
      </c>
      <c r="AD182" s="252">
        <f t="shared" si="100"/>
        <v>0</v>
      </c>
      <c r="AE182" s="252">
        <f t="shared" si="100"/>
        <v>0</v>
      </c>
    </row>
    <row r="183" spans="1:31">
      <c r="A183" s="240" t="s">
        <v>46</v>
      </c>
      <c r="B183" s="290">
        <f t="shared" si="101"/>
        <v>0</v>
      </c>
      <c r="C183" s="290">
        <f t="shared" si="102"/>
        <v>0</v>
      </c>
      <c r="D183" s="290">
        <f t="shared" si="100"/>
        <v>0</v>
      </c>
      <c r="E183" s="290">
        <f t="shared" si="100"/>
        <v>0</v>
      </c>
      <c r="F183" s="290">
        <f t="shared" si="100"/>
        <v>0</v>
      </c>
      <c r="G183" s="290">
        <f t="shared" si="100"/>
        <v>0</v>
      </c>
      <c r="H183" s="290">
        <f t="shared" si="100"/>
        <v>0</v>
      </c>
      <c r="I183" s="290">
        <f t="shared" si="100"/>
        <v>0</v>
      </c>
      <c r="J183" s="290">
        <f t="shared" si="100"/>
        <v>0</v>
      </c>
      <c r="K183" s="290">
        <f t="shared" si="100"/>
        <v>0</v>
      </c>
      <c r="L183" s="290">
        <f t="shared" si="100"/>
        <v>0</v>
      </c>
      <c r="M183" s="290">
        <f t="shared" si="100"/>
        <v>0</v>
      </c>
      <c r="N183" s="290">
        <f t="shared" si="100"/>
        <v>0</v>
      </c>
      <c r="O183" s="290">
        <f t="shared" si="100"/>
        <v>0</v>
      </c>
      <c r="P183" s="290">
        <f t="shared" si="100"/>
        <v>0</v>
      </c>
      <c r="Q183" s="290">
        <f t="shared" si="100"/>
        <v>0</v>
      </c>
      <c r="R183" s="290">
        <f t="shared" si="100"/>
        <v>0</v>
      </c>
      <c r="S183" s="290">
        <f t="shared" si="100"/>
        <v>0</v>
      </c>
      <c r="T183" s="290">
        <f t="shared" si="100"/>
        <v>0</v>
      </c>
      <c r="U183" s="290">
        <f t="shared" si="100"/>
        <v>0</v>
      </c>
      <c r="V183" s="290">
        <f t="shared" si="100"/>
        <v>0</v>
      </c>
      <c r="W183" s="290">
        <f t="shared" si="100"/>
        <v>0</v>
      </c>
      <c r="X183" s="290">
        <f t="shared" si="100"/>
        <v>0</v>
      </c>
      <c r="Y183" s="290">
        <f t="shared" si="100"/>
        <v>0</v>
      </c>
      <c r="Z183" s="290">
        <f t="shared" si="100"/>
        <v>0</v>
      </c>
      <c r="AA183" s="290">
        <f t="shared" si="100"/>
        <v>0</v>
      </c>
      <c r="AB183" s="290">
        <f t="shared" si="100"/>
        <v>0</v>
      </c>
      <c r="AC183" s="252">
        <f t="shared" si="100"/>
        <v>0</v>
      </c>
      <c r="AD183" s="252">
        <f t="shared" si="100"/>
        <v>0</v>
      </c>
      <c r="AE183" s="252">
        <f t="shared" si="100"/>
        <v>0</v>
      </c>
    </row>
    <row r="184" spans="1:31">
      <c r="A184" s="240" t="s">
        <v>235</v>
      </c>
      <c r="B184" s="290">
        <f t="shared" si="101"/>
        <v>0</v>
      </c>
      <c r="C184" s="290">
        <f t="shared" si="102"/>
        <v>0</v>
      </c>
      <c r="D184" s="290">
        <f t="shared" si="100"/>
        <v>0</v>
      </c>
      <c r="E184" s="290">
        <f t="shared" si="100"/>
        <v>0</v>
      </c>
      <c r="F184" s="290">
        <f t="shared" si="100"/>
        <v>0</v>
      </c>
      <c r="G184" s="290">
        <f t="shared" si="100"/>
        <v>0</v>
      </c>
      <c r="H184" s="290">
        <f t="shared" si="100"/>
        <v>0</v>
      </c>
      <c r="I184" s="290">
        <f t="shared" si="100"/>
        <v>0</v>
      </c>
      <c r="J184" s="290">
        <f t="shared" si="100"/>
        <v>0</v>
      </c>
      <c r="K184" s="290">
        <f t="shared" si="100"/>
        <v>0</v>
      </c>
      <c r="L184" s="290">
        <f t="shared" si="100"/>
        <v>0</v>
      </c>
      <c r="M184" s="290">
        <f t="shared" si="100"/>
        <v>0</v>
      </c>
      <c r="N184" s="290">
        <f t="shared" si="100"/>
        <v>0</v>
      </c>
      <c r="O184" s="290">
        <f t="shared" si="100"/>
        <v>0</v>
      </c>
      <c r="P184" s="290">
        <f t="shared" si="100"/>
        <v>0</v>
      </c>
      <c r="Q184" s="290">
        <f t="shared" si="100"/>
        <v>0</v>
      </c>
      <c r="R184" s="290">
        <f t="shared" si="100"/>
        <v>0</v>
      </c>
      <c r="S184" s="290">
        <f t="shared" si="100"/>
        <v>0</v>
      </c>
      <c r="T184" s="290">
        <f t="shared" si="100"/>
        <v>0</v>
      </c>
      <c r="U184" s="290">
        <f t="shared" si="100"/>
        <v>0</v>
      </c>
      <c r="V184" s="290">
        <f t="shared" si="100"/>
        <v>0</v>
      </c>
      <c r="W184" s="290">
        <f t="shared" si="100"/>
        <v>0</v>
      </c>
      <c r="X184" s="290">
        <f t="shared" si="100"/>
        <v>0</v>
      </c>
      <c r="Y184" s="290">
        <f t="shared" si="100"/>
        <v>0</v>
      </c>
      <c r="Z184" s="290">
        <f t="shared" si="100"/>
        <v>0</v>
      </c>
      <c r="AA184" s="290">
        <f t="shared" si="100"/>
        <v>0</v>
      </c>
      <c r="AB184" s="290">
        <f t="shared" si="100"/>
        <v>0</v>
      </c>
      <c r="AC184" s="252">
        <f t="shared" si="100"/>
        <v>0</v>
      </c>
      <c r="AD184" s="252">
        <f t="shared" si="100"/>
        <v>0</v>
      </c>
      <c r="AE184" s="252">
        <f t="shared" si="100"/>
        <v>0</v>
      </c>
    </row>
    <row r="185" spans="1:31">
      <c r="A185" s="240" t="s">
        <v>236</v>
      </c>
      <c r="B185" s="290">
        <f t="shared" si="101"/>
        <v>0</v>
      </c>
      <c r="C185" s="290">
        <f t="shared" si="102"/>
        <v>0</v>
      </c>
      <c r="D185" s="290">
        <f t="shared" si="100"/>
        <v>0</v>
      </c>
      <c r="E185" s="290">
        <f t="shared" si="100"/>
        <v>0</v>
      </c>
      <c r="F185" s="290">
        <f t="shared" si="100"/>
        <v>0</v>
      </c>
      <c r="G185" s="290">
        <f t="shared" si="100"/>
        <v>0</v>
      </c>
      <c r="H185" s="290">
        <f t="shared" si="100"/>
        <v>0</v>
      </c>
      <c r="I185" s="290">
        <f t="shared" si="100"/>
        <v>0</v>
      </c>
      <c r="J185" s="290">
        <f t="shared" si="100"/>
        <v>0</v>
      </c>
      <c r="K185" s="290">
        <f t="shared" si="100"/>
        <v>0</v>
      </c>
      <c r="L185" s="290">
        <f t="shared" si="100"/>
        <v>0</v>
      </c>
      <c r="M185" s="290">
        <f t="shared" si="100"/>
        <v>0</v>
      </c>
      <c r="N185" s="290">
        <f t="shared" si="100"/>
        <v>0</v>
      </c>
      <c r="O185" s="290">
        <f t="shared" si="100"/>
        <v>0</v>
      </c>
      <c r="P185" s="290">
        <f t="shared" si="100"/>
        <v>0</v>
      </c>
      <c r="Q185" s="290">
        <f t="shared" si="100"/>
        <v>0</v>
      </c>
      <c r="R185" s="290">
        <f t="shared" si="100"/>
        <v>0</v>
      </c>
      <c r="S185" s="290">
        <f t="shared" si="100"/>
        <v>0</v>
      </c>
      <c r="T185" s="290">
        <f t="shared" si="100"/>
        <v>0</v>
      </c>
      <c r="U185" s="290">
        <f t="shared" si="100"/>
        <v>0</v>
      </c>
      <c r="V185" s="290">
        <f t="shared" si="100"/>
        <v>0</v>
      </c>
      <c r="W185" s="290">
        <f t="shared" si="100"/>
        <v>0</v>
      </c>
      <c r="X185" s="290">
        <f t="shared" si="100"/>
        <v>0</v>
      </c>
      <c r="Y185" s="290">
        <f t="shared" si="100"/>
        <v>0</v>
      </c>
      <c r="Z185" s="290">
        <f t="shared" si="100"/>
        <v>0</v>
      </c>
      <c r="AA185" s="290">
        <f t="shared" si="100"/>
        <v>0</v>
      </c>
      <c r="AB185" s="290">
        <f t="shared" si="100"/>
        <v>0</v>
      </c>
      <c r="AC185" s="252">
        <f t="shared" si="100"/>
        <v>0</v>
      </c>
      <c r="AD185" s="252">
        <f t="shared" si="100"/>
        <v>0</v>
      </c>
      <c r="AE185" s="252">
        <f t="shared" si="100"/>
        <v>0</v>
      </c>
    </row>
    <row r="186" spans="1:31">
      <c r="A186" s="240" t="s">
        <v>237</v>
      </c>
      <c r="B186" s="290">
        <f t="shared" si="101"/>
        <v>0</v>
      </c>
      <c r="C186" s="290">
        <f t="shared" si="102"/>
        <v>0</v>
      </c>
      <c r="D186" s="290">
        <f t="shared" si="100"/>
        <v>0</v>
      </c>
      <c r="E186" s="290">
        <f t="shared" si="100"/>
        <v>0</v>
      </c>
      <c r="F186" s="290">
        <f t="shared" si="100"/>
        <v>0</v>
      </c>
      <c r="G186" s="290">
        <f t="shared" ref="G186:X186" si="103">(G$187-F$187)/13+G185</f>
        <v>0</v>
      </c>
      <c r="H186" s="290">
        <f t="shared" si="103"/>
        <v>0</v>
      </c>
      <c r="I186" s="290">
        <f t="shared" si="103"/>
        <v>0</v>
      </c>
      <c r="J186" s="290">
        <f t="shared" si="103"/>
        <v>0</v>
      </c>
      <c r="K186" s="290">
        <f t="shared" si="103"/>
        <v>0</v>
      </c>
      <c r="L186" s="290">
        <f t="shared" si="103"/>
        <v>0</v>
      </c>
      <c r="M186" s="290">
        <f t="shared" si="103"/>
        <v>0</v>
      </c>
      <c r="N186" s="290">
        <f t="shared" si="103"/>
        <v>0</v>
      </c>
      <c r="O186" s="290">
        <f t="shared" si="103"/>
        <v>0</v>
      </c>
      <c r="P186" s="290">
        <f t="shared" si="103"/>
        <v>0</v>
      </c>
      <c r="Q186" s="290">
        <f t="shared" si="103"/>
        <v>0</v>
      </c>
      <c r="R186" s="290">
        <f t="shared" si="103"/>
        <v>0</v>
      </c>
      <c r="S186" s="290">
        <f t="shared" si="103"/>
        <v>0</v>
      </c>
      <c r="T186" s="290">
        <f t="shared" si="103"/>
        <v>0</v>
      </c>
      <c r="U186" s="290">
        <f t="shared" si="103"/>
        <v>0</v>
      </c>
      <c r="V186" s="290">
        <f t="shared" si="103"/>
        <v>0</v>
      </c>
      <c r="W186" s="290">
        <f t="shared" si="103"/>
        <v>0</v>
      </c>
      <c r="X186" s="290">
        <f t="shared" si="103"/>
        <v>0</v>
      </c>
      <c r="Y186" s="290">
        <f>(Y$187-X$187)/13+Y185</f>
        <v>0</v>
      </c>
      <c r="Z186" s="290">
        <f t="shared" ref="Z186:AB186" si="104">(Z$187-Y$187)/13+Z185</f>
        <v>0</v>
      </c>
      <c r="AA186" s="290">
        <f t="shared" si="104"/>
        <v>0</v>
      </c>
      <c r="AB186" s="290">
        <f t="shared" si="104"/>
        <v>0</v>
      </c>
      <c r="AC186" s="252">
        <f>(AC$187-AB$187)/13+AC185</f>
        <v>0</v>
      </c>
      <c r="AD186" s="252">
        <f t="shared" ref="AD186:AE186" si="105">(AD$187-AC$187)/13+AD185</f>
        <v>0</v>
      </c>
      <c r="AE186" s="252">
        <f t="shared" si="105"/>
        <v>0</v>
      </c>
    </row>
    <row r="187" spans="1:31" ht="15.75" thickBot="1">
      <c r="A187" s="240" t="s">
        <v>238</v>
      </c>
      <c r="B187" s="267">
        <f>B29</f>
        <v>0</v>
      </c>
      <c r="C187" s="267">
        <f t="shared" ref="C187:AE187" si="106">C29</f>
        <v>0</v>
      </c>
      <c r="D187" s="267">
        <f t="shared" si="106"/>
        <v>0</v>
      </c>
      <c r="E187" s="267">
        <f t="shared" si="106"/>
        <v>0</v>
      </c>
      <c r="F187" s="267">
        <f t="shared" si="106"/>
        <v>0</v>
      </c>
      <c r="G187" s="267">
        <f t="shared" si="106"/>
        <v>0</v>
      </c>
      <c r="H187" s="267">
        <f t="shared" si="106"/>
        <v>0</v>
      </c>
      <c r="I187" s="267">
        <f t="shared" si="106"/>
        <v>0</v>
      </c>
      <c r="J187" s="267">
        <f t="shared" si="106"/>
        <v>0</v>
      </c>
      <c r="K187" s="267">
        <f t="shared" si="106"/>
        <v>0</v>
      </c>
      <c r="L187" s="267">
        <f t="shared" si="106"/>
        <v>0</v>
      </c>
      <c r="M187" s="267">
        <f t="shared" si="106"/>
        <v>0</v>
      </c>
      <c r="N187" s="267">
        <f t="shared" si="106"/>
        <v>0</v>
      </c>
      <c r="O187" s="267">
        <f t="shared" si="106"/>
        <v>0</v>
      </c>
      <c r="P187" s="267">
        <f t="shared" si="106"/>
        <v>0</v>
      </c>
      <c r="Q187" s="267">
        <f t="shared" si="106"/>
        <v>0</v>
      </c>
      <c r="R187" s="267">
        <f t="shared" si="106"/>
        <v>0</v>
      </c>
      <c r="S187" s="267">
        <f t="shared" si="106"/>
        <v>0</v>
      </c>
      <c r="T187" s="267">
        <f t="shared" si="106"/>
        <v>0</v>
      </c>
      <c r="U187" s="267">
        <f t="shared" si="106"/>
        <v>0</v>
      </c>
      <c r="V187" s="267">
        <f t="shared" si="106"/>
        <v>0</v>
      </c>
      <c r="W187" s="267">
        <f t="shared" si="106"/>
        <v>0</v>
      </c>
      <c r="X187" s="267">
        <f t="shared" si="106"/>
        <v>0</v>
      </c>
      <c r="Y187" s="267">
        <f t="shared" si="106"/>
        <v>0</v>
      </c>
      <c r="Z187" s="267">
        <f t="shared" si="106"/>
        <v>0</v>
      </c>
      <c r="AA187" s="267">
        <f t="shared" si="106"/>
        <v>0</v>
      </c>
      <c r="AB187" s="267">
        <f t="shared" si="106"/>
        <v>0</v>
      </c>
      <c r="AC187" s="268">
        <f t="shared" si="106"/>
        <v>0</v>
      </c>
      <c r="AD187" s="268">
        <f t="shared" si="106"/>
        <v>0</v>
      </c>
      <c r="AE187" s="268">
        <f t="shared" si="106"/>
        <v>0</v>
      </c>
    </row>
    <row r="188" spans="1:31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  <c r="AD188" s="248"/>
      <c r="AE188" s="248"/>
    </row>
    <row r="189" spans="1:31" ht="15.75" thickBot="1">
      <c r="A189" s="235" t="s">
        <v>261</v>
      </c>
    </row>
    <row r="190" spans="1:31" ht="15.75" thickBot="1">
      <c r="A190" s="236"/>
      <c r="B190" s="237" t="str">
        <f>B$2</f>
        <v xml:space="preserve">93/94 </v>
      </c>
      <c r="C190" s="237" t="str">
        <f t="shared" ref="C190:AE190" si="107">C$2</f>
        <v xml:space="preserve">94/95 </v>
      </c>
      <c r="D190" s="237" t="str">
        <f t="shared" si="107"/>
        <v xml:space="preserve">95/96 </v>
      </c>
      <c r="E190" s="237" t="str">
        <f t="shared" si="107"/>
        <v xml:space="preserve">96/97 </v>
      </c>
      <c r="F190" s="237" t="str">
        <f t="shared" si="107"/>
        <v xml:space="preserve">97/98 </v>
      </c>
      <c r="G190" s="237" t="str">
        <f t="shared" si="107"/>
        <v xml:space="preserve">98/99 </v>
      </c>
      <c r="H190" s="237" t="str">
        <f t="shared" si="107"/>
        <v xml:space="preserve">99/00 </v>
      </c>
      <c r="I190" s="237" t="str">
        <f t="shared" si="107"/>
        <v xml:space="preserve">00/01 </v>
      </c>
      <c r="J190" s="237" t="str">
        <f t="shared" si="107"/>
        <v xml:space="preserve">01/02 </v>
      </c>
      <c r="K190" s="237" t="str">
        <f t="shared" si="107"/>
        <v xml:space="preserve">02/03 </v>
      </c>
      <c r="L190" s="237" t="str">
        <f t="shared" si="107"/>
        <v xml:space="preserve">03/04 </v>
      </c>
      <c r="M190" s="237" t="str">
        <f t="shared" si="107"/>
        <v xml:space="preserve">04/05 </v>
      </c>
      <c r="N190" s="237" t="str">
        <f t="shared" si="107"/>
        <v xml:space="preserve">05/06 </v>
      </c>
      <c r="O190" s="237" t="str">
        <f t="shared" si="107"/>
        <v xml:space="preserve">06/07 </v>
      </c>
      <c r="P190" s="237" t="str">
        <f t="shared" si="107"/>
        <v xml:space="preserve">07/08 </v>
      </c>
      <c r="Q190" s="237" t="str">
        <f t="shared" si="107"/>
        <v xml:space="preserve">08/09 </v>
      </c>
      <c r="R190" s="237" t="str">
        <f t="shared" si="107"/>
        <v xml:space="preserve">09/10 </v>
      </c>
      <c r="S190" s="237" t="str">
        <f t="shared" si="107"/>
        <v xml:space="preserve">10/11 </v>
      </c>
      <c r="T190" s="237" t="str">
        <f t="shared" si="107"/>
        <v xml:space="preserve">11/12 </v>
      </c>
      <c r="U190" s="237" t="str">
        <f t="shared" si="107"/>
        <v xml:space="preserve">12/13 </v>
      </c>
      <c r="V190" s="237" t="str">
        <f t="shared" si="107"/>
        <v xml:space="preserve">13/14 </v>
      </c>
      <c r="W190" s="237" t="str">
        <f t="shared" si="107"/>
        <v xml:space="preserve">14/15 </v>
      </c>
      <c r="X190" s="237" t="str">
        <f t="shared" si="107"/>
        <v xml:space="preserve">15/16 </v>
      </c>
      <c r="Y190" s="237" t="str">
        <f t="shared" si="107"/>
        <v xml:space="preserve">16/17 </v>
      </c>
      <c r="Z190" s="237" t="str">
        <f t="shared" si="107"/>
        <v xml:space="preserve">17/18 </v>
      </c>
      <c r="AA190" s="237" t="str">
        <f t="shared" si="107"/>
        <v xml:space="preserve">18/19 </v>
      </c>
      <c r="AB190" s="237" t="str">
        <f t="shared" si="107"/>
        <v xml:space="preserve">19/20 </v>
      </c>
      <c r="AC190" s="237" t="str">
        <f t="shared" si="107"/>
        <v xml:space="preserve">20/21 </v>
      </c>
      <c r="AD190" s="237" t="str">
        <f t="shared" si="107"/>
        <v xml:space="preserve">21/22 </v>
      </c>
      <c r="AE190" s="237" t="str">
        <f t="shared" si="107"/>
        <v xml:space="preserve">22/23 </v>
      </c>
    </row>
    <row r="191" spans="1:31">
      <c r="A191" s="240" t="s">
        <v>239</v>
      </c>
    </row>
    <row r="192" spans="1:31">
      <c r="A192" s="240" t="s">
        <v>240</v>
      </c>
    </row>
    <row r="193" spans="1:34">
      <c r="A193" s="240" t="s">
        <v>241</v>
      </c>
    </row>
    <row r="194" spans="1:34">
      <c r="A194" s="240" t="s">
        <v>231</v>
      </c>
    </row>
    <row r="195" spans="1:34">
      <c r="A195" s="240" t="s">
        <v>232</v>
      </c>
    </row>
    <row r="196" spans="1:34">
      <c r="A196" s="240" t="s">
        <v>233</v>
      </c>
    </row>
    <row r="197" spans="1:34">
      <c r="A197" s="240" t="s">
        <v>234</v>
      </c>
    </row>
    <row r="198" spans="1:34">
      <c r="A198" s="240" t="s">
        <v>46</v>
      </c>
      <c r="AH198" s="363"/>
    </row>
    <row r="199" spans="1:34">
      <c r="A199" s="240" t="s">
        <v>235</v>
      </c>
      <c r="AH199" s="364"/>
    </row>
    <row r="200" spans="1:34">
      <c r="A200" s="240" t="s">
        <v>236</v>
      </c>
      <c r="AH200" s="363"/>
    </row>
    <row r="201" spans="1:34">
      <c r="A201" s="240" t="s">
        <v>237</v>
      </c>
      <c r="AH201" s="363"/>
    </row>
    <row r="202" spans="1:34">
      <c r="A202" s="240" t="s">
        <v>238</v>
      </c>
      <c r="AH202" s="300"/>
    </row>
    <row r="203" spans="1:34" ht="15.75" thickBot="1">
      <c r="A203" s="240" t="s">
        <v>255</v>
      </c>
      <c r="AH203" s="300"/>
    </row>
    <row r="204" spans="1:34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  <c r="AD204" s="248"/>
      <c r="AE204" s="248"/>
      <c r="AH204" s="365"/>
    </row>
    <row r="205" spans="1:34" ht="15.75" thickBot="1">
      <c r="A205" s="235" t="s">
        <v>262</v>
      </c>
    </row>
    <row r="206" spans="1:34" ht="15.75" thickBot="1">
      <c r="A206" s="236"/>
      <c r="B206" s="237" t="str">
        <f>B$2</f>
        <v xml:space="preserve">93/94 </v>
      </c>
      <c r="C206" s="237" t="str">
        <f t="shared" ref="C206:AE206" si="108">C$2</f>
        <v xml:space="preserve">94/95 </v>
      </c>
      <c r="D206" s="237" t="str">
        <f t="shared" si="108"/>
        <v xml:space="preserve">95/96 </v>
      </c>
      <c r="E206" s="237" t="str">
        <f t="shared" si="108"/>
        <v xml:space="preserve">96/97 </v>
      </c>
      <c r="F206" s="237" t="str">
        <f t="shared" si="108"/>
        <v xml:space="preserve">97/98 </v>
      </c>
      <c r="G206" s="237" t="str">
        <f t="shared" si="108"/>
        <v xml:space="preserve">98/99 </v>
      </c>
      <c r="H206" s="237" t="str">
        <f t="shared" si="108"/>
        <v xml:space="preserve">99/00 </v>
      </c>
      <c r="I206" s="237" t="str">
        <f t="shared" si="108"/>
        <v xml:space="preserve">00/01 </v>
      </c>
      <c r="J206" s="237" t="str">
        <f t="shared" si="108"/>
        <v xml:space="preserve">01/02 </v>
      </c>
      <c r="K206" s="237" t="str">
        <f t="shared" si="108"/>
        <v xml:space="preserve">02/03 </v>
      </c>
      <c r="L206" s="237" t="str">
        <f t="shared" si="108"/>
        <v xml:space="preserve">03/04 </v>
      </c>
      <c r="M206" s="237" t="str">
        <f t="shared" si="108"/>
        <v xml:space="preserve">04/05 </v>
      </c>
      <c r="N206" s="237" t="str">
        <f t="shared" si="108"/>
        <v xml:space="preserve">05/06 </v>
      </c>
      <c r="O206" s="237" t="str">
        <f t="shared" si="108"/>
        <v xml:space="preserve">06/07 </v>
      </c>
      <c r="P206" s="237" t="str">
        <f t="shared" si="108"/>
        <v xml:space="preserve">07/08 </v>
      </c>
      <c r="Q206" s="237" t="str">
        <f t="shared" si="108"/>
        <v xml:space="preserve">08/09 </v>
      </c>
      <c r="R206" s="237" t="str">
        <f t="shared" si="108"/>
        <v xml:space="preserve">09/10 </v>
      </c>
      <c r="S206" s="237" t="str">
        <f t="shared" si="108"/>
        <v xml:space="preserve">10/11 </v>
      </c>
      <c r="T206" s="237" t="str">
        <f t="shared" si="108"/>
        <v xml:space="preserve">11/12 </v>
      </c>
      <c r="U206" s="237" t="str">
        <f t="shared" si="108"/>
        <v xml:space="preserve">12/13 </v>
      </c>
      <c r="V206" s="237" t="str">
        <f t="shared" si="108"/>
        <v xml:space="preserve">13/14 </v>
      </c>
      <c r="W206" s="237" t="str">
        <f t="shared" si="108"/>
        <v xml:space="preserve">14/15 </v>
      </c>
      <c r="X206" s="237" t="str">
        <f t="shared" si="108"/>
        <v xml:space="preserve">15/16 </v>
      </c>
      <c r="Y206" s="237" t="str">
        <f t="shared" si="108"/>
        <v xml:space="preserve">16/17 </v>
      </c>
      <c r="Z206" s="237" t="str">
        <f t="shared" si="108"/>
        <v xml:space="preserve">17/18 </v>
      </c>
      <c r="AA206" s="237" t="str">
        <f t="shared" si="108"/>
        <v xml:space="preserve">18/19 </v>
      </c>
      <c r="AB206" s="237" t="str">
        <f t="shared" si="108"/>
        <v xml:space="preserve">19/20 </v>
      </c>
      <c r="AC206" s="237" t="str">
        <f t="shared" si="108"/>
        <v xml:space="preserve">20/21 </v>
      </c>
      <c r="AD206" s="237" t="str">
        <f t="shared" si="108"/>
        <v xml:space="preserve">21/22 </v>
      </c>
      <c r="AE206" s="237" t="str">
        <f t="shared" si="108"/>
        <v xml:space="preserve">22/23 </v>
      </c>
    </row>
    <row r="207" spans="1:34">
      <c r="A207" s="240" t="s">
        <v>239</v>
      </c>
      <c r="B207" s="290">
        <f>B303+B287+B271-B255-B32</f>
        <v>3.5511879080107889E-2</v>
      </c>
      <c r="C207" s="290">
        <f>C303+C287+C271-C255-B314</f>
        <v>5.5602616835124294</v>
      </c>
      <c r="D207" s="290">
        <f t="shared" ref="D207:AC207" si="109">D303+D287+D271-D255-C314</f>
        <v>-10.840128205128202</v>
      </c>
      <c r="E207" s="290">
        <f t="shared" si="109"/>
        <v>12.145410256410258</v>
      </c>
      <c r="F207" s="290">
        <f t="shared" si="109"/>
        <v>-2.1203333333333312</v>
      </c>
      <c r="G207" s="290">
        <f t="shared" si="109"/>
        <v>18.047256410256409</v>
      </c>
      <c r="H207" s="290">
        <f t="shared" si="109"/>
        <v>6.7607435897435906</v>
      </c>
      <c r="I207" s="290">
        <f t="shared" si="109"/>
        <v>2.9102564102564088</v>
      </c>
      <c r="J207" s="290">
        <f t="shared" si="109"/>
        <v>-0.15915384615384554</v>
      </c>
      <c r="K207" s="290">
        <f t="shared" si="109"/>
        <v>5.6467179487179484</v>
      </c>
      <c r="L207" s="290">
        <f t="shared" si="109"/>
        <v>7.2951282051282043</v>
      </c>
      <c r="M207" s="290">
        <f t="shared" si="109"/>
        <v>4.1901538461538479</v>
      </c>
      <c r="N207" s="290">
        <f t="shared" si="109"/>
        <v>-17.649538461538462</v>
      </c>
      <c r="O207" s="290">
        <f t="shared" si="109"/>
        <v>2.2083589743589744</v>
      </c>
      <c r="P207" s="290">
        <f t="shared" si="109"/>
        <v>2.6215128205128195</v>
      </c>
      <c r="Q207" s="290">
        <f t="shared" si="109"/>
        <v>1.4413333333333334</v>
      </c>
      <c r="R207" s="290">
        <f t="shared" si="109"/>
        <v>-0.79500000000000015</v>
      </c>
      <c r="S207" s="290">
        <f t="shared" si="109"/>
        <v>3.666666666666667</v>
      </c>
      <c r="T207" s="290">
        <f t="shared" si="109"/>
        <v>2.8143333333333338</v>
      </c>
      <c r="U207" s="290">
        <f t="shared" si="109"/>
        <v>3.8593333333333333</v>
      </c>
      <c r="V207" s="290">
        <f t="shared" si="109"/>
        <v>0.65200000000000058</v>
      </c>
      <c r="W207" s="290">
        <f t="shared" si="109"/>
        <v>3.4416153846153845</v>
      </c>
      <c r="X207" s="290">
        <f t="shared" si="109"/>
        <v>5.6797948717948721</v>
      </c>
      <c r="Y207" s="290">
        <f t="shared" si="109"/>
        <v>1.5889230769230771</v>
      </c>
      <c r="Z207" s="290">
        <f t="shared" si="109"/>
        <v>12.472076230769229</v>
      </c>
      <c r="AA207" s="290">
        <f t="shared" si="109"/>
        <v>6.147908128205124</v>
      </c>
      <c r="AB207" s="290">
        <f t="shared" si="109"/>
        <v>1.1493463333333338</v>
      </c>
      <c r="AC207" s="290">
        <f t="shared" si="109"/>
        <v>-3.745474923076924</v>
      </c>
      <c r="AD207" s="252">
        <f t="shared" ref="AD207:AE207" si="110">AD303-AC314+AD271-AD255+AD287</f>
        <v>3.4986666666666668</v>
      </c>
      <c r="AE207" s="252">
        <f t="shared" si="110"/>
        <v>2.2761313331420645</v>
      </c>
      <c r="AF207" s="240"/>
      <c r="AG207" s="240"/>
    </row>
    <row r="208" spans="1:34">
      <c r="A208" s="240" t="s">
        <v>240</v>
      </c>
      <c r="B208" s="290">
        <f>B304+B288+B272-B256-B303</f>
        <v>11.5391529336883</v>
      </c>
      <c r="C208" s="290">
        <f>C304+C288+C272-C256-C303</f>
        <v>6.889692955723369</v>
      </c>
      <c r="D208" s="290">
        <f t="shared" ref="D208:AC217" si="111">D304+D288+D272-D256-D303</f>
        <v>13.308871794871797</v>
      </c>
      <c r="E208" s="290">
        <f t="shared" si="111"/>
        <v>-16.420589743589741</v>
      </c>
      <c r="F208" s="290">
        <f t="shared" si="111"/>
        <v>16.777666666666669</v>
      </c>
      <c r="G208" s="290">
        <f t="shared" si="111"/>
        <v>12.104256410256408</v>
      </c>
      <c r="H208" s="290">
        <f t="shared" si="111"/>
        <v>0.9197435897435895</v>
      </c>
      <c r="I208" s="290">
        <f t="shared" si="111"/>
        <v>-9.0877435897435923</v>
      </c>
      <c r="J208" s="290">
        <f t="shared" si="111"/>
        <v>-13.431153846153846</v>
      </c>
      <c r="K208" s="290">
        <f t="shared" si="111"/>
        <v>5.8737179487179478</v>
      </c>
      <c r="L208" s="290">
        <f t="shared" si="111"/>
        <v>8.3501282051282057</v>
      </c>
      <c r="M208" s="290">
        <f t="shared" si="111"/>
        <v>5.1831538461538464</v>
      </c>
      <c r="N208" s="290">
        <f t="shared" si="111"/>
        <v>8.1594615384615388</v>
      </c>
      <c r="O208" s="290">
        <f t="shared" si="111"/>
        <v>-4.5276410256410271</v>
      </c>
      <c r="P208" s="290">
        <f t="shared" si="111"/>
        <v>1.8945128205128192</v>
      </c>
      <c r="Q208" s="290">
        <f t="shared" si="111"/>
        <v>2.6133333333333333</v>
      </c>
      <c r="R208" s="290">
        <f t="shared" si="111"/>
        <v>1.0649999999999999</v>
      </c>
      <c r="S208" s="290">
        <f t="shared" si="111"/>
        <v>-1.2853333333333334</v>
      </c>
      <c r="T208" s="290">
        <f t="shared" si="111"/>
        <v>1.0803333333333334</v>
      </c>
      <c r="U208" s="290">
        <f t="shared" si="111"/>
        <v>-0.56466666666666665</v>
      </c>
      <c r="V208" s="290">
        <f t="shared" si="111"/>
        <v>4.0670000000000002</v>
      </c>
      <c r="W208" s="290">
        <f t="shared" si="111"/>
        <v>3.888615384615385</v>
      </c>
      <c r="X208" s="290">
        <f t="shared" si="111"/>
        <v>4.1557948717948712</v>
      </c>
      <c r="Y208" s="290">
        <f t="shared" si="111"/>
        <v>-1.2180769230769215</v>
      </c>
      <c r="Z208" s="290">
        <f t="shared" si="111"/>
        <v>-11.626975769230771</v>
      </c>
      <c r="AA208" s="290">
        <f t="shared" si="111"/>
        <v>-19.660460871794875</v>
      </c>
      <c r="AB208" s="290">
        <f t="shared" si="111"/>
        <v>0.29633533333333162</v>
      </c>
      <c r="AC208" s="290">
        <f t="shared" si="111"/>
        <v>-3.1537629230769237</v>
      </c>
      <c r="AD208" s="252">
        <f t="shared" ref="AD208:AE218" si="112">AD304-AD303+AD272-AD256+AD288</f>
        <v>-3.6003333333333329</v>
      </c>
      <c r="AE208" s="252">
        <f t="shared" si="112"/>
        <v>-2.1924640132989515</v>
      </c>
      <c r="AF208" s="240"/>
      <c r="AG208" s="240"/>
    </row>
    <row r="209" spans="1:33">
      <c r="A209" s="240" t="s">
        <v>241</v>
      </c>
      <c r="B209" s="290">
        <f t="shared" ref="B209:Q218" si="113">B305+B289+B273-B257-B304</f>
        <v>-10.797182806659475</v>
      </c>
      <c r="C209" s="290">
        <f t="shared" si="113"/>
        <v>2.5004119675202148</v>
      </c>
      <c r="D209" s="290">
        <f t="shared" si="111"/>
        <v>9.7828717948717916</v>
      </c>
      <c r="E209" s="290">
        <f t="shared" si="111"/>
        <v>-1.3875897435897429</v>
      </c>
      <c r="F209" s="290">
        <f t="shared" si="111"/>
        <v>4.2826666666666675</v>
      </c>
      <c r="G209" s="290">
        <f t="shared" si="111"/>
        <v>-3.1007435897435904</v>
      </c>
      <c r="H209" s="290">
        <f t="shared" si="111"/>
        <v>-8.1332564102564113</v>
      </c>
      <c r="I209" s="290">
        <f t="shared" si="111"/>
        <v>-16.946743589743591</v>
      </c>
      <c r="J209" s="290">
        <f t="shared" si="111"/>
        <v>-1.3381538461538467</v>
      </c>
      <c r="K209" s="290">
        <f t="shared" si="111"/>
        <v>4.2707179487179481</v>
      </c>
      <c r="L209" s="290">
        <f t="shared" si="111"/>
        <v>-4.2578717948717948</v>
      </c>
      <c r="M209" s="290">
        <f t="shared" si="111"/>
        <v>-0.71184615384615313</v>
      </c>
      <c r="N209" s="290">
        <f t="shared" si="111"/>
        <v>-25.567538461538465</v>
      </c>
      <c r="O209" s="290">
        <f t="shared" si="111"/>
        <v>5.1953589743589745</v>
      </c>
      <c r="P209" s="290">
        <f t="shared" si="111"/>
        <v>6.8445128205128185</v>
      </c>
      <c r="Q209" s="290">
        <f t="shared" si="111"/>
        <v>1.7403333333333333</v>
      </c>
      <c r="R209" s="290">
        <f t="shared" si="111"/>
        <v>1.7969999999999999</v>
      </c>
      <c r="S209" s="290">
        <f t="shared" si="111"/>
        <v>2.456666666666667</v>
      </c>
      <c r="T209" s="290">
        <f t="shared" si="111"/>
        <v>2.0393333333333334</v>
      </c>
      <c r="U209" s="290">
        <f t="shared" si="111"/>
        <v>-5.9666666666666757E-2</v>
      </c>
      <c r="V209" s="290">
        <f t="shared" si="111"/>
        <v>2.3810000000000002</v>
      </c>
      <c r="W209" s="290">
        <f t="shared" si="111"/>
        <v>3.2166153846153849</v>
      </c>
      <c r="X209" s="290">
        <f t="shared" si="111"/>
        <v>2.6437948717948707</v>
      </c>
      <c r="Y209" s="290">
        <f t="shared" si="111"/>
        <v>-9.6076923076925169E-2</v>
      </c>
      <c r="Z209" s="290">
        <f t="shared" si="111"/>
        <v>11.90804823076923</v>
      </c>
      <c r="AA209" s="290">
        <f t="shared" si="111"/>
        <v>4.5268531282051256</v>
      </c>
      <c r="AB209" s="290">
        <f t="shared" si="111"/>
        <v>1.4387263333333316</v>
      </c>
      <c r="AC209" s="290">
        <f t="shared" si="111"/>
        <v>3.1904040769230768</v>
      </c>
      <c r="AD209" s="252">
        <f t="shared" si="112"/>
        <v>1.3265362812018151</v>
      </c>
      <c r="AE209" s="252">
        <f t="shared" si="112"/>
        <v>2.2519129877784705</v>
      </c>
      <c r="AF209" s="240"/>
      <c r="AG209" s="240"/>
    </row>
    <row r="210" spans="1:33">
      <c r="A210" s="240" t="s">
        <v>231</v>
      </c>
      <c r="B210" s="290">
        <f t="shared" si="113"/>
        <v>-6.011676799301032</v>
      </c>
      <c r="C210" s="290">
        <f t="shared" si="113"/>
        <v>-0.86002564102564172</v>
      </c>
      <c r="D210" s="290">
        <f t="shared" si="111"/>
        <v>5.7538717948717935</v>
      </c>
      <c r="E210" s="290">
        <f t="shared" si="111"/>
        <v>0.26541025641025229</v>
      </c>
      <c r="F210" s="290">
        <f t="shared" si="111"/>
        <v>-17.048333333333332</v>
      </c>
      <c r="G210" s="290">
        <f t="shared" si="111"/>
        <v>5.87925641025641</v>
      </c>
      <c r="H210" s="290">
        <f t="shared" si="111"/>
        <v>2.8217435897435905</v>
      </c>
      <c r="I210" s="290">
        <f t="shared" si="111"/>
        <v>4.0192564102564106</v>
      </c>
      <c r="J210" s="290">
        <f t="shared" si="111"/>
        <v>1.2448461538461544</v>
      </c>
      <c r="K210" s="290">
        <f t="shared" si="111"/>
        <v>1.6177179487179481</v>
      </c>
      <c r="L210" s="290">
        <f t="shared" si="111"/>
        <v>-0.37287179487179323</v>
      </c>
      <c r="M210" s="290">
        <f t="shared" si="111"/>
        <v>4.6401538461538472</v>
      </c>
      <c r="N210" s="290">
        <f t="shared" si="111"/>
        <v>4.697461538461539</v>
      </c>
      <c r="O210" s="290">
        <f t="shared" si="111"/>
        <v>-21.664641025641025</v>
      </c>
      <c r="P210" s="290">
        <f t="shared" si="111"/>
        <v>1.1045128205128218</v>
      </c>
      <c r="Q210" s="290">
        <f t="shared" si="111"/>
        <v>2.2663333333333333</v>
      </c>
      <c r="R210" s="290">
        <f t="shared" si="111"/>
        <v>1.4590000000000001</v>
      </c>
      <c r="S210" s="290">
        <f t="shared" si="111"/>
        <v>2.9876666666666671</v>
      </c>
      <c r="T210" s="290">
        <f t="shared" si="111"/>
        <v>-0.56366666666666632</v>
      </c>
      <c r="U210" s="290">
        <f t="shared" si="111"/>
        <v>1.1643333333333334</v>
      </c>
      <c r="V210" s="290">
        <f t="shared" si="111"/>
        <v>2.2940000000000005</v>
      </c>
      <c r="W210" s="290">
        <f t="shared" si="111"/>
        <v>4.2316153846153837</v>
      </c>
      <c r="X210" s="290">
        <f t="shared" si="111"/>
        <v>2.301794871794872</v>
      </c>
      <c r="Y210" s="290">
        <f t="shared" si="111"/>
        <v>1.6489230769230758</v>
      </c>
      <c r="Z210" s="290">
        <f t="shared" si="111"/>
        <v>12.130848230769232</v>
      </c>
      <c r="AA210" s="290">
        <f t="shared" si="111"/>
        <v>4.5911011282051248</v>
      </c>
      <c r="AB210" s="290">
        <f t="shared" si="111"/>
        <v>1.1286973333333314</v>
      </c>
      <c r="AC210" s="290">
        <f t="shared" si="111"/>
        <v>3.2329230769230772</v>
      </c>
      <c r="AD210" s="252">
        <f t="shared" si="112"/>
        <v>2.3750029333400127</v>
      </c>
      <c r="AE210" s="252">
        <f t="shared" si="112"/>
        <v>2.4502501928678306</v>
      </c>
      <c r="AF210" s="240"/>
      <c r="AG210" s="240"/>
    </row>
    <row r="211" spans="1:33">
      <c r="A211" s="240" t="s">
        <v>232</v>
      </c>
      <c r="B211" s="290">
        <f t="shared" si="113"/>
        <v>12.91031150657809</v>
      </c>
      <c r="C211" s="290">
        <f t="shared" si="113"/>
        <v>-2.969025641025639</v>
      </c>
      <c r="D211" s="290">
        <f t="shared" si="111"/>
        <v>3.6988717948717955</v>
      </c>
      <c r="E211" s="290">
        <f t="shared" si="111"/>
        <v>12.353410256410257</v>
      </c>
      <c r="F211" s="290">
        <f t="shared" si="111"/>
        <v>7.1356666666666655</v>
      </c>
      <c r="G211" s="290">
        <f t="shared" si="111"/>
        <v>-5.1967435897435905</v>
      </c>
      <c r="H211" s="290">
        <f t="shared" si="111"/>
        <v>-0.20225641025640684</v>
      </c>
      <c r="I211" s="290">
        <f t="shared" si="111"/>
        <v>3.7742564102564096</v>
      </c>
      <c r="J211" s="290">
        <f t="shared" si="111"/>
        <v>2.5258461538461541</v>
      </c>
      <c r="K211" s="290">
        <f t="shared" si="111"/>
        <v>7.0017179487179497</v>
      </c>
      <c r="L211" s="290">
        <f t="shared" si="111"/>
        <v>2.186128205128206</v>
      </c>
      <c r="M211" s="290">
        <f t="shared" si="111"/>
        <v>3.2661538461538449</v>
      </c>
      <c r="N211" s="290">
        <f t="shared" si="111"/>
        <v>7.87846153846154</v>
      </c>
      <c r="O211" s="290">
        <f t="shared" si="111"/>
        <v>4.0243589743589752</v>
      </c>
      <c r="P211" s="290">
        <f t="shared" si="111"/>
        <v>1.9165128205128203</v>
      </c>
      <c r="Q211" s="290">
        <f t="shared" si="111"/>
        <v>1.8933333333333331</v>
      </c>
      <c r="R211" s="290">
        <f t="shared" si="111"/>
        <v>1.6759999999999999</v>
      </c>
      <c r="S211" s="290">
        <f t="shared" si="111"/>
        <v>2.2756666666666665</v>
      </c>
      <c r="T211" s="290">
        <f t="shared" si="111"/>
        <v>0.82433333333333336</v>
      </c>
      <c r="U211" s="290">
        <f t="shared" si="111"/>
        <v>1.3243333333333336</v>
      </c>
      <c r="V211" s="290">
        <f t="shared" si="111"/>
        <v>1.5389999999999997</v>
      </c>
      <c r="W211" s="290">
        <f t="shared" si="111"/>
        <v>2.2456153846153848</v>
      </c>
      <c r="X211" s="290">
        <f t="shared" si="111"/>
        <v>1.5117948717948728</v>
      </c>
      <c r="Y211" s="290">
        <f t="shared" si="111"/>
        <v>-0.4110769230769229</v>
      </c>
      <c r="Z211" s="290">
        <f t="shared" si="111"/>
        <v>-12.241334769230772</v>
      </c>
      <c r="AA211" s="290">
        <f t="shared" si="111"/>
        <v>-19.434762871794877</v>
      </c>
      <c r="AB211" s="290">
        <f t="shared" si="111"/>
        <v>0.97248433333333395</v>
      </c>
      <c r="AC211" s="290">
        <f t="shared" si="111"/>
        <v>3.2139230769230771</v>
      </c>
      <c r="AD211" s="252">
        <f t="shared" si="112"/>
        <v>-1.8922945580086901</v>
      </c>
      <c r="AE211" s="252">
        <f t="shared" si="112"/>
        <v>-1.6445069521980487</v>
      </c>
      <c r="AF211" s="240"/>
      <c r="AG211" s="240"/>
    </row>
    <row r="212" spans="1:33">
      <c r="A212" s="240" t="s">
        <v>233</v>
      </c>
      <c r="B212" s="290">
        <f t="shared" si="113"/>
        <v>14.409914578193131</v>
      </c>
      <c r="C212" s="290">
        <f t="shared" si="113"/>
        <v>9.3309743589743626</v>
      </c>
      <c r="D212" s="290">
        <f t="shared" si="111"/>
        <v>19.288871794871795</v>
      </c>
      <c r="E212" s="290">
        <f t="shared" si="111"/>
        <v>13.698410256410259</v>
      </c>
      <c r="F212" s="290">
        <f t="shared" si="111"/>
        <v>6.3396666666666697</v>
      </c>
      <c r="G212" s="290">
        <f t="shared" si="111"/>
        <v>16.930256410256408</v>
      </c>
      <c r="H212" s="290">
        <f t="shared" si="111"/>
        <v>11.686743589743589</v>
      </c>
      <c r="I212" s="290">
        <f t="shared" si="111"/>
        <v>2.9192564102564091</v>
      </c>
      <c r="J212" s="290">
        <f t="shared" si="111"/>
        <v>1.6258461538461564</v>
      </c>
      <c r="K212" s="290">
        <f t="shared" si="111"/>
        <v>5.5797179487179491</v>
      </c>
      <c r="L212" s="290">
        <f t="shared" si="111"/>
        <v>6.9141282051282058</v>
      </c>
      <c r="M212" s="290">
        <f t="shared" si="111"/>
        <v>5.2211538461538467</v>
      </c>
      <c r="N212" s="290">
        <f t="shared" si="111"/>
        <v>3.6754615384615383</v>
      </c>
      <c r="O212" s="290">
        <f t="shared" si="111"/>
        <v>5.9203589743589742</v>
      </c>
      <c r="P212" s="290">
        <f t="shared" si="111"/>
        <v>-16.438487179487183</v>
      </c>
      <c r="Q212" s="290">
        <f t="shared" si="111"/>
        <v>2.4893333333333332</v>
      </c>
      <c r="R212" s="290">
        <f t="shared" si="111"/>
        <v>1.1560000000000001</v>
      </c>
      <c r="S212" s="290">
        <f t="shared" si="111"/>
        <v>-1.9563333333333333</v>
      </c>
      <c r="T212" s="290">
        <f t="shared" si="111"/>
        <v>3.0093333333333336</v>
      </c>
      <c r="U212" s="290">
        <f t="shared" si="111"/>
        <v>-7.966666666666633E-2</v>
      </c>
      <c r="V212" s="290">
        <f t="shared" si="111"/>
        <v>2.9990000000000001</v>
      </c>
      <c r="W212" s="290">
        <f t="shared" si="111"/>
        <v>3.1206153846153839</v>
      </c>
      <c r="X212" s="290">
        <f t="shared" si="111"/>
        <v>3.4127948717948708</v>
      </c>
      <c r="Y212" s="290">
        <f t="shared" si="111"/>
        <v>0.77392307692307583</v>
      </c>
      <c r="Z212" s="290">
        <f t="shared" si="111"/>
        <v>12.28983723076923</v>
      </c>
      <c r="AA212" s="290">
        <f t="shared" si="111"/>
        <v>3.2694561282051211</v>
      </c>
      <c r="AB212" s="290">
        <f t="shared" si="111"/>
        <v>1.5628403333333338</v>
      </c>
      <c r="AC212" s="290">
        <f t="shared" si="111"/>
        <v>3.960923076923077</v>
      </c>
      <c r="AD212" s="252">
        <f t="shared" si="112"/>
        <v>2.3559262477435881</v>
      </c>
      <c r="AE212" s="252">
        <f t="shared" si="112"/>
        <v>2.3847771122091492</v>
      </c>
      <c r="AF212" s="240"/>
      <c r="AG212" s="240"/>
    </row>
    <row r="213" spans="1:33">
      <c r="A213" s="240" t="s">
        <v>234</v>
      </c>
      <c r="B213" s="290">
        <f t="shared" si="113"/>
        <v>-19.660395178611914</v>
      </c>
      <c r="C213" s="290">
        <f t="shared" si="113"/>
        <v>-3.600025641025641</v>
      </c>
      <c r="D213" s="290">
        <f t="shared" si="111"/>
        <v>1.4018717948717914</v>
      </c>
      <c r="E213" s="290">
        <f t="shared" si="111"/>
        <v>-17.402589743589751</v>
      </c>
      <c r="F213" s="290">
        <f t="shared" si="111"/>
        <v>14.551666666666666</v>
      </c>
      <c r="G213" s="290">
        <f t="shared" si="111"/>
        <v>1.8172564102564088</v>
      </c>
      <c r="H213" s="290">
        <f t="shared" si="111"/>
        <v>5.4537435897435902</v>
      </c>
      <c r="I213" s="290">
        <f t="shared" si="111"/>
        <v>4.900256410256409</v>
      </c>
      <c r="J213" s="290">
        <f t="shared" si="111"/>
        <v>1.4768461538461546</v>
      </c>
      <c r="K213" s="290">
        <f t="shared" si="111"/>
        <v>-7.431282051282051</v>
      </c>
      <c r="L213" s="290">
        <f t="shared" si="111"/>
        <v>2.2381282051282092</v>
      </c>
      <c r="M213" s="290">
        <f t="shared" si="111"/>
        <v>-13.725846153846152</v>
      </c>
      <c r="N213" s="290">
        <f t="shared" si="111"/>
        <v>-1.2015384615384623</v>
      </c>
      <c r="O213" s="290">
        <f t="shared" si="111"/>
        <v>-14.720641025641026</v>
      </c>
      <c r="P213" s="290">
        <f t="shared" si="111"/>
        <v>0.24151282051282053</v>
      </c>
      <c r="Q213" s="290">
        <f t="shared" si="111"/>
        <v>1.3643333333333332</v>
      </c>
      <c r="R213" s="290">
        <f t="shared" si="111"/>
        <v>-0.80100000000000016</v>
      </c>
      <c r="S213" s="290">
        <f t="shared" si="111"/>
        <v>1.7186666666666666</v>
      </c>
      <c r="T213" s="290">
        <f t="shared" si="111"/>
        <v>2.7643333333333335</v>
      </c>
      <c r="U213" s="290">
        <f t="shared" si="111"/>
        <v>-2.1626666666666665</v>
      </c>
      <c r="V213" s="290">
        <f t="shared" si="111"/>
        <v>3.0709999999999997</v>
      </c>
      <c r="W213" s="290">
        <f t="shared" si="111"/>
        <v>3.1776153846153847</v>
      </c>
      <c r="X213" s="290">
        <f t="shared" si="111"/>
        <v>2.4087948717948713</v>
      </c>
      <c r="Y213" s="290">
        <f t="shared" si="111"/>
        <v>0.23992307692307691</v>
      </c>
      <c r="Z213" s="290">
        <f t="shared" si="111"/>
        <v>10.615393230769225</v>
      </c>
      <c r="AA213" s="290">
        <f t="shared" si="111"/>
        <v>6.1673121282051184</v>
      </c>
      <c r="AB213" s="290">
        <f t="shared" si="111"/>
        <v>0.22957133333333246</v>
      </c>
      <c r="AC213" s="252">
        <f t="shared" ref="AC213:AC218" si="114">AC309-AC308+AC277-AC261+AC293</f>
        <v>1.8639230769230766</v>
      </c>
      <c r="AD213" s="252">
        <f t="shared" si="112"/>
        <v>2.1918390146352742</v>
      </c>
      <c r="AE213" s="252">
        <f t="shared" si="112"/>
        <v>2.1333348999260173</v>
      </c>
      <c r="AF213" s="240"/>
      <c r="AG213" s="240"/>
    </row>
    <row r="214" spans="1:33">
      <c r="A214" s="240" t="s">
        <v>46</v>
      </c>
      <c r="B214" s="290">
        <f t="shared" si="113"/>
        <v>-6.3395625449920736</v>
      </c>
      <c r="C214" s="290">
        <f t="shared" si="113"/>
        <v>-18.606025641025646</v>
      </c>
      <c r="D214" s="290">
        <f t="shared" si="111"/>
        <v>-9.4781282051282059</v>
      </c>
      <c r="E214" s="290">
        <f t="shared" si="111"/>
        <v>-5.1485897435897492</v>
      </c>
      <c r="F214" s="290">
        <f t="shared" si="111"/>
        <v>11.074666666666669</v>
      </c>
      <c r="G214" s="290">
        <f t="shared" si="111"/>
        <v>16.84125641025641</v>
      </c>
      <c r="H214" s="290">
        <f t="shared" si="111"/>
        <v>-3.4042564102564121</v>
      </c>
      <c r="I214" s="290">
        <f t="shared" si="111"/>
        <v>3.291256410256409</v>
      </c>
      <c r="J214" s="290">
        <f t="shared" si="111"/>
        <v>3.6898461538461529</v>
      </c>
      <c r="K214" s="290">
        <f t="shared" si="111"/>
        <v>6.652717948717946</v>
      </c>
      <c r="L214" s="290">
        <f t="shared" si="111"/>
        <v>-8.4948717948717949</v>
      </c>
      <c r="M214" s="290">
        <f t="shared" si="111"/>
        <v>-5.0778461538461528</v>
      </c>
      <c r="N214" s="290">
        <f t="shared" si="111"/>
        <v>2.5464615384615388</v>
      </c>
      <c r="O214" s="290">
        <f t="shared" si="111"/>
        <v>-3.813641025641024</v>
      </c>
      <c r="P214" s="290">
        <f t="shared" si="111"/>
        <v>-1.403487179487179</v>
      </c>
      <c r="Q214" s="290">
        <f t="shared" si="111"/>
        <v>-19.718666666666667</v>
      </c>
      <c r="R214" s="290">
        <f t="shared" si="111"/>
        <v>-2.7090000000000001</v>
      </c>
      <c r="S214" s="290">
        <f t="shared" si="111"/>
        <v>-19.230333333333334</v>
      </c>
      <c r="T214" s="290">
        <f t="shared" si="111"/>
        <v>2.4593333333333338</v>
      </c>
      <c r="U214" s="290">
        <f t="shared" si="111"/>
        <v>-1.3576666666666664</v>
      </c>
      <c r="V214" s="290">
        <f t="shared" si="111"/>
        <v>-11.315000000000001</v>
      </c>
      <c r="W214" s="290">
        <f t="shared" si="111"/>
        <v>4.0636153846153844</v>
      </c>
      <c r="X214" s="290">
        <f t="shared" si="111"/>
        <v>-0.46020512820513026</v>
      </c>
      <c r="Y214" s="290">
        <f t="shared" si="111"/>
        <v>1.1619230769230775</v>
      </c>
      <c r="Z214" s="290">
        <f t="shared" si="111"/>
        <v>-12.739154769230765</v>
      </c>
      <c r="AA214" s="290">
        <f t="shared" si="111"/>
        <v>4.1518591282051247</v>
      </c>
      <c r="AB214" s="290">
        <f t="shared" si="111"/>
        <v>0.7034643333333328</v>
      </c>
      <c r="AC214" s="252">
        <f t="shared" si="114"/>
        <v>1.0159230769230767</v>
      </c>
      <c r="AD214" s="252">
        <f t="shared" si="112"/>
        <v>-5.8124753403699714E-2</v>
      </c>
      <c r="AE214" s="252">
        <f t="shared" si="112"/>
        <v>0.15335912259282214</v>
      </c>
      <c r="AF214" s="240"/>
      <c r="AG214" s="240"/>
    </row>
    <row r="215" spans="1:33">
      <c r="A215" s="240" t="s">
        <v>235</v>
      </c>
      <c r="B215" s="290">
        <f t="shared" si="113"/>
        <v>-5.1131072681345238</v>
      </c>
      <c r="C215" s="290">
        <f t="shared" si="113"/>
        <v>6.4779743589743637</v>
      </c>
      <c r="D215" s="290">
        <f t="shared" si="111"/>
        <v>-2.414128205128204</v>
      </c>
      <c r="E215" s="290">
        <f t="shared" si="111"/>
        <v>11.733410256410256</v>
      </c>
      <c r="F215" s="290">
        <f t="shared" si="111"/>
        <v>9.0306666666666686</v>
      </c>
      <c r="G215" s="290">
        <f t="shared" si="111"/>
        <v>-6.500743589743589</v>
      </c>
      <c r="H215" s="290">
        <f t="shared" si="111"/>
        <v>14.070743589743589</v>
      </c>
      <c r="I215" s="290">
        <f t="shared" si="111"/>
        <v>3.7832564102564081</v>
      </c>
      <c r="J215" s="290">
        <f t="shared" si="111"/>
        <v>3.1568461538461534</v>
      </c>
      <c r="K215" s="290">
        <f t="shared" si="111"/>
        <v>-4.9292820512820512</v>
      </c>
      <c r="L215" s="290">
        <f t="shared" si="111"/>
        <v>-10.507871794871789</v>
      </c>
      <c r="M215" s="290">
        <f t="shared" si="111"/>
        <v>5.0111538461538458</v>
      </c>
      <c r="N215" s="290">
        <f t="shared" si="111"/>
        <v>3.891461538461539</v>
      </c>
      <c r="O215" s="290">
        <f t="shared" si="111"/>
        <v>7.4583589743589727</v>
      </c>
      <c r="P215" s="290">
        <f t="shared" si="111"/>
        <v>1.2425128205128209</v>
      </c>
      <c r="Q215" s="290">
        <f t="shared" si="111"/>
        <v>3.2783333333333333</v>
      </c>
      <c r="R215" s="290">
        <f t="shared" si="111"/>
        <v>1.1169999999999998</v>
      </c>
      <c r="S215" s="290">
        <f t="shared" si="111"/>
        <v>3.5026666666666668</v>
      </c>
      <c r="T215" s="290">
        <f t="shared" si="111"/>
        <v>-19.710666666666668</v>
      </c>
      <c r="U215" s="290">
        <f t="shared" si="111"/>
        <v>0.38333333333333375</v>
      </c>
      <c r="V215" s="290">
        <f t="shared" si="111"/>
        <v>-8.4159999999999986</v>
      </c>
      <c r="W215" s="290">
        <f t="shared" si="111"/>
        <v>-5.304384615384615</v>
      </c>
      <c r="X215" s="290">
        <f t="shared" si="111"/>
        <v>4.6247948717948724</v>
      </c>
      <c r="Y215" s="290">
        <f t="shared" si="111"/>
        <v>1.9119680769230758</v>
      </c>
      <c r="Z215" s="290">
        <f t="shared" si="111"/>
        <v>11.342567230769234</v>
      </c>
      <c r="AA215" s="290">
        <f t="shared" si="111"/>
        <v>5.7526321282051285</v>
      </c>
      <c r="AB215" s="290">
        <f t="shared" si="111"/>
        <v>-0.38745866666666728</v>
      </c>
      <c r="AC215" s="252">
        <f t="shared" si="114"/>
        <v>1.8969230769230765</v>
      </c>
      <c r="AD215" s="252">
        <f t="shared" si="112"/>
        <v>2.2479829493036596</v>
      </c>
      <c r="AE215" s="252">
        <f t="shared" si="112"/>
        <v>2.3515460778416029</v>
      </c>
      <c r="AF215" s="240"/>
      <c r="AG215" s="240"/>
    </row>
    <row r="216" spans="1:33">
      <c r="A216" s="240" t="s">
        <v>236</v>
      </c>
      <c r="B216" s="290">
        <f t="shared" si="113"/>
        <v>-1.7475362255868525</v>
      </c>
      <c r="C216" s="290">
        <f t="shared" si="113"/>
        <v>-5.8730256410256416</v>
      </c>
      <c r="D216" s="290">
        <f t="shared" si="111"/>
        <v>15.687871794871791</v>
      </c>
      <c r="E216" s="290">
        <f t="shared" si="111"/>
        <v>20.204410256410259</v>
      </c>
      <c r="F216" s="290">
        <f t="shared" si="111"/>
        <v>18.246666666666663</v>
      </c>
      <c r="G216" s="290">
        <f t="shared" si="111"/>
        <v>3.50425641025641</v>
      </c>
      <c r="H216" s="290">
        <f t="shared" si="111"/>
        <v>5.6237435897435883</v>
      </c>
      <c r="I216" s="290">
        <f t="shared" si="111"/>
        <v>7.6672564102564102</v>
      </c>
      <c r="J216" s="290">
        <f t="shared" si="111"/>
        <v>2.1358461538461539</v>
      </c>
      <c r="K216" s="290">
        <f t="shared" si="111"/>
        <v>7.4097179487179456</v>
      </c>
      <c r="L216" s="290">
        <f t="shared" si="111"/>
        <v>3.7881282051282064</v>
      </c>
      <c r="M216" s="290">
        <f t="shared" si="111"/>
        <v>-11.534846153846152</v>
      </c>
      <c r="N216" s="290">
        <f t="shared" si="111"/>
        <v>3.9204615384615371</v>
      </c>
      <c r="O216" s="290">
        <f t="shared" si="111"/>
        <v>7.3133589743589749</v>
      </c>
      <c r="P216" s="290">
        <f t="shared" si="111"/>
        <v>2.7615128205128205</v>
      </c>
      <c r="Q216" s="290">
        <f t="shared" si="111"/>
        <v>1.2743333333333331</v>
      </c>
      <c r="R216" s="290">
        <f t="shared" si="111"/>
        <v>2.0830000000000002</v>
      </c>
      <c r="S216" s="290">
        <f t="shared" si="111"/>
        <v>4.8946666666666667</v>
      </c>
      <c r="T216" s="290">
        <f t="shared" si="111"/>
        <v>3.9753333333333325</v>
      </c>
      <c r="U216" s="290">
        <f t="shared" si="111"/>
        <v>1.9683333333333337</v>
      </c>
      <c r="V216" s="290">
        <f t="shared" si="111"/>
        <v>4.0330000000000004</v>
      </c>
      <c r="W216" s="290">
        <f t="shared" si="111"/>
        <v>-0.46638461538461495</v>
      </c>
      <c r="X216" s="290">
        <f t="shared" si="111"/>
        <v>5.767794871794873</v>
      </c>
      <c r="Y216" s="290">
        <f t="shared" si="111"/>
        <v>0.91896107692307716</v>
      </c>
      <c r="Z216" s="290">
        <f t="shared" si="111"/>
        <v>-13.957822769230766</v>
      </c>
      <c r="AA216" s="290">
        <f t="shared" si="111"/>
        <v>5.6834151282051195</v>
      </c>
      <c r="AB216" s="290">
        <f t="shared" si="111"/>
        <v>1.1506843333333343</v>
      </c>
      <c r="AC216" s="252">
        <f t="shared" si="114"/>
        <v>2.2819230769230763</v>
      </c>
      <c r="AD216" s="252">
        <f t="shared" si="112"/>
        <v>0.39594177081404647</v>
      </c>
      <c r="AE216" s="252">
        <f t="shared" si="112"/>
        <v>0.33086144984022825</v>
      </c>
      <c r="AF216" s="240"/>
      <c r="AG216" s="240"/>
    </row>
    <row r="217" spans="1:33">
      <c r="A217" s="240" t="s">
        <v>237</v>
      </c>
      <c r="B217" s="290">
        <f t="shared" si="113"/>
        <v>8.1540713343722366</v>
      </c>
      <c r="C217" s="290">
        <f t="shared" si="113"/>
        <v>-0.32102564102563758</v>
      </c>
      <c r="D217" s="290">
        <f t="shared" si="111"/>
        <v>18.669871794871792</v>
      </c>
      <c r="E217" s="290">
        <f t="shared" si="111"/>
        <v>-0.77258974358974086</v>
      </c>
      <c r="F217" s="290">
        <f t="shared" si="111"/>
        <v>26.18566666666667</v>
      </c>
      <c r="G217" s="290">
        <f t="shared" si="111"/>
        <v>19.009256410256413</v>
      </c>
      <c r="H217" s="290">
        <f t="shared" si="111"/>
        <v>6.40274358974359</v>
      </c>
      <c r="I217" s="290">
        <f t="shared" si="111"/>
        <v>0.82125641025640839</v>
      </c>
      <c r="J217" s="290">
        <f t="shared" si="111"/>
        <v>4.8638461538461533</v>
      </c>
      <c r="K217" s="290">
        <f t="shared" si="111"/>
        <v>10.317717948717949</v>
      </c>
      <c r="L217" s="290">
        <f t="shared" si="111"/>
        <v>-1.7248717948717882</v>
      </c>
      <c r="M217" s="290">
        <f t="shared" si="111"/>
        <v>4.7431538461538469</v>
      </c>
      <c r="N217" s="290">
        <f t="shared" si="111"/>
        <v>8.7094615384615395</v>
      </c>
      <c r="O217" s="290">
        <f t="shared" si="111"/>
        <v>7.952358974358976</v>
      </c>
      <c r="P217" s="290">
        <f t="shared" si="111"/>
        <v>2.3605128205128203</v>
      </c>
      <c r="Q217" s="290">
        <f t="shared" si="111"/>
        <v>3.0273333333333334</v>
      </c>
      <c r="R217" s="290">
        <f t="shared" si="111"/>
        <v>-2.0700000000000003</v>
      </c>
      <c r="S217" s="290">
        <f t="shared" si="111"/>
        <v>4.1146666666666665</v>
      </c>
      <c r="T217" s="290">
        <f t="shared" si="111"/>
        <v>3.6483333333333325</v>
      </c>
      <c r="U217" s="290">
        <f t="shared" si="111"/>
        <v>-0.73566666666666647</v>
      </c>
      <c r="V217" s="290">
        <f t="shared" si="111"/>
        <v>3.9979999999999993</v>
      </c>
      <c r="W217" s="290">
        <f t="shared" si="111"/>
        <v>-13.050384615384615</v>
      </c>
      <c r="X217" s="290">
        <f t="shared" si="111"/>
        <v>-21.963205128205129</v>
      </c>
      <c r="Y217" s="290">
        <f t="shared" si="111"/>
        <v>0.60109507692307673</v>
      </c>
      <c r="Z217" s="290">
        <f t="shared" si="111"/>
        <v>13.146622230769232</v>
      </c>
      <c r="AA217" s="290">
        <f t="shared" si="111"/>
        <v>5.9398391282051293</v>
      </c>
      <c r="AB217" s="290">
        <f t="shared" si="111"/>
        <v>0.81611033333333438</v>
      </c>
      <c r="AC217" s="252">
        <f t="shared" si="114"/>
        <v>2.3619230769230763</v>
      </c>
      <c r="AD217" s="252">
        <f t="shared" si="112"/>
        <v>0.26222868946789335</v>
      </c>
      <c r="AE217" s="252">
        <f t="shared" si="112"/>
        <v>2.5118867318264977</v>
      </c>
      <c r="AF217" s="240"/>
      <c r="AG217" s="240"/>
    </row>
    <row r="218" spans="1:33">
      <c r="A218" s="240" t="s">
        <v>238</v>
      </c>
      <c r="B218" s="290">
        <f t="shared" si="113"/>
        <v>15.620498591373977</v>
      </c>
      <c r="C218" s="290">
        <f t="shared" si="113"/>
        <v>1.777282051282052</v>
      </c>
      <c r="D218" s="290">
        <f t="shared" si="113"/>
        <v>13.312410256410248</v>
      </c>
      <c r="E218" s="290">
        <f t="shared" si="113"/>
        <v>17.764487179487169</v>
      </c>
      <c r="F218" s="290">
        <f t="shared" si="113"/>
        <v>22.725666666666669</v>
      </c>
      <c r="G218" s="290">
        <f t="shared" si="113"/>
        <v>8.6111794871794878</v>
      </c>
      <c r="H218" s="290">
        <f t="shared" si="113"/>
        <v>-4.3291794871794949</v>
      </c>
      <c r="I218" s="290">
        <f t="shared" si="113"/>
        <v>4.612179487179489</v>
      </c>
      <c r="J218" s="290">
        <f t="shared" si="113"/>
        <v>2.2046923076923082</v>
      </c>
      <c r="K218" s="290">
        <f t="shared" si="113"/>
        <v>7.1961025641025618</v>
      </c>
      <c r="L218" s="290">
        <f t="shared" si="113"/>
        <v>10.234589743589734</v>
      </c>
      <c r="M218" s="290">
        <f t="shared" si="113"/>
        <v>2.4923076923076861</v>
      </c>
      <c r="N218" s="290">
        <f t="shared" si="113"/>
        <v>8.3099230769230772</v>
      </c>
      <c r="O218" s="290">
        <f t="shared" si="113"/>
        <v>9.3500512820512771</v>
      </c>
      <c r="P218" s="290">
        <f t="shared" si="113"/>
        <v>1.0073589743589744</v>
      </c>
      <c r="Q218" s="290">
        <f t="shared" si="113"/>
        <v>3.7813333333333334</v>
      </c>
      <c r="R218" s="290">
        <f t="shared" ref="R218:AM218" si="115">R314+R298+R282-R266-R313</f>
        <v>0.96400000000000019</v>
      </c>
      <c r="S218" s="290">
        <f t="shared" si="115"/>
        <v>3.5516666666666663</v>
      </c>
      <c r="T218" s="290">
        <f t="shared" si="115"/>
        <v>3.9773333333333336</v>
      </c>
      <c r="U218" s="290">
        <f t="shared" si="115"/>
        <v>1.9973333333333334</v>
      </c>
      <c r="V218" s="290">
        <f t="shared" si="115"/>
        <v>4.2939999999999996</v>
      </c>
      <c r="W218" s="290">
        <f t="shared" si="115"/>
        <v>4.1892307692307691</v>
      </c>
      <c r="X218" s="290">
        <f t="shared" si="115"/>
        <v>1.3122564102564063</v>
      </c>
      <c r="Y218" s="290">
        <f t="shared" si="115"/>
        <v>-2.3184538461538433</v>
      </c>
      <c r="Z218" s="290">
        <f t="shared" si="115"/>
        <v>-10.81486153846155</v>
      </c>
      <c r="AA218" s="290">
        <f t="shared" si="115"/>
        <v>3.5081275897436086</v>
      </c>
      <c r="AB218" s="290">
        <f t="shared" si="115"/>
        <v>0.31147533333333399</v>
      </c>
      <c r="AC218" s="252">
        <f t="shared" si="114"/>
        <v>-23.553153846153844</v>
      </c>
      <c r="AD218" s="252">
        <f t="shared" si="112"/>
        <v>1.8966280915727647</v>
      </c>
      <c r="AE218" s="252">
        <f t="shared" si="112"/>
        <v>-2.3596634119752142</v>
      </c>
      <c r="AF218" s="240"/>
      <c r="AG218" s="240"/>
    </row>
    <row r="219" spans="1:33" ht="15.75" thickBot="1">
      <c r="A219" s="240" t="s">
        <v>242</v>
      </c>
      <c r="B219" s="146">
        <f t="shared" ref="B219:Z219" si="116">SUM(B207:B218)</f>
        <v>12.999999999999972</v>
      </c>
      <c r="C219" s="146">
        <f t="shared" si="116"/>
        <v>0.30744352983294299</v>
      </c>
      <c r="D219" s="146">
        <f t="shared" si="116"/>
        <v>78.172999999999973</v>
      </c>
      <c r="E219" s="146">
        <f t="shared" si="116"/>
        <v>47.032999999999987</v>
      </c>
      <c r="F219" s="146">
        <f t="shared" si="116"/>
        <v>117.182</v>
      </c>
      <c r="G219" s="146">
        <f t="shared" si="116"/>
        <v>87.945999999999984</v>
      </c>
      <c r="H219" s="146">
        <f t="shared" si="116"/>
        <v>37.670999999999999</v>
      </c>
      <c r="I219" s="146">
        <f t="shared" si="116"/>
        <v>12.663999999999989</v>
      </c>
      <c r="J219" s="146">
        <f t="shared" si="116"/>
        <v>7.996000000000004</v>
      </c>
      <c r="K219" s="146">
        <f t="shared" si="116"/>
        <v>49.205999999999989</v>
      </c>
      <c r="L219" s="146">
        <f t="shared" si="116"/>
        <v>15.64800000000001</v>
      </c>
      <c r="M219" s="146">
        <f t="shared" si="116"/>
        <v>3.6970000000000018</v>
      </c>
      <c r="N219" s="146">
        <f t="shared" si="116"/>
        <v>7.3699999999999974</v>
      </c>
      <c r="O219" s="146">
        <f t="shared" si="116"/>
        <v>4.6959999999999944</v>
      </c>
      <c r="P219" s="146">
        <f t="shared" si="116"/>
        <v>4.1529999999999934</v>
      </c>
      <c r="Q219" s="146">
        <f t="shared" si="116"/>
        <v>5.4509999999999978</v>
      </c>
      <c r="R219" s="146">
        <f t="shared" si="116"/>
        <v>4.9420000000000002</v>
      </c>
      <c r="S219" s="146">
        <f t="shared" si="116"/>
        <v>6.6969999999999992</v>
      </c>
      <c r="T219" s="146">
        <f t="shared" si="116"/>
        <v>6.3179999999999996</v>
      </c>
      <c r="U219" s="146">
        <f t="shared" si="116"/>
        <v>5.7370000000000019</v>
      </c>
      <c r="V219" s="146">
        <f t="shared" si="116"/>
        <v>9.5969999999999995</v>
      </c>
      <c r="W219" s="146">
        <f t="shared" si="116"/>
        <v>12.754000000000001</v>
      </c>
      <c r="X219" s="146">
        <f t="shared" si="116"/>
        <v>11.395999999999994</v>
      </c>
      <c r="Y219" s="146">
        <f t="shared" si="116"/>
        <v>4.8019549999999995</v>
      </c>
      <c r="Z219" s="146">
        <f t="shared" si="116"/>
        <v>22.525242999999989</v>
      </c>
      <c r="AA219" s="253">
        <f>AA33</f>
        <v>10.643279999999976</v>
      </c>
      <c r="AB219" s="253">
        <f>AB33</f>
        <v>9.3722769999999951</v>
      </c>
      <c r="AC219" s="253">
        <f>AC33</f>
        <v>10.08</v>
      </c>
      <c r="AD219" s="253">
        <f t="shared" ref="AD219:AE219" si="117">AD33</f>
        <v>11</v>
      </c>
      <c r="AE219" s="253">
        <f t="shared" si="117"/>
        <v>10.647425530552468</v>
      </c>
      <c r="AF219" s="240"/>
      <c r="AG219" s="240"/>
    </row>
    <row r="220" spans="1:33">
      <c r="A220" s="248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</row>
    <row r="221" spans="1:33" ht="15.75" thickBot="1">
      <c r="A221" s="235" t="s">
        <v>263</v>
      </c>
    </row>
    <row r="222" spans="1:33" ht="15.75" thickBot="1">
      <c r="A222" s="236"/>
      <c r="B222" s="237" t="str">
        <f>B$2</f>
        <v xml:space="preserve">93/94 </v>
      </c>
      <c r="C222" s="237" t="str">
        <f t="shared" ref="C222:AE222" si="118">C$2</f>
        <v xml:space="preserve">94/95 </v>
      </c>
      <c r="D222" s="237" t="str">
        <f t="shared" si="118"/>
        <v xml:space="preserve">95/96 </v>
      </c>
      <c r="E222" s="237" t="str">
        <f t="shared" si="118"/>
        <v xml:space="preserve">96/97 </v>
      </c>
      <c r="F222" s="237" t="str">
        <f t="shared" si="118"/>
        <v xml:space="preserve">97/98 </v>
      </c>
      <c r="G222" s="237" t="str">
        <f t="shared" si="118"/>
        <v xml:space="preserve">98/99 </v>
      </c>
      <c r="H222" s="237" t="str">
        <f t="shared" si="118"/>
        <v xml:space="preserve">99/00 </v>
      </c>
      <c r="I222" s="237" t="str">
        <f t="shared" si="118"/>
        <v xml:space="preserve">00/01 </v>
      </c>
      <c r="J222" s="237" t="str">
        <f t="shared" si="118"/>
        <v xml:space="preserve">01/02 </v>
      </c>
      <c r="K222" s="237" t="str">
        <f t="shared" si="118"/>
        <v xml:space="preserve">02/03 </v>
      </c>
      <c r="L222" s="237" t="str">
        <f t="shared" si="118"/>
        <v xml:space="preserve">03/04 </v>
      </c>
      <c r="M222" s="237" t="str">
        <f t="shared" si="118"/>
        <v xml:space="preserve">04/05 </v>
      </c>
      <c r="N222" s="237" t="str">
        <f t="shared" si="118"/>
        <v xml:space="preserve">05/06 </v>
      </c>
      <c r="O222" s="237" t="str">
        <f t="shared" si="118"/>
        <v xml:space="preserve">06/07 </v>
      </c>
      <c r="P222" s="237" t="str">
        <f t="shared" si="118"/>
        <v xml:space="preserve">07/08 </v>
      </c>
      <c r="Q222" s="237" t="str">
        <f t="shared" si="118"/>
        <v xml:space="preserve">08/09 </v>
      </c>
      <c r="R222" s="237" t="str">
        <f t="shared" si="118"/>
        <v xml:space="preserve">09/10 </v>
      </c>
      <c r="S222" s="237" t="str">
        <f t="shared" si="118"/>
        <v xml:space="preserve">10/11 </v>
      </c>
      <c r="T222" s="237" t="str">
        <f t="shared" si="118"/>
        <v xml:space="preserve">11/12 </v>
      </c>
      <c r="U222" s="237" t="str">
        <f t="shared" si="118"/>
        <v xml:space="preserve">12/13 </v>
      </c>
      <c r="V222" s="237" t="str">
        <f t="shared" si="118"/>
        <v xml:space="preserve">13/14 </v>
      </c>
      <c r="W222" s="237" t="str">
        <f t="shared" si="118"/>
        <v xml:space="preserve">14/15 </v>
      </c>
      <c r="X222" s="237" t="str">
        <f t="shared" si="118"/>
        <v xml:space="preserve">15/16 </v>
      </c>
      <c r="Y222" s="237" t="str">
        <f t="shared" si="118"/>
        <v xml:space="preserve">16/17 </v>
      </c>
      <c r="Z222" s="237" t="str">
        <f t="shared" si="118"/>
        <v xml:space="preserve">17/18 </v>
      </c>
      <c r="AA222" s="237" t="str">
        <f t="shared" si="118"/>
        <v xml:space="preserve">18/19 </v>
      </c>
      <c r="AB222" s="237" t="str">
        <f t="shared" si="118"/>
        <v xml:space="preserve">19/20 </v>
      </c>
      <c r="AC222" s="237" t="str">
        <f t="shared" si="118"/>
        <v xml:space="preserve">20/21 </v>
      </c>
      <c r="AD222" s="237" t="str">
        <f t="shared" si="118"/>
        <v xml:space="preserve">21/22 </v>
      </c>
      <c r="AE222" s="237" t="str">
        <f t="shared" si="118"/>
        <v xml:space="preserve">22/23 </v>
      </c>
    </row>
    <row r="223" spans="1:33">
      <c r="A223" s="240" t="s">
        <v>239</v>
      </c>
      <c r="B223" s="298">
        <f t="shared" ref="B223:AE231" si="119">B207/B81</f>
        <v>1.0564592676261489E-3</v>
      </c>
      <c r="C223" s="298">
        <f t="shared" si="119"/>
        <v>0.28822877258440699</v>
      </c>
      <c r="D223" s="298">
        <f t="shared" si="119"/>
        <v>-0.29511011478304638</v>
      </c>
      <c r="E223" s="298">
        <f t="shared" si="119"/>
        <v>-0.26627226918050051</v>
      </c>
      <c r="F223" s="298">
        <f t="shared" si="119"/>
        <v>-4.4232412135179651E-2</v>
      </c>
      <c r="G223" s="298">
        <f t="shared" si="119"/>
        <v>0.5238593526947275</v>
      </c>
      <c r="H223" s="298">
        <f t="shared" si="119"/>
        <v>2.5727390577083922</v>
      </c>
      <c r="I223" s="298">
        <f t="shared" si="119"/>
        <v>-0.13009738390957662</v>
      </c>
      <c r="J223" s="298">
        <f t="shared" si="119"/>
        <v>5.2664903957822052E-3</v>
      </c>
      <c r="K223" s="298">
        <f t="shared" si="119"/>
        <v>0.41067518269443704</v>
      </c>
      <c r="L223" s="298">
        <f t="shared" si="119"/>
        <v>0.37442341478821795</v>
      </c>
      <c r="M223" s="298">
        <f t="shared" si="119"/>
        <v>0.35929680143924525</v>
      </c>
      <c r="N223" s="298">
        <f t="shared" si="119"/>
        <v>-0.89067850608986809</v>
      </c>
      <c r="O223" s="298">
        <f t="shared" si="119"/>
        <v>-0.22170475267690087</v>
      </c>
      <c r="P223" s="298">
        <f t="shared" si="119"/>
        <v>0.6918699076956395</v>
      </c>
      <c r="Q223" s="298">
        <f t="shared" si="119"/>
        <v>0.22980442176870752</v>
      </c>
      <c r="R223" s="298">
        <f t="shared" si="119"/>
        <v>-0.31103286384976536</v>
      </c>
      <c r="S223" s="298">
        <f t="shared" si="119"/>
        <v>-1.141078838174274</v>
      </c>
      <c r="T223" s="298">
        <f t="shared" si="119"/>
        <v>1.1164543571208181</v>
      </c>
      <c r="U223" s="298">
        <f t="shared" si="119"/>
        <v>-2.9389256198347105</v>
      </c>
      <c r="V223" s="298">
        <f t="shared" si="119"/>
        <v>7.0538480452421989E-2</v>
      </c>
      <c r="W223" s="298">
        <f t="shared" si="119"/>
        <v>0.37172060452603256</v>
      </c>
      <c r="X223" s="298">
        <f t="shared" si="119"/>
        <v>0.58768824502085459</v>
      </c>
      <c r="Y223" s="298">
        <f t="shared" si="119"/>
        <v>-0.56091443005999453</v>
      </c>
      <c r="Z223" s="298">
        <f t="shared" si="119"/>
        <v>-0.47198116263912387</v>
      </c>
      <c r="AA223" s="298">
        <f t="shared" si="119"/>
        <v>-0.13133575202962272</v>
      </c>
      <c r="AB223" s="298">
        <f t="shared" si="119"/>
        <v>1.6677691376661228</v>
      </c>
      <c r="AC223" s="298">
        <f t="shared" si="119"/>
        <v>0.49880079957232043</v>
      </c>
      <c r="AD223" s="298">
        <f t="shared" si="119"/>
        <v>-0.28962889127541308</v>
      </c>
      <c r="AE223" s="298">
        <f t="shared" si="119"/>
        <v>-0.14663596527834954</v>
      </c>
      <c r="AF223" s="240"/>
      <c r="AG223" s="240"/>
    </row>
    <row r="224" spans="1:33">
      <c r="A224" s="240" t="s">
        <v>240</v>
      </c>
      <c r="B224" s="298">
        <f t="shared" si="119"/>
        <v>-0.36687363956758229</v>
      </c>
      <c r="C224" s="298">
        <f t="shared" si="119"/>
        <v>0.98407968727024087</v>
      </c>
      <c r="D224" s="298">
        <f t="shared" si="119"/>
        <v>0.49290792103293124</v>
      </c>
      <c r="E224" s="298">
        <f t="shared" si="119"/>
        <v>4.260201788750094</v>
      </c>
      <c r="F224" s="298">
        <f t="shared" si="119"/>
        <v>1.3711511519302613</v>
      </c>
      <c r="G224" s="298">
        <f t="shared" si="119"/>
        <v>-1.3715570874399605</v>
      </c>
      <c r="H224" s="298">
        <f t="shared" si="119"/>
        <v>-3.9579504219775075E-2</v>
      </c>
      <c r="I224" s="298">
        <f t="shared" si="119"/>
        <v>0.217852817196557</v>
      </c>
      <c r="J224" s="298">
        <f t="shared" si="119"/>
        <v>4.4609233284790859</v>
      </c>
      <c r="K224" s="298">
        <f t="shared" si="119"/>
        <v>0.58752675676579957</v>
      </c>
      <c r="L224" s="298">
        <f t="shared" si="119"/>
        <v>-0.84047302174210403</v>
      </c>
      <c r="M224" s="298">
        <f t="shared" si="119"/>
        <v>-3.2361261196359568</v>
      </c>
      <c r="N224" s="298">
        <f t="shared" si="119"/>
        <v>-0.13140796817797454</v>
      </c>
      <c r="O224" s="298">
        <f t="shared" si="119"/>
        <v>-0.39612636165772852</v>
      </c>
      <c r="P224" s="298">
        <f t="shared" si="119"/>
        <v>0.13839646956573856</v>
      </c>
      <c r="Q224" s="298">
        <f t="shared" si="119"/>
        <v>0.62567835025218665</v>
      </c>
      <c r="R224" s="298">
        <f t="shared" si="119"/>
        <v>0.24693934335002785</v>
      </c>
      <c r="S224" s="298">
        <f t="shared" si="119"/>
        <v>-0.20928086838534599</v>
      </c>
      <c r="T224" s="298">
        <f t="shared" si="119"/>
        <v>0.22703497875122589</v>
      </c>
      <c r="U224" s="298">
        <f t="shared" si="119"/>
        <v>4.0693854748603284</v>
      </c>
      <c r="V224" s="298">
        <f t="shared" si="119"/>
        <v>0.75156656866862659</v>
      </c>
      <c r="W224" s="298">
        <f t="shared" si="119"/>
        <v>0.50774440405586374</v>
      </c>
      <c r="X224" s="298">
        <f t="shared" si="119"/>
        <v>0.67591923032160472</v>
      </c>
      <c r="Y224" s="298">
        <f t="shared" si="119"/>
        <v>5.4516012810246943</v>
      </c>
      <c r="Z224" s="298">
        <f t="shared" si="119"/>
        <v>-0.42961442877285583</v>
      </c>
      <c r="AA224" s="298">
        <f t="shared" si="119"/>
        <v>-1.8240913350391514</v>
      </c>
      <c r="AB224" s="298">
        <f t="shared" si="119"/>
        <v>8.8567360158139471E-2</v>
      </c>
      <c r="AC224" s="298">
        <f t="shared" si="119"/>
        <v>-0.41517638385472905</v>
      </c>
      <c r="AD224" s="298">
        <f t="shared" si="119"/>
        <v>-0.41572360819166332</v>
      </c>
      <c r="AE224" s="298">
        <f t="shared" si="119"/>
        <v>-0.24109254378621681</v>
      </c>
      <c r="AF224" s="240"/>
      <c r="AG224" s="240"/>
    </row>
    <row r="225" spans="1:33">
      <c r="A225" s="240" t="s">
        <v>241</v>
      </c>
      <c r="B225" s="298">
        <f t="shared" si="119"/>
        <v>0.61654937783360841</v>
      </c>
      <c r="C225" s="298">
        <f t="shared" si="119"/>
        <v>-1.0383461044828748</v>
      </c>
      <c r="D225" s="298">
        <f t="shared" si="119"/>
        <v>0.61602324358651672</v>
      </c>
      <c r="E225" s="298">
        <f t="shared" si="119"/>
        <v>-1.8821138054294553</v>
      </c>
      <c r="F225" s="298">
        <f t="shared" si="119"/>
        <v>-8.7922573076547092E-2</v>
      </c>
      <c r="G225" s="298">
        <f t="shared" si="119"/>
        <v>-0.18530412256725115</v>
      </c>
      <c r="H225" s="298">
        <f t="shared" si="119"/>
        <v>-1.0088229681593484</v>
      </c>
      <c r="I225" s="298">
        <f t="shared" si="119"/>
        <v>-1.7129075332852739</v>
      </c>
      <c r="J225" s="298">
        <f t="shared" si="119"/>
        <v>-0.47775786662272479</v>
      </c>
      <c r="K225" s="298">
        <f t="shared" si="119"/>
        <v>1.1277518234179542</v>
      </c>
      <c r="L225" s="298">
        <f t="shared" si="119"/>
        <v>4.8939131972415089</v>
      </c>
      <c r="M225" s="298">
        <f t="shared" si="119"/>
        <v>-6.8182236810597846E-2</v>
      </c>
      <c r="N225" s="298">
        <f t="shared" si="119"/>
        <v>-2.2411700167318633</v>
      </c>
      <c r="O225" s="298">
        <f t="shared" si="119"/>
        <v>-0.10900373579843022</v>
      </c>
      <c r="P225" s="298">
        <f t="shared" si="119"/>
        <v>3.098430680657438</v>
      </c>
      <c r="Q225" s="298">
        <f t="shared" si="119"/>
        <v>0.3199612688140413</v>
      </c>
      <c r="R225" s="298">
        <f t="shared" si="119"/>
        <v>0.51319396847155585</v>
      </c>
      <c r="S225" s="298">
        <f t="shared" si="119"/>
        <v>0.32890773178623234</v>
      </c>
      <c r="T225" s="298">
        <f t="shared" si="119"/>
        <v>-1.5505617977528101</v>
      </c>
      <c r="U225" s="298">
        <f t="shared" si="119"/>
        <v>-2.2035499570569741E-2</v>
      </c>
      <c r="V225" s="298">
        <f t="shared" si="119"/>
        <v>0.45668700959023534</v>
      </c>
      <c r="W225" s="298">
        <f t="shared" si="119"/>
        <v>0.31925833015215144</v>
      </c>
      <c r="X225" s="298">
        <f t="shared" si="119"/>
        <v>0.49388927258549598</v>
      </c>
      <c r="Y225" s="298">
        <f t="shared" si="119"/>
        <v>-2.5054581078559995E-2</v>
      </c>
      <c r="Z225" s="298">
        <f t="shared" si="119"/>
        <v>0.43191878439700965</v>
      </c>
      <c r="AA225" s="298">
        <f t="shared" si="119"/>
        <v>0.41412250803315476</v>
      </c>
      <c r="AB225" s="298">
        <f t="shared" si="119"/>
        <v>0.54811179672613763</v>
      </c>
      <c r="AC225" s="298">
        <f t="shared" si="119"/>
        <v>0.41447621252498329</v>
      </c>
      <c r="AD225" s="298">
        <f t="shared" si="119"/>
        <v>0.14342728643636621</v>
      </c>
      <c r="AE225" s="298">
        <f t="shared" si="119"/>
        <v>0.22835999382087852</v>
      </c>
      <c r="AF225" s="240"/>
      <c r="AG225" s="240"/>
    </row>
    <row r="226" spans="1:33">
      <c r="A226" s="240" t="s">
        <v>231</v>
      </c>
      <c r="B226" s="298">
        <f t="shared" si="119"/>
        <v>-0.15984974064934115</v>
      </c>
      <c r="C226" s="298">
        <f t="shared" si="119"/>
        <v>0.10345212597958918</v>
      </c>
      <c r="D226" s="298">
        <f t="shared" si="119"/>
        <v>0.56361406211823084</v>
      </c>
      <c r="E226" s="298">
        <f t="shared" si="119"/>
        <v>7.7345194828375872E-3</v>
      </c>
      <c r="F226" s="298">
        <f t="shared" si="119"/>
        <v>-0.83621011818564017</v>
      </c>
      <c r="G226" s="298">
        <f t="shared" si="119"/>
        <v>-0.39749597974423184</v>
      </c>
      <c r="H226" s="298">
        <f t="shared" si="119"/>
        <v>-4.8829614604463307</v>
      </c>
      <c r="I226" s="298">
        <f t="shared" si="119"/>
        <v>0.43262108854860204</v>
      </c>
      <c r="J226" s="298">
        <f t="shared" si="119"/>
        <v>0.21904143149118183</v>
      </c>
      <c r="K226" s="298">
        <f t="shared" si="119"/>
        <v>9.8699202560657451E-2</v>
      </c>
      <c r="L226" s="298">
        <f t="shared" si="119"/>
        <v>-7.309827366360952E-2</v>
      </c>
      <c r="M226" s="298">
        <f t="shared" si="119"/>
        <v>0.63141257130894479</v>
      </c>
      <c r="N226" s="298">
        <f t="shared" si="119"/>
        <v>0.24551098705445856</v>
      </c>
      <c r="O226" s="298">
        <f t="shared" si="119"/>
        <v>-2.4469894870978011</v>
      </c>
      <c r="P226" s="298">
        <f t="shared" si="119"/>
        <v>0.28815690891576617</v>
      </c>
      <c r="Q226" s="298">
        <f t="shared" si="119"/>
        <v>0.4987529342723005</v>
      </c>
      <c r="R226" s="298">
        <f t="shared" si="119"/>
        <v>0.36271877486077969</v>
      </c>
      <c r="S226" s="298">
        <f t="shared" si="119"/>
        <v>0.52515013915336184</v>
      </c>
      <c r="T226" s="298">
        <f t="shared" si="119"/>
        <v>-0.29305066142914893</v>
      </c>
      <c r="U226" s="298">
        <f t="shared" si="119"/>
        <v>0.37804933299773463</v>
      </c>
      <c r="V226" s="298">
        <f t="shared" si="119"/>
        <v>0.65585445094217054</v>
      </c>
      <c r="W226" s="298">
        <f t="shared" si="119"/>
        <v>0.79144383927653861</v>
      </c>
      <c r="X226" s="298">
        <f t="shared" si="119"/>
        <v>0.65469979647218413</v>
      </c>
      <c r="Y226" s="298">
        <f t="shared" si="119"/>
        <v>-1.7248278443113767</v>
      </c>
      <c r="Z226" s="298">
        <f t="shared" si="119"/>
        <v>-0.43602869475922906</v>
      </c>
      <c r="AA226" s="298">
        <f t="shared" si="119"/>
        <v>-9.921718554356973E-2</v>
      </c>
      <c r="AB226" s="298">
        <f t="shared" si="119"/>
        <v>0.49907215643233899</v>
      </c>
      <c r="AC226" s="298">
        <f t="shared" si="119"/>
        <v>0.42248294679399728</v>
      </c>
      <c r="AD226" s="298">
        <f t="shared" si="119"/>
        <v>-0.18650925241285735</v>
      </c>
      <c r="AE226" s="298">
        <f t="shared" si="119"/>
        <v>-0.20087243550604486</v>
      </c>
      <c r="AF226" s="240"/>
      <c r="AG226" s="240"/>
    </row>
    <row r="227" spans="1:33">
      <c r="A227" s="240" t="s">
        <v>232</v>
      </c>
      <c r="B227" s="298">
        <f t="shared" si="119"/>
        <v>0.3075589349139507</v>
      </c>
      <c r="C227" s="298">
        <f t="shared" si="119"/>
        <v>-0.11363939708466336</v>
      </c>
      <c r="D227" s="298">
        <f t="shared" si="119"/>
        <v>6.9478969761582576E-2</v>
      </c>
      <c r="E227" s="298">
        <f t="shared" si="119"/>
        <v>0.32465283263264683</v>
      </c>
      <c r="F227" s="298">
        <f t="shared" si="119"/>
        <v>0.39394552815605416</v>
      </c>
      <c r="G227" s="298">
        <f t="shared" si="119"/>
        <v>-0.10784732603203558</v>
      </c>
      <c r="H227" s="298">
        <f t="shared" si="119"/>
        <v>-6.0572684808339787E-3</v>
      </c>
      <c r="I227" s="298">
        <f t="shared" si="119"/>
        <v>0.52523363870321749</v>
      </c>
      <c r="J227" s="298">
        <f t="shared" si="119"/>
        <v>0.6904701825216577</v>
      </c>
      <c r="K227" s="298">
        <f t="shared" si="119"/>
        <v>0.53605310709816356</v>
      </c>
      <c r="L227" s="298">
        <f t="shared" si="119"/>
        <v>0.13550690124854511</v>
      </c>
      <c r="M227" s="298">
        <f t="shared" si="119"/>
        <v>0.2780274196848781</v>
      </c>
      <c r="N227" s="298">
        <f t="shared" si="119"/>
        <v>0.88262994027899377</v>
      </c>
      <c r="O227" s="298">
        <f t="shared" si="119"/>
        <v>0.30897688589096778</v>
      </c>
      <c r="P227" s="298">
        <f t="shared" si="119"/>
        <v>-5.8293467020017108E-2</v>
      </c>
      <c r="Q227" s="298">
        <f t="shared" si="119"/>
        <v>0.31690769505445454</v>
      </c>
      <c r="R227" s="298">
        <f t="shared" si="119"/>
        <v>0.60409457900807373</v>
      </c>
      <c r="S227" s="298">
        <f t="shared" si="119"/>
        <v>-0.46529221332424603</v>
      </c>
      <c r="T227" s="298">
        <f t="shared" si="119"/>
        <v>0.11739667067535918</v>
      </c>
      <c r="U227" s="298">
        <f t="shared" si="119"/>
        <v>-7.1480753138075634</v>
      </c>
      <c r="V227" s="298">
        <f t="shared" si="119"/>
        <v>0.22579526508836273</v>
      </c>
      <c r="W227" s="298">
        <f t="shared" si="119"/>
        <v>0.3022347663182805</v>
      </c>
      <c r="X227" s="298">
        <f t="shared" si="119"/>
        <v>0.19048076995319291</v>
      </c>
      <c r="Y227" s="298">
        <f t="shared" si="119"/>
        <v>-0.22839876751813956</v>
      </c>
      <c r="Z227" s="298">
        <f t="shared" si="119"/>
        <v>-0.43826351784192136</v>
      </c>
      <c r="AA227" s="298">
        <f t="shared" si="119"/>
        <v>-2.4966233177855743</v>
      </c>
      <c r="AB227" s="298">
        <f t="shared" si="119"/>
        <v>0.26756940834860299</v>
      </c>
      <c r="AC227" s="298">
        <f t="shared" si="119"/>
        <v>0.34079119086460036</v>
      </c>
      <c r="AD227" s="298">
        <f t="shared" si="119"/>
        <v>-0.209712076373711</v>
      </c>
      <c r="AE227" s="298">
        <f t="shared" si="119"/>
        <v>-0.17361369566913226</v>
      </c>
      <c r="AF227" s="240"/>
      <c r="AG227" s="240"/>
    </row>
    <row r="228" spans="1:33">
      <c r="A228" s="240" t="s">
        <v>233</v>
      </c>
      <c r="B228" s="298">
        <f t="shared" si="119"/>
        <v>-0.2516066970712767</v>
      </c>
      <c r="C228" s="298">
        <f t="shared" si="119"/>
        <v>-0.92568530749170519</v>
      </c>
      <c r="D228" s="298">
        <f t="shared" si="119"/>
        <v>4.9852787468684161</v>
      </c>
      <c r="E228" s="298">
        <f t="shared" si="119"/>
        <v>-0.28337320852628767</v>
      </c>
      <c r="F228" s="298">
        <f t="shared" si="119"/>
        <v>0.15248310617340519</v>
      </c>
      <c r="G228" s="298">
        <f t="shared" si="119"/>
        <v>3.2733236954872864</v>
      </c>
      <c r="H228" s="298">
        <f t="shared" si="119"/>
        <v>0.75000963816902977</v>
      </c>
      <c r="I228" s="298">
        <f t="shared" si="119"/>
        <v>0.2420175226309455</v>
      </c>
      <c r="J228" s="298">
        <f t="shared" si="119"/>
        <v>0.48928474283961598</v>
      </c>
      <c r="K228" s="298">
        <f t="shared" si="119"/>
        <v>-0.3207479969153938</v>
      </c>
      <c r="L228" s="298">
        <f t="shared" si="119"/>
        <v>1.3239624948241326</v>
      </c>
      <c r="M228" s="298">
        <f t="shared" si="119"/>
        <v>-0.16906154961255951</v>
      </c>
      <c r="N228" s="298">
        <f t="shared" si="119"/>
        <v>-1.2595729456955627</v>
      </c>
      <c r="O228" s="298">
        <f t="shared" si="119"/>
        <v>-0.18280944806580357</v>
      </c>
      <c r="P228" s="298">
        <f t="shared" si="119"/>
        <v>-34.032328272640413</v>
      </c>
      <c r="Q228" s="298">
        <f t="shared" si="119"/>
        <v>0.76024106197573094</v>
      </c>
      <c r="R228" s="298">
        <f t="shared" si="119"/>
        <v>-0.60133166874739907</v>
      </c>
      <c r="S228" s="298">
        <f t="shared" si="119"/>
        <v>-0.45531419705197834</v>
      </c>
      <c r="T228" s="298">
        <f t="shared" si="119"/>
        <v>0.46655527036571287</v>
      </c>
      <c r="U228" s="298">
        <f t="shared" si="119"/>
        <v>1.584001233045616E-2</v>
      </c>
      <c r="V228" s="298">
        <f t="shared" si="119"/>
        <v>0.42968414197329868</v>
      </c>
      <c r="W228" s="298">
        <f t="shared" si="119"/>
        <v>0.41246604856084618</v>
      </c>
      <c r="X228" s="298">
        <f t="shared" si="119"/>
        <v>0.60922655227105793</v>
      </c>
      <c r="Y228" s="298">
        <f t="shared" si="119"/>
        <v>1.3870567489579975</v>
      </c>
      <c r="Z228" s="298">
        <f t="shared" si="119"/>
        <v>0.50940443410654646</v>
      </c>
      <c r="AA228" s="298">
        <f t="shared" si="119"/>
        <v>0.22265316645256075</v>
      </c>
      <c r="AB228" s="298">
        <f t="shared" si="119"/>
        <v>2.9272877130420003</v>
      </c>
      <c r="AC228" s="298">
        <f t="shared" si="119"/>
        <v>0.45416519736795252</v>
      </c>
      <c r="AD228" s="298">
        <f t="shared" si="119"/>
        <v>0.28165398663486613</v>
      </c>
      <c r="AE228" s="298">
        <f t="shared" si="119"/>
        <v>0.26190282255923647</v>
      </c>
      <c r="AF228" s="240"/>
      <c r="AG228" s="240"/>
    </row>
    <row r="229" spans="1:33">
      <c r="A229" s="240" t="s">
        <v>234</v>
      </c>
      <c r="B229" s="298">
        <f t="shared" si="119"/>
        <v>1.0645988322240769</v>
      </c>
      <c r="C229" s="298">
        <f t="shared" si="119"/>
        <v>6.9102529902381055E-2</v>
      </c>
      <c r="D229" s="298">
        <f t="shared" si="119"/>
        <v>-5.3589121434813328E-2</v>
      </c>
      <c r="E229" s="298">
        <f t="shared" si="119"/>
        <v>1.2168249209392656</v>
      </c>
      <c r="F229" s="298">
        <f t="shared" si="119"/>
        <v>0.45988592583674437</v>
      </c>
      <c r="G229" s="298">
        <f t="shared" si="119"/>
        <v>3.7912580863423473E-2</v>
      </c>
      <c r="H229" s="298">
        <f t="shared" si="119"/>
        <v>-0.56071283310486086</v>
      </c>
      <c r="I229" s="298">
        <f t="shared" si="119"/>
        <v>0.60485386688895992</v>
      </c>
      <c r="J229" s="298">
        <f t="shared" si="119"/>
        <v>0.1778871099251354</v>
      </c>
      <c r="K229" s="298">
        <f t="shared" si="119"/>
        <v>-0.47717764068569474</v>
      </c>
      <c r="L229" s="298">
        <f t="shared" si="119"/>
        <v>-0.11291492389288968</v>
      </c>
      <c r="M229" s="298">
        <f t="shared" si="119"/>
        <v>1.2013707945356737</v>
      </c>
      <c r="N229" s="298">
        <f t="shared" si="119"/>
        <v>-0.1942896539959629</v>
      </c>
      <c r="O229" s="298">
        <f t="shared" si="119"/>
        <v>1.7545438653539136</v>
      </c>
      <c r="P229" s="298">
        <f t="shared" si="119"/>
        <v>-8.6040266004092397E-2</v>
      </c>
      <c r="Q229" s="298">
        <f t="shared" si="119"/>
        <v>-2.8829141028241707E-2</v>
      </c>
      <c r="R229" s="298">
        <f t="shared" si="119"/>
        <v>0.12320044296788485</v>
      </c>
      <c r="S229" s="298">
        <f t="shared" si="119"/>
        <v>-3.5749076979078191E-2</v>
      </c>
      <c r="T229" s="298">
        <f t="shared" si="119"/>
        <v>0.481721720946443</v>
      </c>
      <c r="U229" s="298">
        <f t="shared" si="119"/>
        <v>0.68495948931991169</v>
      </c>
      <c r="V229" s="298">
        <f t="shared" si="119"/>
        <v>-0.11942023862129914</v>
      </c>
      <c r="W229" s="298">
        <f t="shared" si="119"/>
        <v>0.32842637287750581</v>
      </c>
      <c r="X229" s="298">
        <f t="shared" si="119"/>
        <v>-2.2506958992645312</v>
      </c>
      <c r="Y229" s="298">
        <f t="shared" si="119"/>
        <v>8.8789804700430269E-2</v>
      </c>
      <c r="Z229" s="298">
        <f t="shared" si="119"/>
        <v>-0.36664701121458287</v>
      </c>
      <c r="AA229" s="298">
        <f t="shared" si="119"/>
        <v>0.62388222091869006</v>
      </c>
      <c r="AB229" s="298">
        <f t="shared" si="119"/>
        <v>0.14032790101180162</v>
      </c>
      <c r="AC229" s="298">
        <f t="shared" si="119"/>
        <v>-1.4468815689249377</v>
      </c>
      <c r="AD229" s="298">
        <f t="shared" si="119"/>
        <v>-0.75469107519384482</v>
      </c>
      <c r="AE229" s="298">
        <f t="shared" si="119"/>
        <v>-0.7112188412838385</v>
      </c>
      <c r="AF229" s="240"/>
      <c r="AG229" s="240"/>
    </row>
    <row r="230" spans="1:33">
      <c r="A230" s="240" t="s">
        <v>46</v>
      </c>
      <c r="B230" s="298">
        <f t="shared" si="119"/>
        <v>0.42562528521323806</v>
      </c>
      <c r="C230" s="298">
        <f t="shared" si="119"/>
        <v>-1.0257850354568618</v>
      </c>
      <c r="D230" s="298">
        <f t="shared" si="119"/>
        <v>1.4225029204551007</v>
      </c>
      <c r="E230" s="298">
        <f t="shared" si="119"/>
        <v>-0.15796705878239453</v>
      </c>
      <c r="F230" s="298">
        <f t="shared" si="119"/>
        <v>0.42921895762586737</v>
      </c>
      <c r="G230" s="298">
        <f t="shared" si="119"/>
        <v>-0.91023405499855936</v>
      </c>
      <c r="H230" s="298">
        <f t="shared" si="119"/>
        <v>-8.4678520078941805E-2</v>
      </c>
      <c r="I230" s="298">
        <f t="shared" si="119"/>
        <v>0.35341852934996992</v>
      </c>
      <c r="J230" s="298">
        <f t="shared" si="119"/>
        <v>0.51948417629842614</v>
      </c>
      <c r="K230" s="298">
        <f t="shared" si="119"/>
        <v>-0.57654192536248028</v>
      </c>
      <c r="L230" s="298">
        <f t="shared" si="119"/>
        <v>0.34646971448929464</v>
      </c>
      <c r="M230" s="298">
        <f t="shared" si="119"/>
        <v>-0.45035945455010612</v>
      </c>
      <c r="N230" s="298">
        <f t="shared" si="119"/>
        <v>0.2694470897532944</v>
      </c>
      <c r="O230" s="298">
        <f t="shared" si="119"/>
        <v>-0.23242018779636178</v>
      </c>
      <c r="P230" s="298">
        <f t="shared" si="119"/>
        <v>-0.56477774567666816</v>
      </c>
      <c r="Q230" s="298">
        <f t="shared" si="119"/>
        <v>-2.506185392306389</v>
      </c>
      <c r="R230" s="298">
        <f t="shared" si="119"/>
        <v>-1.0105192479856762</v>
      </c>
      <c r="S230" s="298">
        <f t="shared" si="119"/>
        <v>-2.1960791777693189</v>
      </c>
      <c r="T230" s="298">
        <f t="shared" si="119"/>
        <v>-5.3473584522762636E-2</v>
      </c>
      <c r="U230" s="298">
        <f t="shared" si="119"/>
        <v>-1.5229478260869544</v>
      </c>
      <c r="V230" s="298">
        <f t="shared" si="119"/>
        <v>0.59156368821292793</v>
      </c>
      <c r="W230" s="298">
        <f t="shared" si="119"/>
        <v>-0.32175616688661046</v>
      </c>
      <c r="X230" s="298">
        <f t="shared" si="119"/>
        <v>-4.2788536705716862E-2</v>
      </c>
      <c r="Y230" s="298">
        <f t="shared" si="119"/>
        <v>0.26131551520513424</v>
      </c>
      <c r="Z230" s="298">
        <f t="shared" si="119"/>
        <v>-0.49417631691493175</v>
      </c>
      <c r="AA230" s="298">
        <f t="shared" si="119"/>
        <v>0.30312747190914624</v>
      </c>
      <c r="AB230" s="298">
        <f t="shared" si="119"/>
        <v>-0.78070176087599696</v>
      </c>
      <c r="AC230" s="298">
        <f t="shared" si="119"/>
        <v>0.14554264313438903</v>
      </c>
      <c r="AD230" s="298">
        <f t="shared" si="119"/>
        <v>-5.8799431457553925E-3</v>
      </c>
      <c r="AE230" s="298">
        <f t="shared" si="119"/>
        <v>1.6378233242243433E-2</v>
      </c>
      <c r="AF230" s="240"/>
      <c r="AG230" s="240"/>
    </row>
    <row r="231" spans="1:33">
      <c r="A231" s="240" t="s">
        <v>235</v>
      </c>
      <c r="B231" s="298">
        <f t="shared" si="119"/>
        <v>1.0044116699348549</v>
      </c>
      <c r="C231" s="298">
        <f t="shared" si="119"/>
        <v>-0.39393021799547973</v>
      </c>
      <c r="D231" s="298">
        <f t="shared" si="119"/>
        <v>-5.5755436029172108E-2</v>
      </c>
      <c r="E231" s="298">
        <f t="shared" si="119"/>
        <v>0.20906463681450604</v>
      </c>
      <c r="F231" s="298">
        <f t="shared" si="119"/>
        <v>0.17322250639386194</v>
      </c>
      <c r="G231" s="298">
        <f t="shared" si="119"/>
        <v>-0.65179164354526187</v>
      </c>
      <c r="H231" s="298">
        <f t="shared" si="119"/>
        <v>0.87570853432789564</v>
      </c>
      <c r="I231" s="298">
        <f t="shared" si="119"/>
        <v>0.20045604769532765</v>
      </c>
      <c r="J231" s="298">
        <f t="shared" si="119"/>
        <v>0.65690252667130844</v>
      </c>
      <c r="K231" s="298">
        <f t="shared" si="119"/>
        <v>-0.28418257422340337</v>
      </c>
      <c r="L231" s="298">
        <f t="shared" si="119"/>
        <v>-1.188812358641175</v>
      </c>
      <c r="M231" s="298">
        <f t="shared" si="119"/>
        <v>-0.19308272147495104</v>
      </c>
      <c r="N231" s="298">
        <f t="shared" si="119"/>
        <v>0.40871884601268227</v>
      </c>
      <c r="O231" s="298">
        <f t="shared" si="119"/>
        <v>0.46355760493218801</v>
      </c>
      <c r="P231" s="298">
        <f t="shared" si="119"/>
        <v>0.22496959117540558</v>
      </c>
      <c r="Q231" s="298">
        <f t="shared" ref="B231:AR233" si="120">Q215/Q89</f>
        <v>1.0719112389920658</v>
      </c>
      <c r="R231" s="298">
        <f t="shared" si="120"/>
        <v>0.22343574971995514</v>
      </c>
      <c r="S231" s="298">
        <f t="shared" si="120"/>
        <v>0.28624353037319533</v>
      </c>
      <c r="T231" s="298">
        <f t="shared" si="120"/>
        <v>-2.1249610694520982</v>
      </c>
      <c r="U231" s="298">
        <f t="shared" si="120"/>
        <v>8.3742591024555529E-2</v>
      </c>
      <c r="V231" s="298">
        <f t="shared" si="120"/>
        <v>-0.91818497396479026</v>
      </c>
      <c r="W231" s="298">
        <f t="shared" si="120"/>
        <v>4.7768332508659119</v>
      </c>
      <c r="X231" s="298">
        <f t="shared" si="120"/>
        <v>0.34478719147876802</v>
      </c>
      <c r="Y231" s="298">
        <f t="shared" si="120"/>
        <v>0.89464754680327063</v>
      </c>
      <c r="Z231" s="298">
        <f t="shared" si="120"/>
        <v>-0.35755788449615827</v>
      </c>
      <c r="AA231" s="298">
        <f t="shared" si="120"/>
        <v>0.42511508298166223</v>
      </c>
      <c r="AB231" s="298">
        <f t="shared" si="120"/>
        <v>-0.14478968891844951</v>
      </c>
      <c r="AC231" s="298">
        <f t="shared" si="120"/>
        <v>-3.0469309228752959</v>
      </c>
      <c r="AD231" s="298">
        <f t="shared" si="120"/>
        <v>337.61818242758983</v>
      </c>
      <c r="AE231" s="298">
        <f t="shared" si="120"/>
        <v>-0.89694613721210403</v>
      </c>
      <c r="AF231" s="240"/>
      <c r="AG231" s="240"/>
    </row>
    <row r="232" spans="1:33">
      <c r="A232" s="240" t="s">
        <v>236</v>
      </c>
      <c r="B232" s="298">
        <f t="shared" si="120"/>
        <v>-7.3570670497070834E-2</v>
      </c>
      <c r="C232" s="298">
        <f t="shared" si="120"/>
        <v>6.5337745321771594</v>
      </c>
      <c r="D232" s="298">
        <f t="shared" si="120"/>
        <v>0.3044483423524289</v>
      </c>
      <c r="E232" s="298">
        <f t="shared" si="120"/>
        <v>-9.4145537818194232</v>
      </c>
      <c r="F232" s="298">
        <f t="shared" si="120"/>
        <v>0.24388660463103215</v>
      </c>
      <c r="G232" s="298">
        <f t="shared" si="120"/>
        <v>6.4769773138570519E-2</v>
      </c>
      <c r="H232" s="298">
        <f t="shared" si="120"/>
        <v>0.30741669236344982</v>
      </c>
      <c r="I232" s="298">
        <f t="shared" si="120"/>
        <v>3.7927532470573628</v>
      </c>
      <c r="J232" s="298">
        <f t="shared" si="120"/>
        <v>0.19516755407946301</v>
      </c>
      <c r="K232" s="298">
        <f t="shared" si="120"/>
        <v>0.3067845448974385</v>
      </c>
      <c r="L232" s="298">
        <f t="shared" si="120"/>
        <v>-0.94121981779184494</v>
      </c>
      <c r="M232" s="298">
        <f t="shared" si="120"/>
        <v>-1.0808416629275839</v>
      </c>
      <c r="N232" s="298">
        <f t="shared" si="120"/>
        <v>0.18535103291734004</v>
      </c>
      <c r="O232" s="298">
        <f t="shared" si="120"/>
        <v>0.41802112932433877</v>
      </c>
      <c r="P232" s="298">
        <f t="shared" si="120"/>
        <v>0.58493917010645236</v>
      </c>
      <c r="Q232" s="298">
        <f t="shared" si="120"/>
        <v>0.17539271819716654</v>
      </c>
      <c r="R232" s="298">
        <f t="shared" si="120"/>
        <v>-0.41928341384863121</v>
      </c>
      <c r="S232" s="298">
        <f t="shared" si="120"/>
        <v>0.47582631237848355</v>
      </c>
      <c r="T232" s="298">
        <f t="shared" si="120"/>
        <v>0.46698427200939763</v>
      </c>
      <c r="U232" s="298">
        <f t="shared" si="120"/>
        <v>-1.1504984141368377</v>
      </c>
      <c r="V232" s="298">
        <f t="shared" si="120"/>
        <v>0.44385192596298162</v>
      </c>
      <c r="W232" s="298">
        <f t="shared" si="120"/>
        <v>1.5009637204915844E-2</v>
      </c>
      <c r="X232" s="298">
        <f t="shared" si="120"/>
        <v>-0.1129230356131759</v>
      </c>
      <c r="Y232" s="298">
        <f t="shared" si="120"/>
        <v>0.65738895267560427</v>
      </c>
      <c r="Z232" s="298">
        <f t="shared" si="120"/>
        <v>-0.46714980552857877</v>
      </c>
      <c r="AA232" s="298">
        <f t="shared" si="120"/>
        <v>0.40186851904985049</v>
      </c>
      <c r="AB232" s="298">
        <f t="shared" si="120"/>
        <v>0.60628354172699661</v>
      </c>
      <c r="AC232" s="298">
        <f t="shared" si="120"/>
        <v>-0.37423518504112097</v>
      </c>
      <c r="AD232" s="298">
        <f t="shared" si="120"/>
        <v>-0.57281856621187288</v>
      </c>
      <c r="AE232" s="298">
        <f t="shared" si="120"/>
        <v>4.2862715516978296E-2</v>
      </c>
      <c r="AF232" s="240"/>
      <c r="AG232" s="240"/>
    </row>
    <row r="233" spans="1:33">
      <c r="A233" s="240" t="s">
        <v>237</v>
      </c>
      <c r="B233" s="298">
        <f t="shared" si="120"/>
        <v>0.1791977893601169</v>
      </c>
      <c r="C233" s="298">
        <f t="shared" si="120"/>
        <v>-6.450974653646481E-2</v>
      </c>
      <c r="D233" s="298">
        <f t="shared" si="120"/>
        <v>0.50813084724702917</v>
      </c>
      <c r="E233" s="298">
        <f t="shared" si="120"/>
        <v>-1.565664715688888E-2</v>
      </c>
      <c r="F233" s="298">
        <f t="shared" si="120"/>
        <v>0.40328776566877395</v>
      </c>
      <c r="G233" s="298">
        <f t="shared" si="120"/>
        <v>0.77561127809165542</v>
      </c>
      <c r="H233" s="298">
        <f t="shared" si="120"/>
        <v>-0.51764087468460795</v>
      </c>
      <c r="I233" s="298">
        <f t="shared" si="120"/>
        <v>7.2337908269631504E-2</v>
      </c>
      <c r="J233" s="298">
        <f t="shared" si="120"/>
        <v>0.9805038980573676</v>
      </c>
      <c r="K233" s="298">
        <f t="shared" si="120"/>
        <v>0.61249388723960063</v>
      </c>
      <c r="L233" s="298">
        <f t="shared" si="120"/>
        <v>-7.2228666487952911E-2</v>
      </c>
      <c r="M233" s="298">
        <f t="shared" si="120"/>
        <v>0.84582990397805435</v>
      </c>
      <c r="N233" s="298">
        <f t="shared" si="120"/>
        <v>0.43156222212662937</v>
      </c>
      <c r="O233" s="298">
        <f t="shared" si="120"/>
        <v>0.38659773253303548</v>
      </c>
      <c r="P233" s="298">
        <f t="shared" si="120"/>
        <v>1.1716343828747422</v>
      </c>
      <c r="Q233" s="298">
        <f t="shared" si="120"/>
        <v>0.33358309826046073</v>
      </c>
      <c r="R233" s="298">
        <f t="shared" si="120"/>
        <v>-0.89470954356846466</v>
      </c>
      <c r="S233" s="298">
        <f t="shared" si="120"/>
        <v>0.46340685124354769</v>
      </c>
      <c r="T233" s="298">
        <f t="shared" si="120"/>
        <v>0.3931205402040131</v>
      </c>
      <c r="U233" s="298">
        <f t="shared" si="120"/>
        <v>-0.15837950600801062</v>
      </c>
      <c r="V233" s="298">
        <f t="shared" si="120"/>
        <v>0.40966930600838375</v>
      </c>
      <c r="W233" s="298">
        <f t="shared" si="120"/>
        <v>-1.3083933161953727</v>
      </c>
      <c r="X233" s="298">
        <f t="shared" si="120"/>
        <v>-7.1969000351713843</v>
      </c>
      <c r="Y233" s="298">
        <f t="shared" si="120"/>
        <v>-0.11148416152674703</v>
      </c>
      <c r="Z233" s="298">
        <f t="shared" si="120"/>
        <v>-0.53486711419897925</v>
      </c>
      <c r="AA233" s="298">
        <f t="shared" si="120"/>
        <v>0.71112933324881766</v>
      </c>
      <c r="AB233" s="298">
        <f t="shared" si="120"/>
        <v>1.1266620684784019</v>
      </c>
      <c r="AC233" s="298">
        <f t="shared" si="120"/>
        <v>6.6169407868341548</v>
      </c>
      <c r="AD233" s="298">
        <f t="shared" si="120"/>
        <v>-7.995266007834459E-2</v>
      </c>
      <c r="AE233" s="298">
        <f t="shared" si="120"/>
        <v>-0.65312867022996224</v>
      </c>
      <c r="AF233" s="240"/>
      <c r="AG233" s="240"/>
    </row>
    <row r="234" spans="1:33">
      <c r="A234" s="240" t="s">
        <v>238</v>
      </c>
      <c r="B234" s="298">
        <f>B218/C80</f>
        <v>1.0033249898042873</v>
      </c>
      <c r="C234" s="298">
        <f t="shared" ref="C234:Y234" si="121">C218/D80</f>
        <v>-5.9403612209955992E-2</v>
      </c>
      <c r="D234" s="298">
        <f t="shared" si="121"/>
        <v>0.39459084470022404</v>
      </c>
      <c r="E234" s="298">
        <f t="shared" si="121"/>
        <v>-2.9323552174912035</v>
      </c>
      <c r="F234" s="298">
        <f t="shared" si="121"/>
        <v>0.44243255108604351</v>
      </c>
      <c r="G234" s="298">
        <f t="shared" si="121"/>
        <v>0.44579605490216895</v>
      </c>
      <c r="H234" s="298">
        <f t="shared" si="121"/>
        <v>-0.60432103524229208</v>
      </c>
      <c r="I234" s="298">
        <f t="shared" si="121"/>
        <v>-12.879723609544834</v>
      </c>
      <c r="J234" s="298">
        <f t="shared" si="121"/>
        <v>0.16678897631366341</v>
      </c>
      <c r="K234" s="298">
        <f t="shared" si="121"/>
        <v>0.4227539077210441</v>
      </c>
      <c r="L234" s="298">
        <f t="shared" si="121"/>
        <v>1.0855702963942044</v>
      </c>
      <c r="M234" s="298">
        <f t="shared" si="121"/>
        <v>-5.814567594091892E-2</v>
      </c>
      <c r="N234" s="298">
        <f t="shared" si="121"/>
        <v>1.7104274287354888</v>
      </c>
      <c r="O234" s="298">
        <f t="shared" si="121"/>
        <v>1.7833312141159436</v>
      </c>
      <c r="P234" s="298">
        <f t="shared" si="121"/>
        <v>0.2912115443914704</v>
      </c>
      <c r="Q234" s="298">
        <f t="shared" si="121"/>
        <v>-1.9818308874912645</v>
      </c>
      <c r="R234" s="298">
        <f t="shared" si="121"/>
        <v>0.10516363636363639</v>
      </c>
      <c r="S234" s="298">
        <f t="shared" si="121"/>
        <v>0.54085379266002254</v>
      </c>
      <c r="T234" s="298">
        <f t="shared" si="121"/>
        <v>0.44314734841941611</v>
      </c>
      <c r="U234" s="298">
        <f t="shared" si="121"/>
        <v>1.3478936605316962</v>
      </c>
      <c r="V234" s="298">
        <f t="shared" si="121"/>
        <v>0.52402136742585093</v>
      </c>
      <c r="W234" s="298">
        <f t="shared" si="121"/>
        <v>0.31715392394091513</v>
      </c>
      <c r="X234" s="298">
        <f t="shared" si="121"/>
        <v>0.35512748515362658</v>
      </c>
      <c r="Y234" s="298">
        <f t="shared" si="121"/>
        <v>-8.1792291310007009E-2</v>
      </c>
      <c r="Z234" s="298">
        <f>Z218/AA80</f>
        <v>-0.73882721592977907</v>
      </c>
      <c r="AA234" s="298">
        <f t="shared" ref="AA234:AB234" si="122">AA218/AB80</f>
        <v>1.3124806856213789</v>
      </c>
      <c r="AB234" s="298">
        <f t="shared" si="122"/>
        <v>-3.4927383759529043E-2</v>
      </c>
      <c r="AC234" s="298">
        <f>AC218/AD80</f>
        <v>-2.0480953287605406</v>
      </c>
      <c r="AD234" s="298">
        <f t="shared" ref="AD234:AE234" si="123">AD218/AE80</f>
        <v>0.25048014767773041</v>
      </c>
      <c r="AE234" s="298">
        <f t="shared" si="123"/>
        <v>-0.31163138547165881</v>
      </c>
      <c r="AF234" s="240"/>
      <c r="AG234" s="240"/>
    </row>
    <row r="235" spans="1:33" ht="15.75" thickBot="1">
      <c r="A235" s="240" t="s">
        <v>255</v>
      </c>
      <c r="B235" s="258">
        <v>0.34328358208955223</v>
      </c>
      <c r="C235" s="258">
        <v>0.35714285714285715</v>
      </c>
      <c r="D235" s="258">
        <v>0.36231884057971014</v>
      </c>
      <c r="E235" s="258">
        <v>0.36</v>
      </c>
      <c r="F235" s="258">
        <v>0.35</v>
      </c>
      <c r="G235" s="258">
        <v>0.35135135135135137</v>
      </c>
      <c r="H235" s="258">
        <v>0.35</v>
      </c>
      <c r="I235" s="258">
        <v>0.40625</v>
      </c>
      <c r="J235" s="258">
        <v>0.44444444444444442</v>
      </c>
      <c r="K235" s="258">
        <v>0.42718446601941745</v>
      </c>
      <c r="L235" s="258">
        <v>0.42857142857142855</v>
      </c>
      <c r="M235" s="258">
        <v>0.44444444444444442</v>
      </c>
      <c r="N235" s="258">
        <v>0.41176470588235292</v>
      </c>
      <c r="O235" s="258">
        <v>0.45454545454545453</v>
      </c>
      <c r="P235" s="258">
        <v>0.5</v>
      </c>
      <c r="Q235" s="258">
        <v>0.41666666666666669</v>
      </c>
      <c r="R235" s="258">
        <v>0.41666666666666669</v>
      </c>
      <c r="S235" s="258">
        <v>0.4</v>
      </c>
      <c r="T235" s="258">
        <v>0.42857142857142855</v>
      </c>
      <c r="U235" s="258">
        <v>0.43</v>
      </c>
      <c r="V235" s="258">
        <v>0.44</v>
      </c>
      <c r="W235" s="258">
        <v>0.42</v>
      </c>
      <c r="X235" s="258">
        <v>0.43</v>
      </c>
      <c r="Y235" s="258">
        <v>0.43</v>
      </c>
      <c r="Z235" s="258">
        <v>0.44</v>
      </c>
      <c r="AA235" s="258">
        <v>0.42</v>
      </c>
      <c r="AB235" s="258">
        <v>0.43</v>
      </c>
      <c r="AC235" s="259">
        <v>0.42</v>
      </c>
      <c r="AD235" s="259">
        <v>0.44</v>
      </c>
      <c r="AE235" s="259">
        <f t="shared" ref="AE235" si="124">FORECAST(AE45,L235:AD235,L45:AD45)</f>
        <v>0.42589702122209872</v>
      </c>
    </row>
    <row r="236" spans="1:33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  <c r="AD236" s="248"/>
      <c r="AE236" s="248"/>
    </row>
    <row r="237" spans="1:33" ht="15.75" thickBot="1">
      <c r="A237" s="235" t="s">
        <v>264</v>
      </c>
    </row>
    <row r="238" spans="1:33" ht="15.75" thickBot="1">
      <c r="A238" s="236"/>
      <c r="B238" s="237" t="str">
        <f>B$2</f>
        <v xml:space="preserve">93/94 </v>
      </c>
      <c r="C238" s="237" t="str">
        <f t="shared" ref="C238:AE238" si="125">C$2</f>
        <v xml:space="preserve">94/95 </v>
      </c>
      <c r="D238" s="237" t="str">
        <f t="shared" si="125"/>
        <v xml:space="preserve">95/96 </v>
      </c>
      <c r="E238" s="237" t="str">
        <f t="shared" si="125"/>
        <v xml:space="preserve">96/97 </v>
      </c>
      <c r="F238" s="237" t="str">
        <f t="shared" si="125"/>
        <v xml:space="preserve">97/98 </v>
      </c>
      <c r="G238" s="237" t="str">
        <f t="shared" si="125"/>
        <v xml:space="preserve">98/99 </v>
      </c>
      <c r="H238" s="237" t="str">
        <f t="shared" si="125"/>
        <v xml:space="preserve">99/00 </v>
      </c>
      <c r="I238" s="237" t="str">
        <f t="shared" si="125"/>
        <v xml:space="preserve">00/01 </v>
      </c>
      <c r="J238" s="237" t="str">
        <f t="shared" si="125"/>
        <v xml:space="preserve">01/02 </v>
      </c>
      <c r="K238" s="237" t="str">
        <f t="shared" si="125"/>
        <v xml:space="preserve">02/03 </v>
      </c>
      <c r="L238" s="237" t="str">
        <f t="shared" si="125"/>
        <v xml:space="preserve">03/04 </v>
      </c>
      <c r="M238" s="237" t="str">
        <f t="shared" si="125"/>
        <v xml:space="preserve">04/05 </v>
      </c>
      <c r="N238" s="237" t="str">
        <f t="shared" si="125"/>
        <v xml:space="preserve">05/06 </v>
      </c>
      <c r="O238" s="237" t="str">
        <f t="shared" si="125"/>
        <v xml:space="preserve">06/07 </v>
      </c>
      <c r="P238" s="237" t="str">
        <f t="shared" si="125"/>
        <v xml:space="preserve">07/08 </v>
      </c>
      <c r="Q238" s="237" t="str">
        <f t="shared" si="125"/>
        <v xml:space="preserve">08/09 </v>
      </c>
      <c r="R238" s="237" t="str">
        <f t="shared" si="125"/>
        <v xml:space="preserve">09/10 </v>
      </c>
      <c r="S238" s="237" t="str">
        <f t="shared" si="125"/>
        <v xml:space="preserve">10/11 </v>
      </c>
      <c r="T238" s="237" t="str">
        <f t="shared" si="125"/>
        <v xml:space="preserve">11/12 </v>
      </c>
      <c r="U238" s="237" t="str">
        <f t="shared" si="125"/>
        <v xml:space="preserve">12/13 </v>
      </c>
      <c r="V238" s="237" t="str">
        <f t="shared" si="125"/>
        <v xml:space="preserve">13/14 </v>
      </c>
      <c r="W238" s="237" t="str">
        <f t="shared" si="125"/>
        <v xml:space="preserve">14/15 </v>
      </c>
      <c r="X238" s="237" t="str">
        <f t="shared" si="125"/>
        <v xml:space="preserve">15/16 </v>
      </c>
      <c r="Y238" s="237" t="str">
        <f t="shared" si="125"/>
        <v xml:space="preserve">16/17 </v>
      </c>
      <c r="Z238" s="237" t="str">
        <f t="shared" si="125"/>
        <v xml:space="preserve">17/18 </v>
      </c>
      <c r="AA238" s="237" t="str">
        <f t="shared" si="125"/>
        <v xml:space="preserve">18/19 </v>
      </c>
      <c r="AB238" s="237" t="str">
        <f t="shared" si="125"/>
        <v xml:space="preserve">19/20 </v>
      </c>
      <c r="AC238" s="237" t="str">
        <f t="shared" si="125"/>
        <v xml:space="preserve">20/21 </v>
      </c>
      <c r="AD238" s="237" t="str">
        <f t="shared" si="125"/>
        <v xml:space="preserve">21/22 </v>
      </c>
      <c r="AE238" s="237" t="str">
        <f t="shared" si="125"/>
        <v xml:space="preserve">22/23 </v>
      </c>
    </row>
    <row r="239" spans="1:33">
      <c r="A239" s="240" t="s">
        <v>239</v>
      </c>
      <c r="B239" s="298">
        <f t="shared" ref="B239:AE247" si="126">B223+B112</f>
        <v>0.43389228016314851</v>
      </c>
      <c r="C239" s="298">
        <f t="shared" si="126"/>
        <v>0.74060972496535937</v>
      </c>
      <c r="D239" s="298">
        <f t="shared" si="126"/>
        <v>0.12517974028941736</v>
      </c>
      <c r="E239" s="298">
        <f t="shared" si="126"/>
        <v>0.20039439748616616</v>
      </c>
      <c r="F239" s="298">
        <f t="shared" si="126"/>
        <v>0.43076758786482028</v>
      </c>
      <c r="G239" s="298">
        <f t="shared" si="126"/>
        <v>1.0103458391812139</v>
      </c>
      <c r="H239" s="298">
        <f t="shared" si="126"/>
        <v>3.0227390577083924</v>
      </c>
      <c r="I239" s="298">
        <f t="shared" si="126"/>
        <v>0.30740261609042341</v>
      </c>
      <c r="J239" s="298">
        <f t="shared" si="126"/>
        <v>0.44971093484022662</v>
      </c>
      <c r="K239" s="298">
        <f t="shared" si="126"/>
        <v>0.85727712444200987</v>
      </c>
      <c r="L239" s="298">
        <f t="shared" si="126"/>
        <v>0.83156627193107502</v>
      </c>
      <c r="M239" s="298">
        <f t="shared" si="126"/>
        <v>0.80374124588368967</v>
      </c>
      <c r="N239" s="298">
        <f t="shared" si="126"/>
        <v>-0.4200902707957504</v>
      </c>
      <c r="O239" s="298">
        <f t="shared" si="126"/>
        <v>0.32374979277764454</v>
      </c>
      <c r="P239" s="298">
        <f t="shared" si="126"/>
        <v>1.1918699076956396</v>
      </c>
      <c r="Q239" s="298">
        <f t="shared" si="126"/>
        <v>0.64647108843537415</v>
      </c>
      <c r="R239" s="298">
        <f t="shared" si="126"/>
        <v>0.10563380281690132</v>
      </c>
      <c r="S239" s="298">
        <f t="shared" si="126"/>
        <v>-0.741078838174274</v>
      </c>
      <c r="T239" s="298">
        <f t="shared" si="126"/>
        <v>1.5450257856922467</v>
      </c>
      <c r="U239" s="298">
        <f t="shared" si="126"/>
        <v>-2.5103541912632821</v>
      </c>
      <c r="V239" s="298">
        <f t="shared" si="126"/>
        <v>0.51498292489686637</v>
      </c>
      <c r="W239" s="298">
        <f t="shared" si="126"/>
        <v>0.80922060452603262</v>
      </c>
      <c r="X239" s="298">
        <f t="shared" si="126"/>
        <v>1.0210215783541878</v>
      </c>
      <c r="Y239" s="298">
        <f t="shared" si="126"/>
        <v>-0.13234300148856598</v>
      </c>
      <c r="Z239" s="298">
        <f t="shared" si="126"/>
        <v>-4.3409734067695327E-2</v>
      </c>
      <c r="AA239" s="298">
        <f t="shared" si="126"/>
        <v>0.2959145596867086</v>
      </c>
      <c r="AB239" s="298">
        <f t="shared" si="126"/>
        <v>2.0918252466924745</v>
      </c>
      <c r="AC239" s="298">
        <f t="shared" si="126"/>
        <v>0.9178542718034981</v>
      </c>
      <c r="AD239" s="259">
        <f t="shared" si="126"/>
        <v>0.12445744171397072</v>
      </c>
      <c r="AE239" s="259">
        <f t="shared" si="126"/>
        <v>0.26214792640667284</v>
      </c>
    </row>
    <row r="240" spans="1:33">
      <c r="A240" s="240" t="s">
        <v>240</v>
      </c>
      <c r="B240" s="298">
        <f t="shared" si="126"/>
        <v>6.5962181327940073E-2</v>
      </c>
      <c r="C240" s="298">
        <f t="shared" si="126"/>
        <v>1.4364606396511932</v>
      </c>
      <c r="D240" s="298">
        <f t="shared" si="126"/>
        <v>0.91319777610539499</v>
      </c>
      <c r="E240" s="298">
        <f t="shared" si="126"/>
        <v>4.7268684554167608</v>
      </c>
      <c r="F240" s="298">
        <f t="shared" si="126"/>
        <v>1.8461511519302614</v>
      </c>
      <c r="G240" s="298">
        <f t="shared" si="126"/>
        <v>-0.88507060095347401</v>
      </c>
      <c r="H240" s="298">
        <f t="shared" si="126"/>
        <v>0.41042049578022494</v>
      </c>
      <c r="I240" s="298">
        <f t="shared" si="126"/>
        <v>0.65535281719655702</v>
      </c>
      <c r="J240" s="298">
        <f t="shared" si="126"/>
        <v>4.9053677729235305</v>
      </c>
      <c r="K240" s="298">
        <f t="shared" si="126"/>
        <v>1.0341286985133724</v>
      </c>
      <c r="L240" s="298">
        <f t="shared" si="126"/>
        <v>-0.3833301645992469</v>
      </c>
      <c r="M240" s="298">
        <f t="shared" si="126"/>
        <v>-2.7916816751915121</v>
      </c>
      <c r="N240" s="298">
        <f t="shared" si="126"/>
        <v>0.33918026711614313</v>
      </c>
      <c r="O240" s="298">
        <f t="shared" si="126"/>
        <v>0.14932818379681689</v>
      </c>
      <c r="P240" s="298">
        <f t="shared" si="126"/>
        <v>0.63839646956573859</v>
      </c>
      <c r="Q240" s="298">
        <f t="shared" si="126"/>
        <v>1.0423450169188533</v>
      </c>
      <c r="R240" s="298">
        <f t="shared" si="126"/>
        <v>0.6636060100166945</v>
      </c>
      <c r="S240" s="298">
        <f t="shared" si="126"/>
        <v>0.19071913161465404</v>
      </c>
      <c r="T240" s="298">
        <f t="shared" si="126"/>
        <v>0.65560640732265441</v>
      </c>
      <c r="U240" s="298">
        <f t="shared" si="126"/>
        <v>4.4979569034317572</v>
      </c>
      <c r="V240" s="298">
        <f t="shared" si="126"/>
        <v>1.196011013113071</v>
      </c>
      <c r="W240" s="298">
        <f t="shared" si="126"/>
        <v>0.94524440405586374</v>
      </c>
      <c r="X240" s="298">
        <f t="shared" si="126"/>
        <v>1.109252563654938</v>
      </c>
      <c r="Y240" s="298">
        <f t="shared" si="126"/>
        <v>5.8801727095961231</v>
      </c>
      <c r="Z240" s="298">
        <f t="shared" si="126"/>
        <v>-1.0430002014272799E-3</v>
      </c>
      <c r="AA240" s="298">
        <f t="shared" si="126"/>
        <v>-1.3968410233228201</v>
      </c>
      <c r="AB240" s="298">
        <f t="shared" si="126"/>
        <v>0.51262346918449109</v>
      </c>
      <c r="AC240" s="298">
        <f t="shared" si="126"/>
        <v>3.8770883764485675E-3</v>
      </c>
      <c r="AD240" s="259">
        <f t="shared" si="126"/>
        <v>-1.6372752022795756E-3</v>
      </c>
      <c r="AE240" s="259">
        <f t="shared" si="126"/>
        <v>0.16769134789880558</v>
      </c>
    </row>
    <row r="241" spans="1:31">
      <c r="A241" s="240" t="s">
        <v>241</v>
      </c>
      <c r="B241" s="298">
        <f t="shared" si="126"/>
        <v>1.0493851987291307</v>
      </c>
      <c r="C241" s="298">
        <f t="shared" si="126"/>
        <v>-0.58596515210192246</v>
      </c>
      <c r="D241" s="298">
        <f t="shared" si="126"/>
        <v>1.0363130986589804</v>
      </c>
      <c r="E241" s="298">
        <f t="shared" si="126"/>
        <v>-1.4154471387627887</v>
      </c>
      <c r="F241" s="298">
        <f t="shared" si="126"/>
        <v>0.38707742692345287</v>
      </c>
      <c r="G241" s="298">
        <f t="shared" si="126"/>
        <v>0.30118236391923536</v>
      </c>
      <c r="H241" s="298">
        <f t="shared" si="126"/>
        <v>-0.5588229681593484</v>
      </c>
      <c r="I241" s="298">
        <f t="shared" si="126"/>
        <v>-1.2754075332852739</v>
      </c>
      <c r="J241" s="298">
        <f t="shared" si="126"/>
        <v>-3.3313422178280372E-2</v>
      </c>
      <c r="K241" s="298">
        <f t="shared" si="126"/>
        <v>1.5743537651655271</v>
      </c>
      <c r="L241" s="298">
        <f t="shared" si="126"/>
        <v>5.3510560543843662</v>
      </c>
      <c r="M241" s="298">
        <f t="shared" si="126"/>
        <v>0.37626220763384655</v>
      </c>
      <c r="N241" s="298">
        <f t="shared" si="126"/>
        <v>-1.7705817814377456</v>
      </c>
      <c r="O241" s="298">
        <f t="shared" si="126"/>
        <v>0.43645080965611521</v>
      </c>
      <c r="P241" s="298">
        <f t="shared" si="126"/>
        <v>3.598430680657438</v>
      </c>
      <c r="Q241" s="298">
        <f t="shared" si="126"/>
        <v>0.73662793548070793</v>
      </c>
      <c r="R241" s="298">
        <f t="shared" si="126"/>
        <v>0.92986063513822259</v>
      </c>
      <c r="S241" s="298">
        <f t="shared" si="126"/>
        <v>0.72890773178623236</v>
      </c>
      <c r="T241" s="298">
        <f t="shared" si="126"/>
        <v>-1.1219903691813815</v>
      </c>
      <c r="U241" s="298">
        <f t="shared" si="126"/>
        <v>0.40653592900085883</v>
      </c>
      <c r="V241" s="298">
        <f t="shared" si="126"/>
        <v>0.90113145403467976</v>
      </c>
      <c r="W241" s="298">
        <f t="shared" si="126"/>
        <v>0.75675833015215144</v>
      </c>
      <c r="X241" s="298">
        <f t="shared" si="126"/>
        <v>0.92722260591882932</v>
      </c>
      <c r="Y241" s="298">
        <f t="shared" si="126"/>
        <v>0.40351684749286854</v>
      </c>
      <c r="Z241" s="298">
        <f t="shared" si="126"/>
        <v>0.8604902129684382</v>
      </c>
      <c r="AA241" s="298">
        <f t="shared" si="126"/>
        <v>0.84137281974948608</v>
      </c>
      <c r="AB241" s="298">
        <f t="shared" si="126"/>
        <v>0.97216790575248935</v>
      </c>
      <c r="AC241" s="298">
        <f t="shared" si="126"/>
        <v>0.83352968475616085</v>
      </c>
      <c r="AD241" s="259">
        <f t="shared" si="126"/>
        <v>0.55751361942574995</v>
      </c>
      <c r="AE241" s="259">
        <f t="shared" si="126"/>
        <v>0.63714388550590084</v>
      </c>
    </row>
    <row r="242" spans="1:31">
      <c r="A242" s="240" t="s">
        <v>231</v>
      </c>
      <c r="B242" s="298">
        <f t="shared" si="126"/>
        <v>0.27298608024618121</v>
      </c>
      <c r="C242" s="298">
        <f t="shared" si="126"/>
        <v>0.55583307836054152</v>
      </c>
      <c r="D242" s="298">
        <f t="shared" si="126"/>
        <v>0.98390391719069459</v>
      </c>
      <c r="E242" s="298">
        <f t="shared" si="126"/>
        <v>0.47440118614950427</v>
      </c>
      <c r="F242" s="298">
        <f t="shared" si="126"/>
        <v>-0.36121011818564019</v>
      </c>
      <c r="G242" s="298">
        <f t="shared" si="126"/>
        <v>8.8990506742254671E-2</v>
      </c>
      <c r="H242" s="298">
        <f t="shared" si="126"/>
        <v>-4.4329614604463305</v>
      </c>
      <c r="I242" s="298">
        <f t="shared" si="126"/>
        <v>0.87012108854860204</v>
      </c>
      <c r="J242" s="298">
        <f t="shared" si="126"/>
        <v>0.66348587593562625</v>
      </c>
      <c r="K242" s="298">
        <f t="shared" si="126"/>
        <v>0.54530114430823029</v>
      </c>
      <c r="L242" s="298">
        <f t="shared" si="126"/>
        <v>0.38404458347924764</v>
      </c>
      <c r="M242" s="298">
        <f t="shared" si="126"/>
        <v>1.0758570157533893</v>
      </c>
      <c r="N242" s="298">
        <f t="shared" si="126"/>
        <v>0.71609922234857626</v>
      </c>
      <c r="O242" s="298">
        <f t="shared" si="126"/>
        <v>-1.9015349416432556</v>
      </c>
      <c r="P242" s="298">
        <f t="shared" si="126"/>
        <v>0.78815690891576617</v>
      </c>
      <c r="Q242" s="298">
        <f t="shared" si="126"/>
        <v>0.91541960093896724</v>
      </c>
      <c r="R242" s="298">
        <f t="shared" si="126"/>
        <v>0.77938544152744638</v>
      </c>
      <c r="S242" s="298">
        <f t="shared" si="126"/>
        <v>0.92515013915336186</v>
      </c>
      <c r="T242" s="298">
        <f t="shared" si="126"/>
        <v>0.13552076714227962</v>
      </c>
      <c r="U242" s="298">
        <f t="shared" si="126"/>
        <v>0.80662076156916318</v>
      </c>
      <c r="V242" s="298">
        <f t="shared" si="126"/>
        <v>1.1002988953866151</v>
      </c>
      <c r="W242" s="298">
        <f t="shared" si="126"/>
        <v>1.2289438392765386</v>
      </c>
      <c r="X242" s="298">
        <f t="shared" si="126"/>
        <v>1.0880331298055175</v>
      </c>
      <c r="Y242" s="298">
        <f t="shared" si="126"/>
        <v>-1.2962564157399481</v>
      </c>
      <c r="Z242" s="298">
        <f t="shared" si="126"/>
        <v>-7.4572661878005153E-3</v>
      </c>
      <c r="AA242" s="298">
        <f t="shared" si="126"/>
        <v>0.32803312617276159</v>
      </c>
      <c r="AB242" s="298">
        <f t="shared" si="126"/>
        <v>0.92312826545869076</v>
      </c>
      <c r="AC242" s="298">
        <f t="shared" si="126"/>
        <v>0.84153641902517484</v>
      </c>
      <c r="AD242" s="259">
        <f t="shared" si="126"/>
        <v>0.22757708057652645</v>
      </c>
      <c r="AE242" s="259">
        <f t="shared" si="126"/>
        <v>0.20791145617897752</v>
      </c>
    </row>
    <row r="243" spans="1:31">
      <c r="A243" s="240" t="s">
        <v>232</v>
      </c>
      <c r="B243" s="298">
        <f t="shared" si="126"/>
        <v>0.740394755809473</v>
      </c>
      <c r="C243" s="298">
        <f t="shared" si="126"/>
        <v>0.33874155529628902</v>
      </c>
      <c r="D243" s="298">
        <f t="shared" si="126"/>
        <v>0.48976882483404632</v>
      </c>
      <c r="E243" s="298">
        <f t="shared" si="126"/>
        <v>0.79131949929931356</v>
      </c>
      <c r="F243" s="298">
        <f t="shared" si="126"/>
        <v>0.86894552815605408</v>
      </c>
      <c r="G243" s="298">
        <f t="shared" si="126"/>
        <v>0.37863916045445095</v>
      </c>
      <c r="H243" s="298">
        <f t="shared" si="126"/>
        <v>0.44394273151916608</v>
      </c>
      <c r="I243" s="298">
        <f t="shared" si="126"/>
        <v>0.96273363870321749</v>
      </c>
      <c r="J243" s="298">
        <f t="shared" si="126"/>
        <v>1.1349146269661021</v>
      </c>
      <c r="K243" s="298">
        <f t="shared" si="126"/>
        <v>0.9826550488457364</v>
      </c>
      <c r="L243" s="298">
        <f t="shared" si="126"/>
        <v>0.59264975839140221</v>
      </c>
      <c r="M243" s="298">
        <f t="shared" si="126"/>
        <v>0.72247186412932252</v>
      </c>
      <c r="N243" s="298">
        <f t="shared" si="126"/>
        <v>1.3532181755731114</v>
      </c>
      <c r="O243" s="298">
        <f t="shared" si="126"/>
        <v>0.85443143134551325</v>
      </c>
      <c r="P243" s="298">
        <f t="shared" si="126"/>
        <v>0.44170653297998291</v>
      </c>
      <c r="Q243" s="298">
        <f t="shared" si="126"/>
        <v>0.73357436172112123</v>
      </c>
      <c r="R243" s="298">
        <f t="shared" si="126"/>
        <v>1.0207612456747404</v>
      </c>
      <c r="S243" s="298">
        <f t="shared" si="126"/>
        <v>-6.5292213324246007E-2</v>
      </c>
      <c r="T243" s="298">
        <f t="shared" si="126"/>
        <v>0.54596809924678769</v>
      </c>
      <c r="U243" s="298">
        <f t="shared" si="126"/>
        <v>-6.7195038852361346</v>
      </c>
      <c r="V243" s="298">
        <f t="shared" si="126"/>
        <v>0.6702397095328072</v>
      </c>
      <c r="W243" s="298">
        <f t="shared" si="126"/>
        <v>0.7397347663182805</v>
      </c>
      <c r="X243" s="298">
        <f t="shared" si="126"/>
        <v>0.62381410328652631</v>
      </c>
      <c r="Y243" s="298">
        <f t="shared" si="126"/>
        <v>0.20017266105328899</v>
      </c>
      <c r="Z243" s="298">
        <f t="shared" si="126"/>
        <v>-9.6920892704928097E-3</v>
      </c>
      <c r="AA243" s="298">
        <f t="shared" si="126"/>
        <v>-2.069373006069243</v>
      </c>
      <c r="AB243" s="298">
        <f t="shared" si="126"/>
        <v>0.6916255173749547</v>
      </c>
      <c r="AC243" s="298">
        <f t="shared" si="126"/>
        <v>0.75984466309577803</v>
      </c>
      <c r="AD243" s="259">
        <f t="shared" si="126"/>
        <v>0.20437425661567279</v>
      </c>
      <c r="AE243" s="259">
        <f t="shared" si="126"/>
        <v>0.23517019601589012</v>
      </c>
    </row>
    <row r="244" spans="1:31">
      <c r="A244" s="240" t="s">
        <v>233</v>
      </c>
      <c r="B244" s="298">
        <f t="shared" si="126"/>
        <v>0.18122912382424566</v>
      </c>
      <c r="C244" s="298">
        <f t="shared" si="126"/>
        <v>-0.47330435511075275</v>
      </c>
      <c r="D244" s="298">
        <f t="shared" si="126"/>
        <v>5.40556860194088</v>
      </c>
      <c r="E244" s="298">
        <f t="shared" si="126"/>
        <v>0.18329345814037906</v>
      </c>
      <c r="F244" s="298">
        <f t="shared" si="126"/>
        <v>0.62748310617340519</v>
      </c>
      <c r="G244" s="298">
        <f t="shared" si="126"/>
        <v>3.7598101819737728</v>
      </c>
      <c r="H244" s="298">
        <f t="shared" si="126"/>
        <v>1.2000096381690297</v>
      </c>
      <c r="I244" s="298">
        <f t="shared" si="126"/>
        <v>0.67951752263094556</v>
      </c>
      <c r="J244" s="298">
        <f t="shared" si="126"/>
        <v>0.9337291872840604</v>
      </c>
      <c r="K244" s="298">
        <f t="shared" si="126"/>
        <v>0.12585394483217904</v>
      </c>
      <c r="L244" s="298">
        <f t="shared" si="126"/>
        <v>1.7811053519669897</v>
      </c>
      <c r="M244" s="298">
        <f t="shared" si="126"/>
        <v>0.27538289483188494</v>
      </c>
      <c r="N244" s="298">
        <f t="shared" si="126"/>
        <v>-0.78898471040144491</v>
      </c>
      <c r="O244" s="298">
        <f t="shared" si="126"/>
        <v>0.36264509738874184</v>
      </c>
      <c r="P244" s="298">
        <f t="shared" si="126"/>
        <v>-33.532328272640413</v>
      </c>
      <c r="Q244" s="298">
        <f t="shared" si="126"/>
        <v>1.1769077286423977</v>
      </c>
      <c r="R244" s="298">
        <f t="shared" si="126"/>
        <v>-0.18466500208073244</v>
      </c>
      <c r="S244" s="298">
        <f t="shared" si="126"/>
        <v>-5.531419705197832E-2</v>
      </c>
      <c r="T244" s="298">
        <f t="shared" si="126"/>
        <v>0.89512669893714136</v>
      </c>
      <c r="U244" s="298">
        <f t="shared" si="126"/>
        <v>0.44441144090188472</v>
      </c>
      <c r="V244" s="298">
        <f t="shared" si="126"/>
        <v>0.87412858641774305</v>
      </c>
      <c r="W244" s="298">
        <f t="shared" si="126"/>
        <v>0.84996604856084623</v>
      </c>
      <c r="X244" s="298">
        <f t="shared" si="126"/>
        <v>1.0425598856043914</v>
      </c>
      <c r="Y244" s="298">
        <f t="shared" si="126"/>
        <v>1.8156281775294261</v>
      </c>
      <c r="Z244" s="298">
        <f t="shared" si="126"/>
        <v>0.93797586267797506</v>
      </c>
      <c r="AA244" s="298">
        <f t="shared" si="126"/>
        <v>0.64990347816889205</v>
      </c>
      <c r="AB244" s="298">
        <f t="shared" si="126"/>
        <v>3.351343822068352</v>
      </c>
      <c r="AC244" s="298">
        <f t="shared" si="126"/>
        <v>0.87321866959913019</v>
      </c>
      <c r="AD244" s="259">
        <f t="shared" si="126"/>
        <v>0.69574031962424998</v>
      </c>
      <c r="AE244" s="259">
        <f t="shared" si="126"/>
        <v>0.67068671424425885</v>
      </c>
    </row>
    <row r="245" spans="1:31">
      <c r="A245" s="240" t="s">
        <v>234</v>
      </c>
      <c r="B245" s="298">
        <f t="shared" si="126"/>
        <v>1.4974346531195992</v>
      </c>
      <c r="C245" s="298">
        <f t="shared" si="126"/>
        <v>0.52148348228333341</v>
      </c>
      <c r="D245" s="298">
        <f t="shared" si="126"/>
        <v>0.36670073363765043</v>
      </c>
      <c r="E245" s="298">
        <f t="shared" si="126"/>
        <v>1.6834915876059324</v>
      </c>
      <c r="F245" s="298">
        <f t="shared" si="126"/>
        <v>0.93488592583674435</v>
      </c>
      <c r="G245" s="298">
        <f t="shared" si="126"/>
        <v>0.52439906734990993</v>
      </c>
      <c r="H245" s="298">
        <f t="shared" si="126"/>
        <v>-0.11071283310486085</v>
      </c>
      <c r="I245" s="298">
        <f t="shared" si="126"/>
        <v>1.04235386688896</v>
      </c>
      <c r="J245" s="298">
        <f t="shared" si="126"/>
        <v>0.62233155436957976</v>
      </c>
      <c r="K245" s="298">
        <f t="shared" si="126"/>
        <v>-3.0575698938121898E-2</v>
      </c>
      <c r="L245" s="298">
        <f t="shared" si="126"/>
        <v>0.34422793324996748</v>
      </c>
      <c r="M245" s="298">
        <f t="shared" si="126"/>
        <v>1.6458152389801182</v>
      </c>
      <c r="N245" s="298">
        <f t="shared" si="126"/>
        <v>0.27629858129815466</v>
      </c>
      <c r="O245" s="298">
        <f t="shared" si="126"/>
        <v>2.2999984108084588</v>
      </c>
      <c r="P245" s="298">
        <f t="shared" si="126"/>
        <v>0.41395973399590758</v>
      </c>
      <c r="Q245" s="298">
        <f t="shared" si="126"/>
        <v>0.387837525638425</v>
      </c>
      <c r="R245" s="298">
        <f t="shared" si="126"/>
        <v>0.53986710963455153</v>
      </c>
      <c r="S245" s="298">
        <f t="shared" si="126"/>
        <v>0.36425092302092182</v>
      </c>
      <c r="T245" s="298">
        <f t="shared" si="126"/>
        <v>0.91029314951787155</v>
      </c>
      <c r="U245" s="298">
        <f t="shared" si="126"/>
        <v>1.1135309178913402</v>
      </c>
      <c r="V245" s="298">
        <f t="shared" si="126"/>
        <v>0.32502420582314528</v>
      </c>
      <c r="W245" s="298">
        <f t="shared" si="126"/>
        <v>0.76592637287750587</v>
      </c>
      <c r="X245" s="298">
        <f t="shared" si="126"/>
        <v>-1.8173625659311978</v>
      </c>
      <c r="Y245" s="298">
        <f t="shared" si="126"/>
        <v>0.51736123327185879</v>
      </c>
      <c r="Z245" s="298">
        <f t="shared" si="126"/>
        <v>6.1924417356845618E-2</v>
      </c>
      <c r="AA245" s="298">
        <f t="shared" si="126"/>
        <v>1.0511325326350214</v>
      </c>
      <c r="AB245" s="298">
        <f t="shared" si="126"/>
        <v>0.56438401003815331</v>
      </c>
      <c r="AC245" s="259">
        <f t="shared" si="126"/>
        <v>-1.0278280966937601</v>
      </c>
      <c r="AD245" s="259">
        <f t="shared" si="126"/>
        <v>-0.34060474220446102</v>
      </c>
      <c r="AE245" s="259">
        <f t="shared" si="126"/>
        <v>-0.30243494959881612</v>
      </c>
    </row>
    <row r="246" spans="1:31">
      <c r="A246" s="240" t="s">
        <v>46</v>
      </c>
      <c r="B246" s="298">
        <f t="shared" si="126"/>
        <v>0.85846110610876036</v>
      </c>
      <c r="C246" s="298">
        <f t="shared" si="126"/>
        <v>-0.57340408307590951</v>
      </c>
      <c r="D246" s="298">
        <f t="shared" si="126"/>
        <v>1.8427927755275646</v>
      </c>
      <c r="E246" s="298">
        <f t="shared" si="126"/>
        <v>0.30869960788427214</v>
      </c>
      <c r="F246" s="298">
        <f t="shared" si="126"/>
        <v>0.90421895762586735</v>
      </c>
      <c r="G246" s="298">
        <f t="shared" si="126"/>
        <v>-0.42374756851207285</v>
      </c>
      <c r="H246" s="298">
        <f t="shared" si="126"/>
        <v>0.36532147992105823</v>
      </c>
      <c r="I246" s="298">
        <f t="shared" si="126"/>
        <v>0.79091852934996987</v>
      </c>
      <c r="J246" s="298">
        <f t="shared" si="126"/>
        <v>0.96392862074287056</v>
      </c>
      <c r="K246" s="298">
        <f t="shared" si="126"/>
        <v>-0.12993998361490744</v>
      </c>
      <c r="L246" s="298">
        <f t="shared" si="126"/>
        <v>0.80361257163215172</v>
      </c>
      <c r="M246" s="298">
        <f t="shared" si="126"/>
        <v>-5.9150101056616999E-3</v>
      </c>
      <c r="N246" s="298">
        <f t="shared" si="126"/>
        <v>0.7400353250474121</v>
      </c>
      <c r="O246" s="298">
        <f t="shared" si="126"/>
        <v>0.31303435765818366</v>
      </c>
      <c r="P246" s="298">
        <f t="shared" si="126"/>
        <v>-6.4777745676668164E-2</v>
      </c>
      <c r="Q246" s="298">
        <f t="shared" si="126"/>
        <v>-2.0895187256397225</v>
      </c>
      <c r="R246" s="298">
        <f t="shared" si="126"/>
        <v>-0.59385258131900942</v>
      </c>
      <c r="S246" s="298">
        <f t="shared" si="126"/>
        <v>-1.796079177769319</v>
      </c>
      <c r="T246" s="298">
        <f t="shared" si="126"/>
        <v>0.37509784404866592</v>
      </c>
      <c r="U246" s="298">
        <f t="shared" si="126"/>
        <v>-1.0943763975155258</v>
      </c>
      <c r="V246" s="298">
        <f t="shared" si="126"/>
        <v>1.0360081326573722</v>
      </c>
      <c r="W246" s="298">
        <f t="shared" si="126"/>
        <v>0.11574383311338948</v>
      </c>
      <c r="X246" s="298">
        <f t="shared" si="126"/>
        <v>0.39054479662761649</v>
      </c>
      <c r="Y246" s="298">
        <f t="shared" si="126"/>
        <v>0.68988694377656279</v>
      </c>
      <c r="Z246" s="298">
        <f t="shared" si="126"/>
        <v>-6.5604888343503198E-2</v>
      </c>
      <c r="AA246" s="298">
        <f t="shared" si="126"/>
        <v>0.73037778362547745</v>
      </c>
      <c r="AB246" s="298">
        <f t="shared" si="126"/>
        <v>-0.35664565184964525</v>
      </c>
      <c r="AC246" s="259">
        <f t="shared" si="126"/>
        <v>0.56459611536556664</v>
      </c>
      <c r="AD246" s="259">
        <f t="shared" si="126"/>
        <v>0.40820638984362845</v>
      </c>
      <c r="AE246" s="259">
        <f t="shared" si="126"/>
        <v>0.42516212492726579</v>
      </c>
    </row>
    <row r="247" spans="1:31">
      <c r="A247" s="240" t="s">
        <v>235</v>
      </c>
      <c r="B247" s="298">
        <f t="shared" si="126"/>
        <v>1.4372474908303772</v>
      </c>
      <c r="C247" s="298">
        <f t="shared" si="126"/>
        <v>5.8450734385472713E-2</v>
      </c>
      <c r="D247" s="298">
        <f t="shared" si="126"/>
        <v>0.36453441904329159</v>
      </c>
      <c r="E247" s="298">
        <f t="shared" si="126"/>
        <v>0.67573130348117272</v>
      </c>
      <c r="F247" s="298">
        <f t="shared" si="126"/>
        <v>0.64822250639386192</v>
      </c>
      <c r="G247" s="298">
        <f t="shared" si="126"/>
        <v>-0.16530515705877541</v>
      </c>
      <c r="H247" s="298">
        <f t="shared" si="126"/>
        <v>1.3257085343278956</v>
      </c>
      <c r="I247" s="298">
        <f t="shared" si="126"/>
        <v>0.63795604769532765</v>
      </c>
      <c r="J247" s="298">
        <f t="shared" si="126"/>
        <v>1.1013469711157529</v>
      </c>
      <c r="K247" s="298">
        <f t="shared" si="126"/>
        <v>0.16241936752416947</v>
      </c>
      <c r="L247" s="298">
        <f t="shared" si="126"/>
        <v>-0.73166950149831778</v>
      </c>
      <c r="M247" s="298">
        <f t="shared" si="126"/>
        <v>0.25136172296949338</v>
      </c>
      <c r="N247" s="298">
        <f t="shared" si="126"/>
        <v>0.87930708130679991</v>
      </c>
      <c r="O247" s="298">
        <f t="shared" si="126"/>
        <v>1.0090121503867335</v>
      </c>
      <c r="P247" s="298">
        <f t="shared" si="126"/>
        <v>0.7249695911754056</v>
      </c>
      <c r="Q247" s="298">
        <f t="shared" ref="B247:AR251" si="127">Q231+Q120</f>
        <v>1.4885779056587325</v>
      </c>
      <c r="R247" s="298">
        <f t="shared" si="127"/>
        <v>0.6401024163866218</v>
      </c>
      <c r="S247" s="298">
        <f t="shared" si="127"/>
        <v>0.6862435303731953</v>
      </c>
      <c r="T247" s="298">
        <f t="shared" si="127"/>
        <v>-1.6963896408806696</v>
      </c>
      <c r="U247" s="298">
        <f t="shared" si="127"/>
        <v>0.51231401959598399</v>
      </c>
      <c r="V247" s="298">
        <f t="shared" si="127"/>
        <v>-0.4737405295203459</v>
      </c>
      <c r="W247" s="298">
        <f t="shared" si="127"/>
        <v>5.2143332508659119</v>
      </c>
      <c r="X247" s="298">
        <f t="shared" si="127"/>
        <v>0.77812052481210137</v>
      </c>
      <c r="Y247" s="298">
        <f t="shared" si="127"/>
        <v>1.3232189753746992</v>
      </c>
      <c r="Z247" s="298">
        <f t="shared" si="127"/>
        <v>7.1013544075270274E-2</v>
      </c>
      <c r="AA247" s="298">
        <f t="shared" si="127"/>
        <v>0.85236539469799355</v>
      </c>
      <c r="AB247" s="298">
        <f t="shared" si="127"/>
        <v>0.2792664201079022</v>
      </c>
      <c r="AC247" s="259">
        <f t="shared" si="127"/>
        <v>-2.6278774506441183</v>
      </c>
      <c r="AD247" s="259">
        <f t="shared" si="127"/>
        <v>338.0322687605792</v>
      </c>
      <c r="AE247" s="259">
        <f t="shared" si="127"/>
        <v>-0.48816224552708165</v>
      </c>
    </row>
    <row r="248" spans="1:31">
      <c r="A248" s="240" t="s">
        <v>236</v>
      </c>
      <c r="B248" s="298">
        <f t="shared" si="127"/>
        <v>0.35926515039845153</v>
      </c>
      <c r="C248" s="298">
        <f t="shared" si="127"/>
        <v>6.986155484558112</v>
      </c>
      <c r="D248" s="298">
        <f t="shared" si="127"/>
        <v>0.72473819742489265</v>
      </c>
      <c r="E248" s="298">
        <f t="shared" si="127"/>
        <v>-8.9478871151527564</v>
      </c>
      <c r="F248" s="298">
        <f t="shared" si="127"/>
        <v>0.71888660463103216</v>
      </c>
      <c r="G248" s="298">
        <f t="shared" si="127"/>
        <v>0.55125625962505698</v>
      </c>
      <c r="H248" s="298">
        <f t="shared" si="127"/>
        <v>0.75741669236344977</v>
      </c>
      <c r="I248" s="298">
        <f t="shared" si="127"/>
        <v>4.2302532470573624</v>
      </c>
      <c r="J248" s="298">
        <f t="shared" si="127"/>
        <v>0.63961199852390749</v>
      </c>
      <c r="K248" s="298">
        <f t="shared" si="127"/>
        <v>0.75338648664501129</v>
      </c>
      <c r="L248" s="298">
        <f t="shared" si="127"/>
        <v>-0.48407696064898786</v>
      </c>
      <c r="M248" s="298">
        <f t="shared" si="127"/>
        <v>-0.63639721848313946</v>
      </c>
      <c r="N248" s="298">
        <f t="shared" si="127"/>
        <v>0.65593926821145765</v>
      </c>
      <c r="O248" s="298">
        <f t="shared" si="127"/>
        <v>0.96347567477888418</v>
      </c>
      <c r="P248" s="298">
        <f t="shared" si="127"/>
        <v>1.0849391701064524</v>
      </c>
      <c r="Q248" s="298">
        <f t="shared" si="127"/>
        <v>0.59205938486383325</v>
      </c>
      <c r="R248" s="298">
        <f t="shared" si="127"/>
        <v>-2.6167471819645294E-3</v>
      </c>
      <c r="S248" s="298">
        <f t="shared" si="127"/>
        <v>0.87582631237848352</v>
      </c>
      <c r="T248" s="298">
        <f t="shared" si="127"/>
        <v>0.89555570058082612</v>
      </c>
      <c r="U248" s="298">
        <f t="shared" si="127"/>
        <v>-0.72192698556540913</v>
      </c>
      <c r="V248" s="298">
        <f t="shared" si="127"/>
        <v>0.88829637040742604</v>
      </c>
      <c r="W248" s="298">
        <f t="shared" si="127"/>
        <v>0.45250963720491583</v>
      </c>
      <c r="X248" s="298">
        <f t="shared" si="127"/>
        <v>0.32041029772015744</v>
      </c>
      <c r="Y248" s="298">
        <f t="shared" si="127"/>
        <v>1.0859603812470329</v>
      </c>
      <c r="Z248" s="298">
        <f t="shared" si="127"/>
        <v>-3.8578376957150218E-2</v>
      </c>
      <c r="AA248" s="298">
        <f t="shared" si="127"/>
        <v>0.82911883076618187</v>
      </c>
      <c r="AB248" s="298">
        <f t="shared" si="127"/>
        <v>1.0303396507533482</v>
      </c>
      <c r="AC248" s="259">
        <f t="shared" si="127"/>
        <v>4.4818287190056594E-2</v>
      </c>
      <c r="AD248" s="259">
        <f t="shared" si="127"/>
        <v>-0.15873223322248908</v>
      </c>
      <c r="AE248" s="259">
        <f t="shared" si="127"/>
        <v>0.45164660720200067</v>
      </c>
    </row>
    <row r="249" spans="1:31">
      <c r="A249" s="240" t="s">
        <v>237</v>
      </c>
      <c r="B249" s="298">
        <f t="shared" si="127"/>
        <v>0.61203361025563929</v>
      </c>
      <c r="C249" s="298">
        <f t="shared" si="127"/>
        <v>0.38787120584448759</v>
      </c>
      <c r="D249" s="298">
        <f t="shared" si="127"/>
        <v>0.92842070231949292</v>
      </c>
      <c r="E249" s="298">
        <f t="shared" si="127"/>
        <v>0.45101001950977782</v>
      </c>
      <c r="F249" s="298">
        <f t="shared" si="127"/>
        <v>0.87828776566877398</v>
      </c>
      <c r="G249" s="298">
        <f t="shared" si="127"/>
        <v>1.2620977645781419</v>
      </c>
      <c r="H249" s="298">
        <f t="shared" si="127"/>
        <v>-6.7640874684607943E-2</v>
      </c>
      <c r="I249" s="298">
        <f t="shared" si="127"/>
        <v>0.50983790826963149</v>
      </c>
      <c r="J249" s="298">
        <f t="shared" si="127"/>
        <v>1.4249483425018119</v>
      </c>
      <c r="K249" s="298">
        <f t="shared" si="127"/>
        <v>1.0590958289871735</v>
      </c>
      <c r="L249" s="298">
        <f t="shared" si="127"/>
        <v>0.38491419065490423</v>
      </c>
      <c r="M249" s="298">
        <f t="shared" si="127"/>
        <v>1.2902743484224988</v>
      </c>
      <c r="N249" s="298">
        <f t="shared" si="127"/>
        <v>0.90215045742074707</v>
      </c>
      <c r="O249" s="298">
        <f t="shared" si="127"/>
        <v>0.93205227798758084</v>
      </c>
      <c r="P249" s="298">
        <f t="shared" si="127"/>
        <v>1.6716343828747422</v>
      </c>
      <c r="Q249" s="298">
        <f t="shared" si="127"/>
        <v>0.75024976492712736</v>
      </c>
      <c r="R249" s="298">
        <f t="shared" si="127"/>
        <v>-0.47804287690179803</v>
      </c>
      <c r="S249" s="298">
        <f t="shared" si="127"/>
        <v>0.86340685124354777</v>
      </c>
      <c r="T249" s="298">
        <f t="shared" si="127"/>
        <v>0.82169196877544159</v>
      </c>
      <c r="U249" s="298">
        <f t="shared" si="127"/>
        <v>0.27019192256341795</v>
      </c>
      <c r="V249" s="298">
        <f t="shared" si="127"/>
        <v>0.85411375045282822</v>
      </c>
      <c r="W249" s="298">
        <f t="shared" si="127"/>
        <v>-0.87089331619537269</v>
      </c>
      <c r="X249" s="298">
        <f t="shared" si="127"/>
        <v>-6.7635667018380508</v>
      </c>
      <c r="Y249" s="298">
        <f t="shared" si="127"/>
        <v>0.31708726704468149</v>
      </c>
      <c r="Z249" s="298">
        <f t="shared" si="127"/>
        <v>-0.10629568562755071</v>
      </c>
      <c r="AA249" s="298">
        <f t="shared" si="127"/>
        <v>1.1383796449651489</v>
      </c>
      <c r="AB249" s="298">
        <f t="shared" si="127"/>
        <v>1.5507181775047536</v>
      </c>
      <c r="AC249" s="259">
        <f t="shared" si="127"/>
        <v>7.0359942590653324</v>
      </c>
      <c r="AD249" s="259">
        <f t="shared" si="127"/>
        <v>0.33413367291103924</v>
      </c>
      <c r="AE249" s="259">
        <f t="shared" si="127"/>
        <v>-0.24434477854493986</v>
      </c>
    </row>
    <row r="250" spans="1:31">
      <c r="A250" s="240" t="s">
        <v>238</v>
      </c>
      <c r="B250" s="298">
        <f t="shared" si="127"/>
        <v>1.4361608106998096</v>
      </c>
      <c r="C250" s="298">
        <f t="shared" si="127"/>
        <v>0.39297734017099639</v>
      </c>
      <c r="D250" s="298">
        <f t="shared" si="127"/>
        <v>0.81488069977268784</v>
      </c>
      <c r="E250" s="298">
        <f t="shared" si="127"/>
        <v>-2.4656885508245368</v>
      </c>
      <c r="F250" s="298">
        <f t="shared" si="127"/>
        <v>0.91743255108604349</v>
      </c>
      <c r="G250" s="298">
        <f t="shared" si="127"/>
        <v>0.93228254138865552</v>
      </c>
      <c r="H250" s="298">
        <f t="shared" si="127"/>
        <v>-0.15432103524229207</v>
      </c>
      <c r="I250" s="298">
        <f t="shared" si="127"/>
        <v>-12.442223609544834</v>
      </c>
      <c r="J250" s="298">
        <f t="shared" si="127"/>
        <v>0.61123342075810783</v>
      </c>
      <c r="K250" s="298">
        <f t="shared" si="127"/>
        <v>0.86935584946861688</v>
      </c>
      <c r="L250" s="298">
        <f t="shared" si="127"/>
        <v>1.5427131535370615</v>
      </c>
      <c r="M250" s="298">
        <f t="shared" si="127"/>
        <v>0.38629876850352551</v>
      </c>
      <c r="N250" s="298">
        <f t="shared" si="127"/>
        <v>2.1810156640296063</v>
      </c>
      <c r="O250" s="298">
        <f t="shared" si="127"/>
        <v>2.3287857595704891</v>
      </c>
      <c r="P250" s="298">
        <f t="shared" si="127"/>
        <v>0.79121154439147046</v>
      </c>
      <c r="Q250" s="298">
        <f t="shared" si="127"/>
        <v>-1.5651642208245977</v>
      </c>
      <c r="R250" s="298">
        <f t="shared" si="127"/>
        <v>0.52183030303030309</v>
      </c>
      <c r="S250" s="298">
        <f t="shared" si="127"/>
        <v>0.94085379266002256</v>
      </c>
      <c r="T250" s="298">
        <f t="shared" si="127"/>
        <v>0.87171877699084466</v>
      </c>
      <c r="U250" s="298">
        <f t="shared" si="127"/>
        <v>1.7764650891031248</v>
      </c>
      <c r="V250" s="298">
        <f t="shared" si="127"/>
        <v>0.96846581187029535</v>
      </c>
      <c r="W250" s="298">
        <f t="shared" si="127"/>
        <v>0.75465392394091513</v>
      </c>
      <c r="X250" s="298">
        <f t="shared" si="127"/>
        <v>0.78846081848695992</v>
      </c>
      <c r="Y250" s="298">
        <f t="shared" si="127"/>
        <v>0.34677913726142151</v>
      </c>
      <c r="Z250" s="298">
        <f t="shared" si="127"/>
        <v>-0.31025578735835047</v>
      </c>
      <c r="AA250" s="298">
        <f t="shared" si="127"/>
        <v>1.7397309973377102</v>
      </c>
      <c r="AB250" s="298">
        <f t="shared" si="127"/>
        <v>0.38912872526682268</v>
      </c>
      <c r="AC250" s="259">
        <f t="shared" si="127"/>
        <v>-1.629041856529363</v>
      </c>
      <c r="AD250" s="259">
        <f t="shared" si="127"/>
        <v>0.66456648066711421</v>
      </c>
      <c r="AE250" s="259">
        <f t="shared" si="127"/>
        <v>9.7152506213363576E-2</v>
      </c>
    </row>
    <row r="251" spans="1:31" ht="15.75" thickBot="1">
      <c r="A251" s="240" t="s">
        <v>255</v>
      </c>
      <c r="B251" s="258">
        <f>B235+B124</f>
        <v>0.77611940298507465</v>
      </c>
      <c r="C251" s="258">
        <f t="shared" si="127"/>
        <v>0.80952380952380953</v>
      </c>
      <c r="D251" s="258">
        <f t="shared" si="127"/>
        <v>0.78260869565217384</v>
      </c>
      <c r="E251" s="258">
        <f t="shared" si="127"/>
        <v>0.82666666666666666</v>
      </c>
      <c r="F251" s="258">
        <f t="shared" si="127"/>
        <v>0.82499999999999996</v>
      </c>
      <c r="G251" s="258">
        <f t="shared" si="127"/>
        <v>0.83783783783783794</v>
      </c>
      <c r="H251" s="258">
        <f t="shared" si="127"/>
        <v>0.8</v>
      </c>
      <c r="I251" s="258">
        <f t="shared" si="127"/>
        <v>0.84375</v>
      </c>
      <c r="J251" s="258">
        <f t="shared" si="127"/>
        <v>0.88888888888888884</v>
      </c>
      <c r="K251" s="258">
        <f t="shared" si="127"/>
        <v>0.87378640776699035</v>
      </c>
      <c r="L251" s="258">
        <f t="shared" si="127"/>
        <v>0.88571428571428568</v>
      </c>
      <c r="M251" s="258">
        <f t="shared" si="127"/>
        <v>0.88888888888888884</v>
      </c>
      <c r="N251" s="258">
        <f t="shared" si="127"/>
        <v>0.88235294117647056</v>
      </c>
      <c r="O251" s="258">
        <f t="shared" si="127"/>
        <v>1</v>
      </c>
      <c r="P251" s="258">
        <f t="shared" si="127"/>
        <v>1</v>
      </c>
      <c r="Q251" s="258">
        <f t="shared" si="127"/>
        <v>0.83333333333333337</v>
      </c>
      <c r="R251" s="258">
        <f t="shared" si="127"/>
        <v>0.83333333333333337</v>
      </c>
      <c r="S251" s="258">
        <f t="shared" si="127"/>
        <v>0.8</v>
      </c>
      <c r="T251" s="258">
        <f t="shared" si="127"/>
        <v>0.8571428571428571</v>
      </c>
      <c r="U251" s="258">
        <f t="shared" si="127"/>
        <v>0.85857142857142854</v>
      </c>
      <c r="V251" s="258">
        <f t="shared" si="127"/>
        <v>0.88444444444444437</v>
      </c>
      <c r="W251" s="258">
        <f t="shared" si="127"/>
        <v>0.85749999999999993</v>
      </c>
      <c r="X251" s="258">
        <f t="shared" si="127"/>
        <v>0.86333333333333329</v>
      </c>
      <c r="Y251" s="258">
        <f t="shared" si="127"/>
        <v>0.85857142857142854</v>
      </c>
      <c r="Z251" s="258">
        <f t="shared" si="127"/>
        <v>0.86857142857142855</v>
      </c>
      <c r="AA251" s="258">
        <f t="shared" si="127"/>
        <v>0.84725031171633125</v>
      </c>
      <c r="AB251" s="258">
        <f t="shared" si="127"/>
        <v>0.85405610902635165</v>
      </c>
      <c r="AC251" s="259">
        <f t="shared" si="127"/>
        <v>0.83905347223117754</v>
      </c>
      <c r="AD251" s="259">
        <f t="shared" si="127"/>
        <v>0.85408633298938375</v>
      </c>
      <c r="AE251" s="259">
        <f t="shared" si="127"/>
        <v>0.8346809129071211</v>
      </c>
    </row>
    <row r="252" spans="1:31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  <c r="AD252" s="248"/>
      <c r="AE252" s="248"/>
    </row>
    <row r="253" spans="1:31" ht="15.75" thickBot="1">
      <c r="A253" s="235" t="s">
        <v>265</v>
      </c>
    </row>
    <row r="254" spans="1:31" ht="15.75" thickBot="1">
      <c r="A254" s="236"/>
      <c r="B254" s="237" t="str">
        <f>B$2</f>
        <v xml:space="preserve">93/94 </v>
      </c>
      <c r="C254" s="237" t="str">
        <f t="shared" ref="C254:AE254" si="128">C$2</f>
        <v xml:space="preserve">94/95 </v>
      </c>
      <c r="D254" s="237" t="str">
        <f t="shared" si="128"/>
        <v xml:space="preserve">95/96 </v>
      </c>
      <c r="E254" s="237" t="str">
        <f t="shared" si="128"/>
        <v xml:space="preserve">96/97 </v>
      </c>
      <c r="F254" s="237" t="str">
        <f t="shared" si="128"/>
        <v xml:space="preserve">97/98 </v>
      </c>
      <c r="G254" s="237" t="str">
        <f t="shared" si="128"/>
        <v xml:space="preserve">98/99 </v>
      </c>
      <c r="H254" s="237" t="str">
        <f t="shared" si="128"/>
        <v xml:space="preserve">99/00 </v>
      </c>
      <c r="I254" s="237" t="str">
        <f t="shared" si="128"/>
        <v xml:space="preserve">00/01 </v>
      </c>
      <c r="J254" s="237" t="str">
        <f t="shared" si="128"/>
        <v xml:space="preserve">01/02 </v>
      </c>
      <c r="K254" s="237" t="str">
        <f t="shared" si="128"/>
        <v xml:space="preserve">02/03 </v>
      </c>
      <c r="L254" s="237" t="str">
        <f t="shared" si="128"/>
        <v xml:space="preserve">03/04 </v>
      </c>
      <c r="M254" s="237" t="str">
        <f t="shared" si="128"/>
        <v xml:space="preserve">04/05 </v>
      </c>
      <c r="N254" s="237" t="str">
        <f t="shared" si="128"/>
        <v xml:space="preserve">05/06 </v>
      </c>
      <c r="O254" s="237" t="str">
        <f t="shared" si="128"/>
        <v xml:space="preserve">06/07 </v>
      </c>
      <c r="P254" s="237" t="str">
        <f t="shared" si="128"/>
        <v xml:space="preserve">07/08 </v>
      </c>
      <c r="Q254" s="237" t="str">
        <f t="shared" si="128"/>
        <v xml:space="preserve">08/09 </v>
      </c>
      <c r="R254" s="237" t="str">
        <f t="shared" si="128"/>
        <v xml:space="preserve">09/10 </v>
      </c>
      <c r="S254" s="237" t="str">
        <f t="shared" si="128"/>
        <v xml:space="preserve">10/11 </v>
      </c>
      <c r="T254" s="237" t="str">
        <f t="shared" si="128"/>
        <v xml:space="preserve">11/12 </v>
      </c>
      <c r="U254" s="237" t="str">
        <f t="shared" si="128"/>
        <v xml:space="preserve">12/13 </v>
      </c>
      <c r="V254" s="237" t="str">
        <f t="shared" si="128"/>
        <v xml:space="preserve">13/14 </v>
      </c>
      <c r="W254" s="237" t="str">
        <f t="shared" si="128"/>
        <v xml:space="preserve">14/15 </v>
      </c>
      <c r="X254" s="237" t="str">
        <f t="shared" si="128"/>
        <v xml:space="preserve">15/16 </v>
      </c>
      <c r="Y254" s="237" t="str">
        <f t="shared" si="128"/>
        <v xml:space="preserve">16/17 </v>
      </c>
      <c r="Z254" s="237" t="str">
        <f t="shared" si="128"/>
        <v xml:space="preserve">17/18 </v>
      </c>
      <c r="AA254" s="237" t="str">
        <f t="shared" si="128"/>
        <v xml:space="preserve">18/19 </v>
      </c>
      <c r="AB254" s="237" t="str">
        <f t="shared" si="128"/>
        <v xml:space="preserve">19/20 </v>
      </c>
      <c r="AC254" s="237" t="str">
        <f t="shared" si="128"/>
        <v xml:space="preserve">20/21 </v>
      </c>
      <c r="AD254" s="237" t="str">
        <f t="shared" si="128"/>
        <v xml:space="preserve">21/22 </v>
      </c>
      <c r="AE254" s="237" t="str">
        <f t="shared" si="128"/>
        <v xml:space="preserve">22/23 </v>
      </c>
    </row>
    <row r="255" spans="1:31">
      <c r="A255" s="240" t="s">
        <v>239</v>
      </c>
      <c r="B255" s="241">
        <f>(SUM(K255:O255)/SUM(K$267:O$267))*B$267</f>
        <v>18.868334274766045</v>
      </c>
      <c r="C255" s="241">
        <v>14.725152079680235</v>
      </c>
      <c r="D255" s="242">
        <f>'[2]Mexico Sun Oil Imports'!BD$290</f>
        <v>36.780999999999999</v>
      </c>
      <c r="E255" s="242">
        <f>'[2]Mexico Sun Oil Imports'!BP$290</f>
        <v>13.878</v>
      </c>
      <c r="F255" s="242">
        <f>'[2]Mexico Sun Oil Imports'!CB$290</f>
        <v>26.824000000000002</v>
      </c>
      <c r="G255" s="242">
        <f>'[2]Mexico Sun Oil Imports'!CN$290</f>
        <v>2.3540000000000001</v>
      </c>
      <c r="H255" s="242">
        <f>'[2]Mexico Sun Oil Imports'!CZ$290</f>
        <v>13.528</v>
      </c>
      <c r="I255" s="242">
        <f>'[2]Mexico Sun Oil Imports'!DL$290</f>
        <v>3.4969999999999999</v>
      </c>
      <c r="J255" s="242">
        <f>'[2]Mexico Sun Oil Imports'!DX$290</f>
        <v>5.3689999999999998</v>
      </c>
      <c r="K255" s="242">
        <f>'[2]Mexico Sun Oil Imports'!EJ$290</f>
        <v>1.0620000000000001</v>
      </c>
      <c r="L255" s="242">
        <f>'[2]Mexico Sun Oil Imports'!EV$290</f>
        <v>2.194</v>
      </c>
      <c r="M255" s="242">
        <f>'[2]Mexico Sun Oil Imports'!FH$290</f>
        <v>0.27700000000000002</v>
      </c>
      <c r="N255" s="242">
        <f>'[2]Mexico Sun Oil Imports'!FT$290</f>
        <v>26.484000000000002</v>
      </c>
      <c r="O255" s="242">
        <f>'[2]Mexico Sun Oil Imports'!GF$290</f>
        <v>4.798</v>
      </c>
      <c r="P255" s="242">
        <f>'[2]Mexico Sun Oil Imports'!GR$290</f>
        <v>0.751</v>
      </c>
      <c r="Q255" s="242">
        <f>'[2]Mexico Sun Oil Imports'!HD$290</f>
        <v>1.542</v>
      </c>
      <c r="R255" s="242">
        <f>'[2]Mexico Sun Oil Imports'!HP$290</f>
        <v>2.4750000000000001</v>
      </c>
      <c r="S255" s="242">
        <f>'[2]Mexico Sun Oil Imports'!IB$290</f>
        <v>0.47899999999999998</v>
      </c>
      <c r="T255" s="242">
        <f>'[2]Mexico Sun Oil Imports'!IN$290</f>
        <v>0.377</v>
      </c>
      <c r="U255" s="242">
        <f>'[2]Mexico Sun Oil Imports'!IZ$290</f>
        <v>0.63700000000000001</v>
      </c>
      <c r="V255" s="242">
        <f>'[2]Mexico Sun Oil Imports'!JL$290</f>
        <v>3.536</v>
      </c>
      <c r="W255" s="242">
        <f>'[2]Mexico Sun Oil Imports'!JX$290</f>
        <v>0.88100000000000001</v>
      </c>
      <c r="X255" s="242">
        <f>'[2]Mexico Sun Oil Imports'!KJ$290</f>
        <v>0.60799999999999998</v>
      </c>
      <c r="Y255" s="242">
        <f>'[2]Mexico Sun Oil Imports'!KV$290</f>
        <v>0.3</v>
      </c>
      <c r="Z255" s="242">
        <f>'[2]Mexico Sun Oil Imports'!LH$290</f>
        <v>0.93535599999999997</v>
      </c>
      <c r="AA255" s="242">
        <f>'[2]Mexico Sun Oil Imports'!LT$290</f>
        <v>1.8885529999999999</v>
      </c>
      <c r="AB255" s="242">
        <f>'[2]Mexico Sun Oil Imports'!MF$290</f>
        <v>1.598746</v>
      </c>
      <c r="AC255" s="242">
        <f>'[2]Mexico Sun Oil Imports'!MR$290</f>
        <v>7.7889559999999998</v>
      </c>
      <c r="AD255" s="242">
        <f>'[2]Mexico Sun Oil Imports'!ND$290</f>
        <v>1.7609999999999999</v>
      </c>
      <c r="AE255" s="243">
        <f t="shared" ref="AE255:AE265" si="129">(SUM(Y255:AC255)/SUM(Y$267:AC$267))*AE$267</f>
        <v>0.99303946585032232</v>
      </c>
    </row>
    <row r="256" spans="1:31">
      <c r="A256" s="240" t="s">
        <v>240</v>
      </c>
      <c r="B256" s="241">
        <f t="shared" ref="B256:B266" si="130">(SUM(K256:O256)/SUM(K$267:O$267))*B$267</f>
        <v>7.3646932201578554</v>
      </c>
      <c r="C256" s="241">
        <v>13.410431705490607</v>
      </c>
      <c r="D256" s="242">
        <f>'[2]Mexico Sun Oil Imports'!BE$290</f>
        <v>12.907999999999999</v>
      </c>
      <c r="E256" s="242">
        <f>'[2]Mexico Sun Oil Imports'!BQ$290</f>
        <v>41.526000000000003</v>
      </c>
      <c r="F256" s="242">
        <f>'[2]Mexico Sun Oil Imports'!CC$290</f>
        <v>5.8419999999999996</v>
      </c>
      <c r="G256" s="242">
        <f>'[2]Mexico Sun Oil Imports'!CO$290</f>
        <v>7.157</v>
      </c>
      <c r="H256" s="242">
        <f>'[2]Mexico Sun Oil Imports'!DA$290</f>
        <v>17.596</v>
      </c>
      <c r="I256" s="242">
        <f>'[2]Mexico Sun Oil Imports'!DM$290</f>
        <v>15.355</v>
      </c>
      <c r="J256" s="242">
        <f>'[2]Mexico Sun Oil Imports'!DY$290</f>
        <v>16.119</v>
      </c>
      <c r="K256" s="242">
        <f>'[2]Mexico Sun Oil Imports'!EK$290</f>
        <v>0.33800000000000002</v>
      </c>
      <c r="L256" s="242">
        <f>'[2]Mexico Sun Oil Imports'!EW$290</f>
        <v>0.98199999999999998</v>
      </c>
      <c r="M256" s="242">
        <f>'[2]Mexico Sun Oil Imports'!FI$290</f>
        <v>0.224</v>
      </c>
      <c r="N256" s="242">
        <f>'[2]Mexico Sun Oil Imports'!FU$290</f>
        <v>0.50700000000000001</v>
      </c>
      <c r="O256" s="242">
        <f>'[2]Mexico Sun Oil Imports'!GG$290</f>
        <v>11.538</v>
      </c>
      <c r="P256" s="242">
        <f>'[2]Mexico Sun Oil Imports'!GS$290</f>
        <v>0.755</v>
      </c>
      <c r="Q256" s="242">
        <f>'[2]Mexico Sun Oil Imports'!HE$290</f>
        <v>0.56599999999999995</v>
      </c>
      <c r="R256" s="242">
        <f>'[2]Mexico Sun Oil Imports'!HQ$290</f>
        <v>0.72199999999999998</v>
      </c>
      <c r="S256" s="242">
        <f>'[2]Mexico Sun Oil Imports'!IC$290</f>
        <v>3.9870000000000001</v>
      </c>
      <c r="T256" s="242">
        <f>'[2]Mexico Sun Oil Imports'!IO$290</f>
        <v>0.40799999999999997</v>
      </c>
      <c r="U256" s="242">
        <f>'[2]Mexico Sun Oil Imports'!JA$290</f>
        <v>3.7240000000000002</v>
      </c>
      <c r="V256" s="242">
        <f>'[2]Mexico Sun Oil Imports'!JM$290</f>
        <v>0.40899999999999997</v>
      </c>
      <c r="W256" s="242">
        <f>'[2]Mexico Sun Oil Imports'!JY$290</f>
        <v>0.56499999999999995</v>
      </c>
      <c r="X256" s="242">
        <f>'[2]Mexico Sun Oil Imports'!KK$290</f>
        <v>0.66600000000000004</v>
      </c>
      <c r="Y256" s="242">
        <f>'[2]Mexico Sun Oil Imports'!KW$290</f>
        <v>2.3039999999999998</v>
      </c>
      <c r="Z256" s="242">
        <f>'[2]Mexico Sun Oil Imports'!LI$290</f>
        <v>23.978539000000001</v>
      </c>
      <c r="AA256" s="242">
        <f>'[2]Mexico Sun Oil Imports'!LU$290</f>
        <v>26.849920999999998</v>
      </c>
      <c r="AB256" s="242">
        <f>'[2]Mexico Sun Oil Imports'!MG$290</f>
        <v>3.1697639999999998</v>
      </c>
      <c r="AC256" s="242">
        <f>'[2]Mexico Sun Oil Imports'!MS$290</f>
        <v>7.9829059999999998</v>
      </c>
      <c r="AD256" s="242">
        <f>'[2]Mexico Sun Oil Imports'!NE$290</f>
        <v>9.0079999999999991</v>
      </c>
      <c r="AE256" s="243">
        <f t="shared" si="129"/>
        <v>5.1022742920410913</v>
      </c>
    </row>
    <row r="257" spans="1:31">
      <c r="A257" s="240" t="s">
        <v>241</v>
      </c>
      <c r="B257" s="241">
        <f t="shared" si="130"/>
        <v>29.701028960505628</v>
      </c>
      <c r="C257" s="241">
        <v>17.66119268499622</v>
      </c>
      <c r="D257" s="242">
        <f>'[2]Mexico Sun Oil Imports'!BF$290</f>
        <v>16.585999999999999</v>
      </c>
      <c r="E257" s="242">
        <f>'[2]Mexico Sun Oil Imports'!BR$290</f>
        <v>26.555</v>
      </c>
      <c r="F257" s="242">
        <f>'[2]Mexico Sun Oil Imports'!CD$290</f>
        <v>20.715</v>
      </c>
      <c r="G257" s="242">
        <f>'[2]Mexico Sun Oil Imports'!CP$290</f>
        <v>22.463999999999999</v>
      </c>
      <c r="H257" s="242">
        <f>'[2]Mexico Sun Oil Imports'!DB$290</f>
        <v>25.661000000000001</v>
      </c>
      <c r="I257" s="242">
        <f>'[2]Mexico Sun Oil Imports'!DN$290</f>
        <v>22.166</v>
      </c>
      <c r="J257" s="242">
        <f>'[2]Mexico Sun Oil Imports'!DZ$290</f>
        <v>4.649</v>
      </c>
      <c r="K257" s="242">
        <f>'[2]Mexico Sun Oil Imports'!EL$290</f>
        <v>1.6559999999999999</v>
      </c>
      <c r="L257" s="242">
        <f>'[2]Mexico Sun Oil Imports'!EX$290</f>
        <v>13.975</v>
      </c>
      <c r="M257" s="242">
        <f>'[2]Mexico Sun Oil Imports'!FJ$290</f>
        <v>4.9029999999999996</v>
      </c>
      <c r="N257" s="242">
        <f>'[2]Mexico Sun Oil Imports'!FV$290</f>
        <v>33.063000000000002</v>
      </c>
      <c r="O257" s="242">
        <f>'[2]Mexico Sun Oil Imports'!GH$290</f>
        <v>1.206</v>
      </c>
      <c r="P257" s="242">
        <f>'[2]Mexico Sun Oil Imports'!GT$290</f>
        <v>0.34599999999999997</v>
      </c>
      <c r="Q257" s="242">
        <f>'[2]Mexico Sun Oil Imports'!HF$290</f>
        <v>0.16200000000000001</v>
      </c>
      <c r="R257" s="242">
        <f>'[2]Mexico Sun Oil Imports'!HR$290</f>
        <v>0.45800000000000002</v>
      </c>
      <c r="S257" s="242">
        <f>'[2]Mexico Sun Oil Imports'!ID$290</f>
        <v>1.29</v>
      </c>
      <c r="T257" s="242">
        <f>'[2]Mexico Sun Oil Imports'!IP$290</f>
        <v>0.37</v>
      </c>
      <c r="U257" s="242">
        <f>'[2]Mexico Sun Oil Imports'!JB$290</f>
        <v>2.0870000000000002</v>
      </c>
      <c r="V257" s="242">
        <f>'[2]Mexico Sun Oil Imports'!JN$290</f>
        <v>1.6220000000000001</v>
      </c>
      <c r="W257" s="242">
        <f>'[2]Mexico Sun Oil Imports'!JZ$290</f>
        <v>1.2450000000000001</v>
      </c>
      <c r="X257" s="242">
        <f>'[2]Mexico Sun Oil Imports'!KL$290</f>
        <v>1.5369999999999999</v>
      </c>
      <c r="Y257" s="242">
        <f>'[2]Mexico Sun Oil Imports'!KX$290</f>
        <v>1.129</v>
      </c>
      <c r="Z257" s="242">
        <f>'[2]Mexico Sun Oil Imports'!LJ$290</f>
        <v>1.1796930000000001</v>
      </c>
      <c r="AA257" s="242">
        <f>'[2]Mexico Sun Oil Imports'!LV$290</f>
        <v>2.0935000000000001</v>
      </c>
      <c r="AB257" s="242">
        <f>'[2]Mexico Sun Oil Imports'!MH$290</f>
        <v>1.2651600000000001</v>
      </c>
      <c r="AC257" s="242">
        <f>'[2]Mexico Sun Oil Imports'!MT$290</f>
        <v>1.3238289999999999</v>
      </c>
      <c r="AD257" s="242">
        <f>'[2]Mexico Sun Oil Imports'!NF$290</f>
        <v>1.653</v>
      </c>
      <c r="AE257" s="243">
        <f t="shared" si="129"/>
        <v>0.55488614846980044</v>
      </c>
    </row>
    <row r="258" spans="1:31">
      <c r="A258" s="240" t="s">
        <v>231</v>
      </c>
      <c r="B258" s="241">
        <f t="shared" si="130"/>
        <v>24.915522953147185</v>
      </c>
      <c r="C258" s="242">
        <f>'[2]Mexico Sun Oil Imports'!AU$290</f>
        <v>24.271000000000001</v>
      </c>
      <c r="D258" s="242">
        <f>'[2]Mexico Sun Oil Imports'!BG$290</f>
        <v>18.602</v>
      </c>
      <c r="E258" s="242">
        <f>'[2]Mexico Sun Oil Imports'!BS$290</f>
        <v>24.515000000000001</v>
      </c>
      <c r="F258" s="242">
        <f>'[2]Mexico Sun Oil Imports'!CE$290</f>
        <v>40.956000000000003</v>
      </c>
      <c r="G258" s="242">
        <f>'[2]Mexico Sun Oil Imports'!CQ$290</f>
        <v>15.164999999999999</v>
      </c>
      <c r="H258" s="242">
        <f>'[2]Mexico Sun Oil Imports'!DC$290</f>
        <v>16.329999999999998</v>
      </c>
      <c r="I258" s="242">
        <f>'[2]Mexico Sun Oil Imports'!DO$290</f>
        <v>2.9729999999999999</v>
      </c>
      <c r="J258" s="242">
        <f>'[2]Mexico Sun Oil Imports'!EA$290</f>
        <v>3.0209999999999999</v>
      </c>
      <c r="K258" s="242">
        <f>'[2]Mexico Sun Oil Imports'!EM$290</f>
        <v>6.16</v>
      </c>
      <c r="L258" s="242">
        <f>'[2]Mexico Sun Oil Imports'!EY$290</f>
        <v>8.7639999999999993</v>
      </c>
      <c r="M258" s="242">
        <f>'[2]Mexico Sun Oil Imports'!FK$290</f>
        <v>6.0000000000000001E-3</v>
      </c>
      <c r="N258" s="242">
        <f>'[2]Mexico Sun Oil Imports'!FW$290</f>
        <v>3.2090000000000001</v>
      </c>
      <c r="O258" s="242">
        <f>'[2]Mexico Sun Oil Imports'!GI$290</f>
        <v>27.834</v>
      </c>
      <c r="P258" s="242">
        <f>'[2]Mexico Sun Oil Imports'!GU$290</f>
        <v>0.93400000000000005</v>
      </c>
      <c r="Q258" s="242">
        <f>'[2]Mexico Sun Oil Imports'!HG$290</f>
        <v>0.46700000000000003</v>
      </c>
      <c r="R258" s="242">
        <f>'[2]Mexico Sun Oil Imports'!HS$290</f>
        <v>0.93200000000000005</v>
      </c>
      <c r="S258" s="242">
        <f>'[2]Mexico Sun Oil Imports'!IE$290</f>
        <v>0.88700000000000001</v>
      </c>
      <c r="T258" s="242">
        <f>'[2]Mexico Sun Oil Imports'!IQ$290</f>
        <v>3.6549999999999998</v>
      </c>
      <c r="U258" s="242">
        <f>'[2]Mexico Sun Oil Imports'!JC$290</f>
        <v>2.4279999999999999</v>
      </c>
      <c r="V258" s="242">
        <f>'[2]Mexico Sun Oil Imports'!JO$290</f>
        <v>1.1519999999999999</v>
      </c>
      <c r="W258" s="242">
        <f>'[2]Mexico Sun Oil Imports'!KA$290</f>
        <v>0.96399999999999997</v>
      </c>
      <c r="X258" s="242">
        <f>'[2]Mexico Sun Oil Imports'!KM$290</f>
        <v>1.5840000000000001</v>
      </c>
      <c r="Y258" s="242">
        <f>'[2]Mexico Sun Oil Imports'!KY$290</f>
        <v>0.66700000000000004</v>
      </c>
      <c r="Z258" s="242">
        <f>'[2]Mexico Sun Oil Imports'!LK$290</f>
        <v>1.5444899999999999</v>
      </c>
      <c r="AA258" s="242">
        <f>'[2]Mexico Sun Oil Imports'!LW$290</f>
        <v>2.0582159999999998</v>
      </c>
      <c r="AB258" s="242">
        <f>'[2]Mexico Sun Oil Imports'!MI$290</f>
        <v>1.5442549999999999</v>
      </c>
      <c r="AC258" s="242">
        <f>'[2]Mexico Sun Oil Imports'!MU$290</f>
        <v>1.5249999999999999</v>
      </c>
      <c r="AD258" s="243">
        <f t="shared" ref="AD258:AD265" si="131">(SUM(X258:AB258)/SUM(X$267:AB$267))*AD$267</f>
        <v>0.61978983387306319</v>
      </c>
      <c r="AE258" s="243">
        <f t="shared" si="129"/>
        <v>0.58248917036633785</v>
      </c>
    </row>
    <row r="259" spans="1:31">
      <c r="A259" s="240" t="s">
        <v>232</v>
      </c>
      <c r="B259" s="241">
        <f t="shared" si="130"/>
        <v>5.9935346472680635</v>
      </c>
      <c r="C259" s="242">
        <f>'[2]Mexico Sun Oil Imports'!AV$290</f>
        <v>23.099</v>
      </c>
      <c r="D259" s="242">
        <f>'[2]Mexico Sun Oil Imports'!BH$290</f>
        <v>21.510999999999999</v>
      </c>
      <c r="E259" s="242">
        <f>'[2]Mexico Sun Oil Imports'!BT$290</f>
        <v>12.49</v>
      </c>
      <c r="F259" s="242">
        <f>'[2]Mexico Sun Oil Imports'!CF$290</f>
        <v>14.997</v>
      </c>
      <c r="G259" s="242">
        <f>'[2]Mexico Sun Oil Imports'!CR$290</f>
        <v>23.710999999999999</v>
      </c>
      <c r="H259" s="242">
        <f>'[2]Mexico Sun Oil Imports'!DD$290</f>
        <v>16.213999999999999</v>
      </c>
      <c r="I259" s="242">
        <f>'[2]Mexico Sun Oil Imports'!DP$290</f>
        <v>2.6859999999999999</v>
      </c>
      <c r="J259" s="242">
        <f>'[2]Mexico Sun Oil Imports'!EB$290</f>
        <v>0.76200000000000001</v>
      </c>
      <c r="K259" s="242">
        <f>'[2]Mexico Sun Oil Imports'!EN$290</f>
        <v>0.34</v>
      </c>
      <c r="L259" s="242">
        <f>'[2]Mexico Sun Oil Imports'!EZ$290</f>
        <v>7.5750000000000002</v>
      </c>
      <c r="M259" s="242">
        <f>'[2]Mexico Sun Oil Imports'!FL$290</f>
        <v>9.6000000000000002E-2</v>
      </c>
      <c r="N259" s="242">
        <f>'[2]Mexico Sun Oil Imports'!FX$290</f>
        <v>0.63900000000000001</v>
      </c>
      <c r="O259" s="242">
        <f>'[2]Mexico Sun Oil Imports'!GJ$290</f>
        <v>2.4089999999999998</v>
      </c>
      <c r="P259" s="242">
        <f>'[2]Mexico Sun Oil Imports'!GV$290</f>
        <v>0.41899999999999998</v>
      </c>
      <c r="Q259" s="242">
        <f>'[2]Mexico Sun Oil Imports'!HH$290</f>
        <v>0.49099999999999999</v>
      </c>
      <c r="R259" s="242">
        <f>'[2]Mexico Sun Oil Imports'!HT$290</f>
        <v>0.441</v>
      </c>
      <c r="S259" s="242">
        <f>'[2]Mexico Sun Oil Imports'!IF$290</f>
        <v>0.93</v>
      </c>
      <c r="T259" s="242">
        <f>'[2]Mexico Sun Oil Imports'!IR$290</f>
        <v>0.18</v>
      </c>
      <c r="U259" s="242">
        <f>'[2]Mexico Sun Oil Imports'!JD$290</f>
        <v>2.4390000000000001</v>
      </c>
      <c r="V259" s="242">
        <f>'[2]Mexico Sun Oil Imports'!JP$290</f>
        <v>0.75</v>
      </c>
      <c r="W259" s="242">
        <f>'[2]Mexico Sun Oil Imports'!KB$290</f>
        <v>1.054</v>
      </c>
      <c r="X259" s="242">
        <f>'[2]Mexico Sun Oil Imports'!KN$290</f>
        <v>4.4059999999999997</v>
      </c>
      <c r="Y259" s="242">
        <f>'[2]Mexico Sun Oil Imports'!KZ$290</f>
        <v>0.84399999999999997</v>
      </c>
      <c r="Z259" s="242">
        <f>'[2]Mexico Sun Oil Imports'!LL$290</f>
        <v>24.94106</v>
      </c>
      <c r="AA259" s="242">
        <f>'[2]Mexico Sun Oil Imports'!LX$290</f>
        <v>26.342161999999998</v>
      </c>
      <c r="AB259" s="242">
        <f>'[2]Mexico Sun Oil Imports'!MJ$290</f>
        <v>1.738885</v>
      </c>
      <c r="AC259" s="242">
        <f>'[2]Mexico Sun Oil Imports'!MV$290</f>
        <v>1.351</v>
      </c>
      <c r="AD259" s="243">
        <f t="shared" si="131"/>
        <v>4.8819478119664819</v>
      </c>
      <c r="AE259" s="243">
        <f t="shared" si="129"/>
        <v>4.382550451822719</v>
      </c>
    </row>
    <row r="260" spans="1:31">
      <c r="A260" s="240" t="s">
        <v>233</v>
      </c>
      <c r="B260" s="241">
        <f t="shared" si="130"/>
        <v>4.4939315756530238</v>
      </c>
      <c r="C260" s="242">
        <f>'[2]Mexico Sun Oil Imports'!AW$290</f>
        <v>11.058</v>
      </c>
      <c r="D260" s="242">
        <f>'[2]Mexico Sun Oil Imports'!BI$290</f>
        <v>4.0570000000000004</v>
      </c>
      <c r="E260" s="242">
        <f>'[2]Mexico Sun Oil Imports'!BU$290</f>
        <v>10.765000000000001</v>
      </c>
      <c r="F260" s="242">
        <f>'[2]Mexico Sun Oil Imports'!CG$290</f>
        <v>17.876000000000001</v>
      </c>
      <c r="G260" s="242">
        <f>'[2]Mexico Sun Oil Imports'!CS$290</f>
        <v>6.0369999999999999</v>
      </c>
      <c r="H260" s="242">
        <f>'[2]Mexico Sun Oil Imports'!DE$290</f>
        <v>6.6929999999999996</v>
      </c>
      <c r="I260" s="242">
        <f>'[2]Mexico Sun Oil Imports'!DQ$290</f>
        <v>2.2149999999999999</v>
      </c>
      <c r="J260" s="242">
        <f>'[2]Mexico Sun Oil Imports'!EC$290</f>
        <v>2.5169999999999999</v>
      </c>
      <c r="K260" s="242">
        <f>'[2]Mexico Sun Oil Imports'!EO$290</f>
        <v>0.38400000000000001</v>
      </c>
      <c r="L260" s="242">
        <f>'[2]Mexico Sun Oil Imports'!FA$290</f>
        <v>1.9219999999999999</v>
      </c>
      <c r="M260" s="242">
        <f>'[2]Mexico Sun Oil Imports'!FM$290</f>
        <v>0.50600000000000001</v>
      </c>
      <c r="N260" s="242">
        <f>'[2]Mexico Sun Oil Imports'!FY$290</f>
        <v>4.1219999999999999</v>
      </c>
      <c r="O260" s="242">
        <f>'[2]Mexico Sun Oil Imports'!GK$290</f>
        <v>1.3580000000000001</v>
      </c>
      <c r="P260" s="242">
        <f>'[2]Mexico Sun Oil Imports'!GW$290</f>
        <v>20.193000000000001</v>
      </c>
      <c r="Q260" s="242">
        <f>'[2]Mexico Sun Oil Imports'!HI$290</f>
        <v>0.56999999999999995</v>
      </c>
      <c r="R260" s="242">
        <f>'[2]Mexico Sun Oil Imports'!HU$290</f>
        <v>1.226</v>
      </c>
      <c r="S260" s="242">
        <f>'[2]Mexico Sun Oil Imports'!IG$290</f>
        <v>3.8839999999999999</v>
      </c>
      <c r="T260" s="242">
        <f>'[2]Mexico Sun Oil Imports'!IS$290</f>
        <v>0.30399999999999999</v>
      </c>
      <c r="U260" s="242">
        <f>'[2]Mexico Sun Oil Imports'!JE$290</f>
        <v>3.2109999999999999</v>
      </c>
      <c r="V260" s="242">
        <f>'[2]Mexico Sun Oil Imports'!JQ$290</f>
        <v>1.1339999999999999</v>
      </c>
      <c r="W260" s="242">
        <f>'[2]Mexico Sun Oil Imports'!KC$290</f>
        <v>1.302</v>
      </c>
      <c r="X260" s="242">
        <f>'[2]Mexico Sun Oil Imports'!KO$290</f>
        <v>0.85599999999999998</v>
      </c>
      <c r="Y260" s="242">
        <f>'[2]Mexico Sun Oil Imports'!LA$290</f>
        <v>0.40200000000000002</v>
      </c>
      <c r="Z260" s="242">
        <f>'[2]Mexico Sun Oil Imports'!LM$290</f>
        <v>1.1326940000000001</v>
      </c>
      <c r="AA260" s="242">
        <f>'[2]Mexico Sun Oil Imports'!LY$290</f>
        <v>2.989471</v>
      </c>
      <c r="AB260" s="242">
        <f>'[2]Mexico Sun Oil Imports'!MK$290</f>
        <v>2.2108449999999999</v>
      </c>
      <c r="AC260" s="242">
        <f>'[2]Mexico Sun Oil Imports'!MW$290</f>
        <v>1.625</v>
      </c>
      <c r="AD260" s="243">
        <f t="shared" si="131"/>
        <v>0.6359631832107201</v>
      </c>
      <c r="AE260" s="243">
        <f t="shared" si="129"/>
        <v>0.66352925014239594</v>
      </c>
    </row>
    <row r="261" spans="1:31">
      <c r="A261" s="240" t="s">
        <v>234</v>
      </c>
      <c r="B261" s="241">
        <f t="shared" si="130"/>
        <v>38.564241332458067</v>
      </c>
      <c r="C261" s="242">
        <f>'[2]Mexico Sun Oil Imports'!AX$290</f>
        <v>23.774000000000001</v>
      </c>
      <c r="D261" s="242">
        <f>'[2]Mexico Sun Oil Imports'!BJ$290</f>
        <v>22.245000000000001</v>
      </c>
      <c r="E261" s="242">
        <f>'[2]Mexico Sun Oil Imports'!BV$290</f>
        <v>42.066000000000003</v>
      </c>
      <c r="F261" s="242">
        <f>'[2]Mexico Sun Oil Imports'!CH$290</f>
        <v>9.7390000000000008</v>
      </c>
      <c r="G261" s="242">
        <f>'[2]Mexico Sun Oil Imports'!CT$290</f>
        <v>16.257999999999999</v>
      </c>
      <c r="H261" s="242">
        <f>'[2]Mexico Sun Oil Imports'!DF$290</f>
        <v>10.904999999999999</v>
      </c>
      <c r="I261" s="242">
        <f>'[2]Mexico Sun Oil Imports'!DR$290</f>
        <v>2.423</v>
      </c>
      <c r="J261" s="242">
        <f>'[2]Mexico Sun Oil Imports'!ED$290</f>
        <v>1.6020000000000001</v>
      </c>
      <c r="K261" s="242">
        <f>'[2]Mexico Sun Oil Imports'!EP$290</f>
        <v>14.348000000000001</v>
      </c>
      <c r="L261" s="242">
        <f>'[2]Mexico Sun Oil Imports'!FB$290</f>
        <v>6.8680000000000003</v>
      </c>
      <c r="M261" s="242">
        <f>'[2]Mexico Sun Oil Imports'!FN$290</f>
        <v>19.026</v>
      </c>
      <c r="N261" s="242">
        <f>'[2]Mexico Sun Oil Imports'!FZ$290</f>
        <v>8.4760000000000009</v>
      </c>
      <c r="O261" s="242">
        <f>'[2]Mexico Sun Oil Imports'!GL$290</f>
        <v>22.439</v>
      </c>
      <c r="P261" s="242">
        <f>'[2]Mexico Sun Oil Imports'!GX$290</f>
        <v>0.63400000000000001</v>
      </c>
      <c r="Q261" s="242">
        <f>'[2]Mexico Sun Oil Imports'!HJ$290</f>
        <v>1.1339999999999999</v>
      </c>
      <c r="R261" s="242">
        <f>'[2]Mexico Sun Oil Imports'!HV$290</f>
        <v>3.0470000000000002</v>
      </c>
      <c r="S261" s="242">
        <f>'[2]Mexico Sun Oil Imports'!IH$290</f>
        <v>1.0640000000000001</v>
      </c>
      <c r="T261" s="242">
        <f>'[2]Mexico Sun Oil Imports'!IT$290</f>
        <v>0.31</v>
      </c>
      <c r="U261" s="242">
        <f>'[2]Mexico Sun Oil Imports'!JF$290</f>
        <v>5.157</v>
      </c>
      <c r="V261" s="242">
        <f>'[2]Mexico Sun Oil Imports'!JR$290</f>
        <v>1.026</v>
      </c>
      <c r="W261" s="242">
        <f>'[2]Mexico Sun Oil Imports'!KD$290</f>
        <v>1.2210000000000001</v>
      </c>
      <c r="X261" s="242">
        <f>'[2]Mexico Sun Oil Imports'!KP$290</f>
        <v>2.448</v>
      </c>
      <c r="Y261" s="242">
        <f>'[2]Mexico Sun Oil Imports'!LB$290</f>
        <v>0.46200000000000002</v>
      </c>
      <c r="Z261" s="242">
        <f>'[2]Mexico Sun Oil Imports'!LN$290</f>
        <v>2.510446</v>
      </c>
      <c r="AA261" s="242">
        <f>'[2]Mexico Sun Oil Imports'!LZ$290</f>
        <v>1.3313349999999999</v>
      </c>
      <c r="AB261" s="242">
        <f>'[2]Mexico Sun Oil Imports'!ML$290</f>
        <v>2.8384779999999998</v>
      </c>
      <c r="AC261" s="242">
        <f>'[2]Mexico Sun Oil Imports'!MX$290</f>
        <v>2.73</v>
      </c>
      <c r="AD261" s="243">
        <f t="shared" si="131"/>
        <v>0.80345720022174349</v>
      </c>
      <c r="AE261" s="243">
        <f t="shared" si="129"/>
        <v>0.78355559520640761</v>
      </c>
    </row>
    <row r="262" spans="1:31">
      <c r="A262" s="240" t="s">
        <v>46</v>
      </c>
      <c r="B262" s="241">
        <f t="shared" si="130"/>
        <v>25.243408698838227</v>
      </c>
      <c r="C262" s="242">
        <f>'[2]Mexico Sun Oil Imports'!AY$290</f>
        <v>41.871000000000002</v>
      </c>
      <c r="D262" s="242">
        <f>'[2]Mexico Sun Oil Imports'!BK$290</f>
        <v>33.744999999999997</v>
      </c>
      <c r="E262" s="242">
        <f>'[2]Mexico Sun Oil Imports'!BW$290</f>
        <v>27.484000000000002</v>
      </c>
      <c r="F262" s="242">
        <f>'[2]Mexico Sun Oil Imports'!CI$290</f>
        <v>15.641999999999999</v>
      </c>
      <c r="G262" s="242">
        <f>'[2]Mexico Sun Oil Imports'!CU$290</f>
        <v>4.21</v>
      </c>
      <c r="H262" s="242">
        <f>'[2]Mexico Sun Oil Imports'!DG$290</f>
        <v>23.684999999999999</v>
      </c>
      <c r="I262" s="242">
        <f>'[2]Mexico Sun Oil Imports'!DS$290</f>
        <v>3.5350000000000001</v>
      </c>
      <c r="J262" s="242">
        <f>'[2]Mexico Sun Oil Imports'!EE$290</f>
        <v>1.095</v>
      </c>
      <c r="K262" s="242">
        <f>'[2]Mexico Sun Oil Imports'!EQ$290</f>
        <v>3.3420000000000001</v>
      </c>
      <c r="L262" s="242">
        <f>'[2]Mexico Sun Oil Imports'!FC$290</f>
        <v>19.472000000000001</v>
      </c>
      <c r="M262" s="242">
        <f>'[2]Mexico Sun Oil Imports'!FO$290</f>
        <v>8.59</v>
      </c>
      <c r="N262" s="242">
        <f>'[2]Mexico Sun Oil Imports'!GA$290</f>
        <v>4.2089999999999996</v>
      </c>
      <c r="O262" s="242">
        <f>'[2]Mexico Sun Oil Imports'!GM$290</f>
        <v>10.965</v>
      </c>
      <c r="P262" s="242">
        <f>'[2]Mexico Sun Oil Imports'!GY$290</f>
        <v>6.0449999999999999</v>
      </c>
      <c r="Q262" s="242">
        <f>'[2]Mexico Sun Oil Imports'!HK$290</f>
        <v>21.577000000000002</v>
      </c>
      <c r="R262" s="242">
        <f>'[2]Mexico Sun Oil Imports'!HW$290</f>
        <v>4.5</v>
      </c>
      <c r="S262" s="242">
        <f>'[2]Mexico Sun Oil Imports'!II$290</f>
        <v>21.17</v>
      </c>
      <c r="T262" s="242">
        <f>'[2]Mexico Sun Oil Imports'!IU$290</f>
        <v>0.17499999999999999</v>
      </c>
      <c r="U262" s="242">
        <f>'[2]Mexico Sun Oil Imports'!JG$290</f>
        <v>4.4119999999999999</v>
      </c>
      <c r="V262" s="242">
        <f>'[2]Mexico Sun Oil Imports'!JS$290</f>
        <v>13.993</v>
      </c>
      <c r="W262" s="242">
        <f>'[2]Mexico Sun Oil Imports'!KE$290</f>
        <v>1.2470000000000001</v>
      </c>
      <c r="X262" s="242">
        <f>'[2]Mexico Sun Oil Imports'!KQ$290</f>
        <v>5.0759999999999996</v>
      </c>
      <c r="Y262" s="242">
        <f>'[2]Mexico Sun Oil Imports'!LC$290</f>
        <v>0.57499999999999996</v>
      </c>
      <c r="Z262" s="242">
        <f>'[2]Mexico Sun Oil Imports'!LO$290</f>
        <v>26.024979999999999</v>
      </c>
      <c r="AA262" s="242">
        <f>'[2]Mexico Sun Oil Imports'!MA$290</f>
        <v>2.2053229999999999</v>
      </c>
      <c r="AB262" s="242">
        <f>'[2]Mexico Sun Oil Imports'!MM$290</f>
        <v>2.5667680000000002</v>
      </c>
      <c r="AC262" s="242">
        <f>'[2]Mexico Sun Oil Imports'!MY$290</f>
        <v>2.9649999999999999</v>
      </c>
      <c r="AD262" s="243">
        <f t="shared" si="131"/>
        <v>3.0535635251501896</v>
      </c>
      <c r="AE262" s="243">
        <f t="shared" si="129"/>
        <v>2.7253138420547591</v>
      </c>
    </row>
    <row r="263" spans="1:31">
      <c r="A263" s="240" t="s">
        <v>235</v>
      </c>
      <c r="B263" s="241">
        <f t="shared" si="130"/>
        <v>24.016953421980677</v>
      </c>
      <c r="C263" s="242">
        <f>'[2]Mexico Sun Oil Imports'!AZ$290</f>
        <v>20.114999999999998</v>
      </c>
      <c r="D263" s="242">
        <f>'[2]Mexico Sun Oil Imports'!BL$290</f>
        <v>30.614000000000001</v>
      </c>
      <c r="E263" s="242">
        <f>'[2]Mexico Sun Oil Imports'!BX$290</f>
        <v>15.227</v>
      </c>
      <c r="F263" s="242">
        <f>'[2]Mexico Sun Oil Imports'!CJ$290</f>
        <v>19.11</v>
      </c>
      <c r="G263" s="242">
        <f>'[2]Mexico Sun Oil Imports'!CV$290</f>
        <v>29.602</v>
      </c>
      <c r="H263" s="242">
        <f>'[2]Mexico Sun Oil Imports'!DH$290</f>
        <v>3.8730000000000002</v>
      </c>
      <c r="I263" s="242">
        <f>'[2]Mexico Sun Oil Imports'!DT$290</f>
        <v>4.516</v>
      </c>
      <c r="J263" s="242">
        <f>'[2]Mexico Sun Oil Imports'!EF$290</f>
        <v>1.829</v>
      </c>
      <c r="K263" s="242">
        <f>'[2]Mexico Sun Oil Imports'!ER$290</f>
        <v>16.405000000000001</v>
      </c>
      <c r="L263" s="242">
        <f>'[2]Mexico Sun Oil Imports'!FD$290</f>
        <v>23.574999999999999</v>
      </c>
      <c r="M263" s="242">
        <f>'[2]Mexico Sun Oil Imports'!FP$290</f>
        <v>0.76800000000000002</v>
      </c>
      <c r="N263" s="242">
        <f>'[2]Mexico Sun Oil Imports'!GB$290</f>
        <v>2.7730000000000001</v>
      </c>
      <c r="O263" s="242">
        <f>'[2]Mexico Sun Oil Imports'!GN$290</f>
        <v>0.79400000000000004</v>
      </c>
      <c r="P263" s="242">
        <f>'[2]Mexico Sun Oil Imports'!GZ$290</f>
        <v>1.3240000000000001</v>
      </c>
      <c r="Q263" s="242">
        <f>'[2]Mexico Sun Oil Imports'!HL$290</f>
        <v>0.72899999999999998</v>
      </c>
      <c r="R263" s="242">
        <f>'[2]Mexico Sun Oil Imports'!HX$290</f>
        <v>1.143</v>
      </c>
      <c r="S263" s="242">
        <f>'[2]Mexico Sun Oil Imports'!IJ$290</f>
        <v>0.66900000000000004</v>
      </c>
      <c r="T263" s="242">
        <f>'[2]Mexico Sun Oil Imports'!IV$290</f>
        <v>22.811</v>
      </c>
      <c r="U263" s="242">
        <f>'[2]Mexico Sun Oil Imports'!JH$290</f>
        <v>3.3119999999999998</v>
      </c>
      <c r="V263" s="242">
        <f>'[2]Mexico Sun Oil Imports'!JT$290</f>
        <v>12.276999999999999</v>
      </c>
      <c r="W263" s="242">
        <f>'[2]Mexico Sun Oil Imports'!KF$290</f>
        <v>10.208</v>
      </c>
      <c r="X263" s="242">
        <f>'[2]Mexico Sun Oil Imports'!KR$290</f>
        <v>0.74299999999999999</v>
      </c>
      <c r="Y263" s="242">
        <f>'[2]Mexico Sun Oil Imports'!LD$290</f>
        <v>1.543798</v>
      </c>
      <c r="Z263" s="242">
        <f>'[2]Mexico Sun Oil Imports'!LP$290</f>
        <v>2.222823</v>
      </c>
      <c r="AA263" s="242">
        <f>'[2]Mexico Sun Oil Imports'!MB$290</f>
        <v>2.3693019999999998</v>
      </c>
      <c r="AB263" s="242">
        <f>'[2]Mexico Sun Oil Imports'!MN$290</f>
        <v>2.422453</v>
      </c>
      <c r="AC263" s="242">
        <f>'[2]Mexico Sun Oil Imports'!MZ$290</f>
        <v>3.7930000000000001</v>
      </c>
      <c r="AD263" s="243">
        <f t="shared" si="131"/>
        <v>0.7792550252469429</v>
      </c>
      <c r="AE263" s="243">
        <f t="shared" si="129"/>
        <v>0.98032170481934666</v>
      </c>
    </row>
    <row r="264" spans="1:31">
      <c r="A264" s="240" t="s">
        <v>236</v>
      </c>
      <c r="B264" s="241">
        <f t="shared" si="130"/>
        <v>20.651382379433006</v>
      </c>
      <c r="C264" s="242">
        <f>'[2]Mexico Sun Oil Imports'!BA$290</f>
        <v>31.645</v>
      </c>
      <c r="D264" s="242">
        <f>'[2]Mexico Sun Oil Imports'!BM$290</f>
        <v>11.913</v>
      </c>
      <c r="E264" s="242">
        <f>'[2]Mexico Sun Oil Imports'!BY$290</f>
        <v>7.6029999999999998</v>
      </c>
      <c r="F264" s="242">
        <f>'[2]Mexico Sun Oil Imports'!CK$290</f>
        <v>10.56</v>
      </c>
      <c r="G264" s="242">
        <f>'[2]Mexico Sun Oil Imports'!CW$290</f>
        <v>19.587</v>
      </c>
      <c r="H264" s="242">
        <f>'[2]Mexico Sun Oil Imports'!DI$290</f>
        <v>15.618</v>
      </c>
      <c r="I264" s="242">
        <f>'[2]Mexico Sun Oil Imports'!DU$290</f>
        <v>1.214</v>
      </c>
      <c r="J264" s="242">
        <f>'[2]Mexico Sun Oil Imports'!EG$290</f>
        <v>2.2480000000000002</v>
      </c>
      <c r="K264" s="242">
        <f>'[2]Mexico Sun Oil Imports'!ES$290</f>
        <v>3.6389999999999998</v>
      </c>
      <c r="L264" s="242">
        <f>'[2]Mexico Sun Oil Imports'!FE$290</f>
        <v>7.3330000000000002</v>
      </c>
      <c r="M264" s="242">
        <f>'[2]Mexico Sun Oil Imports'!FQ$290</f>
        <v>18.405999999999999</v>
      </c>
      <c r="N264" s="242">
        <f>'[2]Mexico Sun Oil Imports'!GC$290</f>
        <v>6.109</v>
      </c>
      <c r="O264" s="242">
        <f>'[2]Mexico Sun Oil Imports'!GO$290</f>
        <v>2.6179999999999999</v>
      </c>
      <c r="P264" s="242">
        <f>'[2]Mexico Sun Oil Imports'!HA$290</f>
        <v>0.432</v>
      </c>
      <c r="Q264" s="242">
        <f>'[2]Mexico Sun Oil Imports'!HM$290</f>
        <v>0.76</v>
      </c>
      <c r="R264" s="242">
        <f>'[2]Mexico Sun Oil Imports'!HY$290</f>
        <v>0.879</v>
      </c>
      <c r="S264" s="242">
        <f>'[2]Mexico Sun Oil Imports'!IK$290</f>
        <v>0.625</v>
      </c>
      <c r="T264" s="242">
        <f>'[2]Mexico Sun Oil Imports'!IW$290</f>
        <v>0.378</v>
      </c>
      <c r="U264" s="242">
        <f>'[2]Mexico Sun Oil Imports'!JI$290</f>
        <v>1.5489999999999999</v>
      </c>
      <c r="V264" s="242">
        <f>'[2]Mexico Sun Oil Imports'!JU$290</f>
        <v>0.65900000000000003</v>
      </c>
      <c r="W264" s="242">
        <f>'[2]Mexico Sun Oil Imports'!KG$290</f>
        <v>5.5460000000000003</v>
      </c>
      <c r="X264" s="242">
        <f>'[2]Mexico Sun Oil Imports'!KS$290</f>
        <v>0.30199999999999999</v>
      </c>
      <c r="Y264" s="242">
        <f>'[2]Mexico Sun Oil Imports'!LE$290</f>
        <v>0.59162899999999996</v>
      </c>
      <c r="Z264" s="242">
        <f>'[2]Mexico Sun Oil Imports'!LQ$290</f>
        <v>26.909326</v>
      </c>
      <c r="AA264" s="242">
        <f>'[2]Mexico Sun Oil Imports'!MC$290</f>
        <v>1.5390870000000001</v>
      </c>
      <c r="AB264" s="242">
        <f>'[2]Mexico Sun Oil Imports'!MO$290</f>
        <v>1.8596200000000001</v>
      </c>
      <c r="AC264" s="242">
        <f>'[2]Mexico Sun Oil Imports'!NA$290</f>
        <v>2.9580000000000002</v>
      </c>
      <c r="AD264" s="243">
        <f t="shared" si="131"/>
        <v>2.6140274201963853</v>
      </c>
      <c r="AE264" s="243">
        <f t="shared" si="129"/>
        <v>2.6872634217464686</v>
      </c>
    </row>
    <row r="265" spans="1:31">
      <c r="A265" s="240" t="s">
        <v>237</v>
      </c>
      <c r="B265" s="241">
        <f t="shared" si="130"/>
        <v>10.749774819473917</v>
      </c>
      <c r="C265" s="242">
        <f>'[2]Mexico Sun Oil Imports'!BB$290</f>
        <v>25.123999999999999</v>
      </c>
      <c r="D265" s="242">
        <f>'[2]Mexico Sun Oil Imports'!BN$290</f>
        <v>7.6440000000000001</v>
      </c>
      <c r="E265" s="242">
        <f>'[2]Mexico Sun Oil Imports'!BZ$290</f>
        <v>26.210999999999999</v>
      </c>
      <c r="F265" s="242">
        <f>'[2]Mexico Sun Oil Imports'!CL$290</f>
        <v>1.698</v>
      </c>
      <c r="G265" s="242">
        <f>'[2]Mexico Sun Oil Imports'!CX$290</f>
        <v>4.1440000000000001</v>
      </c>
      <c r="H265" s="242">
        <f>'[2]Mexico Sun Oil Imports'!DJ$290</f>
        <v>11.98</v>
      </c>
      <c r="I265" s="242">
        <f>'[2]Mexico Sun Oil Imports'!DV$290</f>
        <v>5.7919999999999998</v>
      </c>
      <c r="J265" s="242">
        <f>'[2]Mexico Sun Oil Imports'!EH$290</f>
        <v>0.57899999999999996</v>
      </c>
      <c r="K265" s="242">
        <f>'[2]Mexico Sun Oil Imports'!ET$290</f>
        <v>2.028</v>
      </c>
      <c r="L265" s="242">
        <f>'[2]Mexico Sun Oil Imports'!FF$290</f>
        <v>15.757999999999999</v>
      </c>
      <c r="M265" s="242">
        <f>'[2]Mexico Sun Oil Imports'!FR$290</f>
        <v>0.35</v>
      </c>
      <c r="N265" s="242">
        <f>'[2]Mexico Sun Oil Imports'!GD$290</f>
        <v>0.64800000000000002</v>
      </c>
      <c r="O265" s="242">
        <f>'[2]Mexico Sun Oil Imports'!GP$290</f>
        <v>1.0509999999999999</v>
      </c>
      <c r="P265" s="242">
        <f>'[2]Mexico Sun Oil Imports'!HB$290</f>
        <v>0.55300000000000005</v>
      </c>
      <c r="Q265" s="242">
        <f>'[2]Mexico Sun Oil Imports'!HN$290</f>
        <v>0.51700000000000002</v>
      </c>
      <c r="R265" s="242">
        <f>'[2]Mexico Sun Oil Imports'!HZ$290</f>
        <v>4.8600000000000003</v>
      </c>
      <c r="S265" s="242">
        <f>'[2]Mexico Sun Oil Imports'!IL$290</f>
        <v>0.32300000000000001</v>
      </c>
      <c r="T265" s="242">
        <f>'[2]Mexico Sun Oil Imports'!IX$290</f>
        <v>1.272</v>
      </c>
      <c r="U265" s="242">
        <f>'[2]Mexico Sun Oil Imports'!JJ$290</f>
        <v>3.444</v>
      </c>
      <c r="V265" s="242">
        <f>'[2]Mexico Sun Oil Imports'!JV$290</f>
        <v>0.84899999999999998</v>
      </c>
      <c r="W265" s="242">
        <f>'[2]Mexico Sun Oil Imports'!KH$290</f>
        <v>15.646000000000001</v>
      </c>
      <c r="X265" s="242">
        <f>'[2]Mexico Sun Oil Imports'!KT$290</f>
        <v>26.658000000000001</v>
      </c>
      <c r="Y265" s="242">
        <f>'[2]Mexico Sun Oil Imports'!LF$290</f>
        <v>1.0358719999999999</v>
      </c>
      <c r="Z265" s="242">
        <f>'[2]Mexico Sun Oil Imports'!LR$290</f>
        <v>1.5946450000000001</v>
      </c>
      <c r="AA265" s="242">
        <f>'[2]Mexico Sun Oil Imports'!MD$290</f>
        <v>1.7374099999999999</v>
      </c>
      <c r="AB265" s="242">
        <f>'[2]Mexico Sun Oil Imports'!MP$290</f>
        <v>1.846814</v>
      </c>
      <c r="AC265" s="242">
        <f>'[2]Mexico Sun Oil Imports'!NB$290</f>
        <v>2.8420000000000001</v>
      </c>
      <c r="AD265" s="243">
        <f t="shared" si="131"/>
        <v>2.7540278575870083</v>
      </c>
      <c r="AE265" s="243">
        <f t="shared" si="129"/>
        <v>0.71882839427989853</v>
      </c>
    </row>
    <row r="266" spans="1:31">
      <c r="A266" s="240" t="s">
        <v>238</v>
      </c>
      <c r="B266" s="241">
        <f t="shared" si="130"/>
        <v>2.4371937163183364</v>
      </c>
      <c r="C266" s="242">
        <f>'[2]Mexico Sun Oil Imports'!BC$290</f>
        <v>23.760999999999999</v>
      </c>
      <c r="D266" s="242">
        <f>'[2]Mexico Sun Oil Imports'!BO$290</f>
        <v>15.342000000000001</v>
      </c>
      <c r="E266" s="242">
        <f>'[2]Mexico Sun Oil Imports'!CA$290</f>
        <v>9.5289999999999999</v>
      </c>
      <c r="F266" s="242">
        <f>'[2]Mexico Sun Oil Imports'!CM$290</f>
        <v>0.29299999999999998</v>
      </c>
      <c r="G266" s="242">
        <f>'[2]Mexico Sun Oil Imports'!CY$290</f>
        <v>13.755000000000001</v>
      </c>
      <c r="H266" s="242">
        <f>'[2]Mexico Sun Oil Imports'!DK$290</f>
        <v>22.277000000000001</v>
      </c>
      <c r="I266" s="242">
        <f>'[2]Mexico Sun Oil Imports'!DW$290</f>
        <v>3.1739999999999999</v>
      </c>
      <c r="J266" s="242">
        <f>'[2]Mexico Sun Oil Imports'!EI$290</f>
        <v>0.215</v>
      </c>
      <c r="K266" s="242">
        <f>'[2]Mexico Sun Oil Imports'!EU$290</f>
        <v>2.2909999999999999</v>
      </c>
      <c r="L266" s="242">
        <f>'[2]Mexico Sun Oil Imports'!FG$290</f>
        <v>1.2729999999999999</v>
      </c>
      <c r="M266" s="242">
        <f>'[2]Mexico Sun Oil Imports'!FS$290</f>
        <v>0.188</v>
      </c>
      <c r="N266" s="242">
        <f>'[2]Mexico Sun Oil Imports'!GE$290</f>
        <v>0.27400000000000002</v>
      </c>
      <c r="O266" s="242">
        <f>'[2]Mexico Sun Oil Imports'!GQ$290</f>
        <v>0.47099999999999997</v>
      </c>
      <c r="P266" s="242">
        <f>'[2]Mexico Sun Oil Imports'!HC$290</f>
        <v>0.42799999999999999</v>
      </c>
      <c r="Q266" s="242">
        <f>'[2]Mexico Sun Oil Imports'!HO$290</f>
        <v>0.51400000000000001</v>
      </c>
      <c r="R266" s="242">
        <f>'[2]Mexico Sun Oil Imports'!IA$290</f>
        <v>1.651</v>
      </c>
      <c r="S266" s="242">
        <f>'[2]Mexico Sun Oil Imports'!IM$290</f>
        <v>0.40300000000000002</v>
      </c>
      <c r="T266" s="242">
        <f>'[2]Mexico Sun Oil Imports'!IY$290</f>
        <v>0.34200000000000003</v>
      </c>
      <c r="U266" s="242">
        <f>'[2]Mexico Sun Oil Imports'!JK$290</f>
        <v>0.45400000000000001</v>
      </c>
      <c r="V266" s="242">
        <f>'[2]Mexico Sun Oil Imports'!JW$290</f>
        <v>0.39600000000000002</v>
      </c>
      <c r="W266" s="242">
        <f>'[2]Mexico Sun Oil Imports'!KI$290</f>
        <v>0.38400000000000001</v>
      </c>
      <c r="X266" s="242">
        <f>'[2]Mexico Sun Oil Imports'!KU$290</f>
        <v>4.34</v>
      </c>
      <c r="Y266" s="242">
        <f>'[2]Mexico Sun Oil Imports'!LG$290</f>
        <v>1.2214849999999999</v>
      </c>
      <c r="Z266" s="242">
        <f>'[2]Mexico Sun Oil Imports'!LS$290</f>
        <v>27.821016</v>
      </c>
      <c r="AA266" s="242">
        <f>'[2]Mexico Sun Oil Imports'!ME$290</f>
        <v>1.230121</v>
      </c>
      <c r="AB266" s="242">
        <f>'[2]Mexico Sun Oil Imports'!MQ$290</f>
        <v>1.6149910000000001</v>
      </c>
      <c r="AC266" s="242">
        <f>'[2]Mexico Sun Oil Imports'!NC$290</f>
        <v>28.916</v>
      </c>
      <c r="AD266" s="243">
        <f t="shared" ref="AD266:AE266" si="132">AD267-SUM(AD255:AD265)</f>
        <v>-3.5640318574525338</v>
      </c>
      <c r="AE266" s="243">
        <f t="shared" si="132"/>
        <v>4.825948263200452</v>
      </c>
    </row>
    <row r="267" spans="1:31" ht="15.75" thickBot="1">
      <c r="A267" s="240" t="s">
        <v>242</v>
      </c>
      <c r="B267" s="245">
        <f t="shared" ref="B267:C267" si="133">B34</f>
        <v>213</v>
      </c>
      <c r="C267" s="245">
        <f t="shared" si="133"/>
        <v>270.51477647016708</v>
      </c>
      <c r="D267" s="245">
        <f t="shared" ref="D267:AB267" si="134">SUM(D255:D266)</f>
        <v>231.94800000000004</v>
      </c>
      <c r="E267" s="245">
        <f t="shared" si="134"/>
        <v>257.84899999999999</v>
      </c>
      <c r="F267" s="245">
        <f t="shared" si="134"/>
        <v>184.25200000000004</v>
      </c>
      <c r="G267" s="245">
        <f t="shared" si="134"/>
        <v>164.44399999999999</v>
      </c>
      <c r="H267" s="245">
        <f t="shared" si="134"/>
        <v>184.35999999999996</v>
      </c>
      <c r="I267" s="245">
        <f t="shared" si="134"/>
        <v>69.545999999999992</v>
      </c>
      <c r="J267" s="245">
        <f t="shared" si="134"/>
        <v>40.005000000000003</v>
      </c>
      <c r="K267" s="245">
        <f t="shared" si="134"/>
        <v>51.993000000000002</v>
      </c>
      <c r="L267" s="245">
        <f t="shared" si="134"/>
        <v>109.69099999999999</v>
      </c>
      <c r="M267" s="245">
        <f t="shared" si="134"/>
        <v>53.34</v>
      </c>
      <c r="N267" s="245">
        <f t="shared" si="134"/>
        <v>90.512999999999991</v>
      </c>
      <c r="O267" s="245">
        <f t="shared" si="134"/>
        <v>87.480999999999995</v>
      </c>
      <c r="P267" s="245">
        <f t="shared" si="134"/>
        <v>32.814</v>
      </c>
      <c r="Q267" s="245">
        <f t="shared" si="134"/>
        <v>29.029</v>
      </c>
      <c r="R267" s="245">
        <f t="shared" si="134"/>
        <v>22.334</v>
      </c>
      <c r="S267" s="245">
        <f t="shared" si="134"/>
        <v>35.710999999999999</v>
      </c>
      <c r="T267" s="245">
        <f t="shared" si="134"/>
        <v>30.581999999999997</v>
      </c>
      <c r="U267" s="245">
        <f t="shared" si="134"/>
        <v>32.853999999999999</v>
      </c>
      <c r="V267" s="245">
        <f t="shared" si="134"/>
        <v>37.802999999999997</v>
      </c>
      <c r="W267" s="245">
        <f t="shared" si="134"/>
        <v>40.262999999999998</v>
      </c>
      <c r="X267" s="245">
        <f t="shared" si="134"/>
        <v>49.224000000000004</v>
      </c>
      <c r="Y267" s="245">
        <f t="shared" si="134"/>
        <v>11.075783999999999</v>
      </c>
      <c r="Z267" s="245">
        <f t="shared" si="134"/>
        <v>140.79506800000001</v>
      </c>
      <c r="AA267" s="245">
        <f t="shared" si="134"/>
        <v>72.634400999999983</v>
      </c>
      <c r="AB267" s="245">
        <f t="shared" si="134"/>
        <v>24.676779</v>
      </c>
      <c r="AC267" s="246">
        <f>SUM(AC255:AC266)</f>
        <v>65.800691</v>
      </c>
      <c r="AD267" s="243">
        <f t="shared" ref="AD267:AE267" si="135">AD34</f>
        <v>25</v>
      </c>
      <c r="AE267" s="243">
        <f t="shared" si="135"/>
        <v>25</v>
      </c>
    </row>
    <row r="268" spans="1:31">
      <c r="A268" s="248"/>
      <c r="B268" s="248"/>
      <c r="C268" s="263"/>
      <c r="D268" s="436"/>
      <c r="E268" s="436"/>
      <c r="F268" s="436"/>
      <c r="G268" s="436"/>
      <c r="H268" s="436"/>
      <c r="I268" s="254"/>
      <c r="J268" s="254"/>
      <c r="K268" s="254"/>
      <c r="L268" s="254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  <c r="AD268" s="248"/>
      <c r="AE268" s="248"/>
    </row>
    <row r="269" spans="1:31" ht="15.75" thickBot="1">
      <c r="A269" s="235" t="s">
        <v>267</v>
      </c>
      <c r="D269" s="271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</row>
    <row r="270" spans="1:31" ht="15.75" thickBot="1">
      <c r="A270" s="236"/>
      <c r="B270" s="237" t="str">
        <f>B$2</f>
        <v xml:space="preserve">93/94 </v>
      </c>
      <c r="C270" s="237" t="str">
        <f t="shared" ref="C270:AE270" si="136">C$2</f>
        <v xml:space="preserve">94/95 </v>
      </c>
      <c r="D270" s="237" t="str">
        <f t="shared" si="136"/>
        <v xml:space="preserve">95/96 </v>
      </c>
      <c r="E270" s="237" t="str">
        <f t="shared" si="136"/>
        <v xml:space="preserve">96/97 </v>
      </c>
      <c r="F270" s="237" t="str">
        <f t="shared" si="136"/>
        <v xml:space="preserve">97/98 </v>
      </c>
      <c r="G270" s="237" t="str">
        <f t="shared" si="136"/>
        <v xml:space="preserve">98/99 </v>
      </c>
      <c r="H270" s="237" t="str">
        <f t="shared" si="136"/>
        <v xml:space="preserve">99/00 </v>
      </c>
      <c r="I270" s="237" t="str">
        <f t="shared" si="136"/>
        <v xml:space="preserve">00/01 </v>
      </c>
      <c r="J270" s="237" t="str">
        <f t="shared" si="136"/>
        <v xml:space="preserve">01/02 </v>
      </c>
      <c r="K270" s="237" t="str">
        <f t="shared" si="136"/>
        <v xml:space="preserve">02/03 </v>
      </c>
      <c r="L270" s="237" t="str">
        <f t="shared" si="136"/>
        <v xml:space="preserve">03/04 </v>
      </c>
      <c r="M270" s="237" t="str">
        <f t="shared" si="136"/>
        <v xml:space="preserve">04/05 </v>
      </c>
      <c r="N270" s="237" t="str">
        <f t="shared" si="136"/>
        <v xml:space="preserve">05/06 </v>
      </c>
      <c r="O270" s="237" t="str">
        <f t="shared" si="136"/>
        <v xml:space="preserve">06/07 </v>
      </c>
      <c r="P270" s="237" t="str">
        <f t="shared" si="136"/>
        <v xml:space="preserve">07/08 </v>
      </c>
      <c r="Q270" s="237" t="str">
        <f t="shared" si="136"/>
        <v xml:space="preserve">08/09 </v>
      </c>
      <c r="R270" s="237" t="str">
        <f t="shared" si="136"/>
        <v xml:space="preserve">09/10 </v>
      </c>
      <c r="S270" s="237" t="str">
        <f t="shared" si="136"/>
        <v xml:space="preserve">10/11 </v>
      </c>
      <c r="T270" s="237" t="str">
        <f t="shared" si="136"/>
        <v xml:space="preserve">11/12 </v>
      </c>
      <c r="U270" s="237" t="str">
        <f t="shared" si="136"/>
        <v xml:space="preserve">12/13 </v>
      </c>
      <c r="V270" s="237" t="str">
        <f t="shared" si="136"/>
        <v xml:space="preserve">13/14 </v>
      </c>
      <c r="W270" s="237" t="str">
        <f t="shared" si="136"/>
        <v xml:space="preserve">14/15 </v>
      </c>
      <c r="X270" s="237" t="str">
        <f t="shared" si="136"/>
        <v xml:space="preserve">15/16 </v>
      </c>
      <c r="Y270" s="237" t="str">
        <f t="shared" si="136"/>
        <v xml:space="preserve">16/17 </v>
      </c>
      <c r="Z270" s="237" t="str">
        <f t="shared" si="136"/>
        <v xml:space="preserve">17/18 </v>
      </c>
      <c r="AA270" s="237" t="str">
        <f t="shared" si="136"/>
        <v xml:space="preserve">18/19 </v>
      </c>
      <c r="AB270" s="237" t="str">
        <f t="shared" si="136"/>
        <v xml:space="preserve">19/20 </v>
      </c>
      <c r="AC270" s="237" t="str">
        <f t="shared" si="136"/>
        <v xml:space="preserve">20/21 </v>
      </c>
      <c r="AD270" s="237" t="str">
        <f t="shared" si="136"/>
        <v xml:space="preserve">21/22 </v>
      </c>
      <c r="AE270" s="237" t="str">
        <f t="shared" si="136"/>
        <v xml:space="preserve">22/23 </v>
      </c>
    </row>
    <row r="271" spans="1:31">
      <c r="A271" s="240" t="s">
        <v>239</v>
      </c>
      <c r="B271" s="241">
        <f>(SUM(K271:O271)/SUM(K$283:O$283))*B$283</f>
        <v>0</v>
      </c>
      <c r="C271" s="241">
        <v>0.17643940421830825</v>
      </c>
      <c r="D271" s="242">
        <f>'[2]Mexico Sun Oil Exports'!BD$290</f>
        <v>3.6459999999999999</v>
      </c>
      <c r="E271" s="242">
        <f>'[2]Mexico Sun Oil Exports'!BP$290</f>
        <v>4.0170000000000003</v>
      </c>
      <c r="F271" s="242">
        <f>'[2]Mexico Sun Oil Exports'!CB$290</f>
        <v>3.5369999999999999</v>
      </c>
      <c r="G271" s="242">
        <f>'[2]Mexico Sun Oil Exports'!CN$290</f>
        <v>3.4910000000000001</v>
      </c>
      <c r="H271" s="242">
        <f>'[2]Mexico Sun Oil Exports'!CZ$290</f>
        <v>5.1989999999999998</v>
      </c>
      <c r="I271" s="242">
        <f>'[2]Mexico Sun Oil Exports'!DL$290</f>
        <v>1.7470000000000001</v>
      </c>
      <c r="J271" s="242">
        <f>'[2]Mexico Sun Oil Exports'!DX$290</f>
        <v>2.806</v>
      </c>
      <c r="K271" s="242">
        <f>'[2]Mexico Sun Oil Exports'!EJ$290</f>
        <v>1.26</v>
      </c>
      <c r="L271" s="242">
        <f>'[2]Mexico Sun Oil Exports'!EV$290</f>
        <v>2.2839999999999998</v>
      </c>
      <c r="M271" s="242">
        <f>'[2]Mexico Sun Oil Exports'!FH$290</f>
        <v>2.621</v>
      </c>
      <c r="N271" s="242">
        <f>'[2]Mexico Sun Oil Exports'!FT$290</f>
        <v>3.7959999999999998</v>
      </c>
      <c r="O271" s="242">
        <f>'[2]Mexico Sun Oil Exports'!GF$290</f>
        <v>2.782</v>
      </c>
      <c r="P271" s="242">
        <f>'[2]Mexico Sun Oil Exports'!GR$290</f>
        <v>3.802</v>
      </c>
      <c r="Q271" s="242">
        <f>'[2]Mexico Sun Oil Exports'!HD$290</f>
        <v>1.9</v>
      </c>
      <c r="R271" s="242">
        <f>'[2]Mexico Sun Oil Exports'!HP$290</f>
        <v>1.43</v>
      </c>
      <c r="S271" s="242">
        <f>'[2]Mexico Sun Oil Exports'!IB$290</f>
        <v>2.7290000000000001</v>
      </c>
      <c r="T271" s="242">
        <f>'[2]Mexico Sun Oil Exports'!IN$290</f>
        <v>2.8580000000000001</v>
      </c>
      <c r="U271" s="242">
        <f>'[2]Mexico Sun Oil Exports'!IZ$290</f>
        <v>3.9129999999999998</v>
      </c>
      <c r="V271" s="242">
        <f>'[2]Mexico Sun Oil Exports'!JL$290</f>
        <v>3.1880000000000002</v>
      </c>
      <c r="W271" s="242">
        <f>'[2]Mexico Sun Oil Exports'!JX$290</f>
        <v>2.4380000000000002</v>
      </c>
      <c r="X271" s="242">
        <f>'[2]Mexico Sun Oil Exports'!KJ$290</f>
        <v>3.1659999999999999</v>
      </c>
      <c r="Y271" s="242">
        <f>'[2]Mexico Sun Oil Exports'!KV$290</f>
        <v>2.0619999999999998</v>
      </c>
      <c r="Z271" s="242">
        <f>'[2]Mexico Sun Oil Exports'!LH$290</f>
        <v>1.676663</v>
      </c>
      <c r="AA271" s="242">
        <f>'[2]Mexico Sun Oil Exports'!LT$290</f>
        <v>2.6582560000000002</v>
      </c>
      <c r="AB271" s="242">
        <f>'[2]Mexico Sun Oil Exports'!MF$290</f>
        <v>1.6647590000000001</v>
      </c>
      <c r="AC271" s="242">
        <f>'[2]Mexico Sun Oil Exports'!MR$290</f>
        <v>1.466558</v>
      </c>
      <c r="AD271" s="242">
        <f>'[2]Mexico Sun Oil Exports'!ND$290</f>
        <v>2.343</v>
      </c>
      <c r="AE271" s="243">
        <f t="shared" ref="AE271:AE281" si="137">(SUM(Y271:AC271)/SUM(Y$283:AC$283))*AE$283</f>
        <v>1.0191707989923871</v>
      </c>
    </row>
    <row r="272" spans="1:31">
      <c r="A272" s="240" t="s">
        <v>240</v>
      </c>
      <c r="B272" s="241">
        <f t="shared" ref="B272:B282" si="138">(SUM(K272:O272)/SUM(K$283:O$283))*B$283</f>
        <v>0</v>
      </c>
      <c r="C272" s="241">
        <v>0.19115030223961724</v>
      </c>
      <c r="D272" s="242">
        <f>'[2]Mexico Sun Oil Exports'!BE$290</f>
        <v>3.9220000000000002</v>
      </c>
      <c r="E272" s="242">
        <f>'[2]Mexico Sun Oil Exports'!BQ$290</f>
        <v>3.0990000000000002</v>
      </c>
      <c r="F272" s="242">
        <f>'[2]Mexico Sun Oil Exports'!CC$290</f>
        <v>1.4530000000000001</v>
      </c>
      <c r="G272" s="242">
        <f>'[2]Mexico Sun Oil Exports'!CO$290</f>
        <v>2.351</v>
      </c>
      <c r="H272" s="242">
        <f>'[2]Mexico Sun Oil Exports'!DA$290</f>
        <v>3.4260000000000002</v>
      </c>
      <c r="I272" s="242">
        <f>'[2]Mexico Sun Oil Exports'!DM$290</f>
        <v>1.607</v>
      </c>
      <c r="J272" s="242">
        <f>'[2]Mexico Sun Oil Exports'!DY$290</f>
        <v>0.28399999999999997</v>
      </c>
      <c r="K272" s="242">
        <f>'[2]Mexico Sun Oil Exports'!EK$290</f>
        <v>0.76300000000000001</v>
      </c>
      <c r="L272" s="242">
        <f>'[2]Mexico Sun Oil Exports'!EW$290</f>
        <v>2.1269999999999998</v>
      </c>
      <c r="M272" s="242">
        <f>'[2]Mexico Sun Oil Exports'!FI$290</f>
        <v>3.5609999999999999</v>
      </c>
      <c r="N272" s="242">
        <f>'[2]Mexico Sun Oil Exports'!FU$290</f>
        <v>3.6280000000000001</v>
      </c>
      <c r="O272" s="242">
        <f>'[2]Mexico Sun Oil Exports'!GG$290</f>
        <v>2.786</v>
      </c>
      <c r="P272" s="242">
        <f>'[2]Mexico Sun Oil Exports'!GS$290</f>
        <v>3.0790000000000002</v>
      </c>
      <c r="Q272" s="242">
        <f>'[2]Mexico Sun Oil Exports'!HE$290</f>
        <v>2.0960000000000001</v>
      </c>
      <c r="R272" s="242">
        <f>'[2]Mexico Sun Oil Exports'!HQ$290</f>
        <v>1.5369999999999999</v>
      </c>
      <c r="S272" s="242">
        <f>'[2]Mexico Sun Oil Exports'!IC$290</f>
        <v>1.2849999999999999</v>
      </c>
      <c r="T272" s="242">
        <f>'[2]Mexico Sun Oil Exports'!IO$290</f>
        <v>1.155</v>
      </c>
      <c r="U272" s="242">
        <f>'[2]Mexico Sun Oil Exports'!JA$290</f>
        <v>2.5760000000000001</v>
      </c>
      <c r="V272" s="242">
        <f>'[2]Mexico Sun Oil Exports'!JM$290</f>
        <v>3.476</v>
      </c>
      <c r="W272" s="242">
        <f>'[2]Mexico Sun Oil Exports'!JY$290</f>
        <v>2.569</v>
      </c>
      <c r="X272" s="242">
        <f>'[2]Mexico Sun Oil Exports'!KK$290</f>
        <v>1.7</v>
      </c>
      <c r="Y272" s="242">
        <f>'[2]Mexico Sun Oil Exports'!KW$290</f>
        <v>1.2589999999999999</v>
      </c>
      <c r="Z272" s="242">
        <f>'[2]Mexico Sun Oil Exports'!LI$290</f>
        <v>0.62079399999999996</v>
      </c>
      <c r="AA272" s="242">
        <f>'[2]Mexico Sun Oil Exports'!LU$290</f>
        <v>1.8112550000000001</v>
      </c>
      <c r="AB272" s="242">
        <f>'[2]Mexico Sun Oil Exports'!MG$290</f>
        <v>2.3827660000000002</v>
      </c>
      <c r="AC272" s="242">
        <f>'[2]Mexico Sun Oil Exports'!MS$290</f>
        <v>2.2522199999999999</v>
      </c>
      <c r="AD272" s="242">
        <f>'[2]Mexico Sun Oil Exports'!NE$290</f>
        <v>2.4910000000000001</v>
      </c>
      <c r="AE272" s="243">
        <f t="shared" si="137"/>
        <v>0.89057950951136999</v>
      </c>
    </row>
    <row r="273" spans="1:31">
      <c r="A273" s="240" t="s">
        <v>241</v>
      </c>
      <c r="B273" s="241">
        <f t="shared" si="138"/>
        <v>0</v>
      </c>
      <c r="C273" s="241">
        <v>5.2630293542074366E-2</v>
      </c>
      <c r="D273" s="242">
        <f>'[2]Mexico Sun Oil Exports'!BF$290</f>
        <v>4.0739999999999998</v>
      </c>
      <c r="E273" s="242">
        <f>'[2]Mexico Sun Oil Exports'!BR$290</f>
        <v>3.161</v>
      </c>
      <c r="F273" s="242">
        <f>'[2]Mexico Sun Oil Exports'!CD$290</f>
        <v>3.831</v>
      </c>
      <c r="G273" s="242">
        <f>'[2]Mexico Sun Oil Exports'!CP$290</f>
        <v>2.4529999999999998</v>
      </c>
      <c r="H273" s="242">
        <f>'[2]Mexico Sun Oil Exports'!DB$290</f>
        <v>2.4380000000000002</v>
      </c>
      <c r="I273" s="242">
        <f>'[2]Mexico Sun Oil Exports'!DN$290</f>
        <v>0.55900000000000005</v>
      </c>
      <c r="J273" s="242">
        <f>'[2]Mexico Sun Oil Exports'!DZ$290</f>
        <v>0.90700000000000003</v>
      </c>
      <c r="K273" s="242">
        <f>'[2]Mexico Sun Oil Exports'!EL$290</f>
        <v>0.47799999999999998</v>
      </c>
      <c r="L273" s="242">
        <f>'[2]Mexico Sun Oil Exports'!EX$290</f>
        <v>2.512</v>
      </c>
      <c r="M273" s="242">
        <f>'[2]Mexico Sun Oil Exports'!FJ$290</f>
        <v>2.3450000000000002</v>
      </c>
      <c r="N273" s="242">
        <f>'[2]Mexico Sun Oil Exports'!FV$290</f>
        <v>2.4569999999999999</v>
      </c>
      <c r="O273" s="242">
        <f>'[2]Mexico Sun Oil Exports'!GH$290</f>
        <v>2.177</v>
      </c>
      <c r="P273" s="242">
        <f>'[2]Mexico Sun Oil Exports'!GT$290</f>
        <v>7.62</v>
      </c>
      <c r="Q273" s="242">
        <f>'[2]Mexico Sun Oil Exports'!HF$290</f>
        <v>0.81899999999999995</v>
      </c>
      <c r="R273" s="242">
        <f>'[2]Mexico Sun Oil Exports'!HR$290</f>
        <v>2.0049999999999999</v>
      </c>
      <c r="S273" s="242">
        <f>'[2]Mexico Sun Oil Exports'!ID$290</f>
        <v>2.33</v>
      </c>
      <c r="T273" s="242">
        <f>'[2]Mexico Sun Oil Exports'!IP$290</f>
        <v>2.0760000000000001</v>
      </c>
      <c r="U273" s="242">
        <f>'[2]Mexico Sun Oil Exports'!JB$290</f>
        <v>1.444</v>
      </c>
      <c r="V273" s="242">
        <f>'[2]Mexico Sun Oil Exports'!JN$290</f>
        <v>3.0030000000000001</v>
      </c>
      <c r="W273" s="242">
        <f>'[2]Mexico Sun Oil Exports'!JZ$290</f>
        <v>2.577</v>
      </c>
      <c r="X273" s="242">
        <f>'[2]Mexico Sun Oil Exports'!KL$290</f>
        <v>1.0589999999999999</v>
      </c>
      <c r="Y273" s="242">
        <f>'[2]Mexico Sun Oil Exports'!KX$290</f>
        <v>1.206</v>
      </c>
      <c r="Z273" s="242">
        <f>'[2]Mexico Sun Oil Exports'!LJ$290</f>
        <v>1.3569720000000001</v>
      </c>
      <c r="AA273" s="242">
        <f>'[2]Mexico Sun Oil Exports'!LV$290</f>
        <v>1.242148</v>
      </c>
      <c r="AB273" s="242">
        <f>'[2]Mexico Sun Oil Exports'!MH$290</f>
        <v>1.6205529999999999</v>
      </c>
      <c r="AC273" s="242">
        <f>'[2]Mexico Sun Oil Exports'!MT$290</f>
        <v>1.9373100000000001</v>
      </c>
      <c r="AD273" s="243">
        <f t="shared" ref="AD273:AD281" si="139">(SUM(X273:AB273)/SUM(X$283:AB$283))*AD$283</f>
        <v>6.2869614535148527E-2</v>
      </c>
      <c r="AE273" s="243">
        <f t="shared" si="137"/>
        <v>0.78756836701750066</v>
      </c>
    </row>
    <row r="274" spans="1:31">
      <c r="A274" s="240" t="s">
        <v>231</v>
      </c>
      <c r="B274" s="241">
        <f t="shared" si="138"/>
        <v>0</v>
      </c>
      <c r="C274" s="242">
        <f>'[2]Mexico Sun Oil Exports'!AU$290</f>
        <v>3.302</v>
      </c>
      <c r="D274" s="242">
        <f>'[2]Mexico Sun Oil Exports'!BG$290</f>
        <v>2.0609999999999999</v>
      </c>
      <c r="E274" s="242">
        <f>'[2]Mexico Sun Oil Exports'!BS$290</f>
        <v>2.774</v>
      </c>
      <c r="F274" s="242">
        <f>'[2]Mexico Sun Oil Exports'!CE$290</f>
        <v>2.7410000000000001</v>
      </c>
      <c r="G274" s="242">
        <f>'[2]Mexico Sun Oil Exports'!CQ$290</f>
        <v>4.1340000000000003</v>
      </c>
      <c r="H274" s="242">
        <f>'[2]Mexico Sun Oil Exports'!DC$290</f>
        <v>4.0620000000000003</v>
      </c>
      <c r="I274" s="242">
        <f>'[2]Mexico Sun Oil Exports'!DO$290</f>
        <v>2.3319999999999999</v>
      </c>
      <c r="J274" s="242">
        <f>'[2]Mexico Sun Oil Exports'!EA$290</f>
        <v>1.8620000000000001</v>
      </c>
      <c r="K274" s="242">
        <f>'[2]Mexico Sun Oil Exports'!EM$290</f>
        <v>2.3290000000000002</v>
      </c>
      <c r="L274" s="242">
        <f>'[2]Mexico Sun Oil Exports'!EY$290</f>
        <v>1.1859999999999999</v>
      </c>
      <c r="M274" s="242">
        <f>'[2]Mexico Sun Oil Exports'!FK$290</f>
        <v>2.8</v>
      </c>
      <c r="N274" s="242">
        <f>'[2]Mexico Sun Oil Exports'!FW$290</f>
        <v>2.8679999999999999</v>
      </c>
      <c r="O274" s="242">
        <f>'[2]Mexico Sun Oil Exports'!GI$290</f>
        <v>1.9450000000000001</v>
      </c>
      <c r="P274" s="242">
        <f>'[2]Mexico Sun Oil Exports'!GU$290</f>
        <v>2.468</v>
      </c>
      <c r="Q274" s="242">
        <f>'[2]Mexico Sun Oil Exports'!HG$290</f>
        <v>1.65</v>
      </c>
      <c r="R274" s="242">
        <f>'[2]Mexico Sun Oil Exports'!HS$290</f>
        <v>2.141</v>
      </c>
      <c r="S274" s="242">
        <f>'[2]Mexico Sun Oil Exports'!IE$290</f>
        <v>2.4580000000000002</v>
      </c>
      <c r="T274" s="242">
        <f>'[2]Mexico Sun Oil Exports'!IQ$290</f>
        <v>2.758</v>
      </c>
      <c r="U274" s="242">
        <f>'[2]Mexico Sun Oil Exports'!JC$290</f>
        <v>3.0089999999999999</v>
      </c>
      <c r="V274" s="242">
        <f>'[2]Mexico Sun Oil Exports'!JO$290</f>
        <v>2.4460000000000002</v>
      </c>
      <c r="W274" s="242">
        <f>'[2]Mexico Sun Oil Exports'!KA$290</f>
        <v>3.3109999999999999</v>
      </c>
      <c r="X274" s="242">
        <f>'[2]Mexico Sun Oil Exports'!KM$290</f>
        <v>0.76400000000000001</v>
      </c>
      <c r="Y274" s="242">
        <f>'[2]Mexico Sun Oil Exports'!KY$290</f>
        <v>2.4889999999999999</v>
      </c>
      <c r="Z274" s="242">
        <f>'[2]Mexico Sun Oil Exports'!LK$290</f>
        <v>1.944569</v>
      </c>
      <c r="AA274" s="242">
        <f>'[2]Mexico Sun Oil Exports'!LW$290</f>
        <v>1.271112</v>
      </c>
      <c r="AB274" s="242">
        <f>'[2]Mexico Sun Oil Exports'!MI$290</f>
        <v>1.5896189999999999</v>
      </c>
      <c r="AC274" s="242">
        <f>'[2]Mexico Sun Oil Exports'!MU$290</f>
        <v>2.181</v>
      </c>
      <c r="AD274" s="243">
        <f t="shared" si="139"/>
        <v>7.8126100546409574E-2</v>
      </c>
      <c r="AE274" s="243">
        <f t="shared" si="137"/>
        <v>1.0135085940033985</v>
      </c>
    </row>
    <row r="275" spans="1:31">
      <c r="A275" s="240" t="s">
        <v>232</v>
      </c>
      <c r="B275" s="241">
        <f t="shared" si="138"/>
        <v>0</v>
      </c>
      <c r="C275" s="242">
        <f>'[2]Mexico Sun Oil Exports'!AV$290</f>
        <v>2.1000000000000001E-2</v>
      </c>
      <c r="D275" s="242">
        <f>'[2]Mexico Sun Oil Exports'!BH$290</f>
        <v>2.915</v>
      </c>
      <c r="E275" s="242">
        <f>'[2]Mexico Sun Oil Exports'!BT$290</f>
        <v>2.8370000000000002</v>
      </c>
      <c r="F275" s="242">
        <f>'[2]Mexico Sun Oil Exports'!CF$290</f>
        <v>0.96599999999999997</v>
      </c>
      <c r="G275" s="242">
        <f>'[2]Mexico Sun Oil Exports'!CR$290</f>
        <v>1.6040000000000001</v>
      </c>
      <c r="H275" s="242">
        <f>'[2]Mexico Sun Oil Exports'!DD$290</f>
        <v>0.92200000000000004</v>
      </c>
      <c r="I275" s="242">
        <f>'[2]Mexico Sun Oil Exports'!DP$290</f>
        <v>1.8</v>
      </c>
      <c r="J275" s="242">
        <f>'[2]Mexico Sun Oil Exports'!EB$290</f>
        <v>0.88400000000000001</v>
      </c>
      <c r="K275" s="242">
        <f>'[2]Mexico Sun Oil Exports'!EN$290</f>
        <v>1.893</v>
      </c>
      <c r="L275" s="242">
        <f>'[2]Mexico Sun Oil Exports'!EZ$290</f>
        <v>2.556</v>
      </c>
      <c r="M275" s="242">
        <f>'[2]Mexico Sun Oil Exports'!FL$290</f>
        <v>1.516</v>
      </c>
      <c r="N275" s="242">
        <f>'[2]Mexico Sun Oil Exports'!FX$290</f>
        <v>3.4790000000000001</v>
      </c>
      <c r="O275" s="242">
        <f>'[2]Mexico Sun Oil Exports'!GJ$290</f>
        <v>2.2090000000000001</v>
      </c>
      <c r="P275" s="242">
        <f>'[2]Mexico Sun Oil Exports'!GV$290</f>
        <v>2.7650000000000001</v>
      </c>
      <c r="Q275" s="242">
        <f>'[2]Mexico Sun Oil Exports'!HH$290</f>
        <v>1.3009999999999999</v>
      </c>
      <c r="R275" s="242">
        <f>'[2]Mexico Sun Oil Exports'!HT$290</f>
        <v>1.867</v>
      </c>
      <c r="S275" s="242">
        <f>'[2]Mexico Sun Oil Exports'!IF$290</f>
        <v>1.7889999999999999</v>
      </c>
      <c r="T275" s="242">
        <f>'[2]Mexico Sun Oil Exports'!IR$290</f>
        <v>0.67100000000000004</v>
      </c>
      <c r="U275" s="242">
        <f>'[2]Mexico Sun Oil Exports'!JD$290</f>
        <v>3.18</v>
      </c>
      <c r="V275" s="242">
        <f>'[2]Mexico Sun Oil Exports'!JP$290</f>
        <v>1.2889999999999999</v>
      </c>
      <c r="W275" s="242">
        <f>'[2]Mexico Sun Oil Exports'!KB$290</f>
        <v>1.415</v>
      </c>
      <c r="X275" s="242">
        <f>'[2]Mexico Sun Oil Exports'!KN$290</f>
        <v>2.7959999999999998</v>
      </c>
      <c r="Y275" s="242">
        <f>'[2]Mexico Sun Oil Exports'!KZ$290</f>
        <v>0.60599999999999998</v>
      </c>
      <c r="Z275" s="242">
        <f>'[2]Mexico Sun Oil Exports'!LL$290</f>
        <v>0.96895600000000004</v>
      </c>
      <c r="AA275" s="242">
        <f>'[2]Mexico Sun Oil Exports'!LX$290</f>
        <v>1.5291939999999999</v>
      </c>
      <c r="AB275" s="242">
        <f>'[2]Mexico Sun Oil Exports'!MJ$290</f>
        <v>1.628036</v>
      </c>
      <c r="AC275" s="242">
        <f>'[2]Mexico Sun Oil Exports'!MV$290</f>
        <v>1.988</v>
      </c>
      <c r="AD275" s="243">
        <f t="shared" si="139"/>
        <v>7.2986587291125046E-2</v>
      </c>
      <c r="AE275" s="243">
        <f t="shared" si="137"/>
        <v>0.71881273039390015</v>
      </c>
    </row>
    <row r="276" spans="1:31">
      <c r="A276" s="240" t="s">
        <v>233</v>
      </c>
      <c r="B276" s="241">
        <f t="shared" si="138"/>
        <v>0</v>
      </c>
      <c r="C276" s="242">
        <f>'[2]Mexico Sun Oil Exports'!AW$290</f>
        <v>0.28000000000000003</v>
      </c>
      <c r="D276" s="242">
        <f>'[2]Mexico Sun Oil Exports'!BI$290</f>
        <v>1.0509999999999999</v>
      </c>
      <c r="E276" s="242">
        <f>'[2]Mexico Sun Oil Exports'!BU$290</f>
        <v>2.4569999999999999</v>
      </c>
      <c r="F276" s="242">
        <f>'[2]Mexico Sun Oil Exports'!CG$290</f>
        <v>3.0489999999999999</v>
      </c>
      <c r="G276" s="242">
        <f>'[2]Mexico Sun Oil Exports'!CS$290</f>
        <v>6.0570000000000004</v>
      </c>
      <c r="H276" s="242">
        <f>'[2]Mexico Sun Oil Exports'!DE$290</f>
        <v>3.29</v>
      </c>
      <c r="I276" s="242">
        <f>'[2]Mexico Sun Oil Exports'!DQ$290</f>
        <v>0.47399999999999998</v>
      </c>
      <c r="J276" s="242">
        <f>'[2]Mexico Sun Oil Exports'!EC$290</f>
        <v>1.7390000000000001</v>
      </c>
      <c r="K276" s="242">
        <f>'[2]Mexico Sun Oil Exports'!EO$290</f>
        <v>0.51500000000000001</v>
      </c>
      <c r="L276" s="242">
        <f>'[2]Mexico Sun Oil Exports'!FA$290</f>
        <v>1.631</v>
      </c>
      <c r="M276" s="242">
        <f>'[2]Mexico Sun Oil Exports'!FM$290</f>
        <v>3.8809999999999998</v>
      </c>
      <c r="N276" s="242">
        <f>'[2]Mexico Sun Oil Exports'!FY$290</f>
        <v>2.7589999999999999</v>
      </c>
      <c r="O276" s="242">
        <f>'[2]Mexico Sun Oil Exports'!GK$290</f>
        <v>3.0539999999999998</v>
      </c>
      <c r="P276" s="242">
        <f>'[2]Mexico Sun Oil Exports'!GW$290</f>
        <v>4.1840000000000002</v>
      </c>
      <c r="Q276" s="242">
        <f>'[2]Mexico Sun Oil Exports'!HI$290</f>
        <v>1.976</v>
      </c>
      <c r="R276" s="242">
        <f>'[2]Mexico Sun Oil Exports'!HU$290</f>
        <v>2.1320000000000001</v>
      </c>
      <c r="S276" s="242">
        <f>'[2]Mexico Sun Oil Exports'!IG$290</f>
        <v>0.51100000000000001</v>
      </c>
      <c r="T276" s="242">
        <f>'[2]Mexico Sun Oil Exports'!IS$290</f>
        <v>2.98</v>
      </c>
      <c r="U276" s="242">
        <f>'[2]Mexico Sun Oil Exports'!JE$290</f>
        <v>2.548</v>
      </c>
      <c r="V276" s="242">
        <f>'[2]Mexico Sun Oil Exports'!JQ$290</f>
        <v>3.133</v>
      </c>
      <c r="W276" s="242">
        <f>'[2]Mexico Sun Oil Exports'!KC$290</f>
        <v>2.5379999999999998</v>
      </c>
      <c r="X276" s="242">
        <f>'[2]Mexico Sun Oil Exports'!KO$290</f>
        <v>1.147</v>
      </c>
      <c r="Y276" s="242">
        <f>'[2]Mexico Sun Oil Exports'!LA$290</f>
        <v>1.349</v>
      </c>
      <c r="Z276" s="242">
        <f>'[2]Mexico Sun Oil Exports'!LM$290</f>
        <v>1.691762</v>
      </c>
      <c r="AA276" s="242">
        <f>'[2]Mexico Sun Oil Exports'!LY$290</f>
        <v>0.880722</v>
      </c>
      <c r="AB276" s="242">
        <f>'[2]Mexico Sun Oil Exports'!MK$290</f>
        <v>2.6903519999999999</v>
      </c>
      <c r="AC276" s="242">
        <f>'[2]Mexico Sun Oil Exports'!MW$290</f>
        <v>3.0089999999999999</v>
      </c>
      <c r="AD276" s="243">
        <f t="shared" si="139"/>
        <v>7.5222764287641589E-2</v>
      </c>
      <c r="AE276" s="243">
        <f t="shared" si="137"/>
        <v>1.0290755931207749</v>
      </c>
    </row>
    <row r="277" spans="1:31">
      <c r="A277" s="240" t="s">
        <v>234</v>
      </c>
      <c r="B277" s="241">
        <f t="shared" si="138"/>
        <v>0</v>
      </c>
      <c r="C277" s="242">
        <f>'[2]Mexico Sun Oil Exports'!AX$290</f>
        <v>6.5000000000000002E-2</v>
      </c>
      <c r="D277" s="242">
        <f>'[2]Mexico Sun Oil Exports'!BJ$290</f>
        <v>1.3520000000000001</v>
      </c>
      <c r="E277" s="242">
        <f>'[2]Mexico Sun Oil Exports'!BV$290</f>
        <v>2.657</v>
      </c>
      <c r="F277" s="242">
        <f>'[2]Mexico Sun Oil Exports'!CH$290</f>
        <v>3.1240000000000001</v>
      </c>
      <c r="G277" s="242">
        <f>'[2]Mexico Sun Oil Exports'!CT$290</f>
        <v>1.165</v>
      </c>
      <c r="H277" s="242">
        <f>'[2]Mexico Sun Oil Exports'!DF$290</f>
        <v>1.2689999999999999</v>
      </c>
      <c r="I277" s="242">
        <f>'[2]Mexico Sun Oil Exports'!DR$290</f>
        <v>2.6629999999999998</v>
      </c>
      <c r="J277" s="242">
        <f>'[2]Mexico Sun Oil Exports'!ED$290</f>
        <v>0.67500000000000004</v>
      </c>
      <c r="K277" s="242">
        <f>'[2]Mexico Sun Oil Exports'!EP$290</f>
        <v>1.468</v>
      </c>
      <c r="L277" s="242">
        <f>'[2]Mexico Sun Oil Exports'!FB$290</f>
        <v>1.901</v>
      </c>
      <c r="M277" s="242">
        <f>'[2]Mexico Sun Oil Exports'!FN$290</f>
        <v>3.4540000000000002</v>
      </c>
      <c r="N277" s="242">
        <f>'[2]Mexico Sun Oil Exports'!FZ$290</f>
        <v>2.2360000000000002</v>
      </c>
      <c r="O277" s="242">
        <f>'[2]Mexico Sun Oil Exports'!GL$290</f>
        <v>3.4940000000000002</v>
      </c>
      <c r="P277" s="242">
        <f>'[2]Mexico Sun Oil Exports'!GX$290</f>
        <v>1.3049999999999999</v>
      </c>
      <c r="Q277" s="242">
        <f>'[2]Mexico Sun Oil Exports'!HJ$290</f>
        <v>1.415</v>
      </c>
      <c r="R277" s="242">
        <f>'[2]Mexico Sun Oil Exports'!HV$290</f>
        <v>1.996</v>
      </c>
      <c r="S277" s="242">
        <f>'[2]Mexico Sun Oil Exports'!IH$290</f>
        <v>1.3660000000000001</v>
      </c>
      <c r="T277" s="242">
        <f>'[2]Mexico Sun Oil Exports'!IT$290</f>
        <v>2.7410000000000001</v>
      </c>
      <c r="U277" s="242">
        <f>'[2]Mexico Sun Oil Exports'!JF$290</f>
        <v>2.411</v>
      </c>
      <c r="V277" s="242">
        <f>'[2]Mexico Sun Oil Exports'!JR$290</f>
        <v>3.097</v>
      </c>
      <c r="W277" s="242">
        <f>'[2]Mexico Sun Oil Exports'!KD$290</f>
        <v>2.5139999999999998</v>
      </c>
      <c r="X277" s="242">
        <f>'[2]Mexico Sun Oil Exports'!KP$290</f>
        <v>1.7350000000000001</v>
      </c>
      <c r="Y277" s="242">
        <f>'[2]Mexico Sun Oil Exports'!LB$290</f>
        <v>0.875</v>
      </c>
      <c r="Z277" s="242">
        <f>'[2]Mexico Sun Oil Exports'!LN$290</f>
        <v>1.39507</v>
      </c>
      <c r="AA277" s="242">
        <f>'[2]Mexico Sun Oil Exports'!LZ$290</f>
        <v>2.1204420000000002</v>
      </c>
      <c r="AB277" s="242">
        <f>'[2]Mexico Sun Oil Exports'!ML$290</f>
        <v>1.9847159999999999</v>
      </c>
      <c r="AC277" s="242">
        <f>'[2]Mexico Sun Oil Exports'!MX$290</f>
        <v>2.0169999999999999</v>
      </c>
      <c r="AD277" s="243">
        <f t="shared" si="139"/>
        <v>7.8629548190351103E-2</v>
      </c>
      <c r="AE277" s="243">
        <f t="shared" si="137"/>
        <v>0.89765972590165488</v>
      </c>
    </row>
    <row r="278" spans="1:31">
      <c r="A278" s="240" t="s">
        <v>46</v>
      </c>
      <c r="B278" s="241">
        <f t="shared" si="138"/>
        <v>0</v>
      </c>
      <c r="C278" s="242">
        <f>'[2]Mexico Sun Oil Exports'!AY$290</f>
        <v>3.1560000000000001</v>
      </c>
      <c r="D278" s="242">
        <f>'[2]Mexico Sun Oil Exports'!BK$290</f>
        <v>1.972</v>
      </c>
      <c r="E278" s="242">
        <f>'[2]Mexico Sun Oil Exports'!BW$290</f>
        <v>0.32900000000000001</v>
      </c>
      <c r="F278" s="242">
        <f>'[2]Mexico Sun Oil Exports'!CI$290</f>
        <v>5.55</v>
      </c>
      <c r="G278" s="242">
        <f>'[2]Mexico Sun Oil Exports'!CU$290</f>
        <v>4.141</v>
      </c>
      <c r="H278" s="242">
        <f>'[2]Mexico Sun Oil Exports'!DG$290</f>
        <v>5.1909999999999998</v>
      </c>
      <c r="I278" s="242">
        <f>'[2]Mexico Sun Oil Exports'!DS$290</f>
        <v>2.1659999999999999</v>
      </c>
      <c r="J278" s="242">
        <f>'[2]Mexico Sun Oil Exports'!EE$290</f>
        <v>2.3809999999999998</v>
      </c>
      <c r="K278" s="242">
        <f>'[2]Mexico Sun Oil Exports'!EQ$290</f>
        <v>4.5460000000000003</v>
      </c>
      <c r="L278" s="242">
        <f>'[2]Mexico Sun Oil Exports'!FC$290</f>
        <v>3.7719999999999998</v>
      </c>
      <c r="M278" s="242">
        <f>'[2]Mexico Sun Oil Exports'!FO$290</f>
        <v>1.6659999999999999</v>
      </c>
      <c r="N278" s="242">
        <f>'[2]Mexico Sun Oil Exports'!GA$290</f>
        <v>1.7170000000000001</v>
      </c>
      <c r="O278" s="242">
        <f>'[2]Mexico Sun Oil Exports'!GM$290</f>
        <v>2.927</v>
      </c>
      <c r="P278" s="242">
        <f>'[2]Mexico Sun Oil Exports'!GY$290</f>
        <v>5.0709999999999997</v>
      </c>
      <c r="Q278" s="242">
        <f>'[2]Mexico Sun Oil Exports'!HK$290</f>
        <v>0.77500000000000002</v>
      </c>
      <c r="R278" s="242">
        <f>'[2]Mexico Sun Oil Exports'!HW$290</f>
        <v>1.5409999999999999</v>
      </c>
      <c r="S278" s="242">
        <f>'[2]Mexico Sun Oil Exports'!II$290</f>
        <v>0.52300000000000002</v>
      </c>
      <c r="T278" s="242">
        <f>'[2]Mexico Sun Oil Exports'!IU$290</f>
        <v>2.3010000000000002</v>
      </c>
      <c r="U278" s="242">
        <f>'[2]Mexico Sun Oil Exports'!JG$290</f>
        <v>2.4710000000000001</v>
      </c>
      <c r="V278" s="242">
        <f>'[2]Mexico Sun Oil Exports'!JS$290</f>
        <v>1.6779999999999999</v>
      </c>
      <c r="W278" s="242">
        <f>'[2]Mexico Sun Oil Exports'!KE$290</f>
        <v>3.4260000000000002</v>
      </c>
      <c r="X278" s="242">
        <f>'[2]Mexico Sun Oil Exports'!KQ$290</f>
        <v>1.494</v>
      </c>
      <c r="Y278" s="242">
        <f>'[2]Mexico Sun Oil Exports'!LC$290</f>
        <v>1.91</v>
      </c>
      <c r="Z278" s="242">
        <f>'[2]Mexico Sun Oil Exports'!LO$290</f>
        <v>1.555056</v>
      </c>
      <c r="AA278" s="242">
        <f>'[2]Mexico Sun Oil Exports'!MA$290</f>
        <v>0.97897699999999999</v>
      </c>
      <c r="AB278" s="242">
        <f>'[2]Mexico Sun Oil Exports'!MM$290</f>
        <v>2.1868989999999999</v>
      </c>
      <c r="AC278" s="242">
        <f>'[2]Mexico Sun Oil Exports'!MY$290</f>
        <v>1.4039999999999999</v>
      </c>
      <c r="AD278" s="243">
        <f t="shared" si="139"/>
        <v>7.8772105079823379E-2</v>
      </c>
      <c r="AE278" s="243">
        <f t="shared" si="137"/>
        <v>0.85944219541681133</v>
      </c>
    </row>
    <row r="279" spans="1:31">
      <c r="A279" s="240" t="s">
        <v>235</v>
      </c>
      <c r="B279" s="241">
        <f t="shared" si="138"/>
        <v>0</v>
      </c>
      <c r="C279" s="242">
        <f>'[2]Mexico Sun Oil Exports'!AZ$290</f>
        <v>6.484</v>
      </c>
      <c r="D279" s="242">
        <f>'[2]Mexico Sun Oil Exports'!BL$290</f>
        <v>5.9050000000000002</v>
      </c>
      <c r="E279" s="242">
        <f>'[2]Mexico Sun Oil Exports'!BX$290</f>
        <v>4.9539999999999997</v>
      </c>
      <c r="F279" s="242">
        <f>'[2]Mexico Sun Oil Exports'!CJ$290</f>
        <v>6.9740000000000002</v>
      </c>
      <c r="G279" s="242">
        <f>'[2]Mexico Sun Oil Exports'!CV$290</f>
        <v>6.1909999999999998</v>
      </c>
      <c r="H279" s="242">
        <f>'[2]Mexico Sun Oil Exports'!DH$290</f>
        <v>2.8540000000000001</v>
      </c>
      <c r="I279" s="242">
        <f>'[2]Mexico Sun Oil Exports'!DT$290</f>
        <v>3.6389999999999998</v>
      </c>
      <c r="J279" s="242">
        <f>'[2]Mexico Sun Oil Exports'!EF$290</f>
        <v>2.5819999999999999</v>
      </c>
      <c r="K279" s="242">
        <f>'[2]Mexico Sun Oil Exports'!ER$290</f>
        <v>6.0270000000000001</v>
      </c>
      <c r="L279" s="242">
        <f>'[2]Mexico Sun Oil Exports'!FD$290</f>
        <v>5.8620000000000001</v>
      </c>
      <c r="M279" s="242">
        <f>'[2]Mexico Sun Oil Exports'!FP$290</f>
        <v>3.9329999999999998</v>
      </c>
      <c r="N279" s="242">
        <f>'[2]Mexico Sun Oil Exports'!GB$290</f>
        <v>1.6259999999999999</v>
      </c>
      <c r="O279" s="242">
        <f>'[2]Mexico Sun Oil Exports'!GN$290</f>
        <v>4.0279999999999996</v>
      </c>
      <c r="P279" s="242">
        <f>'[2]Mexico Sun Oil Exports'!GZ$290</f>
        <v>2.996</v>
      </c>
      <c r="Q279" s="242">
        <f>'[2]Mexico Sun Oil Exports'!HL$290</f>
        <v>2.9239999999999999</v>
      </c>
      <c r="R279" s="242">
        <f>'[2]Mexico Sun Oil Exports'!HX$290</f>
        <v>2.0099999999999998</v>
      </c>
      <c r="S279" s="242">
        <f>'[2]Mexico Sun Oil Exports'!IJ$290</f>
        <v>2.7549999999999999</v>
      </c>
      <c r="T279" s="242">
        <f>'[2]Mexico Sun Oil Exports'!IV$290</f>
        <v>2.7669999999999999</v>
      </c>
      <c r="U279" s="242">
        <f>'[2]Mexico Sun Oil Exports'!JH$290</f>
        <v>3.1120000000000001</v>
      </c>
      <c r="V279" s="242">
        <f>'[2]Mexico Sun Oil Exports'!JT$290</f>
        <v>2.8610000000000002</v>
      </c>
      <c r="W279" s="242">
        <f>'[2]Mexico Sun Oil Exports'!KF$290</f>
        <v>3.0190000000000001</v>
      </c>
      <c r="X279" s="242">
        <f>'[2]Mexico Sun Oil Exports'!KR$290</f>
        <v>2.246</v>
      </c>
      <c r="Y279" s="242">
        <f>'[2]Mexico Sun Oil Exports'!LD$290</f>
        <v>3.6288429999999998</v>
      </c>
      <c r="Z279" s="242">
        <f>'[2]Mexico Sun Oil Exports'!LP$290</f>
        <v>1.8346210000000001</v>
      </c>
      <c r="AA279" s="242">
        <f>'[2]Mexico Sun Oil Exports'!MB$290</f>
        <v>2.7437290000000001</v>
      </c>
      <c r="AB279" s="242">
        <f>'[2]Mexico Sun Oil Exports'!MN$290</f>
        <v>0.95166099999999998</v>
      </c>
      <c r="AC279" s="242">
        <f>'[2]Mexico Sun Oil Exports'!MZ$290</f>
        <v>3.113</v>
      </c>
      <c r="AD279" s="243">
        <f t="shared" si="139"/>
        <v>0.110571307883936</v>
      </c>
      <c r="AE279" s="243">
        <f t="shared" si="137"/>
        <v>1.3126370134301795</v>
      </c>
    </row>
    <row r="280" spans="1:31">
      <c r="A280" s="240" t="s">
        <v>236</v>
      </c>
      <c r="B280" s="241">
        <f t="shared" si="138"/>
        <v>0</v>
      </c>
      <c r="C280" s="242">
        <f>'[2]Mexico Sun Oil Exports'!BA$290</f>
        <v>5.6630000000000003</v>
      </c>
      <c r="D280" s="242">
        <f>'[2]Mexico Sun Oil Exports'!BM$290</f>
        <v>5.306</v>
      </c>
      <c r="E280" s="242">
        <f>'[2]Mexico Sun Oil Exports'!BY$290</f>
        <v>5.8010000000000002</v>
      </c>
      <c r="F280" s="242">
        <f>'[2]Mexico Sun Oil Exports'!CK$290</f>
        <v>7.64</v>
      </c>
      <c r="G280" s="242">
        <f>'[2]Mexico Sun Oil Exports'!CW$290</f>
        <v>6.181</v>
      </c>
      <c r="H280" s="242">
        <f>'[2]Mexico Sun Oil Exports'!DI$290</f>
        <v>6.1520000000000001</v>
      </c>
      <c r="I280" s="242">
        <f>'[2]Mexico Sun Oil Exports'!DU$290</f>
        <v>4.2210000000000001</v>
      </c>
      <c r="J280" s="242">
        <f>'[2]Mexico Sun Oil Exports'!EG$290</f>
        <v>1.98</v>
      </c>
      <c r="K280" s="242">
        <f>'[2]Mexico Sun Oil Exports'!ES$290</f>
        <v>5.6</v>
      </c>
      <c r="L280" s="242">
        <f>'[2]Mexico Sun Oil Exports'!FE$290</f>
        <v>3.9159999999999999</v>
      </c>
      <c r="M280" s="242">
        <f>'[2]Mexico Sun Oil Exports'!FQ$290</f>
        <v>5.0250000000000004</v>
      </c>
      <c r="N280" s="242">
        <f>'[2]Mexico Sun Oil Exports'!GC$290</f>
        <v>4.9909999999999997</v>
      </c>
      <c r="O280" s="242">
        <f>'[2]Mexico Sun Oil Exports'!GO$290</f>
        <v>5.7069999999999999</v>
      </c>
      <c r="P280" s="242">
        <f>'[2]Mexico Sun Oil Exports'!HA$290</f>
        <v>3.6230000000000002</v>
      </c>
      <c r="Q280" s="242">
        <f>'[2]Mexico Sun Oil Exports'!HM$290</f>
        <v>0.95099999999999996</v>
      </c>
      <c r="R280" s="242">
        <f>'[2]Mexico Sun Oil Exports'!HY$290</f>
        <v>2.7120000000000002</v>
      </c>
      <c r="S280" s="242">
        <f>'[2]Mexico Sun Oil Exports'!IK$290</f>
        <v>4.1029999999999998</v>
      </c>
      <c r="T280" s="242">
        <f>'[2]Mexico Sun Oil Exports'!IW$290</f>
        <v>4.0199999999999996</v>
      </c>
      <c r="U280" s="242">
        <f>'[2]Mexico Sun Oil Exports'!JI$290</f>
        <v>2.9340000000000002</v>
      </c>
      <c r="V280" s="242">
        <f>'[2]Mexico Sun Oil Exports'!JU$290</f>
        <v>3.6920000000000002</v>
      </c>
      <c r="W280" s="242">
        <f>'[2]Mexico Sun Oil Exports'!KG$290</f>
        <v>3.1949999999999998</v>
      </c>
      <c r="X280" s="242">
        <f>'[2]Mexico Sun Oil Exports'!KS$290</f>
        <v>2.948</v>
      </c>
      <c r="Y280" s="242">
        <f>'[2]Mexico Sun Oil Exports'!LE$290</f>
        <v>1.683667</v>
      </c>
      <c r="Z280" s="242">
        <f>'[2]Mexico Sun Oil Exports'!LQ$290</f>
        <v>1.220734</v>
      </c>
      <c r="AA280" s="242">
        <f>'[2]Mexico Sun Oil Exports'!MC$290</f>
        <v>1.8442970000000001</v>
      </c>
      <c r="AB280" s="242">
        <f>'[2]Mexico Sun Oil Exports'!MO$290</f>
        <v>1.926971</v>
      </c>
      <c r="AC280" s="242">
        <f>'[2]Mexico Sun Oil Exports'!NA$290</f>
        <v>2.6629999999999998</v>
      </c>
      <c r="AD280" s="243">
        <f t="shared" si="139"/>
        <v>9.3302524343765417E-2</v>
      </c>
      <c r="AE280" s="243">
        <f t="shared" si="137"/>
        <v>0.99889410235592768</v>
      </c>
    </row>
    <row r="281" spans="1:31">
      <c r="A281" s="240" t="s">
        <v>237</v>
      </c>
      <c r="B281" s="241">
        <f t="shared" si="138"/>
        <v>0</v>
      </c>
      <c r="C281" s="242">
        <f>'[2]Mexico Sun Oil Exports'!BB$290</f>
        <v>4.694</v>
      </c>
      <c r="D281" s="242">
        <f>'[2]Mexico Sun Oil Exports'!BN$290</f>
        <v>4.0190000000000001</v>
      </c>
      <c r="E281" s="242">
        <f>'[2]Mexico Sun Oil Exports'!BZ$290</f>
        <v>3.4319999999999999</v>
      </c>
      <c r="F281" s="242">
        <f>'[2]Mexico Sun Oil Exports'!CL$290</f>
        <v>6.7169999999999996</v>
      </c>
      <c r="G281" s="242">
        <f>'[2]Mexico Sun Oil Exports'!CX$290</f>
        <v>6.2430000000000003</v>
      </c>
      <c r="H281" s="242">
        <f>'[2]Mexico Sun Oil Exports'!DJ$290</f>
        <v>3.2930000000000001</v>
      </c>
      <c r="I281" s="242">
        <f>'[2]Mexico Sun Oil Exports'!DV$290</f>
        <v>1.9530000000000001</v>
      </c>
      <c r="J281" s="242">
        <f>'[2]Mexico Sun Oil Exports'!EH$290</f>
        <v>3.0390000000000001</v>
      </c>
      <c r="K281" s="242">
        <f>'[2]Mexico Sun Oil Exports'!ET$290</f>
        <v>6.8970000000000002</v>
      </c>
      <c r="L281" s="242">
        <f>'[2]Mexico Sun Oil Exports'!FF$290</f>
        <v>6.8280000000000003</v>
      </c>
      <c r="M281" s="242">
        <f>'[2]Mexico Sun Oil Exports'!FR$290</f>
        <v>3.2469999999999999</v>
      </c>
      <c r="N281" s="242">
        <f>'[2]Mexico Sun Oil Exports'!GD$290</f>
        <v>4.319</v>
      </c>
      <c r="O281" s="242">
        <f>'[2]Mexico Sun Oil Exports'!GP$290</f>
        <v>4.7789999999999999</v>
      </c>
      <c r="P281" s="242">
        <f>'[2]Mexico Sun Oil Exports'!HB$290</f>
        <v>3.343</v>
      </c>
      <c r="Q281" s="242">
        <f>'[2]Mexico Sun Oil Exports'!HN$290</f>
        <v>2.4609999999999999</v>
      </c>
      <c r="R281" s="242">
        <f>'[2]Mexico Sun Oil Exports'!HZ$290</f>
        <v>2.54</v>
      </c>
      <c r="S281" s="242">
        <f>'[2]Mexico Sun Oil Exports'!IL$290</f>
        <v>3.0209999999999999</v>
      </c>
      <c r="T281" s="242">
        <f>'[2]Mexico Sun Oil Exports'!IX$290</f>
        <v>4.5869999999999997</v>
      </c>
      <c r="U281" s="242">
        <f>'[2]Mexico Sun Oil Exports'!JJ$290</f>
        <v>2.125</v>
      </c>
      <c r="V281" s="242">
        <f>'[2]Mexico Sun Oil Exports'!JV$290</f>
        <v>3.847</v>
      </c>
      <c r="W281" s="242">
        <f>'[2]Mexico Sun Oil Exports'!KH$290</f>
        <v>0.71099999999999997</v>
      </c>
      <c r="X281" s="242">
        <f>'[2]Mexico Sun Oil Exports'!KT$290</f>
        <v>1.573</v>
      </c>
      <c r="Y281" s="242">
        <f>'[2]Mexico Sun Oil Exports'!LF$290</f>
        <v>1.810044</v>
      </c>
      <c r="Z281" s="242">
        <f>'[2]Mexico Sun Oil Exports'!LR$290</f>
        <v>3.0104980000000001</v>
      </c>
      <c r="AA281" s="242">
        <f>'[2]Mexico Sun Oil Exports'!MD$290</f>
        <v>2.2990439999999999</v>
      </c>
      <c r="AB281" s="242">
        <f>'[2]Mexico Sun Oil Exports'!MP$290</f>
        <v>1.579591</v>
      </c>
      <c r="AC281" s="242">
        <f>'[2]Mexico Sun Oil Exports'!NB$290</f>
        <v>2.6269999999999998</v>
      </c>
      <c r="AD281" s="243">
        <f t="shared" si="139"/>
        <v>9.9589880388235227E-2</v>
      </c>
      <c r="AE281" s="243">
        <f t="shared" si="137"/>
        <v>1.2114843568756271</v>
      </c>
    </row>
    <row r="282" spans="1:31">
      <c r="A282" s="240" t="s">
        <v>238</v>
      </c>
      <c r="B282" s="241">
        <f t="shared" si="138"/>
        <v>0</v>
      </c>
      <c r="C282" s="242">
        <f>'[2]Mexico Sun Oil Exports'!BC$290</f>
        <v>5.7370000000000001</v>
      </c>
      <c r="D282" s="242">
        <f>'[2]Mexico Sun Oil Exports'!BO$290</f>
        <v>5.8979999999999997</v>
      </c>
      <c r="E282" s="242">
        <f>'[2]Mexico Sun Oil Exports'!CA$290</f>
        <v>5.3639999999999999</v>
      </c>
      <c r="F282" s="242">
        <f>'[2]Mexico Sun Oil Exports'!CM$290</f>
        <v>1.8520000000000001</v>
      </c>
      <c r="G282" s="242">
        <f>'[2]Mexico Sun Oil Exports'!CY$290</f>
        <v>5.3789999999999996</v>
      </c>
      <c r="H282" s="242">
        <f>'[2]Mexico Sun Oil Exports'!DK$290</f>
        <v>2.9350000000000001</v>
      </c>
      <c r="I282" s="242">
        <f>'[2]Mexico Sun Oil Exports'!DW$290</f>
        <v>3.0489999999999999</v>
      </c>
      <c r="J282" s="242">
        <f>'[2]Mexico Sun Oil Exports'!EI$290</f>
        <v>0.86199999999999999</v>
      </c>
      <c r="K282" s="242">
        <f>'[2]Mexico Sun Oil Exports'!EU$290</f>
        <v>3.423</v>
      </c>
      <c r="L282" s="242">
        <f>'[2]Mexico Sun Oil Exports'!FG$290</f>
        <v>2.7639999999999998</v>
      </c>
      <c r="M282" s="242">
        <f>'[2]Mexico Sun Oil Exports'!FS$290</f>
        <v>2.988</v>
      </c>
      <c r="N282" s="242">
        <f>'[2]Mexico Sun Oil Exports'!GE$290</f>
        <v>3.0070000000000001</v>
      </c>
      <c r="O282" s="242">
        <f>'[2]Mexico Sun Oil Exports'!GQ$290</f>
        <v>5.2889999999999997</v>
      </c>
      <c r="P282" s="242">
        <f>'[2]Mexico Sun Oil Exports'!HC$290</f>
        <v>2.7109999999999999</v>
      </c>
      <c r="Q282" s="242">
        <f>'[2]Mexico Sun Oil Exports'!HO$290</f>
        <v>3.2120000000000002</v>
      </c>
      <c r="R282" s="242">
        <f>'[2]Mexico Sun Oil Exports'!IA$290</f>
        <v>2.3650000000000002</v>
      </c>
      <c r="S282" s="242">
        <f>'[2]Mexico Sun Oil Exports'!IM$290</f>
        <v>2.5379999999999998</v>
      </c>
      <c r="T282" s="242">
        <f>'[2]Mexico Sun Oil Exports'!IY$290</f>
        <v>3.9860000000000002</v>
      </c>
      <c r="U282" s="242">
        <f>'[2]Mexico Sun Oil Exports'!JK$290</f>
        <v>1.8680000000000001</v>
      </c>
      <c r="V282" s="242">
        <f>'[2]Mexico Sun Oil Exports'!JW$290</f>
        <v>3.69</v>
      </c>
      <c r="W282" s="242">
        <f>'[2]Mexico Sun Oil Exports'!KI$290</f>
        <v>2.3039999999999998</v>
      </c>
      <c r="X282" s="242">
        <f>'[2]Mexico Sun Oil Exports'!KU$290</f>
        <v>0.99199999999999999</v>
      </c>
      <c r="Y282" s="242">
        <f>'[2]Mexico Sun Oil Exports'!LG$290</f>
        <v>0.99918499999999999</v>
      </c>
      <c r="Z282" s="242">
        <f>'[2]Mexico Sun Oil Exports'!LS$290</f>
        <v>1.044616</v>
      </c>
      <c r="AA282" s="242">
        <f>'[2]Mexico Sun Oil Exports'!ME$290</f>
        <v>1.8985050000000001</v>
      </c>
      <c r="AB282" s="242">
        <f>'[2]Mexico Sun Oil Exports'!MQ$290</f>
        <v>1.8431329999999999</v>
      </c>
      <c r="AC282" s="242">
        <f>'[2]Mexico Sun Oil Exports'!NC$290</f>
        <v>2.7090000000000001</v>
      </c>
      <c r="AD282" s="243">
        <f t="shared" ref="AD282:AE282" si="140">AD283-SUM(AD271:AD281)</f>
        <v>-4.5840704325464356</v>
      </c>
      <c r="AE282" s="243">
        <f t="shared" si="140"/>
        <v>0.9085925435329365</v>
      </c>
    </row>
    <row r="283" spans="1:31" ht="15.75" thickBot="1">
      <c r="A283" s="240" t="s">
        <v>242</v>
      </c>
      <c r="B283" s="242">
        <f t="shared" ref="B283:C283" si="141">B40</f>
        <v>0</v>
      </c>
      <c r="C283" s="242">
        <f t="shared" si="141"/>
        <v>1</v>
      </c>
      <c r="D283" s="242">
        <f t="shared" ref="D283:W283" si="142">SUM(D271:D282)</f>
        <v>42.120999999999995</v>
      </c>
      <c r="E283" s="242">
        <f t="shared" si="142"/>
        <v>40.882000000000005</v>
      </c>
      <c r="F283" s="242">
        <f t="shared" si="142"/>
        <v>47.43399999999999</v>
      </c>
      <c r="G283" s="242">
        <f t="shared" si="142"/>
        <v>49.39</v>
      </c>
      <c r="H283" s="242">
        <f t="shared" si="142"/>
        <v>41.030999999999999</v>
      </c>
      <c r="I283" s="242">
        <f t="shared" si="142"/>
        <v>26.21</v>
      </c>
      <c r="J283" s="242">
        <f t="shared" si="142"/>
        <v>20.001000000000001</v>
      </c>
      <c r="K283" s="242">
        <f t="shared" si="142"/>
        <v>35.198999999999998</v>
      </c>
      <c r="L283" s="242">
        <f t="shared" si="142"/>
        <v>37.338999999999999</v>
      </c>
      <c r="M283" s="242">
        <f t="shared" si="142"/>
        <v>37.036999999999999</v>
      </c>
      <c r="N283" s="242">
        <f t="shared" si="142"/>
        <v>36.883000000000003</v>
      </c>
      <c r="O283" s="242">
        <f t="shared" si="142"/>
        <v>41.177</v>
      </c>
      <c r="P283" s="242">
        <f t="shared" si="142"/>
        <v>42.966999999999999</v>
      </c>
      <c r="Q283" s="242">
        <f t="shared" si="142"/>
        <v>21.48</v>
      </c>
      <c r="R283" s="242">
        <f t="shared" si="142"/>
        <v>24.275999999999996</v>
      </c>
      <c r="S283" s="242">
        <f t="shared" si="142"/>
        <v>25.407999999999998</v>
      </c>
      <c r="T283" s="242">
        <f t="shared" si="142"/>
        <v>32.9</v>
      </c>
      <c r="U283" s="242">
        <f t="shared" si="142"/>
        <v>31.591000000000001</v>
      </c>
      <c r="V283" s="242">
        <f t="shared" si="142"/>
        <v>35.400000000000006</v>
      </c>
      <c r="W283" s="242">
        <f t="shared" si="142"/>
        <v>30.016999999999992</v>
      </c>
      <c r="X283" s="242">
        <f>SUM(X271:X282)</f>
        <v>21.62</v>
      </c>
      <c r="Y283" s="242">
        <f>SUM(Y271:Y282)</f>
        <v>19.877739000000002</v>
      </c>
      <c r="Z283" s="242">
        <f t="shared" ref="Z283:AB283" si="143">SUM(Z271:Z282)</f>
        <v>18.320311000000004</v>
      </c>
      <c r="AA283" s="242">
        <f t="shared" si="143"/>
        <v>21.277681000000001</v>
      </c>
      <c r="AB283" s="242">
        <f t="shared" si="143"/>
        <v>22.049056</v>
      </c>
      <c r="AC283" s="242">
        <f>SUM(AC271:AC282)</f>
        <v>27.367087999999999</v>
      </c>
      <c r="AD283" s="243">
        <f t="shared" ref="AD283:AE283" si="144">AD40</f>
        <v>1</v>
      </c>
      <c r="AE283" s="243">
        <f t="shared" si="144"/>
        <v>11.647425530552468</v>
      </c>
    </row>
    <row r="284" spans="1:31">
      <c r="A284" s="248"/>
      <c r="B284" s="248"/>
      <c r="C284" s="263"/>
      <c r="D284" s="263"/>
      <c r="E284" s="263"/>
      <c r="F284" s="263"/>
      <c r="G284" s="263"/>
      <c r="H284" s="263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  <c r="AD284" s="248"/>
      <c r="AE284" s="248"/>
    </row>
    <row r="285" spans="1:31" ht="15.75" thickBot="1">
      <c r="A285" s="235" t="s">
        <v>268</v>
      </c>
      <c r="D285" s="264"/>
      <c r="E285" s="264"/>
      <c r="F285" s="264"/>
      <c r="G285" s="264"/>
      <c r="H285" s="264"/>
      <c r="I285" s="264"/>
    </row>
    <row r="286" spans="1:31" ht="15.75" thickBot="1">
      <c r="A286" s="236"/>
      <c r="B286" s="237" t="str">
        <f>B$2</f>
        <v xml:space="preserve">93/94 </v>
      </c>
      <c r="C286" s="237" t="str">
        <f t="shared" ref="C286:AE286" si="145">C$2</f>
        <v xml:space="preserve">94/95 </v>
      </c>
      <c r="D286" s="237" t="str">
        <f t="shared" si="145"/>
        <v xml:space="preserve">95/96 </v>
      </c>
      <c r="E286" s="237" t="str">
        <f t="shared" si="145"/>
        <v xml:space="preserve">96/97 </v>
      </c>
      <c r="F286" s="237" t="str">
        <f t="shared" si="145"/>
        <v xml:space="preserve">97/98 </v>
      </c>
      <c r="G286" s="237" t="str">
        <f t="shared" si="145"/>
        <v xml:space="preserve">98/99 </v>
      </c>
      <c r="H286" s="237" t="str">
        <f t="shared" si="145"/>
        <v xml:space="preserve">99/00 </v>
      </c>
      <c r="I286" s="237" t="str">
        <f t="shared" si="145"/>
        <v xml:space="preserve">00/01 </v>
      </c>
      <c r="J286" s="237" t="str">
        <f t="shared" si="145"/>
        <v xml:space="preserve">01/02 </v>
      </c>
      <c r="K286" s="237" t="str">
        <f t="shared" si="145"/>
        <v xml:space="preserve">02/03 </v>
      </c>
      <c r="L286" s="237" t="str">
        <f t="shared" si="145"/>
        <v xml:space="preserve">03/04 </v>
      </c>
      <c r="M286" s="237" t="str">
        <f t="shared" si="145"/>
        <v xml:space="preserve">04/05 </v>
      </c>
      <c r="N286" s="237" t="str">
        <f t="shared" si="145"/>
        <v xml:space="preserve">05/06 </v>
      </c>
      <c r="O286" s="237" t="str">
        <f t="shared" si="145"/>
        <v xml:space="preserve">06/07 </v>
      </c>
      <c r="P286" s="237" t="str">
        <f t="shared" si="145"/>
        <v xml:space="preserve">07/08 </v>
      </c>
      <c r="Q286" s="237" t="str">
        <f t="shared" si="145"/>
        <v xml:space="preserve">08/09 </v>
      </c>
      <c r="R286" s="237" t="str">
        <f t="shared" si="145"/>
        <v xml:space="preserve">09/10 </v>
      </c>
      <c r="S286" s="237" t="str">
        <f t="shared" si="145"/>
        <v xml:space="preserve">10/11 </v>
      </c>
      <c r="T286" s="237" t="str">
        <f t="shared" si="145"/>
        <v xml:space="preserve">11/12 </v>
      </c>
      <c r="U286" s="237" t="str">
        <f t="shared" si="145"/>
        <v xml:space="preserve">12/13 </v>
      </c>
      <c r="V286" s="237" t="str">
        <f t="shared" si="145"/>
        <v xml:space="preserve">13/14 </v>
      </c>
      <c r="W286" s="237" t="str">
        <f t="shared" si="145"/>
        <v xml:space="preserve">14/15 </v>
      </c>
      <c r="X286" s="237" t="str">
        <f t="shared" si="145"/>
        <v xml:space="preserve">15/16 </v>
      </c>
      <c r="Y286" s="237" t="str">
        <f t="shared" si="145"/>
        <v xml:space="preserve">16/17 </v>
      </c>
      <c r="Z286" s="237" t="str">
        <f t="shared" si="145"/>
        <v xml:space="preserve">17/18 </v>
      </c>
      <c r="AA286" s="237" t="str">
        <f t="shared" si="145"/>
        <v xml:space="preserve">18/19 </v>
      </c>
      <c r="AB286" s="237" t="str">
        <f t="shared" si="145"/>
        <v xml:space="preserve">19/20 </v>
      </c>
      <c r="AC286" s="237" t="str">
        <f t="shared" si="145"/>
        <v xml:space="preserve">20/21 </v>
      </c>
      <c r="AD286" s="237" t="str">
        <f t="shared" si="145"/>
        <v xml:space="preserve">21/22 </v>
      </c>
      <c r="AE286" s="237" t="str">
        <f t="shared" si="145"/>
        <v xml:space="preserve">22/23 </v>
      </c>
    </row>
    <row r="287" spans="1:31">
      <c r="A287" s="240" t="s">
        <v>239</v>
      </c>
      <c r="B287" s="290">
        <f t="shared" ref="B287:Q298" si="146">B$299/12</f>
        <v>19.75</v>
      </c>
      <c r="C287" s="290">
        <f t="shared" si="146"/>
        <v>20.416666666666668</v>
      </c>
      <c r="D287" s="290">
        <f t="shared" si="146"/>
        <v>21.833333333333332</v>
      </c>
      <c r="E287" s="290">
        <f t="shared" si="146"/>
        <v>22.083333333333332</v>
      </c>
      <c r="F287" s="290">
        <f t="shared" si="146"/>
        <v>21.166666666666668</v>
      </c>
      <c r="G287" s="290">
        <f t="shared" si="146"/>
        <v>16.833333333333332</v>
      </c>
      <c r="H287" s="290">
        <f t="shared" si="146"/>
        <v>15.166666666666666</v>
      </c>
      <c r="I287" s="290">
        <f t="shared" si="146"/>
        <v>4.583333333333333</v>
      </c>
      <c r="J287" s="290">
        <f t="shared" si="146"/>
        <v>3.25</v>
      </c>
      <c r="K287" s="290">
        <f t="shared" si="146"/>
        <v>4.833333333333333</v>
      </c>
      <c r="L287" s="290">
        <f t="shared" si="146"/>
        <v>5.666666666666667</v>
      </c>
      <c r="M287" s="290">
        <f t="shared" si="146"/>
        <v>4</v>
      </c>
      <c r="N287" s="290">
        <f t="shared" si="146"/>
        <v>4.5</v>
      </c>
      <c r="O287" s="290">
        <f t="shared" si="146"/>
        <v>3.9166666666666665</v>
      </c>
      <c r="P287" s="290">
        <f t="shared" si="146"/>
        <v>0.41666666666666669</v>
      </c>
      <c r="Q287" s="290">
        <f t="shared" si="146"/>
        <v>1.0833333333333333</v>
      </c>
      <c r="R287" s="290">
        <f t="shared" ref="R287:AE298" si="147">R$299/12</f>
        <v>0.25</v>
      </c>
      <c r="S287" s="290">
        <f t="shared" si="147"/>
        <v>1.4166666666666667</v>
      </c>
      <c r="T287" s="290">
        <f t="shared" si="147"/>
        <v>0.33333333333333331</v>
      </c>
      <c r="U287" s="290">
        <f t="shared" si="147"/>
        <v>0.58333333333333337</v>
      </c>
      <c r="V287" s="290">
        <f t="shared" si="147"/>
        <v>1</v>
      </c>
      <c r="W287" s="290">
        <f t="shared" si="147"/>
        <v>1.5</v>
      </c>
      <c r="X287" s="290">
        <f t="shared" si="147"/>
        <v>1.5833333333333333</v>
      </c>
      <c r="Y287" s="290">
        <f t="shared" si="147"/>
        <v>1.75</v>
      </c>
      <c r="Z287" s="290">
        <f t="shared" si="147"/>
        <v>7.5</v>
      </c>
      <c r="AA287" s="290">
        <f t="shared" si="147"/>
        <v>7.916666666666667</v>
      </c>
      <c r="AB287" s="290">
        <f t="shared" si="147"/>
        <v>2.0833333333333335</v>
      </c>
      <c r="AC287" s="290">
        <f t="shared" si="147"/>
        <v>2.5</v>
      </c>
      <c r="AD287" s="252">
        <f t="shared" si="147"/>
        <v>2.9166666666666665</v>
      </c>
      <c r="AE287" s="252">
        <f t="shared" si="147"/>
        <v>2.25</v>
      </c>
    </row>
    <row r="288" spans="1:31">
      <c r="A288" s="240" t="s">
        <v>240</v>
      </c>
      <c r="B288" s="290">
        <f t="shared" si="146"/>
        <v>19.75</v>
      </c>
      <c r="C288" s="290">
        <f t="shared" si="146"/>
        <v>20.416666666666668</v>
      </c>
      <c r="D288" s="290">
        <f t="shared" si="146"/>
        <v>21.833333333333332</v>
      </c>
      <c r="E288" s="290">
        <f t="shared" si="146"/>
        <v>22.083333333333332</v>
      </c>
      <c r="F288" s="290">
        <f t="shared" si="146"/>
        <v>21.166666666666668</v>
      </c>
      <c r="G288" s="290">
        <f t="shared" si="146"/>
        <v>16.833333333333332</v>
      </c>
      <c r="H288" s="290">
        <f t="shared" si="146"/>
        <v>15.166666666666666</v>
      </c>
      <c r="I288" s="290">
        <f t="shared" si="146"/>
        <v>4.583333333333333</v>
      </c>
      <c r="J288" s="290">
        <f t="shared" si="146"/>
        <v>3.25</v>
      </c>
      <c r="K288" s="290">
        <f t="shared" si="146"/>
        <v>4.833333333333333</v>
      </c>
      <c r="L288" s="290">
        <f t="shared" si="146"/>
        <v>5.666666666666667</v>
      </c>
      <c r="M288" s="290">
        <f t="shared" si="146"/>
        <v>4</v>
      </c>
      <c r="N288" s="290">
        <f t="shared" si="146"/>
        <v>4.5</v>
      </c>
      <c r="O288" s="290">
        <f t="shared" si="146"/>
        <v>3.9166666666666665</v>
      </c>
      <c r="P288" s="290">
        <f t="shared" si="146"/>
        <v>0.41666666666666669</v>
      </c>
      <c r="Q288" s="290">
        <f t="shared" si="146"/>
        <v>1.0833333333333333</v>
      </c>
      <c r="R288" s="290">
        <f t="shared" si="147"/>
        <v>0.25</v>
      </c>
      <c r="S288" s="290">
        <f t="shared" si="147"/>
        <v>1.4166666666666667</v>
      </c>
      <c r="T288" s="290">
        <f t="shared" si="147"/>
        <v>0.33333333333333331</v>
      </c>
      <c r="U288" s="290">
        <f t="shared" si="147"/>
        <v>0.58333333333333337</v>
      </c>
      <c r="V288" s="290">
        <f t="shared" si="147"/>
        <v>1</v>
      </c>
      <c r="W288" s="290">
        <f t="shared" si="147"/>
        <v>1.5</v>
      </c>
      <c r="X288" s="290">
        <f t="shared" si="147"/>
        <v>1.5833333333333333</v>
      </c>
      <c r="Y288" s="290">
        <f t="shared" si="147"/>
        <v>1.75</v>
      </c>
      <c r="Z288" s="290">
        <f t="shared" si="147"/>
        <v>7.5</v>
      </c>
      <c r="AA288" s="290">
        <f t="shared" si="147"/>
        <v>7.916666666666667</v>
      </c>
      <c r="AB288" s="290">
        <f t="shared" si="147"/>
        <v>2.0833333333333335</v>
      </c>
      <c r="AC288" s="290">
        <f t="shared" si="147"/>
        <v>2.5</v>
      </c>
      <c r="AD288" s="252">
        <f t="shared" si="147"/>
        <v>2.9166666666666665</v>
      </c>
      <c r="AE288" s="252">
        <f t="shared" si="147"/>
        <v>2.25</v>
      </c>
    </row>
    <row r="289" spans="1:31">
      <c r="A289" s="240" t="s">
        <v>241</v>
      </c>
      <c r="B289" s="290">
        <f t="shared" si="146"/>
        <v>19.75</v>
      </c>
      <c r="C289" s="290">
        <f t="shared" si="146"/>
        <v>20.416666666666668</v>
      </c>
      <c r="D289" s="290">
        <f t="shared" si="146"/>
        <v>21.833333333333332</v>
      </c>
      <c r="E289" s="290">
        <f t="shared" si="146"/>
        <v>22.083333333333332</v>
      </c>
      <c r="F289" s="290">
        <f t="shared" si="146"/>
        <v>21.166666666666668</v>
      </c>
      <c r="G289" s="290">
        <f t="shared" si="146"/>
        <v>16.833333333333332</v>
      </c>
      <c r="H289" s="290">
        <f t="shared" si="146"/>
        <v>15.166666666666666</v>
      </c>
      <c r="I289" s="290">
        <f t="shared" si="146"/>
        <v>4.583333333333333</v>
      </c>
      <c r="J289" s="290">
        <f t="shared" si="146"/>
        <v>3.25</v>
      </c>
      <c r="K289" s="290">
        <f t="shared" si="146"/>
        <v>4.833333333333333</v>
      </c>
      <c r="L289" s="290">
        <f t="shared" si="146"/>
        <v>5.666666666666667</v>
      </c>
      <c r="M289" s="290">
        <f t="shared" si="146"/>
        <v>4</v>
      </c>
      <c r="N289" s="290">
        <f t="shared" si="146"/>
        <v>4.5</v>
      </c>
      <c r="O289" s="290">
        <f t="shared" si="146"/>
        <v>3.9166666666666665</v>
      </c>
      <c r="P289" s="290">
        <f t="shared" si="146"/>
        <v>0.41666666666666669</v>
      </c>
      <c r="Q289" s="290">
        <f t="shared" si="146"/>
        <v>1.0833333333333333</v>
      </c>
      <c r="R289" s="290">
        <f t="shared" si="147"/>
        <v>0.25</v>
      </c>
      <c r="S289" s="290">
        <f t="shared" si="147"/>
        <v>1.4166666666666667</v>
      </c>
      <c r="T289" s="290">
        <f t="shared" si="147"/>
        <v>0.33333333333333331</v>
      </c>
      <c r="U289" s="290">
        <f t="shared" si="147"/>
        <v>0.58333333333333337</v>
      </c>
      <c r="V289" s="290">
        <f t="shared" si="147"/>
        <v>1</v>
      </c>
      <c r="W289" s="290">
        <f t="shared" si="147"/>
        <v>1.5</v>
      </c>
      <c r="X289" s="290">
        <f t="shared" si="147"/>
        <v>1.5833333333333333</v>
      </c>
      <c r="Y289" s="290">
        <f t="shared" si="147"/>
        <v>1.75</v>
      </c>
      <c r="Z289" s="290">
        <f t="shared" si="147"/>
        <v>7.5</v>
      </c>
      <c r="AA289" s="290">
        <f t="shared" si="147"/>
        <v>7.916666666666667</v>
      </c>
      <c r="AB289" s="290">
        <f t="shared" si="147"/>
        <v>2.0833333333333335</v>
      </c>
      <c r="AC289" s="290">
        <f t="shared" si="147"/>
        <v>2.5</v>
      </c>
      <c r="AD289" s="252">
        <f t="shared" si="147"/>
        <v>2.9166666666666665</v>
      </c>
      <c r="AE289" s="252">
        <f t="shared" si="147"/>
        <v>2.25</v>
      </c>
    </row>
    <row r="290" spans="1:31">
      <c r="A290" s="240" t="s">
        <v>231</v>
      </c>
      <c r="B290" s="290">
        <f t="shared" si="146"/>
        <v>19.75</v>
      </c>
      <c r="C290" s="290">
        <f t="shared" si="146"/>
        <v>20.416666666666668</v>
      </c>
      <c r="D290" s="290">
        <f t="shared" si="146"/>
        <v>21.833333333333332</v>
      </c>
      <c r="E290" s="290">
        <f t="shared" si="146"/>
        <v>22.083333333333332</v>
      </c>
      <c r="F290" s="290">
        <f t="shared" si="146"/>
        <v>21.166666666666668</v>
      </c>
      <c r="G290" s="290">
        <f t="shared" si="146"/>
        <v>16.833333333333332</v>
      </c>
      <c r="H290" s="290">
        <f t="shared" si="146"/>
        <v>15.166666666666666</v>
      </c>
      <c r="I290" s="290">
        <f t="shared" si="146"/>
        <v>4.583333333333333</v>
      </c>
      <c r="J290" s="290">
        <f t="shared" si="146"/>
        <v>3.25</v>
      </c>
      <c r="K290" s="290">
        <f t="shared" si="146"/>
        <v>4.833333333333333</v>
      </c>
      <c r="L290" s="290">
        <f t="shared" si="146"/>
        <v>5.666666666666667</v>
      </c>
      <c r="M290" s="290">
        <f t="shared" si="146"/>
        <v>4</v>
      </c>
      <c r="N290" s="290">
        <f t="shared" si="146"/>
        <v>4.5</v>
      </c>
      <c r="O290" s="290">
        <f t="shared" si="146"/>
        <v>3.9166666666666665</v>
      </c>
      <c r="P290" s="290">
        <f t="shared" si="146"/>
        <v>0.41666666666666669</v>
      </c>
      <c r="Q290" s="290">
        <f t="shared" si="146"/>
        <v>1.0833333333333333</v>
      </c>
      <c r="R290" s="290">
        <f t="shared" si="147"/>
        <v>0.25</v>
      </c>
      <c r="S290" s="290">
        <f t="shared" si="147"/>
        <v>1.4166666666666667</v>
      </c>
      <c r="T290" s="290">
        <f t="shared" si="147"/>
        <v>0.33333333333333331</v>
      </c>
      <c r="U290" s="290">
        <f t="shared" si="147"/>
        <v>0.58333333333333337</v>
      </c>
      <c r="V290" s="290">
        <f t="shared" si="147"/>
        <v>1</v>
      </c>
      <c r="W290" s="290">
        <f t="shared" si="147"/>
        <v>1.5</v>
      </c>
      <c r="X290" s="290">
        <f t="shared" si="147"/>
        <v>1.5833333333333333</v>
      </c>
      <c r="Y290" s="290">
        <f t="shared" si="147"/>
        <v>1.75</v>
      </c>
      <c r="Z290" s="290">
        <f t="shared" si="147"/>
        <v>7.5</v>
      </c>
      <c r="AA290" s="290">
        <f t="shared" si="147"/>
        <v>7.916666666666667</v>
      </c>
      <c r="AB290" s="290">
        <f t="shared" si="147"/>
        <v>2.0833333333333335</v>
      </c>
      <c r="AC290" s="290">
        <f t="shared" si="147"/>
        <v>2.5</v>
      </c>
      <c r="AD290" s="252">
        <f t="shared" si="147"/>
        <v>2.9166666666666665</v>
      </c>
      <c r="AE290" s="252">
        <f t="shared" si="147"/>
        <v>2.25</v>
      </c>
    </row>
    <row r="291" spans="1:31">
      <c r="A291" s="240" t="s">
        <v>232</v>
      </c>
      <c r="B291" s="290">
        <f t="shared" si="146"/>
        <v>19.75</v>
      </c>
      <c r="C291" s="290">
        <f t="shared" si="146"/>
        <v>20.416666666666668</v>
      </c>
      <c r="D291" s="290">
        <f t="shared" si="146"/>
        <v>21.833333333333332</v>
      </c>
      <c r="E291" s="290">
        <f t="shared" si="146"/>
        <v>22.083333333333332</v>
      </c>
      <c r="F291" s="290">
        <f t="shared" si="146"/>
        <v>21.166666666666668</v>
      </c>
      <c r="G291" s="290">
        <f t="shared" si="146"/>
        <v>16.833333333333332</v>
      </c>
      <c r="H291" s="290">
        <f t="shared" si="146"/>
        <v>15.166666666666666</v>
      </c>
      <c r="I291" s="290">
        <f t="shared" si="146"/>
        <v>4.583333333333333</v>
      </c>
      <c r="J291" s="290">
        <f t="shared" si="146"/>
        <v>3.25</v>
      </c>
      <c r="K291" s="290">
        <f t="shared" si="146"/>
        <v>4.833333333333333</v>
      </c>
      <c r="L291" s="290">
        <f t="shared" si="146"/>
        <v>5.666666666666667</v>
      </c>
      <c r="M291" s="290">
        <f t="shared" si="146"/>
        <v>4</v>
      </c>
      <c r="N291" s="290">
        <f t="shared" si="146"/>
        <v>4.5</v>
      </c>
      <c r="O291" s="290">
        <f t="shared" si="146"/>
        <v>3.9166666666666665</v>
      </c>
      <c r="P291" s="290">
        <f t="shared" si="146"/>
        <v>0.41666666666666669</v>
      </c>
      <c r="Q291" s="290">
        <f t="shared" si="146"/>
        <v>1.0833333333333333</v>
      </c>
      <c r="R291" s="290">
        <f t="shared" si="147"/>
        <v>0.25</v>
      </c>
      <c r="S291" s="290">
        <f t="shared" si="147"/>
        <v>1.4166666666666667</v>
      </c>
      <c r="T291" s="290">
        <f t="shared" si="147"/>
        <v>0.33333333333333331</v>
      </c>
      <c r="U291" s="290">
        <f t="shared" si="147"/>
        <v>0.58333333333333337</v>
      </c>
      <c r="V291" s="290">
        <f t="shared" si="147"/>
        <v>1</v>
      </c>
      <c r="W291" s="290">
        <f t="shared" si="147"/>
        <v>1.5</v>
      </c>
      <c r="X291" s="290">
        <f t="shared" si="147"/>
        <v>1.5833333333333333</v>
      </c>
      <c r="Y291" s="290">
        <f t="shared" si="147"/>
        <v>1.75</v>
      </c>
      <c r="Z291" s="290">
        <f t="shared" si="147"/>
        <v>7.5</v>
      </c>
      <c r="AA291" s="290">
        <f t="shared" si="147"/>
        <v>7.916666666666667</v>
      </c>
      <c r="AB291" s="290">
        <f t="shared" si="147"/>
        <v>2.0833333333333335</v>
      </c>
      <c r="AC291" s="290">
        <f t="shared" si="147"/>
        <v>2.5</v>
      </c>
      <c r="AD291" s="252">
        <f t="shared" si="147"/>
        <v>2.9166666666666665</v>
      </c>
      <c r="AE291" s="252">
        <f t="shared" si="147"/>
        <v>2.25</v>
      </c>
    </row>
    <row r="292" spans="1:31">
      <c r="A292" s="240" t="s">
        <v>233</v>
      </c>
      <c r="B292" s="290">
        <f t="shared" si="146"/>
        <v>19.75</v>
      </c>
      <c r="C292" s="290">
        <f t="shared" si="146"/>
        <v>20.416666666666668</v>
      </c>
      <c r="D292" s="290">
        <f t="shared" si="146"/>
        <v>21.833333333333332</v>
      </c>
      <c r="E292" s="290">
        <f t="shared" si="146"/>
        <v>22.083333333333332</v>
      </c>
      <c r="F292" s="290">
        <f t="shared" si="146"/>
        <v>21.166666666666668</v>
      </c>
      <c r="G292" s="290">
        <f t="shared" si="146"/>
        <v>16.833333333333332</v>
      </c>
      <c r="H292" s="290">
        <f t="shared" si="146"/>
        <v>15.166666666666666</v>
      </c>
      <c r="I292" s="290">
        <f t="shared" si="146"/>
        <v>4.583333333333333</v>
      </c>
      <c r="J292" s="290">
        <f t="shared" si="146"/>
        <v>3.25</v>
      </c>
      <c r="K292" s="290">
        <f t="shared" si="146"/>
        <v>4.833333333333333</v>
      </c>
      <c r="L292" s="290">
        <f t="shared" si="146"/>
        <v>5.666666666666667</v>
      </c>
      <c r="M292" s="290">
        <f t="shared" si="146"/>
        <v>4</v>
      </c>
      <c r="N292" s="290">
        <f t="shared" si="146"/>
        <v>4.5</v>
      </c>
      <c r="O292" s="290">
        <f t="shared" si="146"/>
        <v>3.9166666666666665</v>
      </c>
      <c r="P292" s="290">
        <f t="shared" si="146"/>
        <v>0.41666666666666669</v>
      </c>
      <c r="Q292" s="290">
        <f t="shared" si="146"/>
        <v>1.0833333333333333</v>
      </c>
      <c r="R292" s="290">
        <f t="shared" si="147"/>
        <v>0.25</v>
      </c>
      <c r="S292" s="290">
        <f t="shared" si="147"/>
        <v>1.4166666666666667</v>
      </c>
      <c r="T292" s="290">
        <f t="shared" si="147"/>
        <v>0.33333333333333331</v>
      </c>
      <c r="U292" s="290">
        <f t="shared" si="147"/>
        <v>0.58333333333333337</v>
      </c>
      <c r="V292" s="290">
        <f t="shared" si="147"/>
        <v>1</v>
      </c>
      <c r="W292" s="290">
        <f t="shared" si="147"/>
        <v>1.5</v>
      </c>
      <c r="X292" s="290">
        <f t="shared" si="147"/>
        <v>1.5833333333333333</v>
      </c>
      <c r="Y292" s="290">
        <f t="shared" si="147"/>
        <v>1.75</v>
      </c>
      <c r="Z292" s="290">
        <f t="shared" si="147"/>
        <v>7.5</v>
      </c>
      <c r="AA292" s="290">
        <f t="shared" si="147"/>
        <v>7.916666666666667</v>
      </c>
      <c r="AB292" s="290">
        <f t="shared" si="147"/>
        <v>2.0833333333333335</v>
      </c>
      <c r="AC292" s="290">
        <f t="shared" si="147"/>
        <v>2.5</v>
      </c>
      <c r="AD292" s="252">
        <f t="shared" si="147"/>
        <v>2.9166666666666665</v>
      </c>
      <c r="AE292" s="252">
        <f t="shared" si="147"/>
        <v>2.25</v>
      </c>
    </row>
    <row r="293" spans="1:31">
      <c r="A293" s="240" t="s">
        <v>234</v>
      </c>
      <c r="B293" s="290">
        <f t="shared" si="146"/>
        <v>19.75</v>
      </c>
      <c r="C293" s="290">
        <f t="shared" si="146"/>
        <v>20.416666666666668</v>
      </c>
      <c r="D293" s="290">
        <f t="shared" si="146"/>
        <v>21.833333333333332</v>
      </c>
      <c r="E293" s="290">
        <f t="shared" si="146"/>
        <v>22.083333333333332</v>
      </c>
      <c r="F293" s="290">
        <f t="shared" si="146"/>
        <v>21.166666666666668</v>
      </c>
      <c r="G293" s="290">
        <f t="shared" si="146"/>
        <v>16.833333333333332</v>
      </c>
      <c r="H293" s="290">
        <f t="shared" si="146"/>
        <v>15.166666666666666</v>
      </c>
      <c r="I293" s="290">
        <f t="shared" si="146"/>
        <v>4.583333333333333</v>
      </c>
      <c r="J293" s="290">
        <f t="shared" si="146"/>
        <v>3.25</v>
      </c>
      <c r="K293" s="290">
        <f t="shared" si="146"/>
        <v>4.833333333333333</v>
      </c>
      <c r="L293" s="290">
        <f t="shared" si="146"/>
        <v>5.666666666666667</v>
      </c>
      <c r="M293" s="290">
        <f t="shared" si="146"/>
        <v>4</v>
      </c>
      <c r="N293" s="290">
        <f t="shared" si="146"/>
        <v>4.5</v>
      </c>
      <c r="O293" s="290">
        <f t="shared" si="146"/>
        <v>3.9166666666666665</v>
      </c>
      <c r="P293" s="290">
        <f t="shared" si="146"/>
        <v>0.41666666666666669</v>
      </c>
      <c r="Q293" s="290">
        <f t="shared" si="146"/>
        <v>1.0833333333333333</v>
      </c>
      <c r="R293" s="290">
        <f t="shared" si="147"/>
        <v>0.25</v>
      </c>
      <c r="S293" s="290">
        <f t="shared" si="147"/>
        <v>1.4166666666666667</v>
      </c>
      <c r="T293" s="290">
        <f t="shared" si="147"/>
        <v>0.33333333333333331</v>
      </c>
      <c r="U293" s="290">
        <f t="shared" si="147"/>
        <v>0.58333333333333337</v>
      </c>
      <c r="V293" s="290">
        <f t="shared" si="147"/>
        <v>1</v>
      </c>
      <c r="W293" s="290">
        <f t="shared" si="147"/>
        <v>1.5</v>
      </c>
      <c r="X293" s="290">
        <f t="shared" si="147"/>
        <v>1.5833333333333333</v>
      </c>
      <c r="Y293" s="290">
        <f t="shared" si="147"/>
        <v>1.75</v>
      </c>
      <c r="Z293" s="290">
        <f t="shared" si="147"/>
        <v>7.5</v>
      </c>
      <c r="AA293" s="290">
        <f t="shared" si="147"/>
        <v>7.916666666666667</v>
      </c>
      <c r="AB293" s="290">
        <f t="shared" si="147"/>
        <v>2.0833333333333335</v>
      </c>
      <c r="AC293" s="252">
        <f t="shared" si="147"/>
        <v>2.5</v>
      </c>
      <c r="AD293" s="252">
        <f t="shared" si="147"/>
        <v>2.9166666666666665</v>
      </c>
      <c r="AE293" s="252">
        <f t="shared" si="147"/>
        <v>2.25</v>
      </c>
    </row>
    <row r="294" spans="1:31">
      <c r="A294" s="240" t="s">
        <v>46</v>
      </c>
      <c r="B294" s="290">
        <f t="shared" si="146"/>
        <v>19.75</v>
      </c>
      <c r="C294" s="290">
        <f t="shared" si="146"/>
        <v>20.416666666666668</v>
      </c>
      <c r="D294" s="290">
        <f t="shared" si="146"/>
        <v>21.833333333333332</v>
      </c>
      <c r="E294" s="290">
        <f t="shared" si="146"/>
        <v>22.083333333333332</v>
      </c>
      <c r="F294" s="290">
        <f t="shared" si="146"/>
        <v>21.166666666666668</v>
      </c>
      <c r="G294" s="290">
        <f t="shared" si="146"/>
        <v>16.833333333333332</v>
      </c>
      <c r="H294" s="290">
        <f t="shared" si="146"/>
        <v>15.166666666666666</v>
      </c>
      <c r="I294" s="290">
        <f t="shared" si="146"/>
        <v>4.583333333333333</v>
      </c>
      <c r="J294" s="290">
        <f t="shared" si="146"/>
        <v>3.25</v>
      </c>
      <c r="K294" s="290">
        <f t="shared" si="146"/>
        <v>4.833333333333333</v>
      </c>
      <c r="L294" s="290">
        <f t="shared" si="146"/>
        <v>5.666666666666667</v>
      </c>
      <c r="M294" s="290">
        <f t="shared" si="146"/>
        <v>4</v>
      </c>
      <c r="N294" s="290">
        <f t="shared" si="146"/>
        <v>4.5</v>
      </c>
      <c r="O294" s="290">
        <f t="shared" si="146"/>
        <v>3.9166666666666665</v>
      </c>
      <c r="P294" s="290">
        <f t="shared" si="146"/>
        <v>0.41666666666666669</v>
      </c>
      <c r="Q294" s="290">
        <f t="shared" si="146"/>
        <v>1.0833333333333333</v>
      </c>
      <c r="R294" s="290">
        <f t="shared" si="147"/>
        <v>0.25</v>
      </c>
      <c r="S294" s="290">
        <f t="shared" si="147"/>
        <v>1.4166666666666667</v>
      </c>
      <c r="T294" s="290">
        <f t="shared" si="147"/>
        <v>0.33333333333333331</v>
      </c>
      <c r="U294" s="290">
        <f t="shared" si="147"/>
        <v>0.58333333333333337</v>
      </c>
      <c r="V294" s="290">
        <f t="shared" si="147"/>
        <v>1</v>
      </c>
      <c r="W294" s="290">
        <f t="shared" si="147"/>
        <v>1.5</v>
      </c>
      <c r="X294" s="290">
        <f t="shared" si="147"/>
        <v>1.5833333333333333</v>
      </c>
      <c r="Y294" s="290">
        <f t="shared" si="147"/>
        <v>1.75</v>
      </c>
      <c r="Z294" s="290">
        <f t="shared" si="147"/>
        <v>7.5</v>
      </c>
      <c r="AA294" s="290">
        <f t="shared" si="147"/>
        <v>7.916666666666667</v>
      </c>
      <c r="AB294" s="290">
        <f t="shared" si="147"/>
        <v>2.0833333333333335</v>
      </c>
      <c r="AC294" s="252">
        <f t="shared" si="147"/>
        <v>2.5</v>
      </c>
      <c r="AD294" s="252">
        <f t="shared" si="147"/>
        <v>2.9166666666666665</v>
      </c>
      <c r="AE294" s="252">
        <f t="shared" si="147"/>
        <v>2.25</v>
      </c>
    </row>
    <row r="295" spans="1:31">
      <c r="A295" s="240" t="s">
        <v>235</v>
      </c>
      <c r="B295" s="290">
        <f t="shared" si="146"/>
        <v>19.75</v>
      </c>
      <c r="C295" s="290">
        <f t="shared" si="146"/>
        <v>20.416666666666668</v>
      </c>
      <c r="D295" s="290">
        <f t="shared" si="146"/>
        <v>21.833333333333332</v>
      </c>
      <c r="E295" s="290">
        <f t="shared" si="146"/>
        <v>22.083333333333332</v>
      </c>
      <c r="F295" s="290">
        <f t="shared" si="146"/>
        <v>21.166666666666668</v>
      </c>
      <c r="G295" s="290">
        <f t="shared" si="146"/>
        <v>16.833333333333332</v>
      </c>
      <c r="H295" s="290">
        <f t="shared" si="146"/>
        <v>15.166666666666666</v>
      </c>
      <c r="I295" s="290">
        <f t="shared" si="146"/>
        <v>4.583333333333333</v>
      </c>
      <c r="J295" s="290">
        <f t="shared" si="146"/>
        <v>3.25</v>
      </c>
      <c r="K295" s="290">
        <f t="shared" si="146"/>
        <v>4.833333333333333</v>
      </c>
      <c r="L295" s="290">
        <f t="shared" si="146"/>
        <v>5.666666666666667</v>
      </c>
      <c r="M295" s="290">
        <f t="shared" si="146"/>
        <v>4</v>
      </c>
      <c r="N295" s="290">
        <f t="shared" si="146"/>
        <v>4.5</v>
      </c>
      <c r="O295" s="290">
        <f t="shared" si="146"/>
        <v>3.9166666666666665</v>
      </c>
      <c r="P295" s="290">
        <f t="shared" si="146"/>
        <v>0.41666666666666669</v>
      </c>
      <c r="Q295" s="290">
        <f t="shared" si="146"/>
        <v>1.0833333333333333</v>
      </c>
      <c r="R295" s="290">
        <f t="shared" si="147"/>
        <v>0.25</v>
      </c>
      <c r="S295" s="290">
        <f t="shared" si="147"/>
        <v>1.4166666666666667</v>
      </c>
      <c r="T295" s="290">
        <f t="shared" si="147"/>
        <v>0.33333333333333331</v>
      </c>
      <c r="U295" s="290">
        <f t="shared" si="147"/>
        <v>0.58333333333333337</v>
      </c>
      <c r="V295" s="290">
        <f t="shared" si="147"/>
        <v>1</v>
      </c>
      <c r="W295" s="290">
        <f t="shared" si="147"/>
        <v>1.5</v>
      </c>
      <c r="X295" s="290">
        <f t="shared" si="147"/>
        <v>1.5833333333333333</v>
      </c>
      <c r="Y295" s="290">
        <f t="shared" si="147"/>
        <v>1.75</v>
      </c>
      <c r="Z295" s="290">
        <f t="shared" si="147"/>
        <v>7.5</v>
      </c>
      <c r="AA295" s="290">
        <f t="shared" si="147"/>
        <v>7.916666666666667</v>
      </c>
      <c r="AB295" s="290">
        <f t="shared" si="147"/>
        <v>2.0833333333333335</v>
      </c>
      <c r="AC295" s="252">
        <f t="shared" si="147"/>
        <v>2.5</v>
      </c>
      <c r="AD295" s="252">
        <f t="shared" si="147"/>
        <v>2.9166666666666665</v>
      </c>
      <c r="AE295" s="252">
        <f t="shared" si="147"/>
        <v>2.25</v>
      </c>
    </row>
    <row r="296" spans="1:31">
      <c r="A296" s="240" t="s">
        <v>236</v>
      </c>
      <c r="B296" s="290">
        <f t="shared" si="146"/>
        <v>19.75</v>
      </c>
      <c r="C296" s="290">
        <f t="shared" si="146"/>
        <v>20.416666666666668</v>
      </c>
      <c r="D296" s="290">
        <f t="shared" si="146"/>
        <v>21.833333333333332</v>
      </c>
      <c r="E296" s="290">
        <f t="shared" si="146"/>
        <v>22.083333333333332</v>
      </c>
      <c r="F296" s="290">
        <f t="shared" si="146"/>
        <v>21.166666666666668</v>
      </c>
      <c r="G296" s="290">
        <f t="shared" si="146"/>
        <v>16.833333333333332</v>
      </c>
      <c r="H296" s="290">
        <f t="shared" si="146"/>
        <v>15.166666666666666</v>
      </c>
      <c r="I296" s="290">
        <f t="shared" si="146"/>
        <v>4.583333333333333</v>
      </c>
      <c r="J296" s="290">
        <f t="shared" si="146"/>
        <v>3.25</v>
      </c>
      <c r="K296" s="290">
        <f t="shared" si="146"/>
        <v>4.833333333333333</v>
      </c>
      <c r="L296" s="290">
        <f t="shared" si="146"/>
        <v>5.666666666666667</v>
      </c>
      <c r="M296" s="290">
        <f t="shared" si="146"/>
        <v>4</v>
      </c>
      <c r="N296" s="290">
        <f t="shared" si="146"/>
        <v>4.5</v>
      </c>
      <c r="O296" s="290">
        <f t="shared" si="146"/>
        <v>3.9166666666666665</v>
      </c>
      <c r="P296" s="290">
        <f t="shared" si="146"/>
        <v>0.41666666666666669</v>
      </c>
      <c r="Q296" s="290">
        <f t="shared" si="146"/>
        <v>1.0833333333333333</v>
      </c>
      <c r="R296" s="290">
        <f t="shared" si="147"/>
        <v>0.25</v>
      </c>
      <c r="S296" s="290">
        <f t="shared" si="147"/>
        <v>1.4166666666666667</v>
      </c>
      <c r="T296" s="290">
        <f t="shared" si="147"/>
        <v>0.33333333333333331</v>
      </c>
      <c r="U296" s="290">
        <f t="shared" si="147"/>
        <v>0.58333333333333337</v>
      </c>
      <c r="V296" s="290">
        <f t="shared" si="147"/>
        <v>1</v>
      </c>
      <c r="W296" s="290">
        <f t="shared" si="147"/>
        <v>1.5</v>
      </c>
      <c r="X296" s="290">
        <f t="shared" si="147"/>
        <v>1.5833333333333333</v>
      </c>
      <c r="Y296" s="290">
        <f t="shared" si="147"/>
        <v>1.75</v>
      </c>
      <c r="Z296" s="290">
        <f t="shared" si="147"/>
        <v>7.5</v>
      </c>
      <c r="AA296" s="290">
        <f t="shared" si="147"/>
        <v>7.916666666666667</v>
      </c>
      <c r="AB296" s="290">
        <f t="shared" si="147"/>
        <v>2.0833333333333335</v>
      </c>
      <c r="AC296" s="252">
        <f t="shared" si="147"/>
        <v>2.5</v>
      </c>
      <c r="AD296" s="252">
        <f t="shared" si="147"/>
        <v>2.9166666666666665</v>
      </c>
      <c r="AE296" s="252">
        <f t="shared" si="147"/>
        <v>2.25</v>
      </c>
    </row>
    <row r="297" spans="1:31">
      <c r="A297" s="240" t="s">
        <v>237</v>
      </c>
      <c r="B297" s="290">
        <f t="shared" si="146"/>
        <v>19.75</v>
      </c>
      <c r="C297" s="290">
        <f t="shared" si="146"/>
        <v>20.416666666666668</v>
      </c>
      <c r="D297" s="290">
        <f t="shared" si="146"/>
        <v>21.833333333333332</v>
      </c>
      <c r="E297" s="290">
        <f t="shared" si="146"/>
        <v>22.083333333333332</v>
      </c>
      <c r="F297" s="290">
        <f t="shared" si="146"/>
        <v>21.166666666666668</v>
      </c>
      <c r="G297" s="290">
        <f t="shared" si="146"/>
        <v>16.833333333333332</v>
      </c>
      <c r="H297" s="290">
        <f t="shared" si="146"/>
        <v>15.166666666666666</v>
      </c>
      <c r="I297" s="290">
        <f t="shared" si="146"/>
        <v>4.583333333333333</v>
      </c>
      <c r="J297" s="290">
        <f t="shared" si="146"/>
        <v>3.25</v>
      </c>
      <c r="K297" s="290">
        <f t="shared" si="146"/>
        <v>4.833333333333333</v>
      </c>
      <c r="L297" s="290">
        <f t="shared" si="146"/>
        <v>5.666666666666667</v>
      </c>
      <c r="M297" s="290">
        <f t="shared" si="146"/>
        <v>4</v>
      </c>
      <c r="N297" s="290">
        <f t="shared" si="146"/>
        <v>4.5</v>
      </c>
      <c r="O297" s="290">
        <f t="shared" si="146"/>
        <v>3.9166666666666665</v>
      </c>
      <c r="P297" s="290">
        <f t="shared" si="146"/>
        <v>0.41666666666666669</v>
      </c>
      <c r="Q297" s="290">
        <f t="shared" si="146"/>
        <v>1.0833333333333333</v>
      </c>
      <c r="R297" s="290">
        <f t="shared" si="147"/>
        <v>0.25</v>
      </c>
      <c r="S297" s="290">
        <f t="shared" si="147"/>
        <v>1.4166666666666667</v>
      </c>
      <c r="T297" s="290">
        <f t="shared" si="147"/>
        <v>0.33333333333333331</v>
      </c>
      <c r="U297" s="290">
        <f t="shared" si="147"/>
        <v>0.58333333333333337</v>
      </c>
      <c r="V297" s="290">
        <f t="shared" si="147"/>
        <v>1</v>
      </c>
      <c r="W297" s="290">
        <f t="shared" si="147"/>
        <v>1.5</v>
      </c>
      <c r="X297" s="290">
        <f t="shared" si="147"/>
        <v>1.5833333333333333</v>
      </c>
      <c r="Y297" s="290">
        <f t="shared" si="147"/>
        <v>1.75</v>
      </c>
      <c r="Z297" s="290">
        <f t="shared" si="147"/>
        <v>7.5</v>
      </c>
      <c r="AA297" s="290">
        <f t="shared" si="147"/>
        <v>7.916666666666667</v>
      </c>
      <c r="AB297" s="290">
        <f t="shared" si="147"/>
        <v>2.0833333333333335</v>
      </c>
      <c r="AC297" s="252">
        <f t="shared" si="147"/>
        <v>2.5</v>
      </c>
      <c r="AD297" s="252">
        <f t="shared" si="147"/>
        <v>2.9166666666666665</v>
      </c>
      <c r="AE297" s="252">
        <f t="shared" si="147"/>
        <v>2.25</v>
      </c>
    </row>
    <row r="298" spans="1:31">
      <c r="A298" s="240" t="s">
        <v>238</v>
      </c>
      <c r="B298" s="290">
        <f t="shared" si="146"/>
        <v>19.75</v>
      </c>
      <c r="C298" s="290">
        <f t="shared" si="146"/>
        <v>20.416666666666668</v>
      </c>
      <c r="D298" s="290">
        <f t="shared" si="146"/>
        <v>21.833333333333332</v>
      </c>
      <c r="E298" s="290">
        <f t="shared" si="146"/>
        <v>22.083333333333332</v>
      </c>
      <c r="F298" s="290">
        <f t="shared" si="146"/>
        <v>21.166666666666668</v>
      </c>
      <c r="G298" s="290">
        <f t="shared" si="146"/>
        <v>16.833333333333332</v>
      </c>
      <c r="H298" s="290">
        <f t="shared" si="146"/>
        <v>15.166666666666666</v>
      </c>
      <c r="I298" s="290">
        <f t="shared" si="146"/>
        <v>4.583333333333333</v>
      </c>
      <c r="J298" s="290">
        <f t="shared" si="146"/>
        <v>3.25</v>
      </c>
      <c r="K298" s="290">
        <f t="shared" si="146"/>
        <v>4.833333333333333</v>
      </c>
      <c r="L298" s="290">
        <f t="shared" si="146"/>
        <v>5.666666666666667</v>
      </c>
      <c r="M298" s="290">
        <f t="shared" si="146"/>
        <v>4</v>
      </c>
      <c r="N298" s="290">
        <f t="shared" si="146"/>
        <v>4.5</v>
      </c>
      <c r="O298" s="290">
        <f t="shared" si="146"/>
        <v>3.9166666666666665</v>
      </c>
      <c r="P298" s="290">
        <f t="shared" si="146"/>
        <v>0.41666666666666669</v>
      </c>
      <c r="Q298" s="290">
        <f t="shared" si="146"/>
        <v>1.0833333333333333</v>
      </c>
      <c r="R298" s="290">
        <f t="shared" si="147"/>
        <v>0.25</v>
      </c>
      <c r="S298" s="290">
        <f t="shared" si="147"/>
        <v>1.4166666666666667</v>
      </c>
      <c r="T298" s="290">
        <f t="shared" si="147"/>
        <v>0.33333333333333331</v>
      </c>
      <c r="U298" s="290">
        <f t="shared" si="147"/>
        <v>0.58333333333333337</v>
      </c>
      <c r="V298" s="290">
        <f t="shared" si="147"/>
        <v>1</v>
      </c>
      <c r="W298" s="290">
        <f t="shared" si="147"/>
        <v>1.5</v>
      </c>
      <c r="X298" s="290">
        <f t="shared" si="147"/>
        <v>1.5833333333333333</v>
      </c>
      <c r="Y298" s="290">
        <f t="shared" si="147"/>
        <v>1.75</v>
      </c>
      <c r="Z298" s="290">
        <f t="shared" si="147"/>
        <v>7.5</v>
      </c>
      <c r="AA298" s="290">
        <f t="shared" si="147"/>
        <v>7.916666666666667</v>
      </c>
      <c r="AB298" s="290">
        <f t="shared" si="147"/>
        <v>2.0833333333333335</v>
      </c>
      <c r="AC298" s="252">
        <f t="shared" si="147"/>
        <v>2.5</v>
      </c>
      <c r="AD298" s="252">
        <f t="shared" si="147"/>
        <v>2.9166666666666665</v>
      </c>
      <c r="AE298" s="252">
        <f t="shared" si="147"/>
        <v>2.25</v>
      </c>
    </row>
    <row r="299" spans="1:31" ht="15.75" thickBot="1">
      <c r="A299" s="240" t="s">
        <v>242</v>
      </c>
      <c r="B299" s="146">
        <f>B36</f>
        <v>237</v>
      </c>
      <c r="C299" s="146">
        <f t="shared" ref="C299:AB299" si="148">C36</f>
        <v>245</v>
      </c>
      <c r="D299" s="146">
        <f t="shared" si="148"/>
        <v>262</v>
      </c>
      <c r="E299" s="146">
        <f t="shared" si="148"/>
        <v>265</v>
      </c>
      <c r="F299" s="146">
        <f t="shared" si="148"/>
        <v>254</v>
      </c>
      <c r="G299" s="146">
        <f t="shared" si="148"/>
        <v>202</v>
      </c>
      <c r="H299" s="146">
        <f t="shared" si="148"/>
        <v>182</v>
      </c>
      <c r="I299" s="146">
        <f t="shared" si="148"/>
        <v>55</v>
      </c>
      <c r="J299" s="146">
        <f t="shared" si="148"/>
        <v>39</v>
      </c>
      <c r="K299" s="146">
        <f t="shared" si="148"/>
        <v>58</v>
      </c>
      <c r="L299" s="146">
        <f t="shared" si="148"/>
        <v>68</v>
      </c>
      <c r="M299" s="146">
        <f t="shared" si="148"/>
        <v>48</v>
      </c>
      <c r="N299" s="146">
        <f t="shared" si="148"/>
        <v>54</v>
      </c>
      <c r="O299" s="146">
        <f t="shared" si="148"/>
        <v>47</v>
      </c>
      <c r="P299" s="146">
        <f t="shared" si="148"/>
        <v>5</v>
      </c>
      <c r="Q299" s="146">
        <f t="shared" si="148"/>
        <v>13</v>
      </c>
      <c r="R299" s="146">
        <f t="shared" si="148"/>
        <v>3</v>
      </c>
      <c r="S299" s="146">
        <f t="shared" si="148"/>
        <v>17</v>
      </c>
      <c r="T299" s="146">
        <f t="shared" si="148"/>
        <v>4</v>
      </c>
      <c r="U299" s="146">
        <f t="shared" si="148"/>
        <v>7</v>
      </c>
      <c r="V299" s="146">
        <f t="shared" si="148"/>
        <v>12</v>
      </c>
      <c r="W299" s="146">
        <f t="shared" si="148"/>
        <v>18</v>
      </c>
      <c r="X299" s="146">
        <f t="shared" si="148"/>
        <v>19</v>
      </c>
      <c r="Y299" s="146">
        <f t="shared" si="148"/>
        <v>21</v>
      </c>
      <c r="Z299" s="146">
        <f t="shared" si="148"/>
        <v>90</v>
      </c>
      <c r="AA299" s="146">
        <f t="shared" si="148"/>
        <v>95</v>
      </c>
      <c r="AB299" s="146">
        <f t="shared" si="148"/>
        <v>25</v>
      </c>
      <c r="AC299" s="253">
        <f>AC36</f>
        <v>30</v>
      </c>
      <c r="AD299" s="253">
        <f t="shared" ref="AD299:AE299" si="149">AD36</f>
        <v>35</v>
      </c>
      <c r="AE299" s="253">
        <f t="shared" si="149"/>
        <v>27</v>
      </c>
    </row>
    <row r="300" spans="1:31">
      <c r="A300" s="248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  <c r="AD300" s="254"/>
      <c r="AE300" s="254"/>
    </row>
    <row r="301" spans="1:31" ht="15.75" thickBot="1">
      <c r="A301" s="235" t="s">
        <v>269</v>
      </c>
    </row>
    <row r="302" spans="1:31" ht="15.75" thickBot="1">
      <c r="A302" s="236"/>
      <c r="B302" s="237" t="str">
        <f>B$2</f>
        <v xml:space="preserve">93/94 </v>
      </c>
      <c r="C302" s="237" t="str">
        <f t="shared" ref="C302:AE302" si="150">C$2</f>
        <v xml:space="preserve">94/95 </v>
      </c>
      <c r="D302" s="237" t="str">
        <f t="shared" si="150"/>
        <v xml:space="preserve">95/96 </v>
      </c>
      <c r="E302" s="237" t="str">
        <f t="shared" si="150"/>
        <v xml:space="preserve">96/97 </v>
      </c>
      <c r="F302" s="237" t="str">
        <f t="shared" si="150"/>
        <v xml:space="preserve">97/98 </v>
      </c>
      <c r="G302" s="237" t="str">
        <f t="shared" si="150"/>
        <v xml:space="preserve">98/99 </v>
      </c>
      <c r="H302" s="237" t="str">
        <f t="shared" si="150"/>
        <v xml:space="preserve">99/00 </v>
      </c>
      <c r="I302" s="237" t="str">
        <f t="shared" si="150"/>
        <v xml:space="preserve">00/01 </v>
      </c>
      <c r="J302" s="237" t="str">
        <f t="shared" si="150"/>
        <v xml:space="preserve">01/02 </v>
      </c>
      <c r="K302" s="237" t="str">
        <f t="shared" si="150"/>
        <v xml:space="preserve">02/03 </v>
      </c>
      <c r="L302" s="237" t="str">
        <f t="shared" si="150"/>
        <v xml:space="preserve">03/04 </v>
      </c>
      <c r="M302" s="237" t="str">
        <f t="shared" si="150"/>
        <v xml:space="preserve">04/05 </v>
      </c>
      <c r="N302" s="237" t="str">
        <f t="shared" si="150"/>
        <v xml:space="preserve">05/06 </v>
      </c>
      <c r="O302" s="237" t="str">
        <f t="shared" si="150"/>
        <v xml:space="preserve">06/07 </v>
      </c>
      <c r="P302" s="237" t="str">
        <f t="shared" si="150"/>
        <v xml:space="preserve">07/08 </v>
      </c>
      <c r="Q302" s="237" t="str">
        <f t="shared" si="150"/>
        <v xml:space="preserve">08/09 </v>
      </c>
      <c r="R302" s="237" t="str">
        <f t="shared" si="150"/>
        <v xml:space="preserve">09/10 </v>
      </c>
      <c r="S302" s="237" t="str">
        <f t="shared" si="150"/>
        <v xml:space="preserve">10/11 </v>
      </c>
      <c r="T302" s="237" t="str">
        <f t="shared" si="150"/>
        <v xml:space="preserve">11/12 </v>
      </c>
      <c r="U302" s="237" t="str">
        <f t="shared" si="150"/>
        <v xml:space="preserve">12/13 </v>
      </c>
      <c r="V302" s="237" t="str">
        <f t="shared" si="150"/>
        <v xml:space="preserve">13/14 </v>
      </c>
      <c r="W302" s="237" t="str">
        <f t="shared" si="150"/>
        <v xml:space="preserve">14/15 </v>
      </c>
      <c r="X302" s="237" t="str">
        <f t="shared" si="150"/>
        <v xml:space="preserve">15/16 </v>
      </c>
      <c r="Y302" s="237" t="str">
        <f t="shared" si="150"/>
        <v xml:space="preserve">16/17 </v>
      </c>
      <c r="Z302" s="237" t="str">
        <f t="shared" si="150"/>
        <v xml:space="preserve">17/18 </v>
      </c>
      <c r="AA302" s="237" t="str">
        <f t="shared" si="150"/>
        <v xml:space="preserve">18/19 </v>
      </c>
      <c r="AB302" s="237" t="str">
        <f t="shared" si="150"/>
        <v xml:space="preserve">19/20 </v>
      </c>
      <c r="AC302" s="237" t="str">
        <f t="shared" si="150"/>
        <v xml:space="preserve">20/21 </v>
      </c>
      <c r="AD302" s="237" t="str">
        <f t="shared" si="150"/>
        <v xml:space="preserve">21/22 </v>
      </c>
      <c r="AE302" s="237" t="str">
        <f t="shared" si="150"/>
        <v xml:space="preserve">22/23 </v>
      </c>
    </row>
    <row r="303" spans="1:31">
      <c r="A303" s="240" t="s">
        <v>239</v>
      </c>
      <c r="B303" s="290">
        <f>(B$314-B$32)/13+B32</f>
        <v>19.153846153846153</v>
      </c>
      <c r="C303" s="290">
        <f>(C$314-B$314)/13+B314</f>
        <v>8.6923076923076916</v>
      </c>
      <c r="D303" s="290">
        <f t="shared" ref="D303:AC303" si="151">(D$314-C$314)/13+C314</f>
        <v>5.4615384615384617</v>
      </c>
      <c r="E303" s="290">
        <f t="shared" si="151"/>
        <v>10.923076923076923</v>
      </c>
      <c r="F303" s="290">
        <f t="shared" si="151"/>
        <v>10</v>
      </c>
      <c r="G303" s="290">
        <f t="shared" si="151"/>
        <v>10.076923076923077</v>
      </c>
      <c r="H303" s="290">
        <f t="shared" si="151"/>
        <v>10.923076923076923</v>
      </c>
      <c r="I303" s="290">
        <f t="shared" si="151"/>
        <v>10.076923076923077</v>
      </c>
      <c r="J303" s="290">
        <f t="shared" si="151"/>
        <v>10.153846153846153</v>
      </c>
      <c r="K303" s="290">
        <f t="shared" si="151"/>
        <v>0.61538461538461542</v>
      </c>
      <c r="L303" s="290">
        <f t="shared" si="151"/>
        <v>9.5384615384615383</v>
      </c>
      <c r="M303" s="290">
        <f t="shared" si="151"/>
        <v>25.846153846153847</v>
      </c>
      <c r="N303" s="290">
        <f t="shared" si="151"/>
        <v>0.53846153846153844</v>
      </c>
      <c r="O303" s="290">
        <f t="shared" si="151"/>
        <v>7.3076923076923075</v>
      </c>
      <c r="P303" s="290">
        <f t="shared" si="151"/>
        <v>10.153846153846153</v>
      </c>
      <c r="Q303" s="290">
        <f t="shared" si="151"/>
        <v>0</v>
      </c>
      <c r="R303" s="290">
        <f t="shared" si="151"/>
        <v>0</v>
      </c>
      <c r="S303" s="290">
        <f t="shared" si="151"/>
        <v>0</v>
      </c>
      <c r="T303" s="290">
        <f t="shared" si="151"/>
        <v>0</v>
      </c>
      <c r="U303" s="290">
        <f t="shared" si="151"/>
        <v>0</v>
      </c>
      <c r="V303" s="290">
        <f t="shared" si="151"/>
        <v>0</v>
      </c>
      <c r="W303" s="290">
        <f t="shared" si="151"/>
        <v>0.38461538461538464</v>
      </c>
      <c r="X303" s="290">
        <f t="shared" si="151"/>
        <v>6.5384615384615383</v>
      </c>
      <c r="Y303" s="290">
        <f t="shared" si="151"/>
        <v>23.076923076923077</v>
      </c>
      <c r="Z303" s="290">
        <f t="shared" si="151"/>
        <v>4.2307692307692308</v>
      </c>
      <c r="AA303" s="290">
        <f t="shared" si="151"/>
        <v>52.46153846153846</v>
      </c>
      <c r="AB303" s="290">
        <f t="shared" si="151"/>
        <v>21</v>
      </c>
      <c r="AC303" s="290">
        <f t="shared" si="151"/>
        <v>9.0769230769230766</v>
      </c>
      <c r="AD303" s="252">
        <f t="shared" ref="AD303:AE303" si="152">(AD$314-AD$314)/13+AC314</f>
        <v>10</v>
      </c>
      <c r="AE303" s="252">
        <f t="shared" si="152"/>
        <v>10</v>
      </c>
    </row>
    <row r="304" spans="1:31">
      <c r="A304" s="240" t="s">
        <v>240</v>
      </c>
      <c r="B304" s="290">
        <f t="shared" ref="B304:B313" si="153">(B$314-B$32)/13+B303</f>
        <v>18.307692307692307</v>
      </c>
      <c r="C304" s="290">
        <f>(C$314-B$314)/13+C303</f>
        <v>8.3846153846153832</v>
      </c>
      <c r="D304" s="290">
        <f t="shared" ref="D304:AC313" si="154">(D$314-C$314)/13+D303</f>
        <v>5.9230769230769234</v>
      </c>
      <c r="E304" s="290">
        <f t="shared" si="154"/>
        <v>10.846153846153847</v>
      </c>
      <c r="F304" s="290">
        <f t="shared" si="154"/>
        <v>10</v>
      </c>
      <c r="G304" s="290">
        <f t="shared" si="154"/>
        <v>10.153846153846153</v>
      </c>
      <c r="H304" s="290">
        <f t="shared" si="154"/>
        <v>10.846153846153847</v>
      </c>
      <c r="I304" s="290">
        <f t="shared" si="154"/>
        <v>10.153846153846153</v>
      </c>
      <c r="J304" s="290">
        <f t="shared" si="154"/>
        <v>9.3076923076923066</v>
      </c>
      <c r="K304" s="290">
        <f t="shared" si="154"/>
        <v>1.2307692307692308</v>
      </c>
      <c r="L304" s="290">
        <f t="shared" si="154"/>
        <v>11.076923076923077</v>
      </c>
      <c r="M304" s="290">
        <f t="shared" si="154"/>
        <v>23.692307692307693</v>
      </c>
      <c r="N304" s="290">
        <f t="shared" si="154"/>
        <v>1.0769230769230769</v>
      </c>
      <c r="O304" s="290">
        <f t="shared" si="154"/>
        <v>7.615384615384615</v>
      </c>
      <c r="P304" s="290">
        <f t="shared" si="154"/>
        <v>9.3076923076923066</v>
      </c>
      <c r="Q304" s="290">
        <f t="shared" si="154"/>
        <v>0</v>
      </c>
      <c r="R304" s="290">
        <f t="shared" si="154"/>
        <v>0</v>
      </c>
      <c r="S304" s="290">
        <f t="shared" si="154"/>
        <v>0</v>
      </c>
      <c r="T304" s="290">
        <f t="shared" si="154"/>
        <v>0</v>
      </c>
      <c r="U304" s="290">
        <f t="shared" si="154"/>
        <v>0</v>
      </c>
      <c r="V304" s="290">
        <f t="shared" si="154"/>
        <v>0</v>
      </c>
      <c r="W304" s="290">
        <f t="shared" si="154"/>
        <v>0.76923076923076927</v>
      </c>
      <c r="X304" s="290">
        <f t="shared" si="154"/>
        <v>8.0769230769230766</v>
      </c>
      <c r="Y304" s="290">
        <f t="shared" si="154"/>
        <v>21.153846153846153</v>
      </c>
      <c r="Z304" s="290">
        <f t="shared" si="154"/>
        <v>8.4615384615384617</v>
      </c>
      <c r="AA304" s="290">
        <f t="shared" si="154"/>
        <v>49.92307692307692</v>
      </c>
      <c r="AB304" s="290">
        <f t="shared" si="154"/>
        <v>20</v>
      </c>
      <c r="AC304" s="290">
        <f t="shared" si="154"/>
        <v>9.1538461538461533</v>
      </c>
      <c r="AD304" s="252">
        <f t="shared" ref="AD304:AE313" si="155">(AD$314-AD$32)/13+AD303</f>
        <v>10</v>
      </c>
      <c r="AE304" s="252">
        <f t="shared" si="155"/>
        <v>9.7692307692307701</v>
      </c>
    </row>
    <row r="305" spans="1:31">
      <c r="A305" s="240" t="s">
        <v>241</v>
      </c>
      <c r="B305" s="290">
        <f t="shared" si="153"/>
        <v>17.46153846153846</v>
      </c>
      <c r="C305" s="290">
        <f t="shared" ref="C305:C313" si="156">(C$314-B$314)/13+C304</f>
        <v>8.0769230769230749</v>
      </c>
      <c r="D305" s="290">
        <f t="shared" si="154"/>
        <v>6.384615384615385</v>
      </c>
      <c r="E305" s="290">
        <f t="shared" si="154"/>
        <v>10.76923076923077</v>
      </c>
      <c r="F305" s="290">
        <f t="shared" si="154"/>
        <v>10</v>
      </c>
      <c r="G305" s="290">
        <f t="shared" si="154"/>
        <v>10.23076923076923</v>
      </c>
      <c r="H305" s="290">
        <f t="shared" si="154"/>
        <v>10.76923076923077</v>
      </c>
      <c r="I305" s="290">
        <f t="shared" si="154"/>
        <v>10.23076923076923</v>
      </c>
      <c r="J305" s="290">
        <f t="shared" si="154"/>
        <v>8.4615384615384599</v>
      </c>
      <c r="K305" s="290">
        <f t="shared" si="154"/>
        <v>1.8461538461538463</v>
      </c>
      <c r="L305" s="290">
        <f t="shared" si="154"/>
        <v>12.615384615384615</v>
      </c>
      <c r="M305" s="290">
        <f t="shared" si="154"/>
        <v>21.53846153846154</v>
      </c>
      <c r="N305" s="290">
        <f t="shared" si="154"/>
        <v>1.6153846153846154</v>
      </c>
      <c r="O305" s="290">
        <f t="shared" si="154"/>
        <v>7.9230769230769225</v>
      </c>
      <c r="P305" s="290">
        <f t="shared" si="154"/>
        <v>8.4615384615384599</v>
      </c>
      <c r="Q305" s="290">
        <f t="shared" si="154"/>
        <v>0</v>
      </c>
      <c r="R305" s="290">
        <f t="shared" si="154"/>
        <v>0</v>
      </c>
      <c r="S305" s="290">
        <f t="shared" si="154"/>
        <v>0</v>
      </c>
      <c r="T305" s="290">
        <f t="shared" si="154"/>
        <v>0</v>
      </c>
      <c r="U305" s="290">
        <f t="shared" si="154"/>
        <v>0</v>
      </c>
      <c r="V305" s="290">
        <f t="shared" si="154"/>
        <v>0</v>
      </c>
      <c r="W305" s="290">
        <f t="shared" si="154"/>
        <v>1.153846153846154</v>
      </c>
      <c r="X305" s="290">
        <f t="shared" si="154"/>
        <v>9.615384615384615</v>
      </c>
      <c r="Y305" s="290">
        <f t="shared" si="154"/>
        <v>19.23076923076923</v>
      </c>
      <c r="Z305" s="290">
        <f t="shared" si="154"/>
        <v>12.692307692307693</v>
      </c>
      <c r="AA305" s="290">
        <f t="shared" si="154"/>
        <v>47.38461538461538</v>
      </c>
      <c r="AB305" s="290">
        <f t="shared" si="154"/>
        <v>19</v>
      </c>
      <c r="AC305" s="290">
        <f t="shared" si="154"/>
        <v>9.2307692307692299</v>
      </c>
      <c r="AD305" s="252">
        <f t="shared" si="155"/>
        <v>10</v>
      </c>
      <c r="AE305" s="252">
        <f t="shared" si="155"/>
        <v>9.5384615384615401</v>
      </c>
    </row>
    <row r="306" spans="1:31">
      <c r="A306" s="240" t="s">
        <v>231</v>
      </c>
      <c r="B306" s="290">
        <f t="shared" si="153"/>
        <v>16.615384615384613</v>
      </c>
      <c r="C306" s="290">
        <f t="shared" si="156"/>
        <v>7.7692307692307674</v>
      </c>
      <c r="D306" s="290">
        <f t="shared" si="154"/>
        <v>6.8461538461538467</v>
      </c>
      <c r="E306" s="290">
        <f t="shared" si="154"/>
        <v>10.692307692307693</v>
      </c>
      <c r="F306" s="290">
        <f t="shared" si="154"/>
        <v>10</v>
      </c>
      <c r="G306" s="290">
        <f t="shared" si="154"/>
        <v>10.307692307692307</v>
      </c>
      <c r="H306" s="290">
        <f t="shared" si="154"/>
        <v>10.692307692307693</v>
      </c>
      <c r="I306" s="290">
        <f t="shared" si="154"/>
        <v>10.307692307692307</v>
      </c>
      <c r="J306" s="290">
        <f t="shared" si="154"/>
        <v>7.6153846153846141</v>
      </c>
      <c r="K306" s="290">
        <f t="shared" si="154"/>
        <v>2.4615384615384617</v>
      </c>
      <c r="L306" s="290">
        <f t="shared" si="154"/>
        <v>14.153846153846153</v>
      </c>
      <c r="M306" s="290">
        <f t="shared" si="154"/>
        <v>19.384615384615387</v>
      </c>
      <c r="N306" s="290">
        <f t="shared" si="154"/>
        <v>2.1538461538461537</v>
      </c>
      <c r="O306" s="290">
        <f t="shared" si="154"/>
        <v>8.2307692307692299</v>
      </c>
      <c r="P306" s="290">
        <f t="shared" si="154"/>
        <v>7.6153846153846141</v>
      </c>
      <c r="Q306" s="290">
        <f t="shared" si="154"/>
        <v>0</v>
      </c>
      <c r="R306" s="290">
        <f t="shared" si="154"/>
        <v>0</v>
      </c>
      <c r="S306" s="290">
        <f t="shared" si="154"/>
        <v>0</v>
      </c>
      <c r="T306" s="290">
        <f t="shared" si="154"/>
        <v>0</v>
      </c>
      <c r="U306" s="290">
        <f t="shared" si="154"/>
        <v>0</v>
      </c>
      <c r="V306" s="290">
        <f t="shared" si="154"/>
        <v>0</v>
      </c>
      <c r="W306" s="290">
        <f t="shared" si="154"/>
        <v>1.5384615384615385</v>
      </c>
      <c r="X306" s="290">
        <f t="shared" si="154"/>
        <v>11.153846153846153</v>
      </c>
      <c r="Y306" s="290">
        <f t="shared" si="154"/>
        <v>17.307692307692307</v>
      </c>
      <c r="Z306" s="290">
        <f t="shared" si="154"/>
        <v>16.923076923076923</v>
      </c>
      <c r="AA306" s="290">
        <f t="shared" si="154"/>
        <v>44.84615384615384</v>
      </c>
      <c r="AB306" s="290">
        <f t="shared" si="154"/>
        <v>18</v>
      </c>
      <c r="AC306" s="290">
        <f t="shared" si="154"/>
        <v>9.3076923076923066</v>
      </c>
      <c r="AD306" s="252">
        <f t="shared" si="155"/>
        <v>10</v>
      </c>
      <c r="AE306" s="252">
        <f t="shared" si="155"/>
        <v>9.3076923076923102</v>
      </c>
    </row>
    <row r="307" spans="1:31">
      <c r="A307" s="240" t="s">
        <v>232</v>
      </c>
      <c r="B307" s="290">
        <f t="shared" si="153"/>
        <v>15.769230769230766</v>
      </c>
      <c r="C307" s="290">
        <f t="shared" si="156"/>
        <v>7.4615384615384599</v>
      </c>
      <c r="D307" s="290">
        <f t="shared" si="154"/>
        <v>7.3076923076923084</v>
      </c>
      <c r="E307" s="290">
        <f t="shared" si="154"/>
        <v>10.615384615384617</v>
      </c>
      <c r="F307" s="290">
        <f t="shared" si="154"/>
        <v>10</v>
      </c>
      <c r="G307" s="290">
        <f t="shared" si="154"/>
        <v>10.384615384615383</v>
      </c>
      <c r="H307" s="290">
        <f t="shared" si="154"/>
        <v>10.615384615384617</v>
      </c>
      <c r="I307" s="290">
        <f t="shared" si="154"/>
        <v>10.384615384615383</v>
      </c>
      <c r="J307" s="290">
        <f t="shared" si="154"/>
        <v>6.7692307692307683</v>
      </c>
      <c r="K307" s="290">
        <f t="shared" si="154"/>
        <v>3.0769230769230771</v>
      </c>
      <c r="L307" s="290">
        <f t="shared" si="154"/>
        <v>15.692307692307692</v>
      </c>
      <c r="M307" s="290">
        <f t="shared" si="154"/>
        <v>17.230769230769234</v>
      </c>
      <c r="N307" s="290">
        <f t="shared" si="154"/>
        <v>2.6923076923076921</v>
      </c>
      <c r="O307" s="290">
        <f t="shared" si="154"/>
        <v>8.5384615384615383</v>
      </c>
      <c r="P307" s="290">
        <f t="shared" si="154"/>
        <v>6.7692307692307683</v>
      </c>
      <c r="Q307" s="290">
        <f t="shared" si="154"/>
        <v>0</v>
      </c>
      <c r="R307" s="290">
        <f t="shared" si="154"/>
        <v>0</v>
      </c>
      <c r="S307" s="290">
        <f t="shared" si="154"/>
        <v>0</v>
      </c>
      <c r="T307" s="290">
        <f t="shared" si="154"/>
        <v>0</v>
      </c>
      <c r="U307" s="290">
        <f t="shared" si="154"/>
        <v>0</v>
      </c>
      <c r="V307" s="290">
        <f t="shared" si="154"/>
        <v>0</v>
      </c>
      <c r="W307" s="290">
        <f t="shared" si="154"/>
        <v>1.9230769230769231</v>
      </c>
      <c r="X307" s="290">
        <f t="shared" si="154"/>
        <v>12.692307692307692</v>
      </c>
      <c r="Y307" s="290">
        <f t="shared" si="154"/>
        <v>15.384615384615383</v>
      </c>
      <c r="Z307" s="290">
        <f t="shared" si="154"/>
        <v>21.153846153846153</v>
      </c>
      <c r="AA307" s="290">
        <f t="shared" si="154"/>
        <v>42.307692307692299</v>
      </c>
      <c r="AB307" s="290">
        <f t="shared" si="154"/>
        <v>17</v>
      </c>
      <c r="AC307" s="290">
        <f t="shared" si="154"/>
        <v>9.3846153846153832</v>
      </c>
      <c r="AD307" s="252">
        <f t="shared" si="155"/>
        <v>10</v>
      </c>
      <c r="AE307" s="252">
        <f t="shared" si="155"/>
        <v>9.0769230769230802</v>
      </c>
    </row>
    <row r="308" spans="1:31">
      <c r="A308" s="240" t="s">
        <v>233</v>
      </c>
      <c r="B308" s="290">
        <f t="shared" si="153"/>
        <v>14.92307692307692</v>
      </c>
      <c r="C308" s="290">
        <f t="shared" si="156"/>
        <v>7.1538461538461524</v>
      </c>
      <c r="D308" s="290">
        <f t="shared" si="154"/>
        <v>7.7692307692307701</v>
      </c>
      <c r="E308" s="290">
        <f t="shared" si="154"/>
        <v>10.53846153846154</v>
      </c>
      <c r="F308" s="290">
        <f t="shared" si="154"/>
        <v>10</v>
      </c>
      <c r="G308" s="290">
        <f t="shared" si="154"/>
        <v>10.46153846153846</v>
      </c>
      <c r="H308" s="290">
        <f t="shared" si="154"/>
        <v>10.53846153846154</v>
      </c>
      <c r="I308" s="290">
        <f t="shared" si="154"/>
        <v>10.46153846153846</v>
      </c>
      <c r="J308" s="290">
        <f t="shared" si="154"/>
        <v>5.9230769230769225</v>
      </c>
      <c r="K308" s="290">
        <f t="shared" si="154"/>
        <v>3.6923076923076925</v>
      </c>
      <c r="L308" s="290">
        <f t="shared" si="154"/>
        <v>17.23076923076923</v>
      </c>
      <c r="M308" s="290">
        <f t="shared" si="154"/>
        <v>15.07692307692308</v>
      </c>
      <c r="N308" s="290">
        <f t="shared" si="154"/>
        <v>3.2307692307692304</v>
      </c>
      <c r="O308" s="290">
        <f t="shared" si="154"/>
        <v>8.8461538461538467</v>
      </c>
      <c r="P308" s="290">
        <f t="shared" si="154"/>
        <v>5.9230769230769225</v>
      </c>
      <c r="Q308" s="290">
        <f t="shared" si="154"/>
        <v>0</v>
      </c>
      <c r="R308" s="290">
        <f t="shared" si="154"/>
        <v>0</v>
      </c>
      <c r="S308" s="290">
        <f t="shared" si="154"/>
        <v>0</v>
      </c>
      <c r="T308" s="290">
        <f t="shared" si="154"/>
        <v>0</v>
      </c>
      <c r="U308" s="290">
        <f t="shared" si="154"/>
        <v>0</v>
      </c>
      <c r="V308" s="290">
        <f t="shared" si="154"/>
        <v>0</v>
      </c>
      <c r="W308" s="290">
        <f t="shared" si="154"/>
        <v>2.3076923076923079</v>
      </c>
      <c r="X308" s="290">
        <f t="shared" si="154"/>
        <v>14.23076923076923</v>
      </c>
      <c r="Y308" s="290">
        <f t="shared" si="154"/>
        <v>13.46153846153846</v>
      </c>
      <c r="Z308" s="290">
        <f t="shared" si="154"/>
        <v>25.384615384615383</v>
      </c>
      <c r="AA308" s="290">
        <f t="shared" si="154"/>
        <v>39.769230769230759</v>
      </c>
      <c r="AB308" s="290">
        <f t="shared" si="154"/>
        <v>16</v>
      </c>
      <c r="AC308" s="290">
        <f t="shared" si="154"/>
        <v>9.4615384615384599</v>
      </c>
      <c r="AD308" s="252">
        <f t="shared" si="155"/>
        <v>10</v>
      </c>
      <c r="AE308" s="252">
        <f t="shared" si="155"/>
        <v>8.8461538461538503</v>
      </c>
    </row>
    <row r="309" spans="1:31">
      <c r="A309" s="240" t="s">
        <v>234</v>
      </c>
      <c r="B309" s="290">
        <f t="shared" si="153"/>
        <v>14.076923076923073</v>
      </c>
      <c r="C309" s="290">
        <f t="shared" si="156"/>
        <v>6.8461538461538449</v>
      </c>
      <c r="D309" s="290">
        <f t="shared" si="154"/>
        <v>8.2307692307692317</v>
      </c>
      <c r="E309" s="290">
        <f t="shared" si="154"/>
        <v>10.461538461538463</v>
      </c>
      <c r="F309" s="290">
        <f t="shared" si="154"/>
        <v>10</v>
      </c>
      <c r="G309" s="290">
        <f t="shared" si="154"/>
        <v>10.538461538461537</v>
      </c>
      <c r="H309" s="290">
        <f t="shared" si="154"/>
        <v>10.461538461538463</v>
      </c>
      <c r="I309" s="290">
        <f t="shared" si="154"/>
        <v>10.538461538461537</v>
      </c>
      <c r="J309" s="290">
        <f t="shared" si="154"/>
        <v>5.0769230769230766</v>
      </c>
      <c r="K309" s="290">
        <f t="shared" si="154"/>
        <v>4.3076923076923084</v>
      </c>
      <c r="L309" s="290">
        <f t="shared" si="154"/>
        <v>18.76923076923077</v>
      </c>
      <c r="M309" s="290">
        <f t="shared" si="154"/>
        <v>12.923076923076927</v>
      </c>
      <c r="N309" s="290">
        <f t="shared" si="154"/>
        <v>3.7692307692307687</v>
      </c>
      <c r="O309" s="290">
        <f t="shared" si="154"/>
        <v>9.1538461538461551</v>
      </c>
      <c r="P309" s="290">
        <f t="shared" si="154"/>
        <v>5.0769230769230766</v>
      </c>
      <c r="Q309" s="290">
        <f t="shared" si="154"/>
        <v>0</v>
      </c>
      <c r="R309" s="290">
        <f t="shared" si="154"/>
        <v>0</v>
      </c>
      <c r="S309" s="290">
        <f t="shared" si="154"/>
        <v>0</v>
      </c>
      <c r="T309" s="290">
        <f t="shared" si="154"/>
        <v>0</v>
      </c>
      <c r="U309" s="290">
        <f t="shared" si="154"/>
        <v>0</v>
      </c>
      <c r="V309" s="290">
        <f t="shared" si="154"/>
        <v>0</v>
      </c>
      <c r="W309" s="290">
        <f t="shared" si="154"/>
        <v>2.6923076923076925</v>
      </c>
      <c r="X309" s="290">
        <f t="shared" si="154"/>
        <v>15.769230769230768</v>
      </c>
      <c r="Y309" s="290">
        <f t="shared" si="154"/>
        <v>11.538461538461537</v>
      </c>
      <c r="Z309" s="290">
        <f t="shared" si="154"/>
        <v>29.615384615384613</v>
      </c>
      <c r="AA309" s="290">
        <f t="shared" si="154"/>
        <v>37.230769230769219</v>
      </c>
      <c r="AB309" s="290">
        <f t="shared" si="154"/>
        <v>15</v>
      </c>
      <c r="AC309" s="252">
        <f t="shared" ref="AC309:AC313" si="157">(AC$314-AC$32)/13+AC308</f>
        <v>9.5384615384615365</v>
      </c>
      <c r="AD309" s="252">
        <f t="shared" si="155"/>
        <v>10</v>
      </c>
      <c r="AE309" s="252">
        <f t="shared" si="155"/>
        <v>8.6153846153846203</v>
      </c>
    </row>
    <row r="310" spans="1:31">
      <c r="A310" s="240" t="s">
        <v>46</v>
      </c>
      <c r="B310" s="290">
        <f t="shared" si="153"/>
        <v>13.230769230769226</v>
      </c>
      <c r="C310" s="290">
        <f t="shared" si="156"/>
        <v>6.5384615384615374</v>
      </c>
      <c r="D310" s="290">
        <f t="shared" si="154"/>
        <v>8.6923076923076934</v>
      </c>
      <c r="E310" s="290">
        <f t="shared" si="154"/>
        <v>10.384615384615387</v>
      </c>
      <c r="F310" s="290">
        <f t="shared" si="154"/>
        <v>10</v>
      </c>
      <c r="G310" s="290">
        <f t="shared" si="154"/>
        <v>10.615384615384613</v>
      </c>
      <c r="H310" s="290">
        <f t="shared" si="154"/>
        <v>10.384615384615387</v>
      </c>
      <c r="I310" s="290">
        <f t="shared" si="154"/>
        <v>10.615384615384613</v>
      </c>
      <c r="J310" s="290">
        <f t="shared" si="154"/>
        <v>4.2307692307692308</v>
      </c>
      <c r="K310" s="290">
        <f t="shared" si="154"/>
        <v>4.9230769230769234</v>
      </c>
      <c r="L310" s="290">
        <f t="shared" si="154"/>
        <v>20.30769230769231</v>
      </c>
      <c r="M310" s="290">
        <f t="shared" si="154"/>
        <v>10.769230769230774</v>
      </c>
      <c r="N310" s="290">
        <f t="shared" si="154"/>
        <v>4.3076923076923075</v>
      </c>
      <c r="O310" s="290">
        <f t="shared" si="154"/>
        <v>9.4615384615384635</v>
      </c>
      <c r="P310" s="290">
        <f t="shared" si="154"/>
        <v>4.2307692307692308</v>
      </c>
      <c r="Q310" s="290">
        <f t="shared" si="154"/>
        <v>0</v>
      </c>
      <c r="R310" s="290">
        <f t="shared" si="154"/>
        <v>0</v>
      </c>
      <c r="S310" s="290">
        <f t="shared" si="154"/>
        <v>0</v>
      </c>
      <c r="T310" s="290">
        <f t="shared" si="154"/>
        <v>0</v>
      </c>
      <c r="U310" s="290">
        <f t="shared" si="154"/>
        <v>0</v>
      </c>
      <c r="V310" s="290">
        <f t="shared" si="154"/>
        <v>0</v>
      </c>
      <c r="W310" s="290">
        <f t="shared" si="154"/>
        <v>3.0769230769230771</v>
      </c>
      <c r="X310" s="290">
        <f t="shared" si="154"/>
        <v>17.307692307692307</v>
      </c>
      <c r="Y310" s="290">
        <f t="shared" si="154"/>
        <v>9.6153846153846132</v>
      </c>
      <c r="Z310" s="290">
        <f t="shared" si="154"/>
        <v>33.846153846153847</v>
      </c>
      <c r="AA310" s="290">
        <f t="shared" si="154"/>
        <v>34.692307692307679</v>
      </c>
      <c r="AB310" s="290">
        <f t="shared" si="154"/>
        <v>14</v>
      </c>
      <c r="AC310" s="252">
        <f t="shared" si="157"/>
        <v>9.6153846153846132</v>
      </c>
      <c r="AD310" s="252">
        <f t="shared" si="155"/>
        <v>10</v>
      </c>
      <c r="AE310" s="252">
        <f t="shared" si="155"/>
        <v>8.3846153846153904</v>
      </c>
    </row>
    <row r="311" spans="1:31">
      <c r="A311" s="240" t="s">
        <v>235</v>
      </c>
      <c r="B311" s="290">
        <f t="shared" si="153"/>
        <v>12.38461538461538</v>
      </c>
      <c r="C311" s="290">
        <f t="shared" si="156"/>
        <v>6.2307692307692299</v>
      </c>
      <c r="D311" s="290">
        <f t="shared" si="154"/>
        <v>9.1538461538461551</v>
      </c>
      <c r="E311" s="290">
        <f t="shared" si="154"/>
        <v>10.30769230769231</v>
      </c>
      <c r="F311" s="290">
        <f t="shared" si="154"/>
        <v>10</v>
      </c>
      <c r="G311" s="290">
        <f t="shared" si="154"/>
        <v>10.69230769230769</v>
      </c>
      <c r="H311" s="290">
        <f t="shared" si="154"/>
        <v>10.30769230769231</v>
      </c>
      <c r="I311" s="290">
        <f t="shared" si="154"/>
        <v>10.69230769230769</v>
      </c>
      <c r="J311" s="290">
        <f t="shared" si="154"/>
        <v>3.3846153846153846</v>
      </c>
      <c r="K311" s="290">
        <f t="shared" si="154"/>
        <v>5.5384615384615383</v>
      </c>
      <c r="L311" s="290">
        <f t="shared" si="154"/>
        <v>21.84615384615385</v>
      </c>
      <c r="M311" s="290">
        <f t="shared" si="154"/>
        <v>8.6153846153846203</v>
      </c>
      <c r="N311" s="290">
        <f t="shared" si="154"/>
        <v>4.8461538461538458</v>
      </c>
      <c r="O311" s="290">
        <f t="shared" si="154"/>
        <v>9.7692307692307718</v>
      </c>
      <c r="P311" s="290">
        <f t="shared" si="154"/>
        <v>3.3846153846153846</v>
      </c>
      <c r="Q311" s="290">
        <f t="shared" si="154"/>
        <v>0</v>
      </c>
      <c r="R311" s="290">
        <f t="shared" si="154"/>
        <v>0</v>
      </c>
      <c r="S311" s="290">
        <f t="shared" si="154"/>
        <v>0</v>
      </c>
      <c r="T311" s="290">
        <f t="shared" si="154"/>
        <v>0</v>
      </c>
      <c r="U311" s="290">
        <f t="shared" si="154"/>
        <v>0</v>
      </c>
      <c r="V311" s="290">
        <f t="shared" si="154"/>
        <v>0</v>
      </c>
      <c r="W311" s="290">
        <f t="shared" si="154"/>
        <v>3.4615384615384617</v>
      </c>
      <c r="X311" s="290">
        <f t="shared" si="154"/>
        <v>18.846153846153847</v>
      </c>
      <c r="Y311" s="290">
        <f t="shared" si="154"/>
        <v>7.6923076923076898</v>
      </c>
      <c r="Z311" s="290">
        <f t="shared" si="154"/>
        <v>38.07692307692308</v>
      </c>
      <c r="AA311" s="290">
        <f t="shared" si="154"/>
        <v>32.153846153846139</v>
      </c>
      <c r="AB311" s="290">
        <f t="shared" si="154"/>
        <v>13</v>
      </c>
      <c r="AC311" s="252">
        <f t="shared" si="157"/>
        <v>9.6923076923076898</v>
      </c>
      <c r="AD311" s="252">
        <f t="shared" si="155"/>
        <v>10</v>
      </c>
      <c r="AE311" s="252">
        <f t="shared" si="155"/>
        <v>8.1538461538461604</v>
      </c>
    </row>
    <row r="312" spans="1:31">
      <c r="A312" s="240" t="s">
        <v>236</v>
      </c>
      <c r="B312" s="290">
        <f t="shared" si="153"/>
        <v>11.538461538461533</v>
      </c>
      <c r="C312" s="290">
        <f t="shared" si="156"/>
        <v>5.9230769230769225</v>
      </c>
      <c r="D312" s="290">
        <f t="shared" si="154"/>
        <v>9.6153846153846168</v>
      </c>
      <c r="E312" s="290">
        <f t="shared" si="154"/>
        <v>10.230769230769234</v>
      </c>
      <c r="F312" s="290">
        <f t="shared" si="154"/>
        <v>10</v>
      </c>
      <c r="G312" s="290">
        <f t="shared" si="154"/>
        <v>10.769230769230766</v>
      </c>
      <c r="H312" s="290">
        <f t="shared" si="154"/>
        <v>10.230769230769234</v>
      </c>
      <c r="I312" s="290">
        <f t="shared" si="154"/>
        <v>10.769230769230766</v>
      </c>
      <c r="J312" s="290">
        <f t="shared" si="154"/>
        <v>2.5384615384615383</v>
      </c>
      <c r="K312" s="290">
        <f t="shared" si="154"/>
        <v>6.1538461538461533</v>
      </c>
      <c r="L312" s="290">
        <f t="shared" si="154"/>
        <v>23.38461538461539</v>
      </c>
      <c r="M312" s="290">
        <f t="shared" si="154"/>
        <v>6.461538461538467</v>
      </c>
      <c r="N312" s="290">
        <f t="shared" si="154"/>
        <v>5.3846153846153841</v>
      </c>
      <c r="O312" s="290">
        <f t="shared" si="154"/>
        <v>10.07692307692308</v>
      </c>
      <c r="P312" s="290">
        <f t="shared" si="154"/>
        <v>2.5384615384615383</v>
      </c>
      <c r="Q312" s="290">
        <f t="shared" si="154"/>
        <v>0</v>
      </c>
      <c r="R312" s="290">
        <f t="shared" si="154"/>
        <v>0</v>
      </c>
      <c r="S312" s="290">
        <f t="shared" si="154"/>
        <v>0</v>
      </c>
      <c r="T312" s="290">
        <f t="shared" si="154"/>
        <v>0</v>
      </c>
      <c r="U312" s="290">
        <f t="shared" si="154"/>
        <v>0</v>
      </c>
      <c r="V312" s="290">
        <f t="shared" si="154"/>
        <v>0</v>
      </c>
      <c r="W312" s="290">
        <f t="shared" si="154"/>
        <v>3.8461538461538463</v>
      </c>
      <c r="X312" s="290">
        <f t="shared" si="154"/>
        <v>20.384615384615387</v>
      </c>
      <c r="Y312" s="290">
        <f t="shared" si="154"/>
        <v>5.7692307692307665</v>
      </c>
      <c r="Z312" s="290">
        <f t="shared" si="154"/>
        <v>42.307692307692314</v>
      </c>
      <c r="AA312" s="290">
        <f t="shared" si="154"/>
        <v>29.615384615384599</v>
      </c>
      <c r="AB312" s="290">
        <f t="shared" si="154"/>
        <v>12</v>
      </c>
      <c r="AC312" s="252">
        <f t="shared" si="157"/>
        <v>9.7692307692307665</v>
      </c>
      <c r="AD312" s="252">
        <f t="shared" si="155"/>
        <v>10</v>
      </c>
      <c r="AE312" s="252">
        <f t="shared" si="155"/>
        <v>7.9230769230769296</v>
      </c>
    </row>
    <row r="313" spans="1:31">
      <c r="A313" s="240" t="s">
        <v>237</v>
      </c>
      <c r="B313" s="290">
        <f t="shared" si="153"/>
        <v>10.692307692307686</v>
      </c>
      <c r="C313" s="290">
        <f t="shared" si="156"/>
        <v>5.615384615384615</v>
      </c>
      <c r="D313" s="290">
        <f t="shared" si="154"/>
        <v>10.076923076923078</v>
      </c>
      <c r="E313" s="290">
        <f t="shared" si="154"/>
        <v>10.153846153846157</v>
      </c>
      <c r="F313" s="290">
        <f t="shared" si="154"/>
        <v>10</v>
      </c>
      <c r="G313" s="290">
        <f t="shared" si="154"/>
        <v>10.846153846153843</v>
      </c>
      <c r="H313" s="290">
        <f t="shared" si="154"/>
        <v>10.153846153846157</v>
      </c>
      <c r="I313" s="290">
        <f t="shared" si="154"/>
        <v>10.846153846153843</v>
      </c>
      <c r="J313" s="290">
        <f t="shared" si="154"/>
        <v>1.6923076923076921</v>
      </c>
      <c r="K313" s="290">
        <f t="shared" si="154"/>
        <v>6.7692307692307683</v>
      </c>
      <c r="L313" s="290">
        <f t="shared" si="154"/>
        <v>24.92307692307693</v>
      </c>
      <c r="M313" s="290">
        <f t="shared" si="154"/>
        <v>4.3076923076923137</v>
      </c>
      <c r="N313" s="290">
        <f t="shared" si="154"/>
        <v>5.9230769230769225</v>
      </c>
      <c r="O313" s="290">
        <f t="shared" si="154"/>
        <v>10.384615384615389</v>
      </c>
      <c r="P313" s="290">
        <f t="shared" si="154"/>
        <v>1.6923076923076921</v>
      </c>
      <c r="Q313" s="290">
        <f t="shared" si="154"/>
        <v>0</v>
      </c>
      <c r="R313" s="290">
        <f t="shared" si="154"/>
        <v>0</v>
      </c>
      <c r="S313" s="290">
        <f t="shared" si="154"/>
        <v>0</v>
      </c>
      <c r="T313" s="290">
        <f t="shared" si="154"/>
        <v>0</v>
      </c>
      <c r="U313" s="290">
        <f t="shared" si="154"/>
        <v>0</v>
      </c>
      <c r="V313" s="290">
        <f t="shared" si="154"/>
        <v>0</v>
      </c>
      <c r="W313" s="290">
        <f t="shared" si="154"/>
        <v>4.2307692307692308</v>
      </c>
      <c r="X313" s="290">
        <f t="shared" si="154"/>
        <v>21.923076923076927</v>
      </c>
      <c r="Y313" s="290">
        <f t="shared" si="154"/>
        <v>3.8461538461538431</v>
      </c>
      <c r="Z313" s="290">
        <f t="shared" si="154"/>
        <v>46.538461538461547</v>
      </c>
      <c r="AA313" s="290">
        <f t="shared" si="154"/>
        <v>27.076923076923059</v>
      </c>
      <c r="AB313" s="290">
        <f t="shared" si="154"/>
        <v>11</v>
      </c>
      <c r="AC313" s="252">
        <f t="shared" si="157"/>
        <v>9.8461538461538431</v>
      </c>
      <c r="AD313" s="252">
        <f t="shared" si="155"/>
        <v>10</v>
      </c>
      <c r="AE313" s="252">
        <f t="shared" si="155"/>
        <v>7.6923076923076987</v>
      </c>
    </row>
    <row r="314" spans="1:31" ht="15.75" thickBot="1">
      <c r="A314" s="240" t="s">
        <v>238</v>
      </c>
      <c r="B314" s="146">
        <f>B42</f>
        <v>9</v>
      </c>
      <c r="C314" s="146">
        <f t="shared" ref="C314:AE314" si="158">C42</f>
        <v>5</v>
      </c>
      <c r="D314" s="146">
        <f t="shared" si="158"/>
        <v>11</v>
      </c>
      <c r="E314" s="146">
        <f t="shared" si="158"/>
        <v>10</v>
      </c>
      <c r="F314" s="146">
        <f t="shared" si="158"/>
        <v>10</v>
      </c>
      <c r="G314" s="146">
        <f t="shared" si="158"/>
        <v>11</v>
      </c>
      <c r="H314" s="146">
        <f t="shared" si="158"/>
        <v>10</v>
      </c>
      <c r="I314" s="146">
        <f t="shared" si="158"/>
        <v>11</v>
      </c>
      <c r="J314" s="146">
        <f t="shared" si="158"/>
        <v>0</v>
      </c>
      <c r="K314" s="146">
        <f t="shared" si="158"/>
        <v>8</v>
      </c>
      <c r="L314" s="146">
        <f t="shared" si="158"/>
        <v>28</v>
      </c>
      <c r="M314" s="146">
        <f t="shared" si="158"/>
        <v>0</v>
      </c>
      <c r="N314" s="146">
        <f t="shared" si="158"/>
        <v>7</v>
      </c>
      <c r="O314" s="146">
        <f t="shared" si="158"/>
        <v>11</v>
      </c>
      <c r="P314" s="146">
        <f t="shared" si="158"/>
        <v>0</v>
      </c>
      <c r="Q314" s="146">
        <f t="shared" si="158"/>
        <v>0</v>
      </c>
      <c r="R314" s="146">
        <f t="shared" si="158"/>
        <v>0</v>
      </c>
      <c r="S314" s="146">
        <f t="shared" si="158"/>
        <v>0</v>
      </c>
      <c r="T314" s="146">
        <f t="shared" si="158"/>
        <v>0</v>
      </c>
      <c r="U314" s="146">
        <f t="shared" si="158"/>
        <v>0</v>
      </c>
      <c r="V314" s="146">
        <f t="shared" si="158"/>
        <v>0</v>
      </c>
      <c r="W314" s="146">
        <f t="shared" si="158"/>
        <v>5</v>
      </c>
      <c r="X314" s="146">
        <f t="shared" si="158"/>
        <v>25</v>
      </c>
      <c r="Y314" s="146">
        <f t="shared" si="158"/>
        <v>0</v>
      </c>
      <c r="Z314" s="146">
        <f t="shared" si="158"/>
        <v>55</v>
      </c>
      <c r="AA314" s="146">
        <f t="shared" si="158"/>
        <v>22</v>
      </c>
      <c r="AB314" s="146">
        <f t="shared" si="158"/>
        <v>9</v>
      </c>
      <c r="AC314" s="253">
        <f t="shared" si="158"/>
        <v>10</v>
      </c>
      <c r="AD314" s="253">
        <f t="shared" si="158"/>
        <v>10</v>
      </c>
      <c r="AE314" s="253">
        <f t="shared" si="158"/>
        <v>7</v>
      </c>
    </row>
    <row r="315" spans="1:31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  <c r="AE315" s="248"/>
    </row>
    <row r="316" spans="1:31" ht="15.75" thickBot="1">
      <c r="A316" s="235" t="s">
        <v>270</v>
      </c>
    </row>
    <row r="317" spans="1:31" ht="15.75" thickBot="1">
      <c r="A317" s="236"/>
      <c r="B317" s="237" t="str">
        <f>B$2</f>
        <v xml:space="preserve">93/94 </v>
      </c>
      <c r="C317" s="237" t="str">
        <f t="shared" ref="C317:AE317" si="159">C$2</f>
        <v xml:space="preserve">94/95 </v>
      </c>
      <c r="D317" s="237" t="str">
        <f t="shared" si="159"/>
        <v xml:space="preserve">95/96 </v>
      </c>
      <c r="E317" s="237" t="str">
        <f t="shared" si="159"/>
        <v xml:space="preserve">96/97 </v>
      </c>
      <c r="F317" s="237" t="str">
        <f t="shared" si="159"/>
        <v xml:space="preserve">97/98 </v>
      </c>
      <c r="G317" s="237" t="str">
        <f t="shared" si="159"/>
        <v xml:space="preserve">98/99 </v>
      </c>
      <c r="H317" s="237" t="str">
        <f t="shared" si="159"/>
        <v xml:space="preserve">99/00 </v>
      </c>
      <c r="I317" s="237" t="str">
        <f t="shared" si="159"/>
        <v xml:space="preserve">00/01 </v>
      </c>
      <c r="J317" s="237" t="str">
        <f t="shared" si="159"/>
        <v xml:space="preserve">01/02 </v>
      </c>
      <c r="K317" s="237" t="str">
        <f t="shared" si="159"/>
        <v xml:space="preserve">02/03 </v>
      </c>
      <c r="L317" s="237" t="str">
        <f t="shared" si="159"/>
        <v xml:space="preserve">03/04 </v>
      </c>
      <c r="M317" s="237" t="str">
        <f t="shared" si="159"/>
        <v xml:space="preserve">04/05 </v>
      </c>
      <c r="N317" s="237" t="str">
        <f t="shared" si="159"/>
        <v xml:space="preserve">05/06 </v>
      </c>
      <c r="O317" s="237" t="str">
        <f t="shared" si="159"/>
        <v xml:space="preserve">06/07 </v>
      </c>
      <c r="P317" s="237" t="str">
        <f t="shared" si="159"/>
        <v xml:space="preserve">07/08 </v>
      </c>
      <c r="Q317" s="237" t="str">
        <f t="shared" si="159"/>
        <v xml:space="preserve">08/09 </v>
      </c>
      <c r="R317" s="237" t="str">
        <f t="shared" si="159"/>
        <v xml:space="preserve">09/10 </v>
      </c>
      <c r="S317" s="237" t="str">
        <f t="shared" si="159"/>
        <v xml:space="preserve">10/11 </v>
      </c>
      <c r="T317" s="237" t="str">
        <f t="shared" si="159"/>
        <v xml:space="preserve">11/12 </v>
      </c>
      <c r="U317" s="237" t="str">
        <f t="shared" si="159"/>
        <v xml:space="preserve">12/13 </v>
      </c>
      <c r="V317" s="237" t="str">
        <f t="shared" si="159"/>
        <v xml:space="preserve">13/14 </v>
      </c>
      <c r="W317" s="237" t="str">
        <f t="shared" si="159"/>
        <v xml:space="preserve">14/15 </v>
      </c>
      <c r="X317" s="237" t="str">
        <f t="shared" si="159"/>
        <v xml:space="preserve">15/16 </v>
      </c>
      <c r="Y317" s="237" t="str">
        <f t="shared" si="159"/>
        <v xml:space="preserve">16/17 </v>
      </c>
      <c r="Z317" s="237" t="str">
        <f t="shared" si="159"/>
        <v xml:space="preserve">17/18 </v>
      </c>
      <c r="AA317" s="237" t="str">
        <f t="shared" si="159"/>
        <v xml:space="preserve">18/19 </v>
      </c>
      <c r="AB317" s="237" t="str">
        <f t="shared" si="159"/>
        <v xml:space="preserve">19/20 </v>
      </c>
      <c r="AC317" s="237" t="str">
        <f t="shared" si="159"/>
        <v xml:space="preserve">20/21 </v>
      </c>
      <c r="AD317" s="237" t="str">
        <f t="shared" si="159"/>
        <v xml:space="preserve">21/22 </v>
      </c>
      <c r="AE317" s="237" t="str">
        <f t="shared" si="159"/>
        <v xml:space="preserve">22/23 </v>
      </c>
    </row>
    <row r="318" spans="1:31">
      <c r="A318" s="240" t="s">
        <v>239</v>
      </c>
    </row>
    <row r="319" spans="1:31">
      <c r="A319" s="240" t="s">
        <v>240</v>
      </c>
    </row>
    <row r="320" spans="1:31">
      <c r="A320" s="240" t="s">
        <v>241</v>
      </c>
    </row>
    <row r="321" spans="1:31">
      <c r="A321" s="240" t="s">
        <v>231</v>
      </c>
    </row>
    <row r="322" spans="1:31">
      <c r="A322" s="240" t="s">
        <v>232</v>
      </c>
    </row>
    <row r="323" spans="1:31">
      <c r="A323" s="240" t="s">
        <v>233</v>
      </c>
    </row>
    <row r="324" spans="1:31">
      <c r="A324" s="240" t="s">
        <v>234</v>
      </c>
    </row>
    <row r="325" spans="1:31">
      <c r="A325" s="240" t="s">
        <v>46</v>
      </c>
    </row>
    <row r="326" spans="1:31">
      <c r="A326" s="240" t="s">
        <v>235</v>
      </c>
    </row>
    <row r="327" spans="1:31">
      <c r="A327" s="240" t="s">
        <v>236</v>
      </c>
    </row>
    <row r="328" spans="1:31">
      <c r="A328" s="240" t="s">
        <v>237</v>
      </c>
    </row>
    <row r="329" spans="1:31">
      <c r="A329" s="240" t="s">
        <v>238</v>
      </c>
    </row>
    <row r="330" spans="1:31" ht="15.75" thickBot="1">
      <c r="A330" s="240" t="s">
        <v>255</v>
      </c>
    </row>
    <row r="331" spans="1:31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  <c r="AD331" s="248"/>
      <c r="AE331" s="24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65B6-4066-4509-A9C4-144AB1C521EE}">
  <dimension ref="A1:BM331"/>
  <sheetViews>
    <sheetView zoomScale="85" zoomScaleNormal="85" workbookViewId="0">
      <pane xSplit="1" ySplit="2" topLeftCell="P157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2" customWidth="1"/>
    <col min="32" max="33" width="11" customWidth="1"/>
    <col min="34" max="34" width="11.28515625" bestFit="1" customWidth="1"/>
    <col min="35" max="35" width="9.28515625" style="201" bestFit="1" customWidth="1"/>
    <col min="36" max="36" width="9.28515625" bestFit="1" customWidth="1"/>
  </cols>
  <sheetData>
    <row r="1" spans="1:65" ht="18.75" thickBot="1">
      <c r="A1" s="199" t="s">
        <v>419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300"/>
      <c r="AG1" s="300"/>
      <c r="AH1" s="390"/>
      <c r="AI1" s="282"/>
      <c r="AJ1" s="300"/>
      <c r="AK1" s="300"/>
      <c r="AL1" s="302"/>
      <c r="AN1" s="300"/>
      <c r="AO1" s="303"/>
      <c r="AQ1" s="303"/>
      <c r="AR1" s="300"/>
      <c r="AS1" s="300"/>
      <c r="AT1" s="300"/>
    </row>
    <row r="2" spans="1:65" ht="15.75" thickBot="1">
      <c r="A2" s="202"/>
      <c r="B2" s="203" t="s">
        <v>272</v>
      </c>
      <c r="C2" s="204" t="s">
        <v>273</v>
      </c>
      <c r="D2" s="203" t="s">
        <v>274</v>
      </c>
      <c r="E2" s="204" t="s">
        <v>275</v>
      </c>
      <c r="F2" s="203" t="s">
        <v>276</v>
      </c>
      <c r="G2" s="204" t="s">
        <v>277</v>
      </c>
      <c r="H2" s="203" t="s">
        <v>278</v>
      </c>
      <c r="I2" s="204" t="s">
        <v>279</v>
      </c>
      <c r="J2" s="203" t="s">
        <v>280</v>
      </c>
      <c r="K2" s="204" t="s">
        <v>281</v>
      </c>
      <c r="L2" s="203" t="s">
        <v>282</v>
      </c>
      <c r="M2" s="204" t="s">
        <v>283</v>
      </c>
      <c r="N2" s="203" t="s">
        <v>284</v>
      </c>
      <c r="O2" s="204" t="s">
        <v>285</v>
      </c>
      <c r="P2" s="203" t="s">
        <v>286</v>
      </c>
      <c r="Q2" s="204" t="s">
        <v>287</v>
      </c>
      <c r="R2" s="203" t="s">
        <v>288</v>
      </c>
      <c r="S2" s="204" t="s">
        <v>289</v>
      </c>
      <c r="T2" s="203" t="s">
        <v>290</v>
      </c>
      <c r="U2" s="204" t="s">
        <v>291</v>
      </c>
      <c r="V2" s="203" t="s">
        <v>292</v>
      </c>
      <c r="W2" s="204" t="s">
        <v>293</v>
      </c>
      <c r="X2" s="203" t="s">
        <v>294</v>
      </c>
      <c r="Y2" s="204" t="s">
        <v>295</v>
      </c>
      <c r="Z2" s="203" t="s">
        <v>296</v>
      </c>
      <c r="AA2" s="204" t="s">
        <v>297</v>
      </c>
      <c r="AB2" s="204" t="s">
        <v>298</v>
      </c>
      <c r="AC2" s="204" t="s">
        <v>299</v>
      </c>
      <c r="AD2" s="204" t="s">
        <v>373</v>
      </c>
      <c r="AE2" s="204" t="s">
        <v>374</v>
      </c>
      <c r="AF2" s="392"/>
      <c r="AG2" s="392"/>
      <c r="AH2" s="201" t="s">
        <v>327</v>
      </c>
      <c r="AI2" s="201" t="s">
        <v>328</v>
      </c>
      <c r="AJ2" s="201" t="s">
        <v>329</v>
      </c>
      <c r="AK2" s="302"/>
      <c r="AO2" s="302"/>
      <c r="AQ2" s="302"/>
      <c r="AR2" s="302"/>
      <c r="AS2" s="302"/>
      <c r="AT2" s="302"/>
    </row>
    <row r="3" spans="1:65" ht="16.5">
      <c r="A3" s="3" t="s">
        <v>420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F3" s="377"/>
      <c r="AG3" s="377"/>
      <c r="AH3" s="379"/>
      <c r="AJ3" s="399"/>
      <c r="AK3" s="379"/>
      <c r="AL3" s="379"/>
      <c r="AM3" s="379"/>
      <c r="AN3" s="379"/>
      <c r="AO3" s="379"/>
      <c r="AP3" s="379"/>
      <c r="AQ3" s="379"/>
      <c r="AR3" s="379"/>
      <c r="AS3" s="379"/>
      <c r="AT3" s="379"/>
      <c r="AU3" s="379"/>
      <c r="AV3" s="379"/>
      <c r="AW3" s="379"/>
      <c r="AX3" s="379"/>
      <c r="AY3" s="379"/>
      <c r="AZ3" s="379"/>
      <c r="BA3" s="379"/>
      <c r="BB3" s="379"/>
      <c r="BC3" s="379"/>
      <c r="BD3" s="379"/>
      <c r="BE3" s="379"/>
      <c r="BF3" s="379"/>
      <c r="BG3" s="379"/>
      <c r="BH3" s="379"/>
      <c r="BI3" s="379"/>
      <c r="BJ3" s="379"/>
      <c r="BK3" s="379"/>
      <c r="BL3" s="379"/>
      <c r="BM3" s="379"/>
    </row>
    <row r="4" spans="1:65" ht="16.5">
      <c r="A4" s="3" t="s">
        <v>213</v>
      </c>
      <c r="B4" s="6">
        <f>B5/0.97</f>
        <v>597.93814432989689</v>
      </c>
      <c r="C4" s="6">
        <f t="shared" ref="C4:AC4" si="0">C5/0.97</f>
        <v>567.01030927835052</v>
      </c>
      <c r="D4" s="6">
        <f t="shared" si="0"/>
        <v>644.32989690721649</v>
      </c>
      <c r="E4" s="6">
        <f t="shared" si="0"/>
        <v>556.70103092783506</v>
      </c>
      <c r="F4" s="6">
        <f t="shared" si="0"/>
        <v>536.08247422680415</v>
      </c>
      <c r="G4" s="6">
        <f t="shared" si="0"/>
        <v>536.08247422680415</v>
      </c>
      <c r="H4" s="6">
        <f t="shared" si="0"/>
        <v>556.70103092783506</v>
      </c>
      <c r="I4" s="6">
        <f t="shared" si="0"/>
        <v>556.70103092783506</v>
      </c>
      <c r="J4" s="6">
        <f t="shared" si="0"/>
        <v>494.84536082474227</v>
      </c>
      <c r="K4" s="6">
        <f t="shared" si="0"/>
        <v>567.01030927835052</v>
      </c>
      <c r="L4" s="6">
        <f t="shared" si="0"/>
        <v>515.46391752577324</v>
      </c>
      <c r="M4" s="6">
        <f t="shared" si="0"/>
        <v>494.84536082474227</v>
      </c>
      <c r="N4" s="6">
        <f t="shared" si="0"/>
        <v>443.29896907216494</v>
      </c>
      <c r="O4" s="6">
        <f t="shared" si="0"/>
        <v>494.84536082474227</v>
      </c>
      <c r="P4" s="6">
        <f t="shared" si="0"/>
        <v>494.84536082474227</v>
      </c>
      <c r="Q4" s="6">
        <f t="shared" si="0"/>
        <v>515.46391752577324</v>
      </c>
      <c r="R4" s="6">
        <f t="shared" si="0"/>
        <v>474.22680412371136</v>
      </c>
      <c r="S4" s="6">
        <f t="shared" si="0"/>
        <v>500</v>
      </c>
      <c r="T4" s="6">
        <f t="shared" si="0"/>
        <v>505.15463917525773</v>
      </c>
      <c r="U4" s="6">
        <f t="shared" si="0"/>
        <v>618.5567010309278</v>
      </c>
      <c r="V4" s="6">
        <f t="shared" si="0"/>
        <v>711.34020618556701</v>
      </c>
      <c r="W4" s="6">
        <f t="shared" si="0"/>
        <v>546.39175257731961</v>
      </c>
      <c r="X4" s="6">
        <f t="shared" si="0"/>
        <v>567.01030927835052</v>
      </c>
      <c r="Y4" s="6">
        <f t="shared" si="0"/>
        <v>618.5567010309278</v>
      </c>
      <c r="Z4" s="6">
        <f t="shared" si="0"/>
        <v>721.64948453608247</v>
      </c>
      <c r="AA4" s="6">
        <f t="shared" si="0"/>
        <v>737.11340206185571</v>
      </c>
      <c r="AB4" s="6">
        <f t="shared" si="0"/>
        <v>752.57731958762884</v>
      </c>
      <c r="AC4" s="6">
        <f t="shared" si="0"/>
        <v>742.26804123711338</v>
      </c>
      <c r="AD4" s="224">
        <f t="shared" ref="AD4" si="1">MROUND(AD5/(SUM(F5:AC5)/SUM(F4:AC4)),25)</f>
        <v>775</v>
      </c>
      <c r="AE4" s="224">
        <f>MROUND(FORECAST(AE45,P4:AD4,P45:AD45),25)</f>
        <v>800</v>
      </c>
      <c r="AF4" s="394">
        <f>MROUND(FORECAST(AF45,Q4:AE4,Q45:AE45),25)</f>
        <v>825</v>
      </c>
      <c r="AG4" s="394"/>
      <c r="AH4" s="403"/>
      <c r="AJ4" s="209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6"/>
    </row>
    <row r="5" spans="1:65">
      <c r="A5" s="3" t="s">
        <v>2</v>
      </c>
      <c r="B5" s="6">
        <v>580</v>
      </c>
      <c r="C5" s="6">
        <v>550</v>
      </c>
      <c r="D5" s="6">
        <v>625</v>
      </c>
      <c r="E5" s="6">
        <v>540</v>
      </c>
      <c r="F5" s="6">
        <v>520</v>
      </c>
      <c r="G5" s="6">
        <v>520</v>
      </c>
      <c r="H5" s="6">
        <v>540</v>
      </c>
      <c r="I5" s="6">
        <v>540</v>
      </c>
      <c r="J5" s="6">
        <v>480</v>
      </c>
      <c r="K5" s="6">
        <v>550</v>
      </c>
      <c r="L5" s="6">
        <v>500</v>
      </c>
      <c r="M5" s="6">
        <v>480</v>
      </c>
      <c r="N5" s="6">
        <v>430</v>
      </c>
      <c r="O5" s="6">
        <v>480</v>
      </c>
      <c r="P5" s="6">
        <v>480</v>
      </c>
      <c r="Q5" s="6">
        <v>500</v>
      </c>
      <c r="R5" s="6">
        <v>460</v>
      </c>
      <c r="S5" s="6">
        <v>485</v>
      </c>
      <c r="T5" s="6">
        <v>490</v>
      </c>
      <c r="U5" s="6">
        <v>600</v>
      </c>
      <c r="V5" s="6">
        <v>690</v>
      </c>
      <c r="W5" s="6">
        <v>530</v>
      </c>
      <c r="X5" s="6">
        <v>550</v>
      </c>
      <c r="Y5" s="6">
        <v>600</v>
      </c>
      <c r="Z5" s="6">
        <v>700</v>
      </c>
      <c r="AA5" s="437">
        <v>715</v>
      </c>
      <c r="AB5" s="437">
        <v>730</v>
      </c>
      <c r="AC5" s="437">
        <v>720</v>
      </c>
      <c r="AD5" s="438">
        <v>755</v>
      </c>
      <c r="AE5" s="438">
        <f>MROUND(AE4*AVERAGE(O6:AC6),25)</f>
        <v>775</v>
      </c>
      <c r="AF5" s="315"/>
      <c r="AG5" s="315"/>
      <c r="AH5" s="223">
        <v>730</v>
      </c>
      <c r="AI5" s="223">
        <v>720</v>
      </c>
      <c r="AJ5" s="223">
        <v>760</v>
      </c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</row>
    <row r="6" spans="1:65" s="219" customFormat="1">
      <c r="A6" s="214" t="s">
        <v>214</v>
      </c>
      <c r="B6" s="215">
        <f>B5/B4</f>
        <v>0.97000000000000008</v>
      </c>
      <c r="C6" s="215">
        <f t="shared" ref="C6:AE6" si="2">C5/C4</f>
        <v>0.97</v>
      </c>
      <c r="D6" s="215">
        <f t="shared" si="2"/>
        <v>0.97</v>
      </c>
      <c r="E6" s="215">
        <f t="shared" si="2"/>
        <v>0.97</v>
      </c>
      <c r="F6" s="215">
        <f t="shared" si="2"/>
        <v>0.97</v>
      </c>
      <c r="G6" s="215">
        <f t="shared" si="2"/>
        <v>0.97</v>
      </c>
      <c r="H6" s="215">
        <f t="shared" si="2"/>
        <v>0.97</v>
      </c>
      <c r="I6" s="215">
        <f t="shared" si="2"/>
        <v>0.97</v>
      </c>
      <c r="J6" s="215">
        <f t="shared" si="2"/>
        <v>0.97</v>
      </c>
      <c r="K6" s="215">
        <f t="shared" si="2"/>
        <v>0.97</v>
      </c>
      <c r="L6" s="215">
        <f t="shared" si="2"/>
        <v>0.96999999999999986</v>
      </c>
      <c r="M6" s="215">
        <f t="shared" si="2"/>
        <v>0.97</v>
      </c>
      <c r="N6" s="215">
        <f t="shared" si="2"/>
        <v>0.97</v>
      </c>
      <c r="O6" s="215">
        <f t="shared" si="2"/>
        <v>0.97</v>
      </c>
      <c r="P6" s="215">
        <f t="shared" si="2"/>
        <v>0.97</v>
      </c>
      <c r="Q6" s="215">
        <f t="shared" si="2"/>
        <v>0.96999999999999986</v>
      </c>
      <c r="R6" s="215">
        <f t="shared" si="2"/>
        <v>0.97</v>
      </c>
      <c r="S6" s="215">
        <f t="shared" si="2"/>
        <v>0.97</v>
      </c>
      <c r="T6" s="215">
        <f t="shared" si="2"/>
        <v>0.97</v>
      </c>
      <c r="U6" s="215">
        <f t="shared" si="2"/>
        <v>0.97000000000000008</v>
      </c>
      <c r="V6" s="215">
        <f t="shared" si="2"/>
        <v>0.97</v>
      </c>
      <c r="W6" s="215">
        <f t="shared" si="2"/>
        <v>0.97</v>
      </c>
      <c r="X6" s="215">
        <f t="shared" si="2"/>
        <v>0.97</v>
      </c>
      <c r="Y6" s="215">
        <f t="shared" si="2"/>
        <v>0.97000000000000008</v>
      </c>
      <c r="Z6" s="215">
        <f t="shared" si="2"/>
        <v>0.97</v>
      </c>
      <c r="AA6" s="215">
        <f t="shared" si="2"/>
        <v>0.97</v>
      </c>
      <c r="AB6" s="215">
        <f t="shared" si="2"/>
        <v>0.97000000000000008</v>
      </c>
      <c r="AC6" s="215">
        <f t="shared" si="2"/>
        <v>0.97000000000000008</v>
      </c>
      <c r="AD6" s="216">
        <f t="shared" si="2"/>
        <v>0.97419354838709682</v>
      </c>
      <c r="AE6" s="216">
        <f t="shared" si="2"/>
        <v>0.96875</v>
      </c>
      <c r="AF6" s="324"/>
      <c r="AG6" s="324"/>
      <c r="AH6" s="397"/>
      <c r="AI6" s="218"/>
      <c r="AJ6" s="409"/>
      <c r="AK6" s="325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  <c r="BM6" s="325"/>
    </row>
    <row r="7" spans="1:65">
      <c r="A7" s="3" t="s">
        <v>421</v>
      </c>
      <c r="B7" s="23">
        <f t="shared" ref="B7:AC7" si="3">B9/B5</f>
        <v>1.2068965517241379</v>
      </c>
      <c r="C7" s="23">
        <f t="shared" si="3"/>
        <v>1.0909090909090908</v>
      </c>
      <c r="D7" s="23">
        <f t="shared" si="3"/>
        <v>1.2</v>
      </c>
      <c r="E7" s="23">
        <f t="shared" si="3"/>
        <v>1.0092592592592593</v>
      </c>
      <c r="F7" s="23">
        <f t="shared" si="3"/>
        <v>1.25</v>
      </c>
      <c r="G7" s="23">
        <f t="shared" si="3"/>
        <v>1.25</v>
      </c>
      <c r="H7" s="23">
        <f t="shared" si="3"/>
        <v>1.4814814814814814</v>
      </c>
      <c r="I7" s="23">
        <f t="shared" si="3"/>
        <v>1.0648148148148149</v>
      </c>
      <c r="J7" s="23">
        <f t="shared" si="3"/>
        <v>1.0833333333333333</v>
      </c>
      <c r="K7" s="23">
        <f t="shared" si="3"/>
        <v>1.490909090909091</v>
      </c>
      <c r="L7" s="23">
        <f t="shared" si="3"/>
        <v>1.2</v>
      </c>
      <c r="M7" s="23">
        <f t="shared" si="3"/>
        <v>1.3541666666666667</v>
      </c>
      <c r="N7" s="23">
        <f t="shared" si="3"/>
        <v>1.7441860465116279</v>
      </c>
      <c r="O7" s="23">
        <f t="shared" si="3"/>
        <v>1.7708333333333333</v>
      </c>
      <c r="P7" s="23">
        <f t="shared" si="3"/>
        <v>1.4583333333333333</v>
      </c>
      <c r="Q7" s="23">
        <f t="shared" si="3"/>
        <v>1.66</v>
      </c>
      <c r="R7" s="23">
        <f t="shared" si="3"/>
        <v>1.7391304347826086</v>
      </c>
      <c r="S7" s="23">
        <f t="shared" si="3"/>
        <v>2.0618556701030926</v>
      </c>
      <c r="T7" s="23">
        <f t="shared" si="3"/>
        <v>1.8877551020408163</v>
      </c>
      <c r="U7" s="23">
        <f t="shared" si="3"/>
        <v>1.875</v>
      </c>
      <c r="V7" s="23">
        <f t="shared" si="3"/>
        <v>2.0289855072463769</v>
      </c>
      <c r="W7" s="23">
        <f t="shared" si="3"/>
        <v>2.2641509433962264</v>
      </c>
      <c r="X7" s="23">
        <f t="shared" si="3"/>
        <v>2</v>
      </c>
      <c r="Y7" s="23">
        <f t="shared" si="3"/>
        <v>2.2000000000000002</v>
      </c>
      <c r="Z7" s="23">
        <f t="shared" si="3"/>
        <v>2.2142857142857144</v>
      </c>
      <c r="AA7" s="23">
        <f t="shared" si="3"/>
        <v>2.5174825174825175</v>
      </c>
      <c r="AB7" s="23">
        <f t="shared" si="3"/>
        <v>2.3972602739726026</v>
      </c>
      <c r="AC7" s="23">
        <f t="shared" si="3"/>
        <v>2.1666666666666665</v>
      </c>
      <c r="AD7" s="220">
        <f>FORECAST(AD45,E7:AC7,E45:AC45)</f>
        <v>2.4611778500534029</v>
      </c>
      <c r="AE7" s="220">
        <f>FORECAST(AE45,F7:AD7,F45:AD45)</f>
        <v>2.514100737499092</v>
      </c>
      <c r="AF7" s="315"/>
      <c r="AG7" s="315"/>
      <c r="AH7" s="226"/>
      <c r="AJ7" s="201"/>
    </row>
    <row r="8" spans="1:65">
      <c r="A8" s="221" t="s">
        <v>422</v>
      </c>
      <c r="B8" s="13">
        <v>35</v>
      </c>
      <c r="C8" s="13">
        <f>B17</f>
        <v>35</v>
      </c>
      <c r="D8" s="13">
        <f t="shared" ref="D8:AE8" si="4">C17</f>
        <v>70</v>
      </c>
      <c r="E8" s="13">
        <f t="shared" si="4"/>
        <v>135</v>
      </c>
      <c r="F8" s="13">
        <f t="shared" si="4"/>
        <v>80</v>
      </c>
      <c r="G8" s="13">
        <f t="shared" si="4"/>
        <v>40</v>
      </c>
      <c r="H8" s="13">
        <f t="shared" si="4"/>
        <v>30</v>
      </c>
      <c r="I8" s="13">
        <f t="shared" si="4"/>
        <v>30</v>
      </c>
      <c r="J8" s="13">
        <f t="shared" si="4"/>
        <v>7</v>
      </c>
      <c r="K8" s="13">
        <f t="shared" si="4"/>
        <v>8</v>
      </c>
      <c r="L8" s="13">
        <f t="shared" si="4"/>
        <v>16</v>
      </c>
      <c r="M8" s="13">
        <f t="shared" si="4"/>
        <v>9</v>
      </c>
      <c r="N8" s="13">
        <f t="shared" si="4"/>
        <v>4</v>
      </c>
      <c r="O8" s="13">
        <f t="shared" si="4"/>
        <v>0</v>
      </c>
      <c r="P8" s="13">
        <f t="shared" si="4"/>
        <v>78</v>
      </c>
      <c r="Q8" s="13">
        <f t="shared" si="4"/>
        <v>40</v>
      </c>
      <c r="R8" s="13">
        <f t="shared" si="4"/>
        <v>35</v>
      </c>
      <c r="S8" s="13">
        <f t="shared" si="4"/>
        <v>28</v>
      </c>
      <c r="T8" s="13">
        <f t="shared" si="4"/>
        <v>79</v>
      </c>
      <c r="U8" s="13">
        <f t="shared" si="4"/>
        <v>117</v>
      </c>
      <c r="V8" s="13">
        <f t="shared" si="4"/>
        <v>38</v>
      </c>
      <c r="W8" s="13">
        <f t="shared" si="4"/>
        <v>86</v>
      </c>
      <c r="X8" s="13">
        <f t="shared" si="4"/>
        <v>35</v>
      </c>
      <c r="Y8" s="13">
        <f t="shared" si="4"/>
        <v>57</v>
      </c>
      <c r="Z8" s="13">
        <f t="shared" si="4"/>
        <v>45</v>
      </c>
      <c r="AA8" s="13">
        <f t="shared" si="4"/>
        <v>30</v>
      </c>
      <c r="AB8" s="13">
        <f t="shared" si="4"/>
        <v>203</v>
      </c>
      <c r="AC8" s="13">
        <f t="shared" si="4"/>
        <v>220</v>
      </c>
      <c r="AD8" s="13">
        <f t="shared" si="4"/>
        <v>52</v>
      </c>
      <c r="AE8" s="222">
        <f t="shared" si="4"/>
        <v>100</v>
      </c>
      <c r="AF8" s="315"/>
      <c r="AG8" s="315"/>
      <c r="AH8" s="223">
        <v>203</v>
      </c>
      <c r="AI8" s="223">
        <v>345</v>
      </c>
      <c r="AJ8" s="223">
        <v>102</v>
      </c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6"/>
    </row>
    <row r="9" spans="1:65">
      <c r="A9" s="3" t="s">
        <v>5</v>
      </c>
      <c r="B9" s="6">
        <v>700</v>
      </c>
      <c r="C9" s="6">
        <v>600</v>
      </c>
      <c r="D9" s="6">
        <v>750</v>
      </c>
      <c r="E9" s="6">
        <v>545</v>
      </c>
      <c r="F9" s="6">
        <v>650</v>
      </c>
      <c r="G9" s="6">
        <v>650</v>
      </c>
      <c r="H9" s="6">
        <v>800</v>
      </c>
      <c r="I9" s="6">
        <v>575</v>
      </c>
      <c r="J9" s="6">
        <v>520</v>
      </c>
      <c r="K9" s="6">
        <v>820</v>
      </c>
      <c r="L9" s="6">
        <v>600</v>
      </c>
      <c r="M9" s="6">
        <v>650</v>
      </c>
      <c r="N9" s="6">
        <v>750</v>
      </c>
      <c r="O9" s="6">
        <v>850</v>
      </c>
      <c r="P9" s="6">
        <v>700</v>
      </c>
      <c r="Q9" s="6">
        <v>830</v>
      </c>
      <c r="R9" s="6">
        <v>800</v>
      </c>
      <c r="S9" s="6">
        <v>1000</v>
      </c>
      <c r="T9" s="6">
        <v>925</v>
      </c>
      <c r="U9" s="6">
        <v>1125</v>
      </c>
      <c r="V9" s="6">
        <v>1400</v>
      </c>
      <c r="W9" s="6">
        <v>1200</v>
      </c>
      <c r="X9" s="6">
        <v>1100</v>
      </c>
      <c r="Y9" s="6">
        <v>1320</v>
      </c>
      <c r="Z9" s="6">
        <v>1550</v>
      </c>
      <c r="AA9" s="6">
        <v>1800</v>
      </c>
      <c r="AB9" s="6">
        <v>1750</v>
      </c>
      <c r="AC9" s="6">
        <v>1560</v>
      </c>
      <c r="AD9" s="224">
        <v>1750</v>
      </c>
      <c r="AE9" s="224">
        <f>MROUND(AE5*AE7,25)</f>
        <v>1950</v>
      </c>
      <c r="AH9" s="212">
        <v>1750</v>
      </c>
      <c r="AI9" s="212">
        <v>1560</v>
      </c>
      <c r="AJ9" s="212">
        <v>1750</v>
      </c>
    </row>
    <row r="10" spans="1:65">
      <c r="A10" s="3" t="s">
        <v>6</v>
      </c>
      <c r="B10" s="6">
        <v>100</v>
      </c>
      <c r="C10" s="6">
        <v>550</v>
      </c>
      <c r="D10" s="6">
        <v>500</v>
      </c>
      <c r="E10" s="6">
        <v>360</v>
      </c>
      <c r="F10" s="6">
        <v>583</v>
      </c>
      <c r="G10" s="6">
        <v>595</v>
      </c>
      <c r="H10" s="6">
        <f t="shared" ref="H10:AB10" si="5">H60</f>
        <v>431.68799999999999</v>
      </c>
      <c r="I10" s="6">
        <f t="shared" si="5"/>
        <v>316.30500000000012</v>
      </c>
      <c r="J10" s="6">
        <f t="shared" si="5"/>
        <v>159.24099999999999</v>
      </c>
      <c r="K10" s="6">
        <f t="shared" si="5"/>
        <v>224.05699999999999</v>
      </c>
      <c r="L10" s="6">
        <f t="shared" si="5"/>
        <v>597.36300000000006</v>
      </c>
      <c r="M10" s="6">
        <f t="shared" si="5"/>
        <v>497.08100000000002</v>
      </c>
      <c r="N10" s="6">
        <f t="shared" si="5"/>
        <v>386.16300000000007</v>
      </c>
      <c r="O10" s="6">
        <f t="shared" si="5"/>
        <v>489.053</v>
      </c>
      <c r="P10" s="6">
        <f t="shared" si="5"/>
        <v>526.56200000000001</v>
      </c>
      <c r="Q10" s="6">
        <f t="shared" si="5"/>
        <v>443.29000000000008</v>
      </c>
      <c r="R10" s="6">
        <f t="shared" si="5"/>
        <v>696.99699999999996</v>
      </c>
      <c r="S10" s="6">
        <f t="shared" si="5"/>
        <v>703.99299999999994</v>
      </c>
      <c r="T10" s="6">
        <f t="shared" si="5"/>
        <v>819.38800000000015</v>
      </c>
      <c r="U10" s="6">
        <f t="shared" si="5"/>
        <v>602.54300000000001</v>
      </c>
      <c r="V10" s="6">
        <f t="shared" si="5"/>
        <v>556.26900000000001</v>
      </c>
      <c r="W10" s="6">
        <f t="shared" si="5"/>
        <v>445.65999999999997</v>
      </c>
      <c r="X10" s="6">
        <f t="shared" si="5"/>
        <v>395.07900000000006</v>
      </c>
      <c r="Y10" s="6">
        <f t="shared" si="5"/>
        <v>573.06380000000001</v>
      </c>
      <c r="Z10" s="6">
        <f t="shared" si="5"/>
        <v>764.54963800000007</v>
      </c>
      <c r="AA10" s="6">
        <f t="shared" si="5"/>
        <v>1107.6161199999999</v>
      </c>
      <c r="AB10" s="6">
        <f t="shared" si="5"/>
        <v>1088.7167420000003</v>
      </c>
      <c r="AC10" s="224">
        <f>600+425-50</f>
        <v>975</v>
      </c>
      <c r="AD10" s="224">
        <v>1050</v>
      </c>
      <c r="AE10" s="224">
        <v>1100</v>
      </c>
      <c r="AH10" s="212">
        <v>1178</v>
      </c>
      <c r="AI10" s="223">
        <v>907</v>
      </c>
      <c r="AJ10" s="223">
        <v>900</v>
      </c>
    </row>
    <row r="11" spans="1:65">
      <c r="A11" s="221" t="s">
        <v>7</v>
      </c>
      <c r="B11" s="13">
        <f>SUM(B8:B10)</f>
        <v>835</v>
      </c>
      <c r="C11" s="13">
        <f t="shared" ref="C11:Z11" si="6">SUM(C8:C10)</f>
        <v>1185</v>
      </c>
      <c r="D11" s="13">
        <f t="shared" si="6"/>
        <v>1320</v>
      </c>
      <c r="E11" s="13">
        <f t="shared" si="6"/>
        <v>1040</v>
      </c>
      <c r="F11" s="13">
        <f t="shared" si="6"/>
        <v>1313</v>
      </c>
      <c r="G11" s="13">
        <f t="shared" si="6"/>
        <v>1285</v>
      </c>
      <c r="H11" s="13">
        <f t="shared" si="6"/>
        <v>1261.6880000000001</v>
      </c>
      <c r="I11" s="13">
        <f t="shared" si="6"/>
        <v>921.30500000000006</v>
      </c>
      <c r="J11" s="13">
        <f t="shared" si="6"/>
        <v>686.24099999999999</v>
      </c>
      <c r="K11" s="13">
        <f t="shared" si="6"/>
        <v>1052.057</v>
      </c>
      <c r="L11" s="13">
        <f t="shared" si="6"/>
        <v>1213.3630000000001</v>
      </c>
      <c r="M11" s="13">
        <f t="shared" si="6"/>
        <v>1156.0810000000001</v>
      </c>
      <c r="N11" s="13">
        <f t="shared" si="6"/>
        <v>1140.163</v>
      </c>
      <c r="O11" s="13">
        <f t="shared" si="6"/>
        <v>1339.0529999999999</v>
      </c>
      <c r="P11" s="13">
        <f t="shared" si="6"/>
        <v>1304.5619999999999</v>
      </c>
      <c r="Q11" s="13">
        <f t="shared" si="6"/>
        <v>1313.29</v>
      </c>
      <c r="R11" s="13">
        <f t="shared" si="6"/>
        <v>1531.9969999999998</v>
      </c>
      <c r="S11" s="13">
        <f t="shared" si="6"/>
        <v>1731.9929999999999</v>
      </c>
      <c r="T11" s="13">
        <f t="shared" si="6"/>
        <v>1823.3880000000001</v>
      </c>
      <c r="U11" s="13">
        <f t="shared" si="6"/>
        <v>1844.5430000000001</v>
      </c>
      <c r="V11" s="13">
        <f t="shared" si="6"/>
        <v>1994.269</v>
      </c>
      <c r="W11" s="13">
        <f t="shared" si="6"/>
        <v>1731.6599999999999</v>
      </c>
      <c r="X11" s="13">
        <f t="shared" si="6"/>
        <v>1530.0790000000002</v>
      </c>
      <c r="Y11" s="13">
        <f t="shared" si="6"/>
        <v>1950.0637999999999</v>
      </c>
      <c r="Z11" s="13">
        <f t="shared" si="6"/>
        <v>2359.549638</v>
      </c>
      <c r="AA11" s="13">
        <f>SUM(AA8:AA10)</f>
        <v>2937.6161199999997</v>
      </c>
      <c r="AB11" s="13">
        <f>SUM(AB8:AB10)</f>
        <v>3041.7167420000005</v>
      </c>
      <c r="AC11" s="222">
        <f>SUM(AC8:AC10)</f>
        <v>2755</v>
      </c>
      <c r="AD11" s="222">
        <f t="shared" ref="AD11:AE11" si="7">SUM(AD8:AD10)</f>
        <v>2852</v>
      </c>
      <c r="AE11" s="222">
        <f t="shared" si="7"/>
        <v>3150</v>
      </c>
      <c r="AH11" s="212">
        <v>3131</v>
      </c>
      <c r="AI11" s="212">
        <v>2812</v>
      </c>
      <c r="AJ11" s="212">
        <v>2752</v>
      </c>
    </row>
    <row r="12" spans="1:65">
      <c r="A12" s="3" t="s">
        <v>8</v>
      </c>
      <c r="B12" s="6">
        <f>B92</f>
        <v>760.00000000000034</v>
      </c>
      <c r="C12" s="6">
        <f t="shared" ref="C12:AB12" si="8">C92</f>
        <v>1074.9999999999998</v>
      </c>
      <c r="D12" s="6">
        <f t="shared" si="8"/>
        <v>1133.0000000000002</v>
      </c>
      <c r="E12" s="6">
        <f t="shared" si="8"/>
        <v>960.00000000000023</v>
      </c>
      <c r="F12" s="6">
        <f t="shared" si="8"/>
        <v>1224.9999999999998</v>
      </c>
      <c r="G12" s="6">
        <f t="shared" si="8"/>
        <v>1208.0000000000002</v>
      </c>
      <c r="H12" s="6">
        <f t="shared" si="8"/>
        <v>1166.2611403846158</v>
      </c>
      <c r="I12" s="6">
        <f t="shared" si="8"/>
        <v>970.10929503916441</v>
      </c>
      <c r="J12" s="6">
        <f t="shared" si="8"/>
        <v>678.01732142857145</v>
      </c>
      <c r="K12" s="6">
        <f t="shared" si="8"/>
        <v>992.70930232558123</v>
      </c>
      <c r="L12" s="6">
        <f t="shared" si="8"/>
        <v>1223.5926095238096</v>
      </c>
      <c r="M12" s="6">
        <f t="shared" si="8"/>
        <v>1113.0151234567902</v>
      </c>
      <c r="N12" s="6">
        <f t="shared" si="8"/>
        <v>1086.4395348837209</v>
      </c>
      <c r="O12" s="6">
        <f t="shared" si="8"/>
        <v>1228.2883720930231</v>
      </c>
      <c r="P12" s="6">
        <f t="shared" si="8"/>
        <v>1192.3069767441862</v>
      </c>
      <c r="Q12" s="6">
        <f t="shared" si="8"/>
        <v>1211.9232558139531</v>
      </c>
      <c r="R12" s="6">
        <f t="shared" si="8"/>
        <v>1432.302564102564</v>
      </c>
      <c r="S12" s="6">
        <f t="shared" si="8"/>
        <v>1555.1449775112446</v>
      </c>
      <c r="T12" s="6">
        <f t="shared" si="8"/>
        <v>1549.4720930232561</v>
      </c>
      <c r="U12" s="6">
        <f t="shared" si="8"/>
        <v>1606.0209302325584</v>
      </c>
      <c r="V12" s="6">
        <f t="shared" si="8"/>
        <v>1835.2186046511633</v>
      </c>
      <c r="W12" s="6">
        <f t="shared" si="8"/>
        <v>1621.2534883720937</v>
      </c>
      <c r="X12" s="6">
        <f t="shared" si="8"/>
        <v>1274.6795454545456</v>
      </c>
      <c r="Y12" s="6">
        <f t="shared" si="8"/>
        <v>1764.5433363636362</v>
      </c>
      <c r="Z12" s="6">
        <f t="shared" si="8"/>
        <v>1972.5505477272727</v>
      </c>
      <c r="AA12" s="6">
        <f t="shared" si="8"/>
        <v>2456.6426818181817</v>
      </c>
      <c r="AB12" s="6">
        <f t="shared" si="8"/>
        <v>2638.997972727273</v>
      </c>
      <c r="AC12" s="224">
        <v>2450</v>
      </c>
      <c r="AD12" s="224">
        <v>2600</v>
      </c>
      <c r="AE12" s="224">
        <v>2700</v>
      </c>
      <c r="AF12" s="377"/>
      <c r="AG12" s="377"/>
      <c r="AH12" s="212">
        <v>2500</v>
      </c>
      <c r="AI12" s="212">
        <v>2400</v>
      </c>
      <c r="AJ12" s="212">
        <v>2425</v>
      </c>
    </row>
    <row r="13" spans="1:65">
      <c r="A13" s="3" t="s">
        <v>9</v>
      </c>
      <c r="B13" s="6">
        <v>2</v>
      </c>
      <c r="C13" s="6">
        <v>2</v>
      </c>
      <c r="D13" s="6">
        <v>2</v>
      </c>
      <c r="E13" s="6">
        <v>0</v>
      </c>
      <c r="F13" s="6">
        <v>0</v>
      </c>
      <c r="G13" s="6">
        <v>0</v>
      </c>
      <c r="H13" s="6">
        <f t="shared" ref="H13:AB13" si="9">H76</f>
        <v>3.2709999999999999</v>
      </c>
      <c r="I13" s="6">
        <f t="shared" si="9"/>
        <v>1.7629999999999999</v>
      </c>
      <c r="J13" s="6">
        <f t="shared" si="9"/>
        <v>2.137</v>
      </c>
      <c r="K13" s="6">
        <f t="shared" si="9"/>
        <v>3.2590000000000008</v>
      </c>
      <c r="L13" s="6">
        <f t="shared" si="9"/>
        <v>4.2750000000000004</v>
      </c>
      <c r="M13" s="6">
        <f t="shared" si="9"/>
        <v>6.2590000000000003</v>
      </c>
      <c r="N13" s="6">
        <f t="shared" si="9"/>
        <v>8.8120000000000012</v>
      </c>
      <c r="O13" s="6">
        <f t="shared" si="9"/>
        <v>11.429999999999998</v>
      </c>
      <c r="P13" s="6">
        <f t="shared" si="9"/>
        <v>6.9269999999999996</v>
      </c>
      <c r="Q13" s="6">
        <f t="shared" si="9"/>
        <v>13.123000000000001</v>
      </c>
      <c r="R13" s="6">
        <f t="shared" si="9"/>
        <v>19.658000000000001</v>
      </c>
      <c r="S13" s="6">
        <f t="shared" si="9"/>
        <v>24.621999999999996</v>
      </c>
      <c r="T13" s="6">
        <f t="shared" si="9"/>
        <v>37.107000000000006</v>
      </c>
      <c r="U13" s="6">
        <f t="shared" si="9"/>
        <v>36.553999999999988</v>
      </c>
      <c r="V13" s="6">
        <f t="shared" si="9"/>
        <v>30.295999999999996</v>
      </c>
      <c r="W13" s="6">
        <f t="shared" si="9"/>
        <v>25.627999999999997</v>
      </c>
      <c r="X13" s="6">
        <f t="shared" si="9"/>
        <v>40.007999999999996</v>
      </c>
      <c r="Y13" s="6">
        <f t="shared" si="9"/>
        <v>45.641355999999995</v>
      </c>
      <c r="Z13" s="6">
        <f t="shared" si="9"/>
        <v>140.328329</v>
      </c>
      <c r="AA13" s="6">
        <f t="shared" si="9"/>
        <v>111.41694200000001</v>
      </c>
      <c r="AB13" s="6">
        <f t="shared" si="9"/>
        <v>94.224085999999986</v>
      </c>
      <c r="AC13" s="224">
        <f>125-5</f>
        <v>120</v>
      </c>
      <c r="AD13" s="224">
        <f>150-25</f>
        <v>125</v>
      </c>
      <c r="AE13" s="224">
        <v>150</v>
      </c>
      <c r="AH13" s="223">
        <v>99</v>
      </c>
      <c r="AI13" s="223">
        <v>123</v>
      </c>
      <c r="AJ13" s="223">
        <v>100</v>
      </c>
    </row>
    <row r="14" spans="1:65">
      <c r="A14" s="3" t="s">
        <v>10</v>
      </c>
      <c r="B14" s="6">
        <f>ROUND(C4*0.007,0)</f>
        <v>4</v>
      </c>
      <c r="C14" s="6">
        <f t="shared" ref="C14:AE14" si="10">ROUND(D4*0.007,0)</f>
        <v>5</v>
      </c>
      <c r="D14" s="6">
        <f t="shared" si="10"/>
        <v>4</v>
      </c>
      <c r="E14" s="6">
        <f t="shared" si="10"/>
        <v>4</v>
      </c>
      <c r="F14" s="6">
        <f t="shared" si="10"/>
        <v>4</v>
      </c>
      <c r="G14" s="6">
        <f t="shared" si="10"/>
        <v>4</v>
      </c>
      <c r="H14" s="6">
        <f t="shared" si="10"/>
        <v>4</v>
      </c>
      <c r="I14" s="6">
        <f t="shared" si="10"/>
        <v>3</v>
      </c>
      <c r="J14" s="6">
        <f t="shared" si="10"/>
        <v>4</v>
      </c>
      <c r="K14" s="6">
        <f t="shared" si="10"/>
        <v>4</v>
      </c>
      <c r="L14" s="6">
        <f t="shared" si="10"/>
        <v>3</v>
      </c>
      <c r="M14" s="6">
        <f t="shared" si="10"/>
        <v>3</v>
      </c>
      <c r="N14" s="6">
        <f t="shared" si="10"/>
        <v>3</v>
      </c>
      <c r="O14" s="6">
        <f t="shared" si="10"/>
        <v>3</v>
      </c>
      <c r="P14" s="6">
        <f t="shared" si="10"/>
        <v>4</v>
      </c>
      <c r="Q14" s="6">
        <f t="shared" si="10"/>
        <v>3</v>
      </c>
      <c r="R14" s="6">
        <f t="shared" si="10"/>
        <v>4</v>
      </c>
      <c r="S14" s="6">
        <f t="shared" si="10"/>
        <v>4</v>
      </c>
      <c r="T14" s="6">
        <f t="shared" si="10"/>
        <v>4</v>
      </c>
      <c r="U14" s="6">
        <f t="shared" si="10"/>
        <v>5</v>
      </c>
      <c r="V14" s="6">
        <f t="shared" si="10"/>
        <v>4</v>
      </c>
      <c r="W14" s="6">
        <f t="shared" si="10"/>
        <v>4</v>
      </c>
      <c r="X14" s="6">
        <f t="shared" si="10"/>
        <v>4</v>
      </c>
      <c r="Y14" s="6">
        <f t="shared" si="10"/>
        <v>5</v>
      </c>
      <c r="Z14" s="6">
        <f t="shared" si="10"/>
        <v>5</v>
      </c>
      <c r="AA14" s="6">
        <f t="shared" si="10"/>
        <v>5</v>
      </c>
      <c r="AB14" s="6">
        <f t="shared" si="10"/>
        <v>5</v>
      </c>
      <c r="AC14" s="224">
        <f t="shared" si="10"/>
        <v>5</v>
      </c>
      <c r="AD14" s="224">
        <f t="shared" si="10"/>
        <v>6</v>
      </c>
      <c r="AE14" s="224">
        <f t="shared" si="10"/>
        <v>6</v>
      </c>
      <c r="AH14" s="226"/>
      <c r="AJ14" s="201" t="s">
        <v>218</v>
      </c>
    </row>
    <row r="15" spans="1:65">
      <c r="A15" s="3" t="s">
        <v>11</v>
      </c>
      <c r="B15" s="6">
        <f>B16-SUM(B12:B14)</f>
        <v>33.999999999999659</v>
      </c>
      <c r="C15" s="6">
        <f t="shared" ref="C15:AC15" si="11">C16-SUM(C12:C14)</f>
        <v>33.000000000000227</v>
      </c>
      <c r="D15" s="6">
        <f t="shared" si="11"/>
        <v>45.999999999999773</v>
      </c>
      <c r="E15" s="6">
        <f t="shared" si="11"/>
        <v>-4.0000000000002274</v>
      </c>
      <c r="F15" s="6">
        <f t="shared" si="11"/>
        <v>44.000000000000227</v>
      </c>
      <c r="G15" s="6">
        <f t="shared" si="11"/>
        <v>42.999999999999773</v>
      </c>
      <c r="H15" s="6">
        <f t="shared" si="11"/>
        <v>58.155859615384315</v>
      </c>
      <c r="I15" s="6">
        <f t="shared" si="11"/>
        <v>-60.567295039164378</v>
      </c>
      <c r="J15" s="6">
        <f t="shared" si="11"/>
        <v>-5.9133214285714075</v>
      </c>
      <c r="K15" s="6">
        <f t="shared" si="11"/>
        <v>36.088697674418768</v>
      </c>
      <c r="L15" s="6">
        <f t="shared" si="11"/>
        <v>-26.504609523809677</v>
      </c>
      <c r="M15" s="6">
        <f t="shared" si="11"/>
        <v>29.80687654320991</v>
      </c>
      <c r="N15" s="6">
        <f t="shared" si="11"/>
        <v>41.91146511627926</v>
      </c>
      <c r="O15" s="6">
        <f t="shared" si="11"/>
        <v>18.334627906976721</v>
      </c>
      <c r="P15" s="6">
        <f t="shared" si="11"/>
        <v>61.328023255813832</v>
      </c>
      <c r="Q15" s="6">
        <f t="shared" si="11"/>
        <v>50.243744186046797</v>
      </c>
      <c r="R15" s="6">
        <f t="shared" si="11"/>
        <v>48.036435897435922</v>
      </c>
      <c r="S15" s="6">
        <f t="shared" si="11"/>
        <v>69.226022488755234</v>
      </c>
      <c r="T15" s="6">
        <f t="shared" si="11"/>
        <v>115.80890697674408</v>
      </c>
      <c r="U15" s="6">
        <f t="shared" si="11"/>
        <v>158.96806976744165</v>
      </c>
      <c r="V15" s="6">
        <f t="shared" si="11"/>
        <v>38.754395348836624</v>
      </c>
      <c r="W15" s="6">
        <f t="shared" si="11"/>
        <v>45.778511627906255</v>
      </c>
      <c r="X15" s="6">
        <f t="shared" si="11"/>
        <v>154.39145454545451</v>
      </c>
      <c r="Y15" s="6">
        <f t="shared" si="11"/>
        <v>89.879107636363642</v>
      </c>
      <c r="Z15" s="6">
        <f t="shared" si="11"/>
        <v>211.6707612727273</v>
      </c>
      <c r="AA15" s="6">
        <f t="shared" si="11"/>
        <v>161.55649618181815</v>
      </c>
      <c r="AB15" s="6">
        <f t="shared" si="11"/>
        <v>83.494683272727343</v>
      </c>
      <c r="AC15" s="224">
        <f t="shared" si="11"/>
        <v>128</v>
      </c>
      <c r="AD15" s="224">
        <f t="shared" ref="AD15:AE15" si="12">AD16-SUM(AD12:AD14)</f>
        <v>21</v>
      </c>
      <c r="AE15" s="224">
        <f t="shared" si="12"/>
        <v>94</v>
      </c>
      <c r="AH15" s="226"/>
      <c r="AJ15" s="201" t="s">
        <v>218</v>
      </c>
    </row>
    <row r="16" spans="1:65">
      <c r="A16" s="221" t="s">
        <v>12</v>
      </c>
      <c r="B16" s="13">
        <f t="shared" ref="B16:AE16" si="13">B11-B17</f>
        <v>800</v>
      </c>
      <c r="C16" s="13">
        <f t="shared" si="13"/>
        <v>1115</v>
      </c>
      <c r="D16" s="13">
        <f t="shared" si="13"/>
        <v>1185</v>
      </c>
      <c r="E16" s="13">
        <f t="shared" si="13"/>
        <v>960</v>
      </c>
      <c r="F16" s="13">
        <f t="shared" si="13"/>
        <v>1273</v>
      </c>
      <c r="G16" s="13">
        <f t="shared" si="13"/>
        <v>1255</v>
      </c>
      <c r="H16" s="13">
        <f t="shared" si="13"/>
        <v>1231.6880000000001</v>
      </c>
      <c r="I16" s="13">
        <f t="shared" si="13"/>
        <v>914.30500000000006</v>
      </c>
      <c r="J16" s="13">
        <f t="shared" si="13"/>
        <v>678.24099999999999</v>
      </c>
      <c r="K16" s="13">
        <f t="shared" si="13"/>
        <v>1036.057</v>
      </c>
      <c r="L16" s="13">
        <f t="shared" si="13"/>
        <v>1204.3630000000001</v>
      </c>
      <c r="M16" s="13">
        <f t="shared" si="13"/>
        <v>1152.0810000000001</v>
      </c>
      <c r="N16" s="13">
        <f t="shared" si="13"/>
        <v>1140.163</v>
      </c>
      <c r="O16" s="13">
        <f t="shared" si="13"/>
        <v>1261.0529999999999</v>
      </c>
      <c r="P16" s="13">
        <f t="shared" si="13"/>
        <v>1264.5619999999999</v>
      </c>
      <c r="Q16" s="13">
        <f t="shared" si="13"/>
        <v>1278.29</v>
      </c>
      <c r="R16" s="13">
        <f t="shared" si="13"/>
        <v>1503.9969999999998</v>
      </c>
      <c r="S16" s="13">
        <f t="shared" si="13"/>
        <v>1652.9929999999999</v>
      </c>
      <c r="T16" s="13">
        <f t="shared" si="13"/>
        <v>1706.3880000000001</v>
      </c>
      <c r="U16" s="13">
        <f t="shared" si="13"/>
        <v>1806.5430000000001</v>
      </c>
      <c r="V16" s="13">
        <f t="shared" si="13"/>
        <v>1908.269</v>
      </c>
      <c r="W16" s="13">
        <f t="shared" si="13"/>
        <v>1696.6599999999999</v>
      </c>
      <c r="X16" s="13">
        <f t="shared" si="13"/>
        <v>1473.0790000000002</v>
      </c>
      <c r="Y16" s="13">
        <f t="shared" si="13"/>
        <v>1905.0637999999999</v>
      </c>
      <c r="Z16" s="13">
        <f t="shared" si="13"/>
        <v>2329.549638</v>
      </c>
      <c r="AA16" s="13">
        <f t="shared" si="13"/>
        <v>2734.6161199999997</v>
      </c>
      <c r="AB16" s="13">
        <f t="shared" si="13"/>
        <v>2821.7167420000005</v>
      </c>
      <c r="AC16" s="222">
        <f t="shared" si="13"/>
        <v>2703</v>
      </c>
      <c r="AD16" s="222">
        <f t="shared" si="13"/>
        <v>2752</v>
      </c>
      <c r="AE16" s="222">
        <f t="shared" si="13"/>
        <v>2950</v>
      </c>
      <c r="AH16" s="226"/>
      <c r="AJ16" s="201"/>
    </row>
    <row r="17" spans="1:36">
      <c r="A17" s="3" t="s">
        <v>423</v>
      </c>
      <c r="B17" s="6">
        <v>35</v>
      </c>
      <c r="C17" s="6">
        <v>70</v>
      </c>
      <c r="D17" s="6">
        <v>135</v>
      </c>
      <c r="E17" s="6">
        <v>80</v>
      </c>
      <c r="F17" s="6">
        <v>40</v>
      </c>
      <c r="G17" s="6">
        <v>30</v>
      </c>
      <c r="H17" s="6">
        <v>30</v>
      </c>
      <c r="I17" s="6">
        <v>7</v>
      </c>
      <c r="J17" s="6">
        <v>8</v>
      </c>
      <c r="K17" s="6">
        <v>16</v>
      </c>
      <c r="L17" s="6">
        <v>9</v>
      </c>
      <c r="M17" s="6">
        <v>4</v>
      </c>
      <c r="N17" s="6">
        <v>0</v>
      </c>
      <c r="O17" s="6">
        <v>78</v>
      </c>
      <c r="P17" s="6">
        <v>40</v>
      </c>
      <c r="Q17" s="6">
        <v>35</v>
      </c>
      <c r="R17" s="6">
        <v>28</v>
      </c>
      <c r="S17" s="6">
        <v>79</v>
      </c>
      <c r="T17" s="6">
        <v>117</v>
      </c>
      <c r="U17" s="6">
        <v>38</v>
      </c>
      <c r="V17" s="6">
        <v>86</v>
      </c>
      <c r="W17" s="6">
        <v>35</v>
      </c>
      <c r="X17" s="6">
        <v>57</v>
      </c>
      <c r="Y17" s="6">
        <v>45</v>
      </c>
      <c r="Z17" s="6">
        <v>30</v>
      </c>
      <c r="AA17" s="6">
        <v>203</v>
      </c>
      <c r="AB17" s="6">
        <v>220</v>
      </c>
      <c r="AC17" s="6">
        <v>52</v>
      </c>
      <c r="AD17" s="224">
        <v>100</v>
      </c>
      <c r="AE17" s="224">
        <v>200</v>
      </c>
      <c r="AH17" s="223">
        <v>345</v>
      </c>
      <c r="AI17" s="223">
        <v>102</v>
      </c>
      <c r="AJ17" s="223">
        <v>50</v>
      </c>
    </row>
    <row r="18" spans="1:36">
      <c r="A18" s="221" t="s">
        <v>221</v>
      </c>
      <c r="B18" s="227">
        <f>B17/B16</f>
        <v>4.3749999999999997E-2</v>
      </c>
      <c r="C18" s="227">
        <f t="shared" ref="C18:AE18" si="14">C17/C16</f>
        <v>6.2780269058295965E-2</v>
      </c>
      <c r="D18" s="227">
        <f t="shared" si="14"/>
        <v>0.11392405063291139</v>
      </c>
      <c r="E18" s="227">
        <f t="shared" si="14"/>
        <v>8.3333333333333329E-2</v>
      </c>
      <c r="F18" s="227">
        <f t="shared" si="14"/>
        <v>3.1421838177533384E-2</v>
      </c>
      <c r="G18" s="227">
        <f t="shared" si="14"/>
        <v>2.3904382470119521E-2</v>
      </c>
      <c r="H18" s="227">
        <f t="shared" si="14"/>
        <v>2.4356817635634995E-2</v>
      </c>
      <c r="I18" s="227">
        <f t="shared" si="14"/>
        <v>7.6560885043831101E-3</v>
      </c>
      <c r="J18" s="227">
        <f t="shared" si="14"/>
        <v>1.1795217334251394E-2</v>
      </c>
      <c r="K18" s="227">
        <f t="shared" si="14"/>
        <v>1.5443165771767383E-2</v>
      </c>
      <c r="L18" s="227">
        <f t="shared" si="14"/>
        <v>7.4728300354627297E-3</v>
      </c>
      <c r="M18" s="227">
        <f t="shared" si="14"/>
        <v>3.4719780987621527E-3</v>
      </c>
      <c r="N18" s="227">
        <f t="shared" si="14"/>
        <v>0</v>
      </c>
      <c r="O18" s="227">
        <f t="shared" si="14"/>
        <v>6.1853070410204811E-2</v>
      </c>
      <c r="P18" s="227">
        <f t="shared" si="14"/>
        <v>3.1631505612219883E-2</v>
      </c>
      <c r="Q18" s="227">
        <f t="shared" si="14"/>
        <v>2.738032840748187E-2</v>
      </c>
      <c r="R18" s="227">
        <f t="shared" si="14"/>
        <v>1.8617058411685664E-2</v>
      </c>
      <c r="S18" s="227">
        <f t="shared" si="14"/>
        <v>4.7792095913291831E-2</v>
      </c>
      <c r="T18" s="227">
        <f t="shared" si="14"/>
        <v>6.8565883023087359E-2</v>
      </c>
      <c r="U18" s="227">
        <f t="shared" si="14"/>
        <v>2.1034650157787552E-2</v>
      </c>
      <c r="V18" s="227">
        <f t="shared" si="14"/>
        <v>4.5067021473387661E-2</v>
      </c>
      <c r="W18" s="227">
        <f t="shared" si="14"/>
        <v>2.0628764749566798E-2</v>
      </c>
      <c r="X18" s="227">
        <f t="shared" si="14"/>
        <v>3.8694462415118258E-2</v>
      </c>
      <c r="Y18" s="227">
        <f t="shared" si="14"/>
        <v>2.3621256149006665E-2</v>
      </c>
      <c r="Z18" s="227">
        <f t="shared" si="14"/>
        <v>1.2878025653815238E-2</v>
      </c>
      <c r="AA18" s="227">
        <f t="shared" si="14"/>
        <v>7.4233454017670314E-2</v>
      </c>
      <c r="AB18" s="227">
        <f t="shared" si="14"/>
        <v>7.7966720303777381E-2</v>
      </c>
      <c r="AC18" s="228">
        <f t="shared" si="14"/>
        <v>1.9237883832778396E-2</v>
      </c>
      <c r="AD18" s="228">
        <f t="shared" si="14"/>
        <v>3.6337209302325583E-2</v>
      </c>
      <c r="AE18" s="228">
        <f t="shared" si="14"/>
        <v>6.7796610169491525E-2</v>
      </c>
      <c r="AH18" s="226"/>
      <c r="AJ18" s="201"/>
    </row>
    <row r="19" spans="1:36" ht="15.75" thickBot="1">
      <c r="A19" s="3" t="s">
        <v>424</v>
      </c>
      <c r="AH19" s="226"/>
      <c r="AJ19" s="201"/>
    </row>
    <row r="20" spans="1:36" ht="16.5">
      <c r="A20" s="229" t="s">
        <v>425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H20" s="226"/>
      <c r="AJ20" s="201"/>
    </row>
    <row r="21" spans="1:36">
      <c r="A21" s="3" t="s">
        <v>426</v>
      </c>
      <c r="B21" s="6">
        <f t="shared" ref="B21:AD21" si="15">SUM(B80:B91)</f>
        <v>760.00000000000034</v>
      </c>
      <c r="C21" s="6">
        <f t="shared" si="15"/>
        <v>1074.9999999999998</v>
      </c>
      <c r="D21" s="6">
        <f t="shared" si="15"/>
        <v>1133.0000000000002</v>
      </c>
      <c r="E21" s="6">
        <f t="shared" si="15"/>
        <v>960.00000000000023</v>
      </c>
      <c r="F21" s="6">
        <f t="shared" si="15"/>
        <v>1224.9999999999998</v>
      </c>
      <c r="G21" s="6">
        <f t="shared" si="15"/>
        <v>1208.0000000000002</v>
      </c>
      <c r="H21" s="6">
        <f t="shared" si="15"/>
        <v>1166.2611403846158</v>
      </c>
      <c r="I21" s="6">
        <f t="shared" si="15"/>
        <v>970.10929503916441</v>
      </c>
      <c r="J21" s="6">
        <f t="shared" si="15"/>
        <v>678.01732142857145</v>
      </c>
      <c r="K21" s="6">
        <f t="shared" si="15"/>
        <v>992.70930232558123</v>
      </c>
      <c r="L21" s="6">
        <f t="shared" si="15"/>
        <v>1223.5926095238096</v>
      </c>
      <c r="M21" s="6">
        <f t="shared" si="15"/>
        <v>1113.0151234567902</v>
      </c>
      <c r="N21" s="6">
        <f t="shared" si="15"/>
        <v>1086.4395348837209</v>
      </c>
      <c r="O21" s="6">
        <f t="shared" si="15"/>
        <v>1228.2883720930231</v>
      </c>
      <c r="P21" s="6">
        <f t="shared" si="15"/>
        <v>1192.3069767441862</v>
      </c>
      <c r="Q21" s="6">
        <f t="shared" si="15"/>
        <v>1211.9232558139531</v>
      </c>
      <c r="R21" s="6">
        <f t="shared" si="15"/>
        <v>1432.302564102564</v>
      </c>
      <c r="S21" s="6">
        <f t="shared" si="15"/>
        <v>1555.1449775112446</v>
      </c>
      <c r="T21" s="6">
        <f t="shared" si="15"/>
        <v>1549.4720930232561</v>
      </c>
      <c r="U21" s="6">
        <f t="shared" si="15"/>
        <v>1606.0209302325584</v>
      </c>
      <c r="V21" s="6">
        <f t="shared" si="15"/>
        <v>1835.2186046511633</v>
      </c>
      <c r="W21" s="6">
        <f t="shared" si="15"/>
        <v>1621.2534883720937</v>
      </c>
      <c r="X21" s="6">
        <f t="shared" si="15"/>
        <v>1274.6795454545456</v>
      </c>
      <c r="Y21" s="6">
        <f t="shared" si="15"/>
        <v>1764.5433363636362</v>
      </c>
      <c r="Z21" s="6">
        <f t="shared" si="15"/>
        <v>1972.5505477272727</v>
      </c>
      <c r="AA21" s="6">
        <f t="shared" si="15"/>
        <v>2456.6426818181817</v>
      </c>
      <c r="AB21" s="6">
        <f t="shared" si="15"/>
        <v>2638.997972727273</v>
      </c>
      <c r="AC21" s="224">
        <f t="shared" si="15"/>
        <v>2450</v>
      </c>
      <c r="AD21" s="224">
        <f t="shared" si="15"/>
        <v>2600</v>
      </c>
      <c r="AE21" s="224">
        <f>SUM(AE80:AE91)</f>
        <v>2700</v>
      </c>
      <c r="AH21" s="212">
        <v>2500</v>
      </c>
      <c r="AI21" s="212">
        <v>2400</v>
      </c>
      <c r="AJ21" s="212">
        <v>2425</v>
      </c>
    </row>
    <row r="22" spans="1:36">
      <c r="A22" s="221" t="s">
        <v>422</v>
      </c>
      <c r="B22" s="13">
        <v>0</v>
      </c>
      <c r="C22" s="13">
        <f>B29</f>
        <v>0</v>
      </c>
      <c r="D22" s="13">
        <f t="shared" ref="D22:AE22" si="16">C29</f>
        <v>0</v>
      </c>
      <c r="E22" s="13">
        <f t="shared" si="16"/>
        <v>5</v>
      </c>
      <c r="F22" s="13">
        <f t="shared" si="16"/>
        <v>0</v>
      </c>
      <c r="G22" s="13">
        <f t="shared" si="16"/>
        <v>0</v>
      </c>
      <c r="H22" s="13">
        <f t="shared" si="16"/>
        <v>0</v>
      </c>
      <c r="I22" s="13">
        <f t="shared" si="16"/>
        <v>0</v>
      </c>
      <c r="J22" s="13">
        <f t="shared" si="16"/>
        <v>0</v>
      </c>
      <c r="K22" s="13">
        <f t="shared" si="16"/>
        <v>0</v>
      </c>
      <c r="L22" s="13">
        <f t="shared" si="16"/>
        <v>0</v>
      </c>
      <c r="M22" s="13">
        <f t="shared" si="16"/>
        <v>0</v>
      </c>
      <c r="N22" s="13">
        <f t="shared" si="16"/>
        <v>0</v>
      </c>
      <c r="O22" s="13">
        <f t="shared" si="16"/>
        <v>0</v>
      </c>
      <c r="P22" s="13">
        <f t="shared" si="16"/>
        <v>0</v>
      </c>
      <c r="Q22" s="13">
        <f t="shared" si="16"/>
        <v>0</v>
      </c>
      <c r="R22" s="13">
        <f t="shared" si="16"/>
        <v>76</v>
      </c>
      <c r="S22" s="13">
        <f t="shared" si="16"/>
        <v>121</v>
      </c>
      <c r="T22" s="13">
        <f t="shared" si="16"/>
        <v>124</v>
      </c>
      <c r="U22" s="13">
        <f t="shared" si="16"/>
        <v>284</v>
      </c>
      <c r="V22" s="13">
        <f t="shared" si="16"/>
        <v>135</v>
      </c>
      <c r="W22" s="13">
        <f t="shared" si="16"/>
        <v>136</v>
      </c>
      <c r="X22" s="13">
        <f t="shared" si="16"/>
        <v>148</v>
      </c>
      <c r="Y22" s="13">
        <f t="shared" si="16"/>
        <v>40</v>
      </c>
      <c r="Z22" s="13">
        <f t="shared" si="16"/>
        <v>133</v>
      </c>
      <c r="AA22" s="13">
        <f t="shared" si="16"/>
        <v>207</v>
      </c>
      <c r="AB22" s="13">
        <f t="shared" si="16"/>
        <v>342</v>
      </c>
      <c r="AC22" s="13">
        <f t="shared" si="16"/>
        <v>585</v>
      </c>
      <c r="AD22" s="222">
        <f t="shared" si="16"/>
        <v>325</v>
      </c>
      <c r="AE22" s="222">
        <f t="shared" si="16"/>
        <v>350</v>
      </c>
      <c r="AH22" s="223">
        <v>372</v>
      </c>
      <c r="AI22" s="223">
        <v>572</v>
      </c>
      <c r="AJ22" s="223">
        <v>198</v>
      </c>
    </row>
    <row r="23" spans="1:36">
      <c r="A23" s="3" t="s">
        <v>5</v>
      </c>
      <c r="B23" s="6">
        <f>B108</f>
        <v>330.00000000000017</v>
      </c>
      <c r="C23" s="6">
        <f t="shared" ref="C23:AB23" si="17">C108</f>
        <v>479.99999999999994</v>
      </c>
      <c r="D23" s="6">
        <f t="shared" si="17"/>
        <v>530</v>
      </c>
      <c r="E23" s="6">
        <f t="shared" si="17"/>
        <v>450</v>
      </c>
      <c r="F23" s="6">
        <f t="shared" si="17"/>
        <v>599.99999999999989</v>
      </c>
      <c r="G23" s="6">
        <f t="shared" si="17"/>
        <v>600.00000000000023</v>
      </c>
      <c r="H23" s="6">
        <f t="shared" si="17"/>
        <v>581.70482307692316</v>
      </c>
      <c r="I23" s="6">
        <f t="shared" si="17"/>
        <v>495.95475195822439</v>
      </c>
      <c r="J23" s="6">
        <f t="shared" si="17"/>
        <v>354.65521428571435</v>
      </c>
      <c r="K23" s="6">
        <f t="shared" si="17"/>
        <v>521.17238372093016</v>
      </c>
      <c r="L23" s="6">
        <f t="shared" si="17"/>
        <v>641.88464761904777</v>
      </c>
      <c r="M23" s="6">
        <f t="shared" si="17"/>
        <v>590.98148148148164</v>
      </c>
      <c r="N23" s="6">
        <f t="shared" si="17"/>
        <v>582.72665961945017</v>
      </c>
      <c r="O23" s="6">
        <f t="shared" si="17"/>
        <v>665.32286821705429</v>
      </c>
      <c r="P23" s="6">
        <f t="shared" si="17"/>
        <v>645.83294573643411</v>
      </c>
      <c r="Q23" s="6">
        <f t="shared" si="17"/>
        <v>666.55779069767425</v>
      </c>
      <c r="R23" s="6">
        <f t="shared" si="17"/>
        <v>788.26030769230726</v>
      </c>
      <c r="S23" s="6">
        <f t="shared" si="17"/>
        <v>855.8313973013494</v>
      </c>
      <c r="T23" s="6">
        <f t="shared" si="17"/>
        <v>826.06230959302343</v>
      </c>
      <c r="U23" s="6">
        <f t="shared" si="17"/>
        <v>883.31151162790752</v>
      </c>
      <c r="V23" s="6">
        <f t="shared" si="17"/>
        <v>1009.3702325581398</v>
      </c>
      <c r="W23" s="6">
        <f t="shared" si="17"/>
        <v>891.68941860465134</v>
      </c>
      <c r="X23" s="6">
        <f t="shared" si="17"/>
        <v>701.07375000000013</v>
      </c>
      <c r="Y23" s="6">
        <f t="shared" si="17"/>
        <v>970.49883499999999</v>
      </c>
      <c r="Z23" s="6">
        <f t="shared" si="17"/>
        <v>1084.90280125</v>
      </c>
      <c r="AA23" s="6">
        <f t="shared" si="17"/>
        <v>1351.1534750000001</v>
      </c>
      <c r="AB23" s="6">
        <f t="shared" si="17"/>
        <v>1425.0589052727273</v>
      </c>
      <c r="AC23" s="224">
        <f>AC124*AC92</f>
        <v>1323</v>
      </c>
      <c r="AD23" s="224">
        <f t="shared" ref="AD23:AE23" si="18">AD124*AD92</f>
        <v>1415.5599400436809</v>
      </c>
      <c r="AE23" s="224">
        <f t="shared" si="18"/>
        <v>1464.9977383127018</v>
      </c>
      <c r="AH23" s="212">
        <v>1361</v>
      </c>
      <c r="AI23" s="212">
        <v>1306</v>
      </c>
      <c r="AJ23" s="212">
        <v>1320</v>
      </c>
    </row>
    <row r="24" spans="1:36">
      <c r="A24" s="3" t="s">
        <v>6</v>
      </c>
      <c r="B24" s="6">
        <v>52</v>
      </c>
      <c r="C24" s="6">
        <v>82</v>
      </c>
      <c r="D24" s="6">
        <v>50</v>
      </c>
      <c r="E24" s="6">
        <v>50</v>
      </c>
      <c r="F24" s="6">
        <v>27</v>
      </c>
      <c r="G24" s="6">
        <v>94</v>
      </c>
      <c r="H24" s="6">
        <f t="shared" ref="H24:AB24" si="19">H140</f>
        <v>230.19600000000003</v>
      </c>
      <c r="I24" s="6">
        <f t="shared" si="19"/>
        <v>146.29499999999999</v>
      </c>
      <c r="J24" s="6">
        <f t="shared" si="19"/>
        <v>59.753999999999998</v>
      </c>
      <c r="K24" s="6">
        <f t="shared" si="19"/>
        <v>66.584999999999994</v>
      </c>
      <c r="L24" s="6">
        <f t="shared" si="19"/>
        <v>317.06</v>
      </c>
      <c r="M24" s="6">
        <f t="shared" si="19"/>
        <v>273.012</v>
      </c>
      <c r="N24" s="6">
        <f t="shared" si="19"/>
        <v>400.267</v>
      </c>
      <c r="O24" s="6">
        <f t="shared" si="19"/>
        <v>394.36199999999997</v>
      </c>
      <c r="P24" s="6">
        <f t="shared" si="19"/>
        <v>214.27</v>
      </c>
      <c r="Q24" s="6">
        <f t="shared" si="19"/>
        <v>316.226</v>
      </c>
      <c r="R24" s="6">
        <f t="shared" si="19"/>
        <v>426.84</v>
      </c>
      <c r="S24" s="6">
        <f t="shared" si="19"/>
        <v>521.81000000000006</v>
      </c>
      <c r="T24" s="6">
        <f t="shared" si="19"/>
        <v>735.85899999999992</v>
      </c>
      <c r="U24" s="6">
        <f t="shared" si="19"/>
        <v>429.77500000000009</v>
      </c>
      <c r="V24" s="6">
        <f t="shared" si="19"/>
        <v>763.91700000000003</v>
      </c>
      <c r="W24" s="6">
        <f t="shared" si="19"/>
        <v>765.83500000000004</v>
      </c>
      <c r="X24" s="6">
        <f t="shared" si="19"/>
        <v>819.21399999999994</v>
      </c>
      <c r="Y24" s="6">
        <f t="shared" si="19"/>
        <v>979.20800000000008</v>
      </c>
      <c r="Z24" s="6">
        <f t="shared" si="19"/>
        <v>890.43299999999999</v>
      </c>
      <c r="AA24" s="6">
        <f t="shared" si="19"/>
        <v>934.11800000000005</v>
      </c>
      <c r="AB24" s="6">
        <f t="shared" si="19"/>
        <v>1025.075</v>
      </c>
      <c r="AC24" s="224">
        <f>1000-100-100</f>
        <v>800</v>
      </c>
      <c r="AD24" s="224">
        <f>1000-125</f>
        <v>875</v>
      </c>
      <c r="AE24" s="224">
        <f>1100-100-125</f>
        <v>875</v>
      </c>
      <c r="AH24" s="212">
        <v>1029</v>
      </c>
      <c r="AI24" s="223">
        <v>813</v>
      </c>
      <c r="AJ24" s="212">
        <v>1025</v>
      </c>
    </row>
    <row r="25" spans="1:36">
      <c r="A25" s="221" t="s">
        <v>7</v>
      </c>
      <c r="B25" s="13">
        <f>SUM(B22:B24)</f>
        <v>382.00000000000017</v>
      </c>
      <c r="C25" s="13">
        <f t="shared" ref="C25:AE25" si="20">SUM(C22:C24)</f>
        <v>562</v>
      </c>
      <c r="D25" s="13">
        <f t="shared" si="20"/>
        <v>580</v>
      </c>
      <c r="E25" s="13">
        <f t="shared" si="20"/>
        <v>505</v>
      </c>
      <c r="F25" s="13">
        <f t="shared" si="20"/>
        <v>626.99999999999989</v>
      </c>
      <c r="G25" s="13">
        <f t="shared" si="20"/>
        <v>694.00000000000023</v>
      </c>
      <c r="H25" s="13">
        <f t="shared" si="20"/>
        <v>811.90082307692319</v>
      </c>
      <c r="I25" s="13">
        <f t="shared" si="20"/>
        <v>642.24975195822435</v>
      </c>
      <c r="J25" s="13">
        <f t="shared" si="20"/>
        <v>414.40921428571437</v>
      </c>
      <c r="K25" s="13">
        <f t="shared" si="20"/>
        <v>587.75738372093019</v>
      </c>
      <c r="L25" s="13">
        <f t="shared" si="20"/>
        <v>958.94464761904783</v>
      </c>
      <c r="M25" s="13">
        <f t="shared" si="20"/>
        <v>863.99348148148169</v>
      </c>
      <c r="N25" s="13">
        <f t="shared" si="20"/>
        <v>982.99365961945023</v>
      </c>
      <c r="O25" s="13">
        <f t="shared" si="20"/>
        <v>1059.6848682170544</v>
      </c>
      <c r="P25" s="13">
        <f t="shared" si="20"/>
        <v>860.10294573643409</v>
      </c>
      <c r="Q25" s="13">
        <f t="shared" si="20"/>
        <v>982.78379069767425</v>
      </c>
      <c r="R25" s="13">
        <f t="shared" si="20"/>
        <v>1291.1003076923073</v>
      </c>
      <c r="S25" s="13">
        <f t="shared" si="20"/>
        <v>1498.6413973013496</v>
      </c>
      <c r="T25" s="13">
        <f t="shared" si="20"/>
        <v>1685.9213095930234</v>
      </c>
      <c r="U25" s="13">
        <f t="shared" si="20"/>
        <v>1597.0865116279076</v>
      </c>
      <c r="V25" s="13">
        <f t="shared" si="20"/>
        <v>1908.2872325581397</v>
      </c>
      <c r="W25" s="13">
        <f t="shared" si="20"/>
        <v>1793.5244186046514</v>
      </c>
      <c r="X25" s="13">
        <f t="shared" si="20"/>
        <v>1668.28775</v>
      </c>
      <c r="Y25" s="13">
        <f t="shared" si="20"/>
        <v>1989.706835</v>
      </c>
      <c r="Z25" s="13">
        <f t="shared" si="20"/>
        <v>2108.3358012500003</v>
      </c>
      <c r="AA25" s="13">
        <f t="shared" si="20"/>
        <v>2492.271475</v>
      </c>
      <c r="AB25" s="13">
        <f t="shared" si="20"/>
        <v>2792.1339052727271</v>
      </c>
      <c r="AC25" s="222">
        <f t="shared" si="20"/>
        <v>2708</v>
      </c>
      <c r="AD25" s="222">
        <f t="shared" si="20"/>
        <v>2615.5599400436809</v>
      </c>
      <c r="AE25" s="222">
        <f t="shared" si="20"/>
        <v>2689.9977383127016</v>
      </c>
      <c r="AH25" s="212">
        <v>2762</v>
      </c>
      <c r="AI25" s="212">
        <v>2691</v>
      </c>
      <c r="AJ25" s="212">
        <v>2543</v>
      </c>
    </row>
    <row r="26" spans="1:36">
      <c r="A26" s="3" t="s">
        <v>24</v>
      </c>
      <c r="B26" s="6">
        <f>B28-B27</f>
        <v>382.00000000000017</v>
      </c>
      <c r="C26" s="6">
        <f t="shared" ref="C26:AE26" si="21">C28-C27</f>
        <v>512</v>
      </c>
      <c r="D26" s="6">
        <f t="shared" si="21"/>
        <v>510</v>
      </c>
      <c r="E26" s="6">
        <f t="shared" si="21"/>
        <v>450</v>
      </c>
      <c r="F26" s="6">
        <f t="shared" si="21"/>
        <v>621.99999999999989</v>
      </c>
      <c r="G26" s="6">
        <f t="shared" si="21"/>
        <v>689.00000000000023</v>
      </c>
      <c r="H26" s="6">
        <f t="shared" si="21"/>
        <v>809.64882307692324</v>
      </c>
      <c r="I26" s="6">
        <f t="shared" si="21"/>
        <v>642.2237519582244</v>
      </c>
      <c r="J26" s="6">
        <f t="shared" si="21"/>
        <v>414.40921428571437</v>
      </c>
      <c r="K26" s="6">
        <f t="shared" si="21"/>
        <v>587.75738372093019</v>
      </c>
      <c r="L26" s="6">
        <f t="shared" si="21"/>
        <v>958.74564761904787</v>
      </c>
      <c r="M26" s="6">
        <f t="shared" si="21"/>
        <v>863.96348148148172</v>
      </c>
      <c r="N26" s="6">
        <f t="shared" si="21"/>
        <v>981.92565961945024</v>
      </c>
      <c r="O26" s="6">
        <f t="shared" si="21"/>
        <v>1059.0948682170545</v>
      </c>
      <c r="P26" s="6">
        <f t="shared" si="21"/>
        <v>860.10294573643409</v>
      </c>
      <c r="Q26" s="6">
        <f t="shared" si="21"/>
        <v>899.21779069767422</v>
      </c>
      <c r="R26" s="6">
        <f t="shared" si="21"/>
        <v>1167.0383076923074</v>
      </c>
      <c r="S26" s="6">
        <f t="shared" si="21"/>
        <v>1374.6363973013495</v>
      </c>
      <c r="T26" s="6">
        <f t="shared" si="21"/>
        <v>1399.8403095930234</v>
      </c>
      <c r="U26" s="6">
        <f t="shared" si="21"/>
        <v>1461.0885116279076</v>
      </c>
      <c r="V26" s="6">
        <f t="shared" si="21"/>
        <v>1772.1742325581397</v>
      </c>
      <c r="W26" s="6">
        <f t="shared" si="21"/>
        <v>1638.5924186046514</v>
      </c>
      <c r="X26" s="6">
        <f t="shared" si="21"/>
        <v>1624.1767499999999</v>
      </c>
      <c r="Y26" s="6">
        <f t="shared" si="21"/>
        <v>1853.3168349999999</v>
      </c>
      <c r="Z26" s="6">
        <f t="shared" si="21"/>
        <v>1887.1318012500003</v>
      </c>
      <c r="AA26" s="6">
        <f t="shared" si="21"/>
        <v>2130.3834750000001</v>
      </c>
      <c r="AB26" s="6">
        <f t="shared" si="21"/>
        <v>2192.5859052727274</v>
      </c>
      <c r="AC26" s="224">
        <f t="shared" si="21"/>
        <v>2363</v>
      </c>
      <c r="AD26" s="224">
        <f t="shared" si="21"/>
        <v>2240.5599400436809</v>
      </c>
      <c r="AE26" s="224">
        <f t="shared" si="21"/>
        <v>2314.9977383127016</v>
      </c>
      <c r="AH26" s="212">
        <v>2175</v>
      </c>
      <c r="AI26" s="212">
        <v>2475</v>
      </c>
      <c r="AJ26" s="212">
        <v>2375</v>
      </c>
    </row>
    <row r="27" spans="1:36">
      <c r="A27" s="3" t="s">
        <v>9</v>
      </c>
      <c r="B27" s="6">
        <v>0</v>
      </c>
      <c r="C27" s="6">
        <v>50</v>
      </c>
      <c r="D27" s="6">
        <v>65</v>
      </c>
      <c r="E27" s="6">
        <v>55</v>
      </c>
      <c r="F27" s="6">
        <v>5</v>
      </c>
      <c r="G27" s="6">
        <v>5</v>
      </c>
      <c r="H27" s="6">
        <f t="shared" ref="H27:AB27" si="22">H156</f>
        <v>2.2519999999999998</v>
      </c>
      <c r="I27" s="6">
        <f t="shared" si="22"/>
        <v>2.5999999999999999E-2</v>
      </c>
      <c r="J27" s="6">
        <f t="shared" si="22"/>
        <v>0</v>
      </c>
      <c r="K27" s="6">
        <f t="shared" si="22"/>
        <v>0</v>
      </c>
      <c r="L27" s="6">
        <f t="shared" si="22"/>
        <v>0.19900000000000001</v>
      </c>
      <c r="M27" s="6">
        <f t="shared" si="22"/>
        <v>0.03</v>
      </c>
      <c r="N27" s="6">
        <f t="shared" si="22"/>
        <v>1.0679999999999998</v>
      </c>
      <c r="O27" s="6">
        <f t="shared" si="22"/>
        <v>0.59</v>
      </c>
      <c r="P27" s="6">
        <f t="shared" si="22"/>
        <v>0</v>
      </c>
      <c r="Q27" s="6">
        <f t="shared" si="22"/>
        <v>7.5659999999999998</v>
      </c>
      <c r="R27" s="6">
        <f t="shared" si="22"/>
        <v>3.0619999999999998</v>
      </c>
      <c r="S27" s="6">
        <f t="shared" si="22"/>
        <v>5.0000000000000001E-3</v>
      </c>
      <c r="T27" s="6">
        <f t="shared" si="22"/>
        <v>2.081</v>
      </c>
      <c r="U27" s="6">
        <f t="shared" si="22"/>
        <v>0.998</v>
      </c>
      <c r="V27" s="6">
        <f t="shared" si="22"/>
        <v>0.113</v>
      </c>
      <c r="W27" s="6">
        <f t="shared" si="22"/>
        <v>6.9320000000000004</v>
      </c>
      <c r="X27" s="6">
        <f t="shared" si="22"/>
        <v>4.1109999999999998</v>
      </c>
      <c r="Y27" s="6">
        <f t="shared" si="22"/>
        <v>3.3899999999999997</v>
      </c>
      <c r="Z27" s="6">
        <f t="shared" si="22"/>
        <v>14.204000000000001</v>
      </c>
      <c r="AA27" s="6">
        <f t="shared" si="22"/>
        <v>19.888000000000002</v>
      </c>
      <c r="AB27" s="6">
        <f t="shared" si="22"/>
        <v>14.547999999999998</v>
      </c>
      <c r="AC27" s="224">
        <v>20</v>
      </c>
      <c r="AD27" s="224">
        <v>25</v>
      </c>
      <c r="AE27" s="224">
        <v>25</v>
      </c>
      <c r="AH27" s="223">
        <v>15</v>
      </c>
      <c r="AI27" s="223">
        <v>18</v>
      </c>
      <c r="AJ27" s="223">
        <v>15</v>
      </c>
    </row>
    <row r="28" spans="1:36">
      <c r="A28" s="221" t="s">
        <v>12</v>
      </c>
      <c r="B28" s="13">
        <f>B25-B29</f>
        <v>382.00000000000017</v>
      </c>
      <c r="C28" s="13">
        <f t="shared" ref="C28:AE28" si="23">C25-C29</f>
        <v>562</v>
      </c>
      <c r="D28" s="13">
        <f t="shared" si="23"/>
        <v>575</v>
      </c>
      <c r="E28" s="13">
        <f t="shared" si="23"/>
        <v>505</v>
      </c>
      <c r="F28" s="13">
        <f t="shared" si="23"/>
        <v>626.99999999999989</v>
      </c>
      <c r="G28" s="13">
        <f t="shared" si="23"/>
        <v>694.00000000000023</v>
      </c>
      <c r="H28" s="13">
        <f t="shared" si="23"/>
        <v>811.90082307692319</v>
      </c>
      <c r="I28" s="13">
        <f t="shared" si="23"/>
        <v>642.24975195822435</v>
      </c>
      <c r="J28" s="13">
        <f t="shared" si="23"/>
        <v>414.40921428571437</v>
      </c>
      <c r="K28" s="13">
        <f t="shared" si="23"/>
        <v>587.75738372093019</v>
      </c>
      <c r="L28" s="13">
        <f t="shared" si="23"/>
        <v>958.94464761904783</v>
      </c>
      <c r="M28" s="13">
        <f t="shared" si="23"/>
        <v>863.99348148148169</v>
      </c>
      <c r="N28" s="13">
        <f t="shared" si="23"/>
        <v>982.99365961945023</v>
      </c>
      <c r="O28" s="13">
        <f t="shared" si="23"/>
        <v>1059.6848682170544</v>
      </c>
      <c r="P28" s="13">
        <f t="shared" si="23"/>
        <v>860.10294573643409</v>
      </c>
      <c r="Q28" s="13">
        <f t="shared" si="23"/>
        <v>906.78379069767425</v>
      </c>
      <c r="R28" s="13">
        <f t="shared" si="23"/>
        <v>1170.1003076923073</v>
      </c>
      <c r="S28" s="13">
        <f t="shared" si="23"/>
        <v>1374.6413973013496</v>
      </c>
      <c r="T28" s="13">
        <f t="shared" si="23"/>
        <v>1401.9213095930234</v>
      </c>
      <c r="U28" s="13">
        <f t="shared" si="23"/>
        <v>1462.0865116279076</v>
      </c>
      <c r="V28" s="13">
        <f t="shared" si="23"/>
        <v>1772.2872325581397</v>
      </c>
      <c r="W28" s="13">
        <f t="shared" si="23"/>
        <v>1645.5244186046514</v>
      </c>
      <c r="X28" s="13">
        <f t="shared" si="23"/>
        <v>1628.28775</v>
      </c>
      <c r="Y28" s="13">
        <f t="shared" si="23"/>
        <v>1856.706835</v>
      </c>
      <c r="Z28" s="13">
        <f t="shared" si="23"/>
        <v>1901.3358012500003</v>
      </c>
      <c r="AA28" s="13">
        <f t="shared" si="23"/>
        <v>2150.271475</v>
      </c>
      <c r="AB28" s="13">
        <f t="shared" si="23"/>
        <v>2207.1339052727271</v>
      </c>
      <c r="AC28" s="222">
        <f t="shared" si="23"/>
        <v>2383</v>
      </c>
      <c r="AD28" s="222">
        <f t="shared" si="23"/>
        <v>2265.5599400436809</v>
      </c>
      <c r="AE28" s="222">
        <f t="shared" si="23"/>
        <v>2339.9977383127016</v>
      </c>
      <c r="AH28" s="226"/>
      <c r="AJ28" s="201"/>
    </row>
    <row r="29" spans="1:36">
      <c r="A29" s="3" t="s">
        <v>423</v>
      </c>
      <c r="B29" s="6">
        <v>0</v>
      </c>
      <c r="C29" s="6">
        <v>0</v>
      </c>
      <c r="D29" s="6">
        <v>5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76</v>
      </c>
      <c r="R29" s="6">
        <v>121</v>
      </c>
      <c r="S29" s="6">
        <v>124</v>
      </c>
      <c r="T29" s="6">
        <v>284</v>
      </c>
      <c r="U29" s="6">
        <v>135</v>
      </c>
      <c r="V29" s="6">
        <v>136</v>
      </c>
      <c r="W29" s="6">
        <v>148</v>
      </c>
      <c r="X29" s="6">
        <v>40</v>
      </c>
      <c r="Y29" s="6">
        <v>133</v>
      </c>
      <c r="Z29" s="6">
        <v>207</v>
      </c>
      <c r="AA29" s="6">
        <v>342</v>
      </c>
      <c r="AB29" s="6">
        <v>585</v>
      </c>
      <c r="AC29" s="224">
        <v>325</v>
      </c>
      <c r="AD29" s="224">
        <v>350</v>
      </c>
      <c r="AE29" s="224">
        <v>350</v>
      </c>
      <c r="AH29" s="223">
        <v>572</v>
      </c>
      <c r="AI29" s="223">
        <v>198</v>
      </c>
      <c r="AJ29" s="223">
        <v>153</v>
      </c>
    </row>
    <row r="30" spans="1:36" ht="15.75" thickBot="1">
      <c r="A30" s="3" t="s">
        <v>427</v>
      </c>
      <c r="AH30" s="226"/>
      <c r="AJ30" s="201"/>
    </row>
    <row r="31" spans="1:36">
      <c r="A31" s="229" t="s">
        <v>428</v>
      </c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H31" s="226"/>
      <c r="AJ31" s="201"/>
    </row>
    <row r="32" spans="1:36">
      <c r="A32" s="221" t="s">
        <v>422</v>
      </c>
      <c r="B32" s="13">
        <v>119</v>
      </c>
      <c r="C32" s="13">
        <f>B42</f>
        <v>80</v>
      </c>
      <c r="D32" s="13">
        <f t="shared" ref="D32:AE32" si="24">C42</f>
        <v>60</v>
      </c>
      <c r="E32" s="13">
        <f t="shared" si="24"/>
        <v>70</v>
      </c>
      <c r="F32" s="13">
        <f t="shared" si="24"/>
        <v>70</v>
      </c>
      <c r="G32" s="13">
        <f t="shared" si="24"/>
        <v>70</v>
      </c>
      <c r="H32" s="13">
        <f t="shared" si="24"/>
        <v>60</v>
      </c>
      <c r="I32" s="13">
        <f t="shared" si="24"/>
        <v>60</v>
      </c>
      <c r="J32" s="13">
        <f t="shared" si="24"/>
        <v>30</v>
      </c>
      <c r="K32" s="13">
        <f t="shared" si="24"/>
        <v>20</v>
      </c>
      <c r="L32" s="13">
        <f t="shared" si="24"/>
        <v>15</v>
      </c>
      <c r="M32" s="13">
        <f t="shared" si="24"/>
        <v>22</v>
      </c>
      <c r="N32" s="13">
        <f t="shared" si="24"/>
        <v>17</v>
      </c>
      <c r="O32" s="13">
        <f t="shared" si="24"/>
        <v>117</v>
      </c>
      <c r="P32" s="13">
        <f t="shared" si="24"/>
        <v>18</v>
      </c>
      <c r="Q32" s="13">
        <f t="shared" si="24"/>
        <v>83</v>
      </c>
      <c r="R32" s="13">
        <f t="shared" si="24"/>
        <v>77</v>
      </c>
      <c r="S32" s="13">
        <f t="shared" si="24"/>
        <v>15</v>
      </c>
      <c r="T32" s="13">
        <f t="shared" si="24"/>
        <v>81</v>
      </c>
      <c r="U32" s="13">
        <f t="shared" si="24"/>
        <v>244</v>
      </c>
      <c r="V32" s="13">
        <f t="shared" si="24"/>
        <v>333</v>
      </c>
      <c r="W32" s="13">
        <f t="shared" si="24"/>
        <v>340</v>
      </c>
      <c r="X32" s="13">
        <f t="shared" si="24"/>
        <v>291</v>
      </c>
      <c r="Y32" s="13">
        <f t="shared" si="24"/>
        <v>49</v>
      </c>
      <c r="Z32" s="13">
        <f t="shared" si="24"/>
        <v>14</v>
      </c>
      <c r="AA32" s="13">
        <f t="shared" si="24"/>
        <v>42</v>
      </c>
      <c r="AB32" s="13">
        <f t="shared" si="24"/>
        <v>86</v>
      </c>
      <c r="AC32" s="13">
        <f t="shared" si="24"/>
        <v>242</v>
      </c>
      <c r="AD32" s="222">
        <f t="shared" si="24"/>
        <v>200</v>
      </c>
      <c r="AE32" s="222">
        <f t="shared" si="24"/>
        <v>325</v>
      </c>
      <c r="AH32" s="223">
        <v>86</v>
      </c>
      <c r="AI32" s="223">
        <v>187</v>
      </c>
      <c r="AJ32" s="223">
        <v>155</v>
      </c>
    </row>
    <row r="33" spans="1:36">
      <c r="A33" s="3" t="s">
        <v>5</v>
      </c>
      <c r="B33" s="6">
        <f>B219</f>
        <v>319.00000000000011</v>
      </c>
      <c r="C33" s="6">
        <f>C219</f>
        <v>444.99999999999989</v>
      </c>
      <c r="D33" s="6">
        <f t="shared" ref="D33:AB33" si="25">D219</f>
        <v>482</v>
      </c>
      <c r="E33" s="6">
        <f t="shared" si="25"/>
        <v>410.00000000000006</v>
      </c>
      <c r="F33" s="6">
        <f t="shared" si="25"/>
        <v>505.99999999999983</v>
      </c>
      <c r="G33" s="6">
        <f t="shared" si="25"/>
        <v>512</v>
      </c>
      <c r="H33" s="6">
        <f t="shared" si="25"/>
        <v>494.25900000000019</v>
      </c>
      <c r="I33" s="6">
        <f t="shared" si="25"/>
        <v>417.47399999999999</v>
      </c>
      <c r="J33" s="6">
        <f t="shared" si="25"/>
        <v>292.06900000000007</v>
      </c>
      <c r="K33" s="6">
        <f t="shared" si="25"/>
        <v>426.86499999999995</v>
      </c>
      <c r="L33" s="6">
        <f t="shared" si="25"/>
        <v>526.54600000000005</v>
      </c>
      <c r="M33" s="6">
        <f t="shared" si="25"/>
        <v>478.69499999999994</v>
      </c>
      <c r="N33" s="6">
        <f t="shared" si="25"/>
        <v>467.16899999999998</v>
      </c>
      <c r="O33" s="6">
        <f t="shared" si="25"/>
        <v>528.16399999999999</v>
      </c>
      <c r="P33" s="6">
        <f t="shared" si="25"/>
        <v>512.69199999999989</v>
      </c>
      <c r="Q33" s="6">
        <f t="shared" si="25"/>
        <v>521.12699999999984</v>
      </c>
      <c r="R33" s="6">
        <f t="shared" si="25"/>
        <v>616.3839999999999</v>
      </c>
      <c r="S33" s="6">
        <f t="shared" si="25"/>
        <v>669.21400000000006</v>
      </c>
      <c r="T33" s="6">
        <f t="shared" si="25"/>
        <v>666.27300000000014</v>
      </c>
      <c r="U33" s="6">
        <f t="shared" si="25"/>
        <v>690.58900000000017</v>
      </c>
      <c r="V33" s="6">
        <f t="shared" si="25"/>
        <v>789.14400000000012</v>
      </c>
      <c r="W33" s="6">
        <f t="shared" si="25"/>
        <v>697.13900000000035</v>
      </c>
      <c r="X33" s="6">
        <f t="shared" si="25"/>
        <v>560.85900000000015</v>
      </c>
      <c r="Y33" s="6">
        <f t="shared" si="25"/>
        <v>776.39906800000006</v>
      </c>
      <c r="Z33" s="6">
        <f t="shared" si="25"/>
        <v>867.92224100000021</v>
      </c>
      <c r="AA33" s="6">
        <f t="shared" si="25"/>
        <v>1080.9227799999999</v>
      </c>
      <c r="AB33" s="6">
        <f t="shared" si="25"/>
        <v>1161.1591079999998</v>
      </c>
      <c r="AC33" s="224">
        <f>AC235*AC92</f>
        <v>1078</v>
      </c>
      <c r="AD33" s="224">
        <f t="shared" ref="AD33:AE33" si="26">AD235*AD92</f>
        <v>1144</v>
      </c>
      <c r="AE33" s="224">
        <f t="shared" si="26"/>
        <v>1190.7432421415199</v>
      </c>
      <c r="AH33" s="212">
        <v>1086</v>
      </c>
      <c r="AI33" s="212">
        <v>1044</v>
      </c>
      <c r="AJ33" s="212">
        <v>1054</v>
      </c>
    </row>
    <row r="34" spans="1:36">
      <c r="A34" s="3" t="s">
        <v>6</v>
      </c>
      <c r="B34" s="6">
        <v>278</v>
      </c>
      <c r="C34" s="6">
        <v>316</v>
      </c>
      <c r="D34" s="6">
        <v>200</v>
      </c>
      <c r="E34" s="6">
        <v>240</v>
      </c>
      <c r="F34" s="6">
        <v>161</v>
      </c>
      <c r="G34" s="6">
        <v>140</v>
      </c>
      <c r="H34" s="6">
        <f t="shared" ref="H34:AB34" si="27">H267</f>
        <v>102.82700000000001</v>
      </c>
      <c r="I34" s="6">
        <f t="shared" si="27"/>
        <v>100.289</v>
      </c>
      <c r="J34" s="6">
        <f t="shared" si="27"/>
        <v>144.12499999999997</v>
      </c>
      <c r="K34" s="6">
        <f t="shared" si="27"/>
        <v>70.477000000000004</v>
      </c>
      <c r="L34" s="6">
        <f t="shared" si="27"/>
        <v>81.134999999999991</v>
      </c>
      <c r="M34" s="6">
        <f t="shared" si="27"/>
        <v>158.48700000000002</v>
      </c>
      <c r="N34" s="6">
        <f t="shared" si="27"/>
        <v>458.37399999999997</v>
      </c>
      <c r="O34" s="6">
        <f t="shared" si="27"/>
        <v>132.02300000000002</v>
      </c>
      <c r="P34" s="6">
        <f t="shared" si="27"/>
        <v>333.58699999999999</v>
      </c>
      <c r="Q34" s="6">
        <f t="shared" si="27"/>
        <v>427.24599999999998</v>
      </c>
      <c r="R34" s="6">
        <f t="shared" si="27"/>
        <v>193.62200000000001</v>
      </c>
      <c r="S34" s="6">
        <f t="shared" si="27"/>
        <v>402.64199999999994</v>
      </c>
      <c r="T34" s="6">
        <f t="shared" si="27"/>
        <v>680.625</v>
      </c>
      <c r="U34" s="6">
        <f t="shared" si="27"/>
        <v>655.59699999999998</v>
      </c>
      <c r="V34" s="6">
        <f t="shared" si="27"/>
        <v>772.50099999999986</v>
      </c>
      <c r="W34" s="6">
        <f t="shared" si="27"/>
        <v>788.84900000000005</v>
      </c>
      <c r="X34" s="6">
        <f t="shared" si="27"/>
        <v>706.42800000000011</v>
      </c>
      <c r="Y34" s="6">
        <f t="shared" si="27"/>
        <v>767.65730899999994</v>
      </c>
      <c r="Z34" s="6">
        <f t="shared" si="27"/>
        <v>561.666608</v>
      </c>
      <c r="AA34" s="6">
        <f t="shared" si="27"/>
        <v>569.69518500000004</v>
      </c>
      <c r="AB34" s="6">
        <f t="shared" si="27"/>
        <v>857.8235360000001</v>
      </c>
      <c r="AC34" s="224">
        <v>925</v>
      </c>
      <c r="AD34" s="224">
        <v>925</v>
      </c>
      <c r="AE34" s="224">
        <v>925</v>
      </c>
      <c r="AH34" s="223">
        <v>870</v>
      </c>
      <c r="AI34" s="223">
        <v>778</v>
      </c>
      <c r="AJ34" s="223">
        <v>725</v>
      </c>
    </row>
    <row r="35" spans="1:36">
      <c r="A35" s="221" t="s">
        <v>7</v>
      </c>
      <c r="B35" s="13">
        <f>SUM(B32:B34)</f>
        <v>716.00000000000011</v>
      </c>
      <c r="C35" s="13">
        <f t="shared" ref="C35:AE35" si="28">SUM(C32:C34)</f>
        <v>840.99999999999989</v>
      </c>
      <c r="D35" s="13">
        <f t="shared" si="28"/>
        <v>742</v>
      </c>
      <c r="E35" s="13">
        <f t="shared" si="28"/>
        <v>720</v>
      </c>
      <c r="F35" s="13">
        <f t="shared" si="28"/>
        <v>736.99999999999977</v>
      </c>
      <c r="G35" s="13">
        <f t="shared" si="28"/>
        <v>722</v>
      </c>
      <c r="H35" s="13">
        <f t="shared" si="28"/>
        <v>657.08600000000024</v>
      </c>
      <c r="I35" s="13">
        <f t="shared" si="28"/>
        <v>577.76300000000003</v>
      </c>
      <c r="J35" s="13">
        <f t="shared" si="28"/>
        <v>466.19400000000007</v>
      </c>
      <c r="K35" s="13">
        <f t="shared" si="28"/>
        <v>517.34199999999998</v>
      </c>
      <c r="L35" s="13">
        <f t="shared" si="28"/>
        <v>622.68100000000004</v>
      </c>
      <c r="M35" s="13">
        <f t="shared" si="28"/>
        <v>659.18200000000002</v>
      </c>
      <c r="N35" s="13">
        <f t="shared" si="28"/>
        <v>942.54299999999989</v>
      </c>
      <c r="O35" s="13">
        <f t="shared" si="28"/>
        <v>777.18700000000001</v>
      </c>
      <c r="P35" s="13">
        <f t="shared" si="28"/>
        <v>864.27899999999988</v>
      </c>
      <c r="Q35" s="13">
        <f t="shared" si="28"/>
        <v>1031.3729999999998</v>
      </c>
      <c r="R35" s="13">
        <f t="shared" si="28"/>
        <v>887.00599999999986</v>
      </c>
      <c r="S35" s="13">
        <f t="shared" si="28"/>
        <v>1086.856</v>
      </c>
      <c r="T35" s="13">
        <f t="shared" si="28"/>
        <v>1427.8980000000001</v>
      </c>
      <c r="U35" s="13">
        <f t="shared" si="28"/>
        <v>1590.1860000000001</v>
      </c>
      <c r="V35" s="13">
        <f t="shared" si="28"/>
        <v>1894.645</v>
      </c>
      <c r="W35" s="13">
        <f t="shared" si="28"/>
        <v>1825.9880000000003</v>
      </c>
      <c r="X35" s="13">
        <f t="shared" si="28"/>
        <v>1558.2870000000003</v>
      </c>
      <c r="Y35" s="13">
        <f t="shared" si="28"/>
        <v>1593.0563769999999</v>
      </c>
      <c r="Z35" s="13">
        <f t="shared" si="28"/>
        <v>1443.5888490000002</v>
      </c>
      <c r="AA35" s="13">
        <f t="shared" si="28"/>
        <v>1692.6179649999999</v>
      </c>
      <c r="AB35" s="13">
        <f t="shared" si="28"/>
        <v>2104.9826439999997</v>
      </c>
      <c r="AC35" s="222">
        <f t="shared" si="28"/>
        <v>2245</v>
      </c>
      <c r="AD35" s="222">
        <f t="shared" si="28"/>
        <v>2269</v>
      </c>
      <c r="AE35" s="222">
        <f t="shared" si="28"/>
        <v>2440.7432421415197</v>
      </c>
      <c r="AH35" s="212">
        <v>2042</v>
      </c>
      <c r="AI35" s="212">
        <v>2009</v>
      </c>
      <c r="AJ35" s="212">
        <v>1934</v>
      </c>
    </row>
    <row r="36" spans="1:36">
      <c r="A36" s="3" t="s">
        <v>24</v>
      </c>
      <c r="B36" s="6">
        <f>SUM(B37:B39)</f>
        <v>514</v>
      </c>
      <c r="C36" s="6">
        <f t="shared" ref="C36:AB36" si="29">SUM(C37:C39)</f>
        <v>614</v>
      </c>
      <c r="D36" s="6">
        <f t="shared" si="29"/>
        <v>607</v>
      </c>
      <c r="E36" s="6">
        <f t="shared" si="29"/>
        <v>585</v>
      </c>
      <c r="F36" s="6">
        <f t="shared" si="29"/>
        <v>545</v>
      </c>
      <c r="G36" s="6">
        <f t="shared" si="29"/>
        <v>577</v>
      </c>
      <c r="H36" s="6">
        <f t="shared" si="29"/>
        <v>562</v>
      </c>
      <c r="I36" s="6">
        <f t="shared" si="29"/>
        <v>515</v>
      </c>
      <c r="J36" s="6">
        <f t="shared" si="29"/>
        <v>436</v>
      </c>
      <c r="K36" s="6">
        <f t="shared" si="29"/>
        <v>474</v>
      </c>
      <c r="L36" s="6">
        <f t="shared" si="29"/>
        <v>585</v>
      </c>
      <c r="M36" s="6">
        <f t="shared" si="29"/>
        <v>621</v>
      </c>
      <c r="N36" s="6">
        <f t="shared" si="29"/>
        <v>725</v>
      </c>
      <c r="O36" s="6">
        <f t="shared" si="29"/>
        <v>726</v>
      </c>
      <c r="P36" s="6">
        <f t="shared" si="29"/>
        <v>723</v>
      </c>
      <c r="Q36" s="6">
        <f t="shared" si="29"/>
        <v>823</v>
      </c>
      <c r="R36" s="6">
        <f t="shared" si="29"/>
        <v>802</v>
      </c>
      <c r="S36" s="6">
        <f t="shared" si="29"/>
        <v>845</v>
      </c>
      <c r="T36" s="6">
        <f t="shared" si="29"/>
        <v>905</v>
      </c>
      <c r="U36" s="6">
        <f t="shared" si="29"/>
        <v>965</v>
      </c>
      <c r="V36" s="6">
        <f t="shared" si="29"/>
        <v>950</v>
      </c>
      <c r="W36" s="6">
        <f t="shared" si="29"/>
        <v>915</v>
      </c>
      <c r="X36" s="6">
        <f t="shared" si="29"/>
        <v>920</v>
      </c>
      <c r="Y36" s="6">
        <f t="shared" si="29"/>
        <v>945</v>
      </c>
      <c r="Z36" s="6">
        <f t="shared" si="29"/>
        <v>980</v>
      </c>
      <c r="AA36" s="6">
        <f t="shared" si="29"/>
        <v>1095</v>
      </c>
      <c r="AB36" s="6">
        <f t="shared" si="29"/>
        <v>1140</v>
      </c>
      <c r="AC36" s="224">
        <f>SUM(AC37:AC39)</f>
        <v>1215</v>
      </c>
      <c r="AD36" s="224">
        <f>SUM(AD37:AD39)</f>
        <v>1210</v>
      </c>
      <c r="AE36" s="224">
        <f>SUM(AE37:AE39)</f>
        <v>1230</v>
      </c>
      <c r="AH36" s="212">
        <v>1140</v>
      </c>
      <c r="AI36" s="212">
        <v>1215</v>
      </c>
      <c r="AJ36" s="212">
        <v>1180</v>
      </c>
    </row>
    <row r="37" spans="1:36">
      <c r="A37" s="3" t="s">
        <v>30</v>
      </c>
      <c r="B37" s="6">
        <v>35</v>
      </c>
      <c r="C37" s="6">
        <v>40</v>
      </c>
      <c r="D37" s="6">
        <v>37</v>
      </c>
      <c r="E37" s="6">
        <v>40</v>
      </c>
      <c r="F37" s="6">
        <v>30</v>
      </c>
      <c r="G37" s="6">
        <v>15</v>
      </c>
      <c r="H37" s="6">
        <v>15</v>
      </c>
      <c r="I37" s="6">
        <v>8</v>
      </c>
      <c r="J37" s="6">
        <v>7</v>
      </c>
      <c r="K37" s="6">
        <v>8</v>
      </c>
      <c r="L37" s="6">
        <v>10</v>
      </c>
      <c r="M37" s="6">
        <v>16</v>
      </c>
      <c r="N37" s="6">
        <v>20</v>
      </c>
      <c r="O37" s="6">
        <v>21</v>
      </c>
      <c r="P37" s="6">
        <v>21</v>
      </c>
      <c r="Q37" s="6">
        <v>21</v>
      </c>
      <c r="R37" s="6">
        <v>21</v>
      </c>
      <c r="S37" s="6">
        <v>25</v>
      </c>
      <c r="T37" s="6">
        <v>30</v>
      </c>
      <c r="U37" s="6">
        <v>40</v>
      </c>
      <c r="V37" s="6">
        <v>30</v>
      </c>
      <c r="W37" s="6">
        <v>20</v>
      </c>
      <c r="X37" s="6">
        <v>20</v>
      </c>
      <c r="Y37" s="6">
        <v>20</v>
      </c>
      <c r="Z37" s="6">
        <v>20</v>
      </c>
      <c r="AA37" s="6">
        <v>20</v>
      </c>
      <c r="AB37" s="6">
        <v>20</v>
      </c>
      <c r="AC37" s="224">
        <v>20</v>
      </c>
      <c r="AD37" s="224">
        <v>20</v>
      </c>
      <c r="AE37" s="224">
        <v>20</v>
      </c>
      <c r="AH37" s="223">
        <v>20</v>
      </c>
      <c r="AI37" s="223">
        <v>20</v>
      </c>
      <c r="AJ37" s="223">
        <v>20</v>
      </c>
    </row>
    <row r="38" spans="1:36">
      <c r="A38" s="3" t="s">
        <v>31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20</v>
      </c>
      <c r="H38" s="6">
        <v>20</v>
      </c>
      <c r="I38" s="6">
        <v>7</v>
      </c>
      <c r="J38" s="6">
        <v>4</v>
      </c>
      <c r="K38" s="6">
        <v>6</v>
      </c>
      <c r="L38" s="6">
        <v>15</v>
      </c>
      <c r="M38" s="6">
        <v>15</v>
      </c>
      <c r="N38" s="6">
        <v>15</v>
      </c>
      <c r="O38" s="6">
        <v>15</v>
      </c>
      <c r="P38" s="6">
        <v>22</v>
      </c>
      <c r="Q38" s="6">
        <v>22</v>
      </c>
      <c r="R38" s="6">
        <v>21</v>
      </c>
      <c r="S38" s="6">
        <v>20</v>
      </c>
      <c r="T38" s="6">
        <v>25</v>
      </c>
      <c r="U38" s="6">
        <v>25</v>
      </c>
      <c r="V38" s="6">
        <v>20</v>
      </c>
      <c r="W38" s="6">
        <v>10</v>
      </c>
      <c r="X38" s="6">
        <v>10</v>
      </c>
      <c r="Y38" s="6">
        <v>10</v>
      </c>
      <c r="Z38" s="6">
        <v>10</v>
      </c>
      <c r="AA38" s="6">
        <v>10</v>
      </c>
      <c r="AB38" s="6">
        <v>10</v>
      </c>
      <c r="AC38" s="224">
        <v>10</v>
      </c>
      <c r="AD38" s="224">
        <v>10</v>
      </c>
      <c r="AE38" s="224">
        <v>10</v>
      </c>
      <c r="AH38" s="223">
        <v>10</v>
      </c>
      <c r="AI38" s="223">
        <v>10</v>
      </c>
      <c r="AJ38" s="223">
        <v>10</v>
      </c>
    </row>
    <row r="39" spans="1:36">
      <c r="A39" s="3" t="s">
        <v>32</v>
      </c>
      <c r="B39" s="6">
        <v>479</v>
      </c>
      <c r="C39" s="6">
        <v>574</v>
      </c>
      <c r="D39" s="6">
        <v>570</v>
      </c>
      <c r="E39" s="6">
        <v>545</v>
      </c>
      <c r="F39" s="6">
        <v>515</v>
      </c>
      <c r="G39" s="6">
        <v>542</v>
      </c>
      <c r="H39" s="6">
        <v>527</v>
      </c>
      <c r="I39" s="6">
        <v>500</v>
      </c>
      <c r="J39" s="6">
        <v>425</v>
      </c>
      <c r="K39" s="6">
        <v>460</v>
      </c>
      <c r="L39" s="6">
        <v>560</v>
      </c>
      <c r="M39" s="6">
        <v>590</v>
      </c>
      <c r="N39" s="6">
        <v>690</v>
      </c>
      <c r="O39" s="6">
        <v>690</v>
      </c>
      <c r="P39" s="6">
        <v>680</v>
      </c>
      <c r="Q39" s="6">
        <v>780</v>
      </c>
      <c r="R39" s="6">
        <v>760</v>
      </c>
      <c r="S39" s="6">
        <v>800</v>
      </c>
      <c r="T39" s="6">
        <v>850</v>
      </c>
      <c r="U39" s="6">
        <v>900</v>
      </c>
      <c r="V39" s="6">
        <v>900</v>
      </c>
      <c r="W39" s="6">
        <v>885</v>
      </c>
      <c r="X39" s="6">
        <v>890</v>
      </c>
      <c r="Y39" s="6">
        <v>915</v>
      </c>
      <c r="Z39" s="6">
        <v>950</v>
      </c>
      <c r="AA39" s="6">
        <v>1065</v>
      </c>
      <c r="AB39" s="6">
        <v>1110</v>
      </c>
      <c r="AC39" s="224">
        <v>1185</v>
      </c>
      <c r="AD39" s="224">
        <v>1180</v>
      </c>
      <c r="AE39" s="224">
        <v>1200</v>
      </c>
      <c r="AH39" s="212">
        <v>1110</v>
      </c>
      <c r="AI39" s="212">
        <v>1185</v>
      </c>
      <c r="AJ39" s="212">
        <v>1150</v>
      </c>
    </row>
    <row r="40" spans="1:36">
      <c r="A40" s="3" t="s">
        <v>9</v>
      </c>
      <c r="B40" s="6">
        <v>122</v>
      </c>
      <c r="C40" s="6">
        <v>167</v>
      </c>
      <c r="D40" s="6">
        <v>65</v>
      </c>
      <c r="E40" s="6">
        <v>65</v>
      </c>
      <c r="F40" s="6">
        <v>122</v>
      </c>
      <c r="G40" s="6">
        <v>85</v>
      </c>
      <c r="H40" s="6">
        <f t="shared" ref="H40:AB40" si="30">H283</f>
        <v>35.085999999999999</v>
      </c>
      <c r="I40" s="6">
        <f t="shared" si="30"/>
        <v>32.762999999999998</v>
      </c>
      <c r="J40" s="6">
        <f t="shared" si="30"/>
        <v>10.193999999999999</v>
      </c>
      <c r="K40" s="6">
        <f t="shared" si="30"/>
        <v>28.341999999999999</v>
      </c>
      <c r="L40" s="6">
        <f t="shared" si="30"/>
        <v>15.681000000000001</v>
      </c>
      <c r="M40" s="6">
        <f t="shared" si="30"/>
        <v>21.182000000000002</v>
      </c>
      <c r="N40" s="6">
        <f t="shared" si="30"/>
        <v>100.54300000000001</v>
      </c>
      <c r="O40" s="6">
        <f t="shared" si="30"/>
        <v>33.187000000000005</v>
      </c>
      <c r="P40" s="6">
        <f t="shared" si="30"/>
        <v>58.278999999999996</v>
      </c>
      <c r="Q40" s="6">
        <f t="shared" si="30"/>
        <v>131.37299999999996</v>
      </c>
      <c r="R40" s="6">
        <f t="shared" si="30"/>
        <v>70.006</v>
      </c>
      <c r="S40" s="6">
        <f t="shared" si="30"/>
        <v>160.85599999999999</v>
      </c>
      <c r="T40" s="6">
        <f t="shared" si="30"/>
        <v>278.89800000000002</v>
      </c>
      <c r="U40" s="6">
        <f t="shared" si="30"/>
        <v>292.18600000000004</v>
      </c>
      <c r="V40" s="6">
        <f t="shared" si="30"/>
        <v>604.64499999999998</v>
      </c>
      <c r="W40" s="6">
        <f t="shared" si="30"/>
        <v>619.98800000000006</v>
      </c>
      <c r="X40" s="6">
        <f t="shared" si="30"/>
        <v>589.28700000000003</v>
      </c>
      <c r="Y40" s="6">
        <f t="shared" si="30"/>
        <v>634.056377</v>
      </c>
      <c r="Z40" s="6">
        <f t="shared" si="30"/>
        <v>421.58884899999993</v>
      </c>
      <c r="AA40" s="6">
        <f t="shared" si="30"/>
        <v>511.61796499999991</v>
      </c>
      <c r="AB40" s="6">
        <f t="shared" si="30"/>
        <v>722.98264399999994</v>
      </c>
      <c r="AC40" s="224">
        <f>AC41-AC36</f>
        <v>830</v>
      </c>
      <c r="AD40" s="224">
        <f>AD41-AD36</f>
        <v>734</v>
      </c>
      <c r="AE40" s="224">
        <f>AE41-AE36</f>
        <v>885.74324214151966</v>
      </c>
      <c r="AH40" s="223">
        <v>715</v>
      </c>
      <c r="AI40" s="223">
        <v>639</v>
      </c>
      <c r="AJ40" s="223">
        <v>600</v>
      </c>
    </row>
    <row r="41" spans="1:36">
      <c r="A41" s="221" t="s">
        <v>12</v>
      </c>
      <c r="B41" s="13">
        <f>B35-B42</f>
        <v>636.00000000000011</v>
      </c>
      <c r="C41" s="13">
        <f t="shared" ref="C41:AE41" si="31">C35-C42</f>
        <v>780.99999999999989</v>
      </c>
      <c r="D41" s="13">
        <f t="shared" si="31"/>
        <v>672</v>
      </c>
      <c r="E41" s="13">
        <f t="shared" si="31"/>
        <v>650</v>
      </c>
      <c r="F41" s="13">
        <f t="shared" si="31"/>
        <v>666.99999999999977</v>
      </c>
      <c r="G41" s="13">
        <f t="shared" si="31"/>
        <v>662</v>
      </c>
      <c r="H41" s="13">
        <f t="shared" si="31"/>
        <v>597.08600000000024</v>
      </c>
      <c r="I41" s="13">
        <f t="shared" si="31"/>
        <v>547.76300000000003</v>
      </c>
      <c r="J41" s="13">
        <f t="shared" si="31"/>
        <v>446.19400000000007</v>
      </c>
      <c r="K41" s="13">
        <f t="shared" si="31"/>
        <v>502.34199999999998</v>
      </c>
      <c r="L41" s="13">
        <f t="shared" si="31"/>
        <v>600.68100000000004</v>
      </c>
      <c r="M41" s="13">
        <f t="shared" si="31"/>
        <v>642.18200000000002</v>
      </c>
      <c r="N41" s="13">
        <f t="shared" si="31"/>
        <v>825.54299999999989</v>
      </c>
      <c r="O41" s="13">
        <f t="shared" si="31"/>
        <v>759.18700000000001</v>
      </c>
      <c r="P41" s="13">
        <f t="shared" si="31"/>
        <v>781.27899999999988</v>
      </c>
      <c r="Q41" s="13">
        <f t="shared" si="31"/>
        <v>954.37299999999982</v>
      </c>
      <c r="R41" s="13">
        <f t="shared" si="31"/>
        <v>872.00599999999986</v>
      </c>
      <c r="S41" s="13">
        <f t="shared" si="31"/>
        <v>1005.856</v>
      </c>
      <c r="T41" s="13">
        <f t="shared" si="31"/>
        <v>1183.8980000000001</v>
      </c>
      <c r="U41" s="13">
        <f t="shared" si="31"/>
        <v>1257.1860000000001</v>
      </c>
      <c r="V41" s="13">
        <f t="shared" si="31"/>
        <v>1554.645</v>
      </c>
      <c r="W41" s="13">
        <f t="shared" si="31"/>
        <v>1534.9880000000003</v>
      </c>
      <c r="X41" s="13">
        <f t="shared" si="31"/>
        <v>1509.2870000000003</v>
      </c>
      <c r="Y41" s="13">
        <f t="shared" si="31"/>
        <v>1579.0563769999999</v>
      </c>
      <c r="Z41" s="13">
        <f t="shared" si="31"/>
        <v>1401.5888490000002</v>
      </c>
      <c r="AA41" s="13">
        <f t="shared" si="31"/>
        <v>1606.6179649999999</v>
      </c>
      <c r="AB41" s="13">
        <f t="shared" si="31"/>
        <v>1862.9826439999997</v>
      </c>
      <c r="AC41" s="222">
        <f t="shared" si="31"/>
        <v>2045</v>
      </c>
      <c r="AD41" s="222">
        <f t="shared" si="31"/>
        <v>1944</v>
      </c>
      <c r="AE41" s="222">
        <f t="shared" si="31"/>
        <v>2115.7432421415197</v>
      </c>
      <c r="AH41" s="226"/>
      <c r="AJ41" s="201"/>
    </row>
    <row r="42" spans="1:36">
      <c r="A42" s="3" t="s">
        <v>423</v>
      </c>
      <c r="B42" s="6">
        <v>80</v>
      </c>
      <c r="C42" s="6">
        <v>60</v>
      </c>
      <c r="D42" s="6">
        <v>70</v>
      </c>
      <c r="E42" s="6">
        <v>70</v>
      </c>
      <c r="F42" s="6">
        <v>70</v>
      </c>
      <c r="G42" s="6">
        <v>60</v>
      </c>
      <c r="H42" s="6">
        <v>60</v>
      </c>
      <c r="I42" s="6">
        <v>30</v>
      </c>
      <c r="J42" s="6">
        <v>20</v>
      </c>
      <c r="K42" s="6">
        <v>15</v>
      </c>
      <c r="L42" s="6">
        <v>22</v>
      </c>
      <c r="M42" s="6">
        <v>17</v>
      </c>
      <c r="N42" s="6">
        <v>117</v>
      </c>
      <c r="O42" s="6">
        <v>18</v>
      </c>
      <c r="P42" s="6">
        <v>83</v>
      </c>
      <c r="Q42" s="6">
        <v>77</v>
      </c>
      <c r="R42" s="6">
        <v>15</v>
      </c>
      <c r="S42" s="6">
        <v>81</v>
      </c>
      <c r="T42" s="6">
        <v>244</v>
      </c>
      <c r="U42" s="6">
        <v>333</v>
      </c>
      <c r="V42" s="6">
        <v>340</v>
      </c>
      <c r="W42" s="6">
        <v>291</v>
      </c>
      <c r="X42" s="6">
        <v>49</v>
      </c>
      <c r="Y42" s="6">
        <v>14</v>
      </c>
      <c r="Z42" s="6">
        <v>42</v>
      </c>
      <c r="AA42" s="6">
        <v>86</v>
      </c>
      <c r="AB42" s="6">
        <v>242</v>
      </c>
      <c r="AC42" s="224">
        <v>200</v>
      </c>
      <c r="AD42" s="224">
        <v>325</v>
      </c>
      <c r="AE42" s="224">
        <v>325</v>
      </c>
      <c r="AH42" s="223">
        <v>187</v>
      </c>
      <c r="AI42" s="223">
        <v>155</v>
      </c>
      <c r="AJ42" s="223">
        <v>154</v>
      </c>
    </row>
    <row r="43" spans="1:36" ht="15.75" thickBot="1">
      <c r="A43" s="3" t="s">
        <v>427</v>
      </c>
      <c r="AH43" s="226"/>
      <c r="AJ43" s="226"/>
    </row>
    <row r="44" spans="1:36">
      <c r="A44" s="232" t="s">
        <v>227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H44" s="226"/>
      <c r="AJ44" s="226"/>
    </row>
    <row r="45" spans="1:36">
      <c r="A45" s="234"/>
      <c r="B45" s="234">
        <v>1993</v>
      </c>
      <c r="C45" s="234">
        <v>1994</v>
      </c>
      <c r="D45" s="234">
        <v>1995</v>
      </c>
      <c r="E45" s="234">
        <v>1996</v>
      </c>
      <c r="F45" s="234">
        <v>1997</v>
      </c>
      <c r="G45" s="234">
        <v>1998</v>
      </c>
      <c r="H45" s="234">
        <v>1999</v>
      </c>
      <c r="I45" s="234">
        <v>2000</v>
      </c>
      <c r="J45" s="234">
        <v>2001</v>
      </c>
      <c r="K45" s="234">
        <v>2002</v>
      </c>
      <c r="L45" s="234">
        <v>2003</v>
      </c>
      <c r="M45" s="234">
        <v>2004</v>
      </c>
      <c r="N45" s="234">
        <v>2005</v>
      </c>
      <c r="O45" s="234">
        <v>2006</v>
      </c>
      <c r="P45" s="234">
        <v>2007</v>
      </c>
      <c r="Q45" s="234">
        <v>2008</v>
      </c>
      <c r="R45" s="234">
        <v>2009</v>
      </c>
      <c r="S45" s="234">
        <v>2010</v>
      </c>
      <c r="T45" s="234">
        <v>2011</v>
      </c>
      <c r="U45" s="234">
        <v>2012</v>
      </c>
      <c r="V45" s="234">
        <v>2013</v>
      </c>
      <c r="W45" s="234">
        <v>2014</v>
      </c>
      <c r="X45" s="234">
        <v>2015</v>
      </c>
      <c r="Y45" s="234">
        <v>2016</v>
      </c>
      <c r="Z45" s="234">
        <v>2017</v>
      </c>
      <c r="AA45" s="234">
        <v>2018</v>
      </c>
      <c r="AB45" s="234">
        <v>2019</v>
      </c>
      <c r="AC45" s="234">
        <v>2020</v>
      </c>
      <c r="AD45" s="234">
        <v>2021</v>
      </c>
      <c r="AE45" s="234">
        <v>2022</v>
      </c>
      <c r="AF45" s="234">
        <v>2023</v>
      </c>
      <c r="AG45" s="234"/>
      <c r="AH45" s="226"/>
      <c r="AJ45" s="226"/>
    </row>
    <row r="46" spans="1:36" ht="15.75" thickBot="1">
      <c r="A46" s="235" t="s">
        <v>228</v>
      </c>
      <c r="B46" s="353">
        <f t="shared" ref="B46:AB46" si="32">B15/B11</f>
        <v>4.0718562874251088E-2</v>
      </c>
      <c r="C46" s="353">
        <f t="shared" si="32"/>
        <v>2.7848101265822978E-2</v>
      </c>
      <c r="D46" s="353">
        <f t="shared" si="32"/>
        <v>3.4848484848484677E-2</v>
      </c>
      <c r="E46" s="353">
        <f t="shared" si="32"/>
        <v>-3.8461538461540649E-3</v>
      </c>
      <c r="F46" s="353">
        <f t="shared" si="32"/>
        <v>3.3511043412033682E-2</v>
      </c>
      <c r="G46" s="353">
        <f t="shared" si="32"/>
        <v>3.3463035019455079E-2</v>
      </c>
      <c r="H46" s="353">
        <f t="shared" si="32"/>
        <v>4.6093693223193302E-2</v>
      </c>
      <c r="I46" s="353">
        <f t="shared" si="32"/>
        <v>-6.5740764501619309E-2</v>
      </c>
      <c r="J46" s="353">
        <f t="shared" si="32"/>
        <v>-8.6169748362039111E-3</v>
      </c>
      <c r="K46" s="353">
        <f t="shared" si="32"/>
        <v>3.4302987076193371E-2</v>
      </c>
      <c r="L46" s="353">
        <f t="shared" si="32"/>
        <v>-2.1843924302792878E-2</v>
      </c>
      <c r="M46" s="353">
        <f t="shared" si="32"/>
        <v>2.5782688707114733E-2</v>
      </c>
      <c r="N46" s="353">
        <f t="shared" si="32"/>
        <v>3.6759187165588833E-2</v>
      </c>
      <c r="O46" s="353">
        <f t="shared" si="32"/>
        <v>1.3692234666571617E-2</v>
      </c>
      <c r="P46" s="353">
        <f t="shared" si="32"/>
        <v>4.7010432049848026E-2</v>
      </c>
      <c r="Q46" s="353">
        <f t="shared" si="32"/>
        <v>3.8257920326848445E-2</v>
      </c>
      <c r="R46" s="353">
        <f t="shared" si="32"/>
        <v>3.1355437313151352E-2</v>
      </c>
      <c r="S46" s="353">
        <f t="shared" si="32"/>
        <v>3.9968996692685964E-2</v>
      </c>
      <c r="T46" s="353">
        <f t="shared" si="32"/>
        <v>6.3513035611040589E-2</v>
      </c>
      <c r="U46" s="353">
        <f t="shared" si="32"/>
        <v>8.6182902630863922E-2</v>
      </c>
      <c r="V46" s="353">
        <f t="shared" si="32"/>
        <v>1.9432882599507199E-2</v>
      </c>
      <c r="W46" s="353">
        <f t="shared" si="32"/>
        <v>2.6436200886956019E-2</v>
      </c>
      <c r="X46" s="353">
        <f t="shared" si="32"/>
        <v>0.10090423732725859</v>
      </c>
      <c r="Y46" s="353">
        <f t="shared" si="32"/>
        <v>4.6090342088481229E-2</v>
      </c>
      <c r="Z46" s="353">
        <f t="shared" si="32"/>
        <v>8.9708119661404351E-2</v>
      </c>
      <c r="AA46" s="353">
        <f t="shared" si="32"/>
        <v>5.4995782152032227E-2</v>
      </c>
      <c r="AB46" s="353">
        <f t="shared" si="32"/>
        <v>2.7449854919044045E-2</v>
      </c>
      <c r="AC46" s="353">
        <f>AC15/AC11</f>
        <v>4.6460980036297637E-2</v>
      </c>
      <c r="AD46" s="353">
        <f t="shared" ref="AD46:AE46" si="33">AD15/AD11</f>
        <v>7.3632538569424963E-3</v>
      </c>
      <c r="AE46" s="353">
        <f t="shared" si="33"/>
        <v>2.9841269841269842E-2</v>
      </c>
    </row>
    <row r="47" spans="1:36" ht="15.75" thickBot="1">
      <c r="A47" s="236"/>
      <c r="B47" s="237" t="str">
        <f>B$2</f>
        <v xml:space="preserve">93/94 </v>
      </c>
      <c r="C47" s="237" t="str">
        <f t="shared" ref="C47:AE47" si="34">C$2</f>
        <v xml:space="preserve">94/95 </v>
      </c>
      <c r="D47" s="237" t="str">
        <f t="shared" si="34"/>
        <v xml:space="preserve">95/96 </v>
      </c>
      <c r="E47" s="237" t="str">
        <f t="shared" si="34"/>
        <v xml:space="preserve">96/97 </v>
      </c>
      <c r="F47" s="237" t="str">
        <f t="shared" si="34"/>
        <v xml:space="preserve">97/98 </v>
      </c>
      <c r="G47" s="237" t="str">
        <f t="shared" si="34"/>
        <v xml:space="preserve">98/99 </v>
      </c>
      <c r="H47" s="237" t="str">
        <f t="shared" si="34"/>
        <v xml:space="preserve">99/00 </v>
      </c>
      <c r="I47" s="237" t="str">
        <f t="shared" si="34"/>
        <v xml:space="preserve">00/01 </v>
      </c>
      <c r="J47" s="237" t="str">
        <f t="shared" si="34"/>
        <v xml:space="preserve">01/02 </v>
      </c>
      <c r="K47" s="237" t="str">
        <f t="shared" si="34"/>
        <v xml:space="preserve">02/03 </v>
      </c>
      <c r="L47" s="237" t="str">
        <f t="shared" si="34"/>
        <v xml:space="preserve">03/04 </v>
      </c>
      <c r="M47" s="237" t="str">
        <f t="shared" si="34"/>
        <v xml:space="preserve">04/05 </v>
      </c>
      <c r="N47" s="237" t="str">
        <f t="shared" si="34"/>
        <v xml:space="preserve">05/06 </v>
      </c>
      <c r="O47" s="237" t="str">
        <f t="shared" si="34"/>
        <v xml:space="preserve">06/07 </v>
      </c>
      <c r="P47" s="237" t="str">
        <f t="shared" si="34"/>
        <v xml:space="preserve">07/08 </v>
      </c>
      <c r="Q47" s="237" t="str">
        <f t="shared" si="34"/>
        <v xml:space="preserve">08/09 </v>
      </c>
      <c r="R47" s="237" t="str">
        <f t="shared" si="34"/>
        <v xml:space="preserve">09/10 </v>
      </c>
      <c r="S47" s="237" t="str">
        <f t="shared" si="34"/>
        <v xml:space="preserve">10/11 </v>
      </c>
      <c r="T47" s="237" t="str">
        <f t="shared" si="34"/>
        <v xml:space="preserve">11/12 </v>
      </c>
      <c r="U47" s="237" t="str">
        <f t="shared" si="34"/>
        <v xml:space="preserve">12/13 </v>
      </c>
      <c r="V47" s="237" t="str">
        <f t="shared" si="34"/>
        <v xml:space="preserve">13/14 </v>
      </c>
      <c r="W47" s="237" t="str">
        <f t="shared" si="34"/>
        <v xml:space="preserve">14/15 </v>
      </c>
      <c r="X47" s="237" t="str">
        <f t="shared" si="34"/>
        <v xml:space="preserve">15/16 </v>
      </c>
      <c r="Y47" s="237" t="str">
        <f t="shared" si="34"/>
        <v xml:space="preserve">16/17 </v>
      </c>
      <c r="Z47" s="237" t="str">
        <f t="shared" si="34"/>
        <v xml:space="preserve">17/18 </v>
      </c>
      <c r="AA47" s="237" t="str">
        <f t="shared" si="34"/>
        <v xml:space="preserve">18/19 </v>
      </c>
      <c r="AB47" s="237" t="str">
        <f t="shared" si="34"/>
        <v xml:space="preserve">19/20 </v>
      </c>
      <c r="AC47" s="237" t="str">
        <f t="shared" si="34"/>
        <v xml:space="preserve">20/21 </v>
      </c>
      <c r="AD47" s="237" t="str">
        <f t="shared" si="34"/>
        <v xml:space="preserve">21/22 </v>
      </c>
      <c r="AE47" s="237" t="str">
        <f t="shared" si="34"/>
        <v xml:space="preserve">22/23 </v>
      </c>
    </row>
    <row r="48" spans="1:36">
      <c r="A48" s="240" t="s">
        <v>239</v>
      </c>
      <c r="B48" s="241">
        <f>(SUM(K48:O48)/SUM(K$60:O$60))*B$60</f>
        <v>9.4583303133448862</v>
      </c>
      <c r="C48" s="241">
        <f t="shared" ref="C48:F48" si="35">(SUM(L48:P48)/SUM(L$60:P$60))*C$60</f>
        <v>49.497360411053194</v>
      </c>
      <c r="D48" s="241">
        <f t="shared" si="35"/>
        <v>31.550084986053406</v>
      </c>
      <c r="E48" s="241">
        <f t="shared" si="35"/>
        <v>16.937127886187021</v>
      </c>
      <c r="F48" s="241">
        <f t="shared" si="35"/>
        <v>20.811010194430214</v>
      </c>
      <c r="G48" s="241">
        <v>62.755708133971304</v>
      </c>
      <c r="H48" s="242">
        <f>'[2]Turkey Sunflower Imports'!CZ$290</f>
        <v>15.744999999999999</v>
      </c>
      <c r="I48" s="242">
        <f>'[2]Turkey Sunflower Imports'!DL$290</f>
        <v>62.383000000000003</v>
      </c>
      <c r="J48" s="242">
        <f>'[2]Turkey Sunflower Imports'!DX$290</f>
        <v>4.0229999999999997</v>
      </c>
      <c r="K48" s="242">
        <f>'[2]Turkey Sunflower Imports'!EJ$290</f>
        <v>9.5760000000000005</v>
      </c>
      <c r="L48" s="242">
        <f>'[2]Turkey Sunflower Imports'!EV$290</f>
        <v>88.781999999999996</v>
      </c>
      <c r="M48" s="242">
        <f>'[2]Turkey Sunflower Imports'!FH$290</f>
        <v>59.484000000000002</v>
      </c>
      <c r="N48" s="242">
        <f>'[2]Turkey Sunflower Imports'!FT$290</f>
        <v>19.776</v>
      </c>
      <c r="O48" s="242">
        <f>'[2]Turkey Sunflower Imports'!GF$290</f>
        <v>29.870999999999999</v>
      </c>
      <c r="P48" s="242">
        <f>'[2]Turkey Sunflower Imports'!GR$290</f>
        <v>26.734999999999999</v>
      </c>
      <c r="Q48" s="242">
        <f>'[2]Turkey Sunflower Imports'!HD$290</f>
        <v>11.923999999999999</v>
      </c>
      <c r="R48" s="242">
        <f>'[2]Turkey Sunflower Imports'!HP$290</f>
        <v>31.292000000000002</v>
      </c>
      <c r="S48" s="242">
        <f>'[2]Turkey Sunflower Imports'!IB$290</f>
        <v>2.266</v>
      </c>
      <c r="T48" s="242">
        <f>'[2]Turkey Sunflower Imports'!IN$290</f>
        <v>47.328000000000003</v>
      </c>
      <c r="U48" s="242">
        <f>'[2]Turkey Sunflower Imports'!IZ$290</f>
        <v>19.623000000000001</v>
      </c>
      <c r="V48" s="242">
        <f>'[2]Turkey Sunflower Imports'!JL$290</f>
        <v>24.027999999999999</v>
      </c>
      <c r="W48" s="242">
        <f>'[2]Turkey Sunflower Imports'!JX$290</f>
        <v>67.337000000000003</v>
      </c>
      <c r="X48" s="242">
        <f>'[2]Turkey Sunflower Imports'!KJ$290</f>
        <v>30.207999999999998</v>
      </c>
      <c r="Y48" s="242">
        <f>'[2]Turkey Sunflower Imports'!KV$290</f>
        <v>19.141999999999999</v>
      </c>
      <c r="Z48" s="242">
        <f>'[2]Turkey Sunflower Imports'!LH$290</f>
        <v>28.390650000000001</v>
      </c>
      <c r="AA48" s="242">
        <f>'[2]Turkey Sunflower Imports'!LT$290</f>
        <v>22.659490999999999</v>
      </c>
      <c r="AB48" s="242">
        <f>'[2]Turkey Sunflower Imports'!MF$290</f>
        <v>89.101973000000001</v>
      </c>
      <c r="AC48" s="242">
        <f>'[2]Turkey Sunflower Imports'!MR$290</f>
        <v>44.393253999999999</v>
      </c>
      <c r="AD48" s="242">
        <f>'[2]Turkey Sunflower Imports'!ND$290</f>
        <v>28.838000000000001</v>
      </c>
      <c r="AE48" s="243">
        <f t="shared" ref="AD48:AE58" si="36">(SUM(Y48:AC48)/SUM(Y$60:AC$60))*AE$60</f>
        <v>50.501476968147109</v>
      </c>
    </row>
    <row r="49" spans="1:31">
      <c r="A49" s="240" t="s">
        <v>240</v>
      </c>
      <c r="B49" s="241">
        <f t="shared" ref="B49:F59" si="37">(SUM(K49:O49)/SUM(K$60:O$60))*B$60</f>
        <v>5.8786069488452704</v>
      </c>
      <c r="C49" s="241">
        <f t="shared" si="37"/>
        <v>42.232101151259783</v>
      </c>
      <c r="D49" s="241">
        <f t="shared" si="37"/>
        <v>39.241952582863007</v>
      </c>
      <c r="E49" s="241">
        <f t="shared" si="37"/>
        <v>25.220031745844423</v>
      </c>
      <c r="F49" s="241">
        <f t="shared" si="37"/>
        <v>28.521162490231291</v>
      </c>
      <c r="G49" s="241">
        <v>55.414177857558087</v>
      </c>
      <c r="H49" s="242">
        <f>'[2]Turkey Sunflower Imports'!DA$290</f>
        <v>34.177999999999997</v>
      </c>
      <c r="I49" s="242">
        <f>'[2]Turkey Sunflower Imports'!DM$290</f>
        <v>52.764000000000003</v>
      </c>
      <c r="J49" s="242">
        <f>'[2]Turkey Sunflower Imports'!DY$290</f>
        <v>19.928999999999998</v>
      </c>
      <c r="K49" s="242">
        <f>'[2]Turkey Sunflower Imports'!EK$290</f>
        <v>5.1639999999999997</v>
      </c>
      <c r="L49" s="242">
        <f>'[2]Turkey Sunflower Imports'!EW$290</f>
        <v>47.356999999999999</v>
      </c>
      <c r="M49" s="242">
        <f>'[2]Turkey Sunflower Imports'!FI$290</f>
        <v>21.088000000000001</v>
      </c>
      <c r="N49" s="242">
        <f>'[2]Turkey Sunflower Imports'!FU$290</f>
        <v>43.398000000000003</v>
      </c>
      <c r="O49" s="242">
        <f>'[2]Turkey Sunflower Imports'!GG$290</f>
        <v>11.952999999999999</v>
      </c>
      <c r="P49" s="242">
        <f>'[2]Turkey Sunflower Imports'!GS$290</f>
        <v>67.878</v>
      </c>
      <c r="Q49" s="242">
        <f>'[2]Turkey Sunflower Imports'!HE$290</f>
        <v>39.503999999999998</v>
      </c>
      <c r="R49" s="242">
        <f>'[2]Turkey Sunflower Imports'!HQ$290</f>
        <v>15.353</v>
      </c>
      <c r="S49" s="242">
        <f>'[2]Turkey Sunflower Imports'!IC$290</f>
        <v>5.2220000000000004</v>
      </c>
      <c r="T49" s="242">
        <f>'[2]Turkey Sunflower Imports'!IO$290</f>
        <v>53.204000000000001</v>
      </c>
      <c r="U49" s="242">
        <f>'[2]Turkey Sunflower Imports'!JA$290</f>
        <v>39.014000000000003</v>
      </c>
      <c r="V49" s="242">
        <f>'[2]Turkey Sunflower Imports'!JM$290</f>
        <v>56.249000000000002</v>
      </c>
      <c r="W49" s="242">
        <f>'[2]Turkey Sunflower Imports'!JY$290</f>
        <v>50.241</v>
      </c>
      <c r="X49" s="242">
        <f>'[2]Turkey Sunflower Imports'!KK$290</f>
        <v>15.747999999999999</v>
      </c>
      <c r="Y49" s="242">
        <f>'[2]Turkey Sunflower Imports'!KW$290</f>
        <v>9.8190000000000008</v>
      </c>
      <c r="Z49" s="242">
        <f>'[2]Turkey Sunflower Imports'!LI$290</f>
        <v>45.507460999999999</v>
      </c>
      <c r="AA49" s="242">
        <f>'[2]Turkey Sunflower Imports'!LU$290</f>
        <v>58.846901000000003</v>
      </c>
      <c r="AB49" s="242">
        <f>'[2]Turkey Sunflower Imports'!MG$290</f>
        <v>50.600811999999998</v>
      </c>
      <c r="AC49" s="242">
        <f>'[2]Turkey Sunflower Imports'!MS$290</f>
        <v>98.315111999999999</v>
      </c>
      <c r="AD49" s="242">
        <f>'[2]Turkey Sunflower Imports'!NE$290</f>
        <v>53.154000000000003</v>
      </c>
      <c r="AE49" s="243">
        <f t="shared" si="36"/>
        <v>65.229364235759917</v>
      </c>
    </row>
    <row r="50" spans="1:31">
      <c r="A50" s="240" t="s">
        <v>241</v>
      </c>
      <c r="B50" s="241">
        <f t="shared" si="37"/>
        <v>7.3253295662111375</v>
      </c>
      <c r="C50" s="241">
        <f t="shared" si="37"/>
        <v>47.063782788550064</v>
      </c>
      <c r="D50" s="241">
        <f t="shared" si="37"/>
        <v>26.635367775491655</v>
      </c>
      <c r="E50" s="241">
        <f t="shared" si="37"/>
        <v>17.358863758401142</v>
      </c>
      <c r="F50" s="241">
        <f t="shared" si="37"/>
        <v>24.417181050353246</v>
      </c>
      <c r="G50" s="241">
        <v>99.522114008470624</v>
      </c>
      <c r="H50" s="242">
        <f>'[2]Turkey Sunflower Imports'!DB$290</f>
        <v>56.658999999999999</v>
      </c>
      <c r="I50" s="242">
        <f>'[2]Turkey Sunflower Imports'!DN$290</f>
        <v>78.739000000000004</v>
      </c>
      <c r="J50" s="242">
        <f>'[2]Turkey Sunflower Imports'!DZ$290</f>
        <v>30.326000000000001</v>
      </c>
      <c r="K50" s="242">
        <f>'[2]Turkey Sunflower Imports'!EL$290</f>
        <v>4.4569999999999999</v>
      </c>
      <c r="L50" s="242">
        <f>'[2]Turkey Sunflower Imports'!EX$290</f>
        <v>116.08199999999999</v>
      </c>
      <c r="M50" s="242">
        <f>'[2]Turkey Sunflower Imports'!FJ$290</f>
        <v>20.048999999999999</v>
      </c>
      <c r="N50" s="242">
        <f>'[2]Turkey Sunflower Imports'!FV$290</f>
        <v>10.645</v>
      </c>
      <c r="O50" s="242">
        <f>'[2]Turkey Sunflower Imports'!GH$290</f>
        <v>9.4640000000000004</v>
      </c>
      <c r="P50" s="242">
        <f>'[2]Turkey Sunflower Imports'!GT$290</f>
        <v>57.363</v>
      </c>
      <c r="Q50" s="242">
        <f>'[2]Turkey Sunflower Imports'!HF$290</f>
        <v>27.247</v>
      </c>
      <c r="R50" s="242">
        <f>'[2]Turkey Sunflower Imports'!HR$290</f>
        <v>17.856999999999999</v>
      </c>
      <c r="S50" s="242">
        <f>'[2]Turkey Sunflower Imports'!ID$290</f>
        <v>7.8470000000000004</v>
      </c>
      <c r="T50" s="242">
        <f>'[2]Turkey Sunflower Imports'!IP$290</f>
        <v>101.645</v>
      </c>
      <c r="U50" s="242">
        <f>'[2]Turkey Sunflower Imports'!JB$290</f>
        <v>53.320999999999998</v>
      </c>
      <c r="V50" s="242">
        <f>'[2]Turkey Sunflower Imports'!JN$290</f>
        <v>115.521</v>
      </c>
      <c r="W50" s="242">
        <f>'[2]Turkey Sunflower Imports'!JZ$290</f>
        <v>54.295000000000002</v>
      </c>
      <c r="X50" s="242">
        <f>'[2]Turkey Sunflower Imports'!KL$290</f>
        <v>19.571999999999999</v>
      </c>
      <c r="Y50" s="242">
        <f>'[2]Turkey Sunflower Imports'!KX$290</f>
        <v>22.344000000000001</v>
      </c>
      <c r="Z50" s="242">
        <f>'[2]Turkey Sunflower Imports'!LJ$290</f>
        <v>62.926090000000002</v>
      </c>
      <c r="AA50" s="242">
        <f>'[2]Turkey Sunflower Imports'!LV$290</f>
        <v>60.225459000000001</v>
      </c>
      <c r="AB50" s="242">
        <f>'[2]Turkey Sunflower Imports'!MH$290</f>
        <v>44.621426999999997</v>
      </c>
      <c r="AC50" s="242">
        <f>'[2]Turkey Sunflower Imports'!MT$290</f>
        <v>146.715127</v>
      </c>
      <c r="AD50" s="242">
        <f>'[2]Turkey Sunflower Imports'!NF$290</f>
        <v>38.901000000000003</v>
      </c>
      <c r="AE50" s="243">
        <f t="shared" si="36"/>
        <v>83.512879855107457</v>
      </c>
    </row>
    <row r="51" spans="1:31">
      <c r="A51" s="240" t="s">
        <v>231</v>
      </c>
      <c r="B51" s="241">
        <f t="shared" si="37"/>
        <v>5.8210334332094789</v>
      </c>
      <c r="C51" s="241">
        <f t="shared" si="37"/>
        <v>35.797717510702178</v>
      </c>
      <c r="D51" s="241">
        <f t="shared" si="37"/>
        <v>31.181406477555441</v>
      </c>
      <c r="E51" s="241">
        <f t="shared" si="37"/>
        <v>18.392810569359952</v>
      </c>
      <c r="F51" s="241">
        <f t="shared" si="37"/>
        <v>20.125450409892668</v>
      </c>
      <c r="G51" s="242">
        <f>'[2]Turkey Sunflower Imports'!CQ$290</f>
        <v>62.670999999999999</v>
      </c>
      <c r="H51" s="242">
        <f>'[2]Turkey Sunflower Imports'!DC$290</f>
        <v>26.628</v>
      </c>
      <c r="I51" s="242">
        <f>'[2]Turkey Sunflower Imports'!DO$290</f>
        <v>46.011000000000003</v>
      </c>
      <c r="J51" s="242">
        <f>'[2]Turkey Sunflower Imports'!EA$290</f>
        <v>30.238</v>
      </c>
      <c r="K51" s="242">
        <f>'[2]Turkey Sunflower Imports'!EM$290</f>
        <v>9.3719999999999999</v>
      </c>
      <c r="L51" s="242">
        <f>'[2]Turkey Sunflower Imports'!EY$290</f>
        <v>39.078000000000003</v>
      </c>
      <c r="M51" s="242">
        <f>'[2]Turkey Sunflower Imports'!FK$290</f>
        <v>19.015999999999998</v>
      </c>
      <c r="N51" s="242">
        <f>'[2]Turkey Sunflower Imports'!FW$290</f>
        <v>37.247</v>
      </c>
      <c r="O51" s="242">
        <f>'[2]Turkey Sunflower Imports'!GI$290</f>
        <v>22.984000000000002</v>
      </c>
      <c r="P51" s="242">
        <f>'[2]Turkey Sunflower Imports'!GU$290</f>
        <v>44.146000000000001</v>
      </c>
      <c r="Q51" s="242">
        <f>'[2]Turkey Sunflower Imports'!HG$290</f>
        <v>22.67</v>
      </c>
      <c r="R51" s="242">
        <f>'[2]Turkey Sunflower Imports'!HS$290</f>
        <v>2.83</v>
      </c>
      <c r="S51" s="242">
        <f>'[2]Turkey Sunflower Imports'!IE$290</f>
        <v>6.0949999999999998</v>
      </c>
      <c r="T51" s="242">
        <f>'[2]Turkey Sunflower Imports'!IQ$290</f>
        <v>136.471</v>
      </c>
      <c r="U51" s="242">
        <f>'[2]Turkey Sunflower Imports'!JC$290</f>
        <v>40.545000000000002</v>
      </c>
      <c r="V51" s="242">
        <f>'[2]Turkey Sunflower Imports'!JO$290</f>
        <v>56.665999999999997</v>
      </c>
      <c r="W51" s="242">
        <f>'[2]Turkey Sunflower Imports'!KA$290</f>
        <v>28.838000000000001</v>
      </c>
      <c r="X51" s="242">
        <f>'[2]Turkey Sunflower Imports'!KM$290</f>
        <v>10.946999999999999</v>
      </c>
      <c r="Y51" s="242">
        <f>'[2]Turkey Sunflower Imports'!KY$290</f>
        <v>29.029</v>
      </c>
      <c r="Z51" s="242">
        <f>'[2]Turkey Sunflower Imports'!LK$290</f>
        <v>87.635790999999998</v>
      </c>
      <c r="AA51" s="242">
        <f>'[2]Turkey Sunflower Imports'!LW$290</f>
        <v>60.741771</v>
      </c>
      <c r="AB51" s="242">
        <f>'[2]Turkey Sunflower Imports'!MI$290</f>
        <v>85.645880000000005</v>
      </c>
      <c r="AC51" s="242">
        <f>'[2]Turkey Sunflower Imports'!MU$290</f>
        <v>102.241</v>
      </c>
      <c r="AD51" s="242">
        <f>'[2]Turkey Sunflower Imports'!NG$290</f>
        <v>15.998841000000001</v>
      </c>
      <c r="AE51" s="243">
        <f t="shared" si="36"/>
        <v>90.569476786494604</v>
      </c>
    </row>
    <row r="52" spans="1:31">
      <c r="A52" s="240" t="s">
        <v>232</v>
      </c>
      <c r="B52" s="241">
        <f t="shared" si="37"/>
        <v>9.0112808534555722</v>
      </c>
      <c r="C52" s="241">
        <f t="shared" si="37"/>
        <v>58.676872489706447</v>
      </c>
      <c r="D52" s="241">
        <f t="shared" si="37"/>
        <v>54.242706164296123</v>
      </c>
      <c r="E52" s="241">
        <f t="shared" si="37"/>
        <v>46.484271645296239</v>
      </c>
      <c r="F52" s="241">
        <f t="shared" si="37"/>
        <v>91.255488750461112</v>
      </c>
      <c r="G52" s="242">
        <f>'[2]Turkey Sunflower Imports'!CR$290</f>
        <v>83.475999999999999</v>
      </c>
      <c r="H52" s="242">
        <f>'[2]Turkey Sunflower Imports'!DD$290</f>
        <v>51.915999999999997</v>
      </c>
      <c r="I52" s="242">
        <f>'[2]Turkey Sunflower Imports'!DP$290</f>
        <v>22.568000000000001</v>
      </c>
      <c r="J52" s="242">
        <f>'[2]Turkey Sunflower Imports'!EB$290</f>
        <v>1.081</v>
      </c>
      <c r="K52" s="242">
        <f>'[2]Turkey Sunflower Imports'!EN$290</f>
        <v>6.6</v>
      </c>
      <c r="L52" s="242">
        <f>'[2]Turkey Sunflower Imports'!EZ$290</f>
        <v>53.110999999999997</v>
      </c>
      <c r="M52" s="242">
        <f>'[2]Turkey Sunflower Imports'!FL$290</f>
        <v>36.512999999999998</v>
      </c>
      <c r="N52" s="242">
        <f>'[2]Turkey Sunflower Imports'!FX$290</f>
        <v>27.14</v>
      </c>
      <c r="O52" s="242">
        <f>'[2]Turkey Sunflower Imports'!GJ$290</f>
        <v>74.317999999999998</v>
      </c>
      <c r="P52" s="242">
        <f>'[2]Turkey Sunflower Imports'!GV$290</f>
        <v>75.227999999999994</v>
      </c>
      <c r="Q52" s="242">
        <f>'[2]Turkey Sunflower Imports'!HH$290</f>
        <v>40.89</v>
      </c>
      <c r="R52" s="242">
        <f>'[2]Turkey Sunflower Imports'!HT$290</f>
        <v>110.663</v>
      </c>
      <c r="S52" s="242">
        <f>'[2]Turkey Sunflower Imports'!IF$290</f>
        <v>146.553</v>
      </c>
      <c r="T52" s="242">
        <f>'[2]Turkey Sunflower Imports'!IR$290</f>
        <v>62.886000000000003</v>
      </c>
      <c r="U52" s="242">
        <f>'[2]Turkey Sunflower Imports'!JD$290</f>
        <v>71.147999999999996</v>
      </c>
      <c r="V52" s="242">
        <f>'[2]Turkey Sunflower Imports'!JP$290</f>
        <v>43.064</v>
      </c>
      <c r="W52" s="242">
        <f>'[2]Turkey Sunflower Imports'!KB$290</f>
        <v>28.876999999999999</v>
      </c>
      <c r="X52" s="242">
        <f>'[2]Turkey Sunflower Imports'!KN$290</f>
        <v>23.448</v>
      </c>
      <c r="Y52" s="242">
        <f>'[2]Turkey Sunflower Imports'!KZ$290</f>
        <v>35.879043000000003</v>
      </c>
      <c r="Z52" s="242">
        <f>'[2]Turkey Sunflower Imports'!LL$290</f>
        <v>98.061976999999999</v>
      </c>
      <c r="AA52" s="242">
        <f>'[2]Turkey Sunflower Imports'!LX$290</f>
        <v>82.421835999999999</v>
      </c>
      <c r="AB52" s="242">
        <f>'[2]Turkey Sunflower Imports'!MJ$290</f>
        <v>187.326178</v>
      </c>
      <c r="AC52" s="242">
        <f>'[2]Turkey Sunflower Imports'!MV$290</f>
        <v>111.25</v>
      </c>
      <c r="AD52" s="242">
        <f>'[2]Turkey Sunflower Imports'!NH$290</f>
        <v>37.020398</v>
      </c>
      <c r="AE52" s="243">
        <f t="shared" si="36"/>
        <v>127.67203985644767</v>
      </c>
    </row>
    <row r="53" spans="1:31">
      <c r="A53" s="240" t="s">
        <v>233</v>
      </c>
      <c r="B53" s="241">
        <f t="shared" si="37"/>
        <v>12.422887728909426</v>
      </c>
      <c r="C53" s="241">
        <f t="shared" si="37"/>
        <v>71.654924922542961</v>
      </c>
      <c r="D53" s="241">
        <f t="shared" si="37"/>
        <v>58.329337715064241</v>
      </c>
      <c r="E53" s="241">
        <f t="shared" si="37"/>
        <v>49.395920245941774</v>
      </c>
      <c r="F53" s="241">
        <f t="shared" si="37"/>
        <v>92.481872236568123</v>
      </c>
      <c r="G53" s="242">
        <f>'[2]Turkey Sunflower Imports'!CS$290</f>
        <v>37.615000000000002</v>
      </c>
      <c r="H53" s="242">
        <f>'[2]Turkey Sunflower Imports'!DE$290</f>
        <v>62.14</v>
      </c>
      <c r="I53" s="242">
        <f>'[2]Turkey Sunflower Imports'!DQ$290</f>
        <v>13.749000000000001</v>
      </c>
      <c r="J53" s="242">
        <f>'[2]Turkey Sunflower Imports'!EC$290</f>
        <v>8.98</v>
      </c>
      <c r="K53" s="242">
        <f>'[2]Turkey Sunflower Imports'!EO$290</f>
        <v>6.3410000000000002</v>
      </c>
      <c r="L53" s="242">
        <f>'[2]Turkey Sunflower Imports'!FA$290</f>
        <v>88.944000000000003</v>
      </c>
      <c r="M53" s="242">
        <f>'[2]Turkey Sunflower Imports'!FM$290</f>
        <v>71.236999999999995</v>
      </c>
      <c r="N53" s="242">
        <f>'[2]Turkey Sunflower Imports'!FY$290</f>
        <v>48.073</v>
      </c>
      <c r="O53" s="242">
        <f>'[2]Turkey Sunflower Imports'!GK$290</f>
        <v>57.927999999999997</v>
      </c>
      <c r="P53" s="242">
        <f>'[2]Turkey Sunflower Imports'!GW$290</f>
        <v>59.03</v>
      </c>
      <c r="Q53" s="242">
        <f>'[2]Turkey Sunflower Imports'!HI$290</f>
        <v>36.963999999999999</v>
      </c>
      <c r="R53" s="242">
        <f>'[2]Turkey Sunflower Imports'!HU$290</f>
        <v>146.804</v>
      </c>
      <c r="S53" s="242">
        <f>'[2]Turkey Sunflower Imports'!IG$290</f>
        <v>152.94200000000001</v>
      </c>
      <c r="T53" s="242">
        <f>'[2]Turkey Sunflower Imports'!IS$290</f>
        <v>56.664999999999999</v>
      </c>
      <c r="U53" s="242">
        <f>'[2]Turkey Sunflower Imports'!JE$290</f>
        <v>88.444000000000003</v>
      </c>
      <c r="V53" s="242">
        <f>'[2]Turkey Sunflower Imports'!JQ$290</f>
        <v>45.906999999999996</v>
      </c>
      <c r="W53" s="242">
        <f>'[2]Turkey Sunflower Imports'!KC$290</f>
        <v>41.356999999999999</v>
      </c>
      <c r="X53" s="242">
        <f>'[2]Turkey Sunflower Imports'!KO$290</f>
        <v>49.637</v>
      </c>
      <c r="Y53" s="242">
        <f>'[2]Turkey Sunflower Imports'!LA$290</f>
        <v>124.421363</v>
      </c>
      <c r="Z53" s="242">
        <f>'[2]Turkey Sunflower Imports'!LM$290</f>
        <v>125.79454200000001</v>
      </c>
      <c r="AA53" s="242">
        <f>'[2]Turkey Sunflower Imports'!LY$290</f>
        <v>173.28893099999999</v>
      </c>
      <c r="AB53" s="242">
        <f>'[2]Turkey Sunflower Imports'!MK$290</f>
        <v>177.697879</v>
      </c>
      <c r="AC53" s="242">
        <f>'[2]Turkey Sunflower Imports'!MW$290</f>
        <v>110.643</v>
      </c>
      <c r="AD53" s="242">
        <f>'[2]Turkey Sunflower Imports'!NI$290</f>
        <v>46.952221999999999</v>
      </c>
      <c r="AE53" s="243">
        <f t="shared" si="36"/>
        <v>176.49233889136764</v>
      </c>
    </row>
    <row r="54" spans="1:31">
      <c r="A54" s="240" t="s">
        <v>234</v>
      </c>
      <c r="B54" s="241">
        <f t="shared" si="37"/>
        <v>15.410556603244627</v>
      </c>
      <c r="C54" s="241">
        <f t="shared" si="37"/>
        <v>76.293594880583541</v>
      </c>
      <c r="D54" s="241">
        <f t="shared" si="37"/>
        <v>70.265597961530204</v>
      </c>
      <c r="E54" s="241">
        <f t="shared" si="37"/>
        <v>47.048615987396069</v>
      </c>
      <c r="F54" s="241">
        <f t="shared" si="37"/>
        <v>70.567606153372765</v>
      </c>
      <c r="G54" s="242">
        <f>'[2]Turkey Sunflower Imports'!CT$290</f>
        <v>49.307000000000002</v>
      </c>
      <c r="H54" s="242">
        <f>'[2]Turkey Sunflower Imports'!DF$290</f>
        <v>43.945999999999998</v>
      </c>
      <c r="I54" s="242">
        <f>'[2]Turkey Sunflower Imports'!DR$290</f>
        <v>4.2880000000000003</v>
      </c>
      <c r="J54" s="242">
        <f>'[2]Turkey Sunflower Imports'!ED$290</f>
        <v>18.099</v>
      </c>
      <c r="K54" s="242">
        <f>'[2]Turkey Sunflower Imports'!EP$290</f>
        <v>26.981999999999999</v>
      </c>
      <c r="L54" s="242">
        <f>'[2]Turkey Sunflower Imports'!FB$290</f>
        <v>62.524000000000001</v>
      </c>
      <c r="M54" s="242">
        <f>'[2]Turkey Sunflower Imports'!FN$290</f>
        <v>101.8</v>
      </c>
      <c r="N54" s="242">
        <f>'[2]Turkey Sunflower Imports'!FZ$290</f>
        <v>62.746000000000002</v>
      </c>
      <c r="O54" s="242">
        <f>'[2]Turkey Sunflower Imports'!GL$290</f>
        <v>84.012</v>
      </c>
      <c r="P54" s="242">
        <f>'[2]Turkey Sunflower Imports'!GX$290</f>
        <v>35.183</v>
      </c>
      <c r="Q54" s="242">
        <f>'[2]Turkey Sunflower Imports'!HJ$290</f>
        <v>45.404000000000003</v>
      </c>
      <c r="R54" s="242">
        <f>'[2]Turkey Sunflower Imports'!HV$290</f>
        <v>104.879</v>
      </c>
      <c r="S54" s="242">
        <f>'[2]Turkey Sunflower Imports'!IH$290</f>
        <v>76.69</v>
      </c>
      <c r="T54" s="242">
        <f>'[2]Turkey Sunflower Imports'!IT$290</f>
        <v>70.207999999999998</v>
      </c>
      <c r="U54" s="242">
        <f>'[2]Turkey Sunflower Imports'!JF$290</f>
        <v>47.283000000000001</v>
      </c>
      <c r="V54" s="242">
        <f>'[2]Turkey Sunflower Imports'!JR$290</f>
        <v>60.531999999999996</v>
      </c>
      <c r="W54" s="242">
        <f>'[2]Turkey Sunflower Imports'!KD$290</f>
        <v>55.128999999999998</v>
      </c>
      <c r="X54" s="242">
        <f>'[2]Turkey Sunflower Imports'!KP$290</f>
        <v>54.54</v>
      </c>
      <c r="Y54" s="242">
        <f>'[2]Turkey Sunflower Imports'!LB$290</f>
        <v>78.753512999999998</v>
      </c>
      <c r="Z54" s="242">
        <f>'[2]Turkey Sunflower Imports'!LN$290</f>
        <v>99.057804000000004</v>
      </c>
      <c r="AA54" s="242">
        <f>'[2]Turkey Sunflower Imports'!LZ$290</f>
        <v>149.94103999999999</v>
      </c>
      <c r="AB54" s="242">
        <f>'[2]Turkey Sunflower Imports'!ML$290</f>
        <v>116.82105</v>
      </c>
      <c r="AC54" s="242">
        <f>'[2]Turkey Sunflower Imports'!MX$290</f>
        <v>113.021</v>
      </c>
      <c r="AD54" s="243">
        <f t="shared" si="36"/>
        <v>133.38399153347268</v>
      </c>
      <c r="AE54" s="243">
        <f t="shared" si="36"/>
        <v>138.24785198598153</v>
      </c>
    </row>
    <row r="55" spans="1:31">
      <c r="A55" s="240" t="s">
        <v>46</v>
      </c>
      <c r="B55" s="241">
        <f t="shared" si="37"/>
        <v>13.600067830080178</v>
      </c>
      <c r="C55" s="241">
        <f t="shared" si="37"/>
        <v>66.949053409512459</v>
      </c>
      <c r="D55" s="241">
        <f t="shared" si="37"/>
        <v>70.106342508525287</v>
      </c>
      <c r="E55" s="241">
        <f t="shared" si="37"/>
        <v>51.954517292044066</v>
      </c>
      <c r="F55" s="241">
        <f t="shared" si="37"/>
        <v>83.129882740450256</v>
      </c>
      <c r="G55" s="242">
        <f>'[2]Turkey Sunflower Imports'!CU$290</f>
        <v>53.418999999999997</v>
      </c>
      <c r="H55" s="242">
        <f>'[2]Turkey Sunflower Imports'!DG$290</f>
        <v>50.122999999999998</v>
      </c>
      <c r="I55" s="242">
        <f>'[2]Turkey Sunflower Imports'!DS$290</f>
        <v>1.9750000000000001</v>
      </c>
      <c r="J55" s="242">
        <f>'[2]Turkey Sunflower Imports'!EE$290</f>
        <v>7.9809999999999999</v>
      </c>
      <c r="K55" s="242">
        <f>'[2]Turkey Sunflower Imports'!EQ$290</f>
        <v>39.51</v>
      </c>
      <c r="L55" s="242">
        <f>'[2]Turkey Sunflower Imports'!FC$290</f>
        <v>13.99</v>
      </c>
      <c r="M55" s="242">
        <f>'[2]Turkey Sunflower Imports'!FO$290</f>
        <v>75.95</v>
      </c>
      <c r="N55" s="242">
        <f>'[2]Turkey Sunflower Imports'!GA$290</f>
        <v>71.537999999999997</v>
      </c>
      <c r="O55" s="242">
        <f>'[2]Turkey Sunflower Imports'!GM$290</f>
        <v>97.358999999999995</v>
      </c>
      <c r="P55" s="242">
        <f>'[2]Turkey Sunflower Imports'!GY$290</f>
        <v>45.017000000000003</v>
      </c>
      <c r="Q55" s="242">
        <f>'[2]Turkey Sunflower Imports'!HK$290</f>
        <v>38.534999999999997</v>
      </c>
      <c r="R55" s="242">
        <f>'[2]Turkey Sunflower Imports'!HW$290</f>
        <v>114.417</v>
      </c>
      <c r="S55" s="242">
        <f>'[2]Turkey Sunflower Imports'!II$290</f>
        <v>112.464</v>
      </c>
      <c r="T55" s="242">
        <f>'[2]Turkey Sunflower Imports'!IU$290</f>
        <v>142.77099999999999</v>
      </c>
      <c r="U55" s="242">
        <f>'[2]Turkey Sunflower Imports'!JG$290</f>
        <v>83.677000000000007</v>
      </c>
      <c r="V55" s="242">
        <f>'[2]Turkey Sunflower Imports'!JS$290</f>
        <v>62.267000000000003</v>
      </c>
      <c r="W55" s="242">
        <f>'[2]Turkey Sunflower Imports'!KE$290</f>
        <v>53.061</v>
      </c>
      <c r="X55" s="242">
        <f>'[2]Turkey Sunflower Imports'!KQ$290</f>
        <v>81.917000000000002</v>
      </c>
      <c r="Y55" s="242">
        <f>'[2]Turkey Sunflower Imports'!LC$290</f>
        <v>98.394240999999994</v>
      </c>
      <c r="Z55" s="242">
        <f>'[2]Turkey Sunflower Imports'!LO$290</f>
        <v>49.224319999999999</v>
      </c>
      <c r="AA55" s="242">
        <f>'[2]Turkey Sunflower Imports'!MA$290</f>
        <v>266.29274299999997</v>
      </c>
      <c r="AB55" s="242">
        <f>'[2]Turkey Sunflower Imports'!MM$290</f>
        <v>175.21087</v>
      </c>
      <c r="AC55" s="242">
        <f>'[2]Turkey Sunflower Imports'!MY$290</f>
        <v>104.742</v>
      </c>
      <c r="AD55" s="243">
        <f t="shared" si="36"/>
        <v>179.32975201254112</v>
      </c>
      <c r="AE55" s="243">
        <f t="shared" si="36"/>
        <v>172.03406350797081</v>
      </c>
    </row>
    <row r="56" spans="1:31">
      <c r="A56" s="240" t="s">
        <v>235</v>
      </c>
      <c r="B56" s="241">
        <f t="shared" si="37"/>
        <v>10.296679106739838</v>
      </c>
      <c r="C56" s="241">
        <f t="shared" si="37"/>
        <v>52.843557183615893</v>
      </c>
      <c r="D56" s="241">
        <f t="shared" si="37"/>
        <v>57.633822613335013</v>
      </c>
      <c r="E56" s="241">
        <f t="shared" si="37"/>
        <v>47.785591635147014</v>
      </c>
      <c r="F56" s="241">
        <f t="shared" si="37"/>
        <v>90.380548936237176</v>
      </c>
      <c r="G56" s="242">
        <f>'[2]Turkey Sunflower Imports'!CV$290</f>
        <v>36.107999999999997</v>
      </c>
      <c r="H56" s="242">
        <f>'[2]Turkey Sunflower Imports'!DH$290</f>
        <v>38.081000000000003</v>
      </c>
      <c r="I56" s="242">
        <f>'[2]Turkey Sunflower Imports'!DT$290</f>
        <v>2.7440000000000002</v>
      </c>
      <c r="J56" s="242">
        <f>'[2]Turkey Sunflower Imports'!EF$290</f>
        <v>33.075000000000003</v>
      </c>
      <c r="K56" s="242">
        <f>'[2]Turkey Sunflower Imports'!ER$290</f>
        <v>58.012999999999998</v>
      </c>
      <c r="L56" s="242">
        <f>'[2]Turkey Sunflower Imports'!FD$290</f>
        <v>38.384999999999998</v>
      </c>
      <c r="M56" s="242">
        <f>'[2]Turkey Sunflower Imports'!FP$290</f>
        <v>37.594000000000001</v>
      </c>
      <c r="N56" s="242">
        <f>'[2]Turkey Sunflower Imports'!GB$290</f>
        <v>29.507000000000001</v>
      </c>
      <c r="O56" s="242">
        <f>'[2]Turkey Sunflower Imports'!GN$290</f>
        <v>62.381</v>
      </c>
      <c r="P56" s="242">
        <f>'[2]Turkey Sunflower Imports'!GZ$290</f>
        <v>71.968000000000004</v>
      </c>
      <c r="Q56" s="242">
        <f>'[2]Turkey Sunflower Imports'!HL$290</f>
        <v>68.524000000000001</v>
      </c>
      <c r="R56" s="242">
        <f>'[2]Turkey Sunflower Imports'!HX$290</f>
        <v>105.048</v>
      </c>
      <c r="S56" s="242">
        <f>'[2]Turkey Sunflower Imports'!IJ$290</f>
        <v>135.43899999999999</v>
      </c>
      <c r="T56" s="242">
        <f>'[2]Turkey Sunflower Imports'!IV$290</f>
        <v>102.32</v>
      </c>
      <c r="U56" s="242">
        <f>'[2]Turkey Sunflower Imports'!JH$290</f>
        <v>100.175</v>
      </c>
      <c r="V56" s="242">
        <f>'[2]Turkey Sunflower Imports'!JT$290</f>
        <v>49.384999999999998</v>
      </c>
      <c r="W56" s="242">
        <f>'[2]Turkey Sunflower Imports'!KF$290</f>
        <v>45.664000000000001</v>
      </c>
      <c r="X56" s="242">
        <f>'[2]Turkey Sunflower Imports'!KR$290</f>
        <v>62.222999999999999</v>
      </c>
      <c r="Y56" s="242">
        <f>'[2]Turkey Sunflower Imports'!LD$290</f>
        <v>79.029595</v>
      </c>
      <c r="Z56" s="242">
        <f>'[2]Turkey Sunflower Imports'!LP$290</f>
        <v>75.922010999999998</v>
      </c>
      <c r="AA56" s="242">
        <f>'[2]Turkey Sunflower Imports'!MB$290</f>
        <v>178.792968</v>
      </c>
      <c r="AB56" s="242">
        <f>'[2]Turkey Sunflower Imports'!MN$290</f>
        <v>134.63670099999999</v>
      </c>
      <c r="AC56" s="242">
        <f>'[2]Turkey Sunflower Imports'!MZ$290</f>
        <v>39.793999999999997</v>
      </c>
      <c r="AD56" s="243">
        <f>(SUM(X56:AB56)/SUM(X$60:AB$60))*AD$60</f>
        <v>141.79966943709931</v>
      </c>
      <c r="AE56" s="243">
        <f t="shared" si="36"/>
        <v>125.99505898762618</v>
      </c>
    </row>
    <row r="57" spans="1:31">
      <c r="A57" s="240" t="s">
        <v>236</v>
      </c>
      <c r="B57" s="241">
        <f t="shared" si="37"/>
        <v>6.3313089154161641</v>
      </c>
      <c r="C57" s="241">
        <f t="shared" si="37"/>
        <v>32.15363056651212</v>
      </c>
      <c r="D57" s="241">
        <f t="shared" si="37"/>
        <v>35.391002024209392</v>
      </c>
      <c r="E57" s="241">
        <f t="shared" si="37"/>
        <v>23.873819119495369</v>
      </c>
      <c r="F57" s="241">
        <f t="shared" si="37"/>
        <v>40.305941302040807</v>
      </c>
      <c r="G57" s="242">
        <f>'[2]Turkey Sunflower Imports'!CW$290</f>
        <v>35.825000000000003</v>
      </c>
      <c r="H57" s="242">
        <f>'[2]Turkey Sunflower Imports'!DI$290</f>
        <v>25.574999999999999</v>
      </c>
      <c r="I57" s="242">
        <f>'[2]Turkey Sunflower Imports'!DU$290</f>
        <v>14.752000000000001</v>
      </c>
      <c r="J57" s="242">
        <f>'[2]Turkey Sunflower Imports'!EG$290</f>
        <v>3.5640000000000001</v>
      </c>
      <c r="K57" s="242">
        <f>'[2]Turkey Sunflower Imports'!ES$290</f>
        <v>32.283999999999999</v>
      </c>
      <c r="L57" s="242">
        <f>'[2]Turkey Sunflower Imports'!FE$290</f>
        <v>32.872999999999998</v>
      </c>
      <c r="M57" s="242">
        <f>'[2]Turkey Sunflower Imports'!FQ$290</f>
        <v>39.368000000000002</v>
      </c>
      <c r="N57" s="242">
        <f>'[2]Turkey Sunflower Imports'!GC$290</f>
        <v>19.367000000000001</v>
      </c>
      <c r="O57" s="242">
        <f>'[2]Turkey Sunflower Imports'!GO$290</f>
        <v>14.999000000000001</v>
      </c>
      <c r="P57" s="242">
        <f>'[2]Turkey Sunflower Imports'!HA$290</f>
        <v>39.325000000000003</v>
      </c>
      <c r="Q57" s="242">
        <f>'[2]Turkey Sunflower Imports'!HM$290</f>
        <v>52.722999999999999</v>
      </c>
      <c r="R57" s="242">
        <f>'[2]Turkey Sunflower Imports'!HY$290</f>
        <v>42.165999999999997</v>
      </c>
      <c r="S57" s="242">
        <f>'[2]Turkey Sunflower Imports'!IK$290</f>
        <v>48.506999999999998</v>
      </c>
      <c r="T57" s="242">
        <f>'[2]Turkey Sunflower Imports'!IW$290</f>
        <v>37.652000000000001</v>
      </c>
      <c r="U57" s="242">
        <f>'[2]Turkey Sunflower Imports'!JI$290</f>
        <v>54.281999999999996</v>
      </c>
      <c r="V57" s="242">
        <f>'[2]Turkey Sunflower Imports'!JU$290</f>
        <v>40.128999999999998</v>
      </c>
      <c r="W57" s="242">
        <f>'[2]Turkey Sunflower Imports'!KG$290</f>
        <v>18.318999999999999</v>
      </c>
      <c r="X57" s="242">
        <f>'[2]Turkey Sunflower Imports'!KS$290</f>
        <v>15.22</v>
      </c>
      <c r="Y57" s="242">
        <f>'[2]Turkey Sunflower Imports'!LE$290</f>
        <v>71.973920000000007</v>
      </c>
      <c r="Z57" s="242">
        <f>'[2]Turkey Sunflower Imports'!LQ$290</f>
        <v>81.835016999999993</v>
      </c>
      <c r="AA57" s="242">
        <f>'[2]Turkey Sunflower Imports'!MC$290</f>
        <v>44.848863999999999</v>
      </c>
      <c r="AB57" s="242">
        <f>'[2]Turkey Sunflower Imports'!MO$290</f>
        <v>21.266994</v>
      </c>
      <c r="AC57" s="242">
        <f>'[2]Turkey Sunflower Imports'!NA$290</f>
        <v>14.96</v>
      </c>
      <c r="AD57" s="243">
        <f>(SUM(X57:AB57)/SUM(X$60:AB$60))*AD$60</f>
        <v>62.840530640003756</v>
      </c>
      <c r="AE57" s="243">
        <f t="shared" si="36"/>
        <v>58.236449227722645</v>
      </c>
    </row>
    <row r="58" spans="1:31">
      <c r="A58" s="240" t="s">
        <v>237</v>
      </c>
      <c r="B58" s="241">
        <f t="shared" si="37"/>
        <v>4.4439187005434153</v>
      </c>
      <c r="C58" s="241">
        <f t="shared" si="37"/>
        <v>16.83740468596142</v>
      </c>
      <c r="D58" s="241">
        <f t="shared" si="37"/>
        <v>25.422379191076228</v>
      </c>
      <c r="E58" s="241">
        <f t="shared" si="37"/>
        <v>15.548430114886914</v>
      </c>
      <c r="F58" s="241">
        <f t="shared" si="37"/>
        <v>21.003855735962336</v>
      </c>
      <c r="G58" s="242">
        <f>'[2]Turkey Sunflower Imports'!CX$290</f>
        <v>13.986000000000001</v>
      </c>
      <c r="H58" s="242">
        <f>'[2]Turkey Sunflower Imports'!DJ$290</f>
        <v>26.696999999999999</v>
      </c>
      <c r="I58" s="242">
        <f>'[2]Turkey Sunflower Imports'!DV$290</f>
        <v>16.332000000000001</v>
      </c>
      <c r="J58" s="242">
        <f>'[2]Turkey Sunflower Imports'!EH$290</f>
        <v>1.9450000000000001</v>
      </c>
      <c r="K58" s="242">
        <f>'[2]Turkey Sunflower Imports'!ET$290</f>
        <v>25.757999999999999</v>
      </c>
      <c r="L58" s="242">
        <f>'[2]Turkey Sunflower Imports'!FF$290</f>
        <v>16.236999999999998</v>
      </c>
      <c r="M58" s="242">
        <f>'[2]Turkey Sunflower Imports'!FR$290</f>
        <v>14.981999999999999</v>
      </c>
      <c r="N58" s="242">
        <f>'[2]Turkey Sunflower Imports'!GD$290</f>
        <v>16.725999999999999</v>
      </c>
      <c r="O58" s="242">
        <f>'[2]Turkey Sunflower Imports'!GP$290</f>
        <v>23.783999999999999</v>
      </c>
      <c r="P58" s="242">
        <f>'[2]Turkey Sunflower Imports'!HB$290</f>
        <v>4.6890000000000001</v>
      </c>
      <c r="Q58" s="242">
        <f>'[2]Turkey Sunflower Imports'!HN$290</f>
        <v>58.905000000000001</v>
      </c>
      <c r="R58" s="242">
        <f>'[2]Turkey Sunflower Imports'!HZ$290</f>
        <v>5.6879999999999997</v>
      </c>
      <c r="S58" s="242">
        <f>'[2]Turkey Sunflower Imports'!IL$290</f>
        <v>9.968</v>
      </c>
      <c r="T58" s="242">
        <f>'[2]Turkey Sunflower Imports'!IX$290</f>
        <v>8.2379999999999995</v>
      </c>
      <c r="U58" s="242">
        <f>'[2]Turkey Sunflower Imports'!JJ$290</f>
        <v>5.0309999999999997</v>
      </c>
      <c r="V58" s="242">
        <f>'[2]Turkey Sunflower Imports'!JV$290</f>
        <v>2.5209999999999999</v>
      </c>
      <c r="W58" s="242">
        <f>'[2]Turkey Sunflower Imports'!KH$290</f>
        <v>2.5419999999999998</v>
      </c>
      <c r="X58" s="242">
        <f>'[2]Turkey Sunflower Imports'!KT$290</f>
        <v>31.619</v>
      </c>
      <c r="Y58" s="242">
        <f>'[2]Turkey Sunflower Imports'!LF$290</f>
        <v>4.2781250000000002</v>
      </c>
      <c r="Z58" s="242">
        <f>'[2]Turkey Sunflower Imports'!LR$290</f>
        <v>10.193975</v>
      </c>
      <c r="AA58" s="242">
        <f>'[2]Turkey Sunflower Imports'!MD$290</f>
        <v>9.5561159999999994</v>
      </c>
      <c r="AB58" s="242">
        <f>'[2]Turkey Sunflower Imports'!MP$290</f>
        <v>5.7869780000000004</v>
      </c>
      <c r="AC58" s="242">
        <f>'[2]Turkey Sunflower Imports'!NB$290</f>
        <v>8.4689999999999994</v>
      </c>
      <c r="AD58" s="243">
        <f>(SUM(X58:AB58)/SUM(X$60:AB$60))*AD$60-10</f>
        <v>6.4177878162301454</v>
      </c>
      <c r="AE58" s="243">
        <f t="shared" si="36"/>
        <v>9.4920385123493549</v>
      </c>
    </row>
    <row r="59" spans="1:31">
      <c r="A59" s="240" t="s">
        <v>238</v>
      </c>
      <c r="B59" s="241">
        <f>(SUM(K59:O59)/SUM(K$60:O$60))*B$60</f>
        <v>5.9806711622328681</v>
      </c>
      <c r="C59" s="241">
        <f t="shared" si="37"/>
        <v>15.706435565426474</v>
      </c>
      <c r="D59" s="241">
        <f t="shared" si="37"/>
        <v>16.678059337813266</v>
      </c>
      <c r="E59" s="241">
        <f t="shared" si="37"/>
        <v>8.1943931410093764</v>
      </c>
      <c r="F59" s="241">
        <f t="shared" si="37"/>
        <v>13.033993905370652</v>
      </c>
      <c r="G59" s="242">
        <f>'[2]Turkey Sunflower Imports'!CY$290</f>
        <v>4.9009999999999998</v>
      </c>
      <c r="H59" s="242">
        <f>'[2]Turkey Sunflower Imports'!DK$290</f>
        <v>4.8689999999999998</v>
      </c>
      <c r="I59" s="242">
        <f>'[2]Turkey Sunflower Imports'!DW$290</f>
        <v>6.03</v>
      </c>
      <c r="J59" s="242">
        <f>'[2]Turkey Sunflower Imports'!EI$290</f>
        <v>4.9470000000000001</v>
      </c>
      <c r="K59" s="242">
        <f>'[2]Turkey Sunflower Imports'!EU$290</f>
        <v>62.649000000000001</v>
      </c>
      <c r="L59" s="242">
        <f>'[2]Turkey Sunflower Imports'!FG$290</f>
        <v>32.320999999999998</v>
      </c>
      <c r="M59" s="242">
        <f>'[2]Turkey Sunflower Imports'!FS$290</f>
        <v>21.045000000000002</v>
      </c>
      <c r="N59" s="242">
        <f>'[2]Turkey Sunflower Imports'!GE$290</f>
        <v>8.7769999999999992</v>
      </c>
      <c r="O59" s="242">
        <f>'[2]Turkey Sunflower Imports'!GQ$290</f>
        <v>6.407</v>
      </c>
      <c r="P59" s="242">
        <f>'[2]Turkey Sunflower Imports'!HC$290</f>
        <v>2.7349999999999999</v>
      </c>
      <c r="Q59" s="242">
        <f>'[2]Turkey Sunflower Imports'!HO$290</f>
        <v>39.161000000000001</v>
      </c>
      <c r="R59" s="242">
        <f>'[2]Turkey Sunflower Imports'!IA$290</f>
        <v>0.78300000000000003</v>
      </c>
      <c r="S59" s="242">
        <f>'[2]Turkey Sunflower Imports'!IM$290</f>
        <v>14.852</v>
      </c>
      <c r="T59" s="242">
        <f>'[2]Turkey Sunflower Imports'!IY$290</f>
        <v>24.992000000000001</v>
      </c>
      <c r="U59" s="242">
        <f>'[2]Turkey Sunflower Imports'!JK$290</f>
        <v>24.459</v>
      </c>
      <c r="V59" s="242">
        <f>'[2]Turkey Sunflower Imports'!JW$290</f>
        <v>24.565000000000001</v>
      </c>
      <c r="W59" s="242">
        <f>'[2]Turkey Sunflower Imports'!KI$290</f>
        <v>1.0109999999999999</v>
      </c>
      <c r="X59" s="242">
        <f>'[2]Turkey Sunflower Imports'!KU$290</f>
        <v>1.474</v>
      </c>
      <c r="Y59" s="242">
        <f>'[2]Turkey Sunflower Imports'!LG$290</f>
        <v>5.237114</v>
      </c>
      <c r="Z59" s="242">
        <f>'[2]Turkey Sunflower Imports'!LS$290</f>
        <v>7.9323050000000004</v>
      </c>
      <c r="AA59" s="242">
        <f>'[2]Turkey Sunflower Imports'!ME$290</f>
        <v>89.283330000000007</v>
      </c>
      <c r="AB59" s="242">
        <f>'[2]Turkey Sunflower Imports'!MQ$290</f>
        <v>12.774008</v>
      </c>
      <c r="AC59" s="242">
        <f>'[2]Turkey Sunflower Imports'!NC$290</f>
        <v>8.1349999999999998</v>
      </c>
      <c r="AD59" s="243">
        <f t="shared" ref="AD59" si="38">AD60-SUM(AD48:AD58)</f>
        <v>305.36380756065296</v>
      </c>
      <c r="AE59" s="243">
        <f t="shared" ref="AE59" si="39">AE60-SUM(AE48:AE58)</f>
        <v>2.0169611850251385</v>
      </c>
    </row>
    <row r="60" spans="1:31" ht="15.75" thickBot="1">
      <c r="A60" s="240" t="s">
        <v>242</v>
      </c>
      <c r="B60" s="245">
        <f t="shared" ref="B60:G60" si="40">B10</f>
        <v>100</v>
      </c>
      <c r="C60" s="245">
        <f t="shared" si="40"/>
        <v>550</v>
      </c>
      <c r="D60" s="245">
        <f t="shared" si="40"/>
        <v>500</v>
      </c>
      <c r="E60" s="245">
        <f t="shared" si="40"/>
        <v>360</v>
      </c>
      <c r="F60" s="245">
        <f t="shared" si="40"/>
        <v>583</v>
      </c>
      <c r="G60" s="245">
        <f t="shared" si="40"/>
        <v>595</v>
      </c>
      <c r="H60" s="245">
        <f t="shared" ref="H60:AB60" si="41">SUM(H48:H58)</f>
        <v>431.68799999999999</v>
      </c>
      <c r="I60" s="245">
        <f t="shared" si="41"/>
        <v>316.30500000000012</v>
      </c>
      <c r="J60" s="245">
        <f t="shared" si="41"/>
        <v>159.24099999999999</v>
      </c>
      <c r="K60" s="245">
        <f t="shared" si="41"/>
        <v>224.05699999999999</v>
      </c>
      <c r="L60" s="245">
        <f t="shared" si="41"/>
        <v>597.36300000000006</v>
      </c>
      <c r="M60" s="245">
        <f t="shared" si="41"/>
        <v>497.08100000000002</v>
      </c>
      <c r="N60" s="245">
        <f t="shared" si="41"/>
        <v>386.16300000000007</v>
      </c>
      <c r="O60" s="245">
        <f t="shared" si="41"/>
        <v>489.053</v>
      </c>
      <c r="P60" s="245">
        <f t="shared" si="41"/>
        <v>526.56200000000001</v>
      </c>
      <c r="Q60" s="245">
        <f t="shared" si="41"/>
        <v>443.29000000000008</v>
      </c>
      <c r="R60" s="245">
        <f t="shared" si="41"/>
        <v>696.99699999999996</v>
      </c>
      <c r="S60" s="245">
        <f t="shared" si="41"/>
        <v>703.99299999999994</v>
      </c>
      <c r="T60" s="245">
        <f t="shared" si="41"/>
        <v>819.38800000000015</v>
      </c>
      <c r="U60" s="245">
        <f t="shared" si="41"/>
        <v>602.54300000000001</v>
      </c>
      <c r="V60" s="245">
        <f t="shared" si="41"/>
        <v>556.26900000000001</v>
      </c>
      <c r="W60" s="245">
        <f t="shared" si="41"/>
        <v>445.65999999999997</v>
      </c>
      <c r="X60" s="245">
        <f t="shared" si="41"/>
        <v>395.07900000000006</v>
      </c>
      <c r="Y60" s="245">
        <f t="shared" si="41"/>
        <v>573.06380000000001</v>
      </c>
      <c r="Z60" s="245">
        <f t="shared" si="41"/>
        <v>764.54963800000007</v>
      </c>
      <c r="AA60" s="245">
        <f t="shared" si="41"/>
        <v>1107.6161199999999</v>
      </c>
      <c r="AB60" s="245">
        <f t="shared" si="41"/>
        <v>1088.7167420000003</v>
      </c>
      <c r="AC60" s="245">
        <f>SUM(AC48:AC59)</f>
        <v>902.678493</v>
      </c>
      <c r="AD60" s="247">
        <f t="shared" ref="AD60:AE60" si="42">AD10</f>
        <v>1050</v>
      </c>
      <c r="AE60" s="247">
        <f t="shared" si="42"/>
        <v>1100</v>
      </c>
    </row>
    <row r="61" spans="1:31">
      <c r="A61" s="248"/>
      <c r="B61" s="248"/>
      <c r="C61" s="263"/>
      <c r="D61" s="433"/>
      <c r="E61" s="433"/>
      <c r="F61" s="433"/>
      <c r="G61" s="439"/>
      <c r="H61" s="439"/>
      <c r="I61" s="439"/>
      <c r="J61" s="439"/>
      <c r="K61" s="439"/>
      <c r="L61" s="439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</row>
    <row r="62" spans="1:31" ht="15.75" thickBot="1">
      <c r="A62" s="235" t="s">
        <v>243</v>
      </c>
      <c r="J62" s="355"/>
    </row>
    <row r="63" spans="1:31" ht="15.75" thickBot="1">
      <c r="A63" s="236"/>
      <c r="B63" s="237" t="str">
        <f>B$2</f>
        <v xml:space="preserve">93/94 </v>
      </c>
      <c r="C63" s="237" t="str">
        <f t="shared" ref="C63:AE63" si="43">C$2</f>
        <v xml:space="preserve">94/95 </v>
      </c>
      <c r="D63" s="237" t="str">
        <f t="shared" si="43"/>
        <v xml:space="preserve">95/96 </v>
      </c>
      <c r="E63" s="237" t="str">
        <f t="shared" si="43"/>
        <v xml:space="preserve">96/97 </v>
      </c>
      <c r="F63" s="237" t="str">
        <f t="shared" si="43"/>
        <v xml:space="preserve">97/98 </v>
      </c>
      <c r="G63" s="237" t="str">
        <f t="shared" si="43"/>
        <v xml:space="preserve">98/99 </v>
      </c>
      <c r="H63" s="237" t="str">
        <f t="shared" si="43"/>
        <v xml:space="preserve">99/00 </v>
      </c>
      <c r="I63" s="237" t="str">
        <f t="shared" si="43"/>
        <v xml:space="preserve">00/01 </v>
      </c>
      <c r="J63" s="237" t="str">
        <f t="shared" si="43"/>
        <v xml:space="preserve">01/02 </v>
      </c>
      <c r="K63" s="237" t="str">
        <f t="shared" si="43"/>
        <v xml:space="preserve">02/03 </v>
      </c>
      <c r="L63" s="237" t="str">
        <f t="shared" si="43"/>
        <v xml:space="preserve">03/04 </v>
      </c>
      <c r="M63" s="237" t="str">
        <f t="shared" si="43"/>
        <v xml:space="preserve">04/05 </v>
      </c>
      <c r="N63" s="237" t="str">
        <f t="shared" si="43"/>
        <v xml:space="preserve">05/06 </v>
      </c>
      <c r="O63" s="237" t="str">
        <f t="shared" si="43"/>
        <v xml:space="preserve">06/07 </v>
      </c>
      <c r="P63" s="237" t="str">
        <f t="shared" si="43"/>
        <v xml:space="preserve">07/08 </v>
      </c>
      <c r="Q63" s="237" t="str">
        <f t="shared" si="43"/>
        <v xml:space="preserve">08/09 </v>
      </c>
      <c r="R63" s="237" t="str">
        <f t="shared" si="43"/>
        <v xml:space="preserve">09/10 </v>
      </c>
      <c r="S63" s="237" t="str">
        <f t="shared" si="43"/>
        <v xml:space="preserve">10/11 </v>
      </c>
      <c r="T63" s="237" t="str">
        <f t="shared" si="43"/>
        <v xml:space="preserve">11/12 </v>
      </c>
      <c r="U63" s="237" t="str">
        <f t="shared" si="43"/>
        <v xml:space="preserve">12/13 </v>
      </c>
      <c r="V63" s="237" t="str">
        <f t="shared" si="43"/>
        <v xml:space="preserve">13/14 </v>
      </c>
      <c r="W63" s="237" t="str">
        <f t="shared" si="43"/>
        <v xml:space="preserve">14/15 </v>
      </c>
      <c r="X63" s="237" t="str">
        <f t="shared" si="43"/>
        <v xml:space="preserve">15/16 </v>
      </c>
      <c r="Y63" s="237" t="str">
        <f t="shared" si="43"/>
        <v xml:space="preserve">16/17 </v>
      </c>
      <c r="Z63" s="237" t="str">
        <f t="shared" si="43"/>
        <v xml:space="preserve">17/18 </v>
      </c>
      <c r="AA63" s="237" t="str">
        <f t="shared" si="43"/>
        <v xml:space="preserve">18/19 </v>
      </c>
      <c r="AB63" s="237" t="str">
        <f t="shared" si="43"/>
        <v xml:space="preserve">19/20 </v>
      </c>
      <c r="AC63" s="237" t="str">
        <f t="shared" si="43"/>
        <v xml:space="preserve">20/21 </v>
      </c>
      <c r="AD63" s="237" t="str">
        <f t="shared" si="43"/>
        <v xml:space="preserve">21/22 </v>
      </c>
      <c r="AE63" s="237" t="str">
        <f t="shared" si="43"/>
        <v xml:space="preserve">22/23 </v>
      </c>
    </row>
    <row r="64" spans="1:31">
      <c r="A64" s="240" t="s">
        <v>239</v>
      </c>
      <c r="B64" s="241">
        <f>(SUM(K64:O64)/SUM(K$76:O$76))*B$76</f>
        <v>0.19779638607315994</v>
      </c>
      <c r="C64" s="241">
        <f t="shared" ref="C64:F75" si="44">(SUM(L64:P64)/SUM(L$76:P$76))*C$76</f>
        <v>0.19552820730445852</v>
      </c>
      <c r="D64" s="241">
        <f t="shared" si="44"/>
        <v>0.13950291078601962</v>
      </c>
      <c r="E64" s="241">
        <f t="shared" si="44"/>
        <v>0</v>
      </c>
      <c r="F64" s="241">
        <f t="shared" si="44"/>
        <v>0</v>
      </c>
      <c r="G64" s="241">
        <v>0</v>
      </c>
      <c r="H64" s="242">
        <f>'[2]Turkey Sunflower Exports'!CZ$290</f>
        <v>0.876</v>
      </c>
      <c r="I64" s="242">
        <f>'[2]Turkey Sunflower Exports'!DL$290</f>
        <v>0.193</v>
      </c>
      <c r="J64" s="242">
        <f>'[2]Turkey Sunflower Exports'!DX$290</f>
        <v>0.55800000000000005</v>
      </c>
      <c r="K64" s="242">
        <f>'[2]Turkey Sunflower Exports'!EJ$290</f>
        <v>0.64200000000000002</v>
      </c>
      <c r="L64" s="242">
        <f>'[2]Turkey Sunflower Exports'!EV$290</f>
        <v>0.68600000000000005</v>
      </c>
      <c r="M64" s="242">
        <f>'[2]Turkey Sunflower Exports'!FH$290</f>
        <v>0.51900000000000002</v>
      </c>
      <c r="N64" s="242">
        <f>'[2]Turkey Sunflower Exports'!FT$290</f>
        <v>0.56999999999999995</v>
      </c>
      <c r="O64" s="242">
        <f>'[2]Turkey Sunflower Exports'!GF$290</f>
        <v>0.94899999999999995</v>
      </c>
      <c r="P64" s="242">
        <f>'[2]Turkey Sunflower Exports'!GR$290</f>
        <v>0.96199999999999997</v>
      </c>
      <c r="Q64" s="242">
        <f>'[2]Turkey Sunflower Exports'!HD$290</f>
        <v>0.247</v>
      </c>
      <c r="R64" s="242">
        <f>'[2]Turkey Sunflower Exports'!HP$290</f>
        <v>1.488</v>
      </c>
      <c r="S64" s="242">
        <f>'[2]Turkey Sunflower Exports'!IB$290</f>
        <v>1.3029999999999999</v>
      </c>
      <c r="T64" s="242">
        <f>'[2]Turkey Sunflower Exports'!IN$290</f>
        <v>3.1539999999999999</v>
      </c>
      <c r="U64" s="242">
        <f>'[2]Turkey Sunflower Exports'!IZ$290</f>
        <v>3.2679999999999998</v>
      </c>
      <c r="V64" s="242">
        <f>'[2]Turkey Sunflower Exports'!JL$290</f>
        <v>1.371</v>
      </c>
      <c r="W64" s="242">
        <f>'[2]Turkey Sunflower Exports'!JX$290</f>
        <v>2.0219999999999998</v>
      </c>
      <c r="X64" s="242">
        <f>'[2]Turkey Sunflower Exports'!KJ$290</f>
        <v>2.8879999999999999</v>
      </c>
      <c r="Y64" s="242">
        <f>'[2]Turkey Sunflower Exports'!KV$290</f>
        <v>4.2869999999999999</v>
      </c>
      <c r="Z64" s="242">
        <f>'[2]Turkey Sunflower Exports'!LH$290</f>
        <v>29.481750999999999</v>
      </c>
      <c r="AA64" s="242">
        <f>'[2]Turkey Sunflower Exports'!LT$290</f>
        <v>12.309151</v>
      </c>
      <c r="AB64" s="242">
        <f>'[2]Turkey Sunflower Exports'!MF$290</f>
        <v>8.9768139999999992</v>
      </c>
      <c r="AC64" s="242">
        <f>'[2]Turkey Sunflower Exports'!MR$290</f>
        <v>23.415973999999999</v>
      </c>
      <c r="AD64" s="242">
        <f>'[2]Turkey Sunflower Exports'!ND$290</f>
        <v>11.106</v>
      </c>
      <c r="AE64" s="243">
        <f>(SUM(Y64:AC64)/SUM(Y$76:AC$76))*AE$76</f>
        <v>22.899611501453592</v>
      </c>
    </row>
    <row r="65" spans="1:31">
      <c r="A65" s="240" t="s">
        <v>240</v>
      </c>
      <c r="B65" s="241">
        <f t="shared" ref="B65:B75" si="45">(SUM(K65:O65)/SUM(K$76:O$76))*B$76</f>
        <v>0.23816659321286912</v>
      </c>
      <c r="C65" s="241">
        <f t="shared" si="44"/>
        <v>0.19993103997029413</v>
      </c>
      <c r="D65" s="241">
        <f t="shared" si="44"/>
        <v>0.20356168503361902</v>
      </c>
      <c r="E65" s="241">
        <f t="shared" si="44"/>
        <v>0</v>
      </c>
      <c r="F65" s="241">
        <f t="shared" si="44"/>
        <v>0</v>
      </c>
      <c r="G65" s="241">
        <v>0</v>
      </c>
      <c r="H65" s="242">
        <f>'[2]Turkey Sunflower Exports'!DA$290</f>
        <v>0.73</v>
      </c>
      <c r="I65" s="242">
        <f>'[2]Turkey Sunflower Exports'!DM$290</f>
        <v>0.53200000000000003</v>
      </c>
      <c r="J65" s="242">
        <f>'[2]Turkey Sunflower Exports'!DY$290</f>
        <v>0.56999999999999995</v>
      </c>
      <c r="K65" s="242">
        <f>'[2]Turkey Sunflower Exports'!EK$290</f>
        <v>0.57899999999999996</v>
      </c>
      <c r="L65" s="242">
        <f>'[2]Turkey Sunflower Exports'!EW$290</f>
        <v>0.39200000000000002</v>
      </c>
      <c r="M65" s="242">
        <f>'[2]Turkey Sunflower Exports'!FI$290</f>
        <v>0.45200000000000001</v>
      </c>
      <c r="N65" s="242">
        <f>'[2]Turkey Sunflower Exports'!FU$290</f>
        <v>0.90500000000000003</v>
      </c>
      <c r="O65" s="242">
        <f>'[2]Turkey Sunflower Exports'!GG$290</f>
        <v>1.7250000000000001</v>
      </c>
      <c r="P65" s="242">
        <f>'[2]Turkey Sunflower Exports'!GS$290</f>
        <v>0.29499999999999998</v>
      </c>
      <c r="Q65" s="242">
        <f>'[2]Turkey Sunflower Exports'!HE$290</f>
        <v>1.361</v>
      </c>
      <c r="R65" s="242">
        <f>'[2]Turkey Sunflower Exports'!HQ$290</f>
        <v>0.91300000000000003</v>
      </c>
      <c r="S65" s="242">
        <f>'[2]Turkey Sunflower Exports'!IC$290</f>
        <v>1.45</v>
      </c>
      <c r="T65" s="242">
        <f>'[2]Turkey Sunflower Exports'!IO$290</f>
        <v>5.0510000000000002</v>
      </c>
      <c r="U65" s="242">
        <f>'[2]Turkey Sunflower Exports'!JA$290</f>
        <v>6.1150000000000002</v>
      </c>
      <c r="V65" s="242">
        <f>'[2]Turkey Sunflower Exports'!JM$290</f>
        <v>2.0209999999999999</v>
      </c>
      <c r="W65" s="242">
        <f>'[2]Turkey Sunflower Exports'!JY$290</f>
        <v>2.4180000000000001</v>
      </c>
      <c r="X65" s="242">
        <f>'[2]Turkey Sunflower Exports'!KK$290</f>
        <v>3.1560000000000001</v>
      </c>
      <c r="Y65" s="242">
        <f>'[2]Turkey Sunflower Exports'!KW$290</f>
        <v>6.3840000000000003</v>
      </c>
      <c r="Z65" s="242">
        <f>'[2]Turkey Sunflower Exports'!LI$290</f>
        <v>15.528788</v>
      </c>
      <c r="AA65" s="242">
        <f>'[2]Turkey Sunflower Exports'!LU$290</f>
        <v>9.8004890000000007</v>
      </c>
      <c r="AB65" s="242">
        <f>'[2]Turkey Sunflower Exports'!MG$290</f>
        <v>20.245929</v>
      </c>
      <c r="AC65" s="242">
        <f>'[2]Turkey Sunflower Exports'!MS$290</f>
        <v>12.657159</v>
      </c>
      <c r="AD65" s="242">
        <f>'[2]Turkey Sunflower Exports'!NE$290</f>
        <v>16.57</v>
      </c>
      <c r="AE65" s="243">
        <f t="shared" ref="AE65:AE74" si="46">(SUM(Y65:AC65)/SUM(Y$76:AC$76))*AE$76</f>
        <v>18.856590341388912</v>
      </c>
    </row>
    <row r="66" spans="1:31">
      <c r="A66" s="240" t="s">
        <v>241</v>
      </c>
      <c r="B66" s="241">
        <f t="shared" si="45"/>
        <v>0.18392830909358013</v>
      </c>
      <c r="C66" s="241">
        <f t="shared" si="44"/>
        <v>0.18120573959631858</v>
      </c>
      <c r="D66" s="241">
        <f t="shared" si="44"/>
        <v>0.16313290799338359</v>
      </c>
      <c r="E66" s="241">
        <f t="shared" si="44"/>
        <v>0</v>
      </c>
      <c r="F66" s="241">
        <f t="shared" si="44"/>
        <v>0</v>
      </c>
      <c r="G66" s="241">
        <v>0</v>
      </c>
      <c r="H66" s="242">
        <f>'[2]Turkey Sunflower Exports'!DB$290</f>
        <v>0.60199999999999998</v>
      </c>
      <c r="I66" s="242">
        <f>'[2]Turkey Sunflower Exports'!DN$290</f>
        <v>0.26400000000000001</v>
      </c>
      <c r="J66" s="242">
        <f>'[2]Turkey Sunflower Exports'!DZ$290</f>
        <v>0.159</v>
      </c>
      <c r="K66" s="242">
        <f>'[2]Turkey Sunflower Exports'!EL$290</f>
        <v>0.17</v>
      </c>
      <c r="L66" s="242">
        <f>'[2]Turkey Sunflower Exports'!EX$290</f>
        <v>0.42</v>
      </c>
      <c r="M66" s="242">
        <f>'[2]Turkey Sunflower Exports'!FJ$290</f>
        <v>0.372</v>
      </c>
      <c r="N66" s="242">
        <f>'[2]Turkey Sunflower Exports'!FV$290</f>
        <v>1.177</v>
      </c>
      <c r="O66" s="242">
        <f>'[2]Turkey Sunflower Exports'!GH$290</f>
        <v>0.99099999999999999</v>
      </c>
      <c r="P66" s="242">
        <f>'[2]Turkey Sunflower Exports'!GT$290</f>
        <v>0.45600000000000002</v>
      </c>
      <c r="Q66" s="242">
        <f>'[2]Turkey Sunflower Exports'!HF$290</f>
        <v>0.80100000000000005</v>
      </c>
      <c r="R66" s="242">
        <f>'[2]Turkey Sunflower Exports'!HR$290</f>
        <v>2.3239999999999998</v>
      </c>
      <c r="S66" s="242">
        <f>'[2]Turkey Sunflower Exports'!ID$290</f>
        <v>2.9689999999999999</v>
      </c>
      <c r="T66" s="242">
        <f>'[2]Turkey Sunflower Exports'!IP$290</f>
        <v>3.97</v>
      </c>
      <c r="U66" s="242">
        <f>'[2]Turkey Sunflower Exports'!JB$290</f>
        <v>4.0599999999999996</v>
      </c>
      <c r="V66" s="242">
        <f>'[2]Turkey Sunflower Exports'!JN$290</f>
        <v>3.3959999999999999</v>
      </c>
      <c r="W66" s="242">
        <f>'[2]Turkey Sunflower Exports'!JZ$290</f>
        <v>2.7080000000000002</v>
      </c>
      <c r="X66" s="242">
        <f>'[2]Turkey Sunflower Exports'!KL$290</f>
        <v>3.9550000000000001</v>
      </c>
      <c r="Y66" s="242">
        <f>'[2]Turkey Sunflower Exports'!KX$290</f>
        <v>4.5430000000000001</v>
      </c>
      <c r="Z66" s="242">
        <f>'[2]Turkey Sunflower Exports'!LJ$290</f>
        <v>18.118751</v>
      </c>
      <c r="AA66" s="242">
        <f>'[2]Turkey Sunflower Exports'!LV$290</f>
        <v>16.786479</v>
      </c>
      <c r="AB66" s="242">
        <f>'[2]Turkey Sunflower Exports'!MH$290</f>
        <v>9.2286640000000002</v>
      </c>
      <c r="AC66" s="242">
        <f>'[2]Turkey Sunflower Exports'!MT$290</f>
        <v>16.767026999999999</v>
      </c>
      <c r="AD66" s="242">
        <f>'[2]Turkey Sunflower Exports'!NF$290</f>
        <v>16.152999999999999</v>
      </c>
      <c r="AE66" s="243">
        <f t="shared" si="46"/>
        <v>19.098090841711983</v>
      </c>
    </row>
    <row r="67" spans="1:31">
      <c r="A67" s="240" t="s">
        <v>231</v>
      </c>
      <c r="B67" s="241">
        <f t="shared" si="45"/>
        <v>0.22100778610254149</v>
      </c>
      <c r="C67" s="241">
        <f t="shared" si="44"/>
        <v>0.22942471421372304</v>
      </c>
      <c r="D67" s="241">
        <f t="shared" si="44"/>
        <v>0.24897424330304396</v>
      </c>
      <c r="E67" s="241">
        <f t="shared" si="44"/>
        <v>0</v>
      </c>
      <c r="F67" s="241">
        <f t="shared" si="44"/>
        <v>0</v>
      </c>
      <c r="G67" s="242">
        <f>'[2]Turkey Sunflower Exports'!CQ$290</f>
        <v>0.14599999999999999</v>
      </c>
      <c r="H67" s="242">
        <f>'[2]Turkey Sunflower Exports'!DC$290</f>
        <v>7.4999999999999997E-2</v>
      </c>
      <c r="I67" s="242">
        <f>'[2]Turkey Sunflower Exports'!DO$290</f>
        <v>0.154</v>
      </c>
      <c r="J67" s="242">
        <f>'[2]Turkey Sunflower Exports'!EA$290</f>
        <v>0.24199999999999999</v>
      </c>
      <c r="K67" s="242">
        <f>'[2]Turkey Sunflower Exports'!EM$290</f>
        <v>0.40500000000000003</v>
      </c>
      <c r="L67" s="242">
        <f>'[2]Turkey Sunflower Exports'!EY$290</f>
        <v>0.52</v>
      </c>
      <c r="M67" s="242">
        <f>'[2]Turkey Sunflower Exports'!FK$290</f>
        <v>0.58799999999999997</v>
      </c>
      <c r="N67" s="242">
        <f>'[2]Turkey Sunflower Exports'!FW$290</f>
        <v>0.98299999999999998</v>
      </c>
      <c r="O67" s="242">
        <f>'[2]Turkey Sunflower Exports'!GI$290</f>
        <v>1.2649999999999999</v>
      </c>
      <c r="P67" s="242">
        <f>'[2]Turkey Sunflower Exports'!GU$290</f>
        <v>0.96899999999999997</v>
      </c>
      <c r="Q67" s="242">
        <f>'[2]Turkey Sunflower Exports'!HG$290</f>
        <v>1.99</v>
      </c>
      <c r="R67" s="242">
        <f>'[2]Turkey Sunflower Exports'!HS$290</f>
        <v>1.7270000000000001</v>
      </c>
      <c r="S67" s="242">
        <f>'[2]Turkey Sunflower Exports'!IE$290</f>
        <v>2.96</v>
      </c>
      <c r="T67" s="242">
        <f>'[2]Turkey Sunflower Exports'!IQ$290</f>
        <v>3.37</v>
      </c>
      <c r="U67" s="242">
        <f>'[2]Turkey Sunflower Exports'!JC$290</f>
        <v>4.8979999999999997</v>
      </c>
      <c r="V67" s="242">
        <f>'[2]Turkey Sunflower Exports'!JO$290</f>
        <v>5.04</v>
      </c>
      <c r="W67" s="242">
        <f>'[2]Turkey Sunflower Exports'!KA$290</f>
        <v>4.6420000000000003</v>
      </c>
      <c r="X67" s="242">
        <f>'[2]Turkey Sunflower Exports'!KM$290</f>
        <v>5.36</v>
      </c>
      <c r="Y67" s="242">
        <f>'[2]Turkey Sunflower Exports'!KY$290</f>
        <v>6.0460000000000003</v>
      </c>
      <c r="Z67" s="242">
        <f>'[2]Turkey Sunflower Exports'!LK$290</f>
        <v>16.765497</v>
      </c>
      <c r="AA67" s="242">
        <f>'[2]Turkey Sunflower Exports'!LW$290</f>
        <v>8.0232539999999997</v>
      </c>
      <c r="AB67" s="242">
        <f>'[2]Turkey Sunflower Exports'!MI$290</f>
        <v>7.2034039999999999</v>
      </c>
      <c r="AC67" s="242">
        <f>'[2]Turkey Sunflower Exports'!MU$290</f>
        <v>14.999000000000001</v>
      </c>
      <c r="AD67" s="242">
        <f>'[2]Turkey Sunflower Exports'!NG$290</f>
        <v>14.036948000000001</v>
      </c>
      <c r="AE67" s="243">
        <f t="shared" si="46"/>
        <v>15.477501786238619</v>
      </c>
    </row>
    <row r="68" spans="1:31">
      <c r="A68" s="240" t="s">
        <v>232</v>
      </c>
      <c r="B68" s="241">
        <f t="shared" si="45"/>
        <v>0.36245041868664607</v>
      </c>
      <c r="C68" s="241">
        <f t="shared" si="44"/>
        <v>0.40744768320823271</v>
      </c>
      <c r="D68" s="241">
        <f t="shared" si="44"/>
        <v>0.38014220961955697</v>
      </c>
      <c r="E68" s="241">
        <f t="shared" si="44"/>
        <v>0</v>
      </c>
      <c r="F68" s="241">
        <f t="shared" si="44"/>
        <v>0</v>
      </c>
      <c r="G68" s="242">
        <f>'[2]Turkey Sunflower Exports'!CR$290</f>
        <v>0.32900000000000001</v>
      </c>
      <c r="H68" s="242">
        <f>'[2]Turkey Sunflower Exports'!DD$290</f>
        <v>0.61099999999999999</v>
      </c>
      <c r="I68" s="242">
        <f>'[2]Turkey Sunflower Exports'!DP$290</f>
        <v>0.16600000000000001</v>
      </c>
      <c r="J68" s="242">
        <f>'[2]Turkey Sunflower Exports'!EB$290</f>
        <v>0.20200000000000001</v>
      </c>
      <c r="K68" s="242">
        <f>'[2]Turkey Sunflower Exports'!EN$290</f>
        <v>0.36799999999999999</v>
      </c>
      <c r="L68" s="242">
        <f>'[2]Turkey Sunflower Exports'!EZ$290</f>
        <v>1.256</v>
      </c>
      <c r="M68" s="242">
        <f>'[2]Turkey Sunflower Exports'!FL$290</f>
        <v>1.163</v>
      </c>
      <c r="N68" s="242">
        <f>'[2]Turkey Sunflower Exports'!FX$290</f>
        <v>1.927</v>
      </c>
      <c r="O68" s="242">
        <f>'[2]Turkey Sunflower Exports'!GJ$290</f>
        <v>1.454</v>
      </c>
      <c r="P68" s="242">
        <f>'[2]Turkey Sunflower Exports'!GV$290</f>
        <v>1.881</v>
      </c>
      <c r="Q68" s="242">
        <f>'[2]Turkey Sunflower Exports'!HH$290</f>
        <v>2.423</v>
      </c>
      <c r="R68" s="242">
        <f>'[2]Turkey Sunflower Exports'!HT$290</f>
        <v>3.0470000000000002</v>
      </c>
      <c r="S68" s="242">
        <f>'[2]Turkey Sunflower Exports'!IF$290</f>
        <v>3.3159999999999998</v>
      </c>
      <c r="T68" s="242">
        <f>'[2]Turkey Sunflower Exports'!IR$290</f>
        <v>4.2880000000000003</v>
      </c>
      <c r="U68" s="242">
        <f>'[2]Turkey Sunflower Exports'!JD$290</f>
        <v>6.375</v>
      </c>
      <c r="V68" s="242">
        <f>'[2]Turkey Sunflower Exports'!JP$290</f>
        <v>4.915</v>
      </c>
      <c r="W68" s="242">
        <f>'[2]Turkey Sunflower Exports'!KB$290</f>
        <v>3.7730000000000001</v>
      </c>
      <c r="X68" s="242">
        <f>'[2]Turkey Sunflower Exports'!KN$290</f>
        <v>8.3699999999999992</v>
      </c>
      <c r="Y68" s="242">
        <f>'[2]Turkey Sunflower Exports'!KZ$290</f>
        <v>6.5570000000000004</v>
      </c>
      <c r="Z68" s="242">
        <f>'[2]Turkey Sunflower Exports'!LL$290</f>
        <v>15.315435000000001</v>
      </c>
      <c r="AA68" s="242">
        <f>'[2]Turkey Sunflower Exports'!LX$290</f>
        <v>16.994039000000001</v>
      </c>
      <c r="AB68" s="242">
        <f>'[2]Turkey Sunflower Exports'!MJ$290</f>
        <v>7.0257440000000004</v>
      </c>
      <c r="AC68" s="242">
        <f>'[2]Turkey Sunflower Exports'!MV$290</f>
        <v>11.757</v>
      </c>
      <c r="AD68" s="242">
        <f>'[2]Turkey Sunflower Exports'!NH$290</f>
        <v>13.085023</v>
      </c>
      <c r="AE68" s="243">
        <f t="shared" si="46"/>
        <v>16.823411334379827</v>
      </c>
    </row>
    <row r="69" spans="1:31">
      <c r="A69" s="240" t="s">
        <v>233</v>
      </c>
      <c r="B69" s="241">
        <f t="shared" si="45"/>
        <v>0.33101219333039517</v>
      </c>
      <c r="C69" s="241">
        <f t="shared" si="44"/>
        <v>0.32098241519242499</v>
      </c>
      <c r="D69" s="241">
        <f t="shared" si="44"/>
        <v>0.32497690704818372</v>
      </c>
      <c r="E69" s="241">
        <f t="shared" si="44"/>
        <v>0</v>
      </c>
      <c r="F69" s="241">
        <f t="shared" si="44"/>
        <v>0</v>
      </c>
      <c r="G69" s="242">
        <f>'[2]Turkey Sunflower Exports'!CS$290</f>
        <v>0.47699999999999998</v>
      </c>
      <c r="H69" s="242">
        <f>'[2]Turkey Sunflower Exports'!DE$290</f>
        <v>0.16</v>
      </c>
      <c r="I69" s="242">
        <f>'[2]Turkey Sunflower Exports'!DQ$290</f>
        <v>0.153</v>
      </c>
      <c r="J69" s="242">
        <f>'[2]Turkey Sunflower Exports'!EC$290</f>
        <v>4.2999999999999997E-2</v>
      </c>
      <c r="K69" s="242">
        <f>'[2]Turkey Sunflower Exports'!EO$290</f>
        <v>0.55300000000000005</v>
      </c>
      <c r="L69" s="242">
        <f>'[2]Turkey Sunflower Exports'!FA$290</f>
        <v>0.70899999999999996</v>
      </c>
      <c r="M69" s="242">
        <f>'[2]Turkey Sunflower Exports'!FM$290</f>
        <v>1.089</v>
      </c>
      <c r="N69" s="242">
        <f>'[2]Turkey Sunflower Exports'!FY$290</f>
        <v>1.304</v>
      </c>
      <c r="O69" s="242">
        <f>'[2]Turkey Sunflower Exports'!GK$290</f>
        <v>1.978</v>
      </c>
      <c r="P69" s="242">
        <f>'[2]Turkey Sunflower Exports'!GW$290</f>
        <v>0.97099999999999997</v>
      </c>
      <c r="Q69" s="242">
        <f>'[2]Turkey Sunflower Exports'!HI$290</f>
        <v>2.222</v>
      </c>
      <c r="R69" s="242">
        <f>'[2]Turkey Sunflower Exports'!HU$290</f>
        <v>3.1160000000000001</v>
      </c>
      <c r="S69" s="242">
        <f>'[2]Turkey Sunflower Exports'!IG$290</f>
        <v>3.1240000000000001</v>
      </c>
      <c r="T69" s="242">
        <f>'[2]Turkey Sunflower Exports'!IS$290</f>
        <v>5.0389999999999997</v>
      </c>
      <c r="U69" s="242">
        <f>'[2]Turkey Sunflower Exports'!JE$290</f>
        <v>3.8559999999999999</v>
      </c>
      <c r="V69" s="242">
        <f>'[2]Turkey Sunflower Exports'!JQ$290</f>
        <v>5.4980000000000002</v>
      </c>
      <c r="W69" s="242">
        <f>'[2]Turkey Sunflower Exports'!KC$290</f>
        <v>3.7</v>
      </c>
      <c r="X69" s="242">
        <f>'[2]Turkey Sunflower Exports'!KO$290</f>
        <v>6.6319999999999997</v>
      </c>
      <c r="Y69" s="242">
        <f>'[2]Turkey Sunflower Exports'!LA$290</f>
        <v>5.2210000000000001</v>
      </c>
      <c r="Z69" s="242">
        <f>'[2]Turkey Sunflower Exports'!LM$290</f>
        <v>9.2429140000000007</v>
      </c>
      <c r="AA69" s="242">
        <f>'[2]Turkey Sunflower Exports'!LY$290</f>
        <v>4.1809890000000003</v>
      </c>
      <c r="AB69" s="242">
        <f>'[2]Turkey Sunflower Exports'!MK$290</f>
        <v>6.6843909999999997</v>
      </c>
      <c r="AC69" s="242">
        <f>'[2]Turkey Sunflower Exports'!MW$290</f>
        <v>8.4749999999999996</v>
      </c>
      <c r="AD69" s="242">
        <f>'[2]Turkey Sunflower Exports'!NI$290</f>
        <v>8.2335560000000001</v>
      </c>
      <c r="AE69" s="243">
        <f t="shared" si="46"/>
        <v>9.8648960482049883</v>
      </c>
    </row>
    <row r="70" spans="1:31">
      <c r="A70" s="240" t="s">
        <v>234</v>
      </c>
      <c r="B70" s="241">
        <f t="shared" si="45"/>
        <v>9.9015719112678119E-2</v>
      </c>
      <c r="C70" s="241">
        <f t="shared" si="44"/>
        <v>9.2936901572819142E-2</v>
      </c>
      <c r="D70" s="241">
        <f t="shared" si="44"/>
        <v>0.138901419948014</v>
      </c>
      <c r="E70" s="241">
        <f t="shared" si="44"/>
        <v>0</v>
      </c>
      <c r="F70" s="241">
        <f t="shared" si="44"/>
        <v>0</v>
      </c>
      <c r="G70" s="242">
        <f>'[2]Turkey Sunflower Exports'!CT$290</f>
        <v>0.04</v>
      </c>
      <c r="H70" s="242">
        <f>'[2]Turkey Sunflower Exports'!DF$290</f>
        <v>8.5000000000000006E-2</v>
      </c>
      <c r="I70" s="242">
        <f>'[2]Turkey Sunflower Exports'!DR$290</f>
        <v>4.2000000000000003E-2</v>
      </c>
      <c r="J70" s="242">
        <f>'[2]Turkey Sunflower Exports'!ED$290</f>
        <v>0.107</v>
      </c>
      <c r="K70" s="242">
        <f>'[2]Turkey Sunflower Exports'!EP$290</f>
        <v>0.13800000000000001</v>
      </c>
      <c r="L70" s="242">
        <f>'[2]Turkey Sunflower Exports'!FB$290</f>
        <v>3.6999999999999998E-2</v>
      </c>
      <c r="M70" s="242">
        <f>'[2]Turkey Sunflower Exports'!FN$290</f>
        <v>0.38600000000000001</v>
      </c>
      <c r="N70" s="242">
        <f>'[2]Turkey Sunflower Exports'!FZ$290</f>
        <v>0.45300000000000001</v>
      </c>
      <c r="O70" s="242">
        <f>'[2]Turkey Sunflower Exports'!GL$290</f>
        <v>0.67100000000000004</v>
      </c>
      <c r="P70" s="242">
        <f>'[2]Turkey Sunflower Exports'!GX$290</f>
        <v>0.20499999999999999</v>
      </c>
      <c r="Q70" s="242">
        <f>'[2]Turkey Sunflower Exports'!HJ$290</f>
        <v>1.518</v>
      </c>
      <c r="R70" s="242">
        <f>'[2]Turkey Sunflower Exports'!HV$290</f>
        <v>1</v>
      </c>
      <c r="S70" s="242">
        <f>'[2]Turkey Sunflower Exports'!IH$290</f>
        <v>2.9049999999999998</v>
      </c>
      <c r="T70" s="242">
        <f>'[2]Turkey Sunflower Exports'!IT$290</f>
        <v>3.375</v>
      </c>
      <c r="U70" s="242">
        <f>'[2]Turkey Sunflower Exports'!JF$290</f>
        <v>1.6539999999999999</v>
      </c>
      <c r="V70" s="242">
        <f>'[2]Turkey Sunflower Exports'!JR$290</f>
        <v>2.0659999999999998</v>
      </c>
      <c r="W70" s="242">
        <f>'[2]Turkey Sunflower Exports'!KD$290</f>
        <v>1.3819999999999999</v>
      </c>
      <c r="X70" s="242">
        <f>'[2]Turkey Sunflower Exports'!KP$290</f>
        <v>3.3889999999999998</v>
      </c>
      <c r="Y70" s="242">
        <f>'[2]Turkey Sunflower Exports'!LB$290</f>
        <v>3.8260000000000001</v>
      </c>
      <c r="Z70" s="242">
        <f>'[2]Turkey Sunflower Exports'!LN$290</f>
        <v>7.8544739999999997</v>
      </c>
      <c r="AA70" s="242">
        <f>'[2]Turkey Sunflower Exports'!LZ$290</f>
        <v>4.7746079999999997</v>
      </c>
      <c r="AB70" s="242">
        <f>'[2]Turkey Sunflower Exports'!ML$290</f>
        <v>10.068046000000001</v>
      </c>
      <c r="AC70" s="242">
        <f>'[2]Turkey Sunflower Exports'!MX$290</f>
        <v>8.3140000000000001</v>
      </c>
      <c r="AD70" s="243">
        <f t="shared" ref="AD70:AD73" si="47">(SUM(X70:AB70)/SUM(X$76:AB$76))*AD$76</f>
        <v>8.6627754714610816</v>
      </c>
      <c r="AE70" s="243">
        <f t="shared" si="46"/>
        <v>10.166301545537717</v>
      </c>
    </row>
    <row r="71" spans="1:31">
      <c r="A71" s="240" t="s">
        <v>46</v>
      </c>
      <c r="B71" s="241">
        <f t="shared" si="45"/>
        <v>9.3903334802409269E-2</v>
      </c>
      <c r="C71" s="241">
        <f t="shared" si="44"/>
        <v>9.7021457178473866E-2</v>
      </c>
      <c r="D71" s="241">
        <f t="shared" si="44"/>
        <v>0.11363880475177762</v>
      </c>
      <c r="E71" s="241">
        <f t="shared" si="44"/>
        <v>0</v>
      </c>
      <c r="F71" s="241">
        <f t="shared" si="44"/>
        <v>0</v>
      </c>
      <c r="G71" s="242">
        <f>'[2]Turkey Sunflower Exports'!CU$290</f>
        <v>1.4E-2</v>
      </c>
      <c r="H71" s="242">
        <f>'[2]Turkey Sunflower Exports'!DG$290</f>
        <v>6.0000000000000001E-3</v>
      </c>
      <c r="I71" s="242">
        <f>'[2]Turkey Sunflower Exports'!DS$290</f>
        <v>6.5000000000000002E-2</v>
      </c>
      <c r="J71" s="242">
        <f>'[2]Turkey Sunflower Exports'!EE$290</f>
        <v>0.106</v>
      </c>
      <c r="K71" s="242">
        <f>'[2]Turkey Sunflower Exports'!EQ$290</f>
        <v>7.0999999999999994E-2</v>
      </c>
      <c r="L71" s="242">
        <f>'[2]Turkey Sunflower Exports'!FC$290</f>
        <v>0.158</v>
      </c>
      <c r="M71" s="242">
        <f>'[2]Turkey Sunflower Exports'!FO$290</f>
        <v>0.21</v>
      </c>
      <c r="N71" s="242">
        <f>'[2]Turkey Sunflower Exports'!GA$290</f>
        <v>0.434</v>
      </c>
      <c r="O71" s="242">
        <f>'[2]Turkey Sunflower Exports'!GM$290</f>
        <v>0.72499999999999998</v>
      </c>
      <c r="P71" s="242">
        <f>'[2]Turkey Sunflower Exports'!GY$290</f>
        <v>0.30199999999999999</v>
      </c>
      <c r="Q71" s="242">
        <f>'[2]Turkey Sunflower Exports'!HK$290</f>
        <v>0.97399999999999998</v>
      </c>
      <c r="R71" s="242">
        <f>'[2]Turkey Sunflower Exports'!HW$290</f>
        <v>1.405</v>
      </c>
      <c r="S71" s="242">
        <f>'[2]Turkey Sunflower Exports'!II$290</f>
        <v>2.41</v>
      </c>
      <c r="T71" s="242">
        <f>'[2]Turkey Sunflower Exports'!IU$290</f>
        <v>3.41</v>
      </c>
      <c r="U71" s="242">
        <f>'[2]Turkey Sunflower Exports'!JG$290</f>
        <v>2.081</v>
      </c>
      <c r="V71" s="242">
        <f>'[2]Turkey Sunflower Exports'!JS$290</f>
        <v>2.5230000000000001</v>
      </c>
      <c r="W71" s="242">
        <f>'[2]Turkey Sunflower Exports'!KE$290</f>
        <v>1.605</v>
      </c>
      <c r="X71" s="242">
        <f>'[2]Turkey Sunflower Exports'!KQ$290</f>
        <v>1.675</v>
      </c>
      <c r="Y71" s="242">
        <f>'[2]Turkey Sunflower Exports'!LC$290</f>
        <v>2.4420000000000002</v>
      </c>
      <c r="Z71" s="242">
        <f>'[2]Turkey Sunflower Exports'!LO$290</f>
        <v>12.527191</v>
      </c>
      <c r="AA71" s="242">
        <f>'[2]Turkey Sunflower Exports'!MA$290</f>
        <v>18.278690999999998</v>
      </c>
      <c r="AB71" s="242">
        <f>'[2]Turkey Sunflower Exports'!MM$290</f>
        <v>7.5939990000000002</v>
      </c>
      <c r="AC71" s="242">
        <f>'[2]Turkey Sunflower Exports'!MY$290</f>
        <v>4.9269999999999996</v>
      </c>
      <c r="AD71" s="243">
        <f t="shared" si="47"/>
        <v>12.3132059962377</v>
      </c>
      <c r="AE71" s="243">
        <f t="shared" si="46"/>
        <v>13.356446767019138</v>
      </c>
    </row>
    <row r="72" spans="1:31">
      <c r="A72" s="240" t="s">
        <v>235</v>
      </c>
      <c r="B72" s="241">
        <f t="shared" si="45"/>
        <v>9.055384163361245E-2</v>
      </c>
      <c r="C72" s="241">
        <f t="shared" si="44"/>
        <v>0.10847943134498579</v>
      </c>
      <c r="D72" s="241">
        <f t="shared" si="44"/>
        <v>0.10100749715365942</v>
      </c>
      <c r="E72" s="241">
        <f t="shared" si="44"/>
        <v>0</v>
      </c>
      <c r="F72" s="241">
        <f t="shared" si="44"/>
        <v>0</v>
      </c>
      <c r="G72" s="242">
        <f>'[2]Turkey Sunflower Exports'!CV$290</f>
        <v>1.6E-2</v>
      </c>
      <c r="H72" s="242">
        <f>'[2]Turkey Sunflower Exports'!DH$290</f>
        <v>8.3000000000000004E-2</v>
      </c>
      <c r="I72" s="242">
        <f>'[2]Turkey Sunflower Exports'!DT$290</f>
        <v>5.0999999999999997E-2</v>
      </c>
      <c r="J72" s="242">
        <f>'[2]Turkey Sunflower Exports'!EF$290</f>
        <v>0.113</v>
      </c>
      <c r="K72" s="242">
        <f>'[2]Turkey Sunflower Exports'!ER$290</f>
        <v>0.10299999999999999</v>
      </c>
      <c r="L72" s="242">
        <f>'[2]Turkey Sunflower Exports'!FD$290</f>
        <v>3.4000000000000002E-2</v>
      </c>
      <c r="M72" s="242">
        <f>'[2]Turkey Sunflower Exports'!FP$290</f>
        <v>0.33600000000000002</v>
      </c>
      <c r="N72" s="242">
        <f>'[2]Turkey Sunflower Exports'!GB$290</f>
        <v>0.41399999999999998</v>
      </c>
      <c r="O72" s="242">
        <f>'[2]Turkey Sunflower Exports'!GN$290</f>
        <v>0.65400000000000003</v>
      </c>
      <c r="P72" s="242">
        <f>'[2]Turkey Sunflower Exports'!GZ$290</f>
        <v>0.60699999999999998</v>
      </c>
      <c r="Q72" s="242">
        <f>'[2]Turkey Sunflower Exports'!HL$290</f>
        <v>0.34</v>
      </c>
      <c r="R72" s="242">
        <f>'[2]Turkey Sunflower Exports'!HX$290</f>
        <v>2.0129999999999999</v>
      </c>
      <c r="S72" s="242">
        <f>'[2]Turkey Sunflower Exports'!IJ$290</f>
        <v>1.764</v>
      </c>
      <c r="T72" s="242">
        <f>'[2]Turkey Sunflower Exports'!IV$290</f>
        <v>2.327</v>
      </c>
      <c r="U72" s="242">
        <f>'[2]Turkey Sunflower Exports'!JH$290</f>
        <v>1.486</v>
      </c>
      <c r="V72" s="242">
        <f>'[2]Turkey Sunflower Exports'!JT$290</f>
        <v>1.361</v>
      </c>
      <c r="W72" s="242">
        <f>'[2]Turkey Sunflower Exports'!KF$290</f>
        <v>1.6439999999999999</v>
      </c>
      <c r="X72" s="242">
        <f>'[2]Turkey Sunflower Exports'!KR$290</f>
        <v>1.85</v>
      </c>
      <c r="Y72" s="242">
        <f>'[2]Turkey Sunflower Exports'!LD$290</f>
        <v>1.6870000000000001</v>
      </c>
      <c r="Z72" s="242">
        <f>'[2]Turkey Sunflower Exports'!LP$290</f>
        <v>2.6385200000000002</v>
      </c>
      <c r="AA72" s="242">
        <f>'[2]Turkey Sunflower Exports'!MB$290</f>
        <v>3.0343490000000002</v>
      </c>
      <c r="AB72" s="242">
        <f>'[2]Turkey Sunflower Exports'!MN$290</f>
        <v>6.8980680000000003</v>
      </c>
      <c r="AC72" s="242">
        <f>'[2]Turkey Sunflower Exports'!MZ$290</f>
        <v>4.5679999999999996</v>
      </c>
      <c r="AD72" s="243">
        <f t="shared" si="47"/>
        <v>4.6649787517437868</v>
      </c>
      <c r="AE72" s="243">
        <f t="shared" si="46"/>
        <v>5.4938556478965683</v>
      </c>
    </row>
    <row r="73" spans="1:31">
      <c r="A73" s="240" t="s">
        <v>236</v>
      </c>
      <c r="B73" s="241">
        <f t="shared" si="45"/>
        <v>0.10089613633024827</v>
      </c>
      <c r="C73" s="241">
        <f t="shared" si="44"/>
        <v>9.2989947749515939E-2</v>
      </c>
      <c r="D73" s="241">
        <f t="shared" si="44"/>
        <v>0.10629202380185172</v>
      </c>
      <c r="E73" s="241">
        <f t="shared" si="44"/>
        <v>0</v>
      </c>
      <c r="F73" s="241">
        <f t="shared" si="44"/>
        <v>0</v>
      </c>
      <c r="G73" s="242">
        <f>'[2]Turkey Sunflower Exports'!CW$290</f>
        <v>4.0000000000000001E-3</v>
      </c>
      <c r="H73" s="242">
        <f>'[2]Turkey Sunflower Exports'!DI$290</f>
        <v>1E-3</v>
      </c>
      <c r="I73" s="242">
        <f>'[2]Turkey Sunflower Exports'!DU$290</f>
        <v>0.13400000000000001</v>
      </c>
      <c r="J73" s="242">
        <f>'[2]Turkey Sunflower Exports'!EG$290</f>
        <v>0.02</v>
      </c>
      <c r="K73" s="242">
        <f>'[2]Turkey Sunflower Exports'!ES$290</f>
        <v>0.127</v>
      </c>
      <c r="L73" s="242">
        <f>'[2]Turkey Sunflower Exports'!FE$290</f>
        <v>4.8000000000000001E-2</v>
      </c>
      <c r="M73" s="242">
        <f>'[2]Turkey Sunflower Exports'!FQ$290</f>
        <v>0.65700000000000003</v>
      </c>
      <c r="N73" s="242">
        <f>'[2]Turkey Sunflower Exports'!GC$290</f>
        <v>0.38400000000000001</v>
      </c>
      <c r="O73" s="242">
        <f>'[2]Turkey Sunflower Exports'!GO$290</f>
        <v>0.501</v>
      </c>
      <c r="P73" s="242">
        <f>'[2]Turkey Sunflower Exports'!HA$290</f>
        <v>0.16300000000000001</v>
      </c>
      <c r="Q73" s="242">
        <f>'[2]Turkey Sunflower Exports'!HM$290</f>
        <v>0.76900000000000002</v>
      </c>
      <c r="R73" s="242">
        <f>'[2]Turkey Sunflower Exports'!HY$290</f>
        <v>1.621</v>
      </c>
      <c r="S73" s="242">
        <f>'[2]Turkey Sunflower Exports'!IK$290</f>
        <v>1.49</v>
      </c>
      <c r="T73" s="242">
        <f>'[2]Turkey Sunflower Exports'!IW$290</f>
        <v>1.871</v>
      </c>
      <c r="U73" s="242">
        <f>'[2]Turkey Sunflower Exports'!JI$290</f>
        <v>1.351</v>
      </c>
      <c r="V73" s="242">
        <f>'[2]Turkey Sunflower Exports'!JU$290</f>
        <v>0.98399999999999999</v>
      </c>
      <c r="W73" s="242">
        <f>'[2]Turkey Sunflower Exports'!KG$290</f>
        <v>0.77800000000000002</v>
      </c>
      <c r="X73" s="242">
        <f>'[2]Turkey Sunflower Exports'!KS$290</f>
        <v>0.82099999999999995</v>
      </c>
      <c r="Y73" s="242">
        <f>'[2]Turkey Sunflower Exports'!LE$290</f>
        <v>1.6419999999999999</v>
      </c>
      <c r="Z73" s="242">
        <f>'[2]Turkey Sunflower Exports'!LQ$290</f>
        <v>4.7686580000000003</v>
      </c>
      <c r="AA73" s="242">
        <f>'[2]Turkey Sunflower Exports'!MC$290</f>
        <v>2.7426189999999999</v>
      </c>
      <c r="AB73" s="242">
        <f>'[2]Turkey Sunflower Exports'!MO$290</f>
        <v>2.668596</v>
      </c>
      <c r="AC73" s="242">
        <f>'[2]Turkey Sunflower Exports'!NA$290</f>
        <v>7.5590000000000002</v>
      </c>
      <c r="AD73" s="243">
        <f t="shared" si="47"/>
        <v>3.6614703612259745</v>
      </c>
      <c r="AE73" s="243">
        <f t="shared" si="46"/>
        <v>5.6557991558250782</v>
      </c>
    </row>
    <row r="74" spans="1:31">
      <c r="A74" s="240" t="s">
        <v>237</v>
      </c>
      <c r="B74" s="241">
        <f t="shared" si="45"/>
        <v>8.126928162185984E-2</v>
      </c>
      <c r="C74" s="241">
        <f t="shared" si="44"/>
        <v>7.405246266875315E-2</v>
      </c>
      <c r="D74" s="241">
        <f t="shared" si="44"/>
        <v>7.9869390560890208E-2</v>
      </c>
      <c r="E74" s="241">
        <f t="shared" si="44"/>
        <v>0</v>
      </c>
      <c r="F74" s="241">
        <f t="shared" si="44"/>
        <v>0</v>
      </c>
      <c r="G74" s="242">
        <f>'[2]Turkey Sunflower Exports'!CX$290</f>
        <v>2E-3</v>
      </c>
      <c r="H74" s="242">
        <f>'[2]Turkey Sunflower Exports'!DJ$290</f>
        <v>4.2000000000000003E-2</v>
      </c>
      <c r="I74" s="242">
        <f>'[2]Turkey Sunflower Exports'!DV$290</f>
        <v>8.9999999999999993E-3</v>
      </c>
      <c r="J74" s="242">
        <f>'[2]Turkey Sunflower Exports'!EH$290</f>
        <v>1.7000000000000001E-2</v>
      </c>
      <c r="K74" s="242">
        <f>'[2]Turkey Sunflower Exports'!ET$290</f>
        <v>0.10299999999999999</v>
      </c>
      <c r="L74" s="242">
        <f>'[2]Turkey Sunflower Exports'!FF$290</f>
        <v>1.4999999999999999E-2</v>
      </c>
      <c r="M74" s="242">
        <f>'[2]Turkey Sunflower Exports'!FR$290</f>
        <v>0.48699999999999999</v>
      </c>
      <c r="N74" s="242">
        <f>'[2]Turkey Sunflower Exports'!GD$290</f>
        <v>0.26100000000000001</v>
      </c>
      <c r="O74" s="242">
        <f>'[2]Turkey Sunflower Exports'!GP$290</f>
        <v>0.51700000000000002</v>
      </c>
      <c r="P74" s="242">
        <f>'[2]Turkey Sunflower Exports'!HB$290</f>
        <v>0.11600000000000001</v>
      </c>
      <c r="Q74" s="242">
        <f>'[2]Turkey Sunflower Exports'!HN$290</f>
        <v>0.47799999999999998</v>
      </c>
      <c r="R74" s="242">
        <f>'[2]Turkey Sunflower Exports'!HZ$290</f>
        <v>1.004</v>
      </c>
      <c r="S74" s="242">
        <f>'[2]Turkey Sunflower Exports'!IL$290</f>
        <v>0.93100000000000005</v>
      </c>
      <c r="T74" s="242">
        <f>'[2]Turkey Sunflower Exports'!IX$290</f>
        <v>1.252</v>
      </c>
      <c r="U74" s="242">
        <f>'[2]Turkey Sunflower Exports'!JJ$290</f>
        <v>1.41</v>
      </c>
      <c r="V74" s="242">
        <f>'[2]Turkey Sunflower Exports'!JV$290</f>
        <v>1.121</v>
      </c>
      <c r="W74" s="242">
        <f>'[2]Turkey Sunflower Exports'!KH$290</f>
        <v>0.95599999999999996</v>
      </c>
      <c r="X74" s="242">
        <f>'[2]Turkey Sunflower Exports'!KT$290</f>
        <v>1.9119999999999999</v>
      </c>
      <c r="Y74" s="242">
        <f>'[2]Turkey Sunflower Exports'!LF$290</f>
        <v>3.0063559999999998</v>
      </c>
      <c r="Z74" s="242">
        <f>'[2]Turkey Sunflower Exports'!LR$290</f>
        <v>8.0863499999999995</v>
      </c>
      <c r="AA74" s="242">
        <f>'[2]Turkey Sunflower Exports'!MD$290</f>
        <v>14.492274</v>
      </c>
      <c r="AB74" s="242">
        <f>'[2]Turkey Sunflower Exports'!MP$290</f>
        <v>7.6304309999999997</v>
      </c>
      <c r="AC74" s="242">
        <f>'[2]Turkey Sunflower Exports'!NB$290</f>
        <v>3.0579999999999998</v>
      </c>
      <c r="AD74" s="243">
        <f>(SUM(X74:AB74)/SUM(X$76:AB$76))*AD$76-5</f>
        <v>5.1731603444172265</v>
      </c>
      <c r="AE74" s="243">
        <f t="shared" si="46"/>
        <v>10.585443045454976</v>
      </c>
    </row>
    <row r="75" spans="1:31">
      <c r="A75" s="240" t="s">
        <v>238</v>
      </c>
      <c r="B75" s="241">
        <f t="shared" si="45"/>
        <v>0.13039518143087997</v>
      </c>
      <c r="C75" s="241">
        <f t="shared" si="44"/>
        <v>0.11335967960109274</v>
      </c>
      <c r="D75" s="241">
        <f t="shared" si="44"/>
        <v>0.10826835084101308</v>
      </c>
      <c r="E75" s="241">
        <f t="shared" si="44"/>
        <v>0</v>
      </c>
      <c r="F75" s="241">
        <f t="shared" si="44"/>
        <v>0</v>
      </c>
      <c r="G75" s="242">
        <f>'[2]Turkey Sunflower Exports'!CY$290</f>
        <v>3.5999999999999997E-2</v>
      </c>
      <c r="H75" s="242">
        <f>'[2]Turkey Sunflower Exports'!DK$290</f>
        <v>6.7000000000000004E-2</v>
      </c>
      <c r="I75" s="242">
        <f>'[2]Turkey Sunflower Exports'!DW$290</f>
        <v>0.13900000000000001</v>
      </c>
      <c r="J75" s="242">
        <f>'[2]Turkey Sunflower Exports'!EI$290</f>
        <v>5.0999999999999997E-2</v>
      </c>
      <c r="K75" s="242">
        <f>'[2]Turkey Sunflower Exports'!EU$290</f>
        <v>0.28399999999999997</v>
      </c>
      <c r="L75" s="242">
        <f>'[2]Turkey Sunflower Exports'!FG$290</f>
        <v>0.36799999999999999</v>
      </c>
      <c r="M75" s="242">
        <f>'[2]Turkey Sunflower Exports'!FS$290</f>
        <v>0.56100000000000005</v>
      </c>
      <c r="N75" s="242">
        <f>'[2]Turkey Sunflower Exports'!GE$290</f>
        <v>0.43099999999999999</v>
      </c>
      <c r="O75" s="242">
        <f>'[2]Turkey Sunflower Exports'!GQ$290</f>
        <v>0.57499999999999996</v>
      </c>
      <c r="P75" s="242">
        <f>'[2]Turkey Sunflower Exports'!HC$290</f>
        <v>0.20200000000000001</v>
      </c>
      <c r="Q75" s="242">
        <f>'[2]Turkey Sunflower Exports'!HO$290</f>
        <v>0.751</v>
      </c>
      <c r="R75" s="242">
        <f>'[2]Turkey Sunflower Exports'!IA$290</f>
        <v>0.96199999999999997</v>
      </c>
      <c r="S75" s="242">
        <f>'[2]Turkey Sunflower Exports'!IM$290</f>
        <v>1.2769999999999999</v>
      </c>
      <c r="T75" s="242">
        <f>'[2]Turkey Sunflower Exports'!IY$290</f>
        <v>1.772</v>
      </c>
      <c r="U75" s="242">
        <f>'[2]Turkey Sunflower Exports'!JK$290</f>
        <v>2.4129999999999998</v>
      </c>
      <c r="V75" s="242">
        <f>'[2]Turkey Sunflower Exports'!JW$290</f>
        <v>2.6949999999999998</v>
      </c>
      <c r="W75" s="242">
        <f>'[2]Turkey Sunflower Exports'!KI$290</f>
        <v>2.1389999999999998</v>
      </c>
      <c r="X75" s="242">
        <f>'[2]Turkey Sunflower Exports'!KU$290</f>
        <v>2.2730000000000001</v>
      </c>
      <c r="Y75" s="242">
        <f>'[2]Turkey Sunflower Exports'!LG$290</f>
        <v>7.254003</v>
      </c>
      <c r="Z75" s="242">
        <f>'[2]Turkey Sunflower Exports'!LS$290</f>
        <v>4.6464730000000003</v>
      </c>
      <c r="AA75" s="242">
        <f>'[2]Turkey Sunflower Exports'!ME$290</f>
        <v>4.4542989999999998</v>
      </c>
      <c r="AB75" s="242">
        <f>'[2]Turkey Sunflower Exports'!MQ$290</f>
        <v>6.7483969999999998</v>
      </c>
      <c r="AC75" s="242">
        <f>'[2]Turkey Sunflower Exports'!NC$290</f>
        <v>5.9009999999999998</v>
      </c>
      <c r="AD75" s="243">
        <f t="shared" ref="AD75" si="48">AD76-SUM(AD64:AD74)</f>
        <v>11.339882074914215</v>
      </c>
      <c r="AE75" s="243">
        <f t="shared" ref="AE75" si="49">AE76-SUM(AE64:AE74)</f>
        <v>1.7220519848886227</v>
      </c>
    </row>
    <row r="76" spans="1:31" ht="15.75" thickBot="1">
      <c r="A76" s="240" t="s">
        <v>242</v>
      </c>
      <c r="B76" s="245">
        <f t="shared" ref="B76:F76" si="50">B13</f>
        <v>2</v>
      </c>
      <c r="C76" s="245">
        <f t="shared" si="50"/>
        <v>2</v>
      </c>
      <c r="D76" s="245">
        <f t="shared" si="50"/>
        <v>2</v>
      </c>
      <c r="E76" s="245">
        <f t="shared" si="50"/>
        <v>0</v>
      </c>
      <c r="F76" s="245">
        <f t="shared" si="50"/>
        <v>0</v>
      </c>
      <c r="G76" s="245">
        <f t="shared" ref="G76:AB76" si="51">SUM(G64:G74)</f>
        <v>1.028</v>
      </c>
      <c r="H76" s="245">
        <f t="shared" si="51"/>
        <v>3.2709999999999999</v>
      </c>
      <c r="I76" s="245">
        <f t="shared" si="51"/>
        <v>1.7629999999999999</v>
      </c>
      <c r="J76" s="245">
        <f t="shared" si="51"/>
        <v>2.137</v>
      </c>
      <c r="K76" s="245">
        <f t="shared" si="51"/>
        <v>3.2590000000000008</v>
      </c>
      <c r="L76" s="245">
        <f t="shared" si="51"/>
        <v>4.2750000000000004</v>
      </c>
      <c r="M76" s="245">
        <f t="shared" si="51"/>
        <v>6.2590000000000003</v>
      </c>
      <c r="N76" s="245">
        <f t="shared" si="51"/>
        <v>8.8120000000000012</v>
      </c>
      <c r="O76" s="245">
        <f t="shared" si="51"/>
        <v>11.429999999999998</v>
      </c>
      <c r="P76" s="245">
        <f t="shared" si="51"/>
        <v>6.9269999999999996</v>
      </c>
      <c r="Q76" s="245">
        <f t="shared" si="51"/>
        <v>13.123000000000001</v>
      </c>
      <c r="R76" s="245">
        <f t="shared" si="51"/>
        <v>19.658000000000001</v>
      </c>
      <c r="S76" s="245">
        <f t="shared" si="51"/>
        <v>24.621999999999996</v>
      </c>
      <c r="T76" s="245">
        <f t="shared" si="51"/>
        <v>37.107000000000006</v>
      </c>
      <c r="U76" s="245">
        <f t="shared" si="51"/>
        <v>36.553999999999988</v>
      </c>
      <c r="V76" s="245">
        <f t="shared" si="51"/>
        <v>30.295999999999996</v>
      </c>
      <c r="W76" s="245">
        <f t="shared" si="51"/>
        <v>25.627999999999997</v>
      </c>
      <c r="X76" s="245">
        <f t="shared" si="51"/>
        <v>40.007999999999996</v>
      </c>
      <c r="Y76" s="245">
        <f t="shared" si="51"/>
        <v>45.641355999999995</v>
      </c>
      <c r="Z76" s="245">
        <f t="shared" si="51"/>
        <v>140.328329</v>
      </c>
      <c r="AA76" s="245">
        <f t="shared" si="51"/>
        <v>111.41694200000001</v>
      </c>
      <c r="AB76" s="245">
        <f t="shared" si="51"/>
        <v>94.224085999999986</v>
      </c>
      <c r="AC76" s="245">
        <f>SUM(AC64:AC75)</f>
        <v>122.39815999999998</v>
      </c>
      <c r="AD76" s="247">
        <f t="shared" ref="AD76:AE76" si="52">AD13</f>
        <v>125</v>
      </c>
      <c r="AE76" s="247">
        <f t="shared" si="52"/>
        <v>150</v>
      </c>
    </row>
    <row r="77" spans="1:31">
      <c r="A77" s="248"/>
      <c r="B77" s="248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</row>
    <row r="78" spans="1:31" ht="15.75" thickBot="1">
      <c r="A78" s="235" t="s">
        <v>244</v>
      </c>
    </row>
    <row r="79" spans="1:31" ht="15.75" thickBot="1">
      <c r="A79" s="236"/>
      <c r="B79" s="237" t="str">
        <f>B$2</f>
        <v xml:space="preserve">93/94 </v>
      </c>
      <c r="C79" s="237" t="str">
        <f t="shared" ref="C79:AE79" si="53">C$2</f>
        <v xml:space="preserve">94/95 </v>
      </c>
      <c r="D79" s="237" t="str">
        <f t="shared" si="53"/>
        <v xml:space="preserve">95/96 </v>
      </c>
      <c r="E79" s="237" t="str">
        <f t="shared" si="53"/>
        <v xml:space="preserve">96/97 </v>
      </c>
      <c r="F79" s="237" t="str">
        <f t="shared" si="53"/>
        <v xml:space="preserve">97/98 </v>
      </c>
      <c r="G79" s="237" t="str">
        <f t="shared" si="53"/>
        <v xml:space="preserve">98/99 </v>
      </c>
      <c r="H79" s="237" t="str">
        <f t="shared" si="53"/>
        <v xml:space="preserve">99/00 </v>
      </c>
      <c r="I79" s="237" t="str">
        <f t="shared" si="53"/>
        <v xml:space="preserve">00/01 </v>
      </c>
      <c r="J79" s="237" t="str">
        <f t="shared" si="53"/>
        <v xml:space="preserve">01/02 </v>
      </c>
      <c r="K79" s="237" t="str">
        <f t="shared" si="53"/>
        <v xml:space="preserve">02/03 </v>
      </c>
      <c r="L79" s="237" t="str">
        <f t="shared" si="53"/>
        <v xml:space="preserve">03/04 </v>
      </c>
      <c r="M79" s="237" t="str">
        <f t="shared" si="53"/>
        <v xml:space="preserve">04/05 </v>
      </c>
      <c r="N79" s="237" t="str">
        <f t="shared" si="53"/>
        <v xml:space="preserve">05/06 </v>
      </c>
      <c r="O79" s="237" t="str">
        <f t="shared" si="53"/>
        <v xml:space="preserve">06/07 </v>
      </c>
      <c r="P79" s="237" t="str">
        <f t="shared" si="53"/>
        <v xml:space="preserve">07/08 </v>
      </c>
      <c r="Q79" s="237" t="str">
        <f t="shared" si="53"/>
        <v xml:space="preserve">08/09 </v>
      </c>
      <c r="R79" s="237" t="str">
        <f t="shared" si="53"/>
        <v xml:space="preserve">09/10 </v>
      </c>
      <c r="S79" s="237" t="str">
        <f t="shared" si="53"/>
        <v xml:space="preserve">10/11 </v>
      </c>
      <c r="T79" s="237" t="str">
        <f t="shared" si="53"/>
        <v xml:space="preserve">11/12 </v>
      </c>
      <c r="U79" s="237" t="str">
        <f t="shared" si="53"/>
        <v xml:space="preserve">12/13 </v>
      </c>
      <c r="V79" s="237" t="str">
        <f t="shared" si="53"/>
        <v xml:space="preserve">13/14 </v>
      </c>
      <c r="W79" s="237" t="str">
        <f t="shared" si="53"/>
        <v xml:space="preserve">14/15 </v>
      </c>
      <c r="X79" s="237" t="str">
        <f t="shared" si="53"/>
        <v xml:space="preserve">15/16 </v>
      </c>
      <c r="Y79" s="237" t="str">
        <f t="shared" si="53"/>
        <v xml:space="preserve">16/17 </v>
      </c>
      <c r="Z79" s="237" t="str">
        <f t="shared" si="53"/>
        <v xml:space="preserve">17/18 </v>
      </c>
      <c r="AA79" s="237" t="str">
        <f t="shared" si="53"/>
        <v xml:space="preserve">18/19 </v>
      </c>
      <c r="AB79" s="237" t="str">
        <f t="shared" si="53"/>
        <v xml:space="preserve">19/20 </v>
      </c>
      <c r="AC79" s="237" t="str">
        <f t="shared" si="53"/>
        <v xml:space="preserve">20/21 </v>
      </c>
      <c r="AD79" s="237" t="str">
        <f t="shared" si="53"/>
        <v xml:space="preserve">21/22 </v>
      </c>
      <c r="AE79" s="237" t="str">
        <f t="shared" si="53"/>
        <v xml:space="preserve">22/23 </v>
      </c>
    </row>
    <row r="80" spans="1:31">
      <c r="A80" s="240" t="s">
        <v>239</v>
      </c>
      <c r="B80" s="290">
        <f t="shared" ref="B80:AC89" si="54">B207/B$235</f>
        <v>77.90963056466687</v>
      </c>
      <c r="C80" s="290">
        <f t="shared" si="54"/>
        <v>106.47958227435177</v>
      </c>
      <c r="D80" s="290">
        <f t="shared" si="54"/>
        <v>111.3006350235629</v>
      </c>
      <c r="E80" s="290">
        <f t="shared" si="54"/>
        <v>102.77143764094514</v>
      </c>
      <c r="F80" s="290">
        <f t="shared" si="54"/>
        <v>117.081714737116</v>
      </c>
      <c r="G80" s="290">
        <f t="shared" si="54"/>
        <v>133.45318916636705</v>
      </c>
      <c r="H80" s="290">
        <f t="shared" si="54"/>
        <v>88.134780769230787</v>
      </c>
      <c r="I80" s="290">
        <f t="shared" si="54"/>
        <v>70.765397335475654</v>
      </c>
      <c r="J80" s="290">
        <f t="shared" si="54"/>
        <v>77.083273809523803</v>
      </c>
      <c r="K80" s="290">
        <f t="shared" si="54"/>
        <v>91.97298747763864</v>
      </c>
      <c r="L80" s="290">
        <f t="shared" si="54"/>
        <v>116.77482490842489</v>
      </c>
      <c r="M80" s="290">
        <f t="shared" si="54"/>
        <v>111.02920702754037</v>
      </c>
      <c r="N80" s="290">
        <f t="shared" si="54"/>
        <v>102.8418008348241</v>
      </c>
      <c r="O80" s="290">
        <f t="shared" si="54"/>
        <v>114.30840787119858</v>
      </c>
      <c r="P80" s="290">
        <f t="shared" si="54"/>
        <v>142.39767441860468</v>
      </c>
      <c r="Q80" s="290">
        <f t="shared" si="54"/>
        <v>150.11580202742991</v>
      </c>
      <c r="R80" s="290">
        <f t="shared" si="54"/>
        <v>149.63837935568696</v>
      </c>
      <c r="S80" s="290">
        <f t="shared" si="54"/>
        <v>154.36928651059088</v>
      </c>
      <c r="T80" s="290">
        <f t="shared" si="54"/>
        <v>205.36076326774</v>
      </c>
      <c r="U80" s="290">
        <f t="shared" si="54"/>
        <v>153.35074537865231</v>
      </c>
      <c r="V80" s="290">
        <f t="shared" si="54"/>
        <v>138.01657722122843</v>
      </c>
      <c r="W80" s="290">
        <f t="shared" si="54"/>
        <v>138.35295169946338</v>
      </c>
      <c r="X80" s="290">
        <f t="shared" si="54"/>
        <v>145.2801864801865</v>
      </c>
      <c r="Y80" s="290">
        <f t="shared" si="54"/>
        <v>176.52884615384616</v>
      </c>
      <c r="Z80" s="290">
        <f t="shared" si="54"/>
        <v>223.9674405011655</v>
      </c>
      <c r="AA80" s="290">
        <f t="shared" si="54"/>
        <v>241.2740395104895</v>
      </c>
      <c r="AB80" s="290">
        <f t="shared" si="54"/>
        <v>263.68022045454546</v>
      </c>
      <c r="AC80" s="290">
        <f t="shared" si="54"/>
        <v>283.04312220279724</v>
      </c>
      <c r="AD80" s="252">
        <f t="shared" ref="AD80:AD82" si="55">(SUM(X80:AB80)/SUM(X$92:AB$92))*AD$92</f>
        <v>270.2867304467739</v>
      </c>
      <c r="AE80" s="252">
        <f t="shared" ref="AE80:AE82" si="56">(SUM(Y80:AC80)/SUM(Y$92:AC$92))*AE$92</f>
        <v>284.41091960757166</v>
      </c>
    </row>
    <row r="81" spans="1:31">
      <c r="A81" s="240" t="s">
        <v>240</v>
      </c>
      <c r="B81" s="290">
        <f t="shared" si="54"/>
        <v>79.83605867251454</v>
      </c>
      <c r="C81" s="290">
        <f t="shared" si="54"/>
        <v>98.910451801090815</v>
      </c>
      <c r="D81" s="290">
        <f t="shared" si="54"/>
        <v>100.74792419694812</v>
      </c>
      <c r="E81" s="290">
        <f t="shared" si="54"/>
        <v>90.586497686432708</v>
      </c>
      <c r="F81" s="290">
        <f t="shared" si="54"/>
        <v>111.26495663287928</v>
      </c>
      <c r="G81" s="290">
        <f t="shared" si="54"/>
        <v>130.47037833353085</v>
      </c>
      <c r="H81" s="290">
        <f t="shared" si="54"/>
        <v>95.867240384615414</v>
      </c>
      <c r="I81" s="290">
        <f t="shared" si="54"/>
        <v>86.506546160540907</v>
      </c>
      <c r="J81" s="290">
        <f t="shared" si="54"/>
        <v>37.514523809523823</v>
      </c>
      <c r="K81" s="290">
        <f t="shared" si="54"/>
        <v>93.652057245080499</v>
      </c>
      <c r="L81" s="290">
        <f t="shared" si="54"/>
        <v>115.51067252747256</v>
      </c>
      <c r="M81" s="290">
        <f t="shared" si="54"/>
        <v>98.171388097499204</v>
      </c>
      <c r="N81" s="290">
        <f t="shared" si="54"/>
        <v>105.55342874180081</v>
      </c>
      <c r="O81" s="290">
        <f t="shared" si="54"/>
        <v>123.88515205724508</v>
      </c>
      <c r="P81" s="290">
        <f t="shared" si="54"/>
        <v>109.16511627906978</v>
      </c>
      <c r="Q81" s="290">
        <f t="shared" si="54"/>
        <v>96.353011329755532</v>
      </c>
      <c r="R81" s="290">
        <f t="shared" si="54"/>
        <v>145.39062294543055</v>
      </c>
      <c r="S81" s="290">
        <f t="shared" si="54"/>
        <v>167.76853688540342</v>
      </c>
      <c r="T81" s="290">
        <f t="shared" si="54"/>
        <v>150.9793679189028</v>
      </c>
      <c r="U81" s="290">
        <f t="shared" si="54"/>
        <v>83.480977936791959</v>
      </c>
      <c r="V81" s="290">
        <f t="shared" si="54"/>
        <v>171.86076326774005</v>
      </c>
      <c r="W81" s="290">
        <f t="shared" si="54"/>
        <v>163.61109123434707</v>
      </c>
      <c r="X81" s="290">
        <f t="shared" si="54"/>
        <v>120.81427738927744</v>
      </c>
      <c r="Y81" s="290">
        <f t="shared" si="54"/>
        <v>91.592482517482509</v>
      </c>
      <c r="Z81" s="290">
        <f t="shared" si="54"/>
        <v>79.903299592074603</v>
      </c>
      <c r="AA81" s="290">
        <f t="shared" si="54"/>
        <v>243.87055314685315</v>
      </c>
      <c r="AB81" s="290">
        <f t="shared" si="54"/>
        <v>256.57542500000005</v>
      </c>
      <c r="AC81" s="290">
        <f t="shared" si="54"/>
        <v>175.17959493006998</v>
      </c>
      <c r="AD81" s="252">
        <f t="shared" si="55"/>
        <v>203.92611608967985</v>
      </c>
      <c r="AE81" s="252">
        <f t="shared" si="56"/>
        <v>202.71926554428464</v>
      </c>
    </row>
    <row r="82" spans="1:31">
      <c r="A82" s="240" t="s">
        <v>241</v>
      </c>
      <c r="B82" s="290">
        <f t="shared" si="54"/>
        <v>76.531174176557116</v>
      </c>
      <c r="C82" s="290">
        <f t="shared" si="54"/>
        <v>103.98883243276536</v>
      </c>
      <c r="D82" s="290">
        <f t="shared" si="54"/>
        <v>104.21690586332635</v>
      </c>
      <c r="E82" s="290">
        <f t="shared" si="54"/>
        <v>92.850513102553336</v>
      </c>
      <c r="F82" s="290">
        <f t="shared" si="54"/>
        <v>108.68482459863171</v>
      </c>
      <c r="G82" s="290">
        <f t="shared" si="54"/>
        <v>127.22850221164052</v>
      </c>
      <c r="H82" s="290">
        <f t="shared" si="54"/>
        <v>109.42323076923077</v>
      </c>
      <c r="I82" s="290">
        <f t="shared" si="54"/>
        <v>101.08349133025372</v>
      </c>
      <c r="J82" s="290">
        <f t="shared" si="54"/>
        <v>11.91380952380953</v>
      </c>
      <c r="K82" s="290">
        <f t="shared" si="54"/>
        <v>88.668336314847963</v>
      </c>
      <c r="L82" s="290">
        <f t="shared" si="54"/>
        <v>61.763282051282047</v>
      </c>
      <c r="M82" s="290">
        <f t="shared" si="54"/>
        <v>112.60795188350747</v>
      </c>
      <c r="N82" s="290">
        <f t="shared" si="54"/>
        <v>130.1999403697078</v>
      </c>
      <c r="O82" s="290">
        <f t="shared" si="54"/>
        <v>127.45957066189625</v>
      </c>
      <c r="P82" s="290">
        <f t="shared" si="54"/>
        <v>127.28372093023256</v>
      </c>
      <c r="Q82" s="290">
        <f t="shared" si="54"/>
        <v>64.834406678592686</v>
      </c>
      <c r="R82" s="290">
        <f t="shared" si="54"/>
        <v>145.60672871466144</v>
      </c>
      <c r="S82" s="290">
        <f t="shared" si="54"/>
        <v>153.70002114327451</v>
      </c>
      <c r="T82" s="290">
        <f t="shared" si="54"/>
        <v>153.10960047704236</v>
      </c>
      <c r="U82" s="290">
        <f t="shared" si="54"/>
        <v>103.42516398330356</v>
      </c>
      <c r="V82" s="290">
        <f t="shared" si="54"/>
        <v>156.78401908169369</v>
      </c>
      <c r="W82" s="290">
        <f t="shared" si="54"/>
        <v>120.75295169946341</v>
      </c>
      <c r="X82" s="290">
        <f t="shared" si="54"/>
        <v>22.759731934731903</v>
      </c>
      <c r="Y82" s="290">
        <f t="shared" si="54"/>
        <v>95.647027972027971</v>
      </c>
      <c r="Z82" s="290">
        <f t="shared" si="54"/>
        <v>128.66637913752913</v>
      </c>
      <c r="AA82" s="290">
        <f t="shared" si="54"/>
        <v>171.21314405594404</v>
      </c>
      <c r="AB82" s="290">
        <f t="shared" si="54"/>
        <v>213.21752499999999</v>
      </c>
      <c r="AC82" s="290">
        <f t="shared" si="54"/>
        <v>176.36851538461542</v>
      </c>
      <c r="AD82" s="252">
        <f t="shared" si="55"/>
        <v>162.44609030562779</v>
      </c>
      <c r="AE82" s="252">
        <f t="shared" si="56"/>
        <v>187.8803396398543</v>
      </c>
    </row>
    <row r="83" spans="1:31">
      <c r="A83" s="240" t="s">
        <v>231</v>
      </c>
      <c r="B83" s="290">
        <f t="shared" si="54"/>
        <v>72.544307025224043</v>
      </c>
      <c r="C83" s="290">
        <f t="shared" si="54"/>
        <v>98.469142169995038</v>
      </c>
      <c r="D83" s="290">
        <f t="shared" si="54"/>
        <v>102.41880152495784</v>
      </c>
      <c r="E83" s="290">
        <f t="shared" si="54"/>
        <v>90.804197766957685</v>
      </c>
      <c r="F83" s="290">
        <f t="shared" si="54"/>
        <v>105.16953813155675</v>
      </c>
      <c r="G83" s="290">
        <f t="shared" si="54"/>
        <v>100.6794919871795</v>
      </c>
      <c r="H83" s="290">
        <f t="shared" si="54"/>
        <v>106.84417115384618</v>
      </c>
      <c r="I83" s="290">
        <f t="shared" si="54"/>
        <v>93.498739372029149</v>
      </c>
      <c r="J83" s="290">
        <f t="shared" si="54"/>
        <v>36.209880952380949</v>
      </c>
      <c r="K83" s="290">
        <f t="shared" si="54"/>
        <v>93.945080500894463</v>
      </c>
      <c r="L83" s="290">
        <f t="shared" si="54"/>
        <v>111.82743443223447</v>
      </c>
      <c r="M83" s="290">
        <f t="shared" si="54"/>
        <v>78.85210826210826</v>
      </c>
      <c r="N83" s="290">
        <f t="shared" si="54"/>
        <v>125.54877757901011</v>
      </c>
      <c r="O83" s="290">
        <f t="shared" si="54"/>
        <v>99.487477638640456</v>
      </c>
      <c r="P83" s="290">
        <f t="shared" si="54"/>
        <v>117.77906976744185</v>
      </c>
      <c r="Q83" s="290">
        <f t="shared" si="54"/>
        <v>123.51115086463918</v>
      </c>
      <c r="R83" s="290">
        <f t="shared" si="54"/>
        <v>115.37980563773829</v>
      </c>
      <c r="S83" s="290">
        <f t="shared" si="54"/>
        <v>127.35699265751744</v>
      </c>
      <c r="T83" s="290">
        <f t="shared" si="54"/>
        <v>86.784019081693586</v>
      </c>
      <c r="U83" s="290">
        <f t="shared" si="54"/>
        <v>134.84841979725707</v>
      </c>
      <c r="V83" s="290">
        <f t="shared" si="54"/>
        <v>116.02355396541451</v>
      </c>
      <c r="W83" s="290">
        <f t="shared" si="54"/>
        <v>149.28550983899817</v>
      </c>
      <c r="X83" s="290">
        <f t="shared" si="54"/>
        <v>87.466550116550025</v>
      </c>
      <c r="Y83" s="290">
        <f t="shared" si="54"/>
        <v>111.0765734265734</v>
      </c>
      <c r="Z83" s="290">
        <f t="shared" si="54"/>
        <v>189.96049504662008</v>
      </c>
      <c r="AA83" s="290">
        <f t="shared" si="54"/>
        <v>141.77707587412584</v>
      </c>
      <c r="AB83" s="290">
        <f t="shared" si="54"/>
        <v>238.98138181818186</v>
      </c>
      <c r="AC83" s="290">
        <f t="shared" si="54"/>
        <v>148.92097902097896</v>
      </c>
      <c r="AD83" s="252">
        <f t="shared" ref="AD83:AE90" si="57">(SUM(X83:AB83)/SUM(X$92:AB$92))*AD$92</f>
        <v>197.88260198832316</v>
      </c>
      <c r="AE83" s="252">
        <f t="shared" si="57"/>
        <v>198.79352441758138</v>
      </c>
    </row>
    <row r="84" spans="1:31">
      <c r="A84" s="240" t="s">
        <v>232</v>
      </c>
      <c r="B84" s="290">
        <f t="shared" si="54"/>
        <v>82.183404768374302</v>
      </c>
      <c r="C84" s="290">
        <f t="shared" si="54"/>
        <v>107.72699555298878</v>
      </c>
      <c r="D84" s="290">
        <f t="shared" si="54"/>
        <v>98.730571073560299</v>
      </c>
      <c r="E84" s="290">
        <f t="shared" si="54"/>
        <v>87.460159253311872</v>
      </c>
      <c r="F84" s="290">
        <f t="shared" si="54"/>
        <v>105.34899781119032</v>
      </c>
      <c r="G84" s="290">
        <f t="shared" si="54"/>
        <v>104.39550761217949</v>
      </c>
      <c r="H84" s="290">
        <f t="shared" si="54"/>
        <v>103.13485576923078</v>
      </c>
      <c r="I84" s="290">
        <f t="shared" si="54"/>
        <v>101.94792997255136</v>
      </c>
      <c r="J84" s="290">
        <f t="shared" si="54"/>
        <v>51.301488095238099</v>
      </c>
      <c r="K84" s="290">
        <f t="shared" si="54"/>
        <v>79.36135957066189</v>
      </c>
      <c r="L84" s="290">
        <f t="shared" si="54"/>
        <v>107.63063443223444</v>
      </c>
      <c r="M84" s="290">
        <f t="shared" si="54"/>
        <v>86.162231718898369</v>
      </c>
      <c r="N84" s="290">
        <f t="shared" si="54"/>
        <v>143.63249850924268</v>
      </c>
      <c r="O84" s="290">
        <f t="shared" si="54"/>
        <v>112.21771019677998</v>
      </c>
      <c r="P84" s="290">
        <f t="shared" si="54"/>
        <v>78.811627906976767</v>
      </c>
      <c r="Q84" s="290">
        <f t="shared" si="54"/>
        <v>89.620453190220587</v>
      </c>
      <c r="R84" s="290">
        <f t="shared" si="54"/>
        <v>135.08958127876394</v>
      </c>
      <c r="S84" s="290">
        <f t="shared" si="54"/>
        <v>166.13952639065084</v>
      </c>
      <c r="T84" s="290">
        <f t="shared" si="54"/>
        <v>184.01657722122843</v>
      </c>
      <c r="U84" s="290">
        <f t="shared" si="54"/>
        <v>146.84376863446639</v>
      </c>
      <c r="V84" s="290">
        <f t="shared" si="54"/>
        <v>116.41657722122841</v>
      </c>
      <c r="W84" s="290">
        <f t="shared" si="54"/>
        <v>122.27388193202154</v>
      </c>
      <c r="X84" s="290">
        <f t="shared" si="54"/>
        <v>77.927913752913724</v>
      </c>
      <c r="Y84" s="290">
        <f t="shared" si="54"/>
        <v>175.71293706293702</v>
      </c>
      <c r="Z84" s="290">
        <f t="shared" si="54"/>
        <v>160.98684959207458</v>
      </c>
      <c r="AA84" s="290">
        <f t="shared" si="54"/>
        <v>194.76619178321681</v>
      </c>
      <c r="AB84" s="290">
        <f t="shared" si="54"/>
        <v>204.49511136363634</v>
      </c>
      <c r="AC84" s="290">
        <f t="shared" si="54"/>
        <v>149.41416083916087</v>
      </c>
      <c r="AD84" s="252">
        <f t="shared" si="57"/>
        <v>209.36229500809591</v>
      </c>
      <c r="AE84" s="252">
        <f t="shared" si="57"/>
        <v>211.87356385499857</v>
      </c>
    </row>
    <row r="85" spans="1:31">
      <c r="A85" s="240" t="s">
        <v>233</v>
      </c>
      <c r="B85" s="290">
        <f t="shared" si="54"/>
        <v>74.284006549860493</v>
      </c>
      <c r="C85" s="290">
        <f t="shared" si="54"/>
        <v>101.47030298141159</v>
      </c>
      <c r="D85" s="290">
        <f t="shared" si="54"/>
        <v>91.233844548969969</v>
      </c>
      <c r="E85" s="290">
        <f t="shared" si="54"/>
        <v>74.483827101579962</v>
      </c>
      <c r="F85" s="290">
        <f t="shared" si="54"/>
        <v>103.96457637592476</v>
      </c>
      <c r="G85" s="290">
        <f t="shared" si="54"/>
        <v>85.416695112179525</v>
      </c>
      <c r="H85" s="290">
        <f t="shared" si="54"/>
        <v>83.87095576923079</v>
      </c>
      <c r="I85" s="290">
        <f t="shared" si="54"/>
        <v>94.47936600388293</v>
      </c>
      <c r="J85" s="290">
        <f t="shared" si="54"/>
        <v>50.365952380952379</v>
      </c>
      <c r="K85" s="290">
        <f t="shared" si="54"/>
        <v>83.01717352415028</v>
      </c>
      <c r="L85" s="290">
        <f t="shared" si="54"/>
        <v>113.38671062271064</v>
      </c>
      <c r="M85" s="290">
        <f t="shared" si="54"/>
        <v>103.10060620449514</v>
      </c>
      <c r="N85" s="290">
        <f t="shared" si="54"/>
        <v>62.090638044126372</v>
      </c>
      <c r="O85" s="290">
        <f t="shared" si="54"/>
        <v>121.69677996422188</v>
      </c>
      <c r="P85" s="290">
        <f t="shared" si="54"/>
        <v>86.437209302325599</v>
      </c>
      <c r="Q85" s="290">
        <f t="shared" si="54"/>
        <v>78.192546213476433</v>
      </c>
      <c r="R85" s="290">
        <f t="shared" si="54"/>
        <v>127.43060691978958</v>
      </c>
      <c r="S85" s="290">
        <f t="shared" si="54"/>
        <v>132.21149040864188</v>
      </c>
      <c r="T85" s="290">
        <f t="shared" si="54"/>
        <v>100.90262373285634</v>
      </c>
      <c r="U85" s="290">
        <f t="shared" si="54"/>
        <v>174.35772212283854</v>
      </c>
      <c r="V85" s="290">
        <f t="shared" si="54"/>
        <v>163.68169350029822</v>
      </c>
      <c r="W85" s="290">
        <f t="shared" si="54"/>
        <v>99.408765652951658</v>
      </c>
      <c r="X85" s="290">
        <f t="shared" si="54"/>
        <v>104.30518648018651</v>
      </c>
      <c r="Y85" s="290">
        <f t="shared" si="54"/>
        <v>154.13339160839161</v>
      </c>
      <c r="Z85" s="290">
        <f t="shared" si="54"/>
        <v>149.43236550116546</v>
      </c>
      <c r="AA85" s="290">
        <f t="shared" si="54"/>
        <v>165.03199405594401</v>
      </c>
      <c r="AB85" s="290">
        <f t="shared" si="54"/>
        <v>226.44762499999999</v>
      </c>
      <c r="AC85" s="290">
        <f t="shared" si="54"/>
        <v>46.148251748251823</v>
      </c>
      <c r="AD85" s="252">
        <f t="shared" si="57"/>
        <v>205.62247134507473</v>
      </c>
      <c r="AE85" s="252">
        <f t="shared" si="57"/>
        <v>177.37036961334036</v>
      </c>
    </row>
    <row r="86" spans="1:31">
      <c r="A86" s="240" t="s">
        <v>234</v>
      </c>
      <c r="B86" s="290">
        <f t="shared" si="54"/>
        <v>55.490400129797074</v>
      </c>
      <c r="C86" s="290">
        <f t="shared" si="54"/>
        <v>89.436541451594181</v>
      </c>
      <c r="D86" s="290">
        <f t="shared" si="54"/>
        <v>88.036060768290085</v>
      </c>
      <c r="E86" s="290">
        <f t="shared" si="54"/>
        <v>67.353416295480173</v>
      </c>
      <c r="F86" s="290">
        <f t="shared" si="54"/>
        <v>100.92012305840572</v>
      </c>
      <c r="G86" s="290">
        <f t="shared" si="54"/>
        <v>95.769632612179507</v>
      </c>
      <c r="H86" s="290">
        <f t="shared" si="54"/>
        <v>96.65299230769233</v>
      </c>
      <c r="I86" s="290">
        <f t="shared" si="54"/>
        <v>106.8394443328647</v>
      </c>
      <c r="J86" s="290">
        <f t="shared" si="54"/>
        <v>74.594702380952384</v>
      </c>
      <c r="K86" s="290">
        <f t="shared" si="54"/>
        <v>75.282289803220053</v>
      </c>
      <c r="L86" s="290">
        <f t="shared" si="54"/>
        <v>104.91874871794872</v>
      </c>
      <c r="M86" s="290">
        <f t="shared" si="54"/>
        <v>104.34221114276674</v>
      </c>
      <c r="N86" s="290">
        <f t="shared" si="54"/>
        <v>39.788312462731113</v>
      </c>
      <c r="O86" s="290">
        <f t="shared" si="54"/>
        <v>101.58747763864044</v>
      </c>
      <c r="P86" s="290">
        <f t="shared" si="54"/>
        <v>106.91395348837206</v>
      </c>
      <c r="Q86" s="290">
        <f t="shared" si="54"/>
        <v>78.187895050685711</v>
      </c>
      <c r="R86" s="290">
        <f t="shared" si="54"/>
        <v>104.17019025312295</v>
      </c>
      <c r="S86" s="290">
        <f t="shared" si="54"/>
        <v>126.9340541267828</v>
      </c>
      <c r="T86" s="290">
        <f t="shared" si="54"/>
        <v>135.71192605843777</v>
      </c>
      <c r="U86" s="290">
        <f t="shared" si="54"/>
        <v>101.94609421586178</v>
      </c>
      <c r="V86" s="290">
        <f t="shared" si="54"/>
        <v>160.05146094215874</v>
      </c>
      <c r="W86" s="290">
        <f t="shared" si="54"/>
        <v>112.32271914132387</v>
      </c>
      <c r="X86" s="290">
        <f t="shared" si="54"/>
        <v>132.61882284382293</v>
      </c>
      <c r="Y86" s="290">
        <f t="shared" si="54"/>
        <v>127.91293706293706</v>
      </c>
      <c r="Z86" s="290">
        <f t="shared" si="54"/>
        <v>177.36142913752914</v>
      </c>
      <c r="AA86" s="290">
        <f t="shared" si="54"/>
        <v>177.5463690559441</v>
      </c>
      <c r="AB86" s="290">
        <f t="shared" si="54"/>
        <v>168.81567954545446</v>
      </c>
      <c r="AC86" s="290">
        <f t="shared" si="54"/>
        <v>82.041433566433597</v>
      </c>
      <c r="AD86" s="252">
        <f t="shared" si="57"/>
        <v>201.73939653746632</v>
      </c>
      <c r="AE86" s="252">
        <f t="shared" si="57"/>
        <v>175.57181584047285</v>
      </c>
    </row>
    <row r="87" spans="1:31">
      <c r="A87" s="240" t="s">
        <v>46</v>
      </c>
      <c r="B87" s="290">
        <f t="shared" si="54"/>
        <v>66.835751479284326</v>
      </c>
      <c r="C87" s="290">
        <f t="shared" si="54"/>
        <v>92.982769067533226</v>
      </c>
      <c r="D87" s="290">
        <f t="shared" si="54"/>
        <v>84.778202223055359</v>
      </c>
      <c r="E87" s="290">
        <f t="shared" si="54"/>
        <v>55.230707560845865</v>
      </c>
      <c r="F87" s="290">
        <f t="shared" si="54"/>
        <v>78.080536059320465</v>
      </c>
      <c r="G87" s="290">
        <f t="shared" si="54"/>
        <v>74.337070112179489</v>
      </c>
      <c r="H87" s="290">
        <f t="shared" si="54"/>
        <v>95.303292307692317</v>
      </c>
      <c r="I87" s="290">
        <f t="shared" si="54"/>
        <v>78.426833366807244</v>
      </c>
      <c r="J87" s="290">
        <f t="shared" si="54"/>
        <v>61.088630952380946</v>
      </c>
      <c r="K87" s="290">
        <f t="shared" si="54"/>
        <v>87.603220035778179</v>
      </c>
      <c r="L87" s="290">
        <f t="shared" si="54"/>
        <v>102.36255824175825</v>
      </c>
      <c r="M87" s="290">
        <f t="shared" si="54"/>
        <v>99.661779044001278</v>
      </c>
      <c r="N87" s="290">
        <f t="shared" si="54"/>
        <v>80.462731067382165</v>
      </c>
      <c r="O87" s="290">
        <f t="shared" si="54"/>
        <v>70.015384615384605</v>
      </c>
      <c r="P87" s="290">
        <f t="shared" si="54"/>
        <v>100.47906976744187</v>
      </c>
      <c r="Q87" s="290">
        <f t="shared" si="54"/>
        <v>56.948360166964761</v>
      </c>
      <c r="R87" s="290">
        <f t="shared" si="54"/>
        <v>45.654324868507551</v>
      </c>
      <c r="S87" s="290">
        <f t="shared" si="54"/>
        <v>64.457667320186076</v>
      </c>
      <c r="T87" s="290">
        <f t="shared" si="54"/>
        <v>38.728205128205211</v>
      </c>
      <c r="U87" s="290">
        <f t="shared" si="54"/>
        <v>105.38097793679196</v>
      </c>
      <c r="V87" s="290">
        <f t="shared" si="54"/>
        <v>98.581693500298229</v>
      </c>
      <c r="W87" s="290">
        <f t="shared" si="54"/>
        <v>135.83667262969581</v>
      </c>
      <c r="X87" s="290">
        <f t="shared" si="54"/>
        <v>61.727913752913693</v>
      </c>
      <c r="Y87" s="290">
        <f t="shared" si="54"/>
        <v>116.62884615384613</v>
      </c>
      <c r="Z87" s="290">
        <f t="shared" si="54"/>
        <v>167.47086550116549</v>
      </c>
      <c r="AA87" s="290">
        <f t="shared" si="54"/>
        <v>190.65514632867132</v>
      </c>
      <c r="AB87" s="290">
        <f t="shared" si="54"/>
        <v>-25.889913636363687</v>
      </c>
      <c r="AC87" s="290">
        <f t="shared" si="54"/>
        <v>268.93006993006992</v>
      </c>
      <c r="AD87" s="252">
        <f t="shared" si="57"/>
        <v>131.34333074867871</v>
      </c>
      <c r="AE87" s="252">
        <f t="shared" si="57"/>
        <v>171.77099504666569</v>
      </c>
    </row>
    <row r="88" spans="1:31">
      <c r="A88" s="240" t="s">
        <v>235</v>
      </c>
      <c r="B88" s="290">
        <f t="shared" si="54"/>
        <v>20.523544824328795</v>
      </c>
      <c r="C88" s="290">
        <f t="shared" si="54"/>
        <v>22.945199097089937</v>
      </c>
      <c r="D88" s="290">
        <f t="shared" si="54"/>
        <v>57.917233909977405</v>
      </c>
      <c r="E88" s="290">
        <f t="shared" si="54"/>
        <v>45.673854737677097</v>
      </c>
      <c r="F88" s="290">
        <f t="shared" si="54"/>
        <v>80.52650438180909</v>
      </c>
      <c r="G88" s="290">
        <f t="shared" si="54"/>
        <v>82.047507612179473</v>
      </c>
      <c r="H88" s="290">
        <f t="shared" si="54"/>
        <v>91.350936538461553</v>
      </c>
      <c r="I88" s="290">
        <f t="shared" si="54"/>
        <v>79.470201513021379</v>
      </c>
      <c r="J88" s="290">
        <f t="shared" si="54"/>
        <v>53.750595238095258</v>
      </c>
      <c r="K88" s="290">
        <f t="shared" si="54"/>
        <v>84.972987477638625</v>
      </c>
      <c r="L88" s="290">
        <f t="shared" si="54"/>
        <v>95.502672527472512</v>
      </c>
      <c r="M88" s="290">
        <f t="shared" si="54"/>
        <v>41.559783159227599</v>
      </c>
      <c r="N88" s="290">
        <f t="shared" si="54"/>
        <v>13.669707811568269</v>
      </c>
      <c r="O88" s="290">
        <f t="shared" si="54"/>
        <v>86.250268336314832</v>
      </c>
      <c r="P88" s="290">
        <f t="shared" si="54"/>
        <v>10.755813953488373</v>
      </c>
      <c r="Q88" s="290">
        <f t="shared" si="54"/>
        <v>66.722778771615936</v>
      </c>
      <c r="R88" s="290">
        <f t="shared" si="54"/>
        <v>116.83445307363576</v>
      </c>
      <c r="S88" s="290">
        <f t="shared" si="54"/>
        <v>88.511715296198076</v>
      </c>
      <c r="T88" s="290">
        <f t="shared" si="54"/>
        <v>51.825879546809809</v>
      </c>
      <c r="U88" s="290">
        <f t="shared" si="54"/>
        <v>175.02748956469901</v>
      </c>
      <c r="V88" s="290">
        <f t="shared" si="54"/>
        <v>124.46076326774005</v>
      </c>
      <c r="W88" s="290">
        <f t="shared" si="54"/>
        <v>58.862254025044805</v>
      </c>
      <c r="X88" s="290">
        <f t="shared" si="54"/>
        <v>109.93245920745929</v>
      </c>
      <c r="Y88" s="290">
        <f t="shared" si="54"/>
        <v>139.16066433566436</v>
      </c>
      <c r="Z88" s="290">
        <f t="shared" si="54"/>
        <v>143.49679731934731</v>
      </c>
      <c r="AA88" s="290">
        <f t="shared" si="54"/>
        <v>161.78315769230767</v>
      </c>
      <c r="AB88" s="290">
        <f t="shared" si="54"/>
        <v>162.76695454545452</v>
      </c>
      <c r="AC88" s="252">
        <f t="shared" ref="AC88:AD90" si="58">(SUM(W88:AA88)/SUM(W$92:AA$92))*AC$92</f>
        <v>165.28945836097807</v>
      </c>
      <c r="AD88" s="252">
        <f t="shared" si="58"/>
        <v>184.47488848759389</v>
      </c>
      <c r="AE88" s="252">
        <f t="shared" si="57"/>
        <v>184.86138975819722</v>
      </c>
    </row>
    <row r="89" spans="1:31">
      <c r="A89" s="240" t="s">
        <v>236</v>
      </c>
      <c r="B89" s="290">
        <f t="shared" si="54"/>
        <v>12.849747598590891</v>
      </c>
      <c r="C89" s="290">
        <f t="shared" si="54"/>
        <v>49.112982110210339</v>
      </c>
      <c r="D89" s="290">
        <f t="shared" si="54"/>
        <v>75.170119938831363</v>
      </c>
      <c r="E89" s="290">
        <f t="shared" si="54"/>
        <v>57.320350045624153</v>
      </c>
      <c r="F89" s="290">
        <f t="shared" ref="B89:AD91" si="59">F216/F$235</f>
        <v>87.483204698236676</v>
      </c>
      <c r="G89" s="290">
        <f t="shared" si="59"/>
        <v>96.859663862179517</v>
      </c>
      <c r="H89" s="290">
        <f t="shared" si="59"/>
        <v>97.929544230769238</v>
      </c>
      <c r="I89" s="290">
        <f t="shared" si="59"/>
        <v>34.307929972551364</v>
      </c>
      <c r="J89" s="290">
        <f t="shared" si="59"/>
        <v>70.782916666666665</v>
      </c>
      <c r="K89" s="290">
        <f t="shared" si="59"/>
        <v>45.679964221824676</v>
      </c>
      <c r="L89" s="290">
        <f t="shared" si="59"/>
        <v>91.912386813186828</v>
      </c>
      <c r="M89" s="290">
        <f t="shared" si="59"/>
        <v>88.733795504906624</v>
      </c>
      <c r="N89" s="290">
        <f t="shared" si="59"/>
        <v>27.411568276684498</v>
      </c>
      <c r="O89" s="290">
        <f t="shared" si="59"/>
        <v>52.373524150268331</v>
      </c>
      <c r="P89" s="290">
        <f t="shared" si="59"/>
        <v>75.48372093023255</v>
      </c>
      <c r="Q89" s="290">
        <f t="shared" si="59"/>
        <v>103.2995229576625</v>
      </c>
      <c r="R89" s="290">
        <f t="shared" si="59"/>
        <v>109.83309089414858</v>
      </c>
      <c r="S89" s="290">
        <f t="shared" si="59"/>
        <v>103.01711259754744</v>
      </c>
      <c r="T89" s="290">
        <f t="shared" si="59"/>
        <v>119.41657722122847</v>
      </c>
      <c r="U89" s="290">
        <f t="shared" si="59"/>
        <v>82.63214072748967</v>
      </c>
      <c r="V89" s="290">
        <f t="shared" si="59"/>
        <v>157.81425163983303</v>
      </c>
      <c r="W89" s="290">
        <f t="shared" si="59"/>
        <v>117.7296958855099</v>
      </c>
      <c r="X89" s="290">
        <f t="shared" si="59"/>
        <v>141.29155011655007</v>
      </c>
      <c r="Y89" s="290">
        <f t="shared" si="59"/>
        <v>158.58920069930068</v>
      </c>
      <c r="Z89" s="290">
        <f t="shared" si="59"/>
        <v>132.30566095571101</v>
      </c>
      <c r="AA89" s="290">
        <f t="shared" si="59"/>
        <v>248.0779531468531</v>
      </c>
      <c r="AB89" s="290">
        <f t="shared" si="59"/>
        <v>259.38843409090913</v>
      </c>
      <c r="AC89" s="252">
        <f t="shared" si="58"/>
        <v>215.08872545009302</v>
      </c>
      <c r="AD89" s="252">
        <f t="shared" si="58"/>
        <v>241.71338555028458</v>
      </c>
      <c r="AE89" s="252">
        <f t="shared" si="57"/>
        <v>242.52231773738544</v>
      </c>
    </row>
    <row r="90" spans="1:31">
      <c r="A90" s="240" t="s">
        <v>237</v>
      </c>
      <c r="B90" s="290">
        <f t="shared" si="59"/>
        <v>62.302343398275177</v>
      </c>
      <c r="C90" s="290">
        <f t="shared" si="59"/>
        <v>84.552535328060912</v>
      </c>
      <c r="D90" s="290">
        <f t="shared" si="59"/>
        <v>99.531835904940593</v>
      </c>
      <c r="E90" s="290">
        <f t="shared" si="59"/>
        <v>87.344546413989207</v>
      </c>
      <c r="F90" s="290">
        <f t="shared" si="59"/>
        <v>103.18674852594559</v>
      </c>
      <c r="G90" s="290">
        <f t="shared" si="59"/>
        <v>90.746523237179545</v>
      </c>
      <c r="H90" s="290">
        <f t="shared" si="59"/>
        <v>103.16081153846154</v>
      </c>
      <c r="I90" s="290">
        <f t="shared" si="59"/>
        <v>37.979470442525283</v>
      </c>
      <c r="J90" s="290">
        <f t="shared" si="59"/>
        <v>73.408452380952369</v>
      </c>
      <c r="K90" s="290">
        <f t="shared" si="59"/>
        <v>84.026475849731654</v>
      </c>
      <c r="L90" s="290">
        <f t="shared" si="59"/>
        <v>86.081948717948734</v>
      </c>
      <c r="M90" s="290">
        <f t="shared" si="59"/>
        <v>86.385441595441606</v>
      </c>
      <c r="N90" s="290">
        <f t="shared" si="59"/>
        <v>107.92784734645204</v>
      </c>
      <c r="O90" s="290">
        <f t="shared" si="59"/>
        <v>114.38980322003577</v>
      </c>
      <c r="P90" s="290">
        <f t="shared" si="59"/>
        <v>80.662790697674424</v>
      </c>
      <c r="Q90" s="290">
        <f t="shared" si="59"/>
        <v>141.8669648181276</v>
      </c>
      <c r="R90" s="290">
        <f t="shared" si="59"/>
        <v>115.11954922748191</v>
      </c>
      <c r="S90" s="290">
        <f t="shared" si="59"/>
        <v>88.890500903394539</v>
      </c>
      <c r="T90" s="290">
        <f t="shared" si="59"/>
        <v>144.49332140727489</v>
      </c>
      <c r="U90" s="290">
        <f t="shared" si="59"/>
        <v>169.03679189028037</v>
      </c>
      <c r="V90" s="290">
        <f t="shared" si="59"/>
        <v>231.7816935002981</v>
      </c>
      <c r="W90" s="290">
        <f t="shared" si="59"/>
        <v>198.99248658318427</v>
      </c>
      <c r="X90" s="290">
        <f t="shared" si="59"/>
        <v>170.38700466200473</v>
      </c>
      <c r="Y90" s="290">
        <f t="shared" si="59"/>
        <v>206.04735524475524</v>
      </c>
      <c r="Z90" s="290">
        <f t="shared" si="59"/>
        <v>209.82329959207459</v>
      </c>
      <c r="AA90" s="290">
        <f t="shared" si="59"/>
        <v>251.37143723776225</v>
      </c>
      <c r="AB90" s="290">
        <f t="shared" si="59"/>
        <v>307.80348409090914</v>
      </c>
      <c r="AC90" s="252">
        <f t="shared" si="58"/>
        <v>279.40761226428981</v>
      </c>
      <c r="AD90" s="252">
        <f t="shared" si="58"/>
        <v>294.64754143585446</v>
      </c>
      <c r="AE90" s="252">
        <f t="shared" si="57"/>
        <v>300.19527599111564</v>
      </c>
    </row>
    <row r="91" spans="1:31">
      <c r="A91" s="240" t="s">
        <v>238</v>
      </c>
      <c r="B91" s="290">
        <f t="shared" si="59"/>
        <v>78.709630812526683</v>
      </c>
      <c r="C91" s="290">
        <f t="shared" si="59"/>
        <v>118.92466573290791</v>
      </c>
      <c r="D91" s="290">
        <f t="shared" si="59"/>
        <v>118.91786502357976</v>
      </c>
      <c r="E91" s="290">
        <f t="shared" si="59"/>
        <v>108.12049239460298</v>
      </c>
      <c r="F91" s="290">
        <f t="shared" si="59"/>
        <v>123.28827498898336</v>
      </c>
      <c r="G91" s="290">
        <f t="shared" si="59"/>
        <v>86.595838141025709</v>
      </c>
      <c r="H91" s="290">
        <f t="shared" si="59"/>
        <v>94.588328846153871</v>
      </c>
      <c r="I91" s="290">
        <f t="shared" si="59"/>
        <v>84.803945236660581</v>
      </c>
      <c r="J91" s="290">
        <f t="shared" si="59"/>
        <v>80.003095238095256</v>
      </c>
      <c r="K91" s="290">
        <f t="shared" si="59"/>
        <v>84.52737030411447</v>
      </c>
      <c r="L91" s="290">
        <f t="shared" si="59"/>
        <v>115.92073553113552</v>
      </c>
      <c r="M91" s="290">
        <f t="shared" si="59"/>
        <v>102.40861981639758</v>
      </c>
      <c r="N91" s="290">
        <f t="shared" si="59"/>
        <v>147.31228384019079</v>
      </c>
      <c r="O91" s="290">
        <f t="shared" si="59"/>
        <v>104.61681574239707</v>
      </c>
      <c r="P91" s="290">
        <f t="shared" si="59"/>
        <v>156.13720930232554</v>
      </c>
      <c r="Q91" s="290">
        <f t="shared" si="59"/>
        <v>162.2703637447824</v>
      </c>
      <c r="R91" s="290">
        <f t="shared" si="59"/>
        <v>122.15523093359629</v>
      </c>
      <c r="S91" s="290">
        <f t="shared" si="59"/>
        <v>181.78807327105682</v>
      </c>
      <c r="T91" s="290">
        <f t="shared" si="59"/>
        <v>178.14323196183659</v>
      </c>
      <c r="U91" s="290">
        <f t="shared" si="59"/>
        <v>175.69063804412602</v>
      </c>
      <c r="V91" s="290">
        <f t="shared" si="59"/>
        <v>199.74555754323177</v>
      </c>
      <c r="W91" s="290">
        <f t="shared" si="59"/>
        <v>203.82450805008955</v>
      </c>
      <c r="X91" s="290">
        <f t="shared" si="59"/>
        <v>100.16794871794872</v>
      </c>
      <c r="Y91" s="290">
        <f t="shared" si="59"/>
        <v>211.51307412587414</v>
      </c>
      <c r="Z91" s="290">
        <f t="shared" si="59"/>
        <v>209.17566585081588</v>
      </c>
      <c r="AA91" s="290">
        <f t="shared" si="59"/>
        <v>269.27561993006987</v>
      </c>
      <c r="AB91" s="290">
        <f t="shared" si="59"/>
        <v>362.71604545454545</v>
      </c>
      <c r="AC91" s="252">
        <f>AC92-SUM(AC80:AC90)</f>
        <v>460.16807630226117</v>
      </c>
      <c r="AD91" s="252">
        <f>AD92-SUM(AD80:AD90)</f>
        <v>296.55515205654683</v>
      </c>
      <c r="AE91" s="252">
        <f t="shared" ref="AE91" si="60">AE92-SUM(AE80:AE90)</f>
        <v>362.03022294853236</v>
      </c>
    </row>
    <row r="92" spans="1:31" ht="15.75" thickBot="1">
      <c r="A92" s="240" t="s">
        <v>242</v>
      </c>
      <c r="B92" s="146">
        <f>SUM(B80:B91)</f>
        <v>760.00000000000034</v>
      </c>
      <c r="C92" s="146">
        <f t="shared" ref="C92:AB92" si="61">SUM(C80:C91)</f>
        <v>1074.9999999999998</v>
      </c>
      <c r="D92" s="146">
        <f t="shared" si="61"/>
        <v>1133.0000000000002</v>
      </c>
      <c r="E92" s="146">
        <f t="shared" si="61"/>
        <v>960.00000000000023</v>
      </c>
      <c r="F92" s="146">
        <f t="shared" si="61"/>
        <v>1224.9999999999998</v>
      </c>
      <c r="G92" s="146">
        <f t="shared" si="61"/>
        <v>1208.0000000000002</v>
      </c>
      <c r="H92" s="146">
        <f t="shared" si="61"/>
        <v>1166.2611403846158</v>
      </c>
      <c r="I92" s="146">
        <f t="shared" si="61"/>
        <v>970.10929503916441</v>
      </c>
      <c r="J92" s="146">
        <f t="shared" si="61"/>
        <v>678.01732142857145</v>
      </c>
      <c r="K92" s="146">
        <f t="shared" si="61"/>
        <v>992.70930232558123</v>
      </c>
      <c r="L92" s="146">
        <f t="shared" si="61"/>
        <v>1223.5926095238096</v>
      </c>
      <c r="M92" s="146">
        <f t="shared" si="61"/>
        <v>1113.0151234567902</v>
      </c>
      <c r="N92" s="146">
        <f t="shared" si="61"/>
        <v>1086.4395348837209</v>
      </c>
      <c r="O92" s="146">
        <f t="shared" si="61"/>
        <v>1228.2883720930231</v>
      </c>
      <c r="P92" s="146">
        <f t="shared" si="61"/>
        <v>1192.3069767441862</v>
      </c>
      <c r="Q92" s="146">
        <f t="shared" si="61"/>
        <v>1211.9232558139531</v>
      </c>
      <c r="R92" s="146">
        <f t="shared" si="61"/>
        <v>1432.302564102564</v>
      </c>
      <c r="S92" s="146">
        <f t="shared" si="61"/>
        <v>1555.1449775112446</v>
      </c>
      <c r="T92" s="146">
        <f t="shared" si="61"/>
        <v>1549.4720930232561</v>
      </c>
      <c r="U92" s="146">
        <f t="shared" si="61"/>
        <v>1606.0209302325584</v>
      </c>
      <c r="V92" s="146">
        <f t="shared" si="61"/>
        <v>1835.2186046511633</v>
      </c>
      <c r="W92" s="146">
        <f t="shared" si="61"/>
        <v>1621.2534883720937</v>
      </c>
      <c r="X92" s="146">
        <f t="shared" si="61"/>
        <v>1274.6795454545456</v>
      </c>
      <c r="Y92" s="146">
        <f t="shared" si="61"/>
        <v>1764.5433363636362</v>
      </c>
      <c r="Z92" s="146">
        <f t="shared" si="61"/>
        <v>1972.5505477272727</v>
      </c>
      <c r="AA92" s="146">
        <f t="shared" si="61"/>
        <v>2456.6426818181817</v>
      </c>
      <c r="AB92" s="146">
        <f t="shared" si="61"/>
        <v>2638.997972727273</v>
      </c>
      <c r="AC92" s="253">
        <f>AC12</f>
        <v>2450</v>
      </c>
      <c r="AD92" s="253">
        <f>AD12</f>
        <v>2600</v>
      </c>
      <c r="AE92" s="253">
        <f t="shared" ref="AE92" si="62">AE12</f>
        <v>2700</v>
      </c>
    </row>
    <row r="93" spans="1:31">
      <c r="A93" s="248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</row>
    <row r="94" spans="1:31" ht="15.75" thickBot="1">
      <c r="A94" s="235" t="s">
        <v>252</v>
      </c>
    </row>
    <row r="95" spans="1:31" ht="15.75" thickBot="1">
      <c r="A95" s="236"/>
      <c r="B95" s="237" t="str">
        <f>B$2</f>
        <v xml:space="preserve">93/94 </v>
      </c>
      <c r="C95" s="237" t="str">
        <f t="shared" ref="C95:AE95" si="63">C$2</f>
        <v xml:space="preserve">94/95 </v>
      </c>
      <c r="D95" s="237" t="str">
        <f t="shared" si="63"/>
        <v xml:space="preserve">95/96 </v>
      </c>
      <c r="E95" s="237" t="str">
        <f t="shared" si="63"/>
        <v xml:space="preserve">96/97 </v>
      </c>
      <c r="F95" s="237" t="str">
        <f t="shared" si="63"/>
        <v xml:space="preserve">97/98 </v>
      </c>
      <c r="G95" s="237" t="str">
        <f t="shared" si="63"/>
        <v xml:space="preserve">98/99 </v>
      </c>
      <c r="H95" s="237" t="str">
        <f t="shared" si="63"/>
        <v xml:space="preserve">99/00 </v>
      </c>
      <c r="I95" s="237" t="str">
        <f t="shared" si="63"/>
        <v xml:space="preserve">00/01 </v>
      </c>
      <c r="J95" s="237" t="str">
        <f t="shared" si="63"/>
        <v xml:space="preserve">01/02 </v>
      </c>
      <c r="K95" s="237" t="str">
        <f t="shared" si="63"/>
        <v xml:space="preserve">02/03 </v>
      </c>
      <c r="L95" s="237" t="str">
        <f t="shared" si="63"/>
        <v xml:space="preserve">03/04 </v>
      </c>
      <c r="M95" s="237" t="str">
        <f t="shared" si="63"/>
        <v xml:space="preserve">04/05 </v>
      </c>
      <c r="N95" s="237" t="str">
        <f t="shared" si="63"/>
        <v xml:space="preserve">05/06 </v>
      </c>
      <c r="O95" s="237" t="str">
        <f t="shared" si="63"/>
        <v xml:space="preserve">06/07 </v>
      </c>
      <c r="P95" s="237" t="str">
        <f t="shared" si="63"/>
        <v xml:space="preserve">07/08 </v>
      </c>
      <c r="Q95" s="237" t="str">
        <f t="shared" si="63"/>
        <v xml:space="preserve">08/09 </v>
      </c>
      <c r="R95" s="237" t="str">
        <f t="shared" si="63"/>
        <v xml:space="preserve">09/10 </v>
      </c>
      <c r="S95" s="237" t="str">
        <f t="shared" si="63"/>
        <v xml:space="preserve">10/11 </v>
      </c>
      <c r="T95" s="237" t="str">
        <f t="shared" si="63"/>
        <v xml:space="preserve">11/12 </v>
      </c>
      <c r="U95" s="237" t="str">
        <f t="shared" si="63"/>
        <v xml:space="preserve">12/13 </v>
      </c>
      <c r="V95" s="237" t="str">
        <f t="shared" si="63"/>
        <v xml:space="preserve">13/14 </v>
      </c>
      <c r="W95" s="237" t="str">
        <f t="shared" si="63"/>
        <v xml:space="preserve">14/15 </v>
      </c>
      <c r="X95" s="237" t="str">
        <f t="shared" si="63"/>
        <v xml:space="preserve">15/16 </v>
      </c>
      <c r="Y95" s="237" t="str">
        <f t="shared" si="63"/>
        <v xml:space="preserve">16/17 </v>
      </c>
      <c r="Z95" s="237" t="str">
        <f t="shared" si="63"/>
        <v xml:space="preserve">17/18 </v>
      </c>
      <c r="AA95" s="237" t="str">
        <f t="shared" si="63"/>
        <v xml:space="preserve">18/19 </v>
      </c>
      <c r="AB95" s="237" t="str">
        <f t="shared" si="63"/>
        <v xml:space="preserve">19/20 </v>
      </c>
      <c r="AC95" s="237" t="str">
        <f t="shared" si="63"/>
        <v xml:space="preserve">20/21 </v>
      </c>
      <c r="AD95" s="237" t="str">
        <f t="shared" si="63"/>
        <v xml:space="preserve">21/22 </v>
      </c>
      <c r="AE95" s="237" t="str">
        <f t="shared" si="63"/>
        <v xml:space="preserve">22/23 </v>
      </c>
    </row>
    <row r="96" spans="1:31">
      <c r="A96" s="240" t="s">
        <v>239</v>
      </c>
      <c r="B96" s="290">
        <f t="shared" ref="B96:AE104" si="64">B$124*B80</f>
        <v>33.829181692552723</v>
      </c>
      <c r="C96" s="290">
        <f t="shared" si="64"/>
        <v>47.544371620175674</v>
      </c>
      <c r="D96" s="290">
        <f t="shared" si="64"/>
        <v>52.064727769186533</v>
      </c>
      <c r="E96" s="290">
        <f t="shared" si="64"/>
        <v>48.174111394193034</v>
      </c>
      <c r="F96" s="290">
        <f t="shared" si="64"/>
        <v>57.346145993689468</v>
      </c>
      <c r="G96" s="290">
        <f t="shared" si="64"/>
        <v>66.284696605811448</v>
      </c>
      <c r="H96" s="290">
        <f t="shared" si="64"/>
        <v>43.959646153846165</v>
      </c>
      <c r="I96" s="290">
        <f t="shared" si="64"/>
        <v>36.177815491731934</v>
      </c>
      <c r="J96" s="290">
        <f t="shared" si="64"/>
        <v>40.320481684981686</v>
      </c>
      <c r="K96" s="290">
        <f t="shared" si="64"/>
        <v>48.28581842576029</v>
      </c>
      <c r="L96" s="290">
        <f t="shared" si="64"/>
        <v>61.258924542124532</v>
      </c>
      <c r="M96" s="290">
        <f t="shared" si="64"/>
        <v>58.953561253561261</v>
      </c>
      <c r="N96" s="290">
        <f t="shared" si="64"/>
        <v>55.160602265951105</v>
      </c>
      <c r="O96" s="290">
        <f t="shared" si="64"/>
        <v>61.917054263565895</v>
      </c>
      <c r="P96" s="290">
        <f t="shared" si="64"/>
        <v>77.132073643410862</v>
      </c>
      <c r="Q96" s="290">
        <f t="shared" si="64"/>
        <v>82.563691115086456</v>
      </c>
      <c r="R96" s="290">
        <f t="shared" si="64"/>
        <v>82.352708086784958</v>
      </c>
      <c r="S96" s="290">
        <f t="shared" si="64"/>
        <v>84.952904124860652</v>
      </c>
      <c r="T96" s="290">
        <f t="shared" si="64"/>
        <v>109.48295691711388</v>
      </c>
      <c r="U96" s="290">
        <f t="shared" si="64"/>
        <v>84.342909958258772</v>
      </c>
      <c r="V96" s="290">
        <f t="shared" si="64"/>
        <v>75.909117471675643</v>
      </c>
      <c r="W96" s="290">
        <f t="shared" si="64"/>
        <v>76.094123434704869</v>
      </c>
      <c r="X96" s="290">
        <f t="shared" si="64"/>
        <v>79.904102564102587</v>
      </c>
      <c r="Y96" s="290">
        <f t="shared" si="64"/>
        <v>97.090865384615398</v>
      </c>
      <c r="Z96" s="290">
        <f t="shared" si="64"/>
        <v>123.18209227564104</v>
      </c>
      <c r="AA96" s="290">
        <f t="shared" si="64"/>
        <v>132.70072173076923</v>
      </c>
      <c r="AB96" s="290">
        <f t="shared" si="64"/>
        <v>142.38731904545455</v>
      </c>
      <c r="AC96" s="290">
        <f t="shared" si="64"/>
        <v>152.84328598951052</v>
      </c>
      <c r="AD96" s="252">
        <f t="shared" si="64"/>
        <v>147.156564594553</v>
      </c>
      <c r="AE96" s="252">
        <f t="shared" si="64"/>
        <v>154.3190199913067</v>
      </c>
    </row>
    <row r="97" spans="1:31">
      <c r="A97" s="240" t="s">
        <v>240</v>
      </c>
      <c r="B97" s="290">
        <f t="shared" si="64"/>
        <v>34.66565705517079</v>
      </c>
      <c r="C97" s="290">
        <f t="shared" si="64"/>
        <v>44.16466685071962</v>
      </c>
      <c r="D97" s="290">
        <f t="shared" si="64"/>
        <v>47.128331707310238</v>
      </c>
      <c r="E97" s="290">
        <f t="shared" si="64"/>
        <v>42.462420790515331</v>
      </c>
      <c r="F97" s="290">
        <f t="shared" si="64"/>
        <v>54.497121616104131</v>
      </c>
      <c r="G97" s="290">
        <f t="shared" si="64"/>
        <v>64.80316804645571</v>
      </c>
      <c r="H97" s="290">
        <f t="shared" si="64"/>
        <v>47.816423076923094</v>
      </c>
      <c r="I97" s="290">
        <f t="shared" si="64"/>
        <v>44.225256744995633</v>
      </c>
      <c r="J97" s="290">
        <f t="shared" si="64"/>
        <v>19.622981684981692</v>
      </c>
      <c r="K97" s="290">
        <f t="shared" si="64"/>
        <v>49.167330053667264</v>
      </c>
      <c r="L97" s="290">
        <f t="shared" si="64"/>
        <v>60.595762637362661</v>
      </c>
      <c r="M97" s="290">
        <f t="shared" si="64"/>
        <v>52.126400759734096</v>
      </c>
      <c r="N97" s="290">
        <f t="shared" si="64"/>
        <v>56.615020870602258</v>
      </c>
      <c r="O97" s="290">
        <f t="shared" si="64"/>
        <v>67.104457364341087</v>
      </c>
      <c r="P97" s="290">
        <f t="shared" si="64"/>
        <v>59.131104651162794</v>
      </c>
      <c r="Q97" s="290">
        <f t="shared" si="64"/>
        <v>52.994156231365544</v>
      </c>
      <c r="R97" s="290">
        <f t="shared" si="64"/>
        <v>80.014977317554184</v>
      </c>
      <c r="S97" s="290">
        <f t="shared" si="64"/>
        <v>92.32681416983813</v>
      </c>
      <c r="T97" s="290">
        <f t="shared" si="64"/>
        <v>80.490875521765048</v>
      </c>
      <c r="U97" s="290">
        <f t="shared" si="64"/>
        <v>45.91453786523558</v>
      </c>
      <c r="V97" s="290">
        <f t="shared" si="64"/>
        <v>94.523419797257034</v>
      </c>
      <c r="W97" s="290">
        <f t="shared" si="64"/>
        <v>89.986100178890894</v>
      </c>
      <c r="X97" s="290">
        <f t="shared" si="64"/>
        <v>66.44785256410259</v>
      </c>
      <c r="Y97" s="290">
        <f t="shared" si="64"/>
        <v>50.375865384615381</v>
      </c>
      <c r="Z97" s="290">
        <f t="shared" si="64"/>
        <v>43.946814775641037</v>
      </c>
      <c r="AA97" s="290">
        <f t="shared" si="64"/>
        <v>134.12880423076925</v>
      </c>
      <c r="AB97" s="290">
        <f t="shared" si="64"/>
        <v>138.55072950000005</v>
      </c>
      <c r="AC97" s="290">
        <f t="shared" si="64"/>
        <v>94.59698126223779</v>
      </c>
      <c r="AD97" s="252">
        <f t="shared" si="64"/>
        <v>111.02678487124919</v>
      </c>
      <c r="AE97" s="252">
        <f t="shared" si="64"/>
        <v>109.99380204992185</v>
      </c>
    </row>
    <row r="98" spans="1:31">
      <c r="A98" s="240" t="s">
        <v>241</v>
      </c>
      <c r="B98" s="290">
        <f t="shared" si="64"/>
        <v>33.230641418768222</v>
      </c>
      <c r="C98" s="290">
        <f t="shared" si="64"/>
        <v>46.432222853699884</v>
      </c>
      <c r="D98" s="290">
        <f t="shared" si="64"/>
        <v>48.751068056101467</v>
      </c>
      <c r="E98" s="290">
        <f t="shared" si="64"/>
        <v>43.523678016821876</v>
      </c>
      <c r="F98" s="290">
        <f t="shared" si="64"/>
        <v>53.233383476880832</v>
      </c>
      <c r="G98" s="290">
        <f t="shared" si="64"/>
        <v>63.192964674655883</v>
      </c>
      <c r="H98" s="290">
        <f t="shared" si="64"/>
        <v>54.57784615384616</v>
      </c>
      <c r="I98" s="290">
        <f t="shared" si="64"/>
        <v>51.677515230635329</v>
      </c>
      <c r="J98" s="290">
        <f t="shared" si="64"/>
        <v>6.231838827838831</v>
      </c>
      <c r="K98" s="290">
        <f t="shared" si="64"/>
        <v>46.550876565295184</v>
      </c>
      <c r="L98" s="290">
        <f t="shared" si="64"/>
        <v>32.400410256410254</v>
      </c>
      <c r="M98" s="290">
        <f t="shared" si="64"/>
        <v>59.791832858499546</v>
      </c>
      <c r="N98" s="290">
        <f t="shared" si="64"/>
        <v>69.83451347102509</v>
      </c>
      <c r="O98" s="290">
        <f t="shared" si="64"/>
        <v>69.040600775193795</v>
      </c>
      <c r="P98" s="290">
        <f t="shared" si="64"/>
        <v>68.945348837209295</v>
      </c>
      <c r="Q98" s="290">
        <f t="shared" si="64"/>
        <v>35.658923673225978</v>
      </c>
      <c r="R98" s="290">
        <f t="shared" si="64"/>
        <v>80.13391000986195</v>
      </c>
      <c r="S98" s="290">
        <f t="shared" si="64"/>
        <v>84.584592280782672</v>
      </c>
      <c r="T98" s="290">
        <f t="shared" si="64"/>
        <v>81.626555754323206</v>
      </c>
      <c r="U98" s="290">
        <f t="shared" si="64"/>
        <v>56.883840190816962</v>
      </c>
      <c r="V98" s="290">
        <f t="shared" si="64"/>
        <v>86.231210494931531</v>
      </c>
      <c r="W98" s="290">
        <f t="shared" si="64"/>
        <v>66.414123434704877</v>
      </c>
      <c r="X98" s="290">
        <f t="shared" si="64"/>
        <v>12.517852564102547</v>
      </c>
      <c r="Y98" s="290">
        <f t="shared" si="64"/>
        <v>52.605865384615385</v>
      </c>
      <c r="Z98" s="290">
        <f t="shared" si="64"/>
        <v>70.766508525641029</v>
      </c>
      <c r="AA98" s="290">
        <f t="shared" si="64"/>
        <v>94.167229230769237</v>
      </c>
      <c r="AB98" s="290">
        <f t="shared" si="64"/>
        <v>115.13746350000001</v>
      </c>
      <c r="AC98" s="290">
        <f t="shared" si="64"/>
        <v>95.238998307692327</v>
      </c>
      <c r="AD98" s="252">
        <f t="shared" si="64"/>
        <v>88.443145328217241</v>
      </c>
      <c r="AE98" s="252">
        <f t="shared" si="64"/>
        <v>101.9423232021514</v>
      </c>
    </row>
    <row r="99" spans="1:31">
      <c r="A99" s="240" t="s">
        <v>231</v>
      </c>
      <c r="B99" s="290">
        <f t="shared" si="64"/>
        <v>31.499501734636755</v>
      </c>
      <c r="C99" s="290">
        <f t="shared" si="64"/>
        <v>43.967616968928013</v>
      </c>
      <c r="D99" s="290">
        <f t="shared" si="64"/>
        <v>47.909942460924675</v>
      </c>
      <c r="E99" s="290">
        <f t="shared" si="64"/>
        <v>42.564467703261414</v>
      </c>
      <c r="F99" s="290">
        <f t="shared" si="64"/>
        <v>51.511610513415548</v>
      </c>
      <c r="G99" s="290">
        <f t="shared" si="64"/>
        <v>50.006370192307699</v>
      </c>
      <c r="H99" s="290">
        <f t="shared" si="64"/>
        <v>53.291469230769245</v>
      </c>
      <c r="I99" s="290">
        <f t="shared" si="64"/>
        <v>47.799917319408166</v>
      </c>
      <c r="J99" s="290">
        <f t="shared" si="64"/>
        <v>18.940553113553111</v>
      </c>
      <c r="K99" s="290">
        <f t="shared" si="64"/>
        <v>49.321167262969595</v>
      </c>
      <c r="L99" s="290">
        <f t="shared" si="64"/>
        <v>58.663572161172183</v>
      </c>
      <c r="M99" s="290">
        <f t="shared" si="64"/>
        <v>41.868376068376072</v>
      </c>
      <c r="N99" s="290">
        <f t="shared" si="64"/>
        <v>67.339798883287244</v>
      </c>
      <c r="O99" s="290">
        <f t="shared" si="64"/>
        <v>53.88905038759691</v>
      </c>
      <c r="P99" s="290">
        <f t="shared" si="64"/>
        <v>63.796996124030997</v>
      </c>
      <c r="Q99" s="290">
        <f t="shared" si="64"/>
        <v>67.931132975551549</v>
      </c>
      <c r="R99" s="290">
        <f t="shared" si="64"/>
        <v>63.498679240631134</v>
      </c>
      <c r="S99" s="290">
        <f t="shared" si="64"/>
        <v>70.087428862491848</v>
      </c>
      <c r="T99" s="290">
        <f t="shared" si="64"/>
        <v>46.266730172927886</v>
      </c>
      <c r="U99" s="290">
        <f t="shared" si="64"/>
        <v>74.166630888491397</v>
      </c>
      <c r="V99" s="290">
        <f t="shared" si="64"/>
        <v>63.812954680977981</v>
      </c>
      <c r="W99" s="290">
        <f t="shared" si="64"/>
        <v>82.107030411449003</v>
      </c>
      <c r="X99" s="290">
        <f t="shared" si="64"/>
        <v>48.106602564102516</v>
      </c>
      <c r="Y99" s="290">
        <f t="shared" si="64"/>
        <v>61.092115384615376</v>
      </c>
      <c r="Z99" s="290">
        <f t="shared" si="64"/>
        <v>104.47827227564105</v>
      </c>
      <c r="AA99" s="290">
        <f t="shared" si="64"/>
        <v>77.977391730769213</v>
      </c>
      <c r="AB99" s="290">
        <f t="shared" si="64"/>
        <v>129.0499461818182</v>
      </c>
      <c r="AC99" s="290">
        <f t="shared" si="64"/>
        <v>80.417328671328647</v>
      </c>
      <c r="AD99" s="252">
        <f t="shared" si="64"/>
        <v>107.73641700241473</v>
      </c>
      <c r="AE99" s="252">
        <f t="shared" si="64"/>
        <v>107.86372728258058</v>
      </c>
    </row>
    <row r="100" spans="1:31">
      <c r="A100" s="240" t="s">
        <v>232</v>
      </c>
      <c r="B100" s="290">
        <f t="shared" si="64"/>
        <v>35.684899438899372</v>
      </c>
      <c r="C100" s="290">
        <f t="shared" si="64"/>
        <v>48.101356153892667</v>
      </c>
      <c r="D100" s="290">
        <f t="shared" si="64"/>
        <v>46.184644897605438</v>
      </c>
      <c r="E100" s="290">
        <f t="shared" si="64"/>
        <v>40.996949649989944</v>
      </c>
      <c r="F100" s="290">
        <f t="shared" si="64"/>
        <v>51.599509132011583</v>
      </c>
      <c r="G100" s="290">
        <f t="shared" si="64"/>
        <v>51.852073317307692</v>
      </c>
      <c r="H100" s="290">
        <f t="shared" si="64"/>
        <v>51.441346153846162</v>
      </c>
      <c r="I100" s="290">
        <f t="shared" si="64"/>
        <v>52.119447345517834</v>
      </c>
      <c r="J100" s="290">
        <f t="shared" si="64"/>
        <v>26.834624542124544</v>
      </c>
      <c r="K100" s="290">
        <f t="shared" si="64"/>
        <v>41.664713774597494</v>
      </c>
      <c r="L100" s="290">
        <f t="shared" si="64"/>
        <v>56.46197216117217</v>
      </c>
      <c r="M100" s="290">
        <f t="shared" si="64"/>
        <v>45.749857549857545</v>
      </c>
      <c r="N100" s="290">
        <f t="shared" si="64"/>
        <v>77.039249200411987</v>
      </c>
      <c r="O100" s="290">
        <f t="shared" si="64"/>
        <v>60.784593023255816</v>
      </c>
      <c r="P100" s="290">
        <f t="shared" si="64"/>
        <v>42.689631782945746</v>
      </c>
      <c r="Q100" s="290">
        <f t="shared" si="64"/>
        <v>49.291249254621327</v>
      </c>
      <c r="R100" s="290">
        <f t="shared" si="64"/>
        <v>74.345852317554218</v>
      </c>
      <c r="S100" s="290">
        <f t="shared" si="64"/>
        <v>91.43033291046784</v>
      </c>
      <c r="T100" s="290">
        <f t="shared" si="64"/>
        <v>98.103837731067401</v>
      </c>
      <c r="U100" s="290">
        <f t="shared" si="64"/>
        <v>80.764072748956522</v>
      </c>
      <c r="V100" s="290">
        <f t="shared" si="64"/>
        <v>64.029117471675633</v>
      </c>
      <c r="W100" s="290">
        <f t="shared" si="64"/>
        <v>67.250635062611849</v>
      </c>
      <c r="X100" s="290">
        <f t="shared" si="64"/>
        <v>42.860352564102548</v>
      </c>
      <c r="Y100" s="290">
        <f t="shared" si="64"/>
        <v>96.642115384615366</v>
      </c>
      <c r="Z100" s="290">
        <f t="shared" si="64"/>
        <v>88.542767275641026</v>
      </c>
      <c r="AA100" s="290">
        <f t="shared" si="64"/>
        <v>107.12140548076925</v>
      </c>
      <c r="AB100" s="290">
        <f t="shared" si="64"/>
        <v>110.42736013636363</v>
      </c>
      <c r="AC100" s="290">
        <f t="shared" si="64"/>
        <v>80.683646853146882</v>
      </c>
      <c r="AD100" s="252">
        <f t="shared" si="64"/>
        <v>113.98649144964142</v>
      </c>
      <c r="AE100" s="252">
        <f t="shared" si="64"/>
        <v>114.96084883549062</v>
      </c>
    </row>
    <row r="101" spans="1:31">
      <c r="A101" s="240" t="s">
        <v>233</v>
      </c>
      <c r="B101" s="290">
        <f t="shared" si="64"/>
        <v>32.254897580860479</v>
      </c>
      <c r="C101" s="290">
        <f t="shared" si="64"/>
        <v>45.307670168444247</v>
      </c>
      <c r="D101" s="290">
        <f t="shared" si="64"/>
        <v>42.677791360065385</v>
      </c>
      <c r="E101" s="290">
        <f t="shared" si="64"/>
        <v>34.914293953865609</v>
      </c>
      <c r="F101" s="290">
        <f t="shared" si="64"/>
        <v>50.921425163718254</v>
      </c>
      <c r="G101" s="290">
        <f t="shared" si="64"/>
        <v>42.42551081730771</v>
      </c>
      <c r="H101" s="290">
        <f t="shared" si="64"/>
        <v>41.832946153846166</v>
      </c>
      <c r="I101" s="290">
        <f t="shared" si="64"/>
        <v>48.301248912097456</v>
      </c>
      <c r="J101" s="290">
        <f t="shared" si="64"/>
        <v>26.345267399267399</v>
      </c>
      <c r="K101" s="290">
        <f t="shared" si="64"/>
        <v>43.5840161001789</v>
      </c>
      <c r="L101" s="290">
        <f t="shared" si="64"/>
        <v>59.481553113553126</v>
      </c>
      <c r="M101" s="290">
        <f t="shared" si="64"/>
        <v>54.743684710351403</v>
      </c>
      <c r="N101" s="290">
        <f t="shared" si="64"/>
        <v>33.303160405485961</v>
      </c>
      <c r="O101" s="290">
        <f t="shared" si="64"/>
        <v>65.91908914728684</v>
      </c>
      <c r="P101" s="290">
        <f t="shared" si="64"/>
        <v>46.820155038759694</v>
      </c>
      <c r="Q101" s="290">
        <f t="shared" si="64"/>
        <v>43.005900417412043</v>
      </c>
      <c r="R101" s="290">
        <f t="shared" si="64"/>
        <v>70.130775394477297</v>
      </c>
      <c r="S101" s="290">
        <f t="shared" si="64"/>
        <v>72.758968592626786</v>
      </c>
      <c r="T101" s="290">
        <f t="shared" si="64"/>
        <v>53.793711277579035</v>
      </c>
      <c r="U101" s="290">
        <f t="shared" si="64"/>
        <v>95.896747167561202</v>
      </c>
      <c r="V101" s="290">
        <f t="shared" si="64"/>
        <v>90.024931425164027</v>
      </c>
      <c r="W101" s="290">
        <f t="shared" si="64"/>
        <v>54.674821109123414</v>
      </c>
      <c r="X101" s="290">
        <f t="shared" si="64"/>
        <v>57.367852564102584</v>
      </c>
      <c r="Y101" s="290">
        <f t="shared" si="64"/>
        <v>84.773365384615389</v>
      </c>
      <c r="Z101" s="290">
        <f t="shared" si="64"/>
        <v>82.187801025641008</v>
      </c>
      <c r="AA101" s="290">
        <f t="shared" si="64"/>
        <v>90.767596730769213</v>
      </c>
      <c r="AB101" s="290">
        <f t="shared" si="64"/>
        <v>122.2817175</v>
      </c>
      <c r="AC101" s="290">
        <f t="shared" si="64"/>
        <v>24.920055944055985</v>
      </c>
      <c r="AD101" s="252">
        <f t="shared" si="64"/>
        <v>111.95035892648748</v>
      </c>
      <c r="AE101" s="252">
        <f t="shared" si="64"/>
        <v>96.23970012119689</v>
      </c>
    </row>
    <row r="102" spans="1:31">
      <c r="A102" s="240" t="s">
        <v>234</v>
      </c>
      <c r="B102" s="290">
        <f t="shared" si="64"/>
        <v>24.094515845832941</v>
      </c>
      <c r="C102" s="290">
        <f t="shared" si="64"/>
        <v>39.934455717921125</v>
      </c>
      <c r="D102" s="290">
        <f t="shared" si="64"/>
        <v>41.181917217293687</v>
      </c>
      <c r="E102" s="290">
        <f t="shared" si="64"/>
        <v>31.57191388850633</v>
      </c>
      <c r="F102" s="290">
        <f t="shared" si="64"/>
        <v>49.430264355137496</v>
      </c>
      <c r="G102" s="290">
        <f t="shared" si="64"/>
        <v>47.567698317307702</v>
      </c>
      <c r="H102" s="290">
        <f t="shared" si="64"/>
        <v>48.208338461538474</v>
      </c>
      <c r="I102" s="290">
        <f t="shared" si="64"/>
        <v>54.620165361183645</v>
      </c>
      <c r="J102" s="290">
        <f t="shared" si="64"/>
        <v>39.018767399267404</v>
      </c>
      <c r="K102" s="290">
        <f t="shared" si="64"/>
        <v>39.523202146690529</v>
      </c>
      <c r="L102" s="290">
        <f t="shared" si="64"/>
        <v>55.039343589743595</v>
      </c>
      <c r="M102" s="290">
        <f t="shared" si="64"/>
        <v>55.402943969610668</v>
      </c>
      <c r="N102" s="290">
        <f t="shared" si="64"/>
        <v>21.341003957283053</v>
      </c>
      <c r="O102" s="290">
        <f t="shared" si="64"/>
        <v>55.026550387596899</v>
      </c>
      <c r="P102" s="290">
        <f t="shared" si="64"/>
        <v>57.911724806201526</v>
      </c>
      <c r="Q102" s="290">
        <f t="shared" si="64"/>
        <v>43.003342277877145</v>
      </c>
      <c r="R102" s="290">
        <f t="shared" si="64"/>
        <v>57.329525394477315</v>
      </c>
      <c r="S102" s="290">
        <f t="shared" si="64"/>
        <v>69.854676238803691</v>
      </c>
      <c r="T102" s="290">
        <f t="shared" si="64"/>
        <v>72.351420579904627</v>
      </c>
      <c r="U102" s="290">
        <f t="shared" si="64"/>
        <v>56.070351818723985</v>
      </c>
      <c r="V102" s="290">
        <f t="shared" si="64"/>
        <v>88.028303518187315</v>
      </c>
      <c r="W102" s="290">
        <f t="shared" si="64"/>
        <v>61.777495527728135</v>
      </c>
      <c r="X102" s="290">
        <f t="shared" si="64"/>
        <v>72.940352564102611</v>
      </c>
      <c r="Y102" s="290">
        <f t="shared" si="64"/>
        <v>70.352115384615388</v>
      </c>
      <c r="Z102" s="290">
        <f t="shared" si="64"/>
        <v>97.548786025641036</v>
      </c>
      <c r="AA102" s="290">
        <f t="shared" si="64"/>
        <v>97.650502980769261</v>
      </c>
      <c r="AB102" s="290">
        <f t="shared" si="64"/>
        <v>91.160466954545413</v>
      </c>
      <c r="AC102" s="290">
        <f t="shared" si="64"/>
        <v>44.302374125874145</v>
      </c>
      <c r="AD102" s="252">
        <f t="shared" si="64"/>
        <v>109.83623387193238</v>
      </c>
      <c r="AE102" s="252">
        <f t="shared" si="64"/>
        <v>95.263819673239595</v>
      </c>
    </row>
    <row r="103" spans="1:31">
      <c r="A103" s="240" t="s">
        <v>46</v>
      </c>
      <c r="B103" s="290">
        <f t="shared" si="64"/>
        <v>29.020786826531353</v>
      </c>
      <c r="C103" s="290">
        <f t="shared" si="64"/>
        <v>41.517887583642739</v>
      </c>
      <c r="D103" s="290">
        <f t="shared" si="64"/>
        <v>39.657941022258903</v>
      </c>
      <c r="E103" s="290">
        <f t="shared" si="64"/>
        <v>25.889394169146499</v>
      </c>
      <c r="F103" s="290">
        <f t="shared" si="64"/>
        <v>38.243527865789616</v>
      </c>
      <c r="G103" s="290">
        <f t="shared" si="64"/>
        <v>36.922385817307692</v>
      </c>
      <c r="H103" s="290">
        <f t="shared" si="64"/>
        <v>47.535138461538466</v>
      </c>
      <c r="I103" s="290">
        <f t="shared" si="64"/>
        <v>40.09461705831157</v>
      </c>
      <c r="J103" s="290">
        <f t="shared" si="64"/>
        <v>31.954053113553112</v>
      </c>
      <c r="K103" s="290">
        <f t="shared" si="64"/>
        <v>45.991690518783543</v>
      </c>
      <c r="L103" s="290">
        <f t="shared" si="64"/>
        <v>53.698391208791215</v>
      </c>
      <c r="M103" s="290">
        <f t="shared" si="64"/>
        <v>52.917758784425459</v>
      </c>
      <c r="N103" s="290">
        <f t="shared" si="64"/>
        <v>43.157283027050433</v>
      </c>
      <c r="O103" s="290">
        <f t="shared" si="64"/>
        <v>37.92499999999999</v>
      </c>
      <c r="P103" s="290">
        <f t="shared" si="64"/>
        <v>54.426162790697674</v>
      </c>
      <c r="Q103" s="290">
        <f t="shared" si="64"/>
        <v>31.321598091830623</v>
      </c>
      <c r="R103" s="290">
        <f t="shared" si="64"/>
        <v>25.125621548323462</v>
      </c>
      <c r="S103" s="290">
        <f t="shared" si="64"/>
        <v>35.472509822012078</v>
      </c>
      <c r="T103" s="290">
        <f t="shared" si="64"/>
        <v>20.646974358974401</v>
      </c>
      <c r="U103" s="290">
        <f t="shared" si="64"/>
        <v>57.959537865235582</v>
      </c>
      <c r="V103" s="290">
        <f t="shared" si="64"/>
        <v>54.219931425164027</v>
      </c>
      <c r="W103" s="290">
        <f t="shared" si="64"/>
        <v>74.710169946332698</v>
      </c>
      <c r="X103" s="290">
        <f t="shared" si="64"/>
        <v>33.950352564102531</v>
      </c>
      <c r="Y103" s="290">
        <f t="shared" si="64"/>
        <v>64.145865384615377</v>
      </c>
      <c r="Z103" s="290">
        <f t="shared" si="64"/>
        <v>92.108976025641027</v>
      </c>
      <c r="AA103" s="290">
        <f t="shared" si="64"/>
        <v>104.86033048076924</v>
      </c>
      <c r="AB103" s="290">
        <f t="shared" si="64"/>
        <v>-13.980553363636393</v>
      </c>
      <c r="AC103" s="290">
        <f t="shared" si="64"/>
        <v>145.22223776223777</v>
      </c>
      <c r="AD103" s="252">
        <f t="shared" si="64"/>
        <v>71.509368230668073</v>
      </c>
      <c r="AE103" s="252">
        <f t="shared" si="64"/>
        <v>93.201525648550941</v>
      </c>
    </row>
    <row r="104" spans="1:31">
      <c r="A104" s="240" t="s">
        <v>235</v>
      </c>
      <c r="B104" s="290">
        <f t="shared" si="64"/>
        <v>8.9115392000375042</v>
      </c>
      <c r="C104" s="290">
        <f t="shared" si="64"/>
        <v>10.24529820149132</v>
      </c>
      <c r="D104" s="290">
        <f t="shared" si="64"/>
        <v>27.092792561595786</v>
      </c>
      <c r="E104" s="290">
        <f t="shared" si="64"/>
        <v>21.40961940828614</v>
      </c>
      <c r="F104" s="290">
        <f t="shared" si="64"/>
        <v>39.441553166600372</v>
      </c>
      <c r="G104" s="290">
        <f t="shared" si="64"/>
        <v>40.752073317307683</v>
      </c>
      <c r="H104" s="290">
        <f t="shared" si="64"/>
        <v>45.563792307692317</v>
      </c>
      <c r="I104" s="290">
        <f t="shared" si="64"/>
        <v>40.628024369016551</v>
      </c>
      <c r="J104" s="290">
        <f t="shared" si="64"/>
        <v>28.115695970695981</v>
      </c>
      <c r="K104" s="290">
        <f t="shared" si="64"/>
        <v>44.610818425760279</v>
      </c>
      <c r="L104" s="290">
        <f t="shared" si="64"/>
        <v>50.09976263736263</v>
      </c>
      <c r="M104" s="290">
        <f t="shared" si="64"/>
        <v>22.067141500474833</v>
      </c>
      <c r="N104" s="290">
        <f t="shared" si="64"/>
        <v>7.3319341898411627</v>
      </c>
      <c r="O104" s="290">
        <f t="shared" si="64"/>
        <v>46.718895348837201</v>
      </c>
      <c r="P104" s="290">
        <f t="shared" si="64"/>
        <v>5.8260658914728678</v>
      </c>
      <c r="Q104" s="290">
        <f t="shared" ref="B104:AR107" si="65">Q$124*Q88</f>
        <v>36.69752832438877</v>
      </c>
      <c r="R104" s="290">
        <f t="shared" si="65"/>
        <v>64.29923693293884</v>
      </c>
      <c r="S104" s="290">
        <f t="shared" si="65"/>
        <v>48.709995579133519</v>
      </c>
      <c r="T104" s="290">
        <f t="shared" si="65"/>
        <v>27.629672033392978</v>
      </c>
      <c r="U104" s="290">
        <f t="shared" si="65"/>
        <v>96.26511926058447</v>
      </c>
      <c r="V104" s="290">
        <f t="shared" si="65"/>
        <v>68.453419797257027</v>
      </c>
      <c r="W104" s="290">
        <f t="shared" si="65"/>
        <v>32.374239713774642</v>
      </c>
      <c r="X104" s="290">
        <f t="shared" si="65"/>
        <v>60.462852564102612</v>
      </c>
      <c r="Y104" s="290">
        <f t="shared" si="65"/>
        <v>76.538365384615403</v>
      </c>
      <c r="Z104" s="290">
        <f t="shared" si="65"/>
        <v>78.923238525641025</v>
      </c>
      <c r="AA104" s="290">
        <f t="shared" si="65"/>
        <v>88.980736730769223</v>
      </c>
      <c r="AB104" s="290">
        <f t="shared" si="65"/>
        <v>87.894155454545455</v>
      </c>
      <c r="AC104" s="252">
        <f t="shared" si="65"/>
        <v>89.256307514928167</v>
      </c>
      <c r="AD104" s="252">
        <f t="shared" si="65"/>
        <v>100.43663926425505</v>
      </c>
      <c r="AE104" s="252">
        <f t="shared" si="65"/>
        <v>100.30426588781548</v>
      </c>
    </row>
    <row r="105" spans="1:31">
      <c r="A105" s="240" t="s">
        <v>236</v>
      </c>
      <c r="B105" s="290">
        <f t="shared" si="65"/>
        <v>5.5794956678092031</v>
      </c>
      <c r="C105" s="290">
        <f t="shared" si="65"/>
        <v>21.929517593396245</v>
      </c>
      <c r="D105" s="290">
        <f t="shared" si="65"/>
        <v>35.163427685419791</v>
      </c>
      <c r="E105" s="290">
        <f t="shared" si="65"/>
        <v>26.86891408388632</v>
      </c>
      <c r="F105" s="290">
        <f t="shared" si="65"/>
        <v>42.848916586891434</v>
      </c>
      <c r="G105" s="290">
        <f t="shared" si="65"/>
        <v>48.109104567307703</v>
      </c>
      <c r="H105" s="290">
        <f t="shared" si="65"/>
        <v>48.845053846153853</v>
      </c>
      <c r="I105" s="290">
        <f t="shared" si="65"/>
        <v>17.539447345517832</v>
      </c>
      <c r="J105" s="290">
        <f t="shared" si="65"/>
        <v>37.024910256410259</v>
      </c>
      <c r="K105" s="290">
        <f t="shared" si="65"/>
        <v>23.981981216457957</v>
      </c>
      <c r="L105" s="290">
        <f t="shared" si="65"/>
        <v>48.216334065934078</v>
      </c>
      <c r="M105" s="290">
        <f t="shared" si="65"/>
        <v>47.115289648622991</v>
      </c>
      <c r="N105" s="290">
        <f t="shared" si="65"/>
        <v>14.702568439312595</v>
      </c>
      <c r="O105" s="290">
        <f t="shared" si="65"/>
        <v>28.36899224806201</v>
      </c>
      <c r="P105" s="290">
        <f t="shared" si="65"/>
        <v>40.887015503875965</v>
      </c>
      <c r="Q105" s="290">
        <f t="shared" si="65"/>
        <v>56.814737626714383</v>
      </c>
      <c r="R105" s="290">
        <f t="shared" si="65"/>
        <v>60.446073471400389</v>
      </c>
      <c r="S105" s="290">
        <f t="shared" si="65"/>
        <v>56.692643255295458</v>
      </c>
      <c r="T105" s="290">
        <f t="shared" si="65"/>
        <v>63.663962731067421</v>
      </c>
      <c r="U105" s="290">
        <f t="shared" si="65"/>
        <v>45.447677400119325</v>
      </c>
      <c r="V105" s="290">
        <f t="shared" si="65"/>
        <v>86.79783840190818</v>
      </c>
      <c r="W105" s="290">
        <f t="shared" si="65"/>
        <v>64.751332737030452</v>
      </c>
      <c r="X105" s="290">
        <f t="shared" si="65"/>
        <v>77.71035256410255</v>
      </c>
      <c r="Y105" s="290">
        <f t="shared" si="65"/>
        <v>87.224060384615385</v>
      </c>
      <c r="Z105" s="290">
        <f t="shared" si="65"/>
        <v>72.768113525641056</v>
      </c>
      <c r="AA105" s="290">
        <f t="shared" si="65"/>
        <v>136.44287423076921</v>
      </c>
      <c r="AB105" s="290">
        <f t="shared" si="65"/>
        <v>140.06975440909093</v>
      </c>
      <c r="AC105" s="252">
        <f t="shared" si="65"/>
        <v>116.14791174305024</v>
      </c>
      <c r="AD105" s="252">
        <f t="shared" si="65"/>
        <v>131.59991752204459</v>
      </c>
      <c r="AE105" s="252">
        <f t="shared" si="65"/>
        <v>131.5906099909719</v>
      </c>
    </row>
    <row r="106" spans="1:31">
      <c r="A106" s="240" t="s">
        <v>237</v>
      </c>
      <c r="B106" s="290">
        <f t="shared" si="65"/>
        <v>27.052333317672119</v>
      </c>
      <c r="C106" s="290">
        <f t="shared" si="65"/>
        <v>37.75369019299464</v>
      </c>
      <c r="D106" s="290">
        <f t="shared" si="65"/>
        <v>46.559464280334083</v>
      </c>
      <c r="E106" s="290">
        <f t="shared" si="65"/>
        <v>40.942756131557438</v>
      </c>
      <c r="F106" s="290">
        <f t="shared" si="65"/>
        <v>50.540448257606002</v>
      </c>
      <c r="G106" s="290">
        <f t="shared" si="65"/>
        <v>45.07277644230772</v>
      </c>
      <c r="H106" s="290">
        <f t="shared" si="65"/>
        <v>51.454292307692313</v>
      </c>
      <c r="I106" s="290">
        <f t="shared" si="65"/>
        <v>19.416470844212366</v>
      </c>
      <c r="J106" s="290">
        <f t="shared" si="65"/>
        <v>38.398267399267397</v>
      </c>
      <c r="K106" s="290">
        <f t="shared" si="65"/>
        <v>44.113899821109122</v>
      </c>
      <c r="L106" s="290">
        <f t="shared" si="65"/>
        <v>45.157743589743603</v>
      </c>
      <c r="M106" s="290">
        <f t="shared" si="65"/>
        <v>45.86837606837608</v>
      </c>
      <c r="N106" s="290">
        <f t="shared" si="65"/>
        <v>57.888572667642457</v>
      </c>
      <c r="O106" s="290">
        <f t="shared" si="65"/>
        <v>61.961143410852706</v>
      </c>
      <c r="P106" s="290">
        <f t="shared" si="65"/>
        <v>43.692344961240309</v>
      </c>
      <c r="Q106" s="290">
        <f t="shared" si="65"/>
        <v>78.026830649970179</v>
      </c>
      <c r="R106" s="290">
        <f t="shared" si="65"/>
        <v>63.355448471400386</v>
      </c>
      <c r="S106" s="290">
        <f t="shared" si="65"/>
        <v>48.918449851997124</v>
      </c>
      <c r="T106" s="290">
        <f t="shared" si="65"/>
        <v>77.033001975253427</v>
      </c>
      <c r="U106" s="290">
        <f t="shared" si="65"/>
        <v>92.970235539654212</v>
      </c>
      <c r="V106" s="290">
        <f t="shared" si="65"/>
        <v>127.47993142516397</v>
      </c>
      <c r="W106" s="290">
        <f t="shared" si="65"/>
        <v>109.44586762075136</v>
      </c>
      <c r="X106" s="290">
        <f t="shared" si="65"/>
        <v>93.712852564102604</v>
      </c>
      <c r="Y106" s="290">
        <f t="shared" si="65"/>
        <v>113.32604538461538</v>
      </c>
      <c r="Z106" s="290">
        <f t="shared" si="65"/>
        <v>115.40281477564103</v>
      </c>
      <c r="AA106" s="290">
        <f t="shared" si="65"/>
        <v>138.25429048076924</v>
      </c>
      <c r="AB106" s="290">
        <f t="shared" si="65"/>
        <v>166.21388140909096</v>
      </c>
      <c r="AC106" s="252">
        <f t="shared" si="65"/>
        <v>150.8801106227165</v>
      </c>
      <c r="AD106" s="252">
        <f t="shared" si="65"/>
        <v>160.41971388036774</v>
      </c>
      <c r="AE106" s="252">
        <f t="shared" si="65"/>
        <v>162.88348162190434</v>
      </c>
    </row>
    <row r="107" spans="1:31">
      <c r="A107" s="240" t="s">
        <v>238</v>
      </c>
      <c r="B107" s="290">
        <f t="shared" si="65"/>
        <v>34.176550221228695</v>
      </c>
      <c r="C107" s="290">
        <f t="shared" si="65"/>
        <v>53.101246094693764</v>
      </c>
      <c r="D107" s="290">
        <f t="shared" si="65"/>
        <v>55.627950981904036</v>
      </c>
      <c r="E107" s="290">
        <f t="shared" si="65"/>
        <v>50.681480809970147</v>
      </c>
      <c r="F107" s="290">
        <f t="shared" si="65"/>
        <v>60.386093872155115</v>
      </c>
      <c r="G107" s="290">
        <f t="shared" si="65"/>
        <v>43.011177884615414</v>
      </c>
      <c r="H107" s="290">
        <f t="shared" si="65"/>
        <v>47.178530769230782</v>
      </c>
      <c r="I107" s="290">
        <f t="shared" si="65"/>
        <v>43.354825935596139</v>
      </c>
      <c r="J107" s="290">
        <f t="shared" si="65"/>
        <v>41.847772893772905</v>
      </c>
      <c r="K107" s="290">
        <f t="shared" si="65"/>
        <v>44.376869409660095</v>
      </c>
      <c r="L107" s="290">
        <f t="shared" si="65"/>
        <v>60.81087765567765</v>
      </c>
      <c r="M107" s="290">
        <f t="shared" si="65"/>
        <v>54.376258309591641</v>
      </c>
      <c r="N107" s="290">
        <f t="shared" si="65"/>
        <v>79.012952241556874</v>
      </c>
      <c r="O107" s="290">
        <f t="shared" si="65"/>
        <v>56.667441860465075</v>
      </c>
      <c r="P107" s="290">
        <f t="shared" si="65"/>
        <v>84.574321705426328</v>
      </c>
      <c r="Q107" s="290">
        <f t="shared" si="65"/>
        <v>89.248700059630323</v>
      </c>
      <c r="R107" s="290">
        <f t="shared" si="65"/>
        <v>67.227499506903328</v>
      </c>
      <c r="S107" s="290">
        <f t="shared" si="65"/>
        <v>100.04208161303966</v>
      </c>
      <c r="T107" s="290">
        <f t="shared" si="65"/>
        <v>94.972610539654127</v>
      </c>
      <c r="U107" s="290">
        <f t="shared" si="65"/>
        <v>96.62985092426932</v>
      </c>
      <c r="V107" s="290">
        <f t="shared" si="65"/>
        <v>109.86005664877749</v>
      </c>
      <c r="W107" s="290">
        <f t="shared" si="65"/>
        <v>112.10347942754926</v>
      </c>
      <c r="X107" s="290">
        <f t="shared" si="65"/>
        <v>55.092371794871802</v>
      </c>
      <c r="Y107" s="290">
        <f t="shared" si="65"/>
        <v>116.33219076923079</v>
      </c>
      <c r="Z107" s="290">
        <f t="shared" si="65"/>
        <v>115.04661621794874</v>
      </c>
      <c r="AA107" s="290">
        <f t="shared" si="65"/>
        <v>148.10159096153845</v>
      </c>
      <c r="AB107" s="290">
        <f t="shared" si="65"/>
        <v>195.86666454545457</v>
      </c>
      <c r="AC107" s="252">
        <f t="shared" si="65"/>
        <v>248.49076120322104</v>
      </c>
      <c r="AD107" s="252">
        <f t="shared" si="65"/>
        <v>161.45830510185004</v>
      </c>
      <c r="AE107" s="252">
        <f t="shared" si="65"/>
        <v>196.4346140075715</v>
      </c>
    </row>
    <row r="108" spans="1:31" ht="15.75" thickBot="1">
      <c r="A108" s="240" t="s">
        <v>242</v>
      </c>
      <c r="B108" s="290">
        <f>SUM(B96:B107)</f>
        <v>330.00000000000017</v>
      </c>
      <c r="C108" s="290">
        <f t="shared" ref="C108:AB108" si="66">SUM(C96:C107)</f>
        <v>479.99999999999994</v>
      </c>
      <c r="D108" s="290">
        <f t="shared" si="66"/>
        <v>530</v>
      </c>
      <c r="E108" s="290">
        <f t="shared" si="66"/>
        <v>450</v>
      </c>
      <c r="F108" s="290">
        <f t="shared" si="66"/>
        <v>599.99999999999989</v>
      </c>
      <c r="G108" s="290">
        <f t="shared" si="66"/>
        <v>600.00000000000023</v>
      </c>
      <c r="H108" s="290">
        <f t="shared" si="66"/>
        <v>581.70482307692316</v>
      </c>
      <c r="I108" s="290">
        <f t="shared" si="66"/>
        <v>495.95475195822439</v>
      </c>
      <c r="J108" s="290">
        <f t="shared" si="66"/>
        <v>354.65521428571435</v>
      </c>
      <c r="K108" s="290">
        <f t="shared" si="66"/>
        <v>521.17238372093016</v>
      </c>
      <c r="L108" s="290">
        <f t="shared" si="66"/>
        <v>641.88464761904777</v>
      </c>
      <c r="M108" s="290">
        <f t="shared" si="66"/>
        <v>590.98148148148164</v>
      </c>
      <c r="N108" s="290">
        <f t="shared" si="66"/>
        <v>582.72665961945017</v>
      </c>
      <c r="O108" s="290">
        <f t="shared" si="66"/>
        <v>665.32286821705429</v>
      </c>
      <c r="P108" s="290">
        <f t="shared" si="66"/>
        <v>645.83294573643411</v>
      </c>
      <c r="Q108" s="290">
        <f t="shared" si="66"/>
        <v>666.55779069767425</v>
      </c>
      <c r="R108" s="290">
        <f t="shared" si="66"/>
        <v>788.26030769230726</v>
      </c>
      <c r="S108" s="290">
        <f t="shared" si="66"/>
        <v>855.8313973013494</v>
      </c>
      <c r="T108" s="290">
        <f t="shared" si="66"/>
        <v>826.06230959302343</v>
      </c>
      <c r="U108" s="290">
        <f t="shared" si="66"/>
        <v>883.31151162790752</v>
      </c>
      <c r="V108" s="290">
        <f t="shared" si="66"/>
        <v>1009.3702325581398</v>
      </c>
      <c r="W108" s="290">
        <f t="shared" si="66"/>
        <v>891.68941860465134</v>
      </c>
      <c r="X108" s="290">
        <f t="shared" si="66"/>
        <v>701.07375000000013</v>
      </c>
      <c r="Y108" s="290">
        <f t="shared" si="66"/>
        <v>970.49883499999999</v>
      </c>
      <c r="Z108" s="290">
        <f t="shared" si="66"/>
        <v>1084.90280125</v>
      </c>
      <c r="AA108" s="290">
        <f t="shared" si="66"/>
        <v>1351.1534750000001</v>
      </c>
      <c r="AB108" s="290">
        <f t="shared" si="66"/>
        <v>1425.0589052727273</v>
      </c>
      <c r="AC108" s="253">
        <f>SUM(AC96:AC107)</f>
        <v>1323</v>
      </c>
      <c r="AD108" s="253">
        <f t="shared" ref="AD108:AE108" si="67">SUM(AD96:AD107)</f>
        <v>1415.5599400436809</v>
      </c>
      <c r="AE108" s="253">
        <f t="shared" si="67"/>
        <v>1464.997738312702</v>
      </c>
    </row>
    <row r="109" spans="1:31">
      <c r="A109" s="248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48"/>
      <c r="AA109" s="248"/>
      <c r="AB109" s="248"/>
      <c r="AC109" s="254"/>
      <c r="AD109" s="254"/>
      <c r="AE109" s="254"/>
    </row>
    <row r="110" spans="1:31" ht="15.75" thickBot="1">
      <c r="A110" s="235" t="s">
        <v>254</v>
      </c>
    </row>
    <row r="111" spans="1:31" ht="15.75" thickBot="1">
      <c r="A111" s="236"/>
      <c r="B111" s="237" t="str">
        <f>B$2</f>
        <v xml:space="preserve">93/94 </v>
      </c>
      <c r="C111" s="237" t="str">
        <f t="shared" ref="C111:AE111" si="68">C$2</f>
        <v xml:space="preserve">94/95 </v>
      </c>
      <c r="D111" s="237" t="str">
        <f t="shared" si="68"/>
        <v xml:space="preserve">95/96 </v>
      </c>
      <c r="E111" s="237" t="str">
        <f t="shared" si="68"/>
        <v xml:space="preserve">96/97 </v>
      </c>
      <c r="F111" s="237" t="str">
        <f t="shared" si="68"/>
        <v xml:space="preserve">97/98 </v>
      </c>
      <c r="G111" s="237" t="str">
        <f t="shared" si="68"/>
        <v xml:space="preserve">98/99 </v>
      </c>
      <c r="H111" s="237" t="str">
        <f t="shared" si="68"/>
        <v xml:space="preserve">99/00 </v>
      </c>
      <c r="I111" s="237" t="str">
        <f t="shared" si="68"/>
        <v xml:space="preserve">00/01 </v>
      </c>
      <c r="J111" s="237" t="str">
        <f t="shared" si="68"/>
        <v xml:space="preserve">01/02 </v>
      </c>
      <c r="K111" s="237" t="str">
        <f t="shared" si="68"/>
        <v xml:space="preserve">02/03 </v>
      </c>
      <c r="L111" s="237" t="str">
        <f t="shared" si="68"/>
        <v xml:space="preserve">03/04 </v>
      </c>
      <c r="M111" s="237" t="str">
        <f t="shared" si="68"/>
        <v xml:space="preserve">04/05 </v>
      </c>
      <c r="N111" s="237" t="str">
        <f t="shared" si="68"/>
        <v xml:space="preserve">05/06 </v>
      </c>
      <c r="O111" s="237" t="str">
        <f t="shared" si="68"/>
        <v xml:space="preserve">06/07 </v>
      </c>
      <c r="P111" s="237" t="str">
        <f t="shared" si="68"/>
        <v xml:space="preserve">07/08 </v>
      </c>
      <c r="Q111" s="237" t="str">
        <f t="shared" si="68"/>
        <v xml:space="preserve">08/09 </v>
      </c>
      <c r="R111" s="237" t="str">
        <f t="shared" si="68"/>
        <v xml:space="preserve">09/10 </v>
      </c>
      <c r="S111" s="237" t="str">
        <f t="shared" si="68"/>
        <v xml:space="preserve">10/11 </v>
      </c>
      <c r="T111" s="237" t="str">
        <f t="shared" si="68"/>
        <v xml:space="preserve">11/12 </v>
      </c>
      <c r="U111" s="237" t="str">
        <f t="shared" si="68"/>
        <v xml:space="preserve">12/13 </v>
      </c>
      <c r="V111" s="237" t="str">
        <f t="shared" si="68"/>
        <v xml:space="preserve">13/14 </v>
      </c>
      <c r="W111" s="237" t="str">
        <f t="shared" si="68"/>
        <v xml:space="preserve">14/15 </v>
      </c>
      <c r="X111" s="237" t="str">
        <f t="shared" si="68"/>
        <v xml:space="preserve">15/16 </v>
      </c>
      <c r="Y111" s="237" t="str">
        <f t="shared" si="68"/>
        <v xml:space="preserve">16/17 </v>
      </c>
      <c r="Z111" s="237" t="str">
        <f t="shared" si="68"/>
        <v xml:space="preserve">17/18 </v>
      </c>
      <c r="AA111" s="237" t="str">
        <f t="shared" si="68"/>
        <v xml:space="preserve">18/19 </v>
      </c>
      <c r="AB111" s="237" t="str">
        <f t="shared" si="68"/>
        <v xml:space="preserve">19/20 </v>
      </c>
      <c r="AC111" s="237" t="str">
        <f t="shared" si="68"/>
        <v xml:space="preserve">20/21 </v>
      </c>
      <c r="AD111" s="237" t="str">
        <f t="shared" si="68"/>
        <v xml:space="preserve">21/22 </v>
      </c>
      <c r="AE111" s="237" t="str">
        <f t="shared" si="68"/>
        <v xml:space="preserve">22/23 </v>
      </c>
    </row>
    <row r="112" spans="1:31">
      <c r="A112" s="240" t="s">
        <v>239</v>
      </c>
      <c r="B112" s="298">
        <f t="shared" ref="B112:AE120" si="69">B96/B80</f>
        <v>0.43421052631578949</v>
      </c>
      <c r="C112" s="298">
        <f t="shared" si="69"/>
        <v>0.44651162790697674</v>
      </c>
      <c r="D112" s="298">
        <f t="shared" si="69"/>
        <v>0.46778464254192409</v>
      </c>
      <c r="E112" s="298">
        <f t="shared" si="69"/>
        <v>0.46875</v>
      </c>
      <c r="F112" s="298">
        <f t="shared" si="69"/>
        <v>0.48979591836734693</v>
      </c>
      <c r="G112" s="298">
        <f t="shared" si="69"/>
        <v>0.49668874172185429</v>
      </c>
      <c r="H112" s="298">
        <f t="shared" si="69"/>
        <v>0.49877750611246946</v>
      </c>
      <c r="I112" s="298">
        <f t="shared" si="69"/>
        <v>0.5112359550561798</v>
      </c>
      <c r="J112" s="298">
        <f t="shared" si="69"/>
        <v>0.52307692307692311</v>
      </c>
      <c r="K112" s="298">
        <f t="shared" si="69"/>
        <v>0.52500000000000002</v>
      </c>
      <c r="L112" s="298">
        <f t="shared" si="69"/>
        <v>0.52459016393442626</v>
      </c>
      <c r="M112" s="298">
        <f t="shared" si="69"/>
        <v>0.53097345132743368</v>
      </c>
      <c r="N112" s="298">
        <f t="shared" si="69"/>
        <v>0.53636363636363638</v>
      </c>
      <c r="O112" s="298">
        <f t="shared" si="69"/>
        <v>0.54166666666666663</v>
      </c>
      <c r="P112" s="298">
        <f t="shared" si="69"/>
        <v>0.54166666666666663</v>
      </c>
      <c r="Q112" s="298">
        <f t="shared" si="69"/>
        <v>0.55000000000000004</v>
      </c>
      <c r="R112" s="298">
        <f t="shared" si="69"/>
        <v>0.55034482758620684</v>
      </c>
      <c r="S112" s="298">
        <f t="shared" si="69"/>
        <v>0.55032258064516126</v>
      </c>
      <c r="T112" s="298">
        <f t="shared" si="69"/>
        <v>0.53312499999999996</v>
      </c>
      <c r="U112" s="298">
        <f t="shared" si="69"/>
        <v>0.55000000000000004</v>
      </c>
      <c r="V112" s="298">
        <f t="shared" si="69"/>
        <v>0.55000000000000004</v>
      </c>
      <c r="W112" s="298">
        <f t="shared" si="69"/>
        <v>0.55000000000000004</v>
      </c>
      <c r="X112" s="298">
        <f t="shared" si="69"/>
        <v>0.55000000000000004</v>
      </c>
      <c r="Y112" s="298">
        <f t="shared" si="69"/>
        <v>0.55000000000000004</v>
      </c>
      <c r="Z112" s="298">
        <f t="shared" si="69"/>
        <v>0.55000000000000004</v>
      </c>
      <c r="AA112" s="298">
        <f t="shared" si="69"/>
        <v>0.55000000000000004</v>
      </c>
      <c r="AB112" s="298">
        <f t="shared" si="69"/>
        <v>0.54</v>
      </c>
      <c r="AC112" s="298">
        <f t="shared" si="69"/>
        <v>0.54</v>
      </c>
      <c r="AD112" s="259">
        <f t="shared" si="69"/>
        <v>0.5444461307860311</v>
      </c>
      <c r="AE112" s="259">
        <f t="shared" si="69"/>
        <v>0.54259175493063028</v>
      </c>
    </row>
    <row r="113" spans="1:31">
      <c r="A113" s="240" t="s">
        <v>240</v>
      </c>
      <c r="B113" s="298">
        <f t="shared" si="69"/>
        <v>0.43421052631578949</v>
      </c>
      <c r="C113" s="298">
        <f t="shared" si="69"/>
        <v>0.44651162790697674</v>
      </c>
      <c r="D113" s="298">
        <f t="shared" si="69"/>
        <v>0.46778464254192409</v>
      </c>
      <c r="E113" s="298">
        <f t="shared" si="69"/>
        <v>0.46875</v>
      </c>
      <c r="F113" s="298">
        <f t="shared" si="69"/>
        <v>0.48979591836734693</v>
      </c>
      <c r="G113" s="298">
        <f t="shared" si="69"/>
        <v>0.49668874172185423</v>
      </c>
      <c r="H113" s="298">
        <f t="shared" si="69"/>
        <v>0.49877750611246946</v>
      </c>
      <c r="I113" s="298">
        <f t="shared" si="69"/>
        <v>0.5112359550561798</v>
      </c>
      <c r="J113" s="298">
        <f t="shared" si="69"/>
        <v>0.52307692307692311</v>
      </c>
      <c r="K113" s="298">
        <f t="shared" si="69"/>
        <v>0.52500000000000002</v>
      </c>
      <c r="L113" s="298">
        <f t="shared" si="69"/>
        <v>0.52459016393442626</v>
      </c>
      <c r="M113" s="298">
        <f t="shared" si="69"/>
        <v>0.53097345132743368</v>
      </c>
      <c r="N113" s="298">
        <f t="shared" si="69"/>
        <v>0.53636363636363638</v>
      </c>
      <c r="O113" s="298">
        <f t="shared" si="69"/>
        <v>0.54166666666666674</v>
      </c>
      <c r="P113" s="298">
        <f t="shared" si="69"/>
        <v>0.54166666666666663</v>
      </c>
      <c r="Q113" s="298">
        <f t="shared" si="69"/>
        <v>0.55000000000000004</v>
      </c>
      <c r="R113" s="298">
        <f t="shared" si="69"/>
        <v>0.55034482758620684</v>
      </c>
      <c r="S113" s="298">
        <f t="shared" si="69"/>
        <v>0.55032258064516126</v>
      </c>
      <c r="T113" s="298">
        <f t="shared" si="69"/>
        <v>0.53312499999999996</v>
      </c>
      <c r="U113" s="298">
        <f t="shared" si="69"/>
        <v>0.55000000000000004</v>
      </c>
      <c r="V113" s="298">
        <f t="shared" si="69"/>
        <v>0.55000000000000004</v>
      </c>
      <c r="W113" s="298">
        <f t="shared" si="69"/>
        <v>0.55000000000000004</v>
      </c>
      <c r="X113" s="298">
        <f t="shared" si="69"/>
        <v>0.55000000000000004</v>
      </c>
      <c r="Y113" s="298">
        <f t="shared" si="69"/>
        <v>0.55000000000000004</v>
      </c>
      <c r="Z113" s="298">
        <f t="shared" si="69"/>
        <v>0.55000000000000004</v>
      </c>
      <c r="AA113" s="298">
        <f t="shared" si="69"/>
        <v>0.55000000000000004</v>
      </c>
      <c r="AB113" s="298">
        <f t="shared" si="69"/>
        <v>0.54</v>
      </c>
      <c r="AC113" s="298">
        <f t="shared" si="69"/>
        <v>0.54</v>
      </c>
      <c r="AD113" s="259">
        <f t="shared" si="69"/>
        <v>0.5444461307860311</v>
      </c>
      <c r="AE113" s="259">
        <f t="shared" si="69"/>
        <v>0.54259175493063028</v>
      </c>
    </row>
    <row r="114" spans="1:31">
      <c r="A114" s="240" t="s">
        <v>241</v>
      </c>
      <c r="B114" s="298">
        <f t="shared" si="69"/>
        <v>0.43421052631578949</v>
      </c>
      <c r="C114" s="298">
        <f t="shared" si="69"/>
        <v>0.44651162790697674</v>
      </c>
      <c r="D114" s="298">
        <f t="shared" si="69"/>
        <v>0.46778464254192409</v>
      </c>
      <c r="E114" s="298">
        <f t="shared" si="69"/>
        <v>0.46875</v>
      </c>
      <c r="F114" s="298">
        <f t="shared" si="69"/>
        <v>0.48979591836734687</v>
      </c>
      <c r="G114" s="298">
        <f t="shared" si="69"/>
        <v>0.49668874172185429</v>
      </c>
      <c r="H114" s="298">
        <f t="shared" si="69"/>
        <v>0.49877750611246952</v>
      </c>
      <c r="I114" s="298">
        <f t="shared" si="69"/>
        <v>0.5112359550561798</v>
      </c>
      <c r="J114" s="298">
        <f t="shared" si="69"/>
        <v>0.52307692307692311</v>
      </c>
      <c r="K114" s="298">
        <f t="shared" si="69"/>
        <v>0.52500000000000002</v>
      </c>
      <c r="L114" s="298">
        <f t="shared" si="69"/>
        <v>0.52459016393442626</v>
      </c>
      <c r="M114" s="298">
        <f t="shared" si="69"/>
        <v>0.53097345132743368</v>
      </c>
      <c r="N114" s="298">
        <f t="shared" si="69"/>
        <v>0.53636363636363638</v>
      </c>
      <c r="O114" s="298">
        <f t="shared" si="69"/>
        <v>0.54166666666666663</v>
      </c>
      <c r="P114" s="298">
        <f t="shared" si="69"/>
        <v>0.54166666666666663</v>
      </c>
      <c r="Q114" s="298">
        <f t="shared" si="69"/>
        <v>0.55000000000000004</v>
      </c>
      <c r="R114" s="298">
        <f t="shared" si="69"/>
        <v>0.55034482758620684</v>
      </c>
      <c r="S114" s="298">
        <f t="shared" si="69"/>
        <v>0.55032258064516126</v>
      </c>
      <c r="T114" s="298">
        <f t="shared" si="69"/>
        <v>0.53312499999999996</v>
      </c>
      <c r="U114" s="298">
        <f t="shared" si="69"/>
        <v>0.55000000000000004</v>
      </c>
      <c r="V114" s="298">
        <f t="shared" si="69"/>
        <v>0.55000000000000004</v>
      </c>
      <c r="W114" s="298">
        <f t="shared" si="69"/>
        <v>0.55000000000000004</v>
      </c>
      <c r="X114" s="298">
        <f t="shared" si="69"/>
        <v>0.55000000000000004</v>
      </c>
      <c r="Y114" s="298">
        <f t="shared" si="69"/>
        <v>0.55000000000000004</v>
      </c>
      <c r="Z114" s="298">
        <f t="shared" si="69"/>
        <v>0.55000000000000004</v>
      </c>
      <c r="AA114" s="298">
        <f t="shared" si="69"/>
        <v>0.55000000000000004</v>
      </c>
      <c r="AB114" s="298">
        <f t="shared" si="69"/>
        <v>0.54</v>
      </c>
      <c r="AC114" s="298">
        <f t="shared" si="69"/>
        <v>0.54</v>
      </c>
      <c r="AD114" s="259">
        <f t="shared" si="69"/>
        <v>0.5444461307860311</v>
      </c>
      <c r="AE114" s="259">
        <f t="shared" si="69"/>
        <v>0.54259175493063028</v>
      </c>
    </row>
    <row r="115" spans="1:31">
      <c r="A115" s="240" t="s">
        <v>231</v>
      </c>
      <c r="B115" s="298">
        <f t="shared" si="69"/>
        <v>0.43421052631578949</v>
      </c>
      <c r="C115" s="298">
        <f t="shared" si="69"/>
        <v>0.44651162790697668</v>
      </c>
      <c r="D115" s="298">
        <f t="shared" si="69"/>
        <v>0.46778464254192409</v>
      </c>
      <c r="E115" s="298">
        <f t="shared" si="69"/>
        <v>0.46875</v>
      </c>
      <c r="F115" s="298">
        <f t="shared" si="69"/>
        <v>0.48979591836734693</v>
      </c>
      <c r="G115" s="298">
        <f t="shared" si="69"/>
        <v>0.49668874172185429</v>
      </c>
      <c r="H115" s="298">
        <f t="shared" si="69"/>
        <v>0.49877750611246946</v>
      </c>
      <c r="I115" s="298">
        <f t="shared" si="69"/>
        <v>0.5112359550561798</v>
      </c>
      <c r="J115" s="298">
        <f t="shared" si="69"/>
        <v>0.52307692307692311</v>
      </c>
      <c r="K115" s="298">
        <f t="shared" si="69"/>
        <v>0.52500000000000002</v>
      </c>
      <c r="L115" s="298">
        <f t="shared" si="69"/>
        <v>0.52459016393442626</v>
      </c>
      <c r="M115" s="298">
        <f t="shared" si="69"/>
        <v>0.53097345132743368</v>
      </c>
      <c r="N115" s="298">
        <f t="shared" si="69"/>
        <v>0.53636363636363638</v>
      </c>
      <c r="O115" s="298">
        <f t="shared" si="69"/>
        <v>0.54166666666666663</v>
      </c>
      <c r="P115" s="298">
        <f t="shared" si="69"/>
        <v>0.54166666666666663</v>
      </c>
      <c r="Q115" s="298">
        <f t="shared" si="69"/>
        <v>0.55000000000000004</v>
      </c>
      <c r="R115" s="298">
        <f t="shared" si="69"/>
        <v>0.55034482758620684</v>
      </c>
      <c r="S115" s="298">
        <f t="shared" si="69"/>
        <v>0.55032258064516126</v>
      </c>
      <c r="T115" s="298">
        <f t="shared" si="69"/>
        <v>0.53312499999999996</v>
      </c>
      <c r="U115" s="298">
        <f t="shared" si="69"/>
        <v>0.55000000000000004</v>
      </c>
      <c r="V115" s="298">
        <f t="shared" si="69"/>
        <v>0.55000000000000004</v>
      </c>
      <c r="W115" s="298">
        <f t="shared" si="69"/>
        <v>0.55000000000000004</v>
      </c>
      <c r="X115" s="298">
        <f t="shared" si="69"/>
        <v>0.55000000000000004</v>
      </c>
      <c r="Y115" s="298">
        <f t="shared" si="69"/>
        <v>0.55000000000000004</v>
      </c>
      <c r="Z115" s="298">
        <f t="shared" si="69"/>
        <v>0.55000000000000004</v>
      </c>
      <c r="AA115" s="298">
        <f t="shared" si="69"/>
        <v>0.55000000000000004</v>
      </c>
      <c r="AB115" s="298">
        <f t="shared" si="69"/>
        <v>0.54</v>
      </c>
      <c r="AC115" s="298">
        <f t="shared" si="69"/>
        <v>0.54</v>
      </c>
      <c r="AD115" s="259">
        <f t="shared" si="69"/>
        <v>0.5444461307860311</v>
      </c>
      <c r="AE115" s="259">
        <f t="shared" si="69"/>
        <v>0.54259175493063028</v>
      </c>
    </row>
    <row r="116" spans="1:31">
      <c r="A116" s="240" t="s">
        <v>232</v>
      </c>
      <c r="B116" s="298">
        <f t="shared" si="69"/>
        <v>0.43421052631578949</v>
      </c>
      <c r="C116" s="298">
        <f t="shared" si="69"/>
        <v>0.44651162790697674</v>
      </c>
      <c r="D116" s="298">
        <f t="shared" si="69"/>
        <v>0.46778464254192414</v>
      </c>
      <c r="E116" s="298">
        <f t="shared" si="69"/>
        <v>0.46875000000000006</v>
      </c>
      <c r="F116" s="298">
        <f t="shared" si="69"/>
        <v>0.48979591836734693</v>
      </c>
      <c r="G116" s="298">
        <f t="shared" si="69"/>
        <v>0.49668874172185429</v>
      </c>
      <c r="H116" s="298">
        <f t="shared" si="69"/>
        <v>0.49877750611246946</v>
      </c>
      <c r="I116" s="298">
        <f t="shared" si="69"/>
        <v>0.5112359550561798</v>
      </c>
      <c r="J116" s="298">
        <f t="shared" si="69"/>
        <v>0.52307692307692311</v>
      </c>
      <c r="K116" s="298">
        <f t="shared" si="69"/>
        <v>0.52500000000000002</v>
      </c>
      <c r="L116" s="298">
        <f t="shared" si="69"/>
        <v>0.52459016393442626</v>
      </c>
      <c r="M116" s="298">
        <f t="shared" si="69"/>
        <v>0.53097345132743368</v>
      </c>
      <c r="N116" s="298">
        <f t="shared" si="69"/>
        <v>0.53636363636363638</v>
      </c>
      <c r="O116" s="298">
        <f t="shared" si="69"/>
        <v>0.54166666666666663</v>
      </c>
      <c r="P116" s="298">
        <f t="shared" si="69"/>
        <v>0.54166666666666663</v>
      </c>
      <c r="Q116" s="298">
        <f t="shared" si="69"/>
        <v>0.55000000000000004</v>
      </c>
      <c r="R116" s="298">
        <f t="shared" si="69"/>
        <v>0.55034482758620684</v>
      </c>
      <c r="S116" s="298">
        <f t="shared" si="69"/>
        <v>0.55032258064516126</v>
      </c>
      <c r="T116" s="298">
        <f t="shared" si="69"/>
        <v>0.53312499999999996</v>
      </c>
      <c r="U116" s="298">
        <f t="shared" si="69"/>
        <v>0.55000000000000004</v>
      </c>
      <c r="V116" s="298">
        <f t="shared" si="69"/>
        <v>0.55000000000000004</v>
      </c>
      <c r="W116" s="298">
        <f t="shared" si="69"/>
        <v>0.55000000000000004</v>
      </c>
      <c r="X116" s="298">
        <f t="shared" si="69"/>
        <v>0.55000000000000004</v>
      </c>
      <c r="Y116" s="298">
        <f t="shared" si="69"/>
        <v>0.55000000000000004</v>
      </c>
      <c r="Z116" s="298">
        <f t="shared" si="69"/>
        <v>0.55000000000000004</v>
      </c>
      <c r="AA116" s="298">
        <f t="shared" si="69"/>
        <v>0.55000000000000004</v>
      </c>
      <c r="AB116" s="298">
        <f t="shared" si="69"/>
        <v>0.54</v>
      </c>
      <c r="AC116" s="298">
        <f t="shared" si="69"/>
        <v>0.54</v>
      </c>
      <c r="AD116" s="259">
        <f t="shared" si="69"/>
        <v>0.5444461307860311</v>
      </c>
      <c r="AE116" s="259">
        <f t="shared" si="69"/>
        <v>0.54259175493063028</v>
      </c>
    </row>
    <row r="117" spans="1:31">
      <c r="A117" s="240" t="s">
        <v>233</v>
      </c>
      <c r="B117" s="298">
        <f t="shared" si="69"/>
        <v>0.43421052631578949</v>
      </c>
      <c r="C117" s="298">
        <f t="shared" si="69"/>
        <v>0.44651162790697674</v>
      </c>
      <c r="D117" s="298">
        <f t="shared" si="69"/>
        <v>0.46778464254192409</v>
      </c>
      <c r="E117" s="298">
        <f t="shared" si="69"/>
        <v>0.46875000000000006</v>
      </c>
      <c r="F117" s="298">
        <f t="shared" si="69"/>
        <v>0.48979591836734698</v>
      </c>
      <c r="G117" s="298">
        <f t="shared" si="69"/>
        <v>0.49668874172185429</v>
      </c>
      <c r="H117" s="298">
        <f t="shared" si="69"/>
        <v>0.49877750611246946</v>
      </c>
      <c r="I117" s="298">
        <f t="shared" si="69"/>
        <v>0.5112359550561798</v>
      </c>
      <c r="J117" s="298">
        <f t="shared" si="69"/>
        <v>0.52307692307692311</v>
      </c>
      <c r="K117" s="298">
        <f t="shared" si="69"/>
        <v>0.52500000000000002</v>
      </c>
      <c r="L117" s="298">
        <f t="shared" si="69"/>
        <v>0.52459016393442626</v>
      </c>
      <c r="M117" s="298">
        <f t="shared" si="69"/>
        <v>0.53097345132743368</v>
      </c>
      <c r="N117" s="298">
        <f t="shared" si="69"/>
        <v>0.53636363636363638</v>
      </c>
      <c r="O117" s="298">
        <f t="shared" si="69"/>
        <v>0.54166666666666663</v>
      </c>
      <c r="P117" s="298">
        <f t="shared" si="69"/>
        <v>0.54166666666666663</v>
      </c>
      <c r="Q117" s="298">
        <f t="shared" si="69"/>
        <v>0.55000000000000004</v>
      </c>
      <c r="R117" s="298">
        <f t="shared" si="69"/>
        <v>0.55034482758620684</v>
      </c>
      <c r="S117" s="298">
        <f t="shared" si="69"/>
        <v>0.55032258064516126</v>
      </c>
      <c r="T117" s="298">
        <f t="shared" si="69"/>
        <v>0.53312499999999996</v>
      </c>
      <c r="U117" s="298">
        <f t="shared" si="69"/>
        <v>0.55000000000000004</v>
      </c>
      <c r="V117" s="298">
        <f t="shared" si="69"/>
        <v>0.55000000000000004</v>
      </c>
      <c r="W117" s="298">
        <f t="shared" si="69"/>
        <v>0.55000000000000004</v>
      </c>
      <c r="X117" s="298">
        <f t="shared" si="69"/>
        <v>0.55000000000000004</v>
      </c>
      <c r="Y117" s="298">
        <f t="shared" si="69"/>
        <v>0.55000000000000004</v>
      </c>
      <c r="Z117" s="298">
        <f t="shared" si="69"/>
        <v>0.55000000000000004</v>
      </c>
      <c r="AA117" s="298">
        <f t="shared" si="69"/>
        <v>0.55000000000000004</v>
      </c>
      <c r="AB117" s="298">
        <f t="shared" si="69"/>
        <v>0.54</v>
      </c>
      <c r="AC117" s="298">
        <f t="shared" si="69"/>
        <v>0.54</v>
      </c>
      <c r="AD117" s="259">
        <f t="shared" si="69"/>
        <v>0.5444461307860311</v>
      </c>
      <c r="AE117" s="259">
        <f t="shared" si="69"/>
        <v>0.54259175493063028</v>
      </c>
    </row>
    <row r="118" spans="1:31">
      <c r="A118" s="240" t="s">
        <v>234</v>
      </c>
      <c r="B118" s="298">
        <f t="shared" si="69"/>
        <v>0.43421052631578949</v>
      </c>
      <c r="C118" s="298">
        <f t="shared" si="69"/>
        <v>0.44651162790697679</v>
      </c>
      <c r="D118" s="298">
        <f t="shared" si="69"/>
        <v>0.46778464254192414</v>
      </c>
      <c r="E118" s="298">
        <f t="shared" si="69"/>
        <v>0.46875</v>
      </c>
      <c r="F118" s="298">
        <f t="shared" si="69"/>
        <v>0.48979591836734693</v>
      </c>
      <c r="G118" s="298">
        <f t="shared" si="69"/>
        <v>0.49668874172185429</v>
      </c>
      <c r="H118" s="298">
        <f t="shared" si="69"/>
        <v>0.49877750611246946</v>
      </c>
      <c r="I118" s="298">
        <f t="shared" si="69"/>
        <v>0.5112359550561798</v>
      </c>
      <c r="J118" s="298">
        <f t="shared" si="69"/>
        <v>0.52307692307692311</v>
      </c>
      <c r="K118" s="298">
        <f t="shared" si="69"/>
        <v>0.52500000000000002</v>
      </c>
      <c r="L118" s="298">
        <f t="shared" si="69"/>
        <v>0.52459016393442626</v>
      </c>
      <c r="M118" s="298">
        <f t="shared" si="69"/>
        <v>0.53097345132743368</v>
      </c>
      <c r="N118" s="298">
        <f t="shared" si="69"/>
        <v>0.53636363636363638</v>
      </c>
      <c r="O118" s="298">
        <f t="shared" si="69"/>
        <v>0.54166666666666663</v>
      </c>
      <c r="P118" s="298">
        <f t="shared" si="69"/>
        <v>0.54166666666666663</v>
      </c>
      <c r="Q118" s="298">
        <f t="shared" si="69"/>
        <v>0.55000000000000004</v>
      </c>
      <c r="R118" s="298">
        <f t="shared" si="69"/>
        <v>0.55034482758620684</v>
      </c>
      <c r="S118" s="298">
        <f t="shared" si="69"/>
        <v>0.55032258064516126</v>
      </c>
      <c r="T118" s="298">
        <f t="shared" si="69"/>
        <v>0.53312499999999996</v>
      </c>
      <c r="U118" s="298">
        <f t="shared" si="69"/>
        <v>0.55000000000000004</v>
      </c>
      <c r="V118" s="298">
        <f t="shared" si="69"/>
        <v>0.55000000000000004</v>
      </c>
      <c r="W118" s="298">
        <f t="shared" si="69"/>
        <v>0.55000000000000004</v>
      </c>
      <c r="X118" s="298">
        <f t="shared" si="69"/>
        <v>0.55000000000000004</v>
      </c>
      <c r="Y118" s="298">
        <f t="shared" si="69"/>
        <v>0.55000000000000004</v>
      </c>
      <c r="Z118" s="298">
        <f t="shared" si="69"/>
        <v>0.55000000000000004</v>
      </c>
      <c r="AA118" s="298">
        <f t="shared" si="69"/>
        <v>0.55000000000000004</v>
      </c>
      <c r="AB118" s="298">
        <f t="shared" si="69"/>
        <v>0.54</v>
      </c>
      <c r="AC118" s="298">
        <f t="shared" si="69"/>
        <v>0.54</v>
      </c>
      <c r="AD118" s="259">
        <f t="shared" si="69"/>
        <v>0.5444461307860311</v>
      </c>
      <c r="AE118" s="259">
        <f t="shared" si="69"/>
        <v>0.54259175493063028</v>
      </c>
    </row>
    <row r="119" spans="1:31">
      <c r="A119" s="240" t="s">
        <v>46</v>
      </c>
      <c r="B119" s="298">
        <f t="shared" si="69"/>
        <v>0.43421052631578949</v>
      </c>
      <c r="C119" s="298">
        <f t="shared" si="69"/>
        <v>0.44651162790697668</v>
      </c>
      <c r="D119" s="298">
        <f t="shared" si="69"/>
        <v>0.46778464254192409</v>
      </c>
      <c r="E119" s="298">
        <f t="shared" si="69"/>
        <v>0.46875</v>
      </c>
      <c r="F119" s="298">
        <f t="shared" si="69"/>
        <v>0.48979591836734693</v>
      </c>
      <c r="G119" s="298">
        <f t="shared" si="69"/>
        <v>0.49668874172185429</v>
      </c>
      <c r="H119" s="298">
        <f t="shared" si="69"/>
        <v>0.49877750611246946</v>
      </c>
      <c r="I119" s="298">
        <f t="shared" si="69"/>
        <v>0.5112359550561798</v>
      </c>
      <c r="J119" s="298">
        <f t="shared" si="69"/>
        <v>0.52307692307692311</v>
      </c>
      <c r="K119" s="298">
        <f t="shared" si="69"/>
        <v>0.52500000000000002</v>
      </c>
      <c r="L119" s="298">
        <f t="shared" si="69"/>
        <v>0.52459016393442626</v>
      </c>
      <c r="M119" s="298">
        <f t="shared" si="69"/>
        <v>0.53097345132743368</v>
      </c>
      <c r="N119" s="298">
        <f t="shared" si="69"/>
        <v>0.53636363636363638</v>
      </c>
      <c r="O119" s="298">
        <f t="shared" si="69"/>
        <v>0.54166666666666663</v>
      </c>
      <c r="P119" s="298">
        <f t="shared" si="69"/>
        <v>0.54166666666666663</v>
      </c>
      <c r="Q119" s="298">
        <f t="shared" si="69"/>
        <v>0.55000000000000004</v>
      </c>
      <c r="R119" s="298">
        <f t="shared" si="69"/>
        <v>0.55034482758620684</v>
      </c>
      <c r="S119" s="298">
        <f t="shared" si="69"/>
        <v>0.55032258064516126</v>
      </c>
      <c r="T119" s="298">
        <f t="shared" si="69"/>
        <v>0.53312499999999996</v>
      </c>
      <c r="U119" s="298">
        <f t="shared" si="69"/>
        <v>0.55000000000000004</v>
      </c>
      <c r="V119" s="298">
        <f t="shared" si="69"/>
        <v>0.55000000000000004</v>
      </c>
      <c r="W119" s="298">
        <f t="shared" si="69"/>
        <v>0.55000000000000004</v>
      </c>
      <c r="X119" s="298">
        <f t="shared" si="69"/>
        <v>0.54999999999999993</v>
      </c>
      <c r="Y119" s="298">
        <f t="shared" si="69"/>
        <v>0.55000000000000004</v>
      </c>
      <c r="Z119" s="298">
        <f t="shared" si="69"/>
        <v>0.55000000000000004</v>
      </c>
      <c r="AA119" s="298">
        <f t="shared" si="69"/>
        <v>0.55000000000000004</v>
      </c>
      <c r="AB119" s="298">
        <f t="shared" si="69"/>
        <v>0.54</v>
      </c>
      <c r="AC119" s="298">
        <f t="shared" si="69"/>
        <v>0.54</v>
      </c>
      <c r="AD119" s="259">
        <f t="shared" si="69"/>
        <v>0.5444461307860311</v>
      </c>
      <c r="AE119" s="259">
        <f t="shared" si="69"/>
        <v>0.54259175493063028</v>
      </c>
    </row>
    <row r="120" spans="1:31">
      <c r="A120" s="240" t="s">
        <v>235</v>
      </c>
      <c r="B120" s="298">
        <f t="shared" si="69"/>
        <v>0.43421052631578955</v>
      </c>
      <c r="C120" s="298">
        <f t="shared" si="69"/>
        <v>0.44651162790697668</v>
      </c>
      <c r="D120" s="298">
        <f t="shared" si="69"/>
        <v>0.46778464254192409</v>
      </c>
      <c r="E120" s="298">
        <f t="shared" si="69"/>
        <v>0.46875</v>
      </c>
      <c r="F120" s="298">
        <f t="shared" si="69"/>
        <v>0.48979591836734693</v>
      </c>
      <c r="G120" s="298">
        <f t="shared" si="69"/>
        <v>0.49668874172185429</v>
      </c>
      <c r="H120" s="298">
        <f t="shared" si="69"/>
        <v>0.49877750611246946</v>
      </c>
      <c r="I120" s="298">
        <f t="shared" si="69"/>
        <v>0.5112359550561798</v>
      </c>
      <c r="J120" s="298">
        <f t="shared" si="69"/>
        <v>0.52307692307692311</v>
      </c>
      <c r="K120" s="298">
        <f t="shared" si="69"/>
        <v>0.52500000000000002</v>
      </c>
      <c r="L120" s="298">
        <f t="shared" si="69"/>
        <v>0.52459016393442626</v>
      </c>
      <c r="M120" s="298">
        <f t="shared" si="69"/>
        <v>0.53097345132743368</v>
      </c>
      <c r="N120" s="298">
        <f t="shared" si="69"/>
        <v>0.53636363636363638</v>
      </c>
      <c r="O120" s="298">
        <f t="shared" si="69"/>
        <v>0.54166666666666663</v>
      </c>
      <c r="P120" s="298">
        <f t="shared" si="69"/>
        <v>0.54166666666666663</v>
      </c>
      <c r="Q120" s="298">
        <f t="shared" ref="B120:AR123" si="70">Q104/Q88</f>
        <v>0.55000000000000004</v>
      </c>
      <c r="R120" s="298">
        <f t="shared" si="70"/>
        <v>0.55034482758620684</v>
      </c>
      <c r="S120" s="298">
        <f t="shared" si="70"/>
        <v>0.55032258064516126</v>
      </c>
      <c r="T120" s="298">
        <f t="shared" si="70"/>
        <v>0.53312499999999996</v>
      </c>
      <c r="U120" s="298">
        <f t="shared" si="70"/>
        <v>0.55000000000000004</v>
      </c>
      <c r="V120" s="298">
        <f t="shared" si="70"/>
        <v>0.55000000000000004</v>
      </c>
      <c r="W120" s="298">
        <f t="shared" si="70"/>
        <v>0.54999999999999993</v>
      </c>
      <c r="X120" s="298">
        <f t="shared" si="70"/>
        <v>0.55000000000000004</v>
      </c>
      <c r="Y120" s="298">
        <f t="shared" si="70"/>
        <v>0.55000000000000004</v>
      </c>
      <c r="Z120" s="298">
        <f t="shared" si="70"/>
        <v>0.55000000000000004</v>
      </c>
      <c r="AA120" s="298">
        <f t="shared" si="70"/>
        <v>0.55000000000000004</v>
      </c>
      <c r="AB120" s="298">
        <f t="shared" si="70"/>
        <v>0.54</v>
      </c>
      <c r="AC120" s="259">
        <f t="shared" si="70"/>
        <v>0.54</v>
      </c>
      <c r="AD120" s="259">
        <f t="shared" si="70"/>
        <v>0.5444461307860311</v>
      </c>
      <c r="AE120" s="259">
        <f t="shared" si="70"/>
        <v>0.54259175493063028</v>
      </c>
    </row>
    <row r="121" spans="1:31">
      <c r="A121" s="240" t="s">
        <v>236</v>
      </c>
      <c r="B121" s="298">
        <f t="shared" si="70"/>
        <v>0.43421052631578949</v>
      </c>
      <c r="C121" s="298">
        <f t="shared" si="70"/>
        <v>0.44651162790697674</v>
      </c>
      <c r="D121" s="298">
        <f t="shared" si="70"/>
        <v>0.46778464254192409</v>
      </c>
      <c r="E121" s="298">
        <f t="shared" si="70"/>
        <v>0.46875</v>
      </c>
      <c r="F121" s="298">
        <f t="shared" si="70"/>
        <v>0.48979591836734693</v>
      </c>
      <c r="G121" s="298">
        <f t="shared" si="70"/>
        <v>0.49668874172185429</v>
      </c>
      <c r="H121" s="298">
        <f t="shared" si="70"/>
        <v>0.49877750611246946</v>
      </c>
      <c r="I121" s="298">
        <f t="shared" si="70"/>
        <v>0.5112359550561798</v>
      </c>
      <c r="J121" s="298">
        <f t="shared" si="70"/>
        <v>0.52307692307692311</v>
      </c>
      <c r="K121" s="298">
        <f t="shared" si="70"/>
        <v>0.52500000000000002</v>
      </c>
      <c r="L121" s="298">
        <f t="shared" si="70"/>
        <v>0.52459016393442626</v>
      </c>
      <c r="M121" s="298">
        <f t="shared" si="70"/>
        <v>0.53097345132743368</v>
      </c>
      <c r="N121" s="298">
        <f t="shared" si="70"/>
        <v>0.53636363636363638</v>
      </c>
      <c r="O121" s="298">
        <f t="shared" si="70"/>
        <v>0.54166666666666663</v>
      </c>
      <c r="P121" s="298">
        <f t="shared" si="70"/>
        <v>0.54166666666666663</v>
      </c>
      <c r="Q121" s="298">
        <f t="shared" si="70"/>
        <v>0.55000000000000004</v>
      </c>
      <c r="R121" s="298">
        <f t="shared" si="70"/>
        <v>0.55034482758620684</v>
      </c>
      <c r="S121" s="298">
        <f t="shared" si="70"/>
        <v>0.55032258064516126</v>
      </c>
      <c r="T121" s="298">
        <f t="shared" si="70"/>
        <v>0.53312499999999996</v>
      </c>
      <c r="U121" s="298">
        <f t="shared" si="70"/>
        <v>0.55000000000000004</v>
      </c>
      <c r="V121" s="298">
        <f t="shared" si="70"/>
        <v>0.55000000000000004</v>
      </c>
      <c r="W121" s="298">
        <f t="shared" si="70"/>
        <v>0.55000000000000004</v>
      </c>
      <c r="X121" s="298">
        <f t="shared" si="70"/>
        <v>0.55000000000000004</v>
      </c>
      <c r="Y121" s="298">
        <f t="shared" si="70"/>
        <v>0.55000000000000004</v>
      </c>
      <c r="Z121" s="298">
        <f t="shared" si="70"/>
        <v>0.55000000000000004</v>
      </c>
      <c r="AA121" s="298">
        <f t="shared" si="70"/>
        <v>0.55000000000000004</v>
      </c>
      <c r="AB121" s="298">
        <f t="shared" si="70"/>
        <v>0.54</v>
      </c>
      <c r="AC121" s="259">
        <f t="shared" si="70"/>
        <v>0.54</v>
      </c>
      <c r="AD121" s="259">
        <f t="shared" si="70"/>
        <v>0.5444461307860311</v>
      </c>
      <c r="AE121" s="259">
        <f t="shared" si="70"/>
        <v>0.54259175493063028</v>
      </c>
    </row>
    <row r="122" spans="1:31">
      <c r="A122" s="240" t="s">
        <v>237</v>
      </c>
      <c r="B122" s="298">
        <f t="shared" si="70"/>
        <v>0.43421052631578949</v>
      </c>
      <c r="C122" s="298">
        <f t="shared" si="70"/>
        <v>0.44651162790697674</v>
      </c>
      <c r="D122" s="298">
        <f t="shared" si="70"/>
        <v>0.46778464254192409</v>
      </c>
      <c r="E122" s="298">
        <f t="shared" si="70"/>
        <v>0.46874999999999994</v>
      </c>
      <c r="F122" s="298">
        <f t="shared" si="70"/>
        <v>0.48979591836734693</v>
      </c>
      <c r="G122" s="298">
        <f t="shared" si="70"/>
        <v>0.49668874172185429</v>
      </c>
      <c r="H122" s="298">
        <f t="shared" si="70"/>
        <v>0.49877750611246946</v>
      </c>
      <c r="I122" s="298">
        <f t="shared" si="70"/>
        <v>0.5112359550561798</v>
      </c>
      <c r="J122" s="298">
        <f t="shared" si="70"/>
        <v>0.52307692307692311</v>
      </c>
      <c r="K122" s="298">
        <f t="shared" si="70"/>
        <v>0.52500000000000002</v>
      </c>
      <c r="L122" s="298">
        <f t="shared" si="70"/>
        <v>0.52459016393442626</v>
      </c>
      <c r="M122" s="298">
        <f t="shared" si="70"/>
        <v>0.53097345132743368</v>
      </c>
      <c r="N122" s="298">
        <f t="shared" si="70"/>
        <v>0.53636363636363638</v>
      </c>
      <c r="O122" s="298">
        <f t="shared" si="70"/>
        <v>0.54166666666666663</v>
      </c>
      <c r="P122" s="298">
        <f t="shared" si="70"/>
        <v>0.54166666666666663</v>
      </c>
      <c r="Q122" s="298">
        <f t="shared" si="70"/>
        <v>0.55000000000000004</v>
      </c>
      <c r="R122" s="298">
        <f t="shared" si="70"/>
        <v>0.55034482758620684</v>
      </c>
      <c r="S122" s="298">
        <f t="shared" si="70"/>
        <v>0.55032258064516126</v>
      </c>
      <c r="T122" s="298">
        <f t="shared" si="70"/>
        <v>0.53312499999999996</v>
      </c>
      <c r="U122" s="298">
        <f t="shared" si="70"/>
        <v>0.55000000000000004</v>
      </c>
      <c r="V122" s="298">
        <f t="shared" si="70"/>
        <v>0.55000000000000004</v>
      </c>
      <c r="W122" s="298">
        <f t="shared" si="70"/>
        <v>0.55000000000000004</v>
      </c>
      <c r="X122" s="298">
        <f t="shared" si="70"/>
        <v>0.55000000000000004</v>
      </c>
      <c r="Y122" s="298">
        <f t="shared" si="70"/>
        <v>0.55000000000000004</v>
      </c>
      <c r="Z122" s="298">
        <f t="shared" si="70"/>
        <v>0.55000000000000004</v>
      </c>
      <c r="AA122" s="298">
        <f t="shared" si="70"/>
        <v>0.55000000000000004</v>
      </c>
      <c r="AB122" s="298">
        <f t="shared" si="70"/>
        <v>0.54</v>
      </c>
      <c r="AC122" s="259">
        <f t="shared" si="70"/>
        <v>0.54</v>
      </c>
      <c r="AD122" s="259">
        <f t="shared" si="70"/>
        <v>0.5444461307860311</v>
      </c>
      <c r="AE122" s="259">
        <f t="shared" si="70"/>
        <v>0.54259175493063028</v>
      </c>
    </row>
    <row r="123" spans="1:31">
      <c r="A123" s="240" t="s">
        <v>238</v>
      </c>
      <c r="B123" s="298">
        <f t="shared" si="70"/>
        <v>0.43421052631578949</v>
      </c>
      <c r="C123" s="298">
        <f t="shared" si="70"/>
        <v>0.44651162790697674</v>
      </c>
      <c r="D123" s="298">
        <f t="shared" si="70"/>
        <v>0.46778464254192409</v>
      </c>
      <c r="E123" s="298">
        <f t="shared" si="70"/>
        <v>0.46875</v>
      </c>
      <c r="F123" s="298">
        <f t="shared" si="70"/>
        <v>0.48979591836734693</v>
      </c>
      <c r="G123" s="298">
        <f t="shared" si="70"/>
        <v>0.49668874172185423</v>
      </c>
      <c r="H123" s="298">
        <f t="shared" si="70"/>
        <v>0.49877750611246946</v>
      </c>
      <c r="I123" s="298">
        <f t="shared" si="70"/>
        <v>0.5112359550561798</v>
      </c>
      <c r="J123" s="298">
        <f t="shared" si="70"/>
        <v>0.52307692307692311</v>
      </c>
      <c r="K123" s="298">
        <f t="shared" si="70"/>
        <v>0.52500000000000002</v>
      </c>
      <c r="L123" s="298">
        <f t="shared" si="70"/>
        <v>0.52459016393442626</v>
      </c>
      <c r="M123" s="298">
        <f t="shared" si="70"/>
        <v>0.53097345132743368</v>
      </c>
      <c r="N123" s="298">
        <f t="shared" si="70"/>
        <v>0.53636363636363638</v>
      </c>
      <c r="O123" s="298">
        <f t="shared" si="70"/>
        <v>0.54166666666666663</v>
      </c>
      <c r="P123" s="298">
        <f t="shared" si="70"/>
        <v>0.54166666666666663</v>
      </c>
      <c r="Q123" s="298">
        <f t="shared" si="70"/>
        <v>0.55000000000000004</v>
      </c>
      <c r="R123" s="298">
        <f t="shared" si="70"/>
        <v>0.55034482758620684</v>
      </c>
      <c r="S123" s="298">
        <f t="shared" si="70"/>
        <v>0.55032258064516126</v>
      </c>
      <c r="T123" s="298">
        <f t="shared" si="70"/>
        <v>0.53312499999999996</v>
      </c>
      <c r="U123" s="298">
        <f t="shared" si="70"/>
        <v>0.55000000000000004</v>
      </c>
      <c r="V123" s="298">
        <f t="shared" si="70"/>
        <v>0.55000000000000004</v>
      </c>
      <c r="W123" s="298">
        <f t="shared" si="70"/>
        <v>0.55000000000000004</v>
      </c>
      <c r="X123" s="298">
        <f t="shared" si="70"/>
        <v>0.55000000000000004</v>
      </c>
      <c r="Y123" s="298">
        <f t="shared" si="70"/>
        <v>0.55000000000000004</v>
      </c>
      <c r="Z123" s="298">
        <f t="shared" si="70"/>
        <v>0.55000000000000004</v>
      </c>
      <c r="AA123" s="298">
        <f t="shared" si="70"/>
        <v>0.55000000000000004</v>
      </c>
      <c r="AB123" s="298">
        <f t="shared" si="70"/>
        <v>0.54</v>
      </c>
      <c r="AC123" s="259">
        <f t="shared" si="70"/>
        <v>0.54</v>
      </c>
      <c r="AD123" s="259">
        <f t="shared" si="70"/>
        <v>0.5444461307860311</v>
      </c>
      <c r="AE123" s="259">
        <f t="shared" si="70"/>
        <v>0.54259175493063028</v>
      </c>
    </row>
    <row r="124" spans="1:31" ht="15.75" thickBot="1">
      <c r="A124" s="240" t="s">
        <v>255</v>
      </c>
      <c r="B124" s="258">
        <v>0.43421052631578949</v>
      </c>
      <c r="C124" s="258">
        <v>0.44651162790697674</v>
      </c>
      <c r="D124" s="258">
        <v>0.46778464254192409</v>
      </c>
      <c r="E124" s="258">
        <v>0.46875</v>
      </c>
      <c r="F124" s="258">
        <v>0.48979591836734693</v>
      </c>
      <c r="G124" s="258">
        <v>0.49668874172185429</v>
      </c>
      <c r="H124" s="258">
        <v>0.49877750611246946</v>
      </c>
      <c r="I124" s="258">
        <v>0.5112359550561798</v>
      </c>
      <c r="J124" s="258">
        <v>0.52307692307692311</v>
      </c>
      <c r="K124" s="258">
        <v>0.52500000000000002</v>
      </c>
      <c r="L124" s="258">
        <v>0.52459016393442626</v>
      </c>
      <c r="M124" s="258">
        <v>0.53097345132743368</v>
      </c>
      <c r="N124" s="258">
        <v>0.53636363636363638</v>
      </c>
      <c r="O124" s="258">
        <v>0.54166666666666663</v>
      </c>
      <c r="P124" s="258">
        <v>0.54166666666666663</v>
      </c>
      <c r="Q124" s="258">
        <v>0.55000000000000004</v>
      </c>
      <c r="R124" s="258">
        <v>0.55034482758620684</v>
      </c>
      <c r="S124" s="258">
        <v>0.55032258064516126</v>
      </c>
      <c r="T124" s="258">
        <v>0.53312499999999996</v>
      </c>
      <c r="U124" s="258">
        <v>0.55000000000000004</v>
      </c>
      <c r="V124" s="258">
        <v>0.55000000000000004</v>
      </c>
      <c r="W124" s="258">
        <v>0.55000000000000004</v>
      </c>
      <c r="X124" s="258">
        <v>0.55000000000000004</v>
      </c>
      <c r="Y124" s="258">
        <v>0.55000000000000004</v>
      </c>
      <c r="Z124" s="258">
        <v>0.55000000000000004</v>
      </c>
      <c r="AA124" s="258">
        <v>0.55000000000000004</v>
      </c>
      <c r="AB124" s="258">
        <v>0.54</v>
      </c>
      <c r="AC124" s="259">
        <v>0.54</v>
      </c>
      <c r="AD124" s="259">
        <f t="shared" ref="AD124:AE124" si="71">FORECAST(AD45,K124:AC124,K45:AC45)-0.008</f>
        <v>0.5444461307860311</v>
      </c>
      <c r="AE124" s="259">
        <f t="shared" si="71"/>
        <v>0.54259175493063028</v>
      </c>
    </row>
    <row r="125" spans="1:31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  <c r="AE125" s="248"/>
    </row>
    <row r="126" spans="1:31" ht="15.75" thickBot="1">
      <c r="A126" s="235" t="s">
        <v>256</v>
      </c>
    </row>
    <row r="127" spans="1:31" ht="15.75" thickBot="1">
      <c r="A127" s="236"/>
      <c r="B127" s="237" t="str">
        <f>B$2</f>
        <v xml:space="preserve">93/94 </v>
      </c>
      <c r="C127" s="237" t="str">
        <f t="shared" ref="C127:AE127" si="72">C$2</f>
        <v xml:space="preserve">94/95 </v>
      </c>
      <c r="D127" s="237" t="str">
        <f t="shared" si="72"/>
        <v xml:space="preserve">95/96 </v>
      </c>
      <c r="E127" s="237" t="str">
        <f t="shared" si="72"/>
        <v xml:space="preserve">96/97 </v>
      </c>
      <c r="F127" s="237" t="str">
        <f t="shared" si="72"/>
        <v xml:space="preserve">97/98 </v>
      </c>
      <c r="G127" s="237" t="str">
        <f t="shared" si="72"/>
        <v xml:space="preserve">98/99 </v>
      </c>
      <c r="H127" s="237" t="str">
        <f t="shared" si="72"/>
        <v xml:space="preserve">99/00 </v>
      </c>
      <c r="I127" s="237" t="str">
        <f t="shared" si="72"/>
        <v xml:space="preserve">00/01 </v>
      </c>
      <c r="J127" s="237" t="str">
        <f t="shared" si="72"/>
        <v xml:space="preserve">01/02 </v>
      </c>
      <c r="K127" s="237" t="str">
        <f t="shared" si="72"/>
        <v xml:space="preserve">02/03 </v>
      </c>
      <c r="L127" s="237" t="str">
        <f t="shared" si="72"/>
        <v xml:space="preserve">03/04 </v>
      </c>
      <c r="M127" s="237" t="str">
        <f t="shared" si="72"/>
        <v xml:space="preserve">04/05 </v>
      </c>
      <c r="N127" s="237" t="str">
        <f t="shared" si="72"/>
        <v xml:space="preserve">05/06 </v>
      </c>
      <c r="O127" s="237" t="str">
        <f t="shared" si="72"/>
        <v xml:space="preserve">06/07 </v>
      </c>
      <c r="P127" s="237" t="str">
        <f t="shared" si="72"/>
        <v xml:space="preserve">07/08 </v>
      </c>
      <c r="Q127" s="237" t="str">
        <f t="shared" si="72"/>
        <v xml:space="preserve">08/09 </v>
      </c>
      <c r="R127" s="237" t="str">
        <f t="shared" si="72"/>
        <v xml:space="preserve">09/10 </v>
      </c>
      <c r="S127" s="237" t="str">
        <f t="shared" si="72"/>
        <v xml:space="preserve">10/11 </v>
      </c>
      <c r="T127" s="237" t="str">
        <f t="shared" si="72"/>
        <v xml:space="preserve">11/12 </v>
      </c>
      <c r="U127" s="237" t="str">
        <f t="shared" si="72"/>
        <v xml:space="preserve">12/13 </v>
      </c>
      <c r="V127" s="237" t="str">
        <f t="shared" si="72"/>
        <v xml:space="preserve">13/14 </v>
      </c>
      <c r="W127" s="237" t="str">
        <f t="shared" si="72"/>
        <v xml:space="preserve">14/15 </v>
      </c>
      <c r="X127" s="237" t="str">
        <f t="shared" si="72"/>
        <v xml:space="preserve">15/16 </v>
      </c>
      <c r="Y127" s="237" t="str">
        <f t="shared" si="72"/>
        <v xml:space="preserve">16/17 </v>
      </c>
      <c r="Z127" s="237" t="str">
        <f t="shared" si="72"/>
        <v xml:space="preserve">17/18 </v>
      </c>
      <c r="AA127" s="237" t="str">
        <f t="shared" si="72"/>
        <v xml:space="preserve">18/19 </v>
      </c>
      <c r="AB127" s="237" t="str">
        <f t="shared" si="72"/>
        <v xml:space="preserve">19/20 </v>
      </c>
      <c r="AC127" s="237" t="str">
        <f t="shared" si="72"/>
        <v xml:space="preserve">20/21 </v>
      </c>
      <c r="AD127" s="237" t="str">
        <f t="shared" si="72"/>
        <v xml:space="preserve">21/22 </v>
      </c>
      <c r="AE127" s="237" t="str">
        <f t="shared" si="72"/>
        <v xml:space="preserve">22/23 </v>
      </c>
    </row>
    <row r="128" spans="1:31">
      <c r="A128" s="240" t="s">
        <v>239</v>
      </c>
      <c r="B128" s="241">
        <f>(SUM(K128:O128)/SUM(K$140:O$140))*B$140</f>
        <v>1.9975745649031273</v>
      </c>
      <c r="C128" s="241">
        <f t="shared" ref="C128:G139" si="73">(SUM(L128:P128)/SUM(L$140:P$140))*C$140</f>
        <v>3.4535498142242731</v>
      </c>
      <c r="D128" s="241">
        <f t="shared" si="73"/>
        <v>2.3738578106883201</v>
      </c>
      <c r="E128" s="241">
        <f t="shared" si="73"/>
        <v>1.4538817841680627</v>
      </c>
      <c r="F128" s="241">
        <f t="shared" si="73"/>
        <v>0.69087134936173211</v>
      </c>
      <c r="G128" s="241">
        <f t="shared" si="73"/>
        <v>3.4187913797034315</v>
      </c>
      <c r="H128" s="242">
        <f>'[2]Turkey Sun Meal Imports'!CZ$290</f>
        <v>3.8340000000000001</v>
      </c>
      <c r="I128" s="242">
        <f>'[2]Turkey Sun Meal Imports'!DL$290</f>
        <v>33.264000000000003</v>
      </c>
      <c r="J128" s="242">
        <f>'[2]Turkey Sun Meal Imports'!DX$290</f>
        <v>1.29</v>
      </c>
      <c r="K128" s="242">
        <f>'[2]Turkey Sun Meal Imports'!EJ$290</f>
        <v>0</v>
      </c>
      <c r="L128" s="242">
        <f>'[2]Turkey Sun Meal Imports'!EV$290</f>
        <v>3.0230000000000001</v>
      </c>
      <c r="M128" s="242">
        <f>'[2]Turkey Sun Meal Imports'!FH$290</f>
        <v>31.032</v>
      </c>
      <c r="N128" s="242">
        <f>'[2]Turkey Sun Meal Imports'!FT$290</f>
        <v>9.8759999999999994</v>
      </c>
      <c r="O128" s="242">
        <f>'[2]Turkey Sun Meal Imports'!GF$290</f>
        <v>11.82</v>
      </c>
      <c r="P128" s="242">
        <f>'[2]Turkey Sun Meal Imports'!GR$290</f>
        <v>11.592000000000001</v>
      </c>
      <c r="Q128" s="242">
        <f>'[2]Turkey Sun Meal Imports'!HD$290</f>
        <v>11.555</v>
      </c>
      <c r="R128" s="242">
        <f>'[2]Turkey Sun Meal Imports'!HP$290</f>
        <v>6.1</v>
      </c>
      <c r="S128" s="242">
        <f>'[2]Turkey Sun Meal Imports'!IB$290</f>
        <v>6.8719999999999999</v>
      </c>
      <c r="T128" s="242">
        <f>'[2]Turkey Sun Meal Imports'!IN$290</f>
        <v>44.441000000000003</v>
      </c>
      <c r="U128" s="242">
        <f>'[2]Turkey Sun Meal Imports'!IZ$290</f>
        <v>51.45</v>
      </c>
      <c r="V128" s="242">
        <f>'[2]Turkey Sun Meal Imports'!JL$290</f>
        <v>47.518999999999998</v>
      </c>
      <c r="W128" s="242">
        <f>'[2]Turkey Sun Meal Imports'!JX$290</f>
        <v>56.314999999999998</v>
      </c>
      <c r="X128" s="242">
        <f>'[2]Turkey Sun Meal Imports'!KJ$290</f>
        <v>67.128</v>
      </c>
      <c r="Y128" s="242">
        <f>'[2]Turkey Sun Meal Imports'!KV$290</f>
        <v>64.033999999999992</v>
      </c>
      <c r="Z128" s="242">
        <f>'[2]Turkey Sun Meal Imports'!LH$290</f>
        <v>87.576999999999998</v>
      </c>
      <c r="AA128" s="242">
        <f>'[2]Turkey Sun Meal Imports'!LT$290</f>
        <v>35.793999999999997</v>
      </c>
      <c r="AB128" s="242">
        <f>'[2]Turkey Sun Meal Imports'!MF$290</f>
        <v>68.408000000000001</v>
      </c>
      <c r="AC128" s="242">
        <f>'[2]Turkey Sun Meal Imports'!MR$290</f>
        <v>103.43300000000001</v>
      </c>
      <c r="AD128" s="242">
        <f>'[2]Turkey Sun Meal Imports'!ND$290</f>
        <v>44.454000000000001</v>
      </c>
      <c r="AE128" s="243">
        <f>(SUM(Y128:AC128)/SUM(Y$140:AC$140))*AE$140</f>
        <v>67.857020273115978</v>
      </c>
    </row>
    <row r="129" spans="1:31">
      <c r="A129" s="240" t="s">
        <v>240</v>
      </c>
      <c r="B129" s="241">
        <f t="shared" ref="B129:B139" si="74">(SUM(K129:O129)/SUM(K$140:O$140))*B$140</f>
        <v>3.6526115458979143</v>
      </c>
      <c r="C129" s="241">
        <f t="shared" si="73"/>
        <v>6.9347924383869373</v>
      </c>
      <c r="D129" s="241">
        <f t="shared" si="73"/>
        <v>4.6791670551398283</v>
      </c>
      <c r="E129" s="241">
        <f t="shared" si="73"/>
        <v>4.0109819545481793</v>
      </c>
      <c r="F129" s="241">
        <f t="shared" si="73"/>
        <v>2.4708605460985487</v>
      </c>
      <c r="G129" s="241">
        <f t="shared" si="73"/>
        <v>7.7775381996880366</v>
      </c>
      <c r="H129" s="242">
        <f>'[2]Turkey Sun Meal Imports'!DA$290</f>
        <v>19.036000000000001</v>
      </c>
      <c r="I129" s="242">
        <f>'[2]Turkey Sun Meal Imports'!DM$290</f>
        <v>30.07</v>
      </c>
      <c r="J129" s="242">
        <f>'[2]Turkey Sun Meal Imports'!DY$290</f>
        <v>0</v>
      </c>
      <c r="K129" s="242">
        <f>'[2]Turkey Sun Meal Imports'!EK$290</f>
        <v>1.29</v>
      </c>
      <c r="L129" s="242">
        <f>'[2]Turkey Sun Meal Imports'!EW$290</f>
        <v>14.826000000000001</v>
      </c>
      <c r="M129" s="242">
        <f>'[2]Turkey Sun Meal Imports'!FI$290</f>
        <v>20.905999999999999</v>
      </c>
      <c r="N129" s="242">
        <f>'[2]Turkey Sun Meal Imports'!FU$290</f>
        <v>16.399999999999999</v>
      </c>
      <c r="O129" s="242">
        <f>'[2]Turkey Sun Meal Imports'!GG$290</f>
        <v>48.52</v>
      </c>
      <c r="P129" s="242">
        <f>'[2]Turkey Sun Meal Imports'!GS$290</f>
        <v>34.573999999999998</v>
      </c>
      <c r="Q129" s="242">
        <f>'[2]Turkey Sun Meal Imports'!HE$290</f>
        <v>29.158999999999999</v>
      </c>
      <c r="R129" s="242">
        <f>'[2]Turkey Sun Meal Imports'!HQ$290</f>
        <v>11.888999999999999</v>
      </c>
      <c r="S129" s="242">
        <f>'[2]Turkey Sun Meal Imports'!IC$290</f>
        <v>47.308999999999997</v>
      </c>
      <c r="T129" s="242">
        <f>'[2]Turkey Sun Meal Imports'!IO$290</f>
        <v>60.338000000000001</v>
      </c>
      <c r="U129" s="242">
        <f>'[2]Turkey Sun Meal Imports'!JA$290</f>
        <v>48.941000000000003</v>
      </c>
      <c r="V129" s="242">
        <f>'[2]Turkey Sun Meal Imports'!JM$290</f>
        <v>96.04</v>
      </c>
      <c r="W129" s="242">
        <f>'[2]Turkey Sun Meal Imports'!JY$290</f>
        <v>73.275999999999996</v>
      </c>
      <c r="X129" s="242">
        <f>'[2]Turkey Sun Meal Imports'!KK$290</f>
        <v>95.103999999999999</v>
      </c>
      <c r="Y129" s="242">
        <f>'[2]Turkey Sun Meal Imports'!KW$290</f>
        <v>96.575000000000003</v>
      </c>
      <c r="Z129" s="242">
        <f>'[2]Turkey Sun Meal Imports'!LI$290</f>
        <v>81.504999999999995</v>
      </c>
      <c r="AA129" s="242">
        <f>'[2]Turkey Sun Meal Imports'!LU$290</f>
        <v>58.246000000000002</v>
      </c>
      <c r="AB129" s="242">
        <f>'[2]Turkey Sun Meal Imports'!MG$290</f>
        <v>93.347999999999999</v>
      </c>
      <c r="AC129" s="242">
        <f>'[2]Turkey Sun Meal Imports'!MS$290</f>
        <v>106.13500000000001</v>
      </c>
      <c r="AD129" s="242">
        <f>'[2]Turkey Sun Meal Imports'!NE$290</f>
        <v>134.16</v>
      </c>
      <c r="AE129" s="243">
        <f t="shared" ref="AD129:AE138" si="75">(SUM(Y129:AC129)/SUM(Y$140:AC$140))*AE$140</f>
        <v>82.318801456958184</v>
      </c>
    </row>
    <row r="130" spans="1:31">
      <c r="A130" s="240" t="s">
        <v>241</v>
      </c>
      <c r="B130" s="241">
        <f t="shared" si="74"/>
        <v>5.9209556214281678</v>
      </c>
      <c r="C130" s="241">
        <f t="shared" si="73"/>
        <v>10.766195259326155</v>
      </c>
      <c r="D130" s="241">
        <f t="shared" si="73"/>
        <v>6.857265678724664</v>
      </c>
      <c r="E130" s="241">
        <f t="shared" si="73"/>
        <v>7.4996361228677531</v>
      </c>
      <c r="F130" s="241">
        <f t="shared" si="73"/>
        <v>4.1610086532857089</v>
      </c>
      <c r="G130" s="241">
        <f t="shared" si="73"/>
        <v>13.556042537150029</v>
      </c>
      <c r="H130" s="242">
        <f>'[2]Turkey Sun Meal Imports'!DB$290</f>
        <v>19.71</v>
      </c>
      <c r="I130" s="242">
        <f>'[2]Turkey Sun Meal Imports'!DN$290</f>
        <v>30.753</v>
      </c>
      <c r="J130" s="242">
        <f>'[2]Turkey Sun Meal Imports'!DZ$290</f>
        <v>0</v>
      </c>
      <c r="K130" s="242">
        <f>'[2]Turkey Sun Meal Imports'!EL$290</f>
        <v>0</v>
      </c>
      <c r="L130" s="242">
        <f>'[2]Turkey Sun Meal Imports'!EX$290</f>
        <v>30.398</v>
      </c>
      <c r="M130" s="242">
        <f>'[2]Turkey Sun Meal Imports'!FJ$290</f>
        <v>24.818999999999999</v>
      </c>
      <c r="N130" s="242">
        <f>'[2]Turkey Sun Meal Imports'!FV$290</f>
        <v>59.332999999999998</v>
      </c>
      <c r="O130" s="242">
        <f>'[2]Turkey Sun Meal Imports'!GH$290</f>
        <v>50.7</v>
      </c>
      <c r="P130" s="242">
        <f>'[2]Turkey Sun Meal Imports'!GT$290</f>
        <v>44.686999999999998</v>
      </c>
      <c r="Q130" s="242">
        <f>'[2]Turkey Sun Meal Imports'!HF$290</f>
        <v>39.637999999999998</v>
      </c>
      <c r="R130" s="242">
        <f>'[2]Turkey Sun Meal Imports'!HR$290</f>
        <v>68.424000000000007</v>
      </c>
      <c r="S130" s="242">
        <f>'[2]Turkey Sun Meal Imports'!ID$290</f>
        <v>85.28</v>
      </c>
      <c r="T130" s="242">
        <f>'[2]Turkey Sun Meal Imports'!IP$290</f>
        <v>81.403999999999996</v>
      </c>
      <c r="U130" s="242">
        <f>'[2]Turkey Sun Meal Imports'!JB$290</f>
        <v>78.165999999999997</v>
      </c>
      <c r="V130" s="242">
        <f>'[2]Turkey Sun Meal Imports'!JN$290</f>
        <v>67.275000000000006</v>
      </c>
      <c r="W130" s="242">
        <f>'[2]Turkey Sun Meal Imports'!JZ$290</f>
        <v>90.119</v>
      </c>
      <c r="X130" s="242">
        <f>'[2]Turkey Sun Meal Imports'!KL$290</f>
        <v>102.45400000000001</v>
      </c>
      <c r="Y130" s="242">
        <f>'[2]Turkey Sun Meal Imports'!KX$290</f>
        <v>64.293000000000006</v>
      </c>
      <c r="Z130" s="242">
        <f>'[2]Turkey Sun Meal Imports'!LJ$290</f>
        <v>79.900999999999996</v>
      </c>
      <c r="AA130" s="242">
        <f>'[2]Turkey Sun Meal Imports'!LV$290</f>
        <v>59.029000000000003</v>
      </c>
      <c r="AB130" s="242">
        <f>'[2]Turkey Sun Meal Imports'!MH$290</f>
        <v>148.351</v>
      </c>
      <c r="AC130" s="242">
        <f>'[2]Turkey Sun Meal Imports'!MT$290</f>
        <v>119.211</v>
      </c>
      <c r="AD130" s="242">
        <f>'[2]Turkey Sun Meal Imports'!NF$290</f>
        <v>109.711</v>
      </c>
      <c r="AE130" s="243">
        <f t="shared" si="75"/>
        <v>88.925324956377821</v>
      </c>
    </row>
    <row r="131" spans="1:31">
      <c r="A131" s="240" t="s">
        <v>231</v>
      </c>
      <c r="B131" s="241">
        <f t="shared" si="74"/>
        <v>5.4951842710533976</v>
      </c>
      <c r="C131" s="241">
        <f t="shared" si="73"/>
        <v>9.2563217219074012</v>
      </c>
      <c r="D131" s="241">
        <f t="shared" si="73"/>
        <v>6.5098924560284877</v>
      </c>
      <c r="E131" s="241">
        <f t="shared" si="73"/>
        <v>6.376868259354497</v>
      </c>
      <c r="F131" s="241">
        <f t="shared" si="73"/>
        <v>3.4383456062103819</v>
      </c>
      <c r="G131" s="242">
        <f>'[2]Turkey Sun Meal Imports'!CQ$290</f>
        <v>8.2240000000000002</v>
      </c>
      <c r="H131" s="242">
        <f>'[2]Turkey Sun Meal Imports'!DC$290</f>
        <v>28.61</v>
      </c>
      <c r="I131" s="242">
        <f>'[2]Turkey Sun Meal Imports'!DO$290</f>
        <v>16.244</v>
      </c>
      <c r="J131" s="242">
        <f>'[2]Turkey Sun Meal Imports'!EA$290</f>
        <v>0</v>
      </c>
      <c r="K131" s="242">
        <f>'[2]Turkey Sun Meal Imports'!EM$290</f>
        <v>0.28299999999999997</v>
      </c>
      <c r="L131" s="242">
        <f>'[2]Turkey Sun Meal Imports'!EY$290</f>
        <v>24.899000000000001</v>
      </c>
      <c r="M131" s="242">
        <f>'[2]Turkey Sun Meal Imports'!FK$290</f>
        <v>38.270000000000003</v>
      </c>
      <c r="N131" s="242">
        <f>'[2]Turkey Sun Meal Imports'!FW$290</f>
        <v>38.484999999999999</v>
      </c>
      <c r="O131" s="242">
        <f>'[2]Turkey Sun Meal Imports'!GI$290</f>
        <v>51.43</v>
      </c>
      <c r="P131" s="242">
        <f>'[2]Turkey Sun Meal Imports'!GU$290</f>
        <v>27.411000000000001</v>
      </c>
      <c r="Q131" s="242">
        <f>'[2]Turkey Sun Meal Imports'!HG$290</f>
        <v>52.478000000000002</v>
      </c>
      <c r="R131" s="242">
        <f>'[2]Turkey Sun Meal Imports'!HS$290</f>
        <v>53.637</v>
      </c>
      <c r="S131" s="242">
        <f>'[2]Turkey Sun Meal Imports'!IE$290</f>
        <v>53.628</v>
      </c>
      <c r="T131" s="242">
        <f>'[2]Turkey Sun Meal Imports'!IQ$290</f>
        <v>81.590999999999994</v>
      </c>
      <c r="U131" s="242">
        <f>'[2]Turkey Sun Meal Imports'!JC$290</f>
        <v>40.460999999999999</v>
      </c>
      <c r="V131" s="242">
        <f>'[2]Turkey Sun Meal Imports'!JO$290</f>
        <v>82.438999999999993</v>
      </c>
      <c r="W131" s="242">
        <f>'[2]Turkey Sun Meal Imports'!KA$290</f>
        <v>64.694000000000003</v>
      </c>
      <c r="X131" s="242">
        <f>'[2]Turkey Sun Meal Imports'!KM$290</f>
        <v>63.557000000000002</v>
      </c>
      <c r="Y131" s="242">
        <f>'[2]Turkey Sun Meal Imports'!KY$290</f>
        <v>156.13500000000002</v>
      </c>
      <c r="Z131" s="242">
        <f>'[2]Turkey Sun Meal Imports'!LK$290</f>
        <v>124.378</v>
      </c>
      <c r="AA131" s="242">
        <f>'[2]Turkey Sun Meal Imports'!LW$290</f>
        <v>91.162000000000006</v>
      </c>
      <c r="AB131" s="242">
        <f>'[2]Turkey Sun Meal Imports'!MI$290</f>
        <v>108.625</v>
      </c>
      <c r="AC131" s="242">
        <f>'[2]Turkey Sun Meal Imports'!MU$290</f>
        <v>79.239000000000004</v>
      </c>
      <c r="AD131" s="242">
        <f>'[2]Turkey Sun Meal Imports'!NG$290</f>
        <v>95.242000000000004</v>
      </c>
      <c r="AE131" s="243">
        <f t="shared" si="75"/>
        <v>105.68983166576399</v>
      </c>
    </row>
    <row r="132" spans="1:31">
      <c r="A132" s="240" t="s">
        <v>232</v>
      </c>
      <c r="B132" s="241">
        <f t="shared" si="74"/>
        <v>5.2418282819513164</v>
      </c>
      <c r="C132" s="241">
        <f t="shared" si="73"/>
        <v>9.1243193278677346</v>
      </c>
      <c r="D132" s="241">
        <f t="shared" si="73"/>
        <v>6.0120315091885104</v>
      </c>
      <c r="E132" s="241">
        <f t="shared" si="73"/>
        <v>6.3394531283444602</v>
      </c>
      <c r="F132" s="241">
        <f t="shared" si="73"/>
        <v>3.5878357605091633</v>
      </c>
      <c r="G132" s="242">
        <f>'[2]Turkey Sun Meal Imports'!CR$290</f>
        <v>30.696000000000002</v>
      </c>
      <c r="H132" s="242">
        <f>'[2]Turkey Sun Meal Imports'!DD$290</f>
        <v>28.954999999999998</v>
      </c>
      <c r="I132" s="242">
        <f>'[2]Turkey Sun Meal Imports'!DP$290</f>
        <v>15.095000000000001</v>
      </c>
      <c r="J132" s="242">
        <f>'[2]Turkey Sun Meal Imports'!EB$290</f>
        <v>0.32300000000000001</v>
      </c>
      <c r="K132" s="242">
        <f>'[2]Turkey Sun Meal Imports'!EN$290</f>
        <v>7.43</v>
      </c>
      <c r="L132" s="242">
        <f>'[2]Turkey Sun Meal Imports'!EZ$290</f>
        <v>28.422000000000001</v>
      </c>
      <c r="M132" s="242">
        <f>'[2]Turkey Sun Meal Imports'!FL$290</f>
        <v>28.39</v>
      </c>
      <c r="N132" s="242">
        <f>'[2]Turkey Sun Meal Imports'!FX$290</f>
        <v>27.056000000000001</v>
      </c>
      <c r="O132" s="242">
        <f>'[2]Turkey Sun Meal Imports'!GJ$290</f>
        <v>54.997999999999998</v>
      </c>
      <c r="P132" s="242">
        <f>'[2]Turkey Sun Meal Imports'!GV$290</f>
        <v>39.055</v>
      </c>
      <c r="Q132" s="242">
        <f>'[2]Turkey Sun Meal Imports'!HH$290</f>
        <v>42.661999999999999</v>
      </c>
      <c r="R132" s="242">
        <f>'[2]Turkey Sun Meal Imports'!HT$290</f>
        <v>58.359000000000002</v>
      </c>
      <c r="S132" s="242">
        <f>'[2]Turkey Sun Meal Imports'!IF$290</f>
        <v>53.883000000000003</v>
      </c>
      <c r="T132" s="242">
        <f>'[2]Turkey Sun Meal Imports'!IR$290</f>
        <v>63.087000000000003</v>
      </c>
      <c r="U132" s="242">
        <f>'[2]Turkey Sun Meal Imports'!JD$290</f>
        <v>61.088000000000001</v>
      </c>
      <c r="V132" s="242">
        <f>'[2]Turkey Sun Meal Imports'!JP$290</f>
        <v>68.638999999999996</v>
      </c>
      <c r="W132" s="242">
        <f>'[2]Turkey Sun Meal Imports'!KB$290</f>
        <v>73.313000000000002</v>
      </c>
      <c r="X132" s="242">
        <f>'[2]Turkey Sun Meal Imports'!KN$290</f>
        <v>87.483000000000004</v>
      </c>
      <c r="Y132" s="242">
        <f>'[2]Turkey Sun Meal Imports'!KZ$290</f>
        <v>97.128</v>
      </c>
      <c r="Z132" s="242">
        <f>'[2]Turkey Sun Meal Imports'!LL$290</f>
        <v>127.24</v>
      </c>
      <c r="AA132" s="242">
        <f>'[2]Turkey Sun Meal Imports'!LX$290</f>
        <v>116.901</v>
      </c>
      <c r="AB132" s="242">
        <f>'[2]Turkey Sun Meal Imports'!MJ$290</f>
        <v>105.907</v>
      </c>
      <c r="AC132" s="242">
        <f>'[2]Turkey Sun Meal Imports'!MV$290</f>
        <v>59.689</v>
      </c>
      <c r="AD132" s="242">
        <f>'[2]Turkey Sun Meal Imports'!NH$290</f>
        <v>44.561999999999998</v>
      </c>
      <c r="AE132" s="243">
        <f t="shared" si="75"/>
        <v>95.740380075861481</v>
      </c>
    </row>
    <row r="133" spans="1:31">
      <c r="A133" s="240" t="s">
        <v>233</v>
      </c>
      <c r="B133" s="241">
        <f t="shared" si="74"/>
        <v>5.6439874704227844</v>
      </c>
      <c r="C133" s="241">
        <f t="shared" si="73"/>
        <v>8.8271344508436993</v>
      </c>
      <c r="D133" s="241">
        <f t="shared" si="73"/>
        <v>5.559223020304267</v>
      </c>
      <c r="E133" s="241">
        <f t="shared" si="73"/>
        <v>5.0919396220814921</v>
      </c>
      <c r="F133" s="241">
        <f t="shared" si="73"/>
        <v>2.5716399396212881</v>
      </c>
      <c r="G133" s="242">
        <f>'[2]Turkey Sun Meal Imports'!CS$290</f>
        <v>23.425000000000001</v>
      </c>
      <c r="H133" s="242">
        <f>'[2]Turkey Sun Meal Imports'!DE$290</f>
        <v>36.57</v>
      </c>
      <c r="I133" s="242">
        <f>'[2]Turkey Sun Meal Imports'!DQ$290</f>
        <v>5.375</v>
      </c>
      <c r="J133" s="242">
        <f>'[2]Turkey Sun Meal Imports'!EC$290</f>
        <v>4.9189999999999996</v>
      </c>
      <c r="K133" s="242">
        <f>'[2]Turkey Sun Meal Imports'!EO$290</f>
        <v>3.0550000000000002</v>
      </c>
      <c r="L133" s="242">
        <f>'[2]Turkey Sun Meal Imports'!FA$290</f>
        <v>35.473999999999997</v>
      </c>
      <c r="M133" s="242">
        <f>'[2]Turkey Sun Meal Imports'!FM$290</f>
        <v>26.56</v>
      </c>
      <c r="N133" s="242">
        <f>'[2]Turkey Sun Meal Imports'!FY$290</f>
        <v>49.92</v>
      </c>
      <c r="O133" s="242">
        <f>'[2]Turkey Sun Meal Imports'!GK$290</f>
        <v>42.511000000000003</v>
      </c>
      <c r="P133" s="242">
        <f>'[2]Turkey Sun Meal Imports'!GW$290</f>
        <v>17.661000000000001</v>
      </c>
      <c r="Q133" s="242">
        <f>'[2]Turkey Sun Meal Imports'!HI$290</f>
        <v>41.036000000000001</v>
      </c>
      <c r="R133" s="242">
        <f>'[2]Turkey Sun Meal Imports'!HU$290</f>
        <v>27.29</v>
      </c>
      <c r="S133" s="242">
        <f>'[2]Turkey Sun Meal Imports'!IG$290</f>
        <v>49.945999999999998</v>
      </c>
      <c r="T133" s="242">
        <f>'[2]Turkey Sun Meal Imports'!IS$290</f>
        <v>39.484000000000002</v>
      </c>
      <c r="U133" s="242">
        <f>'[2]Turkey Sun Meal Imports'!JE$290</f>
        <v>31.626999999999999</v>
      </c>
      <c r="V133" s="242">
        <f>'[2]Turkey Sun Meal Imports'!JQ$290</f>
        <v>59.518000000000001</v>
      </c>
      <c r="W133" s="242">
        <f>'[2]Turkey Sun Meal Imports'!KC$290</f>
        <v>87.632000000000005</v>
      </c>
      <c r="X133" s="242">
        <f>'[2]Turkey Sun Meal Imports'!KO$290</f>
        <v>101.774</v>
      </c>
      <c r="Y133" s="242">
        <f>'[2]Turkey Sun Meal Imports'!LA$290</f>
        <v>148.32400000000001</v>
      </c>
      <c r="Z133" s="242">
        <f>'[2]Turkey Sun Meal Imports'!LM$290</f>
        <v>61.914999999999999</v>
      </c>
      <c r="AA133" s="242">
        <f>'[2]Turkey Sun Meal Imports'!LY$290</f>
        <v>143.93199999999999</v>
      </c>
      <c r="AB133" s="242">
        <f>'[2]Turkey Sun Meal Imports'!MK$290</f>
        <v>67.013000000000005</v>
      </c>
      <c r="AC133" s="242">
        <f>'[2]Turkey Sun Meal Imports'!MW$290</f>
        <v>80.209000000000003</v>
      </c>
      <c r="AD133" s="242">
        <f>'[2]Turkey Sun Meal Imports'!NI$290</f>
        <v>31.683</v>
      </c>
      <c r="AE133" s="243">
        <f t="shared" si="75"/>
        <v>94.70678856771805</v>
      </c>
    </row>
    <row r="134" spans="1:31">
      <c r="A134" s="240" t="s">
        <v>234</v>
      </c>
      <c r="B134" s="241">
        <f t="shared" si="74"/>
        <v>6.2429982787679332</v>
      </c>
      <c r="C134" s="241">
        <f t="shared" si="73"/>
        <v>9.2940659961938028</v>
      </c>
      <c r="D134" s="241">
        <f t="shared" si="73"/>
        <v>5.1440208192414039</v>
      </c>
      <c r="E134" s="241">
        <f t="shared" si="73"/>
        <v>5.3943143841343861</v>
      </c>
      <c r="F134" s="241">
        <f t="shared" si="73"/>
        <v>2.4632368796930684</v>
      </c>
      <c r="G134" s="242">
        <f>'[2]Turkey Sun Meal Imports'!CT$290</f>
        <v>10.77</v>
      </c>
      <c r="H134" s="242">
        <f>'[2]Turkey Sun Meal Imports'!DF$290</f>
        <v>20.024999999999999</v>
      </c>
      <c r="I134" s="242">
        <f>'[2]Turkey Sun Meal Imports'!DR$290</f>
        <v>5.0460000000000003</v>
      </c>
      <c r="J134" s="242">
        <f>'[2]Turkey Sun Meal Imports'!ED$290</f>
        <v>17.873000000000001</v>
      </c>
      <c r="K134" s="242">
        <f>'[2]Turkey Sun Meal Imports'!EP$290</f>
        <v>8.5749999999999993</v>
      </c>
      <c r="L134" s="242">
        <f>'[2]Turkey Sun Meal Imports'!FB$290</f>
        <v>42.567999999999998</v>
      </c>
      <c r="M134" s="242">
        <f>'[2]Turkey Sun Meal Imports'!FN$290</f>
        <v>26.896000000000001</v>
      </c>
      <c r="N134" s="242">
        <f>'[2]Turkey Sun Meal Imports'!FZ$290</f>
        <v>69.558999999999997</v>
      </c>
      <c r="O134" s="242">
        <f>'[2]Turkey Sun Meal Imports'!GL$290</f>
        <v>26.64</v>
      </c>
      <c r="P134" s="242">
        <f>'[2]Turkey Sun Meal Imports'!GX$290</f>
        <v>15.568</v>
      </c>
      <c r="Q134" s="242">
        <f>'[2]Turkey Sun Meal Imports'!HJ$290</f>
        <v>25.754000000000001</v>
      </c>
      <c r="R134" s="242">
        <f>'[2]Turkey Sun Meal Imports'!HV$290</f>
        <v>51.491999999999997</v>
      </c>
      <c r="S134" s="242">
        <f>'[2]Turkey Sun Meal Imports'!IH$290</f>
        <v>51.468000000000004</v>
      </c>
      <c r="T134" s="242">
        <f>'[2]Turkey Sun Meal Imports'!IT$290</f>
        <v>72.286000000000001</v>
      </c>
      <c r="U134" s="242">
        <f>'[2]Turkey Sun Meal Imports'!JF$290</f>
        <v>33.549999999999997</v>
      </c>
      <c r="V134" s="242">
        <f>'[2]Turkey Sun Meal Imports'!JR$290</f>
        <v>69.915999999999997</v>
      </c>
      <c r="W134" s="242">
        <f>'[2]Turkey Sun Meal Imports'!KD$290</f>
        <v>96.483000000000004</v>
      </c>
      <c r="X134" s="242">
        <f>'[2]Turkey Sun Meal Imports'!KP$290</f>
        <v>69.550999999999988</v>
      </c>
      <c r="Y134" s="242">
        <f>'[2]Turkey Sun Meal Imports'!LB$290</f>
        <v>80.02</v>
      </c>
      <c r="Z134" s="242">
        <f>'[2]Turkey Sun Meal Imports'!LN$290</f>
        <v>127.42700000000001</v>
      </c>
      <c r="AA134" s="242">
        <f>'[2]Turkey Sun Meal Imports'!LZ$290</f>
        <v>133.11199999999999</v>
      </c>
      <c r="AB134" s="242">
        <f>'[2]Turkey Sun Meal Imports'!ML$290</f>
        <v>47.417000000000002</v>
      </c>
      <c r="AC134" s="242">
        <f>'[2]Turkey Sun Meal Imports'!MX$290</f>
        <v>91.403000000000006</v>
      </c>
      <c r="AD134" s="243">
        <f t="shared" si="75"/>
        <v>86.1299463774901</v>
      </c>
      <c r="AE134" s="243">
        <f t="shared" si="75"/>
        <v>90.548622730680563</v>
      </c>
    </row>
    <row r="135" spans="1:31">
      <c r="A135" s="240" t="s">
        <v>46</v>
      </c>
      <c r="B135" s="241">
        <f t="shared" si="74"/>
        <v>5.6990586280030255</v>
      </c>
      <c r="C135" s="241">
        <f t="shared" si="73"/>
        <v>8.3597926416426578</v>
      </c>
      <c r="D135" s="241">
        <f t="shared" si="73"/>
        <v>4.9897161507430212</v>
      </c>
      <c r="E135" s="241">
        <f t="shared" si="73"/>
        <v>4.9700193782410036</v>
      </c>
      <c r="F135" s="241">
        <f t="shared" si="73"/>
        <v>2.4595619554333372</v>
      </c>
      <c r="G135" s="242">
        <f>'[2]Turkey Sun Meal Imports'!CU$290</f>
        <v>12.593</v>
      </c>
      <c r="H135" s="242">
        <f>'[2]Turkey Sun Meal Imports'!DG$290</f>
        <v>16.396000000000001</v>
      </c>
      <c r="I135" s="242">
        <f>'[2]Turkey Sun Meal Imports'!DS$290</f>
        <v>0.502</v>
      </c>
      <c r="J135" s="242">
        <f>'[2]Turkey Sun Meal Imports'!EE$290</f>
        <v>19.904</v>
      </c>
      <c r="K135" s="242">
        <f>'[2]Turkey Sun Meal Imports'!EQ$290</f>
        <v>7.0380000000000003</v>
      </c>
      <c r="L135" s="242">
        <f>'[2]Turkey Sun Meal Imports'!FC$290</f>
        <v>34.798000000000002</v>
      </c>
      <c r="M135" s="242">
        <f>'[2]Turkey Sun Meal Imports'!FO$290</f>
        <v>32.305999999999997</v>
      </c>
      <c r="N135" s="242">
        <f>'[2]Turkey Sun Meal Imports'!GA$290</f>
        <v>51.938000000000002</v>
      </c>
      <c r="O135" s="242">
        <f>'[2]Turkey Sun Meal Imports'!GM$290</f>
        <v>32.976999999999997</v>
      </c>
      <c r="P135" s="242">
        <f>'[2]Turkey Sun Meal Imports'!GY$290</f>
        <v>10.994</v>
      </c>
      <c r="Q135" s="242">
        <f>'[2]Turkey Sun Meal Imports'!HK$290</f>
        <v>31.27</v>
      </c>
      <c r="R135" s="242">
        <f>'[2]Turkey Sun Meal Imports'!HW$290</f>
        <v>46.966999999999999</v>
      </c>
      <c r="S135" s="242">
        <f>'[2]Turkey Sun Meal Imports'!II$290</f>
        <v>48.459000000000003</v>
      </c>
      <c r="T135" s="242">
        <f>'[2]Turkey Sun Meal Imports'!IU$290</f>
        <v>118.89</v>
      </c>
      <c r="U135" s="242">
        <f>'[2]Turkey Sun Meal Imports'!JG$290</f>
        <v>30.446999999999999</v>
      </c>
      <c r="V135" s="242">
        <f>'[2]Turkey Sun Meal Imports'!JS$290</f>
        <v>87.066000000000003</v>
      </c>
      <c r="W135" s="242">
        <f>'[2]Turkey Sun Meal Imports'!KE$290</f>
        <v>65.150000000000006</v>
      </c>
      <c r="X135" s="242">
        <f>'[2]Turkey Sun Meal Imports'!KQ$290</f>
        <v>48.748000000000005</v>
      </c>
      <c r="Y135" s="242">
        <f>'[2]Turkey Sun Meal Imports'!LC$290</f>
        <v>88.14200000000001</v>
      </c>
      <c r="Z135" s="242">
        <f>'[2]Turkey Sun Meal Imports'!LO$290</f>
        <v>98.424999999999997</v>
      </c>
      <c r="AA135" s="242">
        <f>'[2]Turkey Sun Meal Imports'!MA$290</f>
        <v>98.147999999999996</v>
      </c>
      <c r="AB135" s="242">
        <f>'[2]Turkey Sun Meal Imports'!MM$290</f>
        <v>123.01600000000001</v>
      </c>
      <c r="AC135" s="242">
        <f>'[2]Turkey Sun Meal Imports'!MY$290</f>
        <v>56.731999999999999</v>
      </c>
      <c r="AD135" s="243">
        <f t="shared" si="75"/>
        <v>85.932659258252073</v>
      </c>
      <c r="AE135" s="243">
        <f t="shared" si="75"/>
        <v>87.731179211772087</v>
      </c>
    </row>
    <row r="136" spans="1:31">
      <c r="A136" s="240" t="s">
        <v>235</v>
      </c>
      <c r="B136" s="241">
        <f t="shared" si="74"/>
        <v>4.1536265078006673</v>
      </c>
      <c r="C136" s="241">
        <f t="shared" si="73"/>
        <v>5.9709288035868067</v>
      </c>
      <c r="D136" s="241">
        <f t="shared" si="73"/>
        <v>2.9123598289758634</v>
      </c>
      <c r="E136" s="241">
        <f t="shared" si="73"/>
        <v>3.7717648469004805</v>
      </c>
      <c r="F136" s="241">
        <f t="shared" si="73"/>
        <v>2.27515281493327</v>
      </c>
      <c r="G136" s="242">
        <f>'[2]Turkey Sun Meal Imports'!CV$290</f>
        <v>2.6280000000000001</v>
      </c>
      <c r="H136" s="242">
        <f>'[2]Turkey Sun Meal Imports'!DH$290</f>
        <v>22.815000000000001</v>
      </c>
      <c r="I136" s="242">
        <f>'[2]Turkey Sun Meal Imports'!DT$290</f>
        <v>9.6660000000000004</v>
      </c>
      <c r="J136" s="242">
        <f>'[2]Turkey Sun Meal Imports'!EF$290</f>
        <v>9.3209999999999997</v>
      </c>
      <c r="K136" s="242">
        <f>'[2]Turkey Sun Meal Imports'!ER$290</f>
        <v>10.028</v>
      </c>
      <c r="L136" s="242">
        <f>'[2]Turkey Sun Meal Imports'!FD$290</f>
        <v>41.917999999999999</v>
      </c>
      <c r="M136" s="242">
        <f>'[2]Turkey Sun Meal Imports'!FP$290</f>
        <v>17.524000000000001</v>
      </c>
      <c r="N136" s="242">
        <f>'[2]Turkey Sun Meal Imports'!GB$290</f>
        <v>26.318999999999999</v>
      </c>
      <c r="O136" s="242">
        <f>'[2]Turkey Sun Meal Imports'!GN$290</f>
        <v>20.135999999999999</v>
      </c>
      <c r="P136" s="242">
        <f>'[2]Turkey Sun Meal Imports'!GZ$290</f>
        <v>10.534000000000001</v>
      </c>
      <c r="Q136" s="242">
        <f>'[2]Turkey Sun Meal Imports'!HL$290</f>
        <v>18.574000000000002</v>
      </c>
      <c r="R136" s="242">
        <f>'[2]Turkey Sun Meal Imports'!HX$290</f>
        <v>56.597000000000001</v>
      </c>
      <c r="S136" s="242">
        <f>'[2]Turkey Sun Meal Imports'!IJ$290</f>
        <v>52.03</v>
      </c>
      <c r="T136" s="242">
        <f>'[2]Turkey Sun Meal Imports'!IV$290</f>
        <v>86.558999999999997</v>
      </c>
      <c r="U136" s="242">
        <f>'[2]Turkey Sun Meal Imports'!JH$290</f>
        <v>17.765999999999998</v>
      </c>
      <c r="V136" s="242">
        <f>'[2]Turkey Sun Meal Imports'!JT$290</f>
        <v>60.646000000000001</v>
      </c>
      <c r="W136" s="242">
        <f>'[2]Turkey Sun Meal Imports'!KF$290</f>
        <v>72.537000000000006</v>
      </c>
      <c r="X136" s="242">
        <f>'[2]Turkey Sun Meal Imports'!KR$290</f>
        <v>75.222000000000008</v>
      </c>
      <c r="Y136" s="242">
        <f>'[2]Turkey Sun Meal Imports'!LD$290</f>
        <v>55.001999999999995</v>
      </c>
      <c r="Z136" s="242">
        <f>'[2]Turkey Sun Meal Imports'!LP$290</f>
        <v>53.892000000000003</v>
      </c>
      <c r="AA136" s="242">
        <f>'[2]Turkey Sun Meal Imports'!MB$290</f>
        <v>62.331000000000003</v>
      </c>
      <c r="AB136" s="242">
        <f>'[2]Turkey Sun Meal Imports'!MN$290</f>
        <v>102.244</v>
      </c>
      <c r="AC136" s="242">
        <f>'[2]Turkey Sun Meal Imports'!MZ$290</f>
        <v>31.420999999999999</v>
      </c>
      <c r="AD136" s="243">
        <f t="shared" si="75"/>
        <v>65.641453143341039</v>
      </c>
      <c r="AE136" s="243">
        <f t="shared" si="75"/>
        <v>57.589860182355089</v>
      </c>
    </row>
    <row r="137" spans="1:31">
      <c r="A137" s="240" t="s">
        <v>236</v>
      </c>
      <c r="B137" s="241">
        <f t="shared" si="74"/>
        <v>4.0981612170171839</v>
      </c>
      <c r="C137" s="241">
        <f t="shared" si="73"/>
        <v>5.1568114743794604</v>
      </c>
      <c r="D137" s="241">
        <f t="shared" si="73"/>
        <v>2.5662693498742595</v>
      </c>
      <c r="E137" s="241">
        <f t="shared" si="73"/>
        <v>2.5386637290128515</v>
      </c>
      <c r="F137" s="241">
        <f t="shared" si="73"/>
        <v>1.3000008540129</v>
      </c>
      <c r="G137" s="242">
        <f>'[2]Turkey Sun Meal Imports'!CW$290</f>
        <v>0</v>
      </c>
      <c r="H137" s="242">
        <f>'[2]Turkey Sun Meal Imports'!DI$290</f>
        <v>23.31</v>
      </c>
      <c r="I137" s="242">
        <f>'[2]Turkey Sun Meal Imports'!DU$290</f>
        <v>0.28000000000000003</v>
      </c>
      <c r="J137" s="242">
        <f>'[2]Turkey Sun Meal Imports'!EG$290</f>
        <v>3.2</v>
      </c>
      <c r="K137" s="242">
        <f>'[2]Turkey Sun Meal Imports'!ES$290</f>
        <v>14.590999999999999</v>
      </c>
      <c r="L137" s="242">
        <f>'[2]Turkey Sun Meal Imports'!FE$290</f>
        <v>26.21</v>
      </c>
      <c r="M137" s="242">
        <f>'[2]Turkey Sun Meal Imports'!FQ$290</f>
        <v>19.486000000000001</v>
      </c>
      <c r="N137" s="242">
        <f>'[2]Turkey Sun Meal Imports'!GC$290</f>
        <v>22.190999999999999</v>
      </c>
      <c r="O137" s="242">
        <f>'[2]Turkey Sun Meal Imports'!GO$290</f>
        <v>31.899000000000001</v>
      </c>
      <c r="P137" s="242">
        <f>'[2]Turkey Sun Meal Imports'!HA$290</f>
        <v>0.77</v>
      </c>
      <c r="Q137" s="242">
        <f>'[2]Turkey Sun Meal Imports'!HM$290</f>
        <v>7.6790000000000003</v>
      </c>
      <c r="R137" s="242">
        <f>'[2]Turkey Sun Meal Imports'!HY$290</f>
        <v>26.414000000000001</v>
      </c>
      <c r="S137" s="242">
        <f>'[2]Turkey Sun Meal Imports'!IK$290</f>
        <v>23.443999999999999</v>
      </c>
      <c r="T137" s="242">
        <f>'[2]Turkey Sun Meal Imports'!IW$290</f>
        <v>49.881999999999998</v>
      </c>
      <c r="U137" s="242">
        <f>'[2]Turkey Sun Meal Imports'!JI$290</f>
        <v>16.846</v>
      </c>
      <c r="V137" s="242">
        <f>'[2]Turkey Sun Meal Imports'!JU$290</f>
        <v>70.513999999999996</v>
      </c>
      <c r="W137" s="242">
        <f>'[2]Turkey Sun Meal Imports'!KG$290</f>
        <v>40.191000000000003</v>
      </c>
      <c r="X137" s="242">
        <f>'[2]Turkey Sun Meal Imports'!KS$290</f>
        <v>34.512</v>
      </c>
      <c r="Y137" s="242">
        <f>'[2]Turkey Sun Meal Imports'!LE$290</f>
        <v>65.792000000000002</v>
      </c>
      <c r="Z137" s="242">
        <f>'[2]Turkey Sun Meal Imports'!LQ$290</f>
        <v>26.355</v>
      </c>
      <c r="AA137" s="242">
        <f>'[2]Turkey Sun Meal Imports'!MC$290</f>
        <v>58.988</v>
      </c>
      <c r="AB137" s="242">
        <f>'[2]Turkey Sun Meal Imports'!MO$290</f>
        <v>85.272000000000006</v>
      </c>
      <c r="AC137" s="242">
        <f>'[2]Turkey Sun Meal Imports'!NA$290</f>
        <v>29.300999999999998</v>
      </c>
      <c r="AD137" s="243">
        <f t="shared" si="75"/>
        <v>51.000791084773653</v>
      </c>
      <c r="AE137" s="243">
        <f t="shared" si="75"/>
        <v>50.188876543452402</v>
      </c>
    </row>
    <row r="138" spans="1:31">
      <c r="A138" s="240" t="s">
        <v>237</v>
      </c>
      <c r="B138" s="241">
        <f t="shared" si="74"/>
        <v>2.2816729438580676</v>
      </c>
      <c r="C138" s="241">
        <f t="shared" si="73"/>
        <v>2.8737444268845405</v>
      </c>
      <c r="D138" s="241">
        <f t="shared" si="73"/>
        <v>1.3557035473179082</v>
      </c>
      <c r="E138" s="241">
        <f t="shared" si="73"/>
        <v>1.6645595088942988</v>
      </c>
      <c r="F138" s="241">
        <f t="shared" si="73"/>
        <v>1.0588825881714945</v>
      </c>
      <c r="G138" s="242">
        <f>'[2]Turkey Sun Meal Imports'!CX$290</f>
        <v>0</v>
      </c>
      <c r="H138" s="242">
        <f>'[2]Turkey Sun Meal Imports'!DJ$290</f>
        <v>7.8250000000000002</v>
      </c>
      <c r="I138" s="242">
        <f>'[2]Turkey Sun Meal Imports'!DV$290</f>
        <v>0</v>
      </c>
      <c r="J138" s="242">
        <f>'[2]Turkey Sun Meal Imports'!EH$290</f>
        <v>0.29099999999999998</v>
      </c>
      <c r="K138" s="242">
        <f>'[2]Turkey Sun Meal Imports'!ET$290</f>
        <v>8.5719999999999992</v>
      </c>
      <c r="L138" s="242">
        <f>'[2]Turkey Sun Meal Imports'!FF$290</f>
        <v>23.949000000000002</v>
      </c>
      <c r="M138" s="242">
        <f>'[2]Turkey Sun Meal Imports'!FR$290</f>
        <v>4.6779999999999999</v>
      </c>
      <c r="N138" s="242">
        <f>'[2]Turkey Sun Meal Imports'!GD$290</f>
        <v>12.372</v>
      </c>
      <c r="O138" s="242">
        <f>'[2]Turkey Sun Meal Imports'!GP$290</f>
        <v>14.109</v>
      </c>
      <c r="P138" s="242">
        <f>'[2]Turkey Sun Meal Imports'!HB$290</f>
        <v>0.92900000000000005</v>
      </c>
      <c r="Q138" s="242">
        <f>'[2]Turkey Sun Meal Imports'!HN$290</f>
        <v>11.244</v>
      </c>
      <c r="R138" s="242">
        <f>'[2]Turkey Sun Meal Imports'!HZ$290</f>
        <v>19.670999999999999</v>
      </c>
      <c r="S138" s="242">
        <f>'[2]Turkey Sun Meal Imports'!IL$290</f>
        <v>27.521999999999998</v>
      </c>
      <c r="T138" s="242">
        <f>'[2]Turkey Sun Meal Imports'!IX$290</f>
        <v>19.09</v>
      </c>
      <c r="U138" s="242">
        <f>'[2]Turkey Sun Meal Imports'!JJ$290</f>
        <v>3.3029999999999999</v>
      </c>
      <c r="V138" s="242">
        <f>'[2]Turkey Sun Meal Imports'!JV$290</f>
        <v>31.527999999999999</v>
      </c>
      <c r="W138" s="242">
        <f>'[2]Turkey Sun Meal Imports'!KH$290</f>
        <v>30.806000000000001</v>
      </c>
      <c r="X138" s="242">
        <f>'[2]Turkey Sun Meal Imports'!KT$290</f>
        <v>46.330999999999996</v>
      </c>
      <c r="Y138" s="242">
        <f>'[2]Turkey Sun Meal Imports'!LF$290</f>
        <v>20.676000000000002</v>
      </c>
      <c r="Z138" s="242">
        <f>'[2]Turkey Sun Meal Imports'!LR$290</f>
        <v>9.7739999999999991</v>
      </c>
      <c r="AA138" s="242">
        <f>'[2]Turkey Sun Meal Imports'!MD$290</f>
        <v>40.61</v>
      </c>
      <c r="AB138" s="242">
        <f>'[2]Turkey Sun Meal Imports'!MP$290</f>
        <v>43.99</v>
      </c>
      <c r="AC138" s="242">
        <f>'[2]Turkey Sun Meal Imports'!NB$290</f>
        <v>24.382999999999999</v>
      </c>
      <c r="AD138" s="243">
        <f t="shared" si="75"/>
        <v>30.380145600906015</v>
      </c>
      <c r="AE138" s="243">
        <f t="shared" si="75"/>
        <v>26.337128061944693</v>
      </c>
    </row>
    <row r="139" spans="1:31">
      <c r="A139" s="240" t="s">
        <v>238</v>
      </c>
      <c r="B139" s="241">
        <f t="shared" si="74"/>
        <v>1.572340668896413</v>
      </c>
      <c r="C139" s="241">
        <f t="shared" si="73"/>
        <v>1.9823436447565339</v>
      </c>
      <c r="D139" s="241">
        <f t="shared" si="73"/>
        <v>1.0404927737734624</v>
      </c>
      <c r="E139" s="241">
        <f t="shared" si="73"/>
        <v>0.88791728145254045</v>
      </c>
      <c r="F139" s="241">
        <f t="shared" si="73"/>
        <v>0.52260305266911056</v>
      </c>
      <c r="G139" s="242">
        <f>'[2]Turkey Sun Meal Imports'!CY$290</f>
        <v>2.4670000000000001</v>
      </c>
      <c r="H139" s="242">
        <f>'[2]Turkey Sun Meal Imports'!DK$290</f>
        <v>3.11</v>
      </c>
      <c r="I139" s="242">
        <f>'[2]Turkey Sun Meal Imports'!DW$290</f>
        <v>0</v>
      </c>
      <c r="J139" s="242">
        <f>'[2]Turkey Sun Meal Imports'!EI$290</f>
        <v>2.633</v>
      </c>
      <c r="K139" s="242">
        <f>'[2]Turkey Sun Meal Imports'!EU$290</f>
        <v>5.7229999999999999</v>
      </c>
      <c r="L139" s="242">
        <f>'[2]Turkey Sun Meal Imports'!FG$290</f>
        <v>10.574999999999999</v>
      </c>
      <c r="M139" s="242">
        <f>'[2]Turkey Sun Meal Imports'!FS$290</f>
        <v>2.145</v>
      </c>
      <c r="N139" s="242">
        <f>'[2]Turkey Sun Meal Imports'!GE$290</f>
        <v>16.818000000000001</v>
      </c>
      <c r="O139" s="242">
        <f>'[2]Turkey Sun Meal Imports'!GQ$290</f>
        <v>8.6219999999999999</v>
      </c>
      <c r="P139" s="242">
        <f>'[2]Turkey Sun Meal Imports'!HC$290</f>
        <v>0.495</v>
      </c>
      <c r="Q139" s="242">
        <f>'[2]Turkey Sun Meal Imports'!HO$290</f>
        <v>5.1769999999999996</v>
      </c>
      <c r="R139" s="242">
        <f>'[2]Turkey Sun Meal Imports'!IA$290</f>
        <v>0</v>
      </c>
      <c r="S139" s="242">
        <f>'[2]Turkey Sun Meal Imports'!IM$290</f>
        <v>21.969000000000001</v>
      </c>
      <c r="T139" s="242">
        <f>'[2]Turkey Sun Meal Imports'!IY$290</f>
        <v>18.806999999999999</v>
      </c>
      <c r="U139" s="242">
        <f>'[2]Turkey Sun Meal Imports'!JK$290</f>
        <v>16.13</v>
      </c>
      <c r="V139" s="242">
        <f>'[2]Turkey Sun Meal Imports'!JW$290</f>
        <v>22.817</v>
      </c>
      <c r="W139" s="242">
        <f>'[2]Turkey Sun Meal Imports'!KI$290</f>
        <v>15.319000000000001</v>
      </c>
      <c r="X139" s="242">
        <f>'[2]Turkey Sun Meal Imports'!KU$290</f>
        <v>27.35</v>
      </c>
      <c r="Y139" s="242">
        <f>'[2]Turkey Sun Meal Imports'!LG$290</f>
        <v>43.086999999999996</v>
      </c>
      <c r="Z139" s="242">
        <f>'[2]Turkey Sun Meal Imports'!LS$290</f>
        <v>12.044</v>
      </c>
      <c r="AA139" s="242">
        <f>'[2]Turkey Sun Meal Imports'!ME$290</f>
        <v>35.865000000000002</v>
      </c>
      <c r="AB139" s="242">
        <f>'[2]Turkey Sun Meal Imports'!MQ$290</f>
        <v>31.484000000000002</v>
      </c>
      <c r="AC139" s="242">
        <f>'[2]Turkey Sun Meal Imports'!NC$290</f>
        <v>22.401</v>
      </c>
      <c r="AD139" s="243">
        <f t="shared" ref="AD139:AE139" si="76">AD140-SUM(AD128:AD138)</f>
        <v>96.103004535237005</v>
      </c>
      <c r="AE139" s="243">
        <f t="shared" si="76"/>
        <v>27.366186273999688</v>
      </c>
    </row>
    <row r="140" spans="1:31" ht="15.75" thickBot="1">
      <c r="A140" s="240" t="s">
        <v>242</v>
      </c>
      <c r="B140" s="242">
        <f t="shared" ref="B140:G140" si="77">B24</f>
        <v>52</v>
      </c>
      <c r="C140" s="242">
        <f t="shared" si="77"/>
        <v>82</v>
      </c>
      <c r="D140" s="242">
        <f t="shared" si="77"/>
        <v>50</v>
      </c>
      <c r="E140" s="242">
        <f t="shared" si="77"/>
        <v>50</v>
      </c>
      <c r="F140" s="242">
        <f t="shared" si="77"/>
        <v>27</v>
      </c>
      <c r="G140" s="242">
        <f t="shared" si="77"/>
        <v>94</v>
      </c>
      <c r="H140" s="242">
        <f t="shared" ref="H140:AB140" si="78">SUM(H128:H139)</f>
        <v>230.19600000000003</v>
      </c>
      <c r="I140" s="242">
        <f t="shared" si="78"/>
        <v>146.29499999999999</v>
      </c>
      <c r="J140" s="242">
        <f t="shared" si="78"/>
        <v>59.753999999999998</v>
      </c>
      <c r="K140" s="242">
        <f t="shared" si="78"/>
        <v>66.584999999999994</v>
      </c>
      <c r="L140" s="242">
        <f t="shared" si="78"/>
        <v>317.06</v>
      </c>
      <c r="M140" s="242">
        <f t="shared" si="78"/>
        <v>273.012</v>
      </c>
      <c r="N140" s="242">
        <f t="shared" si="78"/>
        <v>400.267</v>
      </c>
      <c r="O140" s="242">
        <f t="shared" si="78"/>
        <v>394.36199999999997</v>
      </c>
      <c r="P140" s="242">
        <f t="shared" si="78"/>
        <v>214.27</v>
      </c>
      <c r="Q140" s="242">
        <f t="shared" si="78"/>
        <v>316.226</v>
      </c>
      <c r="R140" s="242">
        <f t="shared" si="78"/>
        <v>426.84</v>
      </c>
      <c r="S140" s="242">
        <f t="shared" si="78"/>
        <v>521.81000000000006</v>
      </c>
      <c r="T140" s="242">
        <f t="shared" si="78"/>
        <v>735.85899999999992</v>
      </c>
      <c r="U140" s="242">
        <f t="shared" si="78"/>
        <v>429.77500000000009</v>
      </c>
      <c r="V140" s="242">
        <f t="shared" si="78"/>
        <v>763.91700000000003</v>
      </c>
      <c r="W140" s="242">
        <f t="shared" si="78"/>
        <v>765.83500000000004</v>
      </c>
      <c r="X140" s="242">
        <f t="shared" si="78"/>
        <v>819.21399999999994</v>
      </c>
      <c r="Y140" s="242">
        <f t="shared" si="78"/>
        <v>979.20800000000008</v>
      </c>
      <c r="Z140" s="242">
        <f t="shared" si="78"/>
        <v>890.43299999999999</v>
      </c>
      <c r="AA140" s="242">
        <f t="shared" si="78"/>
        <v>934.11800000000005</v>
      </c>
      <c r="AB140" s="242">
        <f t="shared" si="78"/>
        <v>1025.075</v>
      </c>
      <c r="AC140" s="242">
        <f>SUM(AC128:AC139)</f>
        <v>803.55700000000013</v>
      </c>
      <c r="AD140" s="243">
        <f t="shared" ref="AD140:AE140" si="79">AD24</f>
        <v>875</v>
      </c>
      <c r="AE140" s="243">
        <f t="shared" si="79"/>
        <v>875</v>
      </c>
    </row>
    <row r="141" spans="1:31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  <c r="AE141" s="248"/>
    </row>
    <row r="142" spans="1:31" ht="15.75" thickBot="1">
      <c r="A142" s="235" t="s">
        <v>257</v>
      </c>
    </row>
    <row r="143" spans="1:31" ht="15.75" thickBot="1">
      <c r="A143" s="236"/>
      <c r="B143" s="237" t="str">
        <f>B$2</f>
        <v xml:space="preserve">93/94 </v>
      </c>
      <c r="C143" s="237" t="str">
        <f t="shared" ref="C143:AE143" si="80">C$2</f>
        <v xml:space="preserve">94/95 </v>
      </c>
      <c r="D143" s="237" t="str">
        <f t="shared" si="80"/>
        <v xml:space="preserve">95/96 </v>
      </c>
      <c r="E143" s="237" t="str">
        <f t="shared" si="80"/>
        <v xml:space="preserve">96/97 </v>
      </c>
      <c r="F143" s="237" t="str">
        <f t="shared" si="80"/>
        <v xml:space="preserve">97/98 </v>
      </c>
      <c r="G143" s="237" t="str">
        <f t="shared" si="80"/>
        <v xml:space="preserve">98/99 </v>
      </c>
      <c r="H143" s="237" t="str">
        <f t="shared" si="80"/>
        <v xml:space="preserve">99/00 </v>
      </c>
      <c r="I143" s="237" t="str">
        <f t="shared" si="80"/>
        <v xml:space="preserve">00/01 </v>
      </c>
      <c r="J143" s="237" t="str">
        <f t="shared" si="80"/>
        <v xml:space="preserve">01/02 </v>
      </c>
      <c r="K143" s="237" t="str">
        <f t="shared" si="80"/>
        <v xml:space="preserve">02/03 </v>
      </c>
      <c r="L143" s="237" t="str">
        <f t="shared" si="80"/>
        <v xml:space="preserve">03/04 </v>
      </c>
      <c r="M143" s="237" t="str">
        <f t="shared" si="80"/>
        <v xml:space="preserve">04/05 </v>
      </c>
      <c r="N143" s="237" t="str">
        <f t="shared" si="80"/>
        <v xml:space="preserve">05/06 </v>
      </c>
      <c r="O143" s="237" t="str">
        <f t="shared" si="80"/>
        <v xml:space="preserve">06/07 </v>
      </c>
      <c r="P143" s="237" t="str">
        <f t="shared" si="80"/>
        <v xml:space="preserve">07/08 </v>
      </c>
      <c r="Q143" s="237" t="str">
        <f t="shared" si="80"/>
        <v xml:space="preserve">08/09 </v>
      </c>
      <c r="R143" s="237" t="str">
        <f t="shared" si="80"/>
        <v xml:space="preserve">09/10 </v>
      </c>
      <c r="S143" s="237" t="str">
        <f t="shared" si="80"/>
        <v xml:space="preserve">10/11 </v>
      </c>
      <c r="T143" s="237" t="str">
        <f t="shared" si="80"/>
        <v xml:space="preserve">11/12 </v>
      </c>
      <c r="U143" s="237" t="str">
        <f t="shared" si="80"/>
        <v xml:space="preserve">12/13 </v>
      </c>
      <c r="V143" s="237" t="str">
        <f t="shared" si="80"/>
        <v xml:space="preserve">13/14 </v>
      </c>
      <c r="W143" s="237" t="str">
        <f t="shared" si="80"/>
        <v xml:space="preserve">14/15 </v>
      </c>
      <c r="X143" s="237" t="str">
        <f t="shared" si="80"/>
        <v xml:space="preserve">15/16 </v>
      </c>
      <c r="Y143" s="237" t="str">
        <f t="shared" si="80"/>
        <v xml:space="preserve">16/17 </v>
      </c>
      <c r="Z143" s="237" t="str">
        <f t="shared" si="80"/>
        <v xml:space="preserve">17/18 </v>
      </c>
      <c r="AA143" s="237" t="str">
        <f t="shared" si="80"/>
        <v xml:space="preserve">18/19 </v>
      </c>
      <c r="AB143" s="237" t="str">
        <f t="shared" si="80"/>
        <v xml:space="preserve">19/20 </v>
      </c>
      <c r="AC143" s="237" t="str">
        <f t="shared" si="80"/>
        <v xml:space="preserve">20/21 </v>
      </c>
      <c r="AD143" s="237" t="str">
        <f t="shared" si="80"/>
        <v xml:space="preserve">21/22 </v>
      </c>
      <c r="AE143" s="237" t="str">
        <f t="shared" si="80"/>
        <v xml:space="preserve">22/23 </v>
      </c>
    </row>
    <row r="144" spans="1:31">
      <c r="A144" s="240" t="s">
        <v>239</v>
      </c>
      <c r="B144" s="241">
        <f>(SUM(H144:L144)/SUM(H$156:L$156))*B$156</f>
        <v>0</v>
      </c>
      <c r="C144" s="241">
        <f t="shared" ref="C144:F155" si="81">(SUM(I144:M144)/SUM(I$156:M$156))*C$156</f>
        <v>0</v>
      </c>
      <c r="D144" s="241">
        <f t="shared" si="81"/>
        <v>51.6692367000771</v>
      </c>
      <c r="E144" s="241">
        <f t="shared" si="81"/>
        <v>38.444621091679913</v>
      </c>
      <c r="F144" s="241">
        <f t="shared" si="81"/>
        <v>3.4949655537890827</v>
      </c>
      <c r="G144" s="241">
        <v>0</v>
      </c>
      <c r="H144" s="242">
        <f>'[2]Turkey Sun Meal Exports'!CZ$290</f>
        <v>0</v>
      </c>
      <c r="I144" s="242">
        <f>'[2]Turkey Sun Meal Exports'!DL$290</f>
        <v>0</v>
      </c>
      <c r="J144" s="242">
        <f>'[2]Turkey Sun Meal Exports'!DX$290</f>
        <v>0</v>
      </c>
      <c r="K144" s="242">
        <f>'[2]Turkey Sun Meal Exports'!EJ$290</f>
        <v>0</v>
      </c>
      <c r="L144" s="242">
        <f>'[2]Turkey Sun Meal Exports'!EV$290</f>
        <v>0</v>
      </c>
      <c r="M144" s="242">
        <f>'[2]Turkey Sun Meal Exports'!FH$290</f>
        <v>0</v>
      </c>
      <c r="N144" s="242">
        <f>'[2]Turkey Sun Meal Exports'!FT$290</f>
        <v>1.0309999999999999</v>
      </c>
      <c r="O144" s="242">
        <f>'[2]Turkey Sun Meal Exports'!GF$290</f>
        <v>0.28799999999999998</v>
      </c>
      <c r="P144" s="242">
        <f>'[2]Turkey Sun Meal Exports'!GR$290</f>
        <v>0</v>
      </c>
      <c r="Q144" s="242">
        <f>'[2]Turkey Sun Meal Exports'!HD$290</f>
        <v>2.4E-2</v>
      </c>
      <c r="R144" s="242">
        <f>'[2]Turkey Sun Meal Exports'!HP$290</f>
        <v>0.17</v>
      </c>
      <c r="S144" s="242">
        <f>'[2]Turkey Sun Meal Exports'!IB$290</f>
        <v>0</v>
      </c>
      <c r="T144" s="242">
        <f>'[2]Turkey Sun Meal Exports'!IN$290</f>
        <v>0.05</v>
      </c>
      <c r="U144" s="242">
        <f>'[2]Turkey Sun Meal Exports'!IZ$290</f>
        <v>0</v>
      </c>
      <c r="V144" s="242">
        <f>'[2]Turkey Sun Meal Exports'!JL$290</f>
        <v>0</v>
      </c>
      <c r="W144" s="242">
        <f>'[2]Turkey Sun Meal Exports'!JX$290</f>
        <v>0.1</v>
      </c>
      <c r="X144" s="242">
        <f>'[2]Turkey Sun Meal Exports'!KJ$290</f>
        <v>0.05</v>
      </c>
      <c r="Y144" s="242">
        <f>'[2]Turkey Sun Meal Exports'!KV$290</f>
        <v>1.5</v>
      </c>
      <c r="Z144" s="242">
        <f>'[2]Turkey Sun Meal Exports'!LH$290</f>
        <v>5.1999999999999998E-2</v>
      </c>
      <c r="AA144" s="242">
        <f>'[2]Turkey Sun Meal Exports'!LT$290</f>
        <v>1.2490000000000001</v>
      </c>
      <c r="AB144" s="242">
        <f>'[2]Turkey Sun Meal Exports'!MF$290</f>
        <v>7.3999999999999996E-2</v>
      </c>
      <c r="AC144" s="242">
        <f>'[2]Turkey Sun Meal Exports'!MR$290</f>
        <v>0.85</v>
      </c>
      <c r="AD144" s="242">
        <f>'[2]Turkey Sun Meal Exports'!ND$290</f>
        <v>1.018</v>
      </c>
      <c r="AE144" s="243">
        <f>(SUM(Y144:AC144)/SUM(Y$156:AC$156))*AE$156</f>
        <v>1.3044726778635365</v>
      </c>
    </row>
    <row r="145" spans="1:31">
      <c r="A145" s="240" t="s">
        <v>240</v>
      </c>
      <c r="B145" s="241">
        <f t="shared" ref="B145:B155" si="82">(SUM(H145:L145)/SUM(H$156:L$156))*B$156</f>
        <v>0</v>
      </c>
      <c r="C145" s="241">
        <f t="shared" si="81"/>
        <v>0</v>
      </c>
      <c r="D145" s="241">
        <f t="shared" si="81"/>
        <v>0</v>
      </c>
      <c r="E145" s="241">
        <f t="shared" si="81"/>
        <v>8.8023317435082138</v>
      </c>
      <c r="F145" s="241">
        <f t="shared" si="81"/>
        <v>0.80021197668256494</v>
      </c>
      <c r="G145" s="241">
        <v>0</v>
      </c>
      <c r="H145" s="242">
        <f>'[2]Turkey Sun Meal Exports'!DA$290</f>
        <v>0</v>
      </c>
      <c r="I145" s="242">
        <f>'[2]Turkey Sun Meal Exports'!DM$290</f>
        <v>0</v>
      </c>
      <c r="J145" s="242">
        <f>'[2]Turkey Sun Meal Exports'!DY$290</f>
        <v>0</v>
      </c>
      <c r="K145" s="242">
        <f>'[2]Turkey Sun Meal Exports'!EK$290</f>
        <v>0</v>
      </c>
      <c r="L145" s="242">
        <f>'[2]Turkey Sun Meal Exports'!EW$290</f>
        <v>0</v>
      </c>
      <c r="M145" s="242">
        <f>'[2]Turkey Sun Meal Exports'!FI$290</f>
        <v>0</v>
      </c>
      <c r="N145" s="242">
        <f>'[2]Turkey Sun Meal Exports'!FU$290</f>
        <v>0</v>
      </c>
      <c r="O145" s="242">
        <f>'[2]Turkey Sun Meal Exports'!GG$290</f>
        <v>0.30199999999999999</v>
      </c>
      <c r="P145" s="242">
        <f>'[2]Turkey Sun Meal Exports'!GS$290</f>
        <v>0</v>
      </c>
      <c r="Q145" s="242">
        <f>'[2]Turkey Sun Meal Exports'!HE$290</f>
        <v>2.4E-2</v>
      </c>
      <c r="R145" s="242">
        <f>'[2]Turkey Sun Meal Exports'!HQ$290</f>
        <v>0</v>
      </c>
      <c r="S145" s="242">
        <f>'[2]Turkey Sun Meal Exports'!IC$290</f>
        <v>0</v>
      </c>
      <c r="T145" s="242">
        <f>'[2]Turkey Sun Meal Exports'!IO$290</f>
        <v>0.315</v>
      </c>
      <c r="U145" s="242">
        <f>'[2]Turkey Sun Meal Exports'!JA$290</f>
        <v>0</v>
      </c>
      <c r="V145" s="242">
        <f>'[2]Turkey Sun Meal Exports'!JM$290</f>
        <v>0</v>
      </c>
      <c r="W145" s="242">
        <f>'[2]Turkey Sun Meal Exports'!JY$290</f>
        <v>0.1</v>
      </c>
      <c r="X145" s="242">
        <f>'[2]Turkey Sun Meal Exports'!KK$290</f>
        <v>7.3999999999999996E-2</v>
      </c>
      <c r="Y145" s="242">
        <f>'[2]Turkey Sun Meal Exports'!KW$290</f>
        <v>7.5999999999999998E-2</v>
      </c>
      <c r="Z145" s="242">
        <f>'[2]Turkey Sun Meal Exports'!LI$290</f>
        <v>5.3999999999999999E-2</v>
      </c>
      <c r="AA145" s="242">
        <f>'[2]Turkey Sun Meal Exports'!LU$290</f>
        <v>2.6190000000000002</v>
      </c>
      <c r="AB145" s="242">
        <f>'[2]Turkey Sun Meal Exports'!MG$290</f>
        <v>4.3999999999999997E-2</v>
      </c>
      <c r="AC145" s="242">
        <f>'[2]Turkey Sun Meal Exports'!MS$290</f>
        <v>0.91200000000000003</v>
      </c>
      <c r="AD145" s="242">
        <f>'[2]Turkey Sun Meal Exports'!NE$290</f>
        <v>3.14</v>
      </c>
      <c r="AE145" s="243">
        <f t="shared" ref="AE145:AE151" si="83">(SUM(Y145:AC145)/SUM(Y$156:AC$156))*AE$156</f>
        <v>1.2974687977139336</v>
      </c>
    </row>
    <row r="146" spans="1:31">
      <c r="A146" s="240" t="s">
        <v>241</v>
      </c>
      <c r="B146" s="241">
        <f t="shared" si="82"/>
        <v>0</v>
      </c>
      <c r="C146" s="241">
        <f t="shared" si="81"/>
        <v>0</v>
      </c>
      <c r="D146" s="241">
        <f t="shared" si="81"/>
        <v>0</v>
      </c>
      <c r="E146" s="241">
        <f t="shared" si="81"/>
        <v>0</v>
      </c>
      <c r="F146" s="241">
        <f t="shared" si="81"/>
        <v>0</v>
      </c>
      <c r="G146" s="241">
        <v>0</v>
      </c>
      <c r="H146" s="242">
        <f>'[2]Turkey Sun Meal Exports'!DB$290</f>
        <v>0</v>
      </c>
      <c r="I146" s="242">
        <f>'[2]Turkey Sun Meal Exports'!DN$290</f>
        <v>0</v>
      </c>
      <c r="J146" s="242">
        <f>'[2]Turkey Sun Meal Exports'!DZ$290</f>
        <v>0</v>
      </c>
      <c r="K146" s="242">
        <f>'[2]Turkey Sun Meal Exports'!EL$290</f>
        <v>0</v>
      </c>
      <c r="L146" s="242">
        <f>'[2]Turkey Sun Meal Exports'!EX$290</f>
        <v>0</v>
      </c>
      <c r="M146" s="242">
        <f>'[2]Turkey Sun Meal Exports'!FJ$290</f>
        <v>0</v>
      </c>
      <c r="N146" s="242">
        <f>'[2]Turkey Sun Meal Exports'!FV$290</f>
        <v>0</v>
      </c>
      <c r="O146" s="242">
        <f>'[2]Turkey Sun Meal Exports'!GH$290</f>
        <v>0</v>
      </c>
      <c r="P146" s="242">
        <f>'[2]Turkey Sun Meal Exports'!GT$290</f>
        <v>0</v>
      </c>
      <c r="Q146" s="242">
        <f>'[2]Turkey Sun Meal Exports'!HF$290</f>
        <v>0</v>
      </c>
      <c r="R146" s="242">
        <f>'[2]Turkey Sun Meal Exports'!HR$290</f>
        <v>0</v>
      </c>
      <c r="S146" s="242">
        <f>'[2]Turkey Sun Meal Exports'!ID$290</f>
        <v>0</v>
      </c>
      <c r="T146" s="242">
        <f>'[2]Turkey Sun Meal Exports'!IP$290</f>
        <v>0</v>
      </c>
      <c r="U146" s="242">
        <f>'[2]Turkey Sun Meal Exports'!JB$290</f>
        <v>0</v>
      </c>
      <c r="V146" s="242">
        <f>'[2]Turkey Sun Meal Exports'!JN$290</f>
        <v>0</v>
      </c>
      <c r="W146" s="242">
        <f>'[2]Turkey Sun Meal Exports'!JZ$290</f>
        <v>7.4999999999999997E-2</v>
      </c>
      <c r="X146" s="242">
        <f>'[2]Turkey Sun Meal Exports'!KL$290</f>
        <v>0.1</v>
      </c>
      <c r="Y146" s="242">
        <f>'[2]Turkey Sun Meal Exports'!KX$290</f>
        <v>1.3149999999999999</v>
      </c>
      <c r="Z146" s="242">
        <f>'[2]Turkey Sun Meal Exports'!LJ$290</f>
        <v>7.5999999999999998E-2</v>
      </c>
      <c r="AA146" s="242">
        <f>'[2]Turkey Sun Meal Exports'!LV$290</f>
        <v>2.948</v>
      </c>
      <c r="AB146" s="242">
        <f>'[2]Turkey Sun Meal Exports'!MH$290</f>
        <v>2.3969999999999998</v>
      </c>
      <c r="AC146" s="242">
        <f>'[2]Turkey Sun Meal Exports'!MT$290</f>
        <v>0.28399999999999997</v>
      </c>
      <c r="AD146" s="242">
        <f>'[2]Turkey Sun Meal Exports'!NF$290</f>
        <v>0.191</v>
      </c>
      <c r="AE146" s="243">
        <f t="shared" si="83"/>
        <v>2.4583619325106114</v>
      </c>
    </row>
    <row r="147" spans="1:31">
      <c r="A147" s="240" t="s">
        <v>231</v>
      </c>
      <c r="B147" s="241">
        <f t="shared" si="82"/>
        <v>0</v>
      </c>
      <c r="C147" s="241">
        <f t="shared" si="81"/>
        <v>0</v>
      </c>
      <c r="D147" s="241">
        <f t="shared" si="81"/>
        <v>0</v>
      </c>
      <c r="E147" s="241">
        <f t="shared" si="81"/>
        <v>0</v>
      </c>
      <c r="F147" s="241">
        <f t="shared" si="81"/>
        <v>0</v>
      </c>
      <c r="G147" s="242">
        <f>'[2]Turkey Sun Meal Exports'!CQ$290</f>
        <v>0</v>
      </c>
      <c r="H147" s="242">
        <f>'[2]Turkey Sun Meal Exports'!DC$290</f>
        <v>0</v>
      </c>
      <c r="I147" s="242">
        <f>'[2]Turkey Sun Meal Exports'!DO$290</f>
        <v>0</v>
      </c>
      <c r="J147" s="242">
        <f>'[2]Turkey Sun Meal Exports'!EA$290</f>
        <v>0</v>
      </c>
      <c r="K147" s="242">
        <f>'[2]Turkey Sun Meal Exports'!EM$290</f>
        <v>0</v>
      </c>
      <c r="L147" s="242">
        <f>'[2]Turkey Sun Meal Exports'!EY$290</f>
        <v>0</v>
      </c>
      <c r="M147" s="242">
        <f>'[2]Turkey Sun Meal Exports'!FK$290</f>
        <v>0</v>
      </c>
      <c r="N147" s="242">
        <f>'[2]Turkey Sun Meal Exports'!FW$290</f>
        <v>0</v>
      </c>
      <c r="O147" s="242">
        <f>'[2]Turkey Sun Meal Exports'!GI$290</f>
        <v>0</v>
      </c>
      <c r="P147" s="242">
        <f>'[2]Turkey Sun Meal Exports'!GU$290</f>
        <v>0</v>
      </c>
      <c r="Q147" s="242">
        <f>'[2]Turkey Sun Meal Exports'!HG$290</f>
        <v>0</v>
      </c>
      <c r="R147" s="242">
        <f>'[2]Turkey Sun Meal Exports'!HS$290</f>
        <v>0</v>
      </c>
      <c r="S147" s="242">
        <f>'[2]Turkey Sun Meal Exports'!IE$290</f>
        <v>0</v>
      </c>
      <c r="T147" s="242">
        <f>'[2]Turkey Sun Meal Exports'!IQ$290</f>
        <v>0</v>
      </c>
      <c r="U147" s="242">
        <f>'[2]Turkey Sun Meal Exports'!JC$290</f>
        <v>0</v>
      </c>
      <c r="V147" s="242">
        <f>'[2]Turkey Sun Meal Exports'!JO$290</f>
        <v>0</v>
      </c>
      <c r="W147" s="242">
        <f>'[2]Turkey Sun Meal Exports'!KA$290</f>
        <v>0</v>
      </c>
      <c r="X147" s="242">
        <f>'[2]Turkey Sun Meal Exports'!KM$290</f>
        <v>0</v>
      </c>
      <c r="Y147" s="242">
        <f>'[2]Turkey Sun Meal Exports'!KY$290</f>
        <v>0.14000000000000001</v>
      </c>
      <c r="Z147" s="242">
        <f>'[2]Turkey Sun Meal Exports'!LK$290</f>
        <v>1.615</v>
      </c>
      <c r="AA147" s="242">
        <f>'[2]Turkey Sun Meal Exports'!LW$290</f>
        <v>0.2</v>
      </c>
      <c r="AB147" s="242">
        <f>'[2]Turkey Sun Meal Exports'!MI$290</f>
        <v>0.05</v>
      </c>
      <c r="AC147" s="242">
        <f>'[2]Turkey Sun Meal Exports'!MU$290</f>
        <v>0.29499999999999998</v>
      </c>
      <c r="AD147" s="242">
        <f>'[2]Turkey Sun Meal Exports'!NG$290</f>
        <v>2.573</v>
      </c>
      <c r="AE147" s="243">
        <f t="shared" si="83"/>
        <v>0.80544621720433118</v>
      </c>
    </row>
    <row r="148" spans="1:31">
      <c r="A148" s="240" t="s">
        <v>232</v>
      </c>
      <c r="B148" s="241">
        <f t="shared" si="82"/>
        <v>0</v>
      </c>
      <c r="C148" s="241">
        <f t="shared" si="81"/>
        <v>0</v>
      </c>
      <c r="D148" s="241">
        <f t="shared" si="81"/>
        <v>0</v>
      </c>
      <c r="E148" s="241">
        <f t="shared" si="81"/>
        <v>0</v>
      </c>
      <c r="F148" s="241">
        <f t="shared" si="81"/>
        <v>0</v>
      </c>
      <c r="G148" s="242">
        <f>'[2]Turkey Sun Meal Exports'!CR$290</f>
        <v>0</v>
      </c>
      <c r="H148" s="242">
        <f>'[2]Turkey Sun Meal Exports'!DD$290</f>
        <v>0</v>
      </c>
      <c r="I148" s="242">
        <f>'[2]Turkey Sun Meal Exports'!DP$290</f>
        <v>0</v>
      </c>
      <c r="J148" s="242">
        <f>'[2]Turkey Sun Meal Exports'!EB$290</f>
        <v>0</v>
      </c>
      <c r="K148" s="242">
        <f>'[2]Turkey Sun Meal Exports'!EN$290</f>
        <v>0</v>
      </c>
      <c r="L148" s="242">
        <f>'[2]Turkey Sun Meal Exports'!EZ$290</f>
        <v>0</v>
      </c>
      <c r="M148" s="242">
        <f>'[2]Turkey Sun Meal Exports'!FL$290</f>
        <v>0</v>
      </c>
      <c r="N148" s="242">
        <f>'[2]Turkey Sun Meal Exports'!FX$290</f>
        <v>0</v>
      </c>
      <c r="O148" s="242">
        <f>'[2]Turkey Sun Meal Exports'!GJ$290</f>
        <v>0</v>
      </c>
      <c r="P148" s="242">
        <f>'[2]Turkey Sun Meal Exports'!GV$290</f>
        <v>0</v>
      </c>
      <c r="Q148" s="242">
        <f>'[2]Turkey Sun Meal Exports'!HH$290</f>
        <v>1.0980000000000001</v>
      </c>
      <c r="R148" s="242">
        <f>'[2]Turkey Sun Meal Exports'!HT$290</f>
        <v>0</v>
      </c>
      <c r="S148" s="242">
        <f>'[2]Turkey Sun Meal Exports'!IF$290</f>
        <v>0</v>
      </c>
      <c r="T148" s="242">
        <f>'[2]Turkey Sun Meal Exports'!IR$290</f>
        <v>0</v>
      </c>
      <c r="U148" s="242">
        <f>'[2]Turkey Sun Meal Exports'!JD$290</f>
        <v>0</v>
      </c>
      <c r="V148" s="242">
        <f>'[2]Turkey Sun Meal Exports'!JP$290</f>
        <v>0</v>
      </c>
      <c r="W148" s="242">
        <f>'[2]Turkey Sun Meal Exports'!KB$290</f>
        <v>0</v>
      </c>
      <c r="X148" s="242">
        <f>'[2]Turkey Sun Meal Exports'!KN$290</f>
        <v>0</v>
      </c>
      <c r="Y148" s="242">
        <f>'[2]Turkey Sun Meal Exports'!KZ$290</f>
        <v>0.113</v>
      </c>
      <c r="Z148" s="242">
        <f>'[2]Turkey Sun Meal Exports'!LL$290</f>
        <v>0.38500000000000001</v>
      </c>
      <c r="AA148" s="242">
        <f>'[2]Turkey Sun Meal Exports'!LX$290</f>
        <v>4.0259999999999998</v>
      </c>
      <c r="AB148" s="242">
        <f>'[2]Turkey Sun Meal Exports'!MJ$290</f>
        <v>2.6970000000000001</v>
      </c>
      <c r="AC148" s="242">
        <f>'[2]Turkey Sun Meal Exports'!MV$290</f>
        <v>1.9</v>
      </c>
      <c r="AD148" s="242">
        <f>'[2]Turkey Sun Meal Exports'!NH$290</f>
        <v>3.242</v>
      </c>
      <c r="AE148" s="243">
        <f t="shared" si="83"/>
        <v>3.1941195422263937</v>
      </c>
    </row>
    <row r="149" spans="1:31">
      <c r="A149" s="240" t="s">
        <v>233</v>
      </c>
      <c r="B149" s="241">
        <f t="shared" si="82"/>
        <v>0</v>
      </c>
      <c r="C149" s="241">
        <f t="shared" si="81"/>
        <v>0</v>
      </c>
      <c r="D149" s="241">
        <f t="shared" si="81"/>
        <v>0</v>
      </c>
      <c r="E149" s="241">
        <f t="shared" si="81"/>
        <v>0</v>
      </c>
      <c r="F149" s="241">
        <f t="shared" si="81"/>
        <v>0</v>
      </c>
      <c r="G149" s="242">
        <f>'[2]Turkey Sun Meal Exports'!CS$290</f>
        <v>0</v>
      </c>
      <c r="H149" s="242">
        <f>'[2]Turkey Sun Meal Exports'!DE$290</f>
        <v>0</v>
      </c>
      <c r="I149" s="242">
        <f>'[2]Turkey Sun Meal Exports'!DQ$290</f>
        <v>0</v>
      </c>
      <c r="J149" s="242">
        <f>'[2]Turkey Sun Meal Exports'!EC$290</f>
        <v>0</v>
      </c>
      <c r="K149" s="242">
        <f>'[2]Turkey Sun Meal Exports'!EO$290</f>
        <v>0</v>
      </c>
      <c r="L149" s="242">
        <f>'[2]Turkey Sun Meal Exports'!FA$290</f>
        <v>0</v>
      </c>
      <c r="M149" s="242">
        <f>'[2]Turkey Sun Meal Exports'!FM$290</f>
        <v>0</v>
      </c>
      <c r="N149" s="242">
        <f>'[2]Turkey Sun Meal Exports'!FY$290</f>
        <v>0</v>
      </c>
      <c r="O149" s="242">
        <f>'[2]Turkey Sun Meal Exports'!GK$290</f>
        <v>0</v>
      </c>
      <c r="P149" s="242">
        <f>'[2]Turkey Sun Meal Exports'!GW$290</f>
        <v>0</v>
      </c>
      <c r="Q149" s="242">
        <f>'[2]Turkey Sun Meal Exports'!HI$290</f>
        <v>4.72</v>
      </c>
      <c r="R149" s="242">
        <f>'[2]Turkey Sun Meal Exports'!HU$290</f>
        <v>0</v>
      </c>
      <c r="S149" s="242">
        <f>'[2]Turkey Sun Meal Exports'!IG$290</f>
        <v>0</v>
      </c>
      <c r="T149" s="242">
        <f>'[2]Turkey Sun Meal Exports'!IS$290</f>
        <v>1.716</v>
      </c>
      <c r="U149" s="242">
        <f>'[2]Turkey Sun Meal Exports'!JE$290</f>
        <v>0</v>
      </c>
      <c r="V149" s="242">
        <f>'[2]Turkey Sun Meal Exports'!JQ$290</f>
        <v>0</v>
      </c>
      <c r="W149" s="242">
        <f>'[2]Turkey Sun Meal Exports'!KC$290</f>
        <v>0</v>
      </c>
      <c r="X149" s="242">
        <f>'[2]Turkey Sun Meal Exports'!KO$290</f>
        <v>0.1</v>
      </c>
      <c r="Y149" s="242">
        <f>'[2]Turkey Sun Meal Exports'!LA$290</f>
        <v>2.5999999999999999E-2</v>
      </c>
      <c r="Z149" s="242">
        <f>'[2]Turkey Sun Meal Exports'!LM$290</f>
        <v>3.1539999999999999</v>
      </c>
      <c r="AA149" s="242">
        <f>'[2]Turkey Sun Meal Exports'!LY$290</f>
        <v>0.92600000000000005</v>
      </c>
      <c r="AB149" s="242">
        <f>'[2]Turkey Sun Meal Exports'!MK$290</f>
        <v>9.9000000000000005E-2</v>
      </c>
      <c r="AC149" s="242">
        <f>'[2]Turkey Sun Meal Exports'!MW$290</f>
        <v>0.998</v>
      </c>
      <c r="AD149" s="242">
        <f>'[2]Turkey Sun Meal Exports'!NI$290</f>
        <v>0.182</v>
      </c>
      <c r="AE149" s="243">
        <f t="shared" si="83"/>
        <v>1.8220594209191896</v>
      </c>
    </row>
    <row r="150" spans="1:31">
      <c r="A150" s="240" t="s">
        <v>234</v>
      </c>
      <c r="B150" s="241">
        <f t="shared" si="82"/>
        <v>0</v>
      </c>
      <c r="C150" s="241">
        <f t="shared" si="81"/>
        <v>5.0980392156862742</v>
      </c>
      <c r="D150" s="241">
        <f t="shared" si="81"/>
        <v>0</v>
      </c>
      <c r="E150" s="241">
        <f t="shared" si="81"/>
        <v>0</v>
      </c>
      <c r="F150" s="241">
        <f t="shared" si="81"/>
        <v>0</v>
      </c>
      <c r="G150" s="242">
        <f>'[2]Turkey Sun Meal Exports'!CT$290</f>
        <v>0</v>
      </c>
      <c r="H150" s="242">
        <f>'[2]Turkey Sun Meal Exports'!DF$290</f>
        <v>0</v>
      </c>
      <c r="I150" s="242">
        <f>'[2]Turkey Sun Meal Exports'!DR$290</f>
        <v>2.5999999999999999E-2</v>
      </c>
      <c r="J150" s="242">
        <f>'[2]Turkey Sun Meal Exports'!ED$290</f>
        <v>0</v>
      </c>
      <c r="K150" s="242">
        <f>'[2]Turkey Sun Meal Exports'!EP$290</f>
        <v>0</v>
      </c>
      <c r="L150" s="242">
        <f>'[2]Turkey Sun Meal Exports'!FB$290</f>
        <v>0</v>
      </c>
      <c r="M150" s="242">
        <f>'[2]Turkey Sun Meal Exports'!FN$290</f>
        <v>0</v>
      </c>
      <c r="N150" s="242">
        <f>'[2]Turkey Sun Meal Exports'!FZ$290</f>
        <v>0</v>
      </c>
      <c r="O150" s="242">
        <f>'[2]Turkey Sun Meal Exports'!GL$290</f>
        <v>0</v>
      </c>
      <c r="P150" s="242">
        <f>'[2]Turkey Sun Meal Exports'!GX$290</f>
        <v>0</v>
      </c>
      <c r="Q150" s="242">
        <f>'[2]Turkey Sun Meal Exports'!HJ$290</f>
        <v>0</v>
      </c>
      <c r="R150" s="242">
        <f>'[2]Turkey Sun Meal Exports'!HV$290</f>
        <v>0</v>
      </c>
      <c r="S150" s="242">
        <f>'[2]Turkey Sun Meal Exports'!IH$290</f>
        <v>0</v>
      </c>
      <c r="T150" s="242">
        <f>'[2]Turkey Sun Meal Exports'!IT$290</f>
        <v>0</v>
      </c>
      <c r="U150" s="242">
        <f>'[2]Turkey Sun Meal Exports'!JF$290</f>
        <v>0</v>
      </c>
      <c r="V150" s="242">
        <f>'[2]Turkey Sun Meal Exports'!JR$290</f>
        <v>0</v>
      </c>
      <c r="W150" s="242">
        <f>'[2]Turkey Sun Meal Exports'!KD$290</f>
        <v>0</v>
      </c>
      <c r="X150" s="242">
        <f>'[2]Turkey Sun Meal Exports'!KP$290</f>
        <v>0</v>
      </c>
      <c r="Y150" s="242">
        <f>'[2]Turkey Sun Meal Exports'!LB$290</f>
        <v>7.3999999999999996E-2</v>
      </c>
      <c r="Z150" s="242">
        <f>'[2]Turkey Sun Meal Exports'!LN$290</f>
        <v>0.23</v>
      </c>
      <c r="AA150" s="242">
        <f>'[2]Turkey Sun Meal Exports'!LZ$290</f>
        <v>0.19800000000000001</v>
      </c>
      <c r="AB150" s="242">
        <f>'[2]Turkey Sun Meal Exports'!ML$290</f>
        <v>0.96799999999999997</v>
      </c>
      <c r="AC150" s="242">
        <f>'[2]Turkey Sun Meal Exports'!MX$290</f>
        <v>0.79100000000000004</v>
      </c>
      <c r="AD150" s="243">
        <f t="shared" ref="AD150:AE154" si="84">(SUM(X150:AB150)/SUM(X$156:AB$156))*AD$156</f>
        <v>0.65460180616661612</v>
      </c>
      <c r="AE150" s="243">
        <f t="shared" si="83"/>
        <v>0.79178865091260564</v>
      </c>
    </row>
    <row r="151" spans="1:31">
      <c r="A151" s="240" t="s">
        <v>46</v>
      </c>
      <c r="B151" s="241">
        <f t="shared" si="82"/>
        <v>0</v>
      </c>
      <c r="C151" s="241">
        <f t="shared" si="81"/>
        <v>0</v>
      </c>
      <c r="D151" s="241">
        <f t="shared" si="81"/>
        <v>0</v>
      </c>
      <c r="E151" s="241">
        <f t="shared" si="81"/>
        <v>0</v>
      </c>
      <c r="F151" s="241">
        <f t="shared" si="81"/>
        <v>0</v>
      </c>
      <c r="G151" s="242">
        <f>'[2]Turkey Sun Meal Exports'!CU$290</f>
        <v>0</v>
      </c>
      <c r="H151" s="242">
        <f>'[2]Turkey Sun Meal Exports'!DG$290</f>
        <v>0.3</v>
      </c>
      <c r="I151" s="242">
        <f>'[2]Turkey Sun Meal Exports'!DS$290</f>
        <v>0</v>
      </c>
      <c r="J151" s="242">
        <f>'[2]Turkey Sun Meal Exports'!EE$290</f>
        <v>0</v>
      </c>
      <c r="K151" s="242">
        <f>'[2]Turkey Sun Meal Exports'!EQ$290</f>
        <v>0</v>
      </c>
      <c r="L151" s="242">
        <f>'[2]Turkey Sun Meal Exports'!FC$290</f>
        <v>0</v>
      </c>
      <c r="M151" s="242">
        <f>'[2]Turkey Sun Meal Exports'!FO$290</f>
        <v>0</v>
      </c>
      <c r="N151" s="242">
        <f>'[2]Turkey Sun Meal Exports'!GA$290</f>
        <v>0</v>
      </c>
      <c r="O151" s="242">
        <f>'[2]Turkey Sun Meal Exports'!GM$290</f>
        <v>0</v>
      </c>
      <c r="P151" s="242">
        <f>'[2]Turkey Sun Meal Exports'!GY$290</f>
        <v>0</v>
      </c>
      <c r="Q151" s="242">
        <f>'[2]Turkey Sun Meal Exports'!HK$290</f>
        <v>0</v>
      </c>
      <c r="R151" s="242">
        <f>'[2]Turkey Sun Meal Exports'!HW$290</f>
        <v>0</v>
      </c>
      <c r="S151" s="242">
        <f>'[2]Turkey Sun Meal Exports'!II$290</f>
        <v>0</v>
      </c>
      <c r="T151" s="242">
        <f>'[2]Turkey Sun Meal Exports'!IU$290</f>
        <v>0</v>
      </c>
      <c r="U151" s="242">
        <f>'[2]Turkey Sun Meal Exports'!JG$290</f>
        <v>0</v>
      </c>
      <c r="V151" s="242">
        <f>'[2]Turkey Sun Meal Exports'!JS$290</f>
        <v>0</v>
      </c>
      <c r="W151" s="242">
        <f>'[2]Turkey Sun Meal Exports'!KE$290</f>
        <v>5.2999999999999999E-2</v>
      </c>
      <c r="X151" s="242">
        <f>'[2]Turkey Sun Meal Exports'!KQ$290</f>
        <v>0.36</v>
      </c>
      <c r="Y151" s="242">
        <f>'[2]Turkey Sun Meal Exports'!LC$290</f>
        <v>0</v>
      </c>
      <c r="Z151" s="242">
        <f>'[2]Turkey Sun Meal Exports'!LO$290</f>
        <v>1.56</v>
      </c>
      <c r="AA151" s="242">
        <f>'[2]Turkey Sun Meal Exports'!MA$290</f>
        <v>0.26900000000000002</v>
      </c>
      <c r="AB151" s="242">
        <f>'[2]Turkey Sun Meal Exports'!MM$290</f>
        <v>0.48899999999999999</v>
      </c>
      <c r="AC151" s="242">
        <f>'[2]Turkey Sun Meal Exports'!MY$290</f>
        <v>1.7</v>
      </c>
      <c r="AD151" s="243">
        <f t="shared" si="84"/>
        <v>1.1925330863361889</v>
      </c>
      <c r="AE151" s="243">
        <f t="shared" si="83"/>
        <v>1.4070795220552186</v>
      </c>
    </row>
    <row r="152" spans="1:31">
      <c r="A152" s="240" t="s">
        <v>235</v>
      </c>
      <c r="B152" s="241">
        <f t="shared" si="82"/>
        <v>0</v>
      </c>
      <c r="C152" s="241">
        <f t="shared" si="81"/>
        <v>0</v>
      </c>
      <c r="D152" s="241">
        <f t="shared" si="81"/>
        <v>0</v>
      </c>
      <c r="E152" s="241">
        <f t="shared" si="81"/>
        <v>0</v>
      </c>
      <c r="F152" s="241">
        <f t="shared" si="81"/>
        <v>0</v>
      </c>
      <c r="G152" s="242">
        <f>'[2]Turkey Sun Meal Exports'!CV$290</f>
        <v>0</v>
      </c>
      <c r="H152" s="242">
        <f>'[2]Turkey Sun Meal Exports'!DH$290</f>
        <v>0.75</v>
      </c>
      <c r="I152" s="242">
        <f>'[2]Turkey Sun Meal Exports'!DT$290</f>
        <v>0</v>
      </c>
      <c r="J152" s="242">
        <f>'[2]Turkey Sun Meal Exports'!EF$290</f>
        <v>0</v>
      </c>
      <c r="K152" s="242">
        <f>'[2]Turkey Sun Meal Exports'!ER$290</f>
        <v>0</v>
      </c>
      <c r="L152" s="242">
        <f>'[2]Turkey Sun Meal Exports'!FD$290</f>
        <v>0</v>
      </c>
      <c r="M152" s="242">
        <f>'[2]Turkey Sun Meal Exports'!FP$290</f>
        <v>0</v>
      </c>
      <c r="N152" s="242">
        <f>'[2]Turkey Sun Meal Exports'!GB$290</f>
        <v>0</v>
      </c>
      <c r="O152" s="242">
        <f>'[2]Turkey Sun Meal Exports'!GN$290</f>
        <v>0</v>
      </c>
      <c r="P152" s="242">
        <f>'[2]Turkey Sun Meal Exports'!GZ$290</f>
        <v>0</v>
      </c>
      <c r="Q152" s="242">
        <f>'[2]Turkey Sun Meal Exports'!HL$290</f>
        <v>0</v>
      </c>
      <c r="R152" s="242">
        <f>'[2]Turkey Sun Meal Exports'!HX$290</f>
        <v>0</v>
      </c>
      <c r="S152" s="242">
        <f>'[2]Turkey Sun Meal Exports'!IJ$290</f>
        <v>0</v>
      </c>
      <c r="T152" s="242">
        <f>'[2]Turkey Sun Meal Exports'!IV$290</f>
        <v>0</v>
      </c>
      <c r="U152" s="242">
        <f>'[2]Turkey Sun Meal Exports'!JH$290</f>
        <v>0</v>
      </c>
      <c r="V152" s="242">
        <f>'[2]Turkey Sun Meal Exports'!JT$290</f>
        <v>6.3E-2</v>
      </c>
      <c r="W152" s="242">
        <f>'[2]Turkey Sun Meal Exports'!KF$290</f>
        <v>0</v>
      </c>
      <c r="X152" s="242">
        <f>'[2]Turkey Sun Meal Exports'!KR$290</f>
        <v>3.1640000000000001</v>
      </c>
      <c r="Y152" s="242">
        <f>'[2]Turkey Sun Meal Exports'!LD$290</f>
        <v>0.05</v>
      </c>
      <c r="Z152" s="242">
        <f>'[2]Turkey Sun Meal Exports'!LP$290</f>
        <v>1.4039999999999999</v>
      </c>
      <c r="AA152" s="242">
        <f>'[2]Turkey Sun Meal Exports'!MB$290</f>
        <v>0.67600000000000005</v>
      </c>
      <c r="AB152" s="242">
        <f>'[2]Turkey Sun Meal Exports'!MN$290</f>
        <v>7.3620000000000001</v>
      </c>
      <c r="AC152" s="242">
        <f>'[2]Turkey Sun Meal Exports'!MZ$290</f>
        <v>6.0830000000000002</v>
      </c>
      <c r="AD152" s="243">
        <f t="shared" si="84"/>
        <v>5.6358098359487716</v>
      </c>
      <c r="AE152" s="243">
        <f t="shared" si="84"/>
        <v>5.454271666503244</v>
      </c>
    </row>
    <row r="153" spans="1:31">
      <c r="A153" s="240" t="s">
        <v>236</v>
      </c>
      <c r="B153" s="241">
        <f t="shared" si="82"/>
        <v>0</v>
      </c>
      <c r="C153" s="241">
        <f t="shared" si="81"/>
        <v>0</v>
      </c>
      <c r="D153" s="241">
        <f t="shared" si="81"/>
        <v>0</v>
      </c>
      <c r="E153" s="241">
        <f t="shared" si="81"/>
        <v>0</v>
      </c>
      <c r="F153" s="241">
        <f t="shared" si="81"/>
        <v>0</v>
      </c>
      <c r="G153" s="242">
        <f>'[2]Turkey Sun Meal Exports'!CW$290</f>
        <v>0</v>
      </c>
      <c r="H153" s="242">
        <f>'[2]Turkey Sun Meal Exports'!DI$290</f>
        <v>0</v>
      </c>
      <c r="I153" s="242">
        <f>'[2]Turkey Sun Meal Exports'!DU$290</f>
        <v>0</v>
      </c>
      <c r="J153" s="242">
        <f>'[2]Turkey Sun Meal Exports'!EG$290</f>
        <v>0</v>
      </c>
      <c r="K153" s="242">
        <f>'[2]Turkey Sun Meal Exports'!ES$290</f>
        <v>0</v>
      </c>
      <c r="L153" s="242">
        <f>'[2]Turkey Sun Meal Exports'!FE$290</f>
        <v>0</v>
      </c>
      <c r="M153" s="242">
        <f>'[2]Turkey Sun Meal Exports'!FQ$290</f>
        <v>0</v>
      </c>
      <c r="N153" s="242">
        <f>'[2]Turkey Sun Meal Exports'!GC$290</f>
        <v>0</v>
      </c>
      <c r="O153" s="242">
        <f>'[2]Turkey Sun Meal Exports'!GO$290</f>
        <v>0</v>
      </c>
      <c r="P153" s="242">
        <f>'[2]Turkey Sun Meal Exports'!HA$290</f>
        <v>0</v>
      </c>
      <c r="Q153" s="242">
        <f>'[2]Turkey Sun Meal Exports'!HM$290</f>
        <v>0</v>
      </c>
      <c r="R153" s="242">
        <f>'[2]Turkey Sun Meal Exports'!HY$290</f>
        <v>2.8919999999999999</v>
      </c>
      <c r="S153" s="242">
        <f>'[2]Turkey Sun Meal Exports'!IK$290</f>
        <v>0</v>
      </c>
      <c r="T153" s="242">
        <f>'[2]Turkey Sun Meal Exports'!IW$290</f>
        <v>0</v>
      </c>
      <c r="U153" s="242">
        <f>'[2]Turkey Sun Meal Exports'!JI$290</f>
        <v>0</v>
      </c>
      <c r="V153" s="242">
        <f>'[2]Turkey Sun Meal Exports'!JU$290</f>
        <v>0</v>
      </c>
      <c r="W153" s="242">
        <f>'[2]Turkey Sun Meal Exports'!KG$290</f>
        <v>6.5529999999999999</v>
      </c>
      <c r="X153" s="242">
        <f>'[2]Turkey Sun Meal Exports'!KS$290</f>
        <v>0</v>
      </c>
      <c r="Y153" s="242">
        <f>'[2]Turkey Sun Meal Exports'!LE$290</f>
        <v>9.6000000000000002E-2</v>
      </c>
      <c r="Z153" s="242">
        <f>'[2]Turkey Sun Meal Exports'!LQ$290</f>
        <v>0.60099999999999998</v>
      </c>
      <c r="AA153" s="242">
        <f>'[2]Turkey Sun Meal Exports'!MC$290</f>
        <v>1.732</v>
      </c>
      <c r="AB153" s="242">
        <f>'[2]Turkey Sun Meal Exports'!MO$290</f>
        <v>0.1</v>
      </c>
      <c r="AC153" s="242">
        <f>'[2]Turkey Sun Meal Exports'!NA$290</f>
        <v>3.294</v>
      </c>
      <c r="AD153" s="243">
        <f t="shared" si="84"/>
        <v>1.1261822910172601</v>
      </c>
      <c r="AE153" s="243">
        <f t="shared" si="84"/>
        <v>2.039179705556879</v>
      </c>
    </row>
    <row r="154" spans="1:31">
      <c r="A154" s="240" t="s">
        <v>237</v>
      </c>
      <c r="B154" s="241">
        <f t="shared" si="82"/>
        <v>0</v>
      </c>
      <c r="C154" s="241">
        <f t="shared" si="81"/>
        <v>3.9215686274509802</v>
      </c>
      <c r="D154" s="241">
        <f t="shared" si="81"/>
        <v>1.002313030069391</v>
      </c>
      <c r="E154" s="241">
        <f t="shared" si="81"/>
        <v>0.58293587705352412</v>
      </c>
      <c r="F154" s="241">
        <f t="shared" si="81"/>
        <v>5.2994170641229466E-2</v>
      </c>
      <c r="G154" s="242">
        <f>'[2]Turkey Sun Meal Exports'!CX$290</f>
        <v>0</v>
      </c>
      <c r="H154" s="242">
        <f>'[2]Turkey Sun Meal Exports'!DJ$290</f>
        <v>1.202</v>
      </c>
      <c r="I154" s="242">
        <f>'[2]Turkey Sun Meal Exports'!DV$290</f>
        <v>0</v>
      </c>
      <c r="J154" s="242">
        <f>'[2]Turkey Sun Meal Exports'!EH$290</f>
        <v>0</v>
      </c>
      <c r="K154" s="242">
        <f>'[2]Turkey Sun Meal Exports'!ET$290</f>
        <v>0</v>
      </c>
      <c r="L154" s="242">
        <f>'[2]Turkey Sun Meal Exports'!FF$290</f>
        <v>0</v>
      </c>
      <c r="M154" s="242">
        <f>'[2]Turkey Sun Meal Exports'!FR$290</f>
        <v>0.02</v>
      </c>
      <c r="N154" s="242">
        <f>'[2]Turkey Sun Meal Exports'!GD$290</f>
        <v>0</v>
      </c>
      <c r="O154" s="242">
        <f>'[2]Turkey Sun Meal Exports'!GP$290</f>
        <v>0</v>
      </c>
      <c r="P154" s="242">
        <f>'[2]Turkey Sun Meal Exports'!HB$290</f>
        <v>0</v>
      </c>
      <c r="Q154" s="242">
        <f>'[2]Turkey Sun Meal Exports'!HN$290</f>
        <v>0</v>
      </c>
      <c r="R154" s="242">
        <f>'[2]Turkey Sun Meal Exports'!HZ$290</f>
        <v>0</v>
      </c>
      <c r="S154" s="242">
        <f>'[2]Turkey Sun Meal Exports'!IL$290</f>
        <v>5.0000000000000001E-3</v>
      </c>
      <c r="T154" s="242">
        <f>'[2]Turkey Sun Meal Exports'!IX$290</f>
        <v>0</v>
      </c>
      <c r="U154" s="242">
        <f>'[2]Turkey Sun Meal Exports'!JJ$290</f>
        <v>0.998</v>
      </c>
      <c r="V154" s="242">
        <f>'[2]Turkey Sun Meal Exports'!JV$290</f>
        <v>0</v>
      </c>
      <c r="W154" s="242">
        <f>'[2]Turkey Sun Meal Exports'!KH$290</f>
        <v>0</v>
      </c>
      <c r="X154" s="242">
        <f>'[2]Turkey Sun Meal Exports'!KT$290</f>
        <v>0.05</v>
      </c>
      <c r="Y154" s="242">
        <f>'[2]Turkey Sun Meal Exports'!LF$290</f>
        <v>0</v>
      </c>
      <c r="Z154" s="242">
        <f>'[2]Turkey Sun Meal Exports'!LR$290</f>
        <v>1.887</v>
      </c>
      <c r="AA154" s="242">
        <f>'[2]Turkey Sun Meal Exports'!MD$290</f>
        <v>4.7519999999999998</v>
      </c>
      <c r="AB154" s="242">
        <f>'[2]Turkey Sun Meal Exports'!MP$290</f>
        <v>0.14899999999999999</v>
      </c>
      <c r="AC154" s="242">
        <f>'[2]Turkey Sun Meal Exports'!NB$290</f>
        <v>1.077</v>
      </c>
      <c r="AD154" s="243">
        <f t="shared" si="84"/>
        <v>3.0450116670525995</v>
      </c>
      <c r="AE154" s="243">
        <f t="shared" si="84"/>
        <v>2.7542758688313325</v>
      </c>
    </row>
    <row r="155" spans="1:31">
      <c r="A155" s="240" t="s">
        <v>238</v>
      </c>
      <c r="B155" s="241">
        <f t="shared" si="82"/>
        <v>0</v>
      </c>
      <c r="C155" s="241">
        <f t="shared" si="81"/>
        <v>40.980392156862749</v>
      </c>
      <c r="D155" s="241">
        <f t="shared" si="81"/>
        <v>12.32845026985351</v>
      </c>
      <c r="E155" s="241">
        <f t="shared" si="81"/>
        <v>7.1701112877583482</v>
      </c>
      <c r="F155" s="241">
        <f t="shared" si="81"/>
        <v>0.65182829888712257</v>
      </c>
      <c r="G155" s="242">
        <f>'[2]Turkey Sun Meal Exports'!CY$290</f>
        <v>0</v>
      </c>
      <c r="H155" s="242">
        <f>'[2]Turkey Sun Meal Exports'!DK$290</f>
        <v>0</v>
      </c>
      <c r="I155" s="242">
        <f>'[2]Turkey Sun Meal Exports'!DW$290</f>
        <v>0</v>
      </c>
      <c r="J155" s="242">
        <f>'[2]Turkey Sun Meal Exports'!EI$290</f>
        <v>0</v>
      </c>
      <c r="K155" s="242">
        <f>'[2]Turkey Sun Meal Exports'!EU$290</f>
        <v>0</v>
      </c>
      <c r="L155" s="242">
        <f>'[2]Turkey Sun Meal Exports'!FG$290</f>
        <v>0.19900000000000001</v>
      </c>
      <c r="M155" s="242">
        <f>'[2]Turkey Sun Meal Exports'!FS$290</f>
        <v>0.01</v>
      </c>
      <c r="N155" s="242">
        <f>'[2]Turkey Sun Meal Exports'!GE$290</f>
        <v>3.6999999999999998E-2</v>
      </c>
      <c r="O155" s="242">
        <f>'[2]Turkey Sun Meal Exports'!GQ$290</f>
        <v>0</v>
      </c>
      <c r="P155" s="242">
        <f>'[2]Turkey Sun Meal Exports'!HC$290</f>
        <v>0</v>
      </c>
      <c r="Q155" s="242">
        <f>'[2]Turkey Sun Meal Exports'!HO$290</f>
        <v>1.7</v>
      </c>
      <c r="R155" s="242">
        <f>'[2]Turkey Sun Meal Exports'!IA$290</f>
        <v>0</v>
      </c>
      <c r="S155" s="242">
        <f>'[2]Turkey Sun Meal Exports'!IM$290</f>
        <v>0</v>
      </c>
      <c r="T155" s="242">
        <f>'[2]Turkey Sun Meal Exports'!IY$290</f>
        <v>0</v>
      </c>
      <c r="U155" s="242">
        <f>'[2]Turkey Sun Meal Exports'!JK$290</f>
        <v>0</v>
      </c>
      <c r="V155" s="242">
        <f>'[2]Turkey Sun Meal Exports'!JW$290</f>
        <v>0.05</v>
      </c>
      <c r="W155" s="242">
        <f>'[2]Turkey Sun Meal Exports'!KI$290</f>
        <v>5.0999999999999997E-2</v>
      </c>
      <c r="X155" s="242">
        <f>'[2]Turkey Sun Meal Exports'!KU$290</f>
        <v>0.21299999999999999</v>
      </c>
      <c r="Y155" s="242">
        <f>'[2]Turkey Sun Meal Exports'!LG$290</f>
        <v>0</v>
      </c>
      <c r="Z155" s="242">
        <f>'[2]Turkey Sun Meal Exports'!LS$290</f>
        <v>3.1859999999999999</v>
      </c>
      <c r="AA155" s="242">
        <f>'[2]Turkey Sun Meal Exports'!ME$290</f>
        <v>0.29299999999999998</v>
      </c>
      <c r="AB155" s="242">
        <f>'[2]Turkey Sun Meal Exports'!MQ$290</f>
        <v>0.11899999999999999</v>
      </c>
      <c r="AC155" s="242">
        <f>'[2]Turkey Sun Meal Exports'!NC$290</f>
        <v>1.175</v>
      </c>
      <c r="AD155" s="243">
        <f t="shared" ref="AD155:AE155" si="85">AD156-SUM(AD144:AD154)</f>
        <v>2.9998613134785614</v>
      </c>
      <c r="AE155" s="243">
        <f t="shared" si="85"/>
        <v>1.6714759977027214</v>
      </c>
    </row>
    <row r="156" spans="1:31" ht="15.75" thickBot="1">
      <c r="A156" s="240" t="s">
        <v>242</v>
      </c>
      <c r="B156" s="242">
        <f t="shared" ref="B156:G156" si="86">B27</f>
        <v>0</v>
      </c>
      <c r="C156" s="242">
        <f t="shared" si="86"/>
        <v>50</v>
      </c>
      <c r="D156" s="242">
        <f t="shared" si="86"/>
        <v>65</v>
      </c>
      <c r="E156" s="242">
        <f t="shared" si="86"/>
        <v>55</v>
      </c>
      <c r="F156" s="242">
        <f t="shared" si="86"/>
        <v>5</v>
      </c>
      <c r="G156" s="242">
        <f t="shared" si="86"/>
        <v>5</v>
      </c>
      <c r="H156" s="242">
        <f t="shared" ref="H156:AB156" si="87">SUM(H144:H155)</f>
        <v>2.2519999999999998</v>
      </c>
      <c r="I156" s="242">
        <f t="shared" si="87"/>
        <v>2.5999999999999999E-2</v>
      </c>
      <c r="J156" s="242">
        <f t="shared" si="87"/>
        <v>0</v>
      </c>
      <c r="K156" s="242">
        <f t="shared" si="87"/>
        <v>0</v>
      </c>
      <c r="L156" s="242">
        <f t="shared" si="87"/>
        <v>0.19900000000000001</v>
      </c>
      <c r="M156" s="242">
        <f t="shared" si="87"/>
        <v>0.03</v>
      </c>
      <c r="N156" s="242">
        <f t="shared" si="87"/>
        <v>1.0679999999999998</v>
      </c>
      <c r="O156" s="242">
        <f t="shared" si="87"/>
        <v>0.59</v>
      </c>
      <c r="P156" s="242">
        <f t="shared" si="87"/>
        <v>0</v>
      </c>
      <c r="Q156" s="242">
        <f t="shared" si="87"/>
        <v>7.5659999999999998</v>
      </c>
      <c r="R156" s="242">
        <f t="shared" si="87"/>
        <v>3.0619999999999998</v>
      </c>
      <c r="S156" s="242">
        <f t="shared" si="87"/>
        <v>5.0000000000000001E-3</v>
      </c>
      <c r="T156" s="242">
        <f t="shared" si="87"/>
        <v>2.081</v>
      </c>
      <c r="U156" s="242">
        <f t="shared" si="87"/>
        <v>0.998</v>
      </c>
      <c r="V156" s="242">
        <f t="shared" si="87"/>
        <v>0.113</v>
      </c>
      <c r="W156" s="242">
        <f t="shared" si="87"/>
        <v>6.9320000000000004</v>
      </c>
      <c r="X156" s="242">
        <f t="shared" si="87"/>
        <v>4.1109999999999998</v>
      </c>
      <c r="Y156" s="242">
        <f t="shared" si="87"/>
        <v>3.3899999999999997</v>
      </c>
      <c r="Z156" s="242">
        <f t="shared" si="87"/>
        <v>14.204000000000001</v>
      </c>
      <c r="AA156" s="242">
        <f t="shared" si="87"/>
        <v>19.888000000000002</v>
      </c>
      <c r="AB156" s="242">
        <f t="shared" si="87"/>
        <v>14.547999999999998</v>
      </c>
      <c r="AC156" s="242">
        <f>SUM(AC144:AC155)</f>
        <v>19.358999999999998</v>
      </c>
      <c r="AD156" s="243">
        <f t="shared" ref="AD156:AE156" si="88">AD27</f>
        <v>25</v>
      </c>
      <c r="AE156" s="243">
        <f t="shared" si="88"/>
        <v>25</v>
      </c>
    </row>
    <row r="157" spans="1:31">
      <c r="A157" s="248"/>
      <c r="B157" s="248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  <c r="AE157" s="248"/>
    </row>
    <row r="158" spans="1:31" ht="15.75" thickBot="1">
      <c r="A158" s="235" t="s">
        <v>258</v>
      </c>
      <c r="D158" s="264"/>
      <c r="E158" s="264"/>
      <c r="F158" s="264"/>
      <c r="G158" s="264"/>
      <c r="H158" s="264"/>
      <c r="I158" s="264"/>
      <c r="J158" s="264"/>
    </row>
    <row r="159" spans="1:31" ht="15.75" thickBot="1">
      <c r="A159" s="236"/>
      <c r="B159" s="237" t="str">
        <f>B$2</f>
        <v xml:space="preserve">93/94 </v>
      </c>
      <c r="C159" s="237" t="str">
        <f t="shared" ref="C159:AE159" si="89">C$2</f>
        <v xml:space="preserve">94/95 </v>
      </c>
      <c r="D159" s="237" t="str">
        <f t="shared" si="89"/>
        <v xml:space="preserve">95/96 </v>
      </c>
      <c r="E159" s="237" t="str">
        <f t="shared" si="89"/>
        <v xml:space="preserve">96/97 </v>
      </c>
      <c r="F159" s="237" t="str">
        <f t="shared" si="89"/>
        <v xml:space="preserve">97/98 </v>
      </c>
      <c r="G159" s="237" t="str">
        <f t="shared" si="89"/>
        <v xml:space="preserve">98/99 </v>
      </c>
      <c r="H159" s="237" t="str">
        <f t="shared" si="89"/>
        <v xml:space="preserve">99/00 </v>
      </c>
      <c r="I159" s="237" t="str">
        <f t="shared" si="89"/>
        <v xml:space="preserve">00/01 </v>
      </c>
      <c r="J159" s="237" t="str">
        <f t="shared" si="89"/>
        <v xml:space="preserve">01/02 </v>
      </c>
      <c r="K159" s="237" t="str">
        <f t="shared" si="89"/>
        <v xml:space="preserve">02/03 </v>
      </c>
      <c r="L159" s="237" t="str">
        <f t="shared" si="89"/>
        <v xml:space="preserve">03/04 </v>
      </c>
      <c r="M159" s="237" t="str">
        <f t="shared" si="89"/>
        <v xml:space="preserve">04/05 </v>
      </c>
      <c r="N159" s="237" t="str">
        <f t="shared" si="89"/>
        <v xml:space="preserve">05/06 </v>
      </c>
      <c r="O159" s="237" t="str">
        <f t="shared" si="89"/>
        <v xml:space="preserve">06/07 </v>
      </c>
      <c r="P159" s="237" t="str">
        <f t="shared" si="89"/>
        <v xml:space="preserve">07/08 </v>
      </c>
      <c r="Q159" s="237" t="str">
        <f t="shared" si="89"/>
        <v xml:space="preserve">08/09 </v>
      </c>
      <c r="R159" s="237" t="str">
        <f t="shared" si="89"/>
        <v xml:space="preserve">09/10 </v>
      </c>
      <c r="S159" s="237" t="str">
        <f t="shared" si="89"/>
        <v xml:space="preserve">10/11 </v>
      </c>
      <c r="T159" s="237" t="str">
        <f t="shared" si="89"/>
        <v xml:space="preserve">11/12 </v>
      </c>
      <c r="U159" s="237" t="str">
        <f t="shared" si="89"/>
        <v xml:space="preserve">12/13 </v>
      </c>
      <c r="V159" s="237" t="str">
        <f t="shared" si="89"/>
        <v xml:space="preserve">13/14 </v>
      </c>
      <c r="W159" s="237" t="str">
        <f t="shared" si="89"/>
        <v xml:space="preserve">14/15 </v>
      </c>
      <c r="X159" s="237" t="str">
        <f t="shared" si="89"/>
        <v xml:space="preserve">15/16 </v>
      </c>
      <c r="Y159" s="237" t="str">
        <f t="shared" si="89"/>
        <v xml:space="preserve">16/17 </v>
      </c>
      <c r="Z159" s="237" t="str">
        <f t="shared" si="89"/>
        <v xml:space="preserve">17/18 </v>
      </c>
      <c r="AA159" s="237" t="str">
        <f t="shared" si="89"/>
        <v xml:space="preserve">18/19 </v>
      </c>
      <c r="AB159" s="237" t="str">
        <f t="shared" si="89"/>
        <v xml:space="preserve">19/20 </v>
      </c>
      <c r="AC159" s="237" t="str">
        <f t="shared" si="89"/>
        <v xml:space="preserve">20/21 </v>
      </c>
      <c r="AD159" s="237" t="str">
        <f t="shared" si="89"/>
        <v xml:space="preserve">21/22 </v>
      </c>
      <c r="AE159" s="237" t="str">
        <f t="shared" si="89"/>
        <v xml:space="preserve">22/23 </v>
      </c>
    </row>
    <row r="160" spans="1:31">
      <c r="A160" s="240" t="s">
        <v>239</v>
      </c>
      <c r="B160" s="290">
        <f t="shared" ref="B160:AC160" si="90">B22+B96+B131-B144-B176</f>
        <v>39.32436596360612</v>
      </c>
      <c r="C160" s="290">
        <f t="shared" si="90"/>
        <v>56.800693342083079</v>
      </c>
      <c r="D160" s="290">
        <f t="shared" si="90"/>
        <v>6.5207681405225362</v>
      </c>
      <c r="E160" s="290">
        <f t="shared" si="90"/>
        <v>16.490973946483003</v>
      </c>
      <c r="F160" s="290">
        <f t="shared" si="90"/>
        <v>57.289526046110765</v>
      </c>
      <c r="G160" s="290">
        <f t="shared" si="90"/>
        <v>74.508696605811451</v>
      </c>
      <c r="H160" s="290">
        <f t="shared" si="90"/>
        <v>72.569646153846165</v>
      </c>
      <c r="I160" s="290">
        <f t="shared" si="90"/>
        <v>52.421815491731934</v>
      </c>
      <c r="J160" s="290">
        <f t="shared" si="90"/>
        <v>40.320481684981686</v>
      </c>
      <c r="K160" s="290">
        <f t="shared" si="90"/>
        <v>48.568818425760291</v>
      </c>
      <c r="L160" s="290">
        <f t="shared" si="90"/>
        <v>86.157924542124533</v>
      </c>
      <c r="M160" s="290">
        <f t="shared" si="90"/>
        <v>97.223561253561257</v>
      </c>
      <c r="N160" s="290">
        <f t="shared" si="90"/>
        <v>92.614602265951106</v>
      </c>
      <c r="O160" s="290">
        <f t="shared" si="90"/>
        <v>113.0590542635659</v>
      </c>
      <c r="P160" s="290">
        <f t="shared" si="90"/>
        <v>104.54307364341086</v>
      </c>
      <c r="Q160" s="290">
        <f t="shared" si="90"/>
        <v>129.17153726893261</v>
      </c>
      <c r="R160" s="290">
        <f t="shared" si="90"/>
        <v>132.35816962524649</v>
      </c>
      <c r="S160" s="290">
        <f t="shared" si="90"/>
        <v>138.35013489409141</v>
      </c>
      <c r="T160" s="290">
        <f t="shared" si="90"/>
        <v>178.71626460942156</v>
      </c>
      <c r="U160" s="290">
        <f t="shared" si="90"/>
        <v>136.26544841979722</v>
      </c>
      <c r="V160" s="290">
        <f t="shared" si="90"/>
        <v>158.2711943947526</v>
      </c>
      <c r="W160" s="290">
        <f t="shared" si="90"/>
        <v>139.7650465116279</v>
      </c>
      <c r="X160" s="290">
        <f t="shared" si="90"/>
        <v>151.7187948717949</v>
      </c>
      <c r="Y160" s="290">
        <f t="shared" si="90"/>
        <v>244.57201923076926</v>
      </c>
      <c r="Z160" s="290">
        <f t="shared" si="90"/>
        <v>241.81578458333331</v>
      </c>
      <c r="AA160" s="290">
        <f t="shared" si="90"/>
        <v>212.22910634615388</v>
      </c>
      <c r="AB160" s="290">
        <f t="shared" si="90"/>
        <v>232.24601135314691</v>
      </c>
      <c r="AC160" s="290">
        <f t="shared" si="90"/>
        <v>251.2322859895105</v>
      </c>
      <c r="AD160" s="253">
        <f t="shared" ref="AD160:AE160" si="91">AD22+AD96+AD128-AD144-AD176</f>
        <v>188.66948767147608</v>
      </c>
      <c r="AE160" s="253">
        <f t="shared" si="91"/>
        <v>220.87156758655919</v>
      </c>
    </row>
    <row r="161" spans="1:31">
      <c r="A161" s="240" t="s">
        <v>240</v>
      </c>
      <c r="B161" s="290">
        <f t="shared" ref="B161:AC171" si="92">B176+B97+B132-B145-B177</f>
        <v>39.907485337122104</v>
      </c>
      <c r="C161" s="290">
        <f t="shared" si="92"/>
        <v>53.288986178587351</v>
      </c>
      <c r="D161" s="290">
        <f t="shared" si="92"/>
        <v>52.755747831883369</v>
      </c>
      <c r="E161" s="290">
        <f t="shared" si="92"/>
        <v>40.384157559966965</v>
      </c>
      <c r="F161" s="290">
        <f t="shared" si="92"/>
        <v>57.284745399930735</v>
      </c>
      <c r="G161" s="290">
        <f t="shared" si="92"/>
        <v>95.499168046455708</v>
      </c>
      <c r="H161" s="290">
        <f t="shared" si="92"/>
        <v>76.771423076923099</v>
      </c>
      <c r="I161" s="290">
        <f t="shared" si="92"/>
        <v>59.320256744995632</v>
      </c>
      <c r="J161" s="290">
        <f t="shared" si="92"/>
        <v>19.945981684981692</v>
      </c>
      <c r="K161" s="290">
        <f t="shared" si="92"/>
        <v>56.597330053667264</v>
      </c>
      <c r="L161" s="290">
        <f t="shared" si="92"/>
        <v>89.017762637362665</v>
      </c>
      <c r="M161" s="290">
        <f t="shared" si="92"/>
        <v>80.516400759734097</v>
      </c>
      <c r="N161" s="290">
        <f t="shared" si="92"/>
        <v>83.671020870602263</v>
      </c>
      <c r="O161" s="290">
        <f t="shared" si="92"/>
        <v>121.80045736434109</v>
      </c>
      <c r="P161" s="290">
        <f t="shared" si="92"/>
        <v>98.186104651162793</v>
      </c>
      <c r="Q161" s="290">
        <f t="shared" si="92"/>
        <v>89.786002385211688</v>
      </c>
      <c r="R161" s="290">
        <f t="shared" si="92"/>
        <v>134.91243885601574</v>
      </c>
      <c r="S161" s="290">
        <f t="shared" si="92"/>
        <v>145.9790449390689</v>
      </c>
      <c r="T161" s="290">
        <f t="shared" si="92"/>
        <v>130.95518321407275</v>
      </c>
      <c r="U161" s="290">
        <f t="shared" si="92"/>
        <v>118.46407632677403</v>
      </c>
      <c r="V161" s="290">
        <f t="shared" si="92"/>
        <v>163.08549672033399</v>
      </c>
      <c r="W161" s="290">
        <f t="shared" si="92"/>
        <v>162.27602325581393</v>
      </c>
      <c r="X161" s="290">
        <f t="shared" si="92"/>
        <v>162.16454487179493</v>
      </c>
      <c r="Y161" s="290">
        <f t="shared" si="92"/>
        <v>140.27401923076923</v>
      </c>
      <c r="Z161" s="290">
        <f t="shared" si="92"/>
        <v>165.44050708333339</v>
      </c>
      <c r="AA161" s="290">
        <f t="shared" si="92"/>
        <v>238.02618884615384</v>
      </c>
      <c r="AB161" s="290">
        <f t="shared" si="92"/>
        <v>225.72142180769242</v>
      </c>
      <c r="AC161" s="290">
        <f t="shared" si="92"/>
        <v>173.37398126223775</v>
      </c>
      <c r="AD161" s="253">
        <f t="shared" ref="AD161:AE171" si="93">AD176+AD97+AD129-AD145-AD177</f>
        <v>240.1237079481723</v>
      </c>
      <c r="AE161" s="253">
        <f t="shared" si="93"/>
        <v>191.01513470916609</v>
      </c>
    </row>
    <row r="162" spans="1:31">
      <c r="A162" s="240" t="s">
        <v>241</v>
      </c>
      <c r="B162" s="290">
        <f t="shared" si="92"/>
        <v>38.874628889191008</v>
      </c>
      <c r="C162" s="290">
        <f t="shared" si="92"/>
        <v>55.259357304543585</v>
      </c>
      <c r="D162" s="290">
        <f t="shared" si="92"/>
        <v>53.925675691790346</v>
      </c>
      <c r="E162" s="290">
        <f t="shared" si="92"/>
        <v>49.000233023518746</v>
      </c>
      <c r="F162" s="290">
        <f t="shared" si="92"/>
        <v>55.805023416502117</v>
      </c>
      <c r="G162" s="290">
        <f t="shared" si="92"/>
        <v>86.61796467465588</v>
      </c>
      <c r="H162" s="290">
        <f t="shared" si="92"/>
        <v>91.14784615384616</v>
      </c>
      <c r="I162" s="290">
        <f t="shared" si="92"/>
        <v>57.052515230635329</v>
      </c>
      <c r="J162" s="290">
        <f t="shared" si="92"/>
        <v>11.150838827838831</v>
      </c>
      <c r="K162" s="290">
        <f t="shared" si="92"/>
        <v>49.605876565295183</v>
      </c>
      <c r="L162" s="290">
        <f t="shared" si="92"/>
        <v>67.874410256410243</v>
      </c>
      <c r="M162" s="290">
        <f t="shared" si="92"/>
        <v>86.351832858499549</v>
      </c>
      <c r="N162" s="290">
        <f t="shared" si="92"/>
        <v>119.75451347102509</v>
      </c>
      <c r="O162" s="290">
        <f t="shared" si="92"/>
        <v>111.5516007751938</v>
      </c>
      <c r="P162" s="290">
        <f t="shared" si="92"/>
        <v>86.606348837209296</v>
      </c>
      <c r="Q162" s="290">
        <f t="shared" si="92"/>
        <v>70.848769827072132</v>
      </c>
      <c r="R162" s="290">
        <f t="shared" si="92"/>
        <v>103.96237154832347</v>
      </c>
      <c r="S162" s="290">
        <f t="shared" si="92"/>
        <v>134.29982305001343</v>
      </c>
      <c r="T162" s="290">
        <f t="shared" si="92"/>
        <v>108.80286344663085</v>
      </c>
      <c r="U162" s="290">
        <f t="shared" si="92"/>
        <v>99.972378652355417</v>
      </c>
      <c r="V162" s="290">
        <f t="shared" si="92"/>
        <v>145.67228741800849</v>
      </c>
      <c r="W162" s="290">
        <f t="shared" si="92"/>
        <v>153.04804651162797</v>
      </c>
      <c r="X162" s="290">
        <f t="shared" si="92"/>
        <v>122.49954487179487</v>
      </c>
      <c r="Y162" s="290">
        <f t="shared" si="92"/>
        <v>192.46101923076924</v>
      </c>
      <c r="Z162" s="290">
        <f t="shared" si="92"/>
        <v>126.91320083333335</v>
      </c>
      <c r="AA162" s="290">
        <f t="shared" si="92"/>
        <v>224.76661384615389</v>
      </c>
      <c r="AB162" s="290">
        <f t="shared" si="92"/>
        <v>161.06115580769227</v>
      </c>
      <c r="AC162" s="290">
        <f t="shared" si="92"/>
        <v>195.1639983076924</v>
      </c>
      <c r="AD162" s="253">
        <f t="shared" si="93"/>
        <v>196.04006840514035</v>
      </c>
      <c r="AE162" s="253">
        <f t="shared" si="93"/>
        <v>188.40928622601859</v>
      </c>
    </row>
    <row r="163" spans="1:31">
      <c r="A163" s="240" t="s">
        <v>231</v>
      </c>
      <c r="B163" s="290">
        <f t="shared" si="92"/>
        <v>37.742500013404687</v>
      </c>
      <c r="C163" s="290">
        <f t="shared" si="92"/>
        <v>53.261682965121814</v>
      </c>
      <c r="D163" s="290">
        <f t="shared" si="92"/>
        <v>52.669347895550693</v>
      </c>
      <c r="E163" s="290">
        <f t="shared" si="92"/>
        <v>48.343397472011183</v>
      </c>
      <c r="F163" s="290">
        <f t="shared" si="92"/>
        <v>53.974847393108618</v>
      </c>
      <c r="G163" s="290">
        <f t="shared" si="92"/>
        <v>60.776370192307695</v>
      </c>
      <c r="H163" s="290">
        <f t="shared" si="92"/>
        <v>73.316469230769243</v>
      </c>
      <c r="I163" s="290">
        <f t="shared" si="92"/>
        <v>52.845917319408166</v>
      </c>
      <c r="J163" s="290">
        <f t="shared" si="92"/>
        <v>36.813553113553112</v>
      </c>
      <c r="K163" s="290">
        <f t="shared" si="92"/>
        <v>57.896167262969598</v>
      </c>
      <c r="L163" s="290">
        <f t="shared" si="92"/>
        <v>101.23157216117218</v>
      </c>
      <c r="M163" s="290">
        <f t="shared" si="92"/>
        <v>68.764376068376066</v>
      </c>
      <c r="N163" s="290">
        <f t="shared" si="92"/>
        <v>136.89879888328724</v>
      </c>
      <c r="O163" s="290">
        <f t="shared" si="92"/>
        <v>80.529050387596911</v>
      </c>
      <c r="P163" s="290">
        <f t="shared" si="92"/>
        <v>79.364996124030995</v>
      </c>
      <c r="Q163" s="290">
        <f t="shared" si="92"/>
        <v>87.8389791293977</v>
      </c>
      <c r="R163" s="290">
        <f t="shared" si="92"/>
        <v>111.52914077909267</v>
      </c>
      <c r="S163" s="290">
        <f t="shared" si="92"/>
        <v>121.32465963172262</v>
      </c>
      <c r="T163" s="290">
        <f t="shared" si="92"/>
        <v>106.24503786523553</v>
      </c>
      <c r="U163" s="290">
        <f t="shared" si="92"/>
        <v>119.17816935002986</v>
      </c>
      <c r="V163" s="290">
        <f t="shared" si="92"/>
        <v>133.65203160405491</v>
      </c>
      <c r="W163" s="290">
        <f t="shared" si="92"/>
        <v>177.66695348837209</v>
      </c>
      <c r="X163" s="290">
        <f t="shared" si="92"/>
        <v>125.96529487179481</v>
      </c>
      <c r="Y163" s="290">
        <f t="shared" si="92"/>
        <v>133.81826923076923</v>
      </c>
      <c r="Z163" s="290">
        <f t="shared" si="92"/>
        <v>224.59796458333335</v>
      </c>
      <c r="AA163" s="290">
        <f t="shared" si="92"/>
        <v>200.50477634615385</v>
      </c>
      <c r="AB163" s="290">
        <f t="shared" si="92"/>
        <v>157.72463848951054</v>
      </c>
      <c r="AC163" s="290">
        <f t="shared" si="92"/>
        <v>191.52532867132868</v>
      </c>
      <c r="AD163" s="253">
        <f t="shared" si="93"/>
        <v>198.48234007933786</v>
      </c>
      <c r="AE163" s="253">
        <f t="shared" si="93"/>
        <v>212.74811273114028</v>
      </c>
    </row>
    <row r="164" spans="1:31">
      <c r="A164" s="240" t="s">
        <v>232</v>
      </c>
      <c r="B164" s="290">
        <f t="shared" si="92"/>
        <v>41.383958066902395</v>
      </c>
      <c r="C164" s="290">
        <f t="shared" si="92"/>
        <v>56.461148795535323</v>
      </c>
      <c r="D164" s="290">
        <f t="shared" si="92"/>
        <v>50.789745663733079</v>
      </c>
      <c r="E164" s="290">
        <f t="shared" si="92"/>
        <v>46.351584412846336</v>
      </c>
      <c r="F164" s="290">
        <f t="shared" si="92"/>
        <v>54.05907108744492</v>
      </c>
      <c r="G164" s="290">
        <f t="shared" si="92"/>
        <v>64.445073317307688</v>
      </c>
      <c r="H164" s="290">
        <f t="shared" si="92"/>
        <v>67.83734615384617</v>
      </c>
      <c r="I164" s="290">
        <f t="shared" si="92"/>
        <v>52.621447345517836</v>
      </c>
      <c r="J164" s="290">
        <f t="shared" si="92"/>
        <v>46.738624542124541</v>
      </c>
      <c r="K164" s="290">
        <f t="shared" si="92"/>
        <v>48.702713774597498</v>
      </c>
      <c r="L164" s="290">
        <f t="shared" si="92"/>
        <v>91.259972161172172</v>
      </c>
      <c r="M164" s="290">
        <f t="shared" si="92"/>
        <v>78.055857549857535</v>
      </c>
      <c r="N164" s="290">
        <f t="shared" si="92"/>
        <v>128.97724920041199</v>
      </c>
      <c r="O164" s="290">
        <f t="shared" si="92"/>
        <v>93.761593023255813</v>
      </c>
      <c r="P164" s="290">
        <f t="shared" si="92"/>
        <v>53.683631782945746</v>
      </c>
      <c r="Q164" s="290">
        <f t="shared" si="92"/>
        <v>73.617095408467478</v>
      </c>
      <c r="R164" s="290">
        <f t="shared" si="92"/>
        <v>117.85131385601572</v>
      </c>
      <c r="S164" s="290">
        <f t="shared" si="92"/>
        <v>139.6585636796986</v>
      </c>
      <c r="T164" s="290">
        <f t="shared" si="92"/>
        <v>204.68614542337508</v>
      </c>
      <c r="U164" s="290">
        <f t="shared" si="92"/>
        <v>122.67261121049501</v>
      </c>
      <c r="V164" s="290">
        <f t="shared" si="92"/>
        <v>151.01819439475256</v>
      </c>
      <c r="W164" s="290">
        <f t="shared" si="92"/>
        <v>131.47755813953492</v>
      </c>
      <c r="X164" s="290">
        <f t="shared" si="92"/>
        <v>99.916044871794853</v>
      </c>
      <c r="Y164" s="290">
        <f t="shared" si="92"/>
        <v>177.51726923076922</v>
      </c>
      <c r="Z164" s="290">
        <f t="shared" si="92"/>
        <v>180.89045958333338</v>
      </c>
      <c r="AA164" s="290">
        <f t="shared" si="92"/>
        <v>190.85879009615388</v>
      </c>
      <c r="AB164" s="290">
        <f t="shared" si="92"/>
        <v>212.05405244405591</v>
      </c>
      <c r="AC164" s="290">
        <f t="shared" si="92"/>
        <v>155.5156468531469</v>
      </c>
      <c r="AD164" s="253">
        <f t="shared" si="93"/>
        <v>153.38341452656454</v>
      </c>
      <c r="AE164" s="253">
        <f t="shared" si="93"/>
        <v>207.50710936912571</v>
      </c>
    </row>
    <row r="165" spans="1:31">
      <c r="A165" s="240" t="s">
        <v>233</v>
      </c>
      <c r="B165" s="290">
        <f t="shared" si="92"/>
        <v>36.408524088661146</v>
      </c>
      <c r="C165" s="290">
        <f t="shared" si="92"/>
        <v>51.278598972031055</v>
      </c>
      <c r="D165" s="290">
        <f t="shared" si="92"/>
        <v>45.205535804425864</v>
      </c>
      <c r="E165" s="290">
        <f t="shared" si="92"/>
        <v>39.070674185381471</v>
      </c>
      <c r="F165" s="290">
        <f t="shared" si="92"/>
        <v>53.196577978651526</v>
      </c>
      <c r="G165" s="290">
        <f t="shared" si="92"/>
        <v>45.053510817307711</v>
      </c>
      <c r="H165" s="290">
        <f t="shared" si="92"/>
        <v>64.647946153846163</v>
      </c>
      <c r="I165" s="290">
        <f t="shared" si="92"/>
        <v>57.96724891209746</v>
      </c>
      <c r="J165" s="290">
        <f t="shared" si="92"/>
        <v>35.666267399267397</v>
      </c>
      <c r="K165" s="290">
        <f t="shared" si="92"/>
        <v>53.612016100178899</v>
      </c>
      <c r="L165" s="290">
        <f t="shared" si="92"/>
        <v>101.39955311355313</v>
      </c>
      <c r="M165" s="290">
        <f t="shared" si="92"/>
        <v>72.267684710351404</v>
      </c>
      <c r="N165" s="290">
        <f t="shared" si="92"/>
        <v>59.622160405485957</v>
      </c>
      <c r="O165" s="290">
        <f t="shared" si="92"/>
        <v>86.055089147286836</v>
      </c>
      <c r="P165" s="290">
        <f t="shared" si="92"/>
        <v>57.354155038759693</v>
      </c>
      <c r="Q165" s="290">
        <f t="shared" si="92"/>
        <v>51.013746571258203</v>
      </c>
      <c r="R165" s="290">
        <f t="shared" si="92"/>
        <v>123.26623693293885</v>
      </c>
      <c r="S165" s="290">
        <f t="shared" si="92"/>
        <v>124.55819936185756</v>
      </c>
      <c r="T165" s="290">
        <f t="shared" si="92"/>
        <v>126.3290189698867</v>
      </c>
      <c r="U165" s="290">
        <f t="shared" si="92"/>
        <v>125.12428562909969</v>
      </c>
      <c r="V165" s="290">
        <f t="shared" si="92"/>
        <v>150.59400834824095</v>
      </c>
      <c r="W165" s="290">
        <f t="shared" si="92"/>
        <v>126.28874418604647</v>
      </c>
      <c r="X165" s="290">
        <f t="shared" si="92"/>
        <v>140.79754487179491</v>
      </c>
      <c r="Y165" s="290">
        <f t="shared" si="92"/>
        <v>132.59551923076921</v>
      </c>
      <c r="Z165" s="290">
        <f t="shared" si="92"/>
        <v>127.23349333333334</v>
      </c>
      <c r="AA165" s="290">
        <f t="shared" si="92"/>
        <v>141.78798134615391</v>
      </c>
      <c r="AB165" s="290">
        <f t="shared" si="92"/>
        <v>205.73440980769226</v>
      </c>
      <c r="AC165" s="290">
        <f t="shared" si="92"/>
        <v>75.343055944056005</v>
      </c>
      <c r="AD165" s="253">
        <f t="shared" si="93"/>
        <v>141.52828200341054</v>
      </c>
      <c r="AE165" s="253">
        <f t="shared" si="93"/>
        <v>189.12442926799577</v>
      </c>
    </row>
    <row r="166" spans="1:31">
      <c r="A166" s="240" t="s">
        <v>234</v>
      </c>
      <c r="B166" s="290">
        <f t="shared" si="92"/>
        <v>28.192677062850123</v>
      </c>
      <c r="C166" s="290">
        <f t="shared" si="92"/>
        <v>39.993227976614307</v>
      </c>
      <c r="D166" s="290">
        <f t="shared" si="92"/>
        <v>43.363571182552562</v>
      </c>
      <c r="E166" s="290">
        <f t="shared" si="92"/>
        <v>34.49519300213457</v>
      </c>
      <c r="F166" s="290">
        <f t="shared" si="92"/>
        <v>50.730265209150396</v>
      </c>
      <c r="G166" s="290">
        <f t="shared" si="92"/>
        <v>47.567698317307702</v>
      </c>
      <c r="H166" s="290">
        <f t="shared" si="92"/>
        <v>71.518338461538477</v>
      </c>
      <c r="I166" s="290">
        <f t="shared" si="92"/>
        <v>54.874165361183643</v>
      </c>
      <c r="J166" s="290">
        <f t="shared" si="92"/>
        <v>42.218767399267406</v>
      </c>
      <c r="K166" s="290">
        <f t="shared" si="92"/>
        <v>54.114202146690531</v>
      </c>
      <c r="L166" s="290">
        <f t="shared" si="92"/>
        <v>81.249343589743603</v>
      </c>
      <c r="M166" s="290">
        <f t="shared" si="92"/>
        <v>74.888943969610665</v>
      </c>
      <c r="N166" s="290">
        <f t="shared" si="92"/>
        <v>43.532003957283052</v>
      </c>
      <c r="O166" s="290">
        <f t="shared" si="92"/>
        <v>86.9255503875969</v>
      </c>
      <c r="P166" s="290">
        <f t="shared" si="92"/>
        <v>58.68172480620153</v>
      </c>
      <c r="Q166" s="290">
        <f t="shared" si="92"/>
        <v>44.836188431723301</v>
      </c>
      <c r="R166" s="290">
        <f t="shared" si="92"/>
        <v>80.281986932938835</v>
      </c>
      <c r="S166" s="290">
        <f t="shared" si="92"/>
        <v>93.067907008034439</v>
      </c>
      <c r="T166" s="290">
        <f t="shared" si="92"/>
        <v>109.92572827221233</v>
      </c>
      <c r="U166" s="290">
        <f t="shared" si="92"/>
        <v>84.37789028026242</v>
      </c>
      <c r="V166" s="290">
        <f t="shared" si="92"/>
        <v>158.46538044126427</v>
      </c>
      <c r="W166" s="290">
        <f t="shared" si="92"/>
        <v>101.04541860465122</v>
      </c>
      <c r="X166" s="290">
        <f t="shared" si="92"/>
        <v>115.76004487179493</v>
      </c>
      <c r="Y166" s="290">
        <f t="shared" si="92"/>
        <v>128.91626923076922</v>
      </c>
      <c r="Z166" s="290">
        <f t="shared" si="92"/>
        <v>117.98147833333337</v>
      </c>
      <c r="AA166" s="290">
        <f t="shared" si="92"/>
        <v>146.05588759615392</v>
      </c>
      <c r="AB166" s="290">
        <f t="shared" si="92"/>
        <v>156.77215926223784</v>
      </c>
      <c r="AC166" s="290">
        <f t="shared" si="92"/>
        <v>92.812374125874157</v>
      </c>
      <c r="AD166" s="253">
        <f t="shared" si="93"/>
        <v>193.38850152017892</v>
      </c>
      <c r="AE166" s="253">
        <f t="shared" si="93"/>
        <v>185.02065375300754</v>
      </c>
    </row>
    <row r="167" spans="1:31">
      <c r="A167" s="240" t="s">
        <v>46</v>
      </c>
      <c r="B167" s="290">
        <f t="shared" si="92"/>
        <v>31.302459770389419</v>
      </c>
      <c r="C167" s="290">
        <f t="shared" si="92"/>
        <v>44.391632010527282</v>
      </c>
      <c r="D167" s="290">
        <f t="shared" si="92"/>
        <v>40.629029184961425</v>
      </c>
      <c r="E167" s="290">
        <f t="shared" si="92"/>
        <v>27.938569062656182</v>
      </c>
      <c r="F167" s="290">
        <f t="shared" si="92"/>
        <v>39.302410453961109</v>
      </c>
      <c r="G167" s="290">
        <f t="shared" si="92"/>
        <v>36.922385817307692</v>
      </c>
      <c r="H167" s="290">
        <f t="shared" si="92"/>
        <v>55.060138461538472</v>
      </c>
      <c r="I167" s="290">
        <f t="shared" si="92"/>
        <v>40.09461705831157</v>
      </c>
      <c r="J167" s="290">
        <f t="shared" si="92"/>
        <v>32.245053113553112</v>
      </c>
      <c r="K167" s="290">
        <f t="shared" si="92"/>
        <v>54.563690518783545</v>
      </c>
      <c r="L167" s="290">
        <f t="shared" si="92"/>
        <v>77.64739120879122</v>
      </c>
      <c r="M167" s="290">
        <f t="shared" si="92"/>
        <v>57.595758784425456</v>
      </c>
      <c r="N167" s="290">
        <f t="shared" si="92"/>
        <v>55.529283027050433</v>
      </c>
      <c r="O167" s="290">
        <f t="shared" si="92"/>
        <v>52.033999999999992</v>
      </c>
      <c r="P167" s="290">
        <f t="shared" si="92"/>
        <v>55.355162790697676</v>
      </c>
      <c r="Q167" s="290">
        <f t="shared" si="92"/>
        <v>36.719444245676776</v>
      </c>
      <c r="R167" s="290">
        <f t="shared" si="92"/>
        <v>41.335083086785005</v>
      </c>
      <c r="S167" s="290">
        <f t="shared" si="92"/>
        <v>62.763740591242851</v>
      </c>
      <c r="T167" s="290">
        <f t="shared" si="92"/>
        <v>27.429282051282087</v>
      </c>
      <c r="U167" s="290">
        <f t="shared" si="92"/>
        <v>72.724076326774025</v>
      </c>
      <c r="V167" s="290">
        <f t="shared" si="92"/>
        <v>85.671008348240946</v>
      </c>
      <c r="W167" s="290">
        <f t="shared" si="92"/>
        <v>104.54009302325576</v>
      </c>
      <c r="X167" s="290">
        <f t="shared" si="92"/>
        <v>88.229044871794827</v>
      </c>
      <c r="Y167" s="290">
        <f t="shared" si="92"/>
        <v>77.668019230769204</v>
      </c>
      <c r="Z167" s="290">
        <f t="shared" si="92"/>
        <v>94.630668333333347</v>
      </c>
      <c r="AA167" s="290">
        <f t="shared" si="92"/>
        <v>134.81671509615387</v>
      </c>
      <c r="AB167" s="290">
        <f t="shared" si="92"/>
        <v>10.828138944055979</v>
      </c>
      <c r="AC167" s="290">
        <f t="shared" si="92"/>
        <v>187.90523776223779</v>
      </c>
      <c r="AD167" s="253">
        <f t="shared" si="93"/>
        <v>154.32641747950709</v>
      </c>
      <c r="AE167" s="253">
        <f t="shared" si="93"/>
        <v>179.52562533826779</v>
      </c>
    </row>
    <row r="168" spans="1:31">
      <c r="A168" s="240" t="s">
        <v>235</v>
      </c>
      <c r="B168" s="290">
        <f t="shared" si="92"/>
        <v>10.483879868933917</v>
      </c>
      <c r="C168" s="290">
        <f t="shared" si="92"/>
        <v>12.227641846247854</v>
      </c>
      <c r="D168" s="290">
        <f t="shared" si="92"/>
        <v>27.748669950753865</v>
      </c>
      <c r="E168" s="290">
        <f t="shared" si="92"/>
        <v>22.682152074354068</v>
      </c>
      <c r="F168" s="290">
        <f t="shared" si="92"/>
        <v>39.964156219269483</v>
      </c>
      <c r="G168" s="290">
        <f t="shared" si="92"/>
        <v>43.219073317307682</v>
      </c>
      <c r="H168" s="290">
        <f t="shared" si="92"/>
        <v>47.923792307692317</v>
      </c>
      <c r="I168" s="290">
        <f t="shared" si="92"/>
        <v>40.628024369016551</v>
      </c>
      <c r="J168" s="290">
        <f t="shared" si="92"/>
        <v>30.74869597069598</v>
      </c>
      <c r="K168" s="290">
        <f t="shared" si="92"/>
        <v>50.333818425760278</v>
      </c>
      <c r="L168" s="290">
        <f t="shared" si="92"/>
        <v>60.674762637362633</v>
      </c>
      <c r="M168" s="290">
        <f t="shared" si="92"/>
        <v>24.212141500474832</v>
      </c>
      <c r="N168" s="290">
        <f t="shared" si="92"/>
        <v>24.149934189841165</v>
      </c>
      <c r="O168" s="290">
        <f t="shared" si="92"/>
        <v>55.340895348837201</v>
      </c>
      <c r="P168" s="290">
        <f t="shared" si="92"/>
        <v>6.3210658914728679</v>
      </c>
      <c r="Q168" s="290">
        <f t="shared" si="92"/>
        <v>36.028374478234923</v>
      </c>
      <c r="R168" s="290">
        <f t="shared" si="92"/>
        <v>60.837698471400373</v>
      </c>
      <c r="S168" s="290">
        <f t="shared" si="92"/>
        <v>70.448226348364301</v>
      </c>
      <c r="T168" s="290">
        <f t="shared" si="92"/>
        <v>34.128979725700674</v>
      </c>
      <c r="U168" s="290">
        <f t="shared" si="92"/>
        <v>123.85665772212292</v>
      </c>
      <c r="V168" s="290">
        <f t="shared" si="92"/>
        <v>91.13049672033398</v>
      </c>
      <c r="W168" s="290">
        <f t="shared" si="92"/>
        <v>46.770162790697697</v>
      </c>
      <c r="X168" s="290">
        <f t="shared" si="92"/>
        <v>92.956544871794918</v>
      </c>
      <c r="Y168" s="290">
        <f t="shared" si="92"/>
        <v>112.42151923076921</v>
      </c>
      <c r="Z168" s="290">
        <f t="shared" si="92"/>
        <v>83.870930833333318</v>
      </c>
      <c r="AA168" s="290">
        <f t="shared" si="92"/>
        <v>113.78512134615386</v>
      </c>
      <c r="AB168" s="290">
        <f t="shared" si="92"/>
        <v>93.32384776223779</v>
      </c>
      <c r="AC168" s="253">
        <f t="shared" ref="AC168:AC171" si="94">AC183+AC104+AC136-AC152-AC184</f>
        <v>134.59430751492823</v>
      </c>
      <c r="AD168" s="253">
        <f t="shared" si="93"/>
        <v>158.51920564857045</v>
      </c>
      <c r="AE168" s="253">
        <f t="shared" si="93"/>
        <v>152.43985440366731</v>
      </c>
    </row>
    <row r="169" spans="1:31">
      <c r="A169" s="240" t="s">
        <v>236</v>
      </c>
      <c r="B169" s="290">
        <f t="shared" ref="B169:Y171" si="95">B184+B105+C128-B153-B185</f>
        <v>9.0330454820334758</v>
      </c>
      <c r="C169" s="290">
        <f t="shared" si="95"/>
        <v>24.303375404084566</v>
      </c>
      <c r="D169" s="290">
        <f t="shared" si="95"/>
        <v>36.232694084972465</v>
      </c>
      <c r="E169" s="290">
        <f t="shared" si="95"/>
        <v>27.944400817863436</v>
      </c>
      <c r="F169" s="290">
        <f t="shared" si="95"/>
        <v>46.267707966594863</v>
      </c>
      <c r="G169" s="290">
        <f t="shared" si="95"/>
        <v>51.943104567307707</v>
      </c>
      <c r="H169" s="290">
        <f t="shared" si="95"/>
        <v>82.109053846153856</v>
      </c>
      <c r="I169" s="290">
        <f t="shared" si="95"/>
        <v>18.829447345517831</v>
      </c>
      <c r="J169" s="290">
        <f t="shared" si="95"/>
        <v>37.024910256410259</v>
      </c>
      <c r="K169" s="290">
        <f t="shared" si="95"/>
        <v>27.004981216457956</v>
      </c>
      <c r="L169" s="290">
        <f t="shared" si="95"/>
        <v>79.248334065934074</v>
      </c>
      <c r="M169" s="290">
        <f t="shared" si="95"/>
        <v>56.991289648622988</v>
      </c>
      <c r="N169" s="290">
        <f t="shared" si="95"/>
        <v>26.522568439312593</v>
      </c>
      <c r="O169" s="290">
        <f t="shared" si="95"/>
        <v>39.960992248062013</v>
      </c>
      <c r="P169" s="290">
        <f t="shared" si="95"/>
        <v>52.442015503875965</v>
      </c>
      <c r="Q169" s="290">
        <f t="shared" si="95"/>
        <v>57.068583780560537</v>
      </c>
      <c r="R169" s="290">
        <f t="shared" si="95"/>
        <v>60.964535009861919</v>
      </c>
      <c r="S169" s="290">
        <f t="shared" si="95"/>
        <v>100.90287402452623</v>
      </c>
      <c r="T169" s="290">
        <f t="shared" si="95"/>
        <v>102.80627042337511</v>
      </c>
      <c r="U169" s="290">
        <f t="shared" si="95"/>
        <v>104.42821586165775</v>
      </c>
      <c r="V169" s="290">
        <f t="shared" si="95"/>
        <v>143.03591532498513</v>
      </c>
      <c r="W169" s="290">
        <f t="shared" si="95"/>
        <v>124.40325581395354</v>
      </c>
      <c r="X169" s="290">
        <f t="shared" si="95"/>
        <v>150.05204487179486</v>
      </c>
      <c r="Y169" s="290">
        <f t="shared" si="95"/>
        <v>167.5512142307692</v>
      </c>
      <c r="Z169" s="290">
        <f t="shared" si="92"/>
        <v>956.90780583333333</v>
      </c>
      <c r="AA169" s="290">
        <f t="shared" si="92"/>
        <v>1058.4442588461538</v>
      </c>
      <c r="AB169" s="290">
        <f t="shared" si="92"/>
        <v>1146.3524467167836</v>
      </c>
      <c r="AC169" s="253">
        <f t="shared" si="94"/>
        <v>162.15491174305032</v>
      </c>
      <c r="AD169" s="253">
        <f t="shared" si="93"/>
        <v>179.55144939272407</v>
      </c>
      <c r="AE169" s="253">
        <f t="shared" si="93"/>
        <v>179.74030682886735</v>
      </c>
    </row>
    <row r="170" spans="1:31">
      <c r="A170" s="240" t="s">
        <v>237</v>
      </c>
      <c r="B170" s="290">
        <f t="shared" si="95"/>
        <v>33.987125756059058</v>
      </c>
      <c r="C170" s="290">
        <f t="shared" si="95"/>
        <v>38.511288620683487</v>
      </c>
      <c r="D170" s="290">
        <f t="shared" si="95"/>
        <v>49.183517820197487</v>
      </c>
      <c r="E170" s="290">
        <f t="shared" si="95"/>
        <v>43.215296185217852</v>
      </c>
      <c r="F170" s="290">
        <f t="shared" si="95"/>
        <v>58.264992286652813</v>
      </c>
      <c r="G170" s="290">
        <f t="shared" si="95"/>
        <v>64.108776442307715</v>
      </c>
      <c r="H170" s="290">
        <f t="shared" si="95"/>
        <v>80.322292307692322</v>
      </c>
      <c r="I170" s="290">
        <f t="shared" si="95"/>
        <v>19.416470844212366</v>
      </c>
      <c r="J170" s="290">
        <f t="shared" si="95"/>
        <v>39.688267399267396</v>
      </c>
      <c r="K170" s="290">
        <f t="shared" si="95"/>
        <v>58.939899821109123</v>
      </c>
      <c r="L170" s="290">
        <f t="shared" si="95"/>
        <v>66.063743589743609</v>
      </c>
      <c r="M170" s="290">
        <f t="shared" si="95"/>
        <v>62.248376068376075</v>
      </c>
      <c r="N170" s="290">
        <f t="shared" si="95"/>
        <v>106.40857266764246</v>
      </c>
      <c r="O170" s="290">
        <f t="shared" si="95"/>
        <v>96.535143410852697</v>
      </c>
      <c r="P170" s="290">
        <f t="shared" si="95"/>
        <v>72.851344961240301</v>
      </c>
      <c r="Q170" s="290">
        <f t="shared" si="95"/>
        <v>84.069676803816336</v>
      </c>
      <c r="R170" s="290">
        <f t="shared" si="95"/>
        <v>107.20291000986192</v>
      </c>
      <c r="S170" s="290">
        <f t="shared" si="95"/>
        <v>109.02068062122791</v>
      </c>
      <c r="T170" s="290">
        <f t="shared" si="95"/>
        <v>113.66630966756117</v>
      </c>
      <c r="U170" s="290">
        <f t="shared" si="95"/>
        <v>199.47377400119268</v>
      </c>
      <c r="V170" s="290">
        <f t="shared" si="95"/>
        <v>200.6790083482409</v>
      </c>
      <c r="W170" s="290">
        <f t="shared" si="95"/>
        <v>203.62679069767441</v>
      </c>
      <c r="X170" s="290">
        <f t="shared" si="95"/>
        <v>198.5455448717949</v>
      </c>
      <c r="Y170" s="290">
        <f t="shared" si="95"/>
        <v>187.67719923076925</v>
      </c>
      <c r="Z170" s="290">
        <f t="shared" si="92"/>
        <v>107.82350708333337</v>
      </c>
      <c r="AA170" s="290">
        <f t="shared" si="92"/>
        <v>123.11767509615385</v>
      </c>
      <c r="AB170" s="290">
        <f t="shared" si="92"/>
        <v>147.37257371678322</v>
      </c>
      <c r="AC170" s="253">
        <f t="shared" si="94"/>
        <v>194.18611062271657</v>
      </c>
      <c r="AD170" s="253">
        <f t="shared" si="93"/>
        <v>185.83177089114429</v>
      </c>
      <c r="AE170" s="253">
        <f t="shared" si="93"/>
        <v>186.46633381501772</v>
      </c>
    </row>
    <row r="171" spans="1:31">
      <c r="A171" s="240" t="s">
        <v>238</v>
      </c>
      <c r="B171" s="290">
        <f t="shared" si="95"/>
        <v>44.942745480554848</v>
      </c>
      <c r="C171" s="290">
        <f t="shared" si="95"/>
        <v>18.978119616555681</v>
      </c>
      <c r="D171" s="290">
        <f t="shared" si="95"/>
        <v>50.029906065687506</v>
      </c>
      <c r="E171" s="290">
        <f t="shared" si="95"/>
        <v>48.441608944728273</v>
      </c>
      <c r="F171" s="290">
        <f t="shared" si="95"/>
        <v>73.290308110418025</v>
      </c>
      <c r="G171" s="290">
        <f t="shared" si="95"/>
        <v>62.721177884615415</v>
      </c>
      <c r="H171" s="290">
        <f t="shared" si="95"/>
        <v>77.93153076923079</v>
      </c>
      <c r="I171" s="290">
        <f t="shared" si="95"/>
        <v>43.354825935596139</v>
      </c>
      <c r="J171" s="290">
        <f t="shared" si="95"/>
        <v>41.847772893772905</v>
      </c>
      <c r="K171" s="290">
        <f t="shared" si="95"/>
        <v>74.774869409660099</v>
      </c>
      <c r="L171" s="290">
        <f t="shared" si="95"/>
        <v>85.430877655677648</v>
      </c>
      <c r="M171" s="290">
        <f t="shared" si="95"/>
        <v>113.69925830959163</v>
      </c>
      <c r="N171" s="290">
        <f t="shared" si="95"/>
        <v>129.67595224155687</v>
      </c>
      <c r="O171" s="290">
        <f t="shared" si="95"/>
        <v>101.35444186046507</v>
      </c>
      <c r="P171" s="290">
        <f t="shared" si="95"/>
        <v>124.21232170542632</v>
      </c>
      <c r="Q171" s="290">
        <f t="shared" si="95"/>
        <v>144.28039236732266</v>
      </c>
      <c r="R171" s="290">
        <f t="shared" si="95"/>
        <v>145.58442258382649</v>
      </c>
      <c r="S171" s="290">
        <f t="shared" si="95"/>
        <v>180.98454315150116</v>
      </c>
      <c r="T171" s="290">
        <f t="shared" si="95"/>
        <v>148.52322592426964</v>
      </c>
      <c r="U171" s="290">
        <f t="shared" si="95"/>
        <v>186.82792784734636</v>
      </c>
      <c r="V171" s="290">
        <f t="shared" si="95"/>
        <v>199.77521049493117</v>
      </c>
      <c r="W171" s="290">
        <f t="shared" si="95"/>
        <v>212.66032558139557</v>
      </c>
      <c r="X171" s="290">
        <f t="shared" si="95"/>
        <v>135.78775641025641</v>
      </c>
      <c r="Y171" s="290">
        <f t="shared" si="95"/>
        <v>181.92549846153855</v>
      </c>
      <c r="Z171" s="290">
        <f t="shared" si="92"/>
        <v>100.47600083333322</v>
      </c>
      <c r="AA171" s="290">
        <f t="shared" si="92"/>
        <v>127.03936019230753</v>
      </c>
      <c r="AB171" s="290">
        <f t="shared" si="92"/>
        <v>158.36304916083907</v>
      </c>
      <c r="AC171" s="253">
        <f t="shared" si="94"/>
        <v>309.71676120322104</v>
      </c>
      <c r="AD171" s="253">
        <f t="shared" si="93"/>
        <v>250.71529447745456</v>
      </c>
      <c r="AE171" s="253">
        <f t="shared" si="93"/>
        <v>222.12932428386853</v>
      </c>
    </row>
    <row r="172" spans="1:31" ht="15.75" thickBot="1">
      <c r="A172" s="240" t="s">
        <v>242</v>
      </c>
      <c r="B172" s="146">
        <f>SUM(B160:B171)</f>
        <v>391.58339577970833</v>
      </c>
      <c r="C172" s="146">
        <f t="shared" ref="C172:AE172" si="96">SUM(C160:C171)</f>
        <v>504.75575303261542</v>
      </c>
      <c r="D172" s="146">
        <f t="shared" si="96"/>
        <v>509.05420931703122</v>
      </c>
      <c r="E172" s="146">
        <f t="shared" si="96"/>
        <v>444.35824068716215</v>
      </c>
      <c r="F172" s="146">
        <f t="shared" si="96"/>
        <v>639.42963156779524</v>
      </c>
      <c r="G172" s="146">
        <f t="shared" si="96"/>
        <v>733.38300000000004</v>
      </c>
      <c r="H172" s="146">
        <f t="shared" si="96"/>
        <v>861.15582307692341</v>
      </c>
      <c r="I172" s="146">
        <f t="shared" si="96"/>
        <v>549.4267519582246</v>
      </c>
      <c r="J172" s="146">
        <f t="shared" si="96"/>
        <v>414.40921428571426</v>
      </c>
      <c r="K172" s="146">
        <f t="shared" si="96"/>
        <v>634.7143837209303</v>
      </c>
      <c r="L172" s="146">
        <f t="shared" si="96"/>
        <v>987.25564761904752</v>
      </c>
      <c r="M172" s="146">
        <f t="shared" si="96"/>
        <v>872.81548148148147</v>
      </c>
      <c r="N172" s="146">
        <f t="shared" si="96"/>
        <v>1007.3566596194501</v>
      </c>
      <c r="O172" s="146">
        <f t="shared" si="96"/>
        <v>1038.9078682170541</v>
      </c>
      <c r="P172" s="146">
        <f t="shared" si="96"/>
        <v>849.601945736434</v>
      </c>
      <c r="Q172" s="146">
        <f t="shared" si="96"/>
        <v>905.27879069767425</v>
      </c>
      <c r="R172" s="146">
        <f t="shared" si="96"/>
        <v>1220.0863076923074</v>
      </c>
      <c r="S172" s="146">
        <f t="shared" si="96"/>
        <v>1421.3583973013494</v>
      </c>
      <c r="T172" s="146">
        <f t="shared" si="96"/>
        <v>1392.2143095930235</v>
      </c>
      <c r="U172" s="146">
        <f t="shared" si="96"/>
        <v>1493.3655116279074</v>
      </c>
      <c r="V172" s="146">
        <f t="shared" si="96"/>
        <v>1781.0502325581397</v>
      </c>
      <c r="W172" s="146">
        <f t="shared" si="96"/>
        <v>1683.5684186046515</v>
      </c>
      <c r="X172" s="146">
        <f t="shared" si="96"/>
        <v>1584.39275</v>
      </c>
      <c r="Y172" s="146">
        <f t="shared" si="96"/>
        <v>1877.397835</v>
      </c>
      <c r="Z172" s="146">
        <f t="shared" si="96"/>
        <v>2528.5818012500004</v>
      </c>
      <c r="AA172" s="146">
        <f t="shared" si="96"/>
        <v>2911.4324750000001</v>
      </c>
      <c r="AB172" s="146">
        <f t="shared" si="96"/>
        <v>2907.5539052727281</v>
      </c>
      <c r="AC172" s="253">
        <f t="shared" si="96"/>
        <v>2123.5240000000003</v>
      </c>
      <c r="AD172" s="253">
        <f t="shared" si="96"/>
        <v>2240.5599400436813</v>
      </c>
      <c r="AE172" s="253">
        <f t="shared" si="96"/>
        <v>2314.9977383127016</v>
      </c>
    </row>
    <row r="173" spans="1:31">
      <c r="A173" s="248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</row>
    <row r="174" spans="1:31" ht="15.75" thickBot="1">
      <c r="A174" s="235" t="s">
        <v>259</v>
      </c>
      <c r="Y174" s="146"/>
    </row>
    <row r="175" spans="1:31" ht="15.75" thickBot="1">
      <c r="A175" s="236"/>
      <c r="B175" s="237" t="str">
        <f>B$2</f>
        <v xml:space="preserve">93/94 </v>
      </c>
      <c r="C175" s="237" t="str">
        <f t="shared" ref="C175:AE175" si="97">C$2</f>
        <v xml:space="preserve">94/95 </v>
      </c>
      <c r="D175" s="237" t="str">
        <f t="shared" si="97"/>
        <v xml:space="preserve">95/96 </v>
      </c>
      <c r="E175" s="237" t="str">
        <f t="shared" si="97"/>
        <v xml:space="preserve">96/97 </v>
      </c>
      <c r="F175" s="237" t="str">
        <f t="shared" si="97"/>
        <v xml:space="preserve">97/98 </v>
      </c>
      <c r="G175" s="237" t="str">
        <f t="shared" si="97"/>
        <v xml:space="preserve">98/99 </v>
      </c>
      <c r="H175" s="237" t="str">
        <f t="shared" si="97"/>
        <v xml:space="preserve">99/00 </v>
      </c>
      <c r="I175" s="237" t="str">
        <f t="shared" si="97"/>
        <v xml:space="preserve">00/01 </v>
      </c>
      <c r="J175" s="237" t="str">
        <f t="shared" si="97"/>
        <v xml:space="preserve">01/02 </v>
      </c>
      <c r="K175" s="237" t="str">
        <f t="shared" si="97"/>
        <v xml:space="preserve">02/03 </v>
      </c>
      <c r="L175" s="237" t="str">
        <f t="shared" si="97"/>
        <v xml:space="preserve">03/04 </v>
      </c>
      <c r="M175" s="237" t="str">
        <f t="shared" si="97"/>
        <v xml:space="preserve">04/05 </v>
      </c>
      <c r="N175" s="237" t="str">
        <f t="shared" si="97"/>
        <v xml:space="preserve">05/06 </v>
      </c>
      <c r="O175" s="237" t="str">
        <f t="shared" si="97"/>
        <v xml:space="preserve">06/07 </v>
      </c>
      <c r="P175" s="237" t="str">
        <f t="shared" si="97"/>
        <v xml:space="preserve">07/08 </v>
      </c>
      <c r="Q175" s="237" t="str">
        <f t="shared" si="97"/>
        <v xml:space="preserve">08/09 </v>
      </c>
      <c r="R175" s="237" t="str">
        <f t="shared" si="97"/>
        <v xml:space="preserve">09/10 </v>
      </c>
      <c r="S175" s="237" t="str">
        <f t="shared" si="97"/>
        <v xml:space="preserve">10/11 </v>
      </c>
      <c r="T175" s="237" t="str">
        <f t="shared" si="97"/>
        <v xml:space="preserve">11/12 </v>
      </c>
      <c r="U175" s="237" t="str">
        <f t="shared" si="97"/>
        <v xml:space="preserve">12/13 </v>
      </c>
      <c r="V175" s="237" t="str">
        <f t="shared" si="97"/>
        <v xml:space="preserve">13/14 </v>
      </c>
      <c r="W175" s="237" t="str">
        <f t="shared" si="97"/>
        <v xml:space="preserve">14/15 </v>
      </c>
      <c r="X175" s="237" t="str">
        <f t="shared" si="97"/>
        <v xml:space="preserve">15/16 </v>
      </c>
      <c r="Y175" s="237" t="str">
        <f t="shared" si="97"/>
        <v xml:space="preserve">16/17 </v>
      </c>
      <c r="Z175" s="237" t="str">
        <f t="shared" si="97"/>
        <v xml:space="preserve">17/18 </v>
      </c>
      <c r="AA175" s="237" t="str">
        <f t="shared" si="97"/>
        <v xml:space="preserve">18/19 </v>
      </c>
      <c r="AB175" s="237" t="str">
        <f t="shared" si="97"/>
        <v xml:space="preserve">19/20 </v>
      </c>
      <c r="AC175" s="237" t="str">
        <f t="shared" si="97"/>
        <v xml:space="preserve">20/21 </v>
      </c>
      <c r="AD175" s="237" t="str">
        <f t="shared" si="97"/>
        <v xml:space="preserve">21/22 </v>
      </c>
      <c r="AE175" s="237" t="str">
        <f t="shared" si="97"/>
        <v xml:space="preserve">22/23 </v>
      </c>
    </row>
    <row r="176" spans="1:31">
      <c r="A176" s="240" t="s">
        <v>239</v>
      </c>
      <c r="B176" s="290">
        <f>(B$187-B$22)/13+B22</f>
        <v>0</v>
      </c>
      <c r="C176" s="290">
        <f>(C$187-B$187)/13+B187</f>
        <v>0</v>
      </c>
      <c r="D176" s="290">
        <f t="shared" ref="D176:AE176" si="98">(D$187-C$187)/13+C187</f>
        <v>0.38461538461538464</v>
      </c>
      <c r="E176" s="290">
        <f t="shared" si="98"/>
        <v>4.615384615384615</v>
      </c>
      <c r="F176" s="290">
        <f t="shared" si="98"/>
        <v>0</v>
      </c>
      <c r="G176" s="290">
        <f t="shared" si="98"/>
        <v>0</v>
      </c>
      <c r="H176" s="290">
        <f t="shared" si="98"/>
        <v>0</v>
      </c>
      <c r="I176" s="290">
        <f t="shared" si="98"/>
        <v>0</v>
      </c>
      <c r="J176" s="290">
        <f t="shared" si="98"/>
        <v>0</v>
      </c>
      <c r="K176" s="290">
        <f t="shared" si="98"/>
        <v>0</v>
      </c>
      <c r="L176" s="290">
        <f t="shared" si="98"/>
        <v>0</v>
      </c>
      <c r="M176" s="290">
        <f t="shared" si="98"/>
        <v>0</v>
      </c>
      <c r="N176" s="290">
        <f t="shared" si="98"/>
        <v>0</v>
      </c>
      <c r="O176" s="290">
        <f t="shared" si="98"/>
        <v>0</v>
      </c>
      <c r="P176" s="290">
        <f t="shared" si="98"/>
        <v>0</v>
      </c>
      <c r="Q176" s="290">
        <f t="shared" si="98"/>
        <v>5.8461538461538458</v>
      </c>
      <c r="R176" s="290">
        <f t="shared" si="98"/>
        <v>79.461538461538467</v>
      </c>
      <c r="S176" s="290">
        <f t="shared" si="98"/>
        <v>121.23076923076923</v>
      </c>
      <c r="T176" s="290">
        <f t="shared" si="98"/>
        <v>136.30769230769232</v>
      </c>
      <c r="U176" s="290">
        <f t="shared" si="98"/>
        <v>272.53846153846155</v>
      </c>
      <c r="V176" s="290">
        <f t="shared" si="98"/>
        <v>135.07692307692307</v>
      </c>
      <c r="W176" s="290">
        <f t="shared" si="98"/>
        <v>136.92307692307693</v>
      </c>
      <c r="X176" s="290">
        <f t="shared" si="98"/>
        <v>139.69230769230768</v>
      </c>
      <c r="Y176" s="290">
        <f t="shared" si="98"/>
        <v>47.153846153846153</v>
      </c>
      <c r="Z176" s="290">
        <f t="shared" si="98"/>
        <v>138.69230769230768</v>
      </c>
      <c r="AA176" s="290">
        <f t="shared" si="98"/>
        <v>217.38461538461539</v>
      </c>
      <c r="AB176" s="290">
        <f t="shared" si="98"/>
        <v>360.69230769230768</v>
      </c>
      <c r="AC176" s="290">
        <f t="shared" si="98"/>
        <v>565</v>
      </c>
      <c r="AD176" s="252">
        <f t="shared" si="98"/>
        <v>326.92307692307691</v>
      </c>
      <c r="AE176" s="252">
        <f t="shared" si="98"/>
        <v>350</v>
      </c>
    </row>
    <row r="177" spans="1:31">
      <c r="A177" s="240" t="s">
        <v>240</v>
      </c>
      <c r="B177" s="290">
        <f>(B$187-B$22)/13+B176</f>
        <v>0</v>
      </c>
      <c r="C177" s="290">
        <f>(C$187-B$187)/13+C176</f>
        <v>0</v>
      </c>
      <c r="D177" s="290">
        <f t="shared" ref="D177:AE186" si="99">(D$187-C$187)/13+D176</f>
        <v>0.76923076923076927</v>
      </c>
      <c r="E177" s="290">
        <f t="shared" si="99"/>
        <v>4.2307692307692299</v>
      </c>
      <c r="F177" s="290">
        <f t="shared" si="99"/>
        <v>0</v>
      </c>
      <c r="G177" s="290">
        <f t="shared" si="99"/>
        <v>0</v>
      </c>
      <c r="H177" s="290">
        <f t="shared" si="99"/>
        <v>0</v>
      </c>
      <c r="I177" s="290">
        <f t="shared" si="99"/>
        <v>0</v>
      </c>
      <c r="J177" s="290">
        <f t="shared" si="99"/>
        <v>0</v>
      </c>
      <c r="K177" s="290">
        <f t="shared" si="99"/>
        <v>0</v>
      </c>
      <c r="L177" s="290">
        <f t="shared" si="99"/>
        <v>0</v>
      </c>
      <c r="M177" s="290">
        <f t="shared" si="99"/>
        <v>0</v>
      </c>
      <c r="N177" s="290">
        <f t="shared" si="99"/>
        <v>0</v>
      </c>
      <c r="O177" s="290">
        <f t="shared" si="99"/>
        <v>0</v>
      </c>
      <c r="P177" s="290">
        <f t="shared" si="99"/>
        <v>0</v>
      </c>
      <c r="Q177" s="290">
        <f t="shared" si="99"/>
        <v>11.692307692307692</v>
      </c>
      <c r="R177" s="290">
        <f t="shared" si="99"/>
        <v>82.923076923076934</v>
      </c>
      <c r="S177" s="290">
        <f t="shared" si="99"/>
        <v>121.46153846153845</v>
      </c>
      <c r="T177" s="290">
        <f t="shared" si="99"/>
        <v>148.61538461538464</v>
      </c>
      <c r="U177" s="290">
        <f t="shared" si="99"/>
        <v>261.07692307692309</v>
      </c>
      <c r="V177" s="290">
        <f t="shared" si="99"/>
        <v>135.15384615384613</v>
      </c>
      <c r="W177" s="290">
        <f t="shared" si="99"/>
        <v>137.84615384615387</v>
      </c>
      <c r="X177" s="290">
        <f t="shared" si="99"/>
        <v>131.38461538461536</v>
      </c>
      <c r="Y177" s="290">
        <f t="shared" si="99"/>
        <v>54.307692307692307</v>
      </c>
      <c r="Z177" s="290">
        <f t="shared" si="99"/>
        <v>144.38461538461536</v>
      </c>
      <c r="AA177" s="290">
        <f t="shared" si="99"/>
        <v>227.76923076923077</v>
      </c>
      <c r="AB177" s="290">
        <f t="shared" si="99"/>
        <v>379.38461538461536</v>
      </c>
      <c r="AC177" s="290">
        <f t="shared" si="99"/>
        <v>545</v>
      </c>
      <c r="AD177" s="252">
        <f t="shared" si="99"/>
        <v>328.84615384615381</v>
      </c>
      <c r="AE177" s="252">
        <f t="shared" si="99"/>
        <v>350</v>
      </c>
    </row>
    <row r="178" spans="1:31">
      <c r="A178" s="240" t="s">
        <v>241</v>
      </c>
      <c r="B178" s="290">
        <f t="shared" ref="B178:B186" si="100">(B$187-B$22)/13+B177</f>
        <v>0</v>
      </c>
      <c r="C178" s="290">
        <f t="shared" ref="C178:C186" si="101">(C$187-B$187)/13+C177</f>
        <v>0</v>
      </c>
      <c r="D178" s="290">
        <f t="shared" si="99"/>
        <v>1.153846153846154</v>
      </c>
      <c r="E178" s="290">
        <f t="shared" si="99"/>
        <v>3.8461538461538454</v>
      </c>
      <c r="F178" s="290">
        <f t="shared" si="99"/>
        <v>0</v>
      </c>
      <c r="G178" s="290">
        <f t="shared" si="99"/>
        <v>0</v>
      </c>
      <c r="H178" s="290">
        <f t="shared" si="99"/>
        <v>0</v>
      </c>
      <c r="I178" s="290">
        <f t="shared" si="99"/>
        <v>0</v>
      </c>
      <c r="J178" s="290">
        <f t="shared" si="99"/>
        <v>0</v>
      </c>
      <c r="K178" s="290">
        <f t="shared" si="99"/>
        <v>0</v>
      </c>
      <c r="L178" s="290">
        <f t="shared" si="99"/>
        <v>0</v>
      </c>
      <c r="M178" s="290">
        <f t="shared" si="99"/>
        <v>0</v>
      </c>
      <c r="N178" s="290">
        <f t="shared" si="99"/>
        <v>0</v>
      </c>
      <c r="O178" s="290">
        <f t="shared" si="99"/>
        <v>0</v>
      </c>
      <c r="P178" s="290">
        <f t="shared" si="99"/>
        <v>0</v>
      </c>
      <c r="Q178" s="290">
        <f t="shared" si="99"/>
        <v>17.538461538461537</v>
      </c>
      <c r="R178" s="290">
        <f t="shared" si="99"/>
        <v>86.384615384615401</v>
      </c>
      <c r="S178" s="290">
        <f t="shared" si="99"/>
        <v>121.69230769230768</v>
      </c>
      <c r="T178" s="290">
        <f t="shared" si="99"/>
        <v>160.92307692307696</v>
      </c>
      <c r="U178" s="290">
        <f t="shared" si="99"/>
        <v>249.61538461538464</v>
      </c>
      <c r="V178" s="290">
        <f t="shared" si="99"/>
        <v>135.2307692307692</v>
      </c>
      <c r="W178" s="290">
        <f t="shared" si="99"/>
        <v>138.7692307692308</v>
      </c>
      <c r="X178" s="290">
        <f t="shared" si="99"/>
        <v>123.07692307692305</v>
      </c>
      <c r="Y178" s="290">
        <f t="shared" si="99"/>
        <v>61.46153846153846</v>
      </c>
      <c r="Z178" s="290">
        <f t="shared" si="99"/>
        <v>150.07692307692304</v>
      </c>
      <c r="AA178" s="290">
        <f t="shared" si="99"/>
        <v>238.15384615384616</v>
      </c>
      <c r="AB178" s="290">
        <f t="shared" si="99"/>
        <v>398.07692307692304</v>
      </c>
      <c r="AC178" s="290">
        <f t="shared" si="99"/>
        <v>525</v>
      </c>
      <c r="AD178" s="252">
        <f t="shared" si="99"/>
        <v>330.76923076923072</v>
      </c>
      <c r="AE178" s="252">
        <f t="shared" si="99"/>
        <v>350</v>
      </c>
    </row>
    <row r="179" spans="1:31">
      <c r="A179" s="240" t="s">
        <v>231</v>
      </c>
      <c r="B179" s="290">
        <f t="shared" si="100"/>
        <v>0</v>
      </c>
      <c r="C179" s="290">
        <f t="shared" si="101"/>
        <v>0</v>
      </c>
      <c r="D179" s="290">
        <f t="shared" si="99"/>
        <v>1.5384615384615385</v>
      </c>
      <c r="E179" s="290">
        <f t="shared" si="99"/>
        <v>3.4615384615384608</v>
      </c>
      <c r="F179" s="290">
        <f t="shared" si="99"/>
        <v>0</v>
      </c>
      <c r="G179" s="290">
        <f t="shared" si="99"/>
        <v>0</v>
      </c>
      <c r="H179" s="290">
        <f t="shared" si="99"/>
        <v>0</v>
      </c>
      <c r="I179" s="290">
        <f t="shared" si="99"/>
        <v>0</v>
      </c>
      <c r="J179" s="290">
        <f t="shared" si="99"/>
        <v>0</v>
      </c>
      <c r="K179" s="290">
        <f t="shared" si="99"/>
        <v>0</v>
      </c>
      <c r="L179" s="290">
        <f t="shared" si="99"/>
        <v>0</v>
      </c>
      <c r="M179" s="290">
        <f t="shared" si="99"/>
        <v>0</v>
      </c>
      <c r="N179" s="290">
        <f t="shared" si="99"/>
        <v>0</v>
      </c>
      <c r="O179" s="290">
        <f t="shared" si="99"/>
        <v>0</v>
      </c>
      <c r="P179" s="290">
        <f t="shared" si="99"/>
        <v>0</v>
      </c>
      <c r="Q179" s="290">
        <f t="shared" si="99"/>
        <v>23.384615384615383</v>
      </c>
      <c r="R179" s="290">
        <f t="shared" si="99"/>
        <v>89.846153846153868</v>
      </c>
      <c r="S179" s="290">
        <f t="shared" si="99"/>
        <v>121.92307692307691</v>
      </c>
      <c r="T179" s="290">
        <f t="shared" si="99"/>
        <v>173.23076923076928</v>
      </c>
      <c r="U179" s="290">
        <f t="shared" si="99"/>
        <v>238.15384615384619</v>
      </c>
      <c r="V179" s="290">
        <f t="shared" si="99"/>
        <v>135.30769230769226</v>
      </c>
      <c r="W179" s="290">
        <f t="shared" si="99"/>
        <v>139.69230769230774</v>
      </c>
      <c r="X179" s="290">
        <f t="shared" si="99"/>
        <v>114.76923076923075</v>
      </c>
      <c r="Y179" s="290">
        <f t="shared" si="99"/>
        <v>68.615384615384613</v>
      </c>
      <c r="Z179" s="290">
        <f t="shared" si="99"/>
        <v>155.76923076923072</v>
      </c>
      <c r="AA179" s="290">
        <f t="shared" si="99"/>
        <v>248.53846153846155</v>
      </c>
      <c r="AB179" s="290">
        <f t="shared" si="99"/>
        <v>416.76923076923072</v>
      </c>
      <c r="AC179" s="290">
        <f t="shared" si="99"/>
        <v>505</v>
      </c>
      <c r="AD179" s="252">
        <f t="shared" si="99"/>
        <v>332.69230769230762</v>
      </c>
      <c r="AE179" s="252">
        <f t="shared" si="99"/>
        <v>350</v>
      </c>
    </row>
    <row r="180" spans="1:31">
      <c r="A180" s="240" t="s">
        <v>232</v>
      </c>
      <c r="B180" s="290">
        <f t="shared" si="100"/>
        <v>0</v>
      </c>
      <c r="C180" s="290">
        <f t="shared" si="101"/>
        <v>0</v>
      </c>
      <c r="D180" s="290">
        <f t="shared" si="99"/>
        <v>1.9230769230769231</v>
      </c>
      <c r="E180" s="290">
        <f t="shared" si="99"/>
        <v>3.0769230769230762</v>
      </c>
      <c r="F180" s="290">
        <f t="shared" si="99"/>
        <v>0</v>
      </c>
      <c r="G180" s="290">
        <f t="shared" si="99"/>
        <v>0</v>
      </c>
      <c r="H180" s="290">
        <f t="shared" si="99"/>
        <v>0</v>
      </c>
      <c r="I180" s="290">
        <f t="shared" si="99"/>
        <v>0</v>
      </c>
      <c r="J180" s="290">
        <f t="shared" si="99"/>
        <v>0</v>
      </c>
      <c r="K180" s="290">
        <f t="shared" si="99"/>
        <v>0</v>
      </c>
      <c r="L180" s="290">
        <f t="shared" si="99"/>
        <v>0</v>
      </c>
      <c r="M180" s="290">
        <f t="shared" si="99"/>
        <v>0</v>
      </c>
      <c r="N180" s="290">
        <f t="shared" si="99"/>
        <v>0</v>
      </c>
      <c r="O180" s="290">
        <f t="shared" si="99"/>
        <v>0</v>
      </c>
      <c r="P180" s="290">
        <f t="shared" si="99"/>
        <v>0</v>
      </c>
      <c r="Q180" s="290">
        <f t="shared" si="99"/>
        <v>29.23076923076923</v>
      </c>
      <c r="R180" s="290">
        <f t="shared" si="99"/>
        <v>93.307692307692335</v>
      </c>
      <c r="S180" s="290">
        <f t="shared" si="99"/>
        <v>122.15384615384613</v>
      </c>
      <c r="T180" s="290">
        <f t="shared" si="99"/>
        <v>185.5384615384616</v>
      </c>
      <c r="U180" s="290">
        <f t="shared" si="99"/>
        <v>226.69230769230774</v>
      </c>
      <c r="V180" s="290">
        <f t="shared" si="99"/>
        <v>135.38461538461533</v>
      </c>
      <c r="W180" s="290">
        <f t="shared" si="99"/>
        <v>140.61538461538467</v>
      </c>
      <c r="X180" s="290">
        <f t="shared" si="99"/>
        <v>106.46153846153844</v>
      </c>
      <c r="Y180" s="290">
        <f t="shared" si="99"/>
        <v>75.769230769230774</v>
      </c>
      <c r="Z180" s="290">
        <f t="shared" si="99"/>
        <v>161.4615384615384</v>
      </c>
      <c r="AA180" s="290">
        <f t="shared" si="99"/>
        <v>258.92307692307691</v>
      </c>
      <c r="AB180" s="290">
        <f t="shared" si="99"/>
        <v>435.4615384615384</v>
      </c>
      <c r="AC180" s="290">
        <f t="shared" si="99"/>
        <v>485</v>
      </c>
      <c r="AD180" s="252">
        <f t="shared" si="99"/>
        <v>334.61538461538453</v>
      </c>
      <c r="AE180" s="252">
        <f t="shared" si="99"/>
        <v>350</v>
      </c>
    </row>
    <row r="181" spans="1:31">
      <c r="A181" s="240" t="s">
        <v>233</v>
      </c>
      <c r="B181" s="290">
        <f t="shared" si="100"/>
        <v>0</v>
      </c>
      <c r="C181" s="290">
        <f t="shared" si="101"/>
        <v>0</v>
      </c>
      <c r="D181" s="290">
        <f t="shared" si="99"/>
        <v>2.3076923076923079</v>
      </c>
      <c r="E181" s="290">
        <f t="shared" si="99"/>
        <v>2.6923076923076916</v>
      </c>
      <c r="F181" s="290">
        <f t="shared" si="99"/>
        <v>0</v>
      </c>
      <c r="G181" s="290">
        <f t="shared" si="99"/>
        <v>0</v>
      </c>
      <c r="H181" s="290">
        <f t="shared" si="99"/>
        <v>0</v>
      </c>
      <c r="I181" s="290">
        <f t="shared" si="99"/>
        <v>0</v>
      </c>
      <c r="J181" s="290">
        <f t="shared" si="99"/>
        <v>0</v>
      </c>
      <c r="K181" s="290">
        <f t="shared" si="99"/>
        <v>0</v>
      </c>
      <c r="L181" s="290">
        <f t="shared" si="99"/>
        <v>0</v>
      </c>
      <c r="M181" s="290">
        <f t="shared" si="99"/>
        <v>0</v>
      </c>
      <c r="N181" s="290">
        <f t="shared" si="99"/>
        <v>0</v>
      </c>
      <c r="O181" s="290">
        <f t="shared" si="99"/>
        <v>0</v>
      </c>
      <c r="P181" s="290">
        <f t="shared" si="99"/>
        <v>0</v>
      </c>
      <c r="Q181" s="290">
        <f t="shared" si="99"/>
        <v>35.076923076923073</v>
      </c>
      <c r="R181" s="290">
        <f t="shared" si="99"/>
        <v>96.769230769230802</v>
      </c>
      <c r="S181" s="290">
        <f t="shared" si="99"/>
        <v>122.38461538461536</v>
      </c>
      <c r="T181" s="290">
        <f t="shared" si="99"/>
        <v>197.84615384615392</v>
      </c>
      <c r="U181" s="290">
        <f t="shared" si="99"/>
        <v>215.23076923076928</v>
      </c>
      <c r="V181" s="290">
        <f t="shared" si="99"/>
        <v>135.4615384615384</v>
      </c>
      <c r="W181" s="290">
        <f t="shared" si="99"/>
        <v>141.5384615384616</v>
      </c>
      <c r="X181" s="290">
        <f t="shared" si="99"/>
        <v>98.153846153846132</v>
      </c>
      <c r="Y181" s="290">
        <f t="shared" si="99"/>
        <v>82.923076923076934</v>
      </c>
      <c r="Z181" s="290">
        <f t="shared" si="99"/>
        <v>167.15384615384608</v>
      </c>
      <c r="AA181" s="290">
        <f t="shared" si="99"/>
        <v>269.30769230769226</v>
      </c>
      <c r="AB181" s="290">
        <f t="shared" si="99"/>
        <v>454.15384615384608</v>
      </c>
      <c r="AC181" s="290">
        <f t="shared" si="99"/>
        <v>465</v>
      </c>
      <c r="AD181" s="252">
        <f t="shared" si="99"/>
        <v>336.53846153846143</v>
      </c>
      <c r="AE181" s="252">
        <f t="shared" si="99"/>
        <v>350</v>
      </c>
    </row>
    <row r="182" spans="1:31">
      <c r="A182" s="240" t="s">
        <v>234</v>
      </c>
      <c r="B182" s="290">
        <f t="shared" si="100"/>
        <v>0</v>
      </c>
      <c r="C182" s="290">
        <f t="shared" si="101"/>
        <v>0</v>
      </c>
      <c r="D182" s="290">
        <f t="shared" si="99"/>
        <v>2.6923076923076925</v>
      </c>
      <c r="E182" s="290">
        <f t="shared" si="99"/>
        <v>2.307692307692307</v>
      </c>
      <c r="F182" s="290">
        <f t="shared" si="99"/>
        <v>0</v>
      </c>
      <c r="G182" s="290">
        <f t="shared" si="99"/>
        <v>0</v>
      </c>
      <c r="H182" s="290">
        <f t="shared" si="99"/>
        <v>0</v>
      </c>
      <c r="I182" s="290">
        <f t="shared" si="99"/>
        <v>0</v>
      </c>
      <c r="J182" s="290">
        <f t="shared" si="99"/>
        <v>0</v>
      </c>
      <c r="K182" s="290">
        <f t="shared" si="99"/>
        <v>0</v>
      </c>
      <c r="L182" s="290">
        <f t="shared" si="99"/>
        <v>0</v>
      </c>
      <c r="M182" s="290">
        <f t="shared" si="99"/>
        <v>0</v>
      </c>
      <c r="N182" s="290">
        <f t="shared" si="99"/>
        <v>0</v>
      </c>
      <c r="O182" s="290">
        <f t="shared" si="99"/>
        <v>0</v>
      </c>
      <c r="P182" s="290">
        <f t="shared" si="99"/>
        <v>0</v>
      </c>
      <c r="Q182" s="290">
        <f t="shared" si="99"/>
        <v>40.92307692307692</v>
      </c>
      <c r="R182" s="290">
        <f t="shared" si="99"/>
        <v>100.23076923076927</v>
      </c>
      <c r="S182" s="290">
        <f t="shared" si="99"/>
        <v>122.61538461538458</v>
      </c>
      <c r="T182" s="290">
        <f t="shared" si="99"/>
        <v>210.15384615384625</v>
      </c>
      <c r="U182" s="290">
        <f t="shared" si="99"/>
        <v>203.76923076923083</v>
      </c>
      <c r="V182" s="290">
        <f t="shared" si="99"/>
        <v>135.53846153846146</v>
      </c>
      <c r="W182" s="290">
        <f t="shared" si="99"/>
        <v>142.46153846153854</v>
      </c>
      <c r="X182" s="290">
        <f t="shared" si="99"/>
        <v>89.846153846153825</v>
      </c>
      <c r="Y182" s="290">
        <f t="shared" si="99"/>
        <v>90.076923076923094</v>
      </c>
      <c r="Z182" s="290">
        <f t="shared" si="99"/>
        <v>172.84615384615375</v>
      </c>
      <c r="AA182" s="290">
        <f t="shared" si="99"/>
        <v>279.69230769230762</v>
      </c>
      <c r="AB182" s="290">
        <f t="shared" si="99"/>
        <v>472.84615384615375</v>
      </c>
      <c r="AC182" s="290">
        <f t="shared" si="99"/>
        <v>445</v>
      </c>
      <c r="AD182" s="252">
        <f t="shared" si="99"/>
        <v>338.46153846153834</v>
      </c>
      <c r="AE182" s="252">
        <f t="shared" si="99"/>
        <v>350</v>
      </c>
    </row>
    <row r="183" spans="1:31">
      <c r="A183" s="240" t="s">
        <v>46</v>
      </c>
      <c r="B183" s="290">
        <f t="shared" si="100"/>
        <v>0</v>
      </c>
      <c r="C183" s="290">
        <f t="shared" si="101"/>
        <v>0</v>
      </c>
      <c r="D183" s="290">
        <f t="shared" si="99"/>
        <v>3.0769230769230771</v>
      </c>
      <c r="E183" s="290">
        <f t="shared" si="99"/>
        <v>1.9230769230769225</v>
      </c>
      <c r="F183" s="290">
        <f t="shared" si="99"/>
        <v>0</v>
      </c>
      <c r="G183" s="290">
        <f t="shared" si="99"/>
        <v>0</v>
      </c>
      <c r="H183" s="290">
        <f t="shared" si="99"/>
        <v>0</v>
      </c>
      <c r="I183" s="290">
        <f t="shared" si="99"/>
        <v>0</v>
      </c>
      <c r="J183" s="290">
        <f t="shared" si="99"/>
        <v>0</v>
      </c>
      <c r="K183" s="290">
        <f t="shared" si="99"/>
        <v>0</v>
      </c>
      <c r="L183" s="290">
        <f t="shared" si="99"/>
        <v>0</v>
      </c>
      <c r="M183" s="290">
        <f t="shared" si="99"/>
        <v>0</v>
      </c>
      <c r="N183" s="290">
        <f t="shared" si="99"/>
        <v>0</v>
      </c>
      <c r="O183" s="290">
        <f t="shared" si="99"/>
        <v>0</v>
      </c>
      <c r="P183" s="290">
        <f t="shared" si="99"/>
        <v>0</v>
      </c>
      <c r="Q183" s="290">
        <f t="shared" si="99"/>
        <v>46.769230769230766</v>
      </c>
      <c r="R183" s="290">
        <f t="shared" si="99"/>
        <v>103.69230769230774</v>
      </c>
      <c r="S183" s="290">
        <f t="shared" si="99"/>
        <v>122.84615384615381</v>
      </c>
      <c r="T183" s="290">
        <f t="shared" si="99"/>
        <v>222.46153846153857</v>
      </c>
      <c r="U183" s="290">
        <f t="shared" si="99"/>
        <v>192.30769230769238</v>
      </c>
      <c r="V183" s="290">
        <f t="shared" si="99"/>
        <v>135.61538461538453</v>
      </c>
      <c r="W183" s="290">
        <f t="shared" si="99"/>
        <v>143.38461538461547</v>
      </c>
      <c r="X183" s="290">
        <f t="shared" si="99"/>
        <v>81.538461538461519</v>
      </c>
      <c r="Y183" s="290">
        <f t="shared" si="99"/>
        <v>97.230769230769255</v>
      </c>
      <c r="Z183" s="290">
        <f t="shared" si="99"/>
        <v>178.53846153846143</v>
      </c>
      <c r="AA183" s="290">
        <f t="shared" si="99"/>
        <v>290.07692307692298</v>
      </c>
      <c r="AB183" s="290">
        <f t="shared" si="99"/>
        <v>491.53846153846143</v>
      </c>
      <c r="AC183" s="290">
        <f t="shared" si="99"/>
        <v>425</v>
      </c>
      <c r="AD183" s="252">
        <f t="shared" si="99"/>
        <v>340.38461538461524</v>
      </c>
      <c r="AE183" s="252">
        <f t="shared" si="99"/>
        <v>350</v>
      </c>
    </row>
    <row r="184" spans="1:31">
      <c r="A184" s="240" t="s">
        <v>235</v>
      </c>
      <c r="B184" s="290">
        <f t="shared" si="100"/>
        <v>0</v>
      </c>
      <c r="C184" s="290">
        <f t="shared" si="101"/>
        <v>0</v>
      </c>
      <c r="D184" s="290">
        <f t="shared" si="99"/>
        <v>3.4615384615384617</v>
      </c>
      <c r="E184" s="290">
        <f t="shared" si="99"/>
        <v>1.5384615384615379</v>
      </c>
      <c r="F184" s="290">
        <f t="shared" si="99"/>
        <v>0</v>
      </c>
      <c r="G184" s="290">
        <f t="shared" si="99"/>
        <v>0</v>
      </c>
      <c r="H184" s="290">
        <f t="shared" si="99"/>
        <v>0</v>
      </c>
      <c r="I184" s="290">
        <f t="shared" si="99"/>
        <v>0</v>
      </c>
      <c r="J184" s="290">
        <f t="shared" si="99"/>
        <v>0</v>
      </c>
      <c r="K184" s="290">
        <f t="shared" si="99"/>
        <v>0</v>
      </c>
      <c r="L184" s="290">
        <f t="shared" si="99"/>
        <v>0</v>
      </c>
      <c r="M184" s="290">
        <f t="shared" si="99"/>
        <v>0</v>
      </c>
      <c r="N184" s="290">
        <f t="shared" si="99"/>
        <v>0</v>
      </c>
      <c r="O184" s="290">
        <f t="shared" si="99"/>
        <v>0</v>
      </c>
      <c r="P184" s="290">
        <f t="shared" si="99"/>
        <v>0</v>
      </c>
      <c r="Q184" s="290">
        <f t="shared" si="99"/>
        <v>52.615384615384613</v>
      </c>
      <c r="R184" s="290">
        <f t="shared" si="99"/>
        <v>107.1538461538462</v>
      </c>
      <c r="S184" s="290">
        <f t="shared" si="99"/>
        <v>123.07692307692304</v>
      </c>
      <c r="T184" s="290">
        <f t="shared" si="99"/>
        <v>234.76923076923089</v>
      </c>
      <c r="U184" s="290">
        <f t="shared" si="99"/>
        <v>180.84615384615392</v>
      </c>
      <c r="V184" s="290">
        <f t="shared" si="99"/>
        <v>135.69230769230759</v>
      </c>
      <c r="W184" s="290">
        <f t="shared" si="99"/>
        <v>144.30769230769241</v>
      </c>
      <c r="X184" s="290">
        <f t="shared" si="99"/>
        <v>73.230769230769212</v>
      </c>
      <c r="Y184" s="290">
        <f t="shared" si="99"/>
        <v>104.38461538461542</v>
      </c>
      <c r="Z184" s="290">
        <f t="shared" si="99"/>
        <v>184.23076923076911</v>
      </c>
      <c r="AA184" s="290">
        <f t="shared" si="99"/>
        <v>300.46153846153834</v>
      </c>
      <c r="AB184" s="290">
        <f t="shared" si="99"/>
        <v>510.23076923076911</v>
      </c>
      <c r="AC184" s="252">
        <f t="shared" si="99"/>
        <v>405</v>
      </c>
      <c r="AD184" s="252">
        <f t="shared" si="99"/>
        <v>342.30769230769215</v>
      </c>
      <c r="AE184" s="252">
        <f t="shared" si="99"/>
        <v>350</v>
      </c>
    </row>
    <row r="185" spans="1:31">
      <c r="A185" s="240" t="s">
        <v>236</v>
      </c>
      <c r="B185" s="290">
        <f t="shared" si="100"/>
        <v>0</v>
      </c>
      <c r="C185" s="290">
        <f t="shared" si="101"/>
        <v>0</v>
      </c>
      <c r="D185" s="290">
        <f t="shared" si="99"/>
        <v>3.8461538461538463</v>
      </c>
      <c r="E185" s="290">
        <f t="shared" si="99"/>
        <v>1.1538461538461533</v>
      </c>
      <c r="F185" s="290">
        <f t="shared" si="99"/>
        <v>0</v>
      </c>
      <c r="G185" s="290">
        <f t="shared" si="99"/>
        <v>0</v>
      </c>
      <c r="H185" s="290">
        <f t="shared" si="99"/>
        <v>0</v>
      </c>
      <c r="I185" s="290">
        <f t="shared" si="99"/>
        <v>0</v>
      </c>
      <c r="J185" s="290">
        <f t="shared" si="99"/>
        <v>0</v>
      </c>
      <c r="K185" s="290">
        <f t="shared" si="99"/>
        <v>0</v>
      </c>
      <c r="L185" s="290">
        <f t="shared" si="99"/>
        <v>0</v>
      </c>
      <c r="M185" s="290">
        <f t="shared" si="99"/>
        <v>0</v>
      </c>
      <c r="N185" s="290">
        <f t="shared" si="99"/>
        <v>0</v>
      </c>
      <c r="O185" s="290">
        <f t="shared" si="99"/>
        <v>0</v>
      </c>
      <c r="P185" s="290">
        <f t="shared" si="99"/>
        <v>0</v>
      </c>
      <c r="Q185" s="290">
        <f t="shared" si="99"/>
        <v>58.46153846153846</v>
      </c>
      <c r="R185" s="290">
        <f t="shared" si="99"/>
        <v>110.61538461538467</v>
      </c>
      <c r="S185" s="290">
        <f t="shared" si="99"/>
        <v>123.30769230769226</v>
      </c>
      <c r="T185" s="290">
        <f t="shared" si="99"/>
        <v>247.07692307692321</v>
      </c>
      <c r="U185" s="290">
        <f t="shared" si="99"/>
        <v>169.38461538461547</v>
      </c>
      <c r="V185" s="290">
        <f t="shared" si="99"/>
        <v>135.76923076923066</v>
      </c>
      <c r="W185" s="290">
        <f t="shared" si="99"/>
        <v>145.23076923076934</v>
      </c>
      <c r="X185" s="290">
        <f t="shared" si="99"/>
        <v>64.923076923076906</v>
      </c>
      <c r="Y185" s="290">
        <f t="shared" si="99"/>
        <v>111.53846153846158</v>
      </c>
      <c r="Z185" s="290">
        <f t="shared" si="99"/>
        <v>189.92307692307679</v>
      </c>
      <c r="AA185" s="290">
        <f t="shared" si="99"/>
        <v>310.8461538461537</v>
      </c>
      <c r="AB185" s="290">
        <f t="shared" si="99"/>
        <v>528.92307692307679</v>
      </c>
      <c r="AC185" s="252">
        <f t="shared" si="99"/>
        <v>385</v>
      </c>
      <c r="AD185" s="252">
        <f t="shared" si="99"/>
        <v>344.23076923076906</v>
      </c>
      <c r="AE185" s="252">
        <f t="shared" si="99"/>
        <v>350</v>
      </c>
    </row>
    <row r="186" spans="1:31">
      <c r="A186" s="240" t="s">
        <v>237</v>
      </c>
      <c r="B186" s="290">
        <f t="shared" si="100"/>
        <v>0</v>
      </c>
      <c r="C186" s="290">
        <f t="shared" si="101"/>
        <v>0</v>
      </c>
      <c r="D186" s="290">
        <f t="shared" si="99"/>
        <v>4.2307692307692308</v>
      </c>
      <c r="E186" s="290">
        <f t="shared" si="99"/>
        <v>0.76923076923076872</v>
      </c>
      <c r="F186" s="290">
        <f t="shared" si="99"/>
        <v>0</v>
      </c>
      <c r="G186" s="290">
        <f t="shared" ref="G186:X186" si="102">(G$187-F$187)/13+G185</f>
        <v>0</v>
      </c>
      <c r="H186" s="290">
        <f t="shared" si="102"/>
        <v>0</v>
      </c>
      <c r="I186" s="290">
        <f t="shared" si="102"/>
        <v>0</v>
      </c>
      <c r="J186" s="290">
        <f t="shared" si="102"/>
        <v>0</v>
      </c>
      <c r="K186" s="290">
        <f t="shared" si="102"/>
        <v>0</v>
      </c>
      <c r="L186" s="290">
        <f t="shared" si="102"/>
        <v>0</v>
      </c>
      <c r="M186" s="290">
        <f t="shared" si="102"/>
        <v>0</v>
      </c>
      <c r="N186" s="290">
        <f t="shared" si="102"/>
        <v>0</v>
      </c>
      <c r="O186" s="290">
        <f t="shared" si="102"/>
        <v>0</v>
      </c>
      <c r="P186" s="290">
        <f t="shared" si="102"/>
        <v>0</v>
      </c>
      <c r="Q186" s="290">
        <f t="shared" si="102"/>
        <v>64.307692307692307</v>
      </c>
      <c r="R186" s="290">
        <f t="shared" si="102"/>
        <v>114.07692307692314</v>
      </c>
      <c r="S186" s="290">
        <f t="shared" si="102"/>
        <v>123.53846153846149</v>
      </c>
      <c r="T186" s="290">
        <f t="shared" si="102"/>
        <v>259.38461538461553</v>
      </c>
      <c r="U186" s="290">
        <f t="shared" si="102"/>
        <v>157.92307692307702</v>
      </c>
      <c r="V186" s="290">
        <f t="shared" si="102"/>
        <v>135.84615384615373</v>
      </c>
      <c r="W186" s="290">
        <f t="shared" si="102"/>
        <v>146.15384615384627</v>
      </c>
      <c r="X186" s="290">
        <f t="shared" si="102"/>
        <v>56.615384615384599</v>
      </c>
      <c r="Y186" s="290">
        <f>(Y$187-X$187)/13+Y185</f>
        <v>118.69230769230774</v>
      </c>
      <c r="Z186" s="290">
        <f t="shared" ref="Z186:AB186" si="103">(Z$187-Y$187)/13+Z185</f>
        <v>195.61538461538447</v>
      </c>
      <c r="AA186" s="290">
        <f t="shared" si="103"/>
        <v>321.23076923076906</v>
      </c>
      <c r="AB186" s="290">
        <f t="shared" si="103"/>
        <v>547.61538461538453</v>
      </c>
      <c r="AC186" s="252">
        <f>(AC$187-AB$187)/13+AC185</f>
        <v>365</v>
      </c>
      <c r="AD186" s="252">
        <f t="shared" ref="AD186:AE186" si="104">(AD$187-AC$187)/13+AD185</f>
        <v>346.15384615384596</v>
      </c>
      <c r="AE186" s="252">
        <f t="shared" si="104"/>
        <v>350</v>
      </c>
    </row>
    <row r="187" spans="1:31" ht="15.75" thickBot="1">
      <c r="A187" s="240" t="s">
        <v>238</v>
      </c>
      <c r="B187" s="267">
        <f>B29</f>
        <v>0</v>
      </c>
      <c r="C187" s="267">
        <f t="shared" ref="C187:AE187" si="105">C29</f>
        <v>0</v>
      </c>
      <c r="D187" s="267">
        <f t="shared" si="105"/>
        <v>5</v>
      </c>
      <c r="E187" s="267">
        <f t="shared" si="105"/>
        <v>0</v>
      </c>
      <c r="F187" s="267">
        <f t="shared" si="105"/>
        <v>0</v>
      </c>
      <c r="G187" s="267">
        <f t="shared" si="105"/>
        <v>0</v>
      </c>
      <c r="H187" s="267">
        <f t="shared" si="105"/>
        <v>0</v>
      </c>
      <c r="I187" s="267">
        <f t="shared" si="105"/>
        <v>0</v>
      </c>
      <c r="J187" s="267">
        <f t="shared" si="105"/>
        <v>0</v>
      </c>
      <c r="K187" s="267">
        <f t="shared" si="105"/>
        <v>0</v>
      </c>
      <c r="L187" s="267">
        <f t="shared" si="105"/>
        <v>0</v>
      </c>
      <c r="M187" s="267">
        <f t="shared" si="105"/>
        <v>0</v>
      </c>
      <c r="N187" s="267">
        <f t="shared" si="105"/>
        <v>0</v>
      </c>
      <c r="O187" s="267">
        <f t="shared" si="105"/>
        <v>0</v>
      </c>
      <c r="P187" s="267">
        <f t="shared" si="105"/>
        <v>0</v>
      </c>
      <c r="Q187" s="267">
        <f t="shared" si="105"/>
        <v>76</v>
      </c>
      <c r="R187" s="267">
        <f t="shared" si="105"/>
        <v>121</v>
      </c>
      <c r="S187" s="267">
        <f t="shared" si="105"/>
        <v>124</v>
      </c>
      <c r="T187" s="267">
        <f t="shared" si="105"/>
        <v>284</v>
      </c>
      <c r="U187" s="267">
        <f t="shared" si="105"/>
        <v>135</v>
      </c>
      <c r="V187" s="267">
        <f t="shared" si="105"/>
        <v>136</v>
      </c>
      <c r="W187" s="267">
        <f t="shared" si="105"/>
        <v>148</v>
      </c>
      <c r="X187" s="267">
        <f t="shared" si="105"/>
        <v>40</v>
      </c>
      <c r="Y187" s="267">
        <f t="shared" si="105"/>
        <v>133</v>
      </c>
      <c r="Z187" s="267">
        <f t="shared" si="105"/>
        <v>207</v>
      </c>
      <c r="AA187" s="267">
        <f t="shared" si="105"/>
        <v>342</v>
      </c>
      <c r="AB187" s="267">
        <f t="shared" si="105"/>
        <v>585</v>
      </c>
      <c r="AC187" s="268">
        <f t="shared" si="105"/>
        <v>325</v>
      </c>
      <c r="AD187" s="268">
        <f t="shared" si="105"/>
        <v>350</v>
      </c>
      <c r="AE187" s="268">
        <f t="shared" si="105"/>
        <v>350</v>
      </c>
    </row>
    <row r="188" spans="1:31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  <c r="AD188" s="248"/>
      <c r="AE188" s="248"/>
    </row>
    <row r="189" spans="1:31" ht="15.75" thickBot="1">
      <c r="A189" s="235" t="s">
        <v>261</v>
      </c>
    </row>
    <row r="190" spans="1:31" ht="15.75" thickBot="1">
      <c r="A190" s="236"/>
      <c r="B190" s="237" t="str">
        <f>B$2</f>
        <v xml:space="preserve">93/94 </v>
      </c>
      <c r="C190" s="237" t="str">
        <f t="shared" ref="C190:AE190" si="106">C$2</f>
        <v xml:space="preserve">94/95 </v>
      </c>
      <c r="D190" s="237" t="str">
        <f t="shared" si="106"/>
        <v xml:space="preserve">95/96 </v>
      </c>
      <c r="E190" s="237" t="str">
        <f t="shared" si="106"/>
        <v xml:space="preserve">96/97 </v>
      </c>
      <c r="F190" s="237" t="str">
        <f t="shared" si="106"/>
        <v xml:space="preserve">97/98 </v>
      </c>
      <c r="G190" s="237" t="str">
        <f t="shared" si="106"/>
        <v xml:space="preserve">98/99 </v>
      </c>
      <c r="H190" s="237" t="str">
        <f t="shared" si="106"/>
        <v xml:space="preserve">99/00 </v>
      </c>
      <c r="I190" s="237" t="str">
        <f t="shared" si="106"/>
        <v xml:space="preserve">00/01 </v>
      </c>
      <c r="J190" s="237" t="str">
        <f t="shared" si="106"/>
        <v xml:space="preserve">01/02 </v>
      </c>
      <c r="K190" s="237" t="str">
        <f t="shared" si="106"/>
        <v xml:space="preserve">02/03 </v>
      </c>
      <c r="L190" s="237" t="str">
        <f t="shared" si="106"/>
        <v xml:space="preserve">03/04 </v>
      </c>
      <c r="M190" s="237" t="str">
        <f t="shared" si="106"/>
        <v xml:space="preserve">04/05 </v>
      </c>
      <c r="N190" s="237" t="str">
        <f t="shared" si="106"/>
        <v xml:space="preserve">05/06 </v>
      </c>
      <c r="O190" s="237" t="str">
        <f t="shared" si="106"/>
        <v xml:space="preserve">06/07 </v>
      </c>
      <c r="P190" s="237" t="str">
        <f t="shared" si="106"/>
        <v xml:space="preserve">07/08 </v>
      </c>
      <c r="Q190" s="237" t="str">
        <f t="shared" si="106"/>
        <v xml:space="preserve">08/09 </v>
      </c>
      <c r="R190" s="237" t="str">
        <f t="shared" si="106"/>
        <v xml:space="preserve">09/10 </v>
      </c>
      <c r="S190" s="237" t="str">
        <f t="shared" si="106"/>
        <v xml:space="preserve">10/11 </v>
      </c>
      <c r="T190" s="237" t="str">
        <f t="shared" si="106"/>
        <v xml:space="preserve">11/12 </v>
      </c>
      <c r="U190" s="237" t="str">
        <f t="shared" si="106"/>
        <v xml:space="preserve">12/13 </v>
      </c>
      <c r="V190" s="237" t="str">
        <f t="shared" si="106"/>
        <v xml:space="preserve">13/14 </v>
      </c>
      <c r="W190" s="237" t="str">
        <f t="shared" si="106"/>
        <v xml:space="preserve">14/15 </v>
      </c>
      <c r="X190" s="237" t="str">
        <f t="shared" si="106"/>
        <v xml:space="preserve">15/16 </v>
      </c>
      <c r="Y190" s="237" t="str">
        <f t="shared" si="106"/>
        <v xml:space="preserve">16/17 </v>
      </c>
      <c r="Z190" s="237" t="str">
        <f t="shared" si="106"/>
        <v xml:space="preserve">17/18 </v>
      </c>
      <c r="AA190" s="237" t="str">
        <f t="shared" si="106"/>
        <v xml:space="preserve">18/19 </v>
      </c>
      <c r="AB190" s="237" t="str">
        <f t="shared" si="106"/>
        <v xml:space="preserve">19/20 </v>
      </c>
      <c r="AC190" s="237" t="str">
        <f t="shared" si="106"/>
        <v xml:space="preserve">20/21 </v>
      </c>
      <c r="AD190" s="237" t="str">
        <f t="shared" si="106"/>
        <v xml:space="preserve">21/22 </v>
      </c>
      <c r="AE190" s="237" t="str">
        <f t="shared" si="106"/>
        <v xml:space="preserve">22/23 </v>
      </c>
    </row>
    <row r="191" spans="1:31">
      <c r="A191" s="240" t="s">
        <v>239</v>
      </c>
    </row>
    <row r="192" spans="1:31">
      <c r="A192" s="240" t="s">
        <v>240</v>
      </c>
    </row>
    <row r="193" spans="1:34">
      <c r="A193" s="240" t="s">
        <v>241</v>
      </c>
    </row>
    <row r="194" spans="1:34">
      <c r="A194" s="240" t="s">
        <v>231</v>
      </c>
    </row>
    <row r="195" spans="1:34">
      <c r="A195" s="240" t="s">
        <v>232</v>
      </c>
    </row>
    <row r="196" spans="1:34">
      <c r="A196" s="240" t="s">
        <v>233</v>
      </c>
    </row>
    <row r="197" spans="1:34">
      <c r="A197" s="240" t="s">
        <v>234</v>
      </c>
    </row>
    <row r="198" spans="1:34">
      <c r="A198" s="240" t="s">
        <v>46</v>
      </c>
      <c r="AH198" s="363"/>
    </row>
    <row r="199" spans="1:34">
      <c r="A199" s="240" t="s">
        <v>235</v>
      </c>
      <c r="AH199" s="364"/>
    </row>
    <row r="200" spans="1:34">
      <c r="A200" s="240" t="s">
        <v>236</v>
      </c>
      <c r="AH200" s="363"/>
    </row>
    <row r="201" spans="1:34">
      <c r="A201" s="240" t="s">
        <v>237</v>
      </c>
      <c r="AH201" s="363"/>
    </row>
    <row r="202" spans="1:34">
      <c r="A202" s="240" t="s">
        <v>238</v>
      </c>
      <c r="AH202" s="300"/>
    </row>
    <row r="203" spans="1:34" ht="15.75" thickBot="1">
      <c r="A203" s="240" t="s">
        <v>255</v>
      </c>
      <c r="AH203" s="300"/>
    </row>
    <row r="204" spans="1:34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  <c r="AD204" s="248"/>
      <c r="AE204" s="248"/>
      <c r="AH204" s="365"/>
    </row>
    <row r="205" spans="1:34" ht="15.75" thickBot="1">
      <c r="A205" s="235" t="s">
        <v>262</v>
      </c>
    </row>
    <row r="206" spans="1:34" ht="15.75" thickBot="1">
      <c r="A206" s="236"/>
      <c r="B206" s="237" t="str">
        <f>B$2</f>
        <v xml:space="preserve">93/94 </v>
      </c>
      <c r="C206" s="237" t="str">
        <f t="shared" ref="C206:AE206" si="107">C$2</f>
        <v xml:space="preserve">94/95 </v>
      </c>
      <c r="D206" s="237" t="str">
        <f t="shared" si="107"/>
        <v xml:space="preserve">95/96 </v>
      </c>
      <c r="E206" s="237" t="str">
        <f t="shared" si="107"/>
        <v xml:space="preserve">96/97 </v>
      </c>
      <c r="F206" s="237" t="str">
        <f t="shared" si="107"/>
        <v xml:space="preserve">97/98 </v>
      </c>
      <c r="G206" s="237" t="str">
        <f t="shared" si="107"/>
        <v xml:space="preserve">98/99 </v>
      </c>
      <c r="H206" s="237" t="str">
        <f t="shared" si="107"/>
        <v xml:space="preserve">99/00 </v>
      </c>
      <c r="I206" s="237" t="str">
        <f t="shared" si="107"/>
        <v xml:space="preserve">00/01 </v>
      </c>
      <c r="J206" s="237" t="str">
        <f t="shared" si="107"/>
        <v xml:space="preserve">01/02 </v>
      </c>
      <c r="K206" s="237" t="str">
        <f t="shared" si="107"/>
        <v xml:space="preserve">02/03 </v>
      </c>
      <c r="L206" s="237" t="str">
        <f t="shared" si="107"/>
        <v xml:space="preserve">03/04 </v>
      </c>
      <c r="M206" s="237" t="str">
        <f t="shared" si="107"/>
        <v xml:space="preserve">04/05 </v>
      </c>
      <c r="N206" s="237" t="str">
        <f t="shared" si="107"/>
        <v xml:space="preserve">05/06 </v>
      </c>
      <c r="O206" s="237" t="str">
        <f t="shared" si="107"/>
        <v xml:space="preserve">06/07 </v>
      </c>
      <c r="P206" s="237" t="str">
        <f t="shared" si="107"/>
        <v xml:space="preserve">07/08 </v>
      </c>
      <c r="Q206" s="237" t="str">
        <f t="shared" si="107"/>
        <v xml:space="preserve">08/09 </v>
      </c>
      <c r="R206" s="237" t="str">
        <f t="shared" si="107"/>
        <v xml:space="preserve">09/10 </v>
      </c>
      <c r="S206" s="237" t="str">
        <f t="shared" si="107"/>
        <v xml:space="preserve">10/11 </v>
      </c>
      <c r="T206" s="237" t="str">
        <f t="shared" si="107"/>
        <v xml:space="preserve">11/12 </v>
      </c>
      <c r="U206" s="237" t="str">
        <f t="shared" si="107"/>
        <v xml:space="preserve">12/13 </v>
      </c>
      <c r="V206" s="237" t="str">
        <f t="shared" si="107"/>
        <v xml:space="preserve">13/14 </v>
      </c>
      <c r="W206" s="237" t="str">
        <f t="shared" si="107"/>
        <v xml:space="preserve">14/15 </v>
      </c>
      <c r="X206" s="237" t="str">
        <f t="shared" si="107"/>
        <v xml:space="preserve">15/16 </v>
      </c>
      <c r="Y206" s="237" t="str">
        <f t="shared" si="107"/>
        <v xml:space="preserve">16/17 </v>
      </c>
      <c r="Z206" s="237" t="str">
        <f t="shared" si="107"/>
        <v xml:space="preserve">17/18 </v>
      </c>
      <c r="AA206" s="237" t="str">
        <f t="shared" si="107"/>
        <v xml:space="preserve">18/19 </v>
      </c>
      <c r="AB206" s="237" t="str">
        <f t="shared" si="107"/>
        <v xml:space="preserve">19/20 </v>
      </c>
      <c r="AC206" s="237" t="str">
        <f t="shared" si="107"/>
        <v xml:space="preserve">20/21 </v>
      </c>
      <c r="AD206" s="237" t="str">
        <f t="shared" si="107"/>
        <v xml:space="preserve">21/22 </v>
      </c>
      <c r="AE206" s="237" t="str">
        <f t="shared" si="107"/>
        <v xml:space="preserve">22/23 </v>
      </c>
    </row>
    <row r="207" spans="1:34">
      <c r="A207" s="240" t="s">
        <v>239</v>
      </c>
      <c r="B207" s="290">
        <f>B303+B287+B271-B255-B32</f>
        <v>32.701542302800959</v>
      </c>
      <c r="C207" s="290">
        <f>C303+C287+C271-C255-B314</f>
        <v>44.077594522871195</v>
      </c>
      <c r="D207" s="290">
        <f t="shared" ref="D207:AC207" si="108">D303+D287+D271-D255-C314</f>
        <v>47.349431669335672</v>
      </c>
      <c r="E207" s="290">
        <f t="shared" si="108"/>
        <v>43.891968159153649</v>
      </c>
      <c r="F207" s="290">
        <f t="shared" si="108"/>
        <v>48.361916454678124</v>
      </c>
      <c r="G207" s="290">
        <f t="shared" si="108"/>
        <v>56.562941103625775</v>
      </c>
      <c r="H207" s="290">
        <f t="shared" si="108"/>
        <v>37.351333333333343</v>
      </c>
      <c r="I207" s="290">
        <f t="shared" si="108"/>
        <v>30.452974358974359</v>
      </c>
      <c r="J207" s="290">
        <f t="shared" si="108"/>
        <v>33.20510256410256</v>
      </c>
      <c r="K207" s="290">
        <f t="shared" si="108"/>
        <v>39.548384615384613</v>
      </c>
      <c r="L207" s="290">
        <f t="shared" si="108"/>
        <v>50.251461538461527</v>
      </c>
      <c r="M207" s="290">
        <f t="shared" si="108"/>
        <v>47.752384615384614</v>
      </c>
      <c r="N207" s="290">
        <f t="shared" si="108"/>
        <v>44.221974358974364</v>
      </c>
      <c r="O207" s="290">
        <f t="shared" si="108"/>
        <v>49.152615384615387</v>
      </c>
      <c r="P207" s="290">
        <f t="shared" si="108"/>
        <v>61.231000000000009</v>
      </c>
      <c r="Q207" s="290">
        <f t="shared" si="108"/>
        <v>64.549794871794859</v>
      </c>
      <c r="R207" s="290">
        <f t="shared" si="108"/>
        <v>64.396102564102534</v>
      </c>
      <c r="S207" s="290">
        <f t="shared" si="108"/>
        <v>66.428589743589754</v>
      </c>
      <c r="T207" s="290">
        <f t="shared" si="108"/>
        <v>88.305128205128199</v>
      </c>
      <c r="U207" s="290">
        <f t="shared" si="108"/>
        <v>65.940820512820494</v>
      </c>
      <c r="V207" s="290">
        <f t="shared" si="108"/>
        <v>59.347128205128229</v>
      </c>
      <c r="W207" s="290">
        <f t="shared" si="108"/>
        <v>59.49176923076925</v>
      </c>
      <c r="X207" s="290">
        <f t="shared" si="108"/>
        <v>63.923282051282058</v>
      </c>
      <c r="Y207" s="290">
        <f t="shared" si="108"/>
        <v>77.672692307692316</v>
      </c>
      <c r="Z207" s="290">
        <f t="shared" si="108"/>
        <v>98.545673820512818</v>
      </c>
      <c r="AA207" s="290">
        <f t="shared" si="108"/>
        <v>106.16057738461538</v>
      </c>
      <c r="AB207" s="290">
        <f t="shared" si="108"/>
        <v>116.01929699999999</v>
      </c>
      <c r="AC207" s="290">
        <f t="shared" si="108"/>
        <v>124.53897376923078</v>
      </c>
      <c r="AD207" s="252">
        <f t="shared" ref="AD207:AE207" si="109">AD303-AC314+AD271-AD255+AD287</f>
        <v>125.29171794871795</v>
      </c>
      <c r="AE207" s="252">
        <f t="shared" si="109"/>
        <v>129.72272768502296</v>
      </c>
      <c r="AF207" s="240"/>
      <c r="AG207" s="240"/>
    </row>
    <row r="208" spans="1:34">
      <c r="A208" s="240" t="s">
        <v>240</v>
      </c>
      <c r="B208" s="290">
        <f>B304+B288+B272-B256-B303</f>
        <v>33.51013515333176</v>
      </c>
      <c r="C208" s="290">
        <f>C304+C288+C272-C256-C303</f>
        <v>40.944326559521315</v>
      </c>
      <c r="D208" s="290">
        <f t="shared" ref="D208:AC217" si="110">D304+D288+D272-D256-D303</f>
        <v>42.860105439478367</v>
      </c>
      <c r="E208" s="290">
        <f t="shared" si="110"/>
        <v>38.68798338691397</v>
      </c>
      <c r="F208" s="290">
        <f t="shared" si="110"/>
        <v>45.959239229581158</v>
      </c>
      <c r="G208" s="290">
        <f t="shared" si="110"/>
        <v>55.298703399642207</v>
      </c>
      <c r="H208" s="290">
        <f t="shared" si="110"/>
        <v>40.628333333333345</v>
      </c>
      <c r="I208" s="290">
        <f t="shared" si="110"/>
        <v>37.226974358974346</v>
      </c>
      <c r="J208" s="290">
        <f t="shared" si="110"/>
        <v>16.160102564102569</v>
      </c>
      <c r="K208" s="290">
        <f t="shared" si="110"/>
        <v>40.270384615384614</v>
      </c>
      <c r="L208" s="290">
        <f t="shared" si="110"/>
        <v>49.707461538461551</v>
      </c>
      <c r="M208" s="290">
        <f t="shared" si="110"/>
        <v>42.222384615384613</v>
      </c>
      <c r="N208" s="290">
        <f t="shared" si="110"/>
        <v>45.387974358974347</v>
      </c>
      <c r="O208" s="290">
        <f t="shared" si="110"/>
        <v>53.270615384615382</v>
      </c>
      <c r="P208" s="290">
        <f t="shared" si="110"/>
        <v>46.941000000000003</v>
      </c>
      <c r="Q208" s="290">
        <f t="shared" si="110"/>
        <v>41.431794871794878</v>
      </c>
      <c r="R208" s="290">
        <f t="shared" si="110"/>
        <v>62.568102564102531</v>
      </c>
      <c r="S208" s="290">
        <f t="shared" si="110"/>
        <v>72.194589743589731</v>
      </c>
      <c r="T208" s="290">
        <f t="shared" si="110"/>
        <v>64.921128205128198</v>
      </c>
      <c r="U208" s="290">
        <f t="shared" si="110"/>
        <v>35.89682051282054</v>
      </c>
      <c r="V208" s="290">
        <f t="shared" si="110"/>
        <v>73.900128205128226</v>
      </c>
      <c r="W208" s="290">
        <f t="shared" si="110"/>
        <v>70.35276923076924</v>
      </c>
      <c r="X208" s="290">
        <f t="shared" si="110"/>
        <v>53.158282051282072</v>
      </c>
      <c r="Y208" s="290">
        <f t="shared" si="110"/>
        <v>40.300692307692302</v>
      </c>
      <c r="Z208" s="290">
        <f t="shared" si="110"/>
        <v>35.157451820512826</v>
      </c>
      <c r="AA208" s="290">
        <f t="shared" si="110"/>
        <v>107.30304338461539</v>
      </c>
      <c r="AB208" s="290">
        <f t="shared" si="110"/>
        <v>112.89318700000001</v>
      </c>
      <c r="AC208" s="290">
        <f t="shared" si="110"/>
        <v>77.079021769230792</v>
      </c>
      <c r="AD208" s="252">
        <f t="shared" ref="AD208:AE218" si="111">AD304-AD303+AD272-AD256+AD288</f>
        <v>77.684717948717946</v>
      </c>
      <c r="AE208" s="252">
        <f t="shared" si="111"/>
        <v>90.077391880933718</v>
      </c>
      <c r="AF208" s="240"/>
      <c r="AG208" s="240"/>
    </row>
    <row r="209" spans="1:33">
      <c r="A209" s="240" t="s">
        <v>241</v>
      </c>
      <c r="B209" s="290">
        <f t="shared" ref="B209:Q218" si="112">B305+B289+B273-B257-B304</f>
        <v>32.122953371475944</v>
      </c>
      <c r="C209" s="290">
        <f t="shared" si="112"/>
        <v>43.046539937284265</v>
      </c>
      <c r="D209" s="290">
        <f t="shared" si="110"/>
        <v>44.335876986869636</v>
      </c>
      <c r="E209" s="290">
        <f t="shared" si="110"/>
        <v>39.65490663754882</v>
      </c>
      <c r="F209" s="290">
        <f t="shared" si="110"/>
        <v>44.893486732169507</v>
      </c>
      <c r="G209" s="290">
        <f t="shared" si="110"/>
        <v>53.924663189039691</v>
      </c>
      <c r="H209" s="290">
        <f t="shared" si="110"/>
        <v>46.373333333333335</v>
      </c>
      <c r="I209" s="290">
        <f t="shared" si="110"/>
        <v>43.499974358974356</v>
      </c>
      <c r="J209" s="290">
        <f t="shared" si="110"/>
        <v>5.132102564102567</v>
      </c>
      <c r="K209" s="290">
        <f t="shared" si="110"/>
        <v>38.127384615384621</v>
      </c>
      <c r="L209" s="290">
        <f t="shared" si="110"/>
        <v>26.578461538461536</v>
      </c>
      <c r="M209" s="290">
        <f t="shared" si="110"/>
        <v>48.431384615384623</v>
      </c>
      <c r="N209" s="290">
        <f t="shared" si="110"/>
        <v>55.98597435897436</v>
      </c>
      <c r="O209" s="290">
        <f t="shared" si="110"/>
        <v>54.807615384615389</v>
      </c>
      <c r="P209" s="290">
        <f t="shared" si="110"/>
        <v>54.731999999999999</v>
      </c>
      <c r="Q209" s="290">
        <f t="shared" si="110"/>
        <v>27.878794871794852</v>
      </c>
      <c r="R209" s="290">
        <f t="shared" si="110"/>
        <v>62.661102564102578</v>
      </c>
      <c r="S209" s="290">
        <f t="shared" si="110"/>
        <v>66.140589743589743</v>
      </c>
      <c r="T209" s="290">
        <f t="shared" si="110"/>
        <v>65.837128205128209</v>
      </c>
      <c r="U209" s="290">
        <f t="shared" si="110"/>
        <v>44.472820512820533</v>
      </c>
      <c r="V209" s="290">
        <f t="shared" si="110"/>
        <v>67.417128205128279</v>
      </c>
      <c r="W209" s="290">
        <f t="shared" si="110"/>
        <v>51.923769230769267</v>
      </c>
      <c r="X209" s="290">
        <f t="shared" si="110"/>
        <v>10.014282051282038</v>
      </c>
      <c r="Y209" s="290">
        <f t="shared" si="110"/>
        <v>42.084692307692308</v>
      </c>
      <c r="Z209" s="290">
        <f t="shared" si="110"/>
        <v>56.613206820512815</v>
      </c>
      <c r="AA209" s="290">
        <f t="shared" si="110"/>
        <v>75.333783384615373</v>
      </c>
      <c r="AB209" s="290">
        <f t="shared" si="110"/>
        <v>93.815710999999993</v>
      </c>
      <c r="AC209" s="290">
        <f t="shared" si="110"/>
        <v>77.602146769230785</v>
      </c>
      <c r="AD209" s="252">
        <f t="shared" si="111"/>
        <v>-3.7302820512820603</v>
      </c>
      <c r="AE209" s="252">
        <f t="shared" si="111"/>
        <v>83.636096555126571</v>
      </c>
      <c r="AF209" s="240"/>
      <c r="AG209" s="240"/>
    </row>
    <row r="210" spans="1:33">
      <c r="A210" s="240" t="s">
        <v>231</v>
      </c>
      <c r="B210" s="290">
        <f t="shared" si="112"/>
        <v>30.449518343482197</v>
      </c>
      <c r="C210" s="290">
        <f t="shared" si="112"/>
        <v>40.761644898277012</v>
      </c>
      <c r="D210" s="290">
        <f t="shared" si="110"/>
        <v>43.570928804086215</v>
      </c>
      <c r="E210" s="290">
        <f t="shared" si="110"/>
        <v>38.780959462971509</v>
      </c>
      <c r="F210" s="290">
        <f t="shared" si="110"/>
        <v>43.441458199647116</v>
      </c>
      <c r="G210" s="290">
        <f t="shared" si="110"/>
        <v>42.672102564102573</v>
      </c>
      <c r="H210" s="290">
        <f t="shared" si="110"/>
        <v>45.280333333333346</v>
      </c>
      <c r="I210" s="290">
        <f t="shared" si="110"/>
        <v>40.235974358974346</v>
      </c>
      <c r="J210" s="290">
        <f t="shared" si="110"/>
        <v>15.598102564102565</v>
      </c>
      <c r="K210" s="290">
        <f t="shared" si="110"/>
        <v>40.396384615384619</v>
      </c>
      <c r="L210" s="290">
        <f t="shared" si="110"/>
        <v>48.12246153846155</v>
      </c>
      <c r="M210" s="290">
        <f t="shared" si="110"/>
        <v>33.913384615384615</v>
      </c>
      <c r="N210" s="290">
        <f t="shared" si="110"/>
        <v>53.985974358974346</v>
      </c>
      <c r="O210" s="290">
        <f t="shared" si="110"/>
        <v>42.779615384615397</v>
      </c>
      <c r="P210" s="290">
        <f t="shared" si="110"/>
        <v>50.644999999999996</v>
      </c>
      <c r="Q210" s="290">
        <f t="shared" si="110"/>
        <v>53.109794871794847</v>
      </c>
      <c r="R210" s="290">
        <f t="shared" si="110"/>
        <v>49.653102564102547</v>
      </c>
      <c r="S210" s="290">
        <f t="shared" si="110"/>
        <v>54.804589743589759</v>
      </c>
      <c r="T210" s="290">
        <f t="shared" si="110"/>
        <v>37.317128205128242</v>
      </c>
      <c r="U210" s="290">
        <f t="shared" si="110"/>
        <v>57.984820512820534</v>
      </c>
      <c r="V210" s="290">
        <f t="shared" si="110"/>
        <v>49.890128205128235</v>
      </c>
      <c r="W210" s="290">
        <f t="shared" si="110"/>
        <v>64.192769230769215</v>
      </c>
      <c r="X210" s="290">
        <f t="shared" si="110"/>
        <v>38.485282051282013</v>
      </c>
      <c r="Y210" s="290">
        <f t="shared" si="110"/>
        <v>48.873692307692295</v>
      </c>
      <c r="Z210" s="290">
        <f t="shared" si="110"/>
        <v>83.582617820512837</v>
      </c>
      <c r="AA210" s="290">
        <f t="shared" si="110"/>
        <v>62.381913384615373</v>
      </c>
      <c r="AB210" s="290">
        <f t="shared" si="110"/>
        <v>105.15180800000002</v>
      </c>
      <c r="AC210" s="290">
        <f t="shared" si="110"/>
        <v>65.525230769230745</v>
      </c>
      <c r="AD210" s="252">
        <f t="shared" si="111"/>
        <v>34.396717948717949</v>
      </c>
      <c r="AE210" s="252">
        <f t="shared" si="111"/>
        <v>86.575927628986676</v>
      </c>
      <c r="AF210" s="240"/>
      <c r="AG210" s="240"/>
    </row>
    <row r="211" spans="1:33">
      <c r="A211" s="240" t="s">
        <v>232</v>
      </c>
      <c r="B211" s="290">
        <f t="shared" si="112"/>
        <v>34.495402790936055</v>
      </c>
      <c r="C211" s="290">
        <f t="shared" si="112"/>
        <v>44.593965601004655</v>
      </c>
      <c r="D211" s="290">
        <f t="shared" si="110"/>
        <v>42.001884604992114</v>
      </c>
      <c r="E211" s="290">
        <f t="shared" si="110"/>
        <v>37.352776347768611</v>
      </c>
      <c r="F211" s="290">
        <f t="shared" si="110"/>
        <v>43.515586034663102</v>
      </c>
      <c r="G211" s="290">
        <f t="shared" si="110"/>
        <v>44.247102564102562</v>
      </c>
      <c r="H211" s="290">
        <f t="shared" si="110"/>
        <v>43.708333333333343</v>
      </c>
      <c r="I211" s="290">
        <f t="shared" si="110"/>
        <v>43.871974358974356</v>
      </c>
      <c r="J211" s="290">
        <f t="shared" si="110"/>
        <v>22.099102564102566</v>
      </c>
      <c r="K211" s="290">
        <f t="shared" si="110"/>
        <v>34.125384615384611</v>
      </c>
      <c r="L211" s="290">
        <f t="shared" si="110"/>
        <v>46.316461538461539</v>
      </c>
      <c r="M211" s="290">
        <f t="shared" si="110"/>
        <v>37.057384615384606</v>
      </c>
      <c r="N211" s="290">
        <f t="shared" si="110"/>
        <v>61.761974358974356</v>
      </c>
      <c r="O211" s="290">
        <f t="shared" si="110"/>
        <v>48.253615384615387</v>
      </c>
      <c r="P211" s="290">
        <f t="shared" si="110"/>
        <v>33.88900000000001</v>
      </c>
      <c r="Q211" s="290">
        <f t="shared" si="110"/>
        <v>38.536794871794854</v>
      </c>
      <c r="R211" s="290">
        <f t="shared" si="110"/>
        <v>58.135102564102553</v>
      </c>
      <c r="S211" s="290">
        <f t="shared" si="110"/>
        <v>71.493589743589752</v>
      </c>
      <c r="T211" s="290">
        <f t="shared" si="110"/>
        <v>79.12712820512823</v>
      </c>
      <c r="U211" s="290">
        <f t="shared" si="110"/>
        <v>63.142820512820549</v>
      </c>
      <c r="V211" s="290">
        <f t="shared" si="110"/>
        <v>50.059128205128218</v>
      </c>
      <c r="W211" s="290">
        <f t="shared" si="110"/>
        <v>52.577769230769263</v>
      </c>
      <c r="X211" s="290">
        <f t="shared" si="110"/>
        <v>34.288282051282039</v>
      </c>
      <c r="Y211" s="290">
        <f t="shared" si="110"/>
        <v>77.313692307692293</v>
      </c>
      <c r="Z211" s="290">
        <f t="shared" si="110"/>
        <v>70.834213820512815</v>
      </c>
      <c r="AA211" s="290">
        <f t="shared" si="110"/>
        <v>85.697124384615393</v>
      </c>
      <c r="AB211" s="290">
        <f t="shared" si="110"/>
        <v>89.977848999999992</v>
      </c>
      <c r="AC211" s="290">
        <f t="shared" si="110"/>
        <v>65.742230769230787</v>
      </c>
      <c r="AD211" s="252">
        <f t="shared" si="111"/>
        <v>77.663717948717945</v>
      </c>
      <c r="AE211" s="252">
        <f t="shared" si="111"/>
        <v>95.434441998158249</v>
      </c>
      <c r="AF211" s="240"/>
      <c r="AG211" s="240"/>
    </row>
    <row r="212" spans="1:33">
      <c r="A212" s="240" t="s">
        <v>233</v>
      </c>
      <c r="B212" s="290">
        <f t="shared" si="112"/>
        <v>31.179734328165125</v>
      </c>
      <c r="C212" s="290">
        <f t="shared" si="112"/>
        <v>42.003985885328518</v>
      </c>
      <c r="D212" s="290">
        <f t="shared" si="110"/>
        <v>38.812632897267015</v>
      </c>
      <c r="E212" s="290">
        <f t="shared" si="110"/>
        <v>31.810801157966438</v>
      </c>
      <c r="F212" s="290">
        <f t="shared" si="110"/>
        <v>42.943735221402392</v>
      </c>
      <c r="G212" s="290">
        <f t="shared" si="110"/>
        <v>36.203102564102579</v>
      </c>
      <c r="H212" s="290">
        <f t="shared" si="110"/>
        <v>35.544333333333341</v>
      </c>
      <c r="I212" s="290">
        <f t="shared" si="110"/>
        <v>40.657974358974343</v>
      </c>
      <c r="J212" s="290">
        <f t="shared" si="110"/>
        <v>21.696102564102564</v>
      </c>
      <c r="K212" s="290">
        <f t="shared" si="110"/>
        <v>35.697384615384621</v>
      </c>
      <c r="L212" s="290">
        <f t="shared" si="110"/>
        <v>48.793461538461543</v>
      </c>
      <c r="M212" s="290">
        <f t="shared" si="110"/>
        <v>44.342384615384631</v>
      </c>
      <c r="N212" s="290">
        <f t="shared" si="110"/>
        <v>26.69897435897434</v>
      </c>
      <c r="O212" s="290">
        <f t="shared" si="110"/>
        <v>52.329615384615408</v>
      </c>
      <c r="P212" s="290">
        <f t="shared" si="110"/>
        <v>37.168000000000006</v>
      </c>
      <c r="Q212" s="290">
        <f t="shared" si="110"/>
        <v>33.622794871794866</v>
      </c>
      <c r="R212" s="290">
        <f t="shared" si="110"/>
        <v>54.839102564102554</v>
      </c>
      <c r="S212" s="290">
        <f t="shared" si="110"/>
        <v>56.893589743589757</v>
      </c>
      <c r="T212" s="290">
        <f t="shared" si="110"/>
        <v>43.388128205128226</v>
      </c>
      <c r="U212" s="290">
        <f t="shared" si="110"/>
        <v>74.973820512820566</v>
      </c>
      <c r="V212" s="290">
        <f t="shared" si="110"/>
        <v>70.38312820512823</v>
      </c>
      <c r="W212" s="290">
        <f t="shared" si="110"/>
        <v>42.745769230769213</v>
      </c>
      <c r="X212" s="290">
        <f t="shared" si="110"/>
        <v>45.894282051282062</v>
      </c>
      <c r="Y212" s="290">
        <f t="shared" si="110"/>
        <v>67.818692307692302</v>
      </c>
      <c r="Z212" s="290">
        <f t="shared" si="110"/>
        <v>65.750240820512801</v>
      </c>
      <c r="AA212" s="290">
        <f t="shared" si="110"/>
        <v>72.614077384615371</v>
      </c>
      <c r="AB212" s="290">
        <f t="shared" si="110"/>
        <v>99.636955</v>
      </c>
      <c r="AC212" s="290">
        <f t="shared" si="110"/>
        <v>20.305230769230803</v>
      </c>
      <c r="AD212" s="252">
        <f t="shared" si="111"/>
        <v>48.239717948717946</v>
      </c>
      <c r="AE212" s="252">
        <f t="shared" si="111"/>
        <v>79.69793114740547</v>
      </c>
      <c r="AF212" s="240"/>
      <c r="AG212" s="240"/>
    </row>
    <row r="213" spans="1:33">
      <c r="A213" s="240" t="s">
        <v>234</v>
      </c>
      <c r="B213" s="290">
        <f t="shared" si="112"/>
        <v>23.291365317638508</v>
      </c>
      <c r="C213" s="290">
        <f t="shared" si="112"/>
        <v>37.022568321822703</v>
      </c>
      <c r="D213" s="290">
        <f t="shared" si="110"/>
        <v>37.45223414855765</v>
      </c>
      <c r="E213" s="290">
        <f t="shared" si="110"/>
        <v>28.765521542861322</v>
      </c>
      <c r="F213" s="290">
        <f t="shared" si="110"/>
        <v>41.686189606165954</v>
      </c>
      <c r="G213" s="290">
        <f t="shared" si="110"/>
        <v>40.59110256410257</v>
      </c>
      <c r="H213" s="290">
        <f t="shared" si="110"/>
        <v>40.961333333333343</v>
      </c>
      <c r="I213" s="290">
        <f t="shared" si="110"/>
        <v>45.97697435897436</v>
      </c>
      <c r="J213" s="290">
        <f t="shared" si="110"/>
        <v>32.133102564102565</v>
      </c>
      <c r="K213" s="290">
        <f t="shared" si="110"/>
        <v>32.371384615384621</v>
      </c>
      <c r="L213" s="290">
        <f t="shared" si="110"/>
        <v>45.149461538461537</v>
      </c>
      <c r="M213" s="290">
        <f t="shared" si="110"/>
        <v>44.87638461538463</v>
      </c>
      <c r="N213" s="290">
        <f t="shared" si="110"/>
        <v>17.108974358974379</v>
      </c>
      <c r="O213" s="290">
        <f t="shared" si="110"/>
        <v>43.682615384615389</v>
      </c>
      <c r="P213" s="290">
        <f t="shared" si="110"/>
        <v>45.972999999999985</v>
      </c>
      <c r="Q213" s="290">
        <f t="shared" si="110"/>
        <v>33.620794871794857</v>
      </c>
      <c r="R213" s="290">
        <f t="shared" si="110"/>
        <v>44.82910256410257</v>
      </c>
      <c r="S213" s="290">
        <f t="shared" si="110"/>
        <v>54.622589743589756</v>
      </c>
      <c r="T213" s="290">
        <f t="shared" si="110"/>
        <v>58.356128205128243</v>
      </c>
      <c r="U213" s="290">
        <f t="shared" si="110"/>
        <v>43.836820512820566</v>
      </c>
      <c r="V213" s="290">
        <f t="shared" si="110"/>
        <v>68.822128205128251</v>
      </c>
      <c r="W213" s="290">
        <f t="shared" si="110"/>
        <v>48.298769230769267</v>
      </c>
      <c r="X213" s="290">
        <f t="shared" si="110"/>
        <v>58.352282051282089</v>
      </c>
      <c r="Y213" s="290">
        <f t="shared" si="110"/>
        <v>56.28169230769231</v>
      </c>
      <c r="Z213" s="290">
        <f t="shared" si="110"/>
        <v>78.039028820512826</v>
      </c>
      <c r="AA213" s="290">
        <f t="shared" si="110"/>
        <v>78.120402384615403</v>
      </c>
      <c r="AB213" s="290">
        <f t="shared" si="110"/>
        <v>74.278898999999967</v>
      </c>
      <c r="AC213" s="290">
        <f t="shared" si="110"/>
        <v>36.098230769230781</v>
      </c>
      <c r="AD213" s="252">
        <f t="shared" si="111"/>
        <v>87.578054005203441</v>
      </c>
      <c r="AE213" s="252">
        <f t="shared" si="111"/>
        <v>78.052652780491471</v>
      </c>
      <c r="AF213" s="240"/>
      <c r="AG213" s="240"/>
    </row>
    <row r="214" spans="1:33">
      <c r="A214" s="240" t="s">
        <v>46</v>
      </c>
      <c r="B214" s="290">
        <f t="shared" si="112"/>
        <v>28.053427265646974</v>
      </c>
      <c r="C214" s="290">
        <f t="shared" si="112"/>
        <v>38.490541614002126</v>
      </c>
      <c r="D214" s="290">
        <f t="shared" si="110"/>
        <v>36.066278439110931</v>
      </c>
      <c r="E214" s="290">
        <f t="shared" si="110"/>
        <v>23.588114687444588</v>
      </c>
      <c r="F214" s="290">
        <f t="shared" si="110"/>
        <v>32.252041833482579</v>
      </c>
      <c r="G214" s="290">
        <f t="shared" si="110"/>
        <v>31.507102564102567</v>
      </c>
      <c r="H214" s="290">
        <f t="shared" si="110"/>
        <v>40.38933333333334</v>
      </c>
      <c r="I214" s="290">
        <f t="shared" si="110"/>
        <v>33.749974358974356</v>
      </c>
      <c r="J214" s="290">
        <f t="shared" si="110"/>
        <v>26.315102564102563</v>
      </c>
      <c r="K214" s="290">
        <f t="shared" si="110"/>
        <v>37.669384615384615</v>
      </c>
      <c r="L214" s="290">
        <f t="shared" si="110"/>
        <v>44.049461538461543</v>
      </c>
      <c r="M214" s="290">
        <f t="shared" si="110"/>
        <v>42.863384615384618</v>
      </c>
      <c r="N214" s="290">
        <f t="shared" si="110"/>
        <v>34.598974358974331</v>
      </c>
      <c r="O214" s="290">
        <f t="shared" si="110"/>
        <v>30.106615384615381</v>
      </c>
      <c r="P214" s="290">
        <f t="shared" si="110"/>
        <v>43.206000000000003</v>
      </c>
      <c r="Q214" s="290">
        <f t="shared" si="110"/>
        <v>24.487794871794847</v>
      </c>
      <c r="R214" s="290">
        <f t="shared" si="110"/>
        <v>19.647102564102561</v>
      </c>
      <c r="S214" s="290">
        <f t="shared" si="110"/>
        <v>27.737589743589751</v>
      </c>
      <c r="T214" s="290">
        <f t="shared" si="110"/>
        <v>16.65312820512824</v>
      </c>
      <c r="U214" s="290">
        <f t="shared" si="110"/>
        <v>45.313820512820541</v>
      </c>
      <c r="V214" s="290">
        <f t="shared" si="110"/>
        <v>42.390128205128235</v>
      </c>
      <c r="W214" s="290">
        <f t="shared" si="110"/>
        <v>58.4097692307692</v>
      </c>
      <c r="X214" s="290">
        <f t="shared" si="110"/>
        <v>27.160282051282024</v>
      </c>
      <c r="Y214" s="290">
        <f t="shared" si="110"/>
        <v>51.316692307692293</v>
      </c>
      <c r="Z214" s="290">
        <f t="shared" si="110"/>
        <v>73.687180820512822</v>
      </c>
      <c r="AA214" s="290">
        <f t="shared" si="110"/>
        <v>83.888264384615383</v>
      </c>
      <c r="AB214" s="290">
        <f>AB310+AB294+AB278-AB262-AB309</f>
        <v>-11.391562000000022</v>
      </c>
      <c r="AC214" s="290">
        <f t="shared" si="110"/>
        <v>118.32923076923078</v>
      </c>
      <c r="AD214" s="252">
        <f t="shared" si="111"/>
        <v>55.190328406149646</v>
      </c>
      <c r="AE214" s="252">
        <f t="shared" si="111"/>
        <v>76.595542975865754</v>
      </c>
      <c r="AF214" s="240"/>
      <c r="AG214" s="240"/>
    </row>
    <row r="215" spans="1:33">
      <c r="A215" s="240" t="s">
        <v>235</v>
      </c>
      <c r="B215" s="290">
        <f t="shared" si="112"/>
        <v>8.614487893369585</v>
      </c>
      <c r="C215" s="290">
        <f t="shared" si="112"/>
        <v>9.4982452076325785</v>
      </c>
      <c r="D215" s="290">
        <f t="shared" si="110"/>
        <v>24.639105688092769</v>
      </c>
      <c r="E215" s="290">
        <f t="shared" si="110"/>
        <v>19.506542127549594</v>
      </c>
      <c r="F215" s="290">
        <f t="shared" si="110"/>
        <v>33.262376503832982</v>
      </c>
      <c r="G215" s="290">
        <f t="shared" si="110"/>
        <v>34.775102564102561</v>
      </c>
      <c r="H215" s="290">
        <f t="shared" si="110"/>
        <v>38.714333333333343</v>
      </c>
      <c r="I215" s="290">
        <f t="shared" si="110"/>
        <v>34.198974358974368</v>
      </c>
      <c r="J215" s="290">
        <f t="shared" si="110"/>
        <v>23.154102564102573</v>
      </c>
      <c r="K215" s="290">
        <f t="shared" si="110"/>
        <v>36.538384615384608</v>
      </c>
      <c r="L215" s="290">
        <f t="shared" si="110"/>
        <v>41.09746153846153</v>
      </c>
      <c r="M215" s="290">
        <f t="shared" si="110"/>
        <v>17.874384615384614</v>
      </c>
      <c r="N215" s="290">
        <f t="shared" si="110"/>
        <v>5.8779743589743561</v>
      </c>
      <c r="O215" s="290">
        <f t="shared" si="110"/>
        <v>37.087615384615376</v>
      </c>
      <c r="P215" s="290">
        <f t="shared" si="110"/>
        <v>4.625</v>
      </c>
      <c r="Q215" s="290">
        <f t="shared" si="110"/>
        <v>28.69079487179485</v>
      </c>
      <c r="R215" s="290">
        <f t="shared" si="110"/>
        <v>50.279102564102558</v>
      </c>
      <c r="S215" s="290">
        <f t="shared" si="110"/>
        <v>38.08858974358975</v>
      </c>
      <c r="T215" s="290">
        <f t="shared" si="110"/>
        <v>22.285128205128217</v>
      </c>
      <c r="U215" s="290">
        <f t="shared" si="110"/>
        <v>75.261820512820577</v>
      </c>
      <c r="V215" s="290">
        <f t="shared" si="110"/>
        <v>53.518128205128221</v>
      </c>
      <c r="W215" s="290">
        <f t="shared" si="110"/>
        <v>25.310769230769267</v>
      </c>
      <c r="X215" s="290">
        <f t="shared" si="110"/>
        <v>48.370282051282089</v>
      </c>
      <c r="Y215" s="290">
        <f t="shared" si="110"/>
        <v>61.230692307692323</v>
      </c>
      <c r="Z215" s="290">
        <f t="shared" si="110"/>
        <v>63.138590820512817</v>
      </c>
      <c r="AA215" s="290">
        <f t="shared" si="110"/>
        <v>71.184589384615379</v>
      </c>
      <c r="AB215" s="290">
        <f t="shared" si="110"/>
        <v>71.617459999999994</v>
      </c>
      <c r="AC215" s="252">
        <f t="shared" ref="AC215:AC218" si="113">AC311-AC310+AC279-AC263+AC295</f>
        <v>128.47323076923078</v>
      </c>
      <c r="AD215" s="252">
        <f t="shared" si="111"/>
        <v>79.705051047168553</v>
      </c>
      <c r="AE215" s="252">
        <f t="shared" si="111"/>
        <v>96.882044252033069</v>
      </c>
      <c r="AF215" s="240"/>
      <c r="AG215" s="240"/>
    </row>
    <row r="216" spans="1:33">
      <c r="A216" s="240" t="s">
        <v>236</v>
      </c>
      <c r="B216" s="290">
        <f t="shared" si="112"/>
        <v>5.3935124788822293</v>
      </c>
      <c r="C216" s="290">
        <f t="shared" si="112"/>
        <v>20.330490268877767</v>
      </c>
      <c r="D216" s="290">
        <f t="shared" si="110"/>
        <v>31.978815366740264</v>
      </c>
      <c r="E216" s="290">
        <f t="shared" si="110"/>
        <v>24.480566165318649</v>
      </c>
      <c r="F216" s="290">
        <f t="shared" si="110"/>
        <v>36.135919654945113</v>
      </c>
      <c r="G216" s="290">
        <f t="shared" si="110"/>
        <v>41.053102564102574</v>
      </c>
      <c r="H216" s="290">
        <f t="shared" si="110"/>
        <v>41.50233333333334</v>
      </c>
      <c r="I216" s="290">
        <f t="shared" si="110"/>
        <v>14.763974358974352</v>
      </c>
      <c r="J216" s="290">
        <f t="shared" si="110"/>
        <v>30.491102564102565</v>
      </c>
      <c r="K216" s="290">
        <f t="shared" si="110"/>
        <v>19.642384615384611</v>
      </c>
      <c r="L216" s="290">
        <f t="shared" si="110"/>
        <v>39.552461538461543</v>
      </c>
      <c r="M216" s="290">
        <f t="shared" si="110"/>
        <v>38.163384615384615</v>
      </c>
      <c r="N216" s="290">
        <f t="shared" si="110"/>
        <v>11.786974358974334</v>
      </c>
      <c r="O216" s="290">
        <f t="shared" si="110"/>
        <v>22.520615384615382</v>
      </c>
      <c r="P216" s="290">
        <f t="shared" si="110"/>
        <v>32.457999999999998</v>
      </c>
      <c r="Q216" s="290">
        <f t="shared" si="110"/>
        <v>44.418794871794873</v>
      </c>
      <c r="R216" s="290">
        <f t="shared" si="110"/>
        <v>47.26610256410256</v>
      </c>
      <c r="S216" s="290">
        <f t="shared" si="110"/>
        <v>44.330589743589769</v>
      </c>
      <c r="T216" s="290">
        <f t="shared" si="110"/>
        <v>51.349128205128238</v>
      </c>
      <c r="U216" s="290">
        <f t="shared" si="110"/>
        <v>35.531820512820559</v>
      </c>
      <c r="V216" s="290">
        <f t="shared" si="110"/>
        <v>67.860128205128206</v>
      </c>
      <c r="W216" s="290">
        <f t="shared" si="110"/>
        <v>50.623769230769256</v>
      </c>
      <c r="X216" s="290">
        <f t="shared" si="110"/>
        <v>62.168282051282034</v>
      </c>
      <c r="Y216" s="290">
        <f t="shared" si="110"/>
        <v>69.779248307692299</v>
      </c>
      <c r="Z216" s="290">
        <f t="shared" si="110"/>
        <v>58.214490820512843</v>
      </c>
      <c r="AA216" s="290">
        <f t="shared" si="110"/>
        <v>109.15429938461537</v>
      </c>
      <c r="AB216" s="290">
        <f t="shared" si="110"/>
        <v>114.13091100000003</v>
      </c>
      <c r="AC216" s="252">
        <f t="shared" si="113"/>
        <v>90.42323076923077</v>
      </c>
      <c r="AD216" s="252">
        <f t="shared" si="111"/>
        <v>105.86025126766981</v>
      </c>
      <c r="AE216" s="252">
        <f t="shared" si="111"/>
        <v>107.70844617086564</v>
      </c>
      <c r="AF216" s="240"/>
      <c r="AG216" s="240"/>
    </row>
    <row r="217" spans="1:33">
      <c r="A217" s="240" t="s">
        <v>237</v>
      </c>
      <c r="B217" s="290">
        <f t="shared" si="112"/>
        <v>26.150588873749712</v>
      </c>
      <c r="C217" s="290">
        <f t="shared" si="112"/>
        <v>35.000816949755446</v>
      </c>
      <c r="D217" s="290">
        <f t="shared" si="110"/>
        <v>42.342758081360429</v>
      </c>
      <c r="E217" s="290">
        <f t="shared" si="110"/>
        <v>37.303400030974558</v>
      </c>
      <c r="F217" s="290">
        <f t="shared" si="110"/>
        <v>42.62244469724773</v>
      </c>
      <c r="G217" s="290">
        <f t="shared" si="110"/>
        <v>38.462102564102587</v>
      </c>
      <c r="H217" s="290">
        <f t="shared" si="110"/>
        <v>43.719333333333338</v>
      </c>
      <c r="I217" s="290">
        <f t="shared" si="110"/>
        <v>16.343974358974364</v>
      </c>
      <c r="J217" s="290">
        <f t="shared" si="110"/>
        <v>31.622102564102562</v>
      </c>
      <c r="K217" s="290">
        <f t="shared" si="110"/>
        <v>36.131384615384611</v>
      </c>
      <c r="L217" s="290">
        <f t="shared" si="110"/>
        <v>37.043461538461543</v>
      </c>
      <c r="M217" s="290">
        <f t="shared" si="110"/>
        <v>37.153384615384617</v>
      </c>
      <c r="N217" s="290">
        <f t="shared" si="110"/>
        <v>46.408974358974376</v>
      </c>
      <c r="O217" s="290">
        <f t="shared" si="110"/>
        <v>49.187615384615384</v>
      </c>
      <c r="P217" s="290">
        <f t="shared" si="110"/>
        <v>34.685000000000002</v>
      </c>
      <c r="Q217" s="290">
        <f t="shared" si="110"/>
        <v>61.002794871794862</v>
      </c>
      <c r="R217" s="290">
        <f t="shared" si="110"/>
        <v>49.541102564102559</v>
      </c>
      <c r="S217" s="290">
        <f t="shared" si="110"/>
        <v>38.251589743589776</v>
      </c>
      <c r="T217" s="290">
        <f t="shared" si="110"/>
        <v>62.132128205128197</v>
      </c>
      <c r="U217" s="290">
        <f t="shared" si="110"/>
        <v>72.685820512820555</v>
      </c>
      <c r="V217" s="290">
        <f t="shared" si="110"/>
        <v>99.666128205128189</v>
      </c>
      <c r="W217" s="290">
        <f t="shared" si="110"/>
        <v>85.566769230769239</v>
      </c>
      <c r="X217" s="290">
        <f t="shared" si="110"/>
        <v>74.970282051282084</v>
      </c>
      <c r="Y217" s="290">
        <f t="shared" si="110"/>
        <v>90.660836307692307</v>
      </c>
      <c r="Z217" s="290">
        <f t="shared" si="110"/>
        <v>92.322251820512818</v>
      </c>
      <c r="AA217" s="290">
        <f t="shared" si="110"/>
        <v>110.60343238461539</v>
      </c>
      <c r="AB217" s="290">
        <f t="shared" ref="AB217:AD217" si="114">AB313+AB297+AB281-AB265-AB312</f>
        <v>135.43353300000001</v>
      </c>
      <c r="AC217" s="252">
        <f t="shared" si="113"/>
        <v>94.404230769230765</v>
      </c>
      <c r="AD217" s="252">
        <f t="shared" si="111"/>
        <v>130.25786796335365</v>
      </c>
      <c r="AE217" s="252">
        <f t="shared" si="111"/>
        <v>128.62186820565188</v>
      </c>
      <c r="AF217" s="240"/>
      <c r="AG217" s="240"/>
    </row>
    <row r="218" spans="1:33">
      <c r="A218" s="240" t="s">
        <v>238</v>
      </c>
      <c r="B218" s="290">
        <f t="shared" si="112"/>
        <v>33.037331880521066</v>
      </c>
      <c r="C218" s="290">
        <f t="shared" si="112"/>
        <v>49.22928023362234</v>
      </c>
      <c r="D218" s="290">
        <f t="shared" si="112"/>
        <v>50.589947874108958</v>
      </c>
      <c r="E218" s="290">
        <f t="shared" si="112"/>
        <v>46.176460293528351</v>
      </c>
      <c r="F218" s="290">
        <f t="shared" si="112"/>
        <v>50.925605832184146</v>
      </c>
      <c r="G218" s="290">
        <f t="shared" si="112"/>
        <v>36.702871794871825</v>
      </c>
      <c r="H218" s="290">
        <f t="shared" si="112"/>
        <v>40.086333333333343</v>
      </c>
      <c r="I218" s="290">
        <f t="shared" si="112"/>
        <v>36.494282051282028</v>
      </c>
      <c r="J218" s="290">
        <f t="shared" si="112"/>
        <v>34.462871794871802</v>
      </c>
      <c r="K218" s="290">
        <f t="shared" si="112"/>
        <v>36.346769230769219</v>
      </c>
      <c r="L218" s="290">
        <f t="shared" si="112"/>
        <v>49.883923076923068</v>
      </c>
      <c r="M218" s="290">
        <f t="shared" si="112"/>
        <v>44.044769230769219</v>
      </c>
      <c r="N218" s="290">
        <f t="shared" si="112"/>
        <v>63.344282051282036</v>
      </c>
      <c r="O218" s="290">
        <f t="shared" si="112"/>
        <v>44.985230769230739</v>
      </c>
      <c r="P218" s="290">
        <f t="shared" si="112"/>
        <v>67.138999999999982</v>
      </c>
      <c r="Q218" s="290">
        <f t="shared" si="112"/>
        <v>69.776256410256437</v>
      </c>
      <c r="R218" s="290">
        <f t="shared" ref="R218:AN218" si="115">R314+R298+R282-R266-R313</f>
        <v>52.568871794871782</v>
      </c>
      <c r="S218" s="290">
        <f t="shared" si="115"/>
        <v>78.227512820512828</v>
      </c>
      <c r="T218" s="290">
        <f t="shared" si="115"/>
        <v>76.601589743589727</v>
      </c>
      <c r="U218" s="290">
        <f t="shared" si="115"/>
        <v>75.546974358974182</v>
      </c>
      <c r="V218" s="290">
        <f t="shared" si="115"/>
        <v>85.890589743589658</v>
      </c>
      <c r="W218" s="290">
        <f t="shared" si="115"/>
        <v>87.644538461538502</v>
      </c>
      <c r="X218" s="290">
        <f t="shared" si="115"/>
        <v>44.073897435897436</v>
      </c>
      <c r="Y218" s="290">
        <f t="shared" si="115"/>
        <v>93.065752615384625</v>
      </c>
      <c r="Z218" s="290">
        <f t="shared" si="115"/>
        <v>92.037292974358991</v>
      </c>
      <c r="AA218" s="290">
        <f t="shared" si="115"/>
        <v>118.48127276923074</v>
      </c>
      <c r="AB218" s="290">
        <f t="shared" si="115"/>
        <v>159.59505999999999</v>
      </c>
      <c r="AC218" s="252">
        <f t="shared" si="113"/>
        <v>104.8674615384615</v>
      </c>
      <c r="AD218" s="252">
        <f t="shared" si="111"/>
        <v>325.8621396181469</v>
      </c>
      <c r="AE218" s="252">
        <f t="shared" si="111"/>
        <v>137.73817086097802</v>
      </c>
      <c r="AF218" s="240"/>
      <c r="AG218" s="240"/>
    </row>
    <row r="219" spans="1:33" ht="15.75" thickBot="1">
      <c r="A219" s="240" t="s">
        <v>242</v>
      </c>
      <c r="B219" s="146">
        <f t="shared" ref="B219:AB219" si="116">SUM(B207:B218)</f>
        <v>319.00000000000011</v>
      </c>
      <c r="C219" s="146">
        <f t="shared" si="116"/>
        <v>444.99999999999989</v>
      </c>
      <c r="D219" s="146">
        <f t="shared" si="116"/>
        <v>482</v>
      </c>
      <c r="E219" s="146">
        <f t="shared" si="116"/>
        <v>410.00000000000006</v>
      </c>
      <c r="F219" s="146">
        <f t="shared" si="116"/>
        <v>505.99999999999983</v>
      </c>
      <c r="G219" s="146">
        <f t="shared" si="116"/>
        <v>512</v>
      </c>
      <c r="H219" s="146">
        <f t="shared" si="116"/>
        <v>494.25900000000019</v>
      </c>
      <c r="I219" s="146">
        <f t="shared" si="116"/>
        <v>417.47399999999999</v>
      </c>
      <c r="J219" s="146">
        <f t="shared" si="116"/>
        <v>292.06900000000007</v>
      </c>
      <c r="K219" s="146">
        <f t="shared" si="116"/>
        <v>426.86499999999995</v>
      </c>
      <c r="L219" s="146">
        <f t="shared" si="116"/>
        <v>526.54600000000005</v>
      </c>
      <c r="M219" s="146">
        <f t="shared" si="116"/>
        <v>478.69499999999994</v>
      </c>
      <c r="N219" s="146">
        <f t="shared" si="116"/>
        <v>467.16899999999998</v>
      </c>
      <c r="O219" s="146">
        <f t="shared" si="116"/>
        <v>528.16399999999999</v>
      </c>
      <c r="P219" s="146">
        <f t="shared" si="116"/>
        <v>512.69199999999989</v>
      </c>
      <c r="Q219" s="146">
        <f t="shared" si="116"/>
        <v>521.12699999999984</v>
      </c>
      <c r="R219" s="146">
        <f t="shared" si="116"/>
        <v>616.3839999999999</v>
      </c>
      <c r="S219" s="146">
        <f t="shared" si="116"/>
        <v>669.21400000000006</v>
      </c>
      <c r="T219" s="146">
        <f t="shared" si="116"/>
        <v>666.27300000000014</v>
      </c>
      <c r="U219" s="146">
        <f t="shared" si="116"/>
        <v>690.58900000000017</v>
      </c>
      <c r="V219" s="146">
        <f t="shared" si="116"/>
        <v>789.14400000000012</v>
      </c>
      <c r="W219" s="146">
        <f t="shared" si="116"/>
        <v>697.13900000000035</v>
      </c>
      <c r="X219" s="146">
        <f t="shared" si="116"/>
        <v>560.85900000000015</v>
      </c>
      <c r="Y219" s="146">
        <f t="shared" si="116"/>
        <v>776.39906800000006</v>
      </c>
      <c r="Z219" s="146">
        <f t="shared" si="116"/>
        <v>867.92224100000021</v>
      </c>
      <c r="AA219" s="146">
        <f t="shared" si="116"/>
        <v>1080.9227799999999</v>
      </c>
      <c r="AB219" s="146">
        <f t="shared" si="116"/>
        <v>1161.1591079999998</v>
      </c>
      <c r="AC219" s="253">
        <f>AC33</f>
        <v>1078</v>
      </c>
      <c r="AD219" s="253">
        <f t="shared" ref="AD219:AE219" si="117">AD33</f>
        <v>1144</v>
      </c>
      <c r="AE219" s="253">
        <f t="shared" si="117"/>
        <v>1190.7432421415199</v>
      </c>
      <c r="AF219" s="240"/>
      <c r="AG219" s="240"/>
    </row>
    <row r="220" spans="1:33">
      <c r="A220" s="248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</row>
    <row r="221" spans="1:33" ht="15.75" thickBot="1">
      <c r="A221" s="235" t="s">
        <v>263</v>
      </c>
    </row>
    <row r="222" spans="1:33" ht="15.75" thickBot="1">
      <c r="A222" s="236"/>
      <c r="B222" s="237" t="str">
        <f>B$2</f>
        <v xml:space="preserve">93/94 </v>
      </c>
      <c r="C222" s="237" t="str">
        <f t="shared" ref="C222:AE222" si="118">C$2</f>
        <v xml:space="preserve">94/95 </v>
      </c>
      <c r="D222" s="237" t="str">
        <f t="shared" si="118"/>
        <v xml:space="preserve">95/96 </v>
      </c>
      <c r="E222" s="237" t="str">
        <f t="shared" si="118"/>
        <v xml:space="preserve">96/97 </v>
      </c>
      <c r="F222" s="237" t="str">
        <f t="shared" si="118"/>
        <v xml:space="preserve">97/98 </v>
      </c>
      <c r="G222" s="237" t="str">
        <f t="shared" si="118"/>
        <v xml:space="preserve">98/99 </v>
      </c>
      <c r="H222" s="237" t="str">
        <f t="shared" si="118"/>
        <v xml:space="preserve">99/00 </v>
      </c>
      <c r="I222" s="237" t="str">
        <f t="shared" si="118"/>
        <v xml:space="preserve">00/01 </v>
      </c>
      <c r="J222" s="237" t="str">
        <f t="shared" si="118"/>
        <v xml:space="preserve">01/02 </v>
      </c>
      <c r="K222" s="237" t="str">
        <f t="shared" si="118"/>
        <v xml:space="preserve">02/03 </v>
      </c>
      <c r="L222" s="237" t="str">
        <f t="shared" si="118"/>
        <v xml:space="preserve">03/04 </v>
      </c>
      <c r="M222" s="237" t="str">
        <f t="shared" si="118"/>
        <v xml:space="preserve">04/05 </v>
      </c>
      <c r="N222" s="237" t="str">
        <f t="shared" si="118"/>
        <v xml:space="preserve">05/06 </v>
      </c>
      <c r="O222" s="237" t="str">
        <f t="shared" si="118"/>
        <v xml:space="preserve">06/07 </v>
      </c>
      <c r="P222" s="237" t="str">
        <f t="shared" si="118"/>
        <v xml:space="preserve">07/08 </v>
      </c>
      <c r="Q222" s="237" t="str">
        <f t="shared" si="118"/>
        <v xml:space="preserve">08/09 </v>
      </c>
      <c r="R222" s="237" t="str">
        <f t="shared" si="118"/>
        <v xml:space="preserve">09/10 </v>
      </c>
      <c r="S222" s="237" t="str">
        <f t="shared" si="118"/>
        <v xml:space="preserve">10/11 </v>
      </c>
      <c r="T222" s="237" t="str">
        <f t="shared" si="118"/>
        <v xml:space="preserve">11/12 </v>
      </c>
      <c r="U222" s="237" t="str">
        <f t="shared" si="118"/>
        <v xml:space="preserve">12/13 </v>
      </c>
      <c r="V222" s="237" t="str">
        <f t="shared" si="118"/>
        <v xml:space="preserve">13/14 </v>
      </c>
      <c r="W222" s="237" t="str">
        <f t="shared" si="118"/>
        <v xml:space="preserve">14/15 </v>
      </c>
      <c r="X222" s="237" t="str">
        <f t="shared" si="118"/>
        <v xml:space="preserve">15/16 </v>
      </c>
      <c r="Y222" s="237" t="str">
        <f t="shared" si="118"/>
        <v xml:space="preserve">16/17 </v>
      </c>
      <c r="Z222" s="237" t="str">
        <f t="shared" si="118"/>
        <v xml:space="preserve">17/18 </v>
      </c>
      <c r="AA222" s="237" t="str">
        <f t="shared" si="118"/>
        <v xml:space="preserve">18/19 </v>
      </c>
      <c r="AB222" s="237" t="str">
        <f t="shared" si="118"/>
        <v xml:space="preserve">19/20 </v>
      </c>
      <c r="AC222" s="237" t="str">
        <f t="shared" si="118"/>
        <v xml:space="preserve">20/21 </v>
      </c>
      <c r="AD222" s="237" t="str">
        <f t="shared" si="118"/>
        <v xml:space="preserve">21/22 </v>
      </c>
      <c r="AE222" s="237" t="str">
        <f t="shared" si="118"/>
        <v xml:space="preserve">22/23 </v>
      </c>
    </row>
    <row r="223" spans="1:33">
      <c r="A223" s="240" t="s">
        <v>239</v>
      </c>
      <c r="B223" s="298">
        <f t="shared" ref="B223:AE231" si="119">B207/B81</f>
        <v>0.40960867616150548</v>
      </c>
      <c r="C223" s="298">
        <f t="shared" si="119"/>
        <v>0.44563131317518756</v>
      </c>
      <c r="D223" s="298">
        <f t="shared" si="119"/>
        <v>0.46997922832409078</v>
      </c>
      <c r="E223" s="298">
        <f t="shared" si="119"/>
        <v>0.48453102040755269</v>
      </c>
      <c r="F223" s="298">
        <f t="shared" si="119"/>
        <v>0.434655419983213</v>
      </c>
      <c r="G223" s="298">
        <f t="shared" si="119"/>
        <v>0.43353090430250646</v>
      </c>
      <c r="H223" s="298">
        <f t="shared" si="119"/>
        <v>0.3896151926714625</v>
      </c>
      <c r="I223" s="298">
        <f t="shared" si="119"/>
        <v>0.35203086599318167</v>
      </c>
      <c r="J223" s="298">
        <f t="shared" si="119"/>
        <v>0.885126590775831</v>
      </c>
      <c r="K223" s="298">
        <f t="shared" si="119"/>
        <v>0.42229061249438887</v>
      </c>
      <c r="L223" s="298">
        <f t="shared" si="119"/>
        <v>0.43503739038927275</v>
      </c>
      <c r="M223" s="298">
        <f t="shared" si="119"/>
        <v>0.48641855372320081</v>
      </c>
      <c r="N223" s="298">
        <f t="shared" si="119"/>
        <v>0.4189534616364553</v>
      </c>
      <c r="O223" s="298">
        <f t="shared" si="119"/>
        <v>0.39675953549221826</v>
      </c>
      <c r="P223" s="298">
        <f t="shared" si="119"/>
        <v>0.56090262244093647</v>
      </c>
      <c r="Q223" s="298">
        <f t="shared" si="119"/>
        <v>0.66993022824041959</v>
      </c>
      <c r="R223" s="298">
        <f t="shared" si="119"/>
        <v>0.44291785301912023</v>
      </c>
      <c r="S223" s="298">
        <f t="shared" si="119"/>
        <v>0.39595380025853538</v>
      </c>
      <c r="T223" s="298">
        <f t="shared" si="119"/>
        <v>0.58488208966777833</v>
      </c>
      <c r="U223" s="298">
        <f t="shared" si="119"/>
        <v>0.78989036954919145</v>
      </c>
      <c r="V223" s="298">
        <f t="shared" si="119"/>
        <v>0.34532098587664228</v>
      </c>
      <c r="W223" s="298">
        <f t="shared" si="119"/>
        <v>0.36361696986396036</v>
      </c>
      <c r="X223" s="298">
        <f t="shared" si="119"/>
        <v>0.52910370721594369</v>
      </c>
      <c r="Y223" s="298">
        <f t="shared" si="119"/>
        <v>0.84802475239020536</v>
      </c>
      <c r="Z223" s="298">
        <f t="shared" si="119"/>
        <v>1.2333116945559441</v>
      </c>
      <c r="AA223" s="298">
        <f t="shared" si="119"/>
        <v>0.43531527695632838</v>
      </c>
      <c r="AB223" s="298">
        <f t="shared" si="119"/>
        <v>0.45218398059751813</v>
      </c>
      <c r="AC223" s="298">
        <f t="shared" si="119"/>
        <v>0.71092169050251286</v>
      </c>
      <c r="AD223" s="298">
        <f t="shared" si="119"/>
        <v>0.61439760807104693</v>
      </c>
      <c r="AE223" s="298">
        <f t="shared" si="119"/>
        <v>0.63991316926256636</v>
      </c>
      <c r="AF223" s="240"/>
      <c r="AG223" s="240"/>
    </row>
    <row r="224" spans="1:33">
      <c r="A224" s="240" t="s">
        <v>240</v>
      </c>
      <c r="B224" s="298">
        <f t="shared" si="119"/>
        <v>0.43786255096549298</v>
      </c>
      <c r="C224" s="298">
        <f t="shared" si="119"/>
        <v>0.39373772742370317</v>
      </c>
      <c r="D224" s="298">
        <f t="shared" si="119"/>
        <v>0.41125866369211339</v>
      </c>
      <c r="E224" s="298">
        <f t="shared" si="119"/>
        <v>0.41666957019594619</v>
      </c>
      <c r="F224" s="298">
        <f t="shared" si="119"/>
        <v>0.42286712426786915</v>
      </c>
      <c r="G224" s="298">
        <f t="shared" si="119"/>
        <v>0.43464084256572161</v>
      </c>
      <c r="H224" s="298">
        <f t="shared" si="119"/>
        <v>0.37129531862403953</v>
      </c>
      <c r="I224" s="298">
        <f t="shared" si="119"/>
        <v>0.36827946748840207</v>
      </c>
      <c r="J224" s="298">
        <f t="shared" si="119"/>
        <v>1.3564177379038083</v>
      </c>
      <c r="K224" s="298">
        <f t="shared" si="119"/>
        <v>0.45416871782042373</v>
      </c>
      <c r="L224" s="298">
        <f t="shared" si="119"/>
        <v>0.80480602532082812</v>
      </c>
      <c r="M224" s="298">
        <f t="shared" si="119"/>
        <v>0.37495029355532122</v>
      </c>
      <c r="N224" s="298">
        <f t="shared" si="119"/>
        <v>0.34860211325821983</v>
      </c>
      <c r="O224" s="298">
        <f t="shared" si="119"/>
        <v>0.41794127430354283</v>
      </c>
      <c r="P224" s="298">
        <f t="shared" si="119"/>
        <v>0.3687902872177154</v>
      </c>
      <c r="Q224" s="298">
        <f t="shared" si="119"/>
        <v>0.63904024104341828</v>
      </c>
      <c r="R224" s="298">
        <f t="shared" si="119"/>
        <v>0.42970612083947202</v>
      </c>
      <c r="S224" s="298">
        <f t="shared" si="119"/>
        <v>0.46971099422486168</v>
      </c>
      <c r="T224" s="298">
        <f t="shared" si="119"/>
        <v>0.42401735751941066</v>
      </c>
      <c r="U224" s="298">
        <f t="shared" si="119"/>
        <v>0.34708014114065644</v>
      </c>
      <c r="V224" s="298">
        <f t="shared" si="119"/>
        <v>0.47134987760852026</v>
      </c>
      <c r="W224" s="298">
        <f t="shared" si="119"/>
        <v>0.58261738732372426</v>
      </c>
      <c r="X224" s="298">
        <f t="shared" si="119"/>
        <v>2.3356286534359945</v>
      </c>
      <c r="Y224" s="298">
        <f t="shared" si="119"/>
        <v>0.42134808746465457</v>
      </c>
      <c r="Z224" s="298">
        <f t="shared" si="119"/>
        <v>0.27324505481679617</v>
      </c>
      <c r="AA224" s="298">
        <f t="shared" si="119"/>
        <v>0.62672199600256173</v>
      </c>
      <c r="AB224" s="298">
        <f t="shared" si="119"/>
        <v>0.5294742399809772</v>
      </c>
      <c r="AC224" s="298">
        <f t="shared" si="119"/>
        <v>0.43703390937515585</v>
      </c>
      <c r="AD224" s="298">
        <f t="shared" si="119"/>
        <v>0.47821845267289043</v>
      </c>
      <c r="AE224" s="298">
        <f t="shared" si="119"/>
        <v>0.47944022271623554</v>
      </c>
      <c r="AF224" s="240"/>
      <c r="AG224" s="240"/>
    </row>
    <row r="225" spans="1:33">
      <c r="A225" s="240" t="s">
        <v>241</v>
      </c>
      <c r="B225" s="298">
        <f t="shared" si="119"/>
        <v>0.44280460712522379</v>
      </c>
      <c r="C225" s="298">
        <f t="shared" si="119"/>
        <v>0.43715766166592201</v>
      </c>
      <c r="D225" s="298">
        <f t="shared" si="119"/>
        <v>0.43288806670976016</v>
      </c>
      <c r="E225" s="298">
        <f t="shared" si="119"/>
        <v>0.43670785726580869</v>
      </c>
      <c r="F225" s="298">
        <f t="shared" si="119"/>
        <v>0.42686777492558892</v>
      </c>
      <c r="G225" s="298">
        <f t="shared" si="119"/>
        <v>0.53560722372244829</v>
      </c>
      <c r="H225" s="298">
        <f t="shared" si="119"/>
        <v>0.43402773246806164</v>
      </c>
      <c r="I225" s="298">
        <f t="shared" si="119"/>
        <v>0.46524664023425005</v>
      </c>
      <c r="J225" s="298">
        <f t="shared" si="119"/>
        <v>0.14173210265042616</v>
      </c>
      <c r="K225" s="298">
        <f t="shared" si="119"/>
        <v>0.40584759108297963</v>
      </c>
      <c r="L225" s="298">
        <f t="shared" si="119"/>
        <v>0.23767389168324016</v>
      </c>
      <c r="M225" s="298">
        <f t="shared" si="119"/>
        <v>0.61420532288618501</v>
      </c>
      <c r="N225" s="298">
        <f t="shared" si="119"/>
        <v>0.44593006350652342</v>
      </c>
      <c r="O225" s="298">
        <f t="shared" si="119"/>
        <v>0.55089963767790184</v>
      </c>
      <c r="P225" s="298">
        <f t="shared" si="119"/>
        <v>0.4647005627406457</v>
      </c>
      <c r="Q225" s="298">
        <f t="shared" si="119"/>
        <v>0.22571884948548768</v>
      </c>
      <c r="R225" s="298">
        <f t="shared" si="119"/>
        <v>0.54308552712284563</v>
      </c>
      <c r="S225" s="298">
        <f t="shared" si="119"/>
        <v>0.51933222011179214</v>
      </c>
      <c r="T225" s="298">
        <f t="shared" si="119"/>
        <v>0.75863193364152504</v>
      </c>
      <c r="U225" s="298">
        <f t="shared" si="119"/>
        <v>0.32979860334800265</v>
      </c>
      <c r="V225" s="298">
        <f t="shared" si="119"/>
        <v>0.58106415379436371</v>
      </c>
      <c r="W225" s="298">
        <f t="shared" si="119"/>
        <v>0.34781519845273767</v>
      </c>
      <c r="X225" s="298">
        <f t="shared" si="119"/>
        <v>0.11449270650251908</v>
      </c>
      <c r="Y225" s="298">
        <f t="shared" si="119"/>
        <v>0.37888000151095924</v>
      </c>
      <c r="Z225" s="298">
        <f t="shared" si="119"/>
        <v>0.29802621227439319</v>
      </c>
      <c r="AA225" s="298">
        <f t="shared" si="119"/>
        <v>0.53135376731495776</v>
      </c>
      <c r="AB225" s="298">
        <f t="shared" si="119"/>
        <v>0.39256493659148484</v>
      </c>
      <c r="AC225" s="298">
        <f t="shared" si="119"/>
        <v>0.5210961362152926</v>
      </c>
      <c r="AD225" s="298">
        <f t="shared" si="119"/>
        <v>-1.8850985451981172E-2</v>
      </c>
      <c r="AE225" s="298">
        <f t="shared" si="119"/>
        <v>0.42071841525100384</v>
      </c>
      <c r="AF225" s="240"/>
      <c r="AG225" s="240"/>
    </row>
    <row r="226" spans="1:33">
      <c r="A226" s="240" t="s">
        <v>231</v>
      </c>
      <c r="B226" s="298">
        <f t="shared" si="119"/>
        <v>0.37050689770399653</v>
      </c>
      <c r="C226" s="298">
        <f t="shared" si="119"/>
        <v>0.37837911183763745</v>
      </c>
      <c r="D226" s="298">
        <f t="shared" si="119"/>
        <v>0.44131142289882241</v>
      </c>
      <c r="E226" s="298">
        <f t="shared" si="119"/>
        <v>0.44341286128521407</v>
      </c>
      <c r="F226" s="298">
        <f t="shared" si="119"/>
        <v>0.41235758386144516</v>
      </c>
      <c r="G226" s="298">
        <f t="shared" si="119"/>
        <v>0.40875420351061309</v>
      </c>
      <c r="H226" s="298">
        <f t="shared" si="119"/>
        <v>0.43904006066242318</v>
      </c>
      <c r="I226" s="298">
        <f t="shared" si="119"/>
        <v>0.39467181305012811</v>
      </c>
      <c r="J226" s="298">
        <f t="shared" si="119"/>
        <v>0.30404776046935783</v>
      </c>
      <c r="K226" s="298">
        <f t="shared" si="119"/>
        <v>0.50901830354123945</v>
      </c>
      <c r="L226" s="298">
        <f t="shared" si="119"/>
        <v>0.44710747820370822</v>
      </c>
      <c r="M226" s="298">
        <f t="shared" si="119"/>
        <v>0.3935991900259268</v>
      </c>
      <c r="N226" s="298">
        <f t="shared" si="119"/>
        <v>0.37586183432922998</v>
      </c>
      <c r="O226" s="298">
        <f t="shared" si="119"/>
        <v>0.38121982091417628</v>
      </c>
      <c r="P226" s="298">
        <f t="shared" si="119"/>
        <v>0.64260822095665238</v>
      </c>
      <c r="Q226" s="298">
        <f t="shared" si="119"/>
        <v>0.59260797040457502</v>
      </c>
      <c r="R226" s="298">
        <f t="shared" si="119"/>
        <v>0.36755686185480835</v>
      </c>
      <c r="S226" s="298">
        <f t="shared" si="119"/>
        <v>0.32987086778329577</v>
      </c>
      <c r="T226" s="298">
        <f t="shared" si="119"/>
        <v>0.20279220909681869</v>
      </c>
      <c r="U226" s="298">
        <f t="shared" si="119"/>
        <v>0.39487423301672636</v>
      </c>
      <c r="V226" s="298">
        <f t="shared" si="119"/>
        <v>0.42854831670854893</v>
      </c>
      <c r="W226" s="298">
        <f t="shared" si="119"/>
        <v>0.52499166801997288</v>
      </c>
      <c r="X226" s="298">
        <f t="shared" si="119"/>
        <v>0.49385746644401923</v>
      </c>
      <c r="Y226" s="298">
        <f t="shared" si="119"/>
        <v>0.27814509918633179</v>
      </c>
      <c r="Z226" s="298">
        <f t="shared" si="119"/>
        <v>0.51918910167074683</v>
      </c>
      <c r="AA226" s="298">
        <f t="shared" si="119"/>
        <v>0.32029128265776813</v>
      </c>
      <c r="AB226" s="298">
        <f t="shared" si="119"/>
        <v>0.51420206233203036</v>
      </c>
      <c r="AC226" s="298">
        <f t="shared" si="119"/>
        <v>0.43854766108659787</v>
      </c>
      <c r="AD226" s="298">
        <f t="shared" si="119"/>
        <v>0.16429280137279662</v>
      </c>
      <c r="AE226" s="298">
        <f t="shared" si="119"/>
        <v>0.40862071725114923</v>
      </c>
      <c r="AF226" s="240"/>
      <c r="AG226" s="240"/>
    </row>
    <row r="227" spans="1:33">
      <c r="A227" s="240" t="s">
        <v>232</v>
      </c>
      <c r="B227" s="298">
        <f t="shared" si="119"/>
        <v>0.46437186674607062</v>
      </c>
      <c r="C227" s="298">
        <f t="shared" si="119"/>
        <v>0.43947799790421294</v>
      </c>
      <c r="D227" s="298">
        <f t="shared" si="119"/>
        <v>0.46037613357888812</v>
      </c>
      <c r="E227" s="298">
        <f t="shared" si="119"/>
        <v>0.50148841434835834</v>
      </c>
      <c r="F227" s="298">
        <f t="shared" si="119"/>
        <v>0.41856166351619045</v>
      </c>
      <c r="G227" s="298">
        <f t="shared" si="119"/>
        <v>0.51801468677747275</v>
      </c>
      <c r="H227" s="298">
        <f t="shared" si="119"/>
        <v>0.52113789490602591</v>
      </c>
      <c r="I227" s="298">
        <f t="shared" si="119"/>
        <v>0.4643550884663144</v>
      </c>
      <c r="J227" s="298">
        <f t="shared" si="119"/>
        <v>0.43877066787006896</v>
      </c>
      <c r="K227" s="298">
        <f t="shared" si="119"/>
        <v>0.41106415897738674</v>
      </c>
      <c r="L227" s="298">
        <f t="shared" si="119"/>
        <v>0.40848227525161707</v>
      </c>
      <c r="M227" s="298">
        <f t="shared" si="119"/>
        <v>0.35942935720361385</v>
      </c>
      <c r="N227" s="298">
        <f t="shared" si="119"/>
        <v>0.99470671110001407</v>
      </c>
      <c r="O227" s="298">
        <f t="shared" si="119"/>
        <v>0.39650691989386788</v>
      </c>
      <c r="P227" s="298">
        <f t="shared" si="119"/>
        <v>0.39206494834266037</v>
      </c>
      <c r="Q227" s="298">
        <f t="shared" si="119"/>
        <v>0.49284486486197915</v>
      </c>
      <c r="R227" s="298">
        <f t="shared" si="119"/>
        <v>0.45620988528050671</v>
      </c>
      <c r="S227" s="298">
        <f t="shared" si="119"/>
        <v>0.54075171169023173</v>
      </c>
      <c r="T227" s="298">
        <f t="shared" si="119"/>
        <v>0.7841929701909478</v>
      </c>
      <c r="U227" s="298">
        <f t="shared" si="119"/>
        <v>0.3621452479651871</v>
      </c>
      <c r="V227" s="298">
        <f t="shared" si="119"/>
        <v>0.30583217423173237</v>
      </c>
      <c r="W227" s="298">
        <f t="shared" si="119"/>
        <v>0.52890475890551525</v>
      </c>
      <c r="X227" s="298">
        <f t="shared" si="119"/>
        <v>0.32873036527090949</v>
      </c>
      <c r="Y227" s="298">
        <f t="shared" si="119"/>
        <v>0.5016024853597203</v>
      </c>
      <c r="Z227" s="298">
        <f t="shared" si="119"/>
        <v>0.4740219000278113</v>
      </c>
      <c r="AA227" s="298">
        <f t="shared" si="119"/>
        <v>0.51927582209038214</v>
      </c>
      <c r="AB227" s="298">
        <f t="shared" si="119"/>
        <v>0.39734507703492139</v>
      </c>
      <c r="AC227" s="298">
        <f t="shared" si="119"/>
        <v>1.4245876772942156</v>
      </c>
      <c r="AD227" s="298">
        <f t="shared" si="119"/>
        <v>0.37770053749807836</v>
      </c>
      <c r="AE227" s="298">
        <f t="shared" si="119"/>
        <v>0.53805177384588621</v>
      </c>
      <c r="AF227" s="240"/>
      <c r="AG227" s="240"/>
    </row>
    <row r="228" spans="1:33">
      <c r="A228" s="240" t="s">
        <v>233</v>
      </c>
      <c r="B228" s="298">
        <f t="shared" si="119"/>
        <v>0.56189420611912877</v>
      </c>
      <c r="C228" s="298">
        <f t="shared" si="119"/>
        <v>0.46965127680012508</v>
      </c>
      <c r="D228" s="298">
        <f t="shared" si="119"/>
        <v>0.44087198539495565</v>
      </c>
      <c r="E228" s="298">
        <f t="shared" si="119"/>
        <v>0.47229677286764649</v>
      </c>
      <c r="F228" s="298">
        <f t="shared" si="119"/>
        <v>0.42552202593480265</v>
      </c>
      <c r="G228" s="298">
        <f t="shared" si="119"/>
        <v>0.37802277795830708</v>
      </c>
      <c r="H228" s="298">
        <f t="shared" si="119"/>
        <v>0.36775202179130539</v>
      </c>
      <c r="I228" s="298">
        <f t="shared" si="119"/>
        <v>0.38055209490141095</v>
      </c>
      <c r="J228" s="298">
        <f t="shared" si="119"/>
        <v>0.29085312859486145</v>
      </c>
      <c r="K228" s="298">
        <f t="shared" si="119"/>
        <v>0.47418037773151972</v>
      </c>
      <c r="L228" s="298">
        <f t="shared" si="119"/>
        <v>0.46505950685355746</v>
      </c>
      <c r="M228" s="298">
        <f t="shared" si="119"/>
        <v>0.42497072018833248</v>
      </c>
      <c r="N228" s="298">
        <f t="shared" si="119"/>
        <v>0.67102555264143748</v>
      </c>
      <c r="O228" s="298">
        <f t="shared" si="119"/>
        <v>0.51511875873873447</v>
      </c>
      <c r="P228" s="298">
        <f t="shared" si="119"/>
        <v>0.34764405194353226</v>
      </c>
      <c r="Q228" s="298">
        <f t="shared" si="119"/>
        <v>0.43002557940712838</v>
      </c>
      <c r="R228" s="298">
        <f t="shared" si="119"/>
        <v>0.52643757711154338</v>
      </c>
      <c r="S228" s="298">
        <f t="shared" si="119"/>
        <v>0.44821376056234652</v>
      </c>
      <c r="T228" s="298">
        <f t="shared" si="119"/>
        <v>0.31970755603634443</v>
      </c>
      <c r="U228" s="298">
        <f t="shared" si="119"/>
        <v>0.73542611994599982</v>
      </c>
      <c r="V228" s="298">
        <f t="shared" si="119"/>
        <v>0.4397531130975687</v>
      </c>
      <c r="W228" s="298">
        <f t="shared" si="119"/>
        <v>0.38056209427218995</v>
      </c>
      <c r="X228" s="298">
        <f t="shared" si="119"/>
        <v>0.34606160020986576</v>
      </c>
      <c r="Y228" s="298">
        <f t="shared" si="119"/>
        <v>0.53019416069168546</v>
      </c>
      <c r="Z228" s="298">
        <f t="shared" si="119"/>
        <v>0.37071330074550152</v>
      </c>
      <c r="AA228" s="298">
        <f t="shared" si="119"/>
        <v>0.4089865524748354</v>
      </c>
      <c r="AB228" s="298">
        <f t="shared" si="119"/>
        <v>0.59021149734596934</v>
      </c>
      <c r="AC228" s="298">
        <f t="shared" si="119"/>
        <v>0.24749970699608154</v>
      </c>
      <c r="AD228" s="298">
        <f t="shared" si="119"/>
        <v>0.23911897614781968</v>
      </c>
      <c r="AE228" s="298">
        <f t="shared" si="119"/>
        <v>0.45393351299516199</v>
      </c>
      <c r="AF228" s="240"/>
      <c r="AG228" s="240"/>
    </row>
    <row r="229" spans="1:33">
      <c r="A229" s="240" t="s">
        <v>234</v>
      </c>
      <c r="B229" s="298">
        <f t="shared" si="119"/>
        <v>0.34848662283475101</v>
      </c>
      <c r="C229" s="298">
        <f t="shared" si="119"/>
        <v>0.39816590421106168</v>
      </c>
      <c r="D229" s="298">
        <f t="shared" si="119"/>
        <v>0.44176726052787835</v>
      </c>
      <c r="E229" s="298">
        <f t="shared" si="119"/>
        <v>0.52082478775364749</v>
      </c>
      <c r="F229" s="298">
        <f t="shared" si="119"/>
        <v>0.53388708262063578</v>
      </c>
      <c r="G229" s="298">
        <f t="shared" si="119"/>
        <v>0.54604119455942979</v>
      </c>
      <c r="H229" s="298">
        <f t="shared" si="119"/>
        <v>0.42979977230049154</v>
      </c>
      <c r="I229" s="298">
        <f t="shared" si="119"/>
        <v>0.58624035148706255</v>
      </c>
      <c r="J229" s="298">
        <f t="shared" si="119"/>
        <v>0.52600790135811959</v>
      </c>
      <c r="K229" s="298">
        <f t="shared" si="119"/>
        <v>0.36952277099133762</v>
      </c>
      <c r="L229" s="298">
        <f t="shared" si="119"/>
        <v>0.44107398558590399</v>
      </c>
      <c r="M229" s="298">
        <f t="shared" si="119"/>
        <v>0.45028681050908631</v>
      </c>
      <c r="N229" s="298">
        <f t="shared" si="119"/>
        <v>0.21263228493508077</v>
      </c>
      <c r="O229" s="298">
        <f t="shared" si="119"/>
        <v>0.62390024170511993</v>
      </c>
      <c r="P229" s="298">
        <f t="shared" si="119"/>
        <v>0.45753807341572911</v>
      </c>
      <c r="Q229" s="298">
        <f t="shared" si="119"/>
        <v>0.59037336234482096</v>
      </c>
      <c r="R229" s="298">
        <f t="shared" si="119"/>
        <v>0.98192455354926911</v>
      </c>
      <c r="S229" s="298">
        <f t="shared" si="119"/>
        <v>0.84741803441719821</v>
      </c>
      <c r="T229" s="298">
        <f t="shared" si="119"/>
        <v>1.5068121027542352</v>
      </c>
      <c r="U229" s="298">
        <f t="shared" si="119"/>
        <v>0.41598418776407742</v>
      </c>
      <c r="V229" s="298">
        <f t="shared" si="119"/>
        <v>0.69812280314417652</v>
      </c>
      <c r="W229" s="298">
        <f t="shared" si="119"/>
        <v>0.3555650200769897</v>
      </c>
      <c r="X229" s="298">
        <f t="shared" si="119"/>
        <v>0.9453143400383871</v>
      </c>
      <c r="Y229" s="298">
        <f t="shared" si="119"/>
        <v>0.48257094332778222</v>
      </c>
      <c r="Z229" s="298">
        <f t="shared" si="119"/>
        <v>0.46598570197256028</v>
      </c>
      <c r="AA229" s="298">
        <f t="shared" si="119"/>
        <v>0.40974714760619818</v>
      </c>
      <c r="AB229" s="298">
        <f t="shared" si="119"/>
        <v>-2.8690284580815097</v>
      </c>
      <c r="AC229" s="298">
        <f t="shared" si="119"/>
        <v>0.13422906102920149</v>
      </c>
      <c r="AD229" s="298">
        <f t="shared" si="119"/>
        <v>0.66678721718106315</v>
      </c>
      <c r="AE229" s="298">
        <f t="shared" si="119"/>
        <v>0.45439949136515512</v>
      </c>
      <c r="AF229" s="240"/>
      <c r="AG229" s="240"/>
    </row>
    <row r="230" spans="1:33">
      <c r="A230" s="240" t="s">
        <v>46</v>
      </c>
      <c r="B230" s="298">
        <f t="shared" si="119"/>
        <v>1.3668899552085265</v>
      </c>
      <c r="C230" s="298">
        <f t="shared" si="119"/>
        <v>1.6774986981430793</v>
      </c>
      <c r="D230" s="298">
        <f t="shared" si="119"/>
        <v>0.62272101073006858</v>
      </c>
      <c r="E230" s="298">
        <f t="shared" si="119"/>
        <v>0.51644676857078087</v>
      </c>
      <c r="F230" s="298">
        <f t="shared" si="119"/>
        <v>0.40051461417674927</v>
      </c>
      <c r="G230" s="298">
        <f t="shared" si="119"/>
        <v>0.38401047735696875</v>
      </c>
      <c r="H230" s="298">
        <f t="shared" si="119"/>
        <v>0.44213376308767438</v>
      </c>
      <c r="I230" s="298">
        <f t="shared" si="119"/>
        <v>0.42468716218675179</v>
      </c>
      <c r="J230" s="298">
        <f t="shared" si="119"/>
        <v>0.48957788183621764</v>
      </c>
      <c r="K230" s="298">
        <f t="shared" si="119"/>
        <v>0.44331011223181532</v>
      </c>
      <c r="L230" s="298">
        <f t="shared" si="119"/>
        <v>0.46123799860983133</v>
      </c>
      <c r="M230" s="298">
        <f t="shared" si="119"/>
        <v>1.0313668974441599</v>
      </c>
      <c r="N230" s="298">
        <f t="shared" si="119"/>
        <v>2.5310690496028192</v>
      </c>
      <c r="O230" s="298">
        <f t="shared" si="119"/>
        <v>0.34906112137785994</v>
      </c>
      <c r="P230" s="298">
        <f t="shared" si="119"/>
        <v>4.01699027027027</v>
      </c>
      <c r="Q230" s="298">
        <f t="shared" si="119"/>
        <v>0.36700801918957288</v>
      </c>
      <c r="R230" s="298">
        <f t="shared" si="119"/>
        <v>0.16816189101103449</v>
      </c>
      <c r="S230" s="298">
        <f t="shared" si="119"/>
        <v>0.31337760940196341</v>
      </c>
      <c r="T230" s="298">
        <f t="shared" si="119"/>
        <v>0.32132842415316692</v>
      </c>
      <c r="U230" s="298">
        <f t="shared" si="119"/>
        <v>0.25889544908355816</v>
      </c>
      <c r="V230" s="298">
        <f t="shared" si="119"/>
        <v>0.34059029602717905</v>
      </c>
      <c r="W230" s="298">
        <f t="shared" si="119"/>
        <v>0.99231281911013669</v>
      </c>
      <c r="X230" s="298">
        <f t="shared" si="119"/>
        <v>0.24706335369089158</v>
      </c>
      <c r="Y230" s="298">
        <f t="shared" si="119"/>
        <v>0.36875860396809523</v>
      </c>
      <c r="Z230" s="298">
        <f t="shared" si="119"/>
        <v>0.51351097862152617</v>
      </c>
      <c r="AA230" s="298">
        <f t="shared" si="119"/>
        <v>0.51852285232410211</v>
      </c>
      <c r="AB230" s="298">
        <f t="shared" si="119"/>
        <v>-6.9986945641468012E-2</v>
      </c>
      <c r="AC230" s="298">
        <f t="shared" si="119"/>
        <v>0.71589097055911355</v>
      </c>
      <c r="AD230" s="298">
        <f t="shared" si="119"/>
        <v>0.29917529078686095</v>
      </c>
      <c r="AE230" s="298">
        <f t="shared" si="119"/>
        <v>0.41434040432160774</v>
      </c>
      <c r="AF230" s="240"/>
      <c r="AG230" s="240"/>
    </row>
    <row r="231" spans="1:33">
      <c r="A231" s="240" t="s">
        <v>235</v>
      </c>
      <c r="B231" s="298">
        <f t="shared" si="119"/>
        <v>0.67040133102024924</v>
      </c>
      <c r="C231" s="298">
        <f t="shared" si="119"/>
        <v>0.19339581510889239</v>
      </c>
      <c r="D231" s="298">
        <f t="shared" si="119"/>
        <v>0.32777792170802039</v>
      </c>
      <c r="E231" s="298">
        <f t="shared" si="119"/>
        <v>0.34030744948388059</v>
      </c>
      <c r="F231" s="298">
        <f t="shared" si="119"/>
        <v>0.38021442651269749</v>
      </c>
      <c r="G231" s="298">
        <f t="shared" si="119"/>
        <v>0.35902563747881316</v>
      </c>
      <c r="H231" s="298">
        <f t="shared" si="119"/>
        <v>0.39532843369620613</v>
      </c>
      <c r="I231" s="298">
        <f t="shared" si="119"/>
        <v>0.99682418573011644</v>
      </c>
      <c r="J231" s="298">
        <f t="shared" si="119"/>
        <v>0.32711427636050466</v>
      </c>
      <c r="K231" s="298">
        <f t="shared" si="119"/>
        <v>0.79987769775720485</v>
      </c>
      <c r="L231" s="298">
        <f t="shared" si="119"/>
        <v>0.44713735507698954</v>
      </c>
      <c r="M231" s="298">
        <f t="shared" si="119"/>
        <v>0.20143829657772536</v>
      </c>
      <c r="N231" s="298">
        <f t="shared" si="119"/>
        <v>0.21443407759978456</v>
      </c>
      <c r="O231" s="298">
        <f t="shared" si="119"/>
        <v>0.70813671576128534</v>
      </c>
      <c r="P231" s="298">
        <f t="shared" si="119"/>
        <v>6.1271489309261205E-2</v>
      </c>
      <c r="Q231" s="298">
        <f t="shared" ref="B231:AR233" si="120">Q215/Q89</f>
        <v>0.27774373056450441</v>
      </c>
      <c r="R231" s="298">
        <f t="shared" si="120"/>
        <v>0.45777736158366827</v>
      </c>
      <c r="S231" s="298">
        <f t="shared" si="120"/>
        <v>0.36973070573613165</v>
      </c>
      <c r="T231" s="298">
        <f t="shared" si="120"/>
        <v>0.18661670534940294</v>
      </c>
      <c r="U231" s="298">
        <f t="shared" si="120"/>
        <v>0.91080564838595346</v>
      </c>
      <c r="V231" s="298">
        <f t="shared" si="120"/>
        <v>0.33912100871135775</v>
      </c>
      <c r="W231" s="298">
        <f t="shared" si="120"/>
        <v>0.2149905258855298</v>
      </c>
      <c r="X231" s="298">
        <f t="shared" si="120"/>
        <v>0.34234377081560713</v>
      </c>
      <c r="Y231" s="298">
        <f t="shared" si="120"/>
        <v>0.38609622873244187</v>
      </c>
      <c r="Z231" s="298">
        <f t="shared" si="120"/>
        <v>0.4772176062946264</v>
      </c>
      <c r="AA231" s="298">
        <f t="shared" si="120"/>
        <v>0.2869444401715</v>
      </c>
      <c r="AB231" s="298">
        <f t="shared" si="120"/>
        <v>0.27610120802417842</v>
      </c>
      <c r="AC231" s="298">
        <f t="shared" si="120"/>
        <v>0.59730341746360105</v>
      </c>
      <c r="AD231" s="298">
        <f t="shared" si="120"/>
        <v>0.32975025717219619</v>
      </c>
      <c r="AE231" s="298">
        <f t="shared" si="120"/>
        <v>0.39947681993102796</v>
      </c>
      <c r="AF231" s="240"/>
      <c r="AG231" s="240"/>
    </row>
    <row r="232" spans="1:33">
      <c r="A232" s="240" t="s">
        <v>236</v>
      </c>
      <c r="B232" s="298">
        <f t="shared" si="120"/>
        <v>8.6569977703784856E-2</v>
      </c>
      <c r="C232" s="298">
        <f t="shared" si="120"/>
        <v>0.24044802666172183</v>
      </c>
      <c r="D232" s="298">
        <f t="shared" si="120"/>
        <v>0.32129232899192295</v>
      </c>
      <c r="E232" s="298">
        <f t="shared" si="120"/>
        <v>0.28027584056922655</v>
      </c>
      <c r="F232" s="298">
        <f t="shared" si="120"/>
        <v>0.35019922781905455</v>
      </c>
      <c r="G232" s="298">
        <f t="shared" si="120"/>
        <v>0.4523931176603227</v>
      </c>
      <c r="H232" s="298">
        <f t="shared" si="120"/>
        <v>0.40230716213258932</v>
      </c>
      <c r="I232" s="298">
        <f t="shared" si="120"/>
        <v>0.38873565605178262</v>
      </c>
      <c r="J232" s="298">
        <f t="shared" si="120"/>
        <v>0.41536228561078115</v>
      </c>
      <c r="K232" s="298">
        <f t="shared" si="120"/>
        <v>0.2337642322464169</v>
      </c>
      <c r="L232" s="298">
        <f t="shared" si="120"/>
        <v>0.45947451385024879</v>
      </c>
      <c r="M232" s="298">
        <f t="shared" si="120"/>
        <v>0.44178028045640533</v>
      </c>
      <c r="N232" s="298">
        <f t="shared" si="120"/>
        <v>0.10921161358048537</v>
      </c>
      <c r="O232" s="298">
        <f t="shared" si="120"/>
        <v>0.1968760741837767</v>
      </c>
      <c r="P232" s="298">
        <f t="shared" si="120"/>
        <v>0.4023912354043534</v>
      </c>
      <c r="Q232" s="298">
        <f t="shared" si="120"/>
        <v>0.3131017494364487</v>
      </c>
      <c r="R232" s="298">
        <f t="shared" si="120"/>
        <v>0.41058276271306804</v>
      </c>
      <c r="S232" s="298">
        <f t="shared" si="120"/>
        <v>0.49871009042651121</v>
      </c>
      <c r="T232" s="298">
        <f t="shared" si="120"/>
        <v>0.35537371350467784</v>
      </c>
      <c r="U232" s="298">
        <f t="shared" si="120"/>
        <v>0.21020169701211444</v>
      </c>
      <c r="V232" s="298">
        <f t="shared" si="120"/>
        <v>0.29277604792822404</v>
      </c>
      <c r="W232" s="298">
        <f t="shared" si="120"/>
        <v>0.25440040526156821</v>
      </c>
      <c r="X232" s="298">
        <f t="shared" si="120"/>
        <v>0.364865161956481</v>
      </c>
      <c r="Y232" s="298">
        <f t="shared" si="120"/>
        <v>0.3386563648186815</v>
      </c>
      <c r="Z232" s="298">
        <f t="shared" si="120"/>
        <v>0.27744531200152622</v>
      </c>
      <c r="AA232" s="298">
        <f t="shared" si="120"/>
        <v>0.43423509283344175</v>
      </c>
      <c r="AB232" s="298">
        <f t="shared" si="120"/>
        <v>0.37079148514865962</v>
      </c>
      <c r="AC232" s="298">
        <f t="shared" si="120"/>
        <v>0.32362479331343352</v>
      </c>
      <c r="AD232" s="298">
        <f t="shared" si="120"/>
        <v>0.35927756516073245</v>
      </c>
      <c r="AE232" s="298">
        <f t="shared" si="120"/>
        <v>0.35879460732770924</v>
      </c>
      <c r="AF232" s="240"/>
      <c r="AG232" s="240"/>
    </row>
    <row r="233" spans="1:33">
      <c r="A233" s="240" t="s">
        <v>237</v>
      </c>
      <c r="B233" s="298">
        <f t="shared" si="120"/>
        <v>0.33224128488210147</v>
      </c>
      <c r="C233" s="298">
        <f t="shared" si="120"/>
        <v>0.29431082891049315</v>
      </c>
      <c r="D233" s="298">
        <f t="shared" si="120"/>
        <v>0.35606725762327174</v>
      </c>
      <c r="E233" s="298">
        <f t="shared" si="120"/>
        <v>0.34501692699317216</v>
      </c>
      <c r="F233" s="298">
        <f t="shared" si="120"/>
        <v>0.34571369176068312</v>
      </c>
      <c r="G233" s="298">
        <f t="shared" si="120"/>
        <v>0.44415647899227101</v>
      </c>
      <c r="H233" s="298">
        <f t="shared" si="120"/>
        <v>0.46220642511236254</v>
      </c>
      <c r="I233" s="298">
        <f t="shared" si="120"/>
        <v>0.19272658027127842</v>
      </c>
      <c r="J233" s="298">
        <f t="shared" si="120"/>
        <v>0.39526098921538966</v>
      </c>
      <c r="K233" s="298">
        <f t="shared" si="120"/>
        <v>0.42745189499437053</v>
      </c>
      <c r="L233" s="298">
        <f t="shared" si="120"/>
        <v>0.31955854462734945</v>
      </c>
      <c r="M233" s="298">
        <f t="shared" si="120"/>
        <v>0.36279548227478065</v>
      </c>
      <c r="N233" s="298">
        <f t="shared" si="120"/>
        <v>0.31503804807832836</v>
      </c>
      <c r="O233" s="298">
        <f t="shared" si="120"/>
        <v>0.47016930342950197</v>
      </c>
      <c r="P233" s="298">
        <f t="shared" si="120"/>
        <v>0.22214435722903236</v>
      </c>
      <c r="Q233" s="298">
        <f t="shared" si="120"/>
        <v>0.37593306296977058</v>
      </c>
      <c r="R233" s="298">
        <f t="shared" si="120"/>
        <v>0.4055585846424633</v>
      </c>
      <c r="S233" s="298">
        <f t="shared" si="120"/>
        <v>0.21041858827864016</v>
      </c>
      <c r="T233" s="298">
        <f t="shared" si="120"/>
        <v>0.3487762488694417</v>
      </c>
      <c r="U233" s="298">
        <f t="shared" si="120"/>
        <v>0.41371481896812834</v>
      </c>
      <c r="V233" s="298">
        <f t="shared" si="120"/>
        <v>0.49896543097614088</v>
      </c>
      <c r="W233" s="298">
        <f t="shared" si="120"/>
        <v>0.41980608735109198</v>
      </c>
      <c r="X233" s="298">
        <f t="shared" si="120"/>
        <v>0.74844581536138055</v>
      </c>
      <c r="Y233" s="298">
        <f t="shared" si="120"/>
        <v>0.42862994016974515</v>
      </c>
      <c r="Z233" s="298">
        <f t="shared" si="120"/>
        <v>0.44136229443800151</v>
      </c>
      <c r="AA233" s="298">
        <f t="shared" si="120"/>
        <v>0.41074432365372993</v>
      </c>
      <c r="AB233" s="298">
        <f t="shared" si="120"/>
        <v>0.37338721211045006</v>
      </c>
      <c r="AC233" s="298">
        <f t="shared" si="120"/>
        <v>0.20515162965633754</v>
      </c>
      <c r="AD233" s="298">
        <f t="shared" si="120"/>
        <v>0.43923657053348447</v>
      </c>
      <c r="AE233" s="298">
        <f t="shared" si="120"/>
        <v>0.35527936634156998</v>
      </c>
      <c r="AF233" s="240"/>
      <c r="AG233" s="240"/>
    </row>
    <row r="234" spans="1:33">
      <c r="A234" s="240" t="s">
        <v>238</v>
      </c>
      <c r="B234" s="298">
        <f>B218/C80</f>
        <v>0.3102691725010544</v>
      </c>
      <c r="C234" s="298">
        <f t="shared" ref="C234:Y234" si="121">C218/D80</f>
        <v>0.44230906879552173</v>
      </c>
      <c r="D234" s="298">
        <f t="shared" si="121"/>
        <v>0.49225688610931168</v>
      </c>
      <c r="E234" s="298">
        <f t="shared" si="121"/>
        <v>0.3943951486977153</v>
      </c>
      <c r="F234" s="298">
        <f t="shared" si="121"/>
        <v>0.38159901723066836</v>
      </c>
      <c r="G234" s="298">
        <f t="shared" si="121"/>
        <v>0.41644026880799101</v>
      </c>
      <c r="H234" s="298">
        <f t="shared" si="121"/>
        <v>0.56646800332791347</v>
      </c>
      <c r="I234" s="298">
        <f t="shared" si="121"/>
        <v>0.47343970030983662</v>
      </c>
      <c r="J234" s="298">
        <f t="shared" si="121"/>
        <v>0.37470645175302963</v>
      </c>
      <c r="K234" s="298">
        <f t="shared" si="121"/>
        <v>0.3112551807230064</v>
      </c>
      <c r="L234" s="298">
        <f t="shared" si="121"/>
        <v>0.44928649327874198</v>
      </c>
      <c r="M234" s="298">
        <f t="shared" si="121"/>
        <v>0.42827691535186402</v>
      </c>
      <c r="N234" s="298">
        <f t="shared" si="121"/>
        <v>0.55415243052512508</v>
      </c>
      <c r="O234" s="298">
        <f t="shared" si="121"/>
        <v>0.31591267872105983</v>
      </c>
      <c r="P234" s="298">
        <f t="shared" si="121"/>
        <v>0.44724805179225574</v>
      </c>
      <c r="Q234" s="298">
        <f t="shared" si="121"/>
        <v>0.46629919884657323</v>
      </c>
      <c r="R234" s="298">
        <f t="shared" si="121"/>
        <v>0.34053970827458069</v>
      </c>
      <c r="S234" s="298">
        <f t="shared" si="121"/>
        <v>0.380927259792677</v>
      </c>
      <c r="T234" s="298">
        <f t="shared" si="121"/>
        <v>0.49951886151218738</v>
      </c>
      <c r="U234" s="298">
        <f t="shared" si="121"/>
        <v>0.54737608974231433</v>
      </c>
      <c r="V234" s="298">
        <f t="shared" si="121"/>
        <v>0.62080778681299942</v>
      </c>
      <c r="W234" s="298">
        <f t="shared" si="121"/>
        <v>0.60327936372446478</v>
      </c>
      <c r="X234" s="298">
        <f t="shared" si="121"/>
        <v>0.24966966247253844</v>
      </c>
      <c r="Y234" s="298">
        <f t="shared" si="121"/>
        <v>0.41553250957877658</v>
      </c>
      <c r="Z234" s="298">
        <f>Z218/AA80</f>
        <v>0.38146372133980716</v>
      </c>
      <c r="AA234" s="298">
        <f>AA218/AB80</f>
        <v>0.44933697554176288</v>
      </c>
      <c r="AB234" s="298">
        <f>AB218/AC80</f>
        <v>0.56385422390038475</v>
      </c>
      <c r="AC234" s="298">
        <f>AC218/AD80</f>
        <v>0.38798597831687665</v>
      </c>
      <c r="AD234" s="298">
        <f t="shared" ref="AD234:AE234" si="122">AD218/AE80</f>
        <v>1.145744122861982</v>
      </c>
      <c r="AE234" s="298" t="e">
        <f t="shared" si="122"/>
        <v>#DIV/0!</v>
      </c>
      <c r="AF234" s="240"/>
      <c r="AG234" s="240"/>
    </row>
    <row r="235" spans="1:33" ht="15.75" thickBot="1">
      <c r="A235" s="240" t="s">
        <v>255</v>
      </c>
      <c r="B235" s="258">
        <v>0.41973684210526313</v>
      </c>
      <c r="C235" s="258">
        <v>0.413953488372093</v>
      </c>
      <c r="D235" s="258">
        <v>0.42541924095322153</v>
      </c>
      <c r="E235" s="258">
        <v>0.42708333333333331</v>
      </c>
      <c r="F235" s="258">
        <v>0.41306122448979593</v>
      </c>
      <c r="G235" s="258">
        <v>0.42384105960264901</v>
      </c>
      <c r="H235" s="258">
        <v>0.42379788101059496</v>
      </c>
      <c r="I235" s="258">
        <v>0.43033707865168541</v>
      </c>
      <c r="J235" s="258">
        <v>0.43076923076923079</v>
      </c>
      <c r="K235" s="258">
        <v>0.43</v>
      </c>
      <c r="L235" s="258">
        <v>0.43032786885245899</v>
      </c>
      <c r="M235" s="258">
        <v>0.43008849557522122</v>
      </c>
      <c r="N235" s="258">
        <v>0.43</v>
      </c>
      <c r="O235" s="258">
        <v>0.43</v>
      </c>
      <c r="P235" s="258">
        <v>0.43</v>
      </c>
      <c r="Q235" s="258">
        <v>0.43</v>
      </c>
      <c r="R235" s="258">
        <v>0.4303448275862069</v>
      </c>
      <c r="S235" s="258">
        <v>0.43032258064516127</v>
      </c>
      <c r="T235" s="258">
        <v>0.43</v>
      </c>
      <c r="U235" s="258">
        <v>0.43</v>
      </c>
      <c r="V235" s="258">
        <v>0.43</v>
      </c>
      <c r="W235" s="258">
        <v>0.43</v>
      </c>
      <c r="X235" s="258">
        <v>0.44</v>
      </c>
      <c r="Y235" s="258">
        <v>0.44</v>
      </c>
      <c r="Z235" s="258">
        <v>0.44</v>
      </c>
      <c r="AA235" s="259">
        <v>0.44</v>
      </c>
      <c r="AB235" s="259">
        <v>0.44</v>
      </c>
      <c r="AC235" s="259">
        <v>0.44</v>
      </c>
      <c r="AD235" s="259">
        <v>0.44</v>
      </c>
      <c r="AE235" s="259">
        <f t="shared" ref="AE235" si="123">FORECAST(AE45,L235:AD235,L45:AD45)</f>
        <v>0.44101601560797032</v>
      </c>
    </row>
    <row r="236" spans="1:33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  <c r="AD236" s="248"/>
      <c r="AE236" s="248"/>
    </row>
    <row r="237" spans="1:33" ht="15.75" thickBot="1">
      <c r="A237" s="235" t="s">
        <v>264</v>
      </c>
    </row>
    <row r="238" spans="1:33" ht="15.75" thickBot="1">
      <c r="A238" s="236"/>
      <c r="B238" s="237" t="str">
        <f>B$2</f>
        <v xml:space="preserve">93/94 </v>
      </c>
      <c r="C238" s="237" t="str">
        <f t="shared" ref="C238:AE238" si="124">C$2</f>
        <v xml:space="preserve">94/95 </v>
      </c>
      <c r="D238" s="237" t="str">
        <f t="shared" si="124"/>
        <v xml:space="preserve">95/96 </v>
      </c>
      <c r="E238" s="237" t="str">
        <f t="shared" si="124"/>
        <v xml:space="preserve">96/97 </v>
      </c>
      <c r="F238" s="237" t="str">
        <f t="shared" si="124"/>
        <v xml:space="preserve">97/98 </v>
      </c>
      <c r="G238" s="237" t="str">
        <f t="shared" si="124"/>
        <v xml:space="preserve">98/99 </v>
      </c>
      <c r="H238" s="237" t="str">
        <f t="shared" si="124"/>
        <v xml:space="preserve">99/00 </v>
      </c>
      <c r="I238" s="237" t="str">
        <f t="shared" si="124"/>
        <v xml:space="preserve">00/01 </v>
      </c>
      <c r="J238" s="237" t="str">
        <f t="shared" si="124"/>
        <v xml:space="preserve">01/02 </v>
      </c>
      <c r="K238" s="237" t="str">
        <f t="shared" si="124"/>
        <v xml:space="preserve">02/03 </v>
      </c>
      <c r="L238" s="237" t="str">
        <f t="shared" si="124"/>
        <v xml:space="preserve">03/04 </v>
      </c>
      <c r="M238" s="237" t="str">
        <f t="shared" si="124"/>
        <v xml:space="preserve">04/05 </v>
      </c>
      <c r="N238" s="237" t="str">
        <f t="shared" si="124"/>
        <v xml:space="preserve">05/06 </v>
      </c>
      <c r="O238" s="237" t="str">
        <f t="shared" si="124"/>
        <v xml:space="preserve">06/07 </v>
      </c>
      <c r="P238" s="237" t="str">
        <f t="shared" si="124"/>
        <v xml:space="preserve">07/08 </v>
      </c>
      <c r="Q238" s="237" t="str">
        <f t="shared" si="124"/>
        <v xml:space="preserve">08/09 </v>
      </c>
      <c r="R238" s="237" t="str">
        <f t="shared" si="124"/>
        <v xml:space="preserve">09/10 </v>
      </c>
      <c r="S238" s="237" t="str">
        <f t="shared" si="124"/>
        <v xml:space="preserve">10/11 </v>
      </c>
      <c r="T238" s="237" t="str">
        <f t="shared" si="124"/>
        <v xml:space="preserve">11/12 </v>
      </c>
      <c r="U238" s="237" t="str">
        <f t="shared" si="124"/>
        <v xml:space="preserve">12/13 </v>
      </c>
      <c r="V238" s="237" t="str">
        <f t="shared" si="124"/>
        <v xml:space="preserve">13/14 </v>
      </c>
      <c r="W238" s="237" t="str">
        <f t="shared" si="124"/>
        <v xml:space="preserve">14/15 </v>
      </c>
      <c r="X238" s="237" t="str">
        <f t="shared" si="124"/>
        <v xml:space="preserve">15/16 </v>
      </c>
      <c r="Y238" s="237" t="str">
        <f t="shared" si="124"/>
        <v xml:space="preserve">16/17 </v>
      </c>
      <c r="Z238" s="237" t="str">
        <f t="shared" si="124"/>
        <v xml:space="preserve">17/18 </v>
      </c>
      <c r="AA238" s="237" t="str">
        <f t="shared" si="124"/>
        <v xml:space="preserve">18/19 </v>
      </c>
      <c r="AB238" s="237" t="str">
        <f t="shared" si="124"/>
        <v xml:space="preserve">19/20 </v>
      </c>
      <c r="AC238" s="237" t="str">
        <f t="shared" si="124"/>
        <v xml:space="preserve">20/21 </v>
      </c>
      <c r="AD238" s="237" t="str">
        <f t="shared" si="124"/>
        <v xml:space="preserve">21/22 </v>
      </c>
      <c r="AE238" s="237" t="str">
        <f t="shared" si="124"/>
        <v xml:space="preserve">22/23 </v>
      </c>
    </row>
    <row r="239" spans="1:33">
      <c r="A239" s="240" t="s">
        <v>239</v>
      </c>
      <c r="B239" s="298">
        <f t="shared" ref="B239:AE247" si="125">B223+B112</f>
        <v>0.84381920247729503</v>
      </c>
      <c r="C239" s="298">
        <f t="shared" si="125"/>
        <v>0.8921429410821643</v>
      </c>
      <c r="D239" s="298">
        <f t="shared" si="125"/>
        <v>0.93776387086601487</v>
      </c>
      <c r="E239" s="298">
        <f t="shared" si="125"/>
        <v>0.95328102040755269</v>
      </c>
      <c r="F239" s="298">
        <f t="shared" si="125"/>
        <v>0.92445133835055993</v>
      </c>
      <c r="G239" s="298">
        <f t="shared" si="125"/>
        <v>0.9302196460243608</v>
      </c>
      <c r="H239" s="298">
        <f t="shared" si="125"/>
        <v>0.8883926987839319</v>
      </c>
      <c r="I239" s="298">
        <f t="shared" si="125"/>
        <v>0.86326682104936148</v>
      </c>
      <c r="J239" s="298">
        <f t="shared" si="125"/>
        <v>1.408203513852754</v>
      </c>
      <c r="K239" s="298">
        <f t="shared" si="125"/>
        <v>0.94729061249438895</v>
      </c>
      <c r="L239" s="298">
        <f t="shared" si="125"/>
        <v>0.95962755432369895</v>
      </c>
      <c r="M239" s="298">
        <f t="shared" si="125"/>
        <v>1.0173920050506344</v>
      </c>
      <c r="N239" s="298">
        <f t="shared" si="125"/>
        <v>0.95531709800009168</v>
      </c>
      <c r="O239" s="298">
        <f t="shared" si="125"/>
        <v>0.93842620215888495</v>
      </c>
      <c r="P239" s="298">
        <f t="shared" si="125"/>
        <v>1.1025692891076031</v>
      </c>
      <c r="Q239" s="298">
        <f t="shared" si="125"/>
        <v>1.2199302282404196</v>
      </c>
      <c r="R239" s="298">
        <f t="shared" si="125"/>
        <v>0.99326268060532708</v>
      </c>
      <c r="S239" s="298">
        <f t="shared" si="125"/>
        <v>0.9462763809036967</v>
      </c>
      <c r="T239" s="298">
        <f t="shared" si="125"/>
        <v>1.1180070896677783</v>
      </c>
      <c r="U239" s="298">
        <f t="shared" si="125"/>
        <v>1.3398903695491915</v>
      </c>
      <c r="V239" s="298">
        <f t="shared" si="125"/>
        <v>0.89532098587664233</v>
      </c>
      <c r="W239" s="298">
        <f t="shared" si="125"/>
        <v>0.91361696986396046</v>
      </c>
      <c r="X239" s="298">
        <f t="shared" si="125"/>
        <v>1.0791037072159437</v>
      </c>
      <c r="Y239" s="298">
        <f t="shared" si="125"/>
        <v>1.3980247523902054</v>
      </c>
      <c r="Z239" s="298">
        <f t="shared" si="125"/>
        <v>1.7833116945559442</v>
      </c>
      <c r="AA239" s="259">
        <f t="shared" si="125"/>
        <v>0.98531527695632848</v>
      </c>
      <c r="AB239" s="259">
        <f t="shared" si="125"/>
        <v>0.99218398059751811</v>
      </c>
      <c r="AC239" s="259">
        <f t="shared" si="125"/>
        <v>1.2509216905025129</v>
      </c>
      <c r="AD239" s="259">
        <f t="shared" si="125"/>
        <v>1.158843738857078</v>
      </c>
      <c r="AE239" s="259">
        <f t="shared" si="125"/>
        <v>1.1825049241931966</v>
      </c>
    </row>
    <row r="240" spans="1:33">
      <c r="A240" s="240" t="s">
        <v>240</v>
      </c>
      <c r="B240" s="298">
        <f t="shared" si="125"/>
        <v>0.87207307728128247</v>
      </c>
      <c r="C240" s="298">
        <f t="shared" si="125"/>
        <v>0.8402493553306799</v>
      </c>
      <c r="D240" s="298">
        <f t="shared" si="125"/>
        <v>0.87904330623403748</v>
      </c>
      <c r="E240" s="298">
        <f t="shared" si="125"/>
        <v>0.88541957019594619</v>
      </c>
      <c r="F240" s="298">
        <f t="shared" si="125"/>
        <v>0.91266304263521603</v>
      </c>
      <c r="G240" s="298">
        <f t="shared" si="125"/>
        <v>0.93132958428757584</v>
      </c>
      <c r="H240" s="298">
        <f t="shared" si="125"/>
        <v>0.87007282473650904</v>
      </c>
      <c r="I240" s="298">
        <f t="shared" si="125"/>
        <v>0.87951542254458182</v>
      </c>
      <c r="J240" s="298">
        <f t="shared" si="125"/>
        <v>1.8794946609807313</v>
      </c>
      <c r="K240" s="298">
        <f t="shared" si="125"/>
        <v>0.97916871782042381</v>
      </c>
      <c r="L240" s="298">
        <f t="shared" si="125"/>
        <v>1.3293961892552544</v>
      </c>
      <c r="M240" s="298">
        <f t="shared" si="125"/>
        <v>0.90592374488275484</v>
      </c>
      <c r="N240" s="298">
        <f t="shared" si="125"/>
        <v>0.88496574962185615</v>
      </c>
      <c r="O240" s="298">
        <f t="shared" si="125"/>
        <v>0.95960794097020963</v>
      </c>
      <c r="P240" s="298">
        <f t="shared" si="125"/>
        <v>0.91045695388438208</v>
      </c>
      <c r="Q240" s="298">
        <f t="shared" si="125"/>
        <v>1.1890402410434184</v>
      </c>
      <c r="R240" s="298">
        <f t="shared" si="125"/>
        <v>0.98005094842567886</v>
      </c>
      <c r="S240" s="298">
        <f t="shared" si="125"/>
        <v>1.0200335748700229</v>
      </c>
      <c r="T240" s="298">
        <f t="shared" si="125"/>
        <v>0.95714235751941068</v>
      </c>
      <c r="U240" s="298">
        <f t="shared" si="125"/>
        <v>0.89708014114065648</v>
      </c>
      <c r="V240" s="298">
        <f t="shared" si="125"/>
        <v>1.0213498776085204</v>
      </c>
      <c r="W240" s="298">
        <f t="shared" si="125"/>
        <v>1.1326173873237244</v>
      </c>
      <c r="X240" s="298">
        <f t="shared" si="125"/>
        <v>2.8856286534359947</v>
      </c>
      <c r="Y240" s="298">
        <f t="shared" si="125"/>
        <v>0.97134808746465462</v>
      </c>
      <c r="Z240" s="298">
        <f t="shared" si="125"/>
        <v>0.82324505481679622</v>
      </c>
      <c r="AA240" s="259">
        <f t="shared" si="125"/>
        <v>1.1767219960025619</v>
      </c>
      <c r="AB240" s="259">
        <f t="shared" si="125"/>
        <v>1.0694742399809773</v>
      </c>
      <c r="AC240" s="259">
        <f t="shared" si="125"/>
        <v>0.97703390937515588</v>
      </c>
      <c r="AD240" s="259">
        <f t="shared" si="125"/>
        <v>1.0226645834589214</v>
      </c>
      <c r="AE240" s="259">
        <f t="shared" si="125"/>
        <v>1.0220319776468658</v>
      </c>
    </row>
    <row r="241" spans="1:31">
      <c r="A241" s="240" t="s">
        <v>241</v>
      </c>
      <c r="B241" s="298">
        <f t="shared" si="125"/>
        <v>0.87701513344101323</v>
      </c>
      <c r="C241" s="298">
        <f t="shared" si="125"/>
        <v>0.88366928957289881</v>
      </c>
      <c r="D241" s="298">
        <f t="shared" si="125"/>
        <v>0.90067270925168419</v>
      </c>
      <c r="E241" s="298">
        <f t="shared" si="125"/>
        <v>0.90545785726580874</v>
      </c>
      <c r="F241" s="298">
        <f t="shared" si="125"/>
        <v>0.91666369329293573</v>
      </c>
      <c r="G241" s="298">
        <f t="shared" si="125"/>
        <v>1.0322959654443027</v>
      </c>
      <c r="H241" s="298">
        <f t="shared" si="125"/>
        <v>0.93280523858053122</v>
      </c>
      <c r="I241" s="298">
        <f t="shared" si="125"/>
        <v>0.97648259529042991</v>
      </c>
      <c r="J241" s="298">
        <f t="shared" si="125"/>
        <v>0.66480902572734923</v>
      </c>
      <c r="K241" s="298">
        <f t="shared" si="125"/>
        <v>0.93084759108297965</v>
      </c>
      <c r="L241" s="298">
        <f t="shared" si="125"/>
        <v>0.76226405561766641</v>
      </c>
      <c r="M241" s="298">
        <f t="shared" si="125"/>
        <v>1.1451787742136186</v>
      </c>
      <c r="N241" s="298">
        <f t="shared" si="125"/>
        <v>0.9822936998701598</v>
      </c>
      <c r="O241" s="298">
        <f t="shared" si="125"/>
        <v>1.0925663043445684</v>
      </c>
      <c r="P241" s="298">
        <f t="shared" si="125"/>
        <v>1.0063672294073123</v>
      </c>
      <c r="Q241" s="298">
        <f t="shared" si="125"/>
        <v>0.77571884948548775</v>
      </c>
      <c r="R241" s="298">
        <f t="shared" si="125"/>
        <v>1.0934303547090525</v>
      </c>
      <c r="S241" s="298">
        <f t="shared" si="125"/>
        <v>1.0696548007569535</v>
      </c>
      <c r="T241" s="298">
        <f t="shared" si="125"/>
        <v>1.2917569336415249</v>
      </c>
      <c r="U241" s="298">
        <f t="shared" si="125"/>
        <v>0.87979860334800275</v>
      </c>
      <c r="V241" s="298">
        <f t="shared" si="125"/>
        <v>1.1310641537943638</v>
      </c>
      <c r="W241" s="298">
        <f t="shared" si="125"/>
        <v>0.89781519845273772</v>
      </c>
      <c r="X241" s="298">
        <f t="shared" si="125"/>
        <v>0.66449270650251913</v>
      </c>
      <c r="Y241" s="298">
        <f t="shared" si="125"/>
        <v>0.92888000151095929</v>
      </c>
      <c r="Z241" s="298">
        <f t="shared" si="125"/>
        <v>0.84802621227439323</v>
      </c>
      <c r="AA241" s="259">
        <f t="shared" si="125"/>
        <v>1.0813537673149578</v>
      </c>
      <c r="AB241" s="259">
        <f t="shared" si="125"/>
        <v>0.93256493659148487</v>
      </c>
      <c r="AC241" s="259">
        <f t="shared" si="125"/>
        <v>1.0610961362152926</v>
      </c>
      <c r="AD241" s="259">
        <f t="shared" si="125"/>
        <v>0.52559514533404994</v>
      </c>
      <c r="AE241" s="259">
        <f t="shared" si="125"/>
        <v>0.96331017018163412</v>
      </c>
    </row>
    <row r="242" spans="1:31">
      <c r="A242" s="240" t="s">
        <v>231</v>
      </c>
      <c r="B242" s="298">
        <f t="shared" si="125"/>
        <v>0.80471742401978608</v>
      </c>
      <c r="C242" s="298">
        <f t="shared" si="125"/>
        <v>0.82489073974461413</v>
      </c>
      <c r="D242" s="298">
        <f t="shared" si="125"/>
        <v>0.9090960654407465</v>
      </c>
      <c r="E242" s="298">
        <f t="shared" si="125"/>
        <v>0.91216286128521407</v>
      </c>
      <c r="F242" s="298">
        <f t="shared" si="125"/>
        <v>0.90215350222879209</v>
      </c>
      <c r="G242" s="298">
        <f t="shared" si="125"/>
        <v>0.90544294523246738</v>
      </c>
      <c r="H242" s="298">
        <f t="shared" si="125"/>
        <v>0.9378175667748927</v>
      </c>
      <c r="I242" s="298">
        <f t="shared" si="125"/>
        <v>0.90590776810630791</v>
      </c>
      <c r="J242" s="298">
        <f t="shared" si="125"/>
        <v>0.82712468354628088</v>
      </c>
      <c r="K242" s="298">
        <f t="shared" si="125"/>
        <v>1.0340183035412394</v>
      </c>
      <c r="L242" s="298">
        <f t="shared" si="125"/>
        <v>0.97169764213813448</v>
      </c>
      <c r="M242" s="298">
        <f t="shared" si="125"/>
        <v>0.92457264135336048</v>
      </c>
      <c r="N242" s="298">
        <f t="shared" si="125"/>
        <v>0.9122254706928663</v>
      </c>
      <c r="O242" s="298">
        <f t="shared" si="125"/>
        <v>0.92288648758084291</v>
      </c>
      <c r="P242" s="298">
        <f t="shared" si="125"/>
        <v>1.1842748876233191</v>
      </c>
      <c r="Q242" s="298">
        <f t="shared" si="125"/>
        <v>1.1426079704045751</v>
      </c>
      <c r="R242" s="298">
        <f t="shared" si="125"/>
        <v>0.91790168944101524</v>
      </c>
      <c r="S242" s="298">
        <f t="shared" si="125"/>
        <v>0.88019344842845704</v>
      </c>
      <c r="T242" s="298">
        <f t="shared" si="125"/>
        <v>0.73591720909681868</v>
      </c>
      <c r="U242" s="298">
        <f t="shared" si="125"/>
        <v>0.94487423301672635</v>
      </c>
      <c r="V242" s="298">
        <f t="shared" si="125"/>
        <v>0.97854831670854892</v>
      </c>
      <c r="W242" s="298">
        <f t="shared" si="125"/>
        <v>1.0749916680199729</v>
      </c>
      <c r="X242" s="298">
        <f t="shared" si="125"/>
        <v>1.0438574664440192</v>
      </c>
      <c r="Y242" s="298">
        <f t="shared" si="125"/>
        <v>0.82814509918633183</v>
      </c>
      <c r="Z242" s="298">
        <f t="shared" si="125"/>
        <v>1.0691891016707469</v>
      </c>
      <c r="AA242" s="259">
        <f t="shared" si="125"/>
        <v>0.87029128265776823</v>
      </c>
      <c r="AB242" s="259">
        <f t="shared" si="125"/>
        <v>1.0542020623320303</v>
      </c>
      <c r="AC242" s="259">
        <f t="shared" si="125"/>
        <v>0.97854766108659796</v>
      </c>
      <c r="AD242" s="259">
        <f t="shared" si="125"/>
        <v>0.70873893215882777</v>
      </c>
      <c r="AE242" s="259">
        <f t="shared" si="125"/>
        <v>0.95121247218177951</v>
      </c>
    </row>
    <row r="243" spans="1:31">
      <c r="A243" s="240" t="s">
        <v>232</v>
      </c>
      <c r="B243" s="298">
        <f t="shared" si="125"/>
        <v>0.89858239306186016</v>
      </c>
      <c r="C243" s="298">
        <f t="shared" si="125"/>
        <v>0.88598962581118967</v>
      </c>
      <c r="D243" s="298">
        <f t="shared" si="125"/>
        <v>0.92816077612081227</v>
      </c>
      <c r="E243" s="298">
        <f t="shared" si="125"/>
        <v>0.97023841434835845</v>
      </c>
      <c r="F243" s="298">
        <f t="shared" si="125"/>
        <v>0.90835758188353743</v>
      </c>
      <c r="G243" s="298">
        <f t="shared" si="125"/>
        <v>1.014703428499327</v>
      </c>
      <c r="H243" s="298">
        <f t="shared" si="125"/>
        <v>1.0199154010184954</v>
      </c>
      <c r="I243" s="298">
        <f t="shared" si="125"/>
        <v>0.97559104352249415</v>
      </c>
      <c r="J243" s="298">
        <f t="shared" si="125"/>
        <v>0.96184759094699213</v>
      </c>
      <c r="K243" s="298">
        <f t="shared" si="125"/>
        <v>0.93606415897738682</v>
      </c>
      <c r="L243" s="298">
        <f t="shared" si="125"/>
        <v>0.93307243918604332</v>
      </c>
      <c r="M243" s="298">
        <f t="shared" si="125"/>
        <v>0.89040280853104758</v>
      </c>
      <c r="N243" s="298">
        <f t="shared" si="125"/>
        <v>1.5310703474636504</v>
      </c>
      <c r="O243" s="298">
        <f t="shared" si="125"/>
        <v>0.93817358656053451</v>
      </c>
      <c r="P243" s="298">
        <f t="shared" si="125"/>
        <v>0.933731615009327</v>
      </c>
      <c r="Q243" s="298">
        <f t="shared" si="125"/>
        <v>1.0428448648619792</v>
      </c>
      <c r="R243" s="298">
        <f t="shared" si="125"/>
        <v>1.0065547128667136</v>
      </c>
      <c r="S243" s="298">
        <f t="shared" si="125"/>
        <v>1.0910742923353931</v>
      </c>
      <c r="T243" s="298">
        <f t="shared" si="125"/>
        <v>1.3173179701909477</v>
      </c>
      <c r="U243" s="298">
        <f t="shared" si="125"/>
        <v>0.91214524796518714</v>
      </c>
      <c r="V243" s="298">
        <f t="shared" si="125"/>
        <v>0.85583217423173241</v>
      </c>
      <c r="W243" s="298">
        <f t="shared" si="125"/>
        <v>1.0789047589055154</v>
      </c>
      <c r="X243" s="298">
        <f t="shared" si="125"/>
        <v>0.87873036527090953</v>
      </c>
      <c r="Y243" s="298">
        <f t="shared" si="125"/>
        <v>1.0516024853597203</v>
      </c>
      <c r="Z243" s="298">
        <f t="shared" si="125"/>
        <v>1.0240219000278112</v>
      </c>
      <c r="AA243" s="259">
        <f t="shared" si="125"/>
        <v>1.0692758220903822</v>
      </c>
      <c r="AB243" s="259">
        <f t="shared" si="125"/>
        <v>0.93734507703492143</v>
      </c>
      <c r="AC243" s="259">
        <f t="shared" si="125"/>
        <v>1.9645876772942157</v>
      </c>
      <c r="AD243" s="259">
        <f t="shared" si="125"/>
        <v>0.92214666828410952</v>
      </c>
      <c r="AE243" s="259">
        <f t="shared" si="125"/>
        <v>1.0806435287765166</v>
      </c>
    </row>
    <row r="244" spans="1:31">
      <c r="A244" s="240" t="s">
        <v>233</v>
      </c>
      <c r="B244" s="298">
        <f t="shared" si="125"/>
        <v>0.99610473243491826</v>
      </c>
      <c r="C244" s="298">
        <f t="shared" si="125"/>
        <v>0.91616290470710182</v>
      </c>
      <c r="D244" s="298">
        <f t="shared" si="125"/>
        <v>0.90865662793687973</v>
      </c>
      <c r="E244" s="298">
        <f t="shared" si="125"/>
        <v>0.9410467728676466</v>
      </c>
      <c r="F244" s="298">
        <f t="shared" si="125"/>
        <v>0.91531794430214963</v>
      </c>
      <c r="G244" s="298">
        <f t="shared" si="125"/>
        <v>0.87471151968016136</v>
      </c>
      <c r="H244" s="298">
        <f t="shared" si="125"/>
        <v>0.8665295279037748</v>
      </c>
      <c r="I244" s="298">
        <f t="shared" si="125"/>
        <v>0.89178804995759076</v>
      </c>
      <c r="J244" s="298">
        <f t="shared" si="125"/>
        <v>0.81393005167178456</v>
      </c>
      <c r="K244" s="298">
        <f t="shared" si="125"/>
        <v>0.9991803777315198</v>
      </c>
      <c r="L244" s="298">
        <f t="shared" si="125"/>
        <v>0.98964967078798372</v>
      </c>
      <c r="M244" s="298">
        <f t="shared" si="125"/>
        <v>0.95594417151576616</v>
      </c>
      <c r="N244" s="298">
        <f t="shared" si="125"/>
        <v>1.2073891890050739</v>
      </c>
      <c r="O244" s="298">
        <f t="shared" si="125"/>
        <v>1.0567854254054012</v>
      </c>
      <c r="P244" s="298">
        <f t="shared" si="125"/>
        <v>0.88931071861019895</v>
      </c>
      <c r="Q244" s="298">
        <f t="shared" si="125"/>
        <v>0.98002557940712842</v>
      </c>
      <c r="R244" s="298">
        <f t="shared" si="125"/>
        <v>1.0767824046977501</v>
      </c>
      <c r="S244" s="298">
        <f t="shared" si="125"/>
        <v>0.99853634120750778</v>
      </c>
      <c r="T244" s="298">
        <f t="shared" si="125"/>
        <v>0.85283255603634434</v>
      </c>
      <c r="U244" s="298">
        <f t="shared" si="125"/>
        <v>1.285426119946</v>
      </c>
      <c r="V244" s="298">
        <f t="shared" si="125"/>
        <v>0.98975311309756875</v>
      </c>
      <c r="W244" s="298">
        <f t="shared" si="125"/>
        <v>0.93056209427218994</v>
      </c>
      <c r="X244" s="298">
        <f t="shared" si="125"/>
        <v>0.89606160020986581</v>
      </c>
      <c r="Y244" s="298">
        <f t="shared" si="125"/>
        <v>1.0801941606916854</v>
      </c>
      <c r="Z244" s="298">
        <f t="shared" si="125"/>
        <v>0.92071330074550151</v>
      </c>
      <c r="AA244" s="259">
        <f t="shared" si="125"/>
        <v>0.95898655247483544</v>
      </c>
      <c r="AB244" s="259">
        <f t="shared" si="125"/>
        <v>1.1302114973459694</v>
      </c>
      <c r="AC244" s="259">
        <f t="shared" si="125"/>
        <v>0.78749970699608163</v>
      </c>
      <c r="AD244" s="259">
        <f t="shared" si="125"/>
        <v>0.78356510693385073</v>
      </c>
      <c r="AE244" s="259">
        <f t="shared" si="125"/>
        <v>0.99652526792579232</v>
      </c>
    </row>
    <row r="245" spans="1:31">
      <c r="A245" s="240" t="s">
        <v>234</v>
      </c>
      <c r="B245" s="298">
        <f t="shared" si="125"/>
        <v>0.78269714915054056</v>
      </c>
      <c r="C245" s="298">
        <f t="shared" si="125"/>
        <v>0.84467753211803842</v>
      </c>
      <c r="D245" s="298">
        <f t="shared" si="125"/>
        <v>0.90955190306980249</v>
      </c>
      <c r="E245" s="298">
        <f t="shared" si="125"/>
        <v>0.98957478775364749</v>
      </c>
      <c r="F245" s="298">
        <f t="shared" si="125"/>
        <v>1.0236830009879827</v>
      </c>
      <c r="G245" s="298">
        <f t="shared" si="125"/>
        <v>1.0427299362812841</v>
      </c>
      <c r="H245" s="298">
        <f t="shared" si="125"/>
        <v>0.928577278412961</v>
      </c>
      <c r="I245" s="298">
        <f t="shared" si="125"/>
        <v>1.0974763065432422</v>
      </c>
      <c r="J245" s="298">
        <f t="shared" si="125"/>
        <v>1.0490848244350426</v>
      </c>
      <c r="K245" s="298">
        <f t="shared" si="125"/>
        <v>0.8945227709913377</v>
      </c>
      <c r="L245" s="298">
        <f t="shared" si="125"/>
        <v>0.9656641495203302</v>
      </c>
      <c r="M245" s="298">
        <f t="shared" si="125"/>
        <v>0.98126026183652004</v>
      </c>
      <c r="N245" s="298">
        <f t="shared" si="125"/>
        <v>0.74899592129871717</v>
      </c>
      <c r="O245" s="298">
        <f t="shared" si="125"/>
        <v>1.1655669083717866</v>
      </c>
      <c r="P245" s="298">
        <f t="shared" si="125"/>
        <v>0.99920474008239579</v>
      </c>
      <c r="Q245" s="298">
        <f t="shared" si="125"/>
        <v>1.1403733623448211</v>
      </c>
      <c r="R245" s="298">
        <f t="shared" si="125"/>
        <v>1.5322693811354759</v>
      </c>
      <c r="S245" s="298">
        <f t="shared" si="125"/>
        <v>1.3977406150623595</v>
      </c>
      <c r="T245" s="298">
        <f t="shared" si="125"/>
        <v>2.039937102754235</v>
      </c>
      <c r="U245" s="298">
        <f t="shared" si="125"/>
        <v>0.96598418776407746</v>
      </c>
      <c r="V245" s="298">
        <f t="shared" si="125"/>
        <v>1.2481228031441765</v>
      </c>
      <c r="W245" s="298">
        <f t="shared" si="125"/>
        <v>0.9055650200769898</v>
      </c>
      <c r="X245" s="298">
        <f t="shared" si="125"/>
        <v>1.4953143400383873</v>
      </c>
      <c r="Y245" s="298">
        <f t="shared" si="125"/>
        <v>1.0325709433277823</v>
      </c>
      <c r="Z245" s="259">
        <f t="shared" si="125"/>
        <v>1.0159857019725602</v>
      </c>
      <c r="AA245" s="259">
        <f t="shared" si="125"/>
        <v>0.95974714760619828</v>
      </c>
      <c r="AB245" s="259">
        <f t="shared" si="125"/>
        <v>-2.3290284580815097</v>
      </c>
      <c r="AC245" s="259">
        <f t="shared" si="125"/>
        <v>0.67422906102920155</v>
      </c>
      <c r="AD245" s="259">
        <f t="shared" si="125"/>
        <v>1.2112333479670943</v>
      </c>
      <c r="AE245" s="259">
        <f t="shared" si="125"/>
        <v>0.99699124629578539</v>
      </c>
    </row>
    <row r="246" spans="1:31">
      <c r="A246" s="240" t="s">
        <v>46</v>
      </c>
      <c r="B246" s="298">
        <f t="shared" si="125"/>
        <v>1.8011004815243159</v>
      </c>
      <c r="C246" s="298">
        <f t="shared" si="125"/>
        <v>2.124010326050056</v>
      </c>
      <c r="D246" s="298">
        <f t="shared" si="125"/>
        <v>1.0905056532719928</v>
      </c>
      <c r="E246" s="298">
        <f t="shared" si="125"/>
        <v>0.98519676857078087</v>
      </c>
      <c r="F246" s="298">
        <f t="shared" si="125"/>
        <v>0.8903105325440962</v>
      </c>
      <c r="G246" s="298">
        <f t="shared" si="125"/>
        <v>0.88069921907882298</v>
      </c>
      <c r="H246" s="298">
        <f t="shared" si="125"/>
        <v>0.94091126920014378</v>
      </c>
      <c r="I246" s="298">
        <f t="shared" si="125"/>
        <v>0.93592311724293165</v>
      </c>
      <c r="J246" s="298">
        <f t="shared" si="125"/>
        <v>1.0126548049131407</v>
      </c>
      <c r="K246" s="298">
        <f t="shared" si="125"/>
        <v>0.9683101122318154</v>
      </c>
      <c r="L246" s="298">
        <f t="shared" si="125"/>
        <v>0.98582816254425754</v>
      </c>
      <c r="M246" s="298">
        <f t="shared" si="125"/>
        <v>1.5623403487715937</v>
      </c>
      <c r="N246" s="298">
        <f t="shared" si="125"/>
        <v>3.0674326859664554</v>
      </c>
      <c r="O246" s="298">
        <f t="shared" si="125"/>
        <v>0.89072778804452657</v>
      </c>
      <c r="P246" s="298">
        <f t="shared" si="125"/>
        <v>4.558656936936937</v>
      </c>
      <c r="Q246" s="298">
        <f t="shared" si="125"/>
        <v>0.91700801918957286</v>
      </c>
      <c r="R246" s="298">
        <f t="shared" si="125"/>
        <v>0.71850671859724136</v>
      </c>
      <c r="S246" s="298">
        <f t="shared" si="125"/>
        <v>0.86370019004712462</v>
      </c>
      <c r="T246" s="298">
        <f t="shared" si="125"/>
        <v>0.85445342415316694</v>
      </c>
      <c r="U246" s="298">
        <f t="shared" si="125"/>
        <v>0.80889544908355826</v>
      </c>
      <c r="V246" s="298">
        <f t="shared" si="125"/>
        <v>0.8905902960271791</v>
      </c>
      <c r="W246" s="298">
        <f t="shared" si="125"/>
        <v>1.5423128191101367</v>
      </c>
      <c r="X246" s="298">
        <f t="shared" si="125"/>
        <v>0.79706335369089154</v>
      </c>
      <c r="Y246" s="298">
        <f t="shared" si="125"/>
        <v>0.91875860396809528</v>
      </c>
      <c r="Z246" s="259">
        <f t="shared" si="125"/>
        <v>1.0635109786215262</v>
      </c>
      <c r="AA246" s="259">
        <f t="shared" si="125"/>
        <v>1.0685228523241022</v>
      </c>
      <c r="AB246" s="259">
        <f t="shared" si="125"/>
        <v>0.47001305435853202</v>
      </c>
      <c r="AC246" s="259">
        <f t="shared" si="125"/>
        <v>1.2558909705591135</v>
      </c>
      <c r="AD246" s="259">
        <f t="shared" si="125"/>
        <v>0.84362142157289211</v>
      </c>
      <c r="AE246" s="259">
        <f t="shared" si="125"/>
        <v>0.95693215925223796</v>
      </c>
    </row>
    <row r="247" spans="1:31">
      <c r="A247" s="240" t="s">
        <v>235</v>
      </c>
      <c r="B247" s="298">
        <f t="shared" si="125"/>
        <v>1.1046118573360388</v>
      </c>
      <c r="C247" s="298">
        <f t="shared" si="125"/>
        <v>0.6399074430158691</v>
      </c>
      <c r="D247" s="298">
        <f t="shared" si="125"/>
        <v>0.79556256424994443</v>
      </c>
      <c r="E247" s="298">
        <f t="shared" si="125"/>
        <v>0.80905744948388059</v>
      </c>
      <c r="F247" s="298">
        <f t="shared" si="125"/>
        <v>0.87001034488004447</v>
      </c>
      <c r="G247" s="298">
        <f t="shared" si="125"/>
        <v>0.8557143792006674</v>
      </c>
      <c r="H247" s="298">
        <f t="shared" si="125"/>
        <v>0.89410593980867559</v>
      </c>
      <c r="I247" s="298">
        <f t="shared" si="125"/>
        <v>1.5080601407862964</v>
      </c>
      <c r="J247" s="298">
        <f t="shared" si="125"/>
        <v>0.85019119943742782</v>
      </c>
      <c r="K247" s="298">
        <f t="shared" si="125"/>
        <v>1.3248776977572048</v>
      </c>
      <c r="L247" s="298">
        <f t="shared" si="125"/>
        <v>0.97172751901141585</v>
      </c>
      <c r="M247" s="298">
        <f t="shared" si="125"/>
        <v>0.73241174790515906</v>
      </c>
      <c r="N247" s="298">
        <f t="shared" si="125"/>
        <v>0.75079771396342099</v>
      </c>
      <c r="O247" s="298">
        <f t="shared" si="125"/>
        <v>1.249803382427952</v>
      </c>
      <c r="P247" s="298">
        <f t="shared" si="125"/>
        <v>0.60293815597592781</v>
      </c>
      <c r="Q247" s="298">
        <f t="shared" ref="B247:AR251" si="126">Q231+Q120</f>
        <v>0.82774373056450445</v>
      </c>
      <c r="R247" s="298">
        <f t="shared" si="126"/>
        <v>1.0081221891698751</v>
      </c>
      <c r="S247" s="298">
        <f t="shared" si="126"/>
        <v>0.92005328638129291</v>
      </c>
      <c r="T247" s="298">
        <f t="shared" si="126"/>
        <v>0.71974170534940285</v>
      </c>
      <c r="U247" s="298">
        <f t="shared" si="126"/>
        <v>1.4608056483859535</v>
      </c>
      <c r="V247" s="298">
        <f t="shared" si="126"/>
        <v>0.8891210087113578</v>
      </c>
      <c r="W247" s="298">
        <f t="shared" si="126"/>
        <v>0.76499052588552974</v>
      </c>
      <c r="X247" s="298">
        <f t="shared" si="126"/>
        <v>0.89234377081560723</v>
      </c>
      <c r="Y247" s="298">
        <f t="shared" si="126"/>
        <v>0.93609622873244192</v>
      </c>
      <c r="Z247" s="259">
        <f t="shared" si="126"/>
        <v>1.0272176062946263</v>
      </c>
      <c r="AA247" s="259">
        <f t="shared" si="126"/>
        <v>0.83694444017150005</v>
      </c>
      <c r="AB247" s="259">
        <f t="shared" si="126"/>
        <v>0.81610120802417851</v>
      </c>
      <c r="AC247" s="259">
        <f t="shared" si="126"/>
        <v>1.1373034174636012</v>
      </c>
      <c r="AD247" s="259">
        <f t="shared" si="126"/>
        <v>0.87419638795822729</v>
      </c>
      <c r="AE247" s="259">
        <f t="shared" si="126"/>
        <v>0.94206857486165818</v>
      </c>
    </row>
    <row r="248" spans="1:31">
      <c r="A248" s="240" t="s">
        <v>236</v>
      </c>
      <c r="B248" s="298">
        <f t="shared" si="126"/>
        <v>0.52078050401957432</v>
      </c>
      <c r="C248" s="298">
        <f t="shared" si="126"/>
        <v>0.68695965456869856</v>
      </c>
      <c r="D248" s="298">
        <f t="shared" si="126"/>
        <v>0.78907697153384704</v>
      </c>
      <c r="E248" s="298">
        <f t="shared" si="126"/>
        <v>0.7490258405692265</v>
      </c>
      <c r="F248" s="298">
        <f t="shared" si="126"/>
        <v>0.83999514618640148</v>
      </c>
      <c r="G248" s="298">
        <f t="shared" si="126"/>
        <v>0.94908185938217704</v>
      </c>
      <c r="H248" s="298">
        <f t="shared" si="126"/>
        <v>0.90108466824505884</v>
      </c>
      <c r="I248" s="298">
        <f t="shared" si="126"/>
        <v>0.89997161110796242</v>
      </c>
      <c r="J248" s="298">
        <f t="shared" si="126"/>
        <v>0.93843920868770425</v>
      </c>
      <c r="K248" s="298">
        <f t="shared" si="126"/>
        <v>0.75876423224641698</v>
      </c>
      <c r="L248" s="298">
        <f t="shared" si="126"/>
        <v>0.9840646777846751</v>
      </c>
      <c r="M248" s="298">
        <f t="shared" si="126"/>
        <v>0.97275373178383906</v>
      </c>
      <c r="N248" s="298">
        <f t="shared" si="126"/>
        <v>0.64557524994412174</v>
      </c>
      <c r="O248" s="298">
        <f t="shared" si="126"/>
        <v>0.73854274085044336</v>
      </c>
      <c r="P248" s="298">
        <f t="shared" si="126"/>
        <v>0.94405790207102003</v>
      </c>
      <c r="Q248" s="298">
        <f t="shared" si="126"/>
        <v>0.8631017494364488</v>
      </c>
      <c r="R248" s="298">
        <f t="shared" si="126"/>
        <v>0.96092759029927488</v>
      </c>
      <c r="S248" s="298">
        <f t="shared" si="126"/>
        <v>1.0490326710716724</v>
      </c>
      <c r="T248" s="298">
        <f t="shared" si="126"/>
        <v>0.8884987135046778</v>
      </c>
      <c r="U248" s="298">
        <f t="shared" si="126"/>
        <v>0.76020169701211449</v>
      </c>
      <c r="V248" s="298">
        <f t="shared" si="126"/>
        <v>0.84277604792822403</v>
      </c>
      <c r="W248" s="298">
        <f t="shared" si="126"/>
        <v>0.80440040526156831</v>
      </c>
      <c r="X248" s="298">
        <f t="shared" si="126"/>
        <v>0.91486516195648104</v>
      </c>
      <c r="Y248" s="298">
        <f t="shared" si="126"/>
        <v>0.8886563648186816</v>
      </c>
      <c r="Z248" s="259">
        <f t="shared" si="126"/>
        <v>0.82744531200152627</v>
      </c>
      <c r="AA248" s="259">
        <f t="shared" si="126"/>
        <v>0.98423509283344179</v>
      </c>
      <c r="AB248" s="259">
        <f t="shared" si="126"/>
        <v>0.9107914851486596</v>
      </c>
      <c r="AC248" s="259">
        <f t="shared" si="126"/>
        <v>0.86362479331343356</v>
      </c>
      <c r="AD248" s="259">
        <f t="shared" si="126"/>
        <v>0.90372369594676361</v>
      </c>
      <c r="AE248" s="259">
        <f t="shared" si="126"/>
        <v>0.90138636225833957</v>
      </c>
    </row>
    <row r="249" spans="1:31">
      <c r="A249" s="240" t="s">
        <v>237</v>
      </c>
      <c r="B249" s="298">
        <f t="shared" si="126"/>
        <v>0.76645181119789096</v>
      </c>
      <c r="C249" s="298">
        <f t="shared" si="126"/>
        <v>0.74082245681746994</v>
      </c>
      <c r="D249" s="298">
        <f t="shared" si="126"/>
        <v>0.82385190016519583</v>
      </c>
      <c r="E249" s="298">
        <f t="shared" si="126"/>
        <v>0.8137669269931721</v>
      </c>
      <c r="F249" s="298">
        <f t="shared" si="126"/>
        <v>0.83550961012803004</v>
      </c>
      <c r="G249" s="298">
        <f t="shared" si="126"/>
        <v>0.94084522071412535</v>
      </c>
      <c r="H249" s="298">
        <f t="shared" si="126"/>
        <v>0.96098393122483206</v>
      </c>
      <c r="I249" s="298">
        <f t="shared" si="126"/>
        <v>0.70396253532745823</v>
      </c>
      <c r="J249" s="298">
        <f t="shared" si="126"/>
        <v>0.91833791229231276</v>
      </c>
      <c r="K249" s="298">
        <f t="shared" si="126"/>
        <v>0.95245189499437055</v>
      </c>
      <c r="L249" s="298">
        <f t="shared" si="126"/>
        <v>0.84414870856177571</v>
      </c>
      <c r="M249" s="298">
        <f t="shared" si="126"/>
        <v>0.89376893360221432</v>
      </c>
      <c r="N249" s="298">
        <f t="shared" si="126"/>
        <v>0.85140168444196473</v>
      </c>
      <c r="O249" s="298">
        <f t="shared" si="126"/>
        <v>1.0118359700961685</v>
      </c>
      <c r="P249" s="298">
        <f t="shared" si="126"/>
        <v>0.76381102389569899</v>
      </c>
      <c r="Q249" s="298">
        <f t="shared" si="126"/>
        <v>0.92593306296977063</v>
      </c>
      <c r="R249" s="298">
        <f t="shared" si="126"/>
        <v>0.95590341222867015</v>
      </c>
      <c r="S249" s="298">
        <f t="shared" si="126"/>
        <v>0.76074116892380139</v>
      </c>
      <c r="T249" s="298">
        <f t="shared" si="126"/>
        <v>0.88190124886944166</v>
      </c>
      <c r="U249" s="298">
        <f t="shared" si="126"/>
        <v>0.96371481896812838</v>
      </c>
      <c r="V249" s="298">
        <f t="shared" si="126"/>
        <v>1.0489654309761409</v>
      </c>
      <c r="W249" s="298">
        <f t="shared" si="126"/>
        <v>0.96980608735109208</v>
      </c>
      <c r="X249" s="298">
        <f t="shared" si="126"/>
        <v>1.2984458153613807</v>
      </c>
      <c r="Y249" s="298">
        <f t="shared" si="126"/>
        <v>0.97862994016974514</v>
      </c>
      <c r="Z249" s="259">
        <f t="shared" si="126"/>
        <v>0.99136229443800161</v>
      </c>
      <c r="AA249" s="259">
        <f t="shared" si="126"/>
        <v>0.96074432365372997</v>
      </c>
      <c r="AB249" s="259">
        <f t="shared" si="126"/>
        <v>0.91338721211045004</v>
      </c>
      <c r="AC249" s="259">
        <f t="shared" si="126"/>
        <v>0.74515162965633763</v>
      </c>
      <c r="AD249" s="259">
        <f t="shared" si="126"/>
        <v>0.98368270131951552</v>
      </c>
      <c r="AE249" s="259">
        <f t="shared" si="126"/>
        <v>0.89787112127220026</v>
      </c>
    </row>
    <row r="250" spans="1:31">
      <c r="A250" s="240" t="s">
        <v>238</v>
      </c>
      <c r="B250" s="298">
        <f t="shared" si="126"/>
        <v>0.74447969881684384</v>
      </c>
      <c r="C250" s="298">
        <f t="shared" si="126"/>
        <v>0.88882069670249852</v>
      </c>
      <c r="D250" s="298">
        <f t="shared" si="126"/>
        <v>0.96004152865123582</v>
      </c>
      <c r="E250" s="298">
        <f t="shared" si="126"/>
        <v>0.8631451486977153</v>
      </c>
      <c r="F250" s="298">
        <f t="shared" si="126"/>
        <v>0.87139493559801529</v>
      </c>
      <c r="G250" s="298">
        <f t="shared" si="126"/>
        <v>0.9131290105298453</v>
      </c>
      <c r="H250" s="298">
        <f t="shared" si="126"/>
        <v>1.065245509440383</v>
      </c>
      <c r="I250" s="298">
        <f t="shared" si="126"/>
        <v>0.98467565536601642</v>
      </c>
      <c r="J250" s="298">
        <f t="shared" si="126"/>
        <v>0.89778337482995274</v>
      </c>
      <c r="K250" s="298">
        <f t="shared" si="126"/>
        <v>0.83625518072300642</v>
      </c>
      <c r="L250" s="298">
        <f t="shared" si="126"/>
        <v>0.9738766572131683</v>
      </c>
      <c r="M250" s="298">
        <f t="shared" si="126"/>
        <v>0.95925036667929775</v>
      </c>
      <c r="N250" s="298">
        <f t="shared" si="126"/>
        <v>1.0905160668887615</v>
      </c>
      <c r="O250" s="298">
        <f t="shared" si="126"/>
        <v>0.85757934538772651</v>
      </c>
      <c r="P250" s="298">
        <f t="shared" si="126"/>
        <v>0.98891471845892243</v>
      </c>
      <c r="Q250" s="298">
        <f t="shared" si="126"/>
        <v>1.0162991988465733</v>
      </c>
      <c r="R250" s="298">
        <f t="shared" si="126"/>
        <v>0.89088453586078753</v>
      </c>
      <c r="S250" s="298">
        <f t="shared" si="126"/>
        <v>0.93124984043783821</v>
      </c>
      <c r="T250" s="298">
        <f t="shared" si="126"/>
        <v>1.0326438615121873</v>
      </c>
      <c r="U250" s="298">
        <f t="shared" si="126"/>
        <v>1.0973760897423144</v>
      </c>
      <c r="V250" s="298">
        <f t="shared" si="126"/>
        <v>1.1708077868129996</v>
      </c>
      <c r="W250" s="298">
        <f t="shared" si="126"/>
        <v>1.1532793637244647</v>
      </c>
      <c r="X250" s="298">
        <f t="shared" si="126"/>
        <v>0.79966966247253846</v>
      </c>
      <c r="Y250" s="298">
        <f t="shared" si="126"/>
        <v>0.96553250957877657</v>
      </c>
      <c r="Z250" s="259">
        <f t="shared" si="126"/>
        <v>0.93146372133980715</v>
      </c>
      <c r="AA250" s="259">
        <f t="shared" si="126"/>
        <v>0.99933697554176293</v>
      </c>
      <c r="AB250" s="259">
        <f t="shared" si="126"/>
        <v>1.1038542239003848</v>
      </c>
      <c r="AC250" s="259">
        <f t="shared" si="126"/>
        <v>0.92798597831687668</v>
      </c>
      <c r="AD250" s="259">
        <f t="shared" si="126"/>
        <v>1.6901902536480131</v>
      </c>
      <c r="AE250" s="259" t="e">
        <f t="shared" si="126"/>
        <v>#DIV/0!</v>
      </c>
    </row>
    <row r="251" spans="1:31" ht="15.75" thickBot="1">
      <c r="A251" s="240" t="s">
        <v>255</v>
      </c>
      <c r="B251" s="258">
        <f>B235+B124</f>
        <v>0.85394736842105257</v>
      </c>
      <c r="C251" s="258">
        <f t="shared" si="126"/>
        <v>0.86046511627906974</v>
      </c>
      <c r="D251" s="258">
        <f t="shared" si="126"/>
        <v>0.89320388349514568</v>
      </c>
      <c r="E251" s="258">
        <f t="shared" si="126"/>
        <v>0.89583333333333326</v>
      </c>
      <c r="F251" s="258">
        <f t="shared" si="126"/>
        <v>0.9028571428571428</v>
      </c>
      <c r="G251" s="258">
        <f t="shared" si="126"/>
        <v>0.92052980132450335</v>
      </c>
      <c r="H251" s="258">
        <f t="shared" si="126"/>
        <v>0.92257538712306442</v>
      </c>
      <c r="I251" s="258">
        <f t="shared" si="126"/>
        <v>0.94157303370786516</v>
      </c>
      <c r="J251" s="258">
        <f t="shared" si="126"/>
        <v>0.9538461538461539</v>
      </c>
      <c r="K251" s="258">
        <f t="shared" si="126"/>
        <v>0.95500000000000007</v>
      </c>
      <c r="L251" s="258">
        <f t="shared" si="126"/>
        <v>0.95491803278688525</v>
      </c>
      <c r="M251" s="258">
        <f t="shared" si="126"/>
        <v>0.9610619469026549</v>
      </c>
      <c r="N251" s="258">
        <f t="shared" si="126"/>
        <v>0.96636363636363631</v>
      </c>
      <c r="O251" s="258">
        <f t="shared" si="126"/>
        <v>0.97166666666666668</v>
      </c>
      <c r="P251" s="258">
        <f t="shared" si="126"/>
        <v>0.97166666666666668</v>
      </c>
      <c r="Q251" s="258">
        <f t="shared" si="126"/>
        <v>0.98</v>
      </c>
      <c r="R251" s="258">
        <f t="shared" si="126"/>
        <v>0.9806896551724138</v>
      </c>
      <c r="S251" s="258">
        <f t="shared" si="126"/>
        <v>0.98064516129032253</v>
      </c>
      <c r="T251" s="258">
        <f t="shared" si="126"/>
        <v>0.96312500000000001</v>
      </c>
      <c r="U251" s="258">
        <f t="shared" si="126"/>
        <v>0.98</v>
      </c>
      <c r="V251" s="258">
        <f t="shared" si="126"/>
        <v>0.98</v>
      </c>
      <c r="W251" s="258">
        <f t="shared" si="126"/>
        <v>0.98</v>
      </c>
      <c r="X251" s="258">
        <f t="shared" si="126"/>
        <v>0.99</v>
      </c>
      <c r="Y251" s="258">
        <f t="shared" si="126"/>
        <v>0.99</v>
      </c>
      <c r="Z251" s="259">
        <f t="shared" si="126"/>
        <v>0.99</v>
      </c>
      <c r="AA251" s="259">
        <f t="shared" si="126"/>
        <v>0.99</v>
      </c>
      <c r="AB251" s="259">
        <f t="shared" si="126"/>
        <v>0.98</v>
      </c>
      <c r="AC251" s="259">
        <f t="shared" si="126"/>
        <v>0.98</v>
      </c>
      <c r="AD251" s="259">
        <f t="shared" si="126"/>
        <v>0.98444613078603105</v>
      </c>
      <c r="AE251" s="259">
        <f t="shared" si="126"/>
        <v>0.9836077705386006</v>
      </c>
    </row>
    <row r="252" spans="1:31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  <c r="AD252" s="248"/>
      <c r="AE252" s="248"/>
    </row>
    <row r="253" spans="1:31" ht="15.75" thickBot="1">
      <c r="A253" s="235" t="s">
        <v>265</v>
      </c>
    </row>
    <row r="254" spans="1:31" ht="15.75" thickBot="1">
      <c r="A254" s="236"/>
      <c r="B254" s="237" t="str">
        <f>B$2</f>
        <v xml:space="preserve">93/94 </v>
      </c>
      <c r="C254" s="237" t="str">
        <f t="shared" ref="C254:AE254" si="127">C$2</f>
        <v xml:space="preserve">94/95 </v>
      </c>
      <c r="D254" s="237" t="str">
        <f t="shared" si="127"/>
        <v xml:space="preserve">95/96 </v>
      </c>
      <c r="E254" s="237" t="str">
        <f t="shared" si="127"/>
        <v xml:space="preserve">96/97 </v>
      </c>
      <c r="F254" s="237" t="str">
        <f t="shared" si="127"/>
        <v xml:space="preserve">97/98 </v>
      </c>
      <c r="G254" s="237" t="str">
        <f t="shared" si="127"/>
        <v xml:space="preserve">98/99 </v>
      </c>
      <c r="H254" s="237" t="str">
        <f t="shared" si="127"/>
        <v xml:space="preserve">99/00 </v>
      </c>
      <c r="I254" s="237" t="str">
        <f t="shared" si="127"/>
        <v xml:space="preserve">00/01 </v>
      </c>
      <c r="J254" s="237" t="str">
        <f t="shared" si="127"/>
        <v xml:space="preserve">01/02 </v>
      </c>
      <c r="K254" s="237" t="str">
        <f t="shared" si="127"/>
        <v xml:space="preserve">02/03 </v>
      </c>
      <c r="L254" s="237" t="str">
        <f t="shared" si="127"/>
        <v xml:space="preserve">03/04 </v>
      </c>
      <c r="M254" s="237" t="str">
        <f t="shared" si="127"/>
        <v xml:space="preserve">04/05 </v>
      </c>
      <c r="N254" s="237" t="str">
        <f t="shared" si="127"/>
        <v xml:space="preserve">05/06 </v>
      </c>
      <c r="O254" s="237" t="str">
        <f t="shared" si="127"/>
        <v xml:space="preserve">06/07 </v>
      </c>
      <c r="P254" s="237" t="str">
        <f t="shared" si="127"/>
        <v xml:space="preserve">07/08 </v>
      </c>
      <c r="Q254" s="237" t="str">
        <f t="shared" si="127"/>
        <v xml:space="preserve">08/09 </v>
      </c>
      <c r="R254" s="237" t="str">
        <f t="shared" si="127"/>
        <v xml:space="preserve">09/10 </v>
      </c>
      <c r="S254" s="237" t="str">
        <f t="shared" si="127"/>
        <v xml:space="preserve">10/11 </v>
      </c>
      <c r="T254" s="237" t="str">
        <f t="shared" si="127"/>
        <v xml:space="preserve">11/12 </v>
      </c>
      <c r="U254" s="237" t="str">
        <f t="shared" si="127"/>
        <v xml:space="preserve">12/13 </v>
      </c>
      <c r="V254" s="237" t="str">
        <f t="shared" si="127"/>
        <v xml:space="preserve">13/14 </v>
      </c>
      <c r="W254" s="237" t="str">
        <f t="shared" si="127"/>
        <v xml:space="preserve">14/15 </v>
      </c>
      <c r="X254" s="237" t="str">
        <f t="shared" si="127"/>
        <v xml:space="preserve">15/16 </v>
      </c>
      <c r="Y254" s="237" t="str">
        <f t="shared" si="127"/>
        <v xml:space="preserve">16/17 </v>
      </c>
      <c r="Z254" s="237" t="str">
        <f t="shared" si="127"/>
        <v xml:space="preserve">17/18 </v>
      </c>
      <c r="AA254" s="237" t="str">
        <f t="shared" si="127"/>
        <v xml:space="preserve">18/19 </v>
      </c>
      <c r="AB254" s="237" t="str">
        <f t="shared" si="127"/>
        <v xml:space="preserve">19/20 </v>
      </c>
      <c r="AC254" s="237" t="str">
        <f t="shared" si="127"/>
        <v xml:space="preserve">20/21 </v>
      </c>
      <c r="AD254" s="237" t="str">
        <f t="shared" si="127"/>
        <v xml:space="preserve">21/22 </v>
      </c>
      <c r="AE254" s="237" t="str">
        <f t="shared" si="127"/>
        <v xml:space="preserve">22/23 </v>
      </c>
    </row>
    <row r="255" spans="1:31">
      <c r="A255" s="240" t="s">
        <v>239</v>
      </c>
      <c r="B255" s="290">
        <f>(SUM(K255:O255)/SUM(K$267:O$267))*B$267</f>
        <v>11.318555551607114</v>
      </c>
      <c r="C255" s="290">
        <f t="shared" ref="C255:F266" si="128">(SUM(L255:P255)/SUM(L$267:P$267))*C$267</f>
        <v>11.541164277255358</v>
      </c>
      <c r="D255" s="290">
        <f t="shared" si="128"/>
        <v>7.8316664646420477</v>
      </c>
      <c r="E255" s="290">
        <f t="shared" si="128"/>
        <v>9.0357393459049771</v>
      </c>
      <c r="F255" s="290">
        <f t="shared" si="128"/>
        <v>5.2454308584936076</v>
      </c>
      <c r="G255" s="290">
        <v>7.0894100153900803</v>
      </c>
      <c r="H255" s="242">
        <f>'[2]Turkey Sun Oil Imports'!CZ$290</f>
        <v>12.379</v>
      </c>
      <c r="I255" s="242">
        <f>'[2]Turkey Sun Oil Imports'!DL$290</f>
        <v>12.635</v>
      </c>
      <c r="J255" s="242">
        <f>'[2]Turkey Sun Oil Imports'!DX$290</f>
        <v>3.4620000000000002</v>
      </c>
      <c r="K255" s="242">
        <f>'[2]Turkey Sun Oil Imports'!EJ$290</f>
        <v>0.10199999999999999</v>
      </c>
      <c r="L255" s="242">
        <f>'[2]Turkey Sun Oil Imports'!EV$290</f>
        <v>0</v>
      </c>
      <c r="M255" s="242">
        <f>'[2]Turkey Sun Oil Imports'!FH$290</f>
        <v>6.0449999999999999</v>
      </c>
      <c r="N255" s="242">
        <f>'[2]Turkey Sun Oil Imports'!FT$290</f>
        <v>25.963999999999999</v>
      </c>
      <c r="O255" s="242">
        <f>'[2]Turkey Sun Oil Imports'!GF$290</f>
        <v>4.5519999999999996</v>
      </c>
      <c r="P255" s="242">
        <f>'[2]Turkey Sun Oil Imports'!GR$290</f>
        <v>5.9370000000000003</v>
      </c>
      <c r="Q255" s="242">
        <f>'[2]Turkey Sun Oil Imports'!HD$290</f>
        <v>16.62</v>
      </c>
      <c r="R255" s="242">
        <f>'[2]Turkey Sun Oil Imports'!HP$290</f>
        <v>5.0890000000000004</v>
      </c>
      <c r="S255" s="242">
        <f>'[2]Turkey Sun Oil Imports'!IB$290</f>
        <v>16.318000000000001</v>
      </c>
      <c r="T255" s="242">
        <f>'[2]Turkey Sun Oil Imports'!IN$290</f>
        <v>22.405999999999999</v>
      </c>
      <c r="U255" s="242">
        <f>'[2]Turkey Sun Oil Imports'!IZ$290</f>
        <v>38.442</v>
      </c>
      <c r="V255" s="242">
        <f>'[2]Turkey Sun Oil Imports'!JL$290</f>
        <v>44.046999999999997</v>
      </c>
      <c r="W255" s="242">
        <f>'[2]Turkey Sun Oil Imports'!JX$290</f>
        <v>63.731000000000002</v>
      </c>
      <c r="X255" s="242">
        <f>'[2]Turkey Sun Oil Imports'!KJ$290</f>
        <v>40.859000000000002</v>
      </c>
      <c r="Y255" s="242">
        <f>'[2]Turkey Sun Oil Imports'!KV$290</f>
        <v>61.823999999999998</v>
      </c>
      <c r="Z255" s="242">
        <f>'[2]Turkey Sun Oil Imports'!LH$290</f>
        <v>20.276674</v>
      </c>
      <c r="AA255" s="242">
        <f>'[2]Turkey Sun Oil Imports'!LT$290</f>
        <v>34.087851999999998</v>
      </c>
      <c r="AB255" s="242">
        <f>'[2]Turkey Sun Oil Imports'!MF$290</f>
        <v>51.365225000000002</v>
      </c>
      <c r="AC255" s="242">
        <f>'[2]Turkey Sun Oil Imports'!MR$290</f>
        <v>17.186281999999999</v>
      </c>
      <c r="AD255" s="242">
        <f>'[2]Turkey Sun Oil Imports'!ND$290</f>
        <v>30.893999999999998</v>
      </c>
      <c r="AE255" s="243">
        <f t="shared" ref="AE255:AE261" si="129">(SUM(Y255:AC255)/SUM(Y$267:AC$267))*AE$267</f>
        <v>48.056448374101706</v>
      </c>
    </row>
    <row r="256" spans="1:31">
      <c r="A256" s="240" t="s">
        <v>240</v>
      </c>
      <c r="B256" s="290">
        <f t="shared" ref="B256:B266" si="130">(SUM(K256:O256)/SUM(K$267:O$267))*B$267</f>
        <v>12.180498303157369</v>
      </c>
      <c r="C256" s="290">
        <f t="shared" si="128"/>
        <v>16.206729769354919</v>
      </c>
      <c r="D256" s="290">
        <f t="shared" si="128"/>
        <v>13.996530475579197</v>
      </c>
      <c r="E256" s="290">
        <f t="shared" si="128"/>
        <v>15.421127719678001</v>
      </c>
      <c r="F256" s="290">
        <f t="shared" si="128"/>
        <v>8.9372125819275823</v>
      </c>
      <c r="G256" s="290">
        <v>8.839063904344739</v>
      </c>
      <c r="H256" s="242">
        <f>'[2]Turkey Sun Oil Imports'!DA$290</f>
        <v>7.6790000000000003</v>
      </c>
      <c r="I256" s="242">
        <f>'[2]Turkey Sun Oil Imports'!DM$290</f>
        <v>7.0179999999999998</v>
      </c>
      <c r="J256" s="242">
        <f>'[2]Turkey Sun Oil Imports'!DY$290</f>
        <v>19.937000000000001</v>
      </c>
      <c r="K256" s="242">
        <f>'[2]Turkey Sun Oil Imports'!EK$290</f>
        <v>1E-3</v>
      </c>
      <c r="L256" s="242">
        <f>'[2]Turkey Sun Oil Imports'!EW$290</f>
        <v>0.996</v>
      </c>
      <c r="M256" s="242">
        <f>'[2]Turkey Sun Oil Imports'!FI$290</f>
        <v>10.226000000000001</v>
      </c>
      <c r="N256" s="242">
        <f>'[2]Turkey Sun Oil Imports'!FU$290</f>
        <v>24.454000000000001</v>
      </c>
      <c r="O256" s="242">
        <f>'[2]Turkey Sun Oil Imports'!GG$290</f>
        <v>3.778</v>
      </c>
      <c r="P256" s="242">
        <f>'[2]Turkey Sun Oil Imports'!GS$290</f>
        <v>20.224</v>
      </c>
      <c r="Q256" s="242">
        <f>'[2]Turkey Sun Oil Imports'!HE$290</f>
        <v>46.972000000000001</v>
      </c>
      <c r="R256" s="242">
        <f>'[2]Turkey Sun Oil Imports'!HQ$290</f>
        <v>3.8359999999999999</v>
      </c>
      <c r="S256" s="242">
        <f>'[2]Turkey Sun Oil Imports'!IC$290</f>
        <v>7.8520000000000003</v>
      </c>
      <c r="T256" s="242">
        <f>'[2]Turkey Sun Oil Imports'!IO$290</f>
        <v>40.927999999999997</v>
      </c>
      <c r="U256" s="242">
        <f>'[2]Turkey Sun Oil Imports'!JA$290</f>
        <v>73.358999999999995</v>
      </c>
      <c r="V256" s="242">
        <f>'[2]Turkey Sun Oil Imports'!JM$290</f>
        <v>46.076999999999998</v>
      </c>
      <c r="W256" s="242">
        <f>'[2]Turkey Sun Oil Imports'!JY$290</f>
        <v>60.052999999999997</v>
      </c>
      <c r="X256" s="242">
        <f>'[2]Turkey Sun Oil Imports'!KK$290</f>
        <v>72.924000000000007</v>
      </c>
      <c r="Y256" s="242">
        <f>'[2]Turkey Sun Oil Imports'!KW$290</f>
        <v>101.834</v>
      </c>
      <c r="Z256" s="242">
        <f>'[2]Turkey Sun Oil Imports'!LI$290</f>
        <v>77.000246000000004</v>
      </c>
      <c r="AA256" s="242">
        <f>'[2]Turkey Sun Oil Imports'!LU$290</f>
        <v>32.491940999999997</v>
      </c>
      <c r="AB256" s="242">
        <f>'[2]Turkey Sun Oil Imports'!MG$290</f>
        <v>42.238630000000001</v>
      </c>
      <c r="AC256" s="242">
        <f>'[2]Turkey Sun Oil Imports'!MS$290</f>
        <v>68.131280000000004</v>
      </c>
      <c r="AD256" s="242">
        <f>'[2]Turkey Sun Oil Imports'!NE$290</f>
        <v>88.629000000000005</v>
      </c>
      <c r="AE256" s="243">
        <f t="shared" si="129"/>
        <v>83.682846790606092</v>
      </c>
    </row>
    <row r="257" spans="1:31">
      <c r="A257" s="240" t="s">
        <v>241</v>
      </c>
      <c r="B257" s="290">
        <f t="shared" si="130"/>
        <v>15.081219683374497</v>
      </c>
      <c r="C257" s="290">
        <f t="shared" si="128"/>
        <v>16.152687421687414</v>
      </c>
      <c r="D257" s="290">
        <f t="shared" si="128"/>
        <v>11.879180005259261</v>
      </c>
      <c r="E257" s="290">
        <f t="shared" si="128"/>
        <v>13.825169012953991</v>
      </c>
      <c r="F257" s="290">
        <f t="shared" si="128"/>
        <v>10.062391882454069</v>
      </c>
      <c r="G257" s="290">
        <v>15.503526080265184</v>
      </c>
      <c r="H257" s="242">
        <f>'[2]Turkey Sun Oil Imports'!DB$290</f>
        <v>3.3490000000000002</v>
      </c>
      <c r="I257" s="242">
        <f>'[2]Turkey Sun Oil Imports'!DN$290</f>
        <v>1.6080000000000001</v>
      </c>
      <c r="J257" s="242">
        <f>'[2]Turkey Sun Oil Imports'!DZ$290</f>
        <v>31.045999999999999</v>
      </c>
      <c r="K257" s="242">
        <f>'[2]Turkey Sun Oil Imports'!EL$290</f>
        <v>2.6579999999999999</v>
      </c>
      <c r="L257" s="242">
        <f>'[2]Turkey Sun Oil Imports'!EX$290</f>
        <v>23.835000000000001</v>
      </c>
      <c r="M257" s="242">
        <f>'[2]Turkey Sun Oil Imports'!FJ$290</f>
        <v>5.7249999999999996</v>
      </c>
      <c r="N257" s="242">
        <f>'[2]Turkey Sun Oil Imports'!FV$290</f>
        <v>16.61</v>
      </c>
      <c r="O257" s="242">
        <f>'[2]Turkey Sun Oil Imports'!GH$290</f>
        <v>2.3E-2</v>
      </c>
      <c r="P257" s="242">
        <f>'[2]Turkey Sun Oil Imports'!GT$290</f>
        <v>13.286</v>
      </c>
      <c r="Q257" s="242">
        <f>'[2]Turkey Sun Oil Imports'!HF$290</f>
        <v>54.027000000000001</v>
      </c>
      <c r="R257" s="242">
        <f>'[2]Turkey Sun Oil Imports'!HR$290</f>
        <v>5.0449999999999999</v>
      </c>
      <c r="S257" s="242">
        <f>'[2]Turkey Sun Oil Imports'!ID$290</f>
        <v>20.687999999999999</v>
      </c>
      <c r="T257" s="242">
        <f>'[2]Turkey Sun Oil Imports'!IP$290</f>
        <v>48.844000000000001</v>
      </c>
      <c r="U257" s="242">
        <f>'[2]Turkey Sun Oil Imports'!JB$290</f>
        <v>63.186999999999998</v>
      </c>
      <c r="V257" s="242">
        <f>'[2]Turkey Sun Oil Imports'!JN$290</f>
        <v>61.320999999999998</v>
      </c>
      <c r="W257" s="242">
        <f>'[2]Turkey Sun Oil Imports'!JZ$290</f>
        <v>84.316000000000003</v>
      </c>
      <c r="X257" s="242">
        <f>'[2]Turkey Sun Oil Imports'!KL$290</f>
        <v>103.63800000000001</v>
      </c>
      <c r="Y257" s="242">
        <f>'[2]Turkey Sun Oil Imports'!KX$290</f>
        <v>85.745000000000005</v>
      </c>
      <c r="Z257" s="242">
        <f>'[2]Turkey Sun Oil Imports'!LJ$290</f>
        <v>59.068317999999998</v>
      </c>
      <c r="AA257" s="242">
        <f>'[2]Turkey Sun Oil Imports'!LV$290</f>
        <v>52.816899999999997</v>
      </c>
      <c r="AB257" s="242">
        <f>'[2]Turkey Sun Oil Imports'!MH$290</f>
        <v>62.016739000000001</v>
      </c>
      <c r="AC257" s="242">
        <f>'[2]Turkey Sun Oil Imports'!MT$290</f>
        <v>104.506405</v>
      </c>
      <c r="AD257" s="242">
        <f>'[2]Turkey Sun Oil Imports'!NF$290</f>
        <v>181.196</v>
      </c>
      <c r="AE257" s="243">
        <f t="shared" si="129"/>
        <v>94.727260556506295</v>
      </c>
    </row>
    <row r="258" spans="1:31">
      <c r="A258" s="240" t="s">
        <v>231</v>
      </c>
      <c r="B258" s="290">
        <f t="shared" si="130"/>
        <v>16.327208560615485</v>
      </c>
      <c r="C258" s="290">
        <f t="shared" si="128"/>
        <v>19.594831927645611</v>
      </c>
      <c r="D258" s="290">
        <f t="shared" si="128"/>
        <v>13.368333270407632</v>
      </c>
      <c r="E258" s="290">
        <f t="shared" si="128"/>
        <v>15.391765683703035</v>
      </c>
      <c r="F258" s="290">
        <f t="shared" si="128"/>
        <v>11.839519984957558</v>
      </c>
      <c r="G258" s="242">
        <f>'[2]Turkey Sun Oil Imports'!CQ$290</f>
        <v>10.988</v>
      </c>
      <c r="H258" s="242">
        <f>'[2]Turkey Sun Oil Imports'!DC$290</f>
        <v>2.6539999999999999</v>
      </c>
      <c r="I258" s="242">
        <f>'[2]Turkey Sun Oil Imports'!DO$290</f>
        <v>3.2679999999999998</v>
      </c>
      <c r="J258" s="242">
        <f>'[2]Turkey Sun Oil Imports'!EA$290</f>
        <v>20.571999999999999</v>
      </c>
      <c r="K258" s="242">
        <f>'[2]Turkey Sun Oil Imports'!EM$290</f>
        <v>0.34599999999999997</v>
      </c>
      <c r="L258" s="242">
        <f>'[2]Turkey Sun Oil Imports'!EY$290</f>
        <v>2.06</v>
      </c>
      <c r="M258" s="242">
        <f>'[2]Turkey Sun Oil Imports'!FK$290</f>
        <v>19.530999999999999</v>
      </c>
      <c r="N258" s="242">
        <f>'[2]Turkey Sun Oil Imports'!FW$290</f>
        <v>19.956</v>
      </c>
      <c r="O258" s="242">
        <f>'[2]Turkey Sun Oil Imports'!GI$290</f>
        <v>10.994</v>
      </c>
      <c r="P258" s="242">
        <f>'[2]Turkey Sun Oil Imports'!GU$290</f>
        <v>19.613</v>
      </c>
      <c r="Q258" s="242">
        <f>'[2]Turkey Sun Oil Imports'!HG$290</f>
        <v>30.818000000000001</v>
      </c>
      <c r="R258" s="242">
        <f>'[2]Turkey Sun Oil Imports'!HS$290</f>
        <v>17.693999999999999</v>
      </c>
      <c r="S258" s="242">
        <f>'[2]Turkey Sun Oil Imports'!IE$290</f>
        <v>30.387</v>
      </c>
      <c r="T258" s="242">
        <f>'[2]Turkey Sun Oil Imports'!IQ$290</f>
        <v>77.668999999999997</v>
      </c>
      <c r="U258" s="242">
        <f>'[2]Turkey Sun Oil Imports'!JC$290</f>
        <v>56.002000000000002</v>
      </c>
      <c r="V258" s="242">
        <f>'[2]Turkey Sun Oil Imports'!JO$290</f>
        <v>75.959000000000003</v>
      </c>
      <c r="W258" s="242">
        <f>'[2]Turkey Sun Oil Imports'!KA$290</f>
        <v>88.951999999999998</v>
      </c>
      <c r="X258" s="242">
        <f>'[2]Turkey Sun Oil Imports'!KM$290</f>
        <v>67.063999999999993</v>
      </c>
      <c r="Y258" s="242">
        <f>'[2]Turkey Sun Oil Imports'!KY$290</f>
        <v>74.146000000000001</v>
      </c>
      <c r="Z258" s="242">
        <f>'[2]Turkey Sun Oil Imports'!LK$290</f>
        <v>30.603421999999998</v>
      </c>
      <c r="AA258" s="242">
        <f>'[2]Turkey Sun Oil Imports'!LW$290</f>
        <v>67.040689999999998</v>
      </c>
      <c r="AB258" s="242">
        <f>'[2]Turkey Sun Oil Imports'!MI$290</f>
        <v>53.836370000000002</v>
      </c>
      <c r="AC258" s="242">
        <f>'[2]Turkey Sun Oil Imports'!MU$290</f>
        <v>65.731999999999999</v>
      </c>
      <c r="AD258" s="242">
        <f>'[2]Turkey Sun Oil Imports'!NG$290</f>
        <v>134.70099999999999</v>
      </c>
      <c r="AE258" s="243">
        <f t="shared" si="129"/>
        <v>75.791119126787422</v>
      </c>
    </row>
    <row r="259" spans="1:31">
      <c r="A259" s="240" t="s">
        <v>232</v>
      </c>
      <c r="B259" s="290">
        <f t="shared" si="130"/>
        <v>15.258115527442655</v>
      </c>
      <c r="C259" s="290">
        <f t="shared" si="128"/>
        <v>22.804512867757648</v>
      </c>
      <c r="D259" s="290">
        <f t="shared" si="128"/>
        <v>16.312593684776683</v>
      </c>
      <c r="E259" s="290">
        <f t="shared" si="128"/>
        <v>17.869828307177649</v>
      </c>
      <c r="F259" s="290">
        <f t="shared" si="128"/>
        <v>12.013048646180295</v>
      </c>
      <c r="G259" s="242">
        <f>'[2]Turkey Sun Oil Imports'!CR$290</f>
        <v>7.4210000000000003</v>
      </c>
      <c r="H259" s="242">
        <f>'[2]Turkey Sun Oil Imports'!DD$290</f>
        <v>5.0549999999999997</v>
      </c>
      <c r="I259" s="242">
        <f>'[2]Turkey Sun Oil Imports'!DP$290</f>
        <v>1E-3</v>
      </c>
      <c r="J259" s="242">
        <f>'[2]Turkey Sun Oil Imports'!EB$290</f>
        <v>14.621</v>
      </c>
      <c r="K259" s="242">
        <f>'[2]Turkey Sun Oil Imports'!EN$290</f>
        <v>5.5510000000000002</v>
      </c>
      <c r="L259" s="242">
        <f>'[2]Turkey Sun Oil Imports'!EZ$290</f>
        <v>3.9449999999999998</v>
      </c>
      <c r="M259" s="242">
        <f>'[2]Turkey Sun Oil Imports'!FL$290</f>
        <v>16.050999999999998</v>
      </c>
      <c r="N259" s="242">
        <f>'[2]Turkey Sun Oil Imports'!FX$290</f>
        <v>16.097000000000001</v>
      </c>
      <c r="O259" s="242">
        <f>'[2]Turkey Sun Oil Imports'!GJ$290</f>
        <v>7.78</v>
      </c>
      <c r="P259" s="242">
        <f>'[2]Turkey Sun Oil Imports'!GV$290</f>
        <v>40.1</v>
      </c>
      <c r="Q259" s="242">
        <f>'[2]Turkey Sun Oil Imports'!HH$290</f>
        <v>43.109000000000002</v>
      </c>
      <c r="R259" s="242">
        <f>'[2]Turkey Sun Oil Imports'!HT$290</f>
        <v>7.94</v>
      </c>
      <c r="S259" s="242">
        <f>'[2]Turkey Sun Oil Imports'!IF$290</f>
        <v>12.182</v>
      </c>
      <c r="T259" s="242">
        <f>'[2]Turkey Sun Oil Imports'!IR$290</f>
        <v>35.322000000000003</v>
      </c>
      <c r="U259" s="242">
        <f>'[2]Turkey Sun Oil Imports'!JD$290</f>
        <v>42.308</v>
      </c>
      <c r="V259" s="242">
        <f>'[2]Turkey Sun Oil Imports'!JP$290</f>
        <v>64.486999999999995</v>
      </c>
      <c r="W259" s="242">
        <f>'[2]Turkey Sun Oil Imports'!KB$290</f>
        <v>81.763000000000005</v>
      </c>
      <c r="X259" s="242">
        <f>'[2]Turkey Sun Oil Imports'!KN$290</f>
        <v>78.545000000000002</v>
      </c>
      <c r="Y259" s="242">
        <f>'[2]Turkey Sun Oil Imports'!KZ$290</f>
        <v>58.000999999999998</v>
      </c>
      <c r="Z259" s="242">
        <f>'[2]Turkey Sun Oil Imports'!LL$290</f>
        <v>41.768014999999998</v>
      </c>
      <c r="AA259" s="242">
        <f>'[2]Turkey Sun Oil Imports'!LX$290</f>
        <v>51.48948</v>
      </c>
      <c r="AB259" s="242">
        <f>'[2]Turkey Sun Oil Imports'!MJ$290</f>
        <v>77.331439000000003</v>
      </c>
      <c r="AC259" s="242">
        <f>'[2]Turkey Sun Oil Imports'!MV$290</f>
        <v>98.908000000000001</v>
      </c>
      <c r="AD259" s="242">
        <f>'[2]Turkey Sun Oil Imports'!NH$290</f>
        <v>112.968</v>
      </c>
      <c r="AE259" s="243">
        <f t="shared" si="129"/>
        <v>85.192079390263871</v>
      </c>
    </row>
    <row r="260" spans="1:31">
      <c r="A260" s="240" t="s">
        <v>233</v>
      </c>
      <c r="B260" s="290">
        <f t="shared" si="130"/>
        <v>24.11463904337165</v>
      </c>
      <c r="C260" s="290">
        <f t="shared" si="128"/>
        <v>29.031875050489599</v>
      </c>
      <c r="D260" s="290">
        <f t="shared" si="128"/>
        <v>20.063627818988593</v>
      </c>
      <c r="E260" s="290">
        <f t="shared" si="128"/>
        <v>24.048439591624305</v>
      </c>
      <c r="F260" s="290">
        <f t="shared" si="128"/>
        <v>14.423096862576553</v>
      </c>
      <c r="G260" s="242">
        <f>'[2]Turkey Sun Oil Imports'!CS$290</f>
        <v>12.752000000000001</v>
      </c>
      <c r="H260" s="242">
        <f>'[2]Turkey Sun Oil Imports'!DE$290</f>
        <v>13.794</v>
      </c>
      <c r="I260" s="242">
        <f>'[2]Turkey Sun Oil Imports'!DQ$290</f>
        <v>2.0990000000000002</v>
      </c>
      <c r="J260" s="242">
        <f>'[2]Turkey Sun Oil Imports'!EC$290</f>
        <v>15.116</v>
      </c>
      <c r="K260" s="242">
        <f>'[2]Turkey Sun Oil Imports'!EO$290</f>
        <v>4.2960000000000003</v>
      </c>
      <c r="L260" s="242">
        <f>'[2]Turkey Sun Oil Imports'!FA$290</f>
        <v>1.9019999999999999</v>
      </c>
      <c r="M260" s="242">
        <f>'[2]Turkey Sun Oil Imports'!FM$290</f>
        <v>8.7059999999999995</v>
      </c>
      <c r="N260" s="242">
        <f>'[2]Turkey Sun Oil Imports'!FY$290</f>
        <v>57.061999999999998</v>
      </c>
      <c r="O260" s="242">
        <f>'[2]Turkey Sun Oil Imports'!GK$290</f>
        <v>6.1459999999999999</v>
      </c>
      <c r="P260" s="242">
        <f>'[2]Turkey Sun Oil Imports'!GW$290</f>
        <v>33.088000000000001</v>
      </c>
      <c r="Q260" s="242">
        <f>'[2]Turkey Sun Oil Imports'!HI$290</f>
        <v>46.45</v>
      </c>
      <c r="R260" s="242">
        <f>'[2]Turkey Sun Oil Imports'!HU$290</f>
        <v>12.051</v>
      </c>
      <c r="S260" s="242">
        <f>'[2]Turkey Sun Oil Imports'!IG$290</f>
        <v>35.667000000000002</v>
      </c>
      <c r="T260" s="242">
        <f>'[2]Turkey Sun Oil Imports'!IS$290</f>
        <v>70.180999999999997</v>
      </c>
      <c r="U260" s="242">
        <f>'[2]Turkey Sun Oil Imports'!JE$290</f>
        <v>29.768000000000001</v>
      </c>
      <c r="V260" s="242">
        <f>'[2]Turkey Sun Oil Imports'!JQ$290</f>
        <v>68.784000000000006</v>
      </c>
      <c r="W260" s="242">
        <f>'[2]Turkey Sun Oil Imports'!KC$290</f>
        <v>83.379000000000005</v>
      </c>
      <c r="X260" s="242">
        <f>'[2]Turkey Sun Oil Imports'!KO$290</f>
        <v>59.216999999999999</v>
      </c>
      <c r="Y260" s="242">
        <f>'[2]Turkey Sun Oil Imports'!LA$290</f>
        <v>78.649000000000001</v>
      </c>
      <c r="Z260" s="242">
        <f>'[2]Turkey Sun Oil Imports'!LM$290</f>
        <v>55.113683999999999</v>
      </c>
      <c r="AA260" s="242">
        <f>'[2]Turkey Sun Oil Imports'!LY$290</f>
        <v>63.258159999999997</v>
      </c>
      <c r="AB260" s="242">
        <f>'[2]Turkey Sun Oil Imports'!MK$290</f>
        <v>66.361001999999999</v>
      </c>
      <c r="AC260" s="242">
        <f>'[2]Turkey Sun Oil Imports'!MW$290</f>
        <v>145.27500000000001</v>
      </c>
      <c r="AD260" s="242">
        <f>'[2]Turkey Sun Oil Imports'!NI$290</f>
        <v>90.403999999999996</v>
      </c>
      <c r="AE260" s="243">
        <f t="shared" si="129"/>
        <v>106.30395753216212</v>
      </c>
    </row>
    <row r="261" spans="1:31">
      <c r="A261" s="240" t="s">
        <v>234</v>
      </c>
      <c r="B261" s="290">
        <f t="shared" si="130"/>
        <v>31.456588369076599</v>
      </c>
      <c r="C261" s="290">
        <f t="shared" si="128"/>
        <v>31.503972994295321</v>
      </c>
      <c r="D261" s="290">
        <f t="shared" si="128"/>
        <v>20.814894447104983</v>
      </c>
      <c r="E261" s="290">
        <f t="shared" si="128"/>
        <v>26.682789030923349</v>
      </c>
      <c r="F261" s="290">
        <f t="shared" si="128"/>
        <v>15.769917132266034</v>
      </c>
      <c r="G261" s="242">
        <f>'[2]Turkey Sun Oil Imports'!CT$290</f>
        <v>9.9309999999999992</v>
      </c>
      <c r="H261" s="242">
        <f>'[2]Turkey Sun Oil Imports'!DF$290</f>
        <v>7.6669999999999998</v>
      </c>
      <c r="I261" s="242">
        <f>'[2]Turkey Sun Oil Imports'!DR$290</f>
        <v>0.122</v>
      </c>
      <c r="J261" s="242">
        <f>'[2]Turkey Sun Oil Imports'!ED$290</f>
        <v>4.1859999999999999</v>
      </c>
      <c r="K261" s="242">
        <f>'[2]Turkey Sun Oil Imports'!EP$290</f>
        <v>11.121</v>
      </c>
      <c r="L261" s="242">
        <f>'[2]Turkey Sun Oil Imports'!FB$290</f>
        <v>6.05</v>
      </c>
      <c r="M261" s="242">
        <f>'[2]Turkey Sun Oil Imports'!FN$290</f>
        <v>7.2670000000000003</v>
      </c>
      <c r="N261" s="242">
        <f>'[2]Turkey Sun Oil Imports'!FZ$290</f>
        <v>65.753</v>
      </c>
      <c r="O261" s="242">
        <f>'[2]Turkey Sun Oil Imports'!GL$290</f>
        <v>11.702999999999999</v>
      </c>
      <c r="P261" s="242">
        <f>'[2]Turkey Sun Oil Imports'!GX$290</f>
        <v>25.234000000000002</v>
      </c>
      <c r="Q261" s="242">
        <f>'[2]Turkey Sun Oil Imports'!HJ$290</f>
        <v>47.165999999999997</v>
      </c>
      <c r="R261" s="242">
        <f>'[2]Turkey Sun Oil Imports'!HV$290</f>
        <v>21.898</v>
      </c>
      <c r="S261" s="242">
        <f>'[2]Turkey Sun Oil Imports'!IH$290</f>
        <v>39.857999999999997</v>
      </c>
      <c r="T261" s="242">
        <f>'[2]Turkey Sun Oil Imports'!IT$290</f>
        <v>60.017000000000003</v>
      </c>
      <c r="U261" s="242">
        <f>'[2]Turkey Sun Oil Imports'!JF$290</f>
        <v>66.183999999999997</v>
      </c>
      <c r="V261" s="242">
        <f>'[2]Turkey Sun Oil Imports'!JR$290</f>
        <v>79.563999999999993</v>
      </c>
      <c r="W261" s="242">
        <f>'[2]Turkey Sun Oil Imports'!KD$290</f>
        <v>61.65</v>
      </c>
      <c r="X261" s="242">
        <f>'[2]Turkey Sun Oil Imports'!KP$290</f>
        <v>39.862000000000002</v>
      </c>
      <c r="Y261" s="242">
        <f>'[2]Turkey Sun Oil Imports'!LB$290</f>
        <v>68.725999999999999</v>
      </c>
      <c r="Z261" s="242">
        <f>'[2]Turkey Sun Oil Imports'!LN$290</f>
        <v>49.965102000000002</v>
      </c>
      <c r="AA261" s="242">
        <f>'[2]Turkey Sun Oil Imports'!LZ$290</f>
        <v>58.128321</v>
      </c>
      <c r="AB261" s="242">
        <f>'[2]Turkey Sun Oil Imports'!ML$290</f>
        <v>101.920765</v>
      </c>
      <c r="AC261" s="242">
        <f>'[2]Turkey Sun Oil Imports'!MX$290</f>
        <v>115.06699999999999</v>
      </c>
      <c r="AD261" s="243">
        <f t="shared" ref="AD261:AE265" si="131">(SUM(X261:AB261)/SUM(X$267:AB$267))*AD$267</f>
        <v>85.095002586973678</v>
      </c>
      <c r="AE261" s="243">
        <f t="shared" si="129"/>
        <v>102.44111410044061</v>
      </c>
    </row>
    <row r="262" spans="1:31">
      <c r="A262" s="240" t="s">
        <v>46</v>
      </c>
      <c r="B262" s="290">
        <f t="shared" si="130"/>
        <v>32.492339777189464</v>
      </c>
      <c r="C262" s="290">
        <f t="shared" si="128"/>
        <v>33.224637892895018</v>
      </c>
      <c r="D262" s="290">
        <f t="shared" si="128"/>
        <v>21.994850690559886</v>
      </c>
      <c r="E262" s="290">
        <f t="shared" si="128"/>
        <v>31.448604785442228</v>
      </c>
      <c r="F262" s="290">
        <f t="shared" si="128"/>
        <v>23.447344068980343</v>
      </c>
      <c r="G262" s="242">
        <f>'[2]Turkey Sun Oil Imports'!CU$290</f>
        <v>17.52</v>
      </c>
      <c r="H262" s="242">
        <f>'[2]Turkey Sun Oil Imports'!DG$290</f>
        <v>10.682</v>
      </c>
      <c r="I262" s="242">
        <f>'[2]Turkey Sun Oil Imports'!DS$290</f>
        <v>8.8949999999999996</v>
      </c>
      <c r="J262" s="242">
        <f>'[2]Turkey Sun Oil Imports'!EE$290</f>
        <v>9.9190000000000005</v>
      </c>
      <c r="K262" s="242">
        <f>'[2]Turkey Sun Oil Imports'!EQ$290</f>
        <v>7.2990000000000004</v>
      </c>
      <c r="L262" s="242">
        <f>'[2]Turkey Sun Oil Imports'!FC$290</f>
        <v>6.7380000000000004</v>
      </c>
      <c r="M262" s="242">
        <f>'[2]Turkey Sun Oil Imports'!FO$290</f>
        <v>10.757</v>
      </c>
      <c r="N262" s="242">
        <f>'[2]Turkey Sun Oil Imports'!GA$290</f>
        <v>52.365000000000002</v>
      </c>
      <c r="O262" s="242">
        <f>'[2]Turkey Sun Oil Imports'!GM$290</f>
        <v>28.09</v>
      </c>
      <c r="P262" s="242">
        <f>'[2]Turkey Sun Oil Imports'!GY$290</f>
        <v>24.393000000000001</v>
      </c>
      <c r="Q262" s="242">
        <f>'[2]Turkey Sun Oil Imports'!HK$290</f>
        <v>50.424999999999997</v>
      </c>
      <c r="R262" s="242">
        <f>'[2]Turkey Sun Oil Imports'!HW$290</f>
        <v>47.158000000000001</v>
      </c>
      <c r="S262" s="242">
        <f>'[2]Turkey Sun Oil Imports'!II$290</f>
        <v>66.802999999999997</v>
      </c>
      <c r="T262" s="242">
        <f>'[2]Turkey Sun Oil Imports'!IU$290</f>
        <v>93.212999999999994</v>
      </c>
      <c r="U262" s="242">
        <f>'[2]Turkey Sun Oil Imports'!JG$290</f>
        <v>77.271000000000001</v>
      </c>
      <c r="V262" s="242">
        <f>'[2]Turkey Sun Oil Imports'!JS$290</f>
        <v>97.801000000000002</v>
      </c>
      <c r="W262" s="242">
        <f>'[2]Turkey Sun Oil Imports'!KE$290</f>
        <v>63.593000000000004</v>
      </c>
      <c r="X262" s="242">
        <f>'[2]Turkey Sun Oil Imports'!KQ$290</f>
        <v>74.576999999999998</v>
      </c>
      <c r="Y262" s="242">
        <f>'[2]Turkey Sun Oil Imports'!LC$290</f>
        <v>82.965000000000003</v>
      </c>
      <c r="Z262" s="242">
        <f>'[2]Turkey Sun Oil Imports'!LO$290</f>
        <v>58.551811999999998</v>
      </c>
      <c r="AA262" s="242">
        <f>'[2]Turkey Sun Oil Imports'!MA$290</f>
        <v>60.329386</v>
      </c>
      <c r="AB262" s="242">
        <f>'[2]Turkey Sun Oil Imports'!MM$290</f>
        <v>181.234982</v>
      </c>
      <c r="AC262" s="242">
        <f>'[2]Turkey Sun Oil Imports'!MY$290</f>
        <v>26.059000000000001</v>
      </c>
      <c r="AD262" s="243">
        <f t="shared" si="131"/>
        <v>122.2352685507912</v>
      </c>
      <c r="AE262" s="243">
        <f t="shared" si="131"/>
        <v>106.4296872673</v>
      </c>
    </row>
    <row r="263" spans="1:31">
      <c r="A263" s="240" t="s">
        <v>235</v>
      </c>
      <c r="B263" s="290">
        <f t="shared" si="130"/>
        <v>44.375233204811565</v>
      </c>
      <c r="C263" s="290">
        <f t="shared" si="128"/>
        <v>54.216152202721538</v>
      </c>
      <c r="D263" s="290">
        <f t="shared" si="128"/>
        <v>31.129807771920166</v>
      </c>
      <c r="E263" s="290">
        <f t="shared" si="128"/>
        <v>33.485770805229237</v>
      </c>
      <c r="F263" s="290">
        <f t="shared" si="128"/>
        <v>21.670107848930915</v>
      </c>
      <c r="G263" s="242">
        <f>'[2]Turkey Sun Oil Imports'!CV$290</f>
        <v>14.147</v>
      </c>
      <c r="H263" s="242">
        <f>'[2]Turkey Sun Oil Imports'!DH$290</f>
        <v>12.307</v>
      </c>
      <c r="I263" s="242">
        <f>'[2]Turkey Sun Oil Imports'!DT$290</f>
        <v>8.4260000000000002</v>
      </c>
      <c r="J263" s="242">
        <f>'[2]Turkey Sun Oil Imports'!EF$290</f>
        <v>13.693</v>
      </c>
      <c r="K263" s="242">
        <f>'[2]Turkey Sun Oil Imports'!ER$290</f>
        <v>8.234</v>
      </c>
      <c r="L263" s="242">
        <f>'[2]Turkey Sun Oil Imports'!FD$290</f>
        <v>9.2669999999999995</v>
      </c>
      <c r="M263" s="242">
        <f>'[2]Turkey Sun Oil Imports'!FP$290</f>
        <v>35.56</v>
      </c>
      <c r="N263" s="242">
        <f>'[2]Turkey Sun Oil Imports'!GB$290</f>
        <v>74.168999999999997</v>
      </c>
      <c r="O263" s="242">
        <f>'[2]Turkey Sun Oil Imports'!GN$290</f>
        <v>16.510000000000002</v>
      </c>
      <c r="P263" s="242">
        <f>'[2]Turkey Sun Oil Imports'!GZ$290</f>
        <v>64.134</v>
      </c>
      <c r="Q263" s="242">
        <f>'[2]Turkey Sun Oil Imports'!HL$290</f>
        <v>44.613</v>
      </c>
      <c r="R263" s="242">
        <f>'[2]Turkey Sun Oil Imports'!HX$290</f>
        <v>16.117999999999999</v>
      </c>
      <c r="S263" s="242">
        <f>'[2]Turkey Sun Oil Imports'!IJ$290</f>
        <v>59.055999999999997</v>
      </c>
      <c r="T263" s="242">
        <f>'[2]Turkey Sun Oil Imports'!IV$290</f>
        <v>84.433000000000007</v>
      </c>
      <c r="U263" s="242">
        <f>'[2]Turkey Sun Oil Imports'!JH$290</f>
        <v>45.170999999999999</v>
      </c>
      <c r="V263" s="242">
        <f>'[2]Turkey Sun Oil Imports'!JT$290</f>
        <v>91.677999999999997</v>
      </c>
      <c r="W263" s="242">
        <f>'[2]Turkey Sun Oil Imports'!KF$290</f>
        <v>104.306</v>
      </c>
      <c r="X263" s="242">
        <f>'[2]Turkey Sun Oil Imports'!KR$290</f>
        <v>62.14</v>
      </c>
      <c r="Y263" s="242">
        <f>'[2]Turkey Sun Oil Imports'!LD$290</f>
        <v>69.712999999999994</v>
      </c>
      <c r="Z263" s="242">
        <f>'[2]Turkey Sun Oil Imports'!LP$290</f>
        <v>50.567255000000003</v>
      </c>
      <c r="AA263" s="242">
        <f>'[2]Turkey Sun Oil Imports'!MB$290</f>
        <v>55.165647</v>
      </c>
      <c r="AB263" s="242">
        <f>'[2]Turkey Sun Oil Imports'!MN$290</f>
        <v>109.372952</v>
      </c>
      <c r="AC263" s="242">
        <f>'[2]Turkey Sun Oil Imports'!MZ$290</f>
        <v>33.503999999999998</v>
      </c>
      <c r="AD263" s="243">
        <f t="shared" si="131"/>
        <v>92.668743940651851</v>
      </c>
      <c r="AE263" s="243">
        <f t="shared" si="131"/>
        <v>82.805364658280169</v>
      </c>
    </row>
    <row r="264" spans="1:31">
      <c r="A264" s="240" t="s">
        <v>236</v>
      </c>
      <c r="B264" s="290">
        <f t="shared" si="130"/>
        <v>45.343683925303388</v>
      </c>
      <c r="C264" s="290">
        <f t="shared" si="128"/>
        <v>44.235426768167237</v>
      </c>
      <c r="D264" s="290">
        <f t="shared" si="128"/>
        <v>23.884608837285398</v>
      </c>
      <c r="E264" s="290">
        <f t="shared" si="128"/>
        <v>28.842374544616575</v>
      </c>
      <c r="F264" s="290">
        <f t="shared" si="128"/>
        <v>17.775821961964112</v>
      </c>
      <c r="G264" s="242">
        <f>'[2]Turkey Sun Oil Imports'!CW$290</f>
        <v>9.8190000000000008</v>
      </c>
      <c r="H264" s="242">
        <f>'[2]Turkey Sun Oil Imports'!DI$290</f>
        <v>9.5310000000000006</v>
      </c>
      <c r="I264" s="242">
        <f>'[2]Turkey Sun Oil Imports'!DU$290</f>
        <v>26.835999999999999</v>
      </c>
      <c r="J264" s="242">
        <f>'[2]Turkey Sun Oil Imports'!EG$290</f>
        <v>6.766</v>
      </c>
      <c r="K264" s="242">
        <f>'[2]Turkey Sun Oil Imports'!ES$290</f>
        <v>22.971</v>
      </c>
      <c r="L264" s="242">
        <f>'[2]Turkey Sun Oil Imports'!FE$290</f>
        <v>11.159000000000001</v>
      </c>
      <c r="M264" s="242">
        <f>'[2]Turkey Sun Oil Imports'!FQ$290</f>
        <v>15.464</v>
      </c>
      <c r="N264" s="242">
        <f>'[2]Turkey Sun Oil Imports'!GC$290</f>
        <v>65.165000000000006</v>
      </c>
      <c r="O264" s="242">
        <f>'[2]Turkey Sun Oil Imports'!GO$290</f>
        <v>32.118000000000002</v>
      </c>
      <c r="P264" s="242">
        <f>'[2]Turkey Sun Oil Imports'!HA$290</f>
        <v>38.981999999999999</v>
      </c>
      <c r="Q264" s="242">
        <f>'[2]Turkey Sun Oil Imports'!HM$290</f>
        <v>28.565999999999999</v>
      </c>
      <c r="R264" s="242">
        <f>'[2]Turkey Sun Oil Imports'!HY$290</f>
        <v>20.824000000000002</v>
      </c>
      <c r="S264" s="242">
        <f>'[2]Turkey Sun Oil Imports'!IK$290</f>
        <v>43.921999999999997</v>
      </c>
      <c r="T264" s="242">
        <f>'[2]Turkey Sun Oil Imports'!IW$290</f>
        <v>57.814999999999998</v>
      </c>
      <c r="U264" s="242">
        <f>'[2]Turkey Sun Oil Imports'!JI$290</f>
        <v>75.736000000000004</v>
      </c>
      <c r="V264" s="242">
        <f>'[2]Turkey Sun Oil Imports'!JU$290</f>
        <v>68.078999999999994</v>
      </c>
      <c r="W264" s="242">
        <f>'[2]Turkey Sun Oil Imports'!KG$290</f>
        <v>57.131</v>
      </c>
      <c r="X264" s="242">
        <f>'[2]Turkey Sun Oil Imports'!KS$290</f>
        <v>39.667000000000002</v>
      </c>
      <c r="Y264" s="242">
        <f>'[2]Turkey Sun Oil Imports'!LE$290</f>
        <v>43.948160999999999</v>
      </c>
      <c r="Z264" s="242">
        <f>'[2]Turkey Sun Oil Imports'!LQ$290</f>
        <v>60.920079999999999</v>
      </c>
      <c r="AA264" s="242">
        <f>'[2]Turkey Sun Oil Imports'!MC$290</f>
        <v>40.433128000000004</v>
      </c>
      <c r="AB264" s="242">
        <f>'[2]Turkey Sun Oil Imports'!MO$290</f>
        <v>63.614739</v>
      </c>
      <c r="AC264" s="242">
        <f>'[2]Turkey Sun Oil Imports'!NA$290</f>
        <v>36.646000000000001</v>
      </c>
      <c r="AD264" s="243">
        <f t="shared" si="131"/>
        <v>66.393706682070743</v>
      </c>
      <c r="AE264" s="243">
        <f t="shared" si="131"/>
        <v>63.878102510339957</v>
      </c>
    </row>
    <row r="265" spans="1:31">
      <c r="A265" s="240" t="s">
        <v>237</v>
      </c>
      <c r="B265" s="290">
        <f t="shared" si="130"/>
        <v>20.220769442618291</v>
      </c>
      <c r="C265" s="290">
        <f t="shared" si="128"/>
        <v>26.97989525664185</v>
      </c>
      <c r="D265" s="290">
        <f t="shared" si="128"/>
        <v>13.139416195220694</v>
      </c>
      <c r="E265" s="290">
        <f t="shared" si="128"/>
        <v>16.446002594423284</v>
      </c>
      <c r="F265" s="290">
        <f t="shared" si="128"/>
        <v>14.602139518641883</v>
      </c>
      <c r="G265" s="242">
        <f>'[2]Turkey Sun Oil Imports'!CX$290</f>
        <v>15.148</v>
      </c>
      <c r="H265" s="242">
        <f>'[2]Turkey Sun Oil Imports'!DJ$290</f>
        <v>8.391</v>
      </c>
      <c r="I265" s="242">
        <f>'[2]Turkey Sun Oil Imports'!DV$290</f>
        <v>25.898</v>
      </c>
      <c r="J265" s="242">
        <f>'[2]Turkey Sun Oil Imports'!EH$290</f>
        <v>4.1820000000000004</v>
      </c>
      <c r="K265" s="242">
        <f>'[2]Turkey Sun Oil Imports'!ET$290</f>
        <v>4.423</v>
      </c>
      <c r="L265" s="242">
        <f>'[2]Turkey Sun Oil Imports'!FF$290</f>
        <v>13.487</v>
      </c>
      <c r="M265" s="242">
        <f>'[2]Turkey Sun Oil Imports'!FR$290</f>
        <v>14.965</v>
      </c>
      <c r="N265" s="242">
        <f>'[2]Turkey Sun Oil Imports'!GD$290</f>
        <v>25.033999999999999</v>
      </c>
      <c r="O265" s="242">
        <f>'[2]Turkey Sun Oil Imports'!GP$290</f>
        <v>7.59</v>
      </c>
      <c r="P265" s="242">
        <f>'[2]Turkey Sun Oil Imports'!HB$290</f>
        <v>38.271999999999998</v>
      </c>
      <c r="Q265" s="242">
        <f>'[2]Turkey Sun Oil Imports'!HN$290</f>
        <v>13.323</v>
      </c>
      <c r="R265" s="242">
        <f>'[2]Turkey Sun Oil Imports'!HZ$290</f>
        <v>21.641999999999999</v>
      </c>
      <c r="S265" s="242">
        <f>'[2]Turkey Sun Oil Imports'!IL$290</f>
        <v>54.231000000000002</v>
      </c>
      <c r="T265" s="242">
        <f>'[2]Turkey Sun Oil Imports'!IX$290</f>
        <v>44.648000000000003</v>
      </c>
      <c r="U265" s="242">
        <f>'[2]Turkey Sun Oil Imports'!JJ$290</f>
        <v>44.694000000000003</v>
      </c>
      <c r="V265" s="242">
        <f>'[2]Turkey Sun Oil Imports'!JV$290</f>
        <v>34.886000000000003</v>
      </c>
      <c r="W265" s="242">
        <f>'[2]Turkey Sun Oil Imports'!KH$290</f>
        <v>24.899000000000001</v>
      </c>
      <c r="X265" s="242">
        <f>'[2]Turkey Sun Oil Imports'!KT$290</f>
        <v>32.271999999999998</v>
      </c>
      <c r="Y265" s="242">
        <f>'[2]Turkey Sun Oil Imports'!LF$290</f>
        <v>28.565346999999999</v>
      </c>
      <c r="Z265" s="242">
        <f>'[2]Turkey Sun Oil Imports'!LR$290</f>
        <v>27.332584000000001</v>
      </c>
      <c r="AA265" s="242">
        <f>'[2]Turkey Sun Oil Imports'!MD$290</f>
        <v>23.155604</v>
      </c>
      <c r="AB265" s="242">
        <f>'[2]Turkey Sun Oil Imports'!MP$290</f>
        <v>29.105193</v>
      </c>
      <c r="AC265" s="242">
        <f>'[2]Turkey Sun Oil Imports'!NB$290</f>
        <v>47.703000000000003</v>
      </c>
      <c r="AD265" s="243">
        <f t="shared" si="131"/>
        <v>37.507442235301276</v>
      </c>
      <c r="AE265" s="243">
        <f t="shared" si="131"/>
        <v>40.544331206925143</v>
      </c>
    </row>
    <row r="266" spans="1:31">
      <c r="A266" s="240" t="s">
        <v>238</v>
      </c>
      <c r="B266" s="290">
        <f t="shared" si="130"/>
        <v>9.8311486114319226</v>
      </c>
      <c r="C266" s="290">
        <f t="shared" si="128"/>
        <v>10.508113571088495</v>
      </c>
      <c r="D266" s="290">
        <f t="shared" si="128"/>
        <v>5.5844903382554474</v>
      </c>
      <c r="E266" s="290">
        <f t="shared" si="128"/>
        <v>7.5023885783233597</v>
      </c>
      <c r="F266" s="290">
        <f t="shared" si="128"/>
        <v>5.2139686526270541</v>
      </c>
      <c r="G266" s="242">
        <f>'[2]Turkey Sun Oil Imports'!CY$290</f>
        <v>10.842000000000001</v>
      </c>
      <c r="H266" s="242">
        <f>'[2]Turkey Sun Oil Imports'!DK$290</f>
        <v>9.3390000000000004</v>
      </c>
      <c r="I266" s="242">
        <f>'[2]Turkey Sun Oil Imports'!DW$290</f>
        <v>3.4830000000000001</v>
      </c>
      <c r="J266" s="242">
        <f>'[2]Turkey Sun Oil Imports'!EI$290</f>
        <v>0.625</v>
      </c>
      <c r="K266" s="242">
        <f>'[2]Turkey Sun Oil Imports'!EU$290</f>
        <v>3.4750000000000001</v>
      </c>
      <c r="L266" s="242">
        <f>'[2]Turkey Sun Oil Imports'!FG$290</f>
        <v>1.696</v>
      </c>
      <c r="M266" s="242">
        <f>'[2]Turkey Sun Oil Imports'!FS$290</f>
        <v>8.19</v>
      </c>
      <c r="N266" s="242">
        <f>'[2]Turkey Sun Oil Imports'!GE$290</f>
        <v>15.744999999999999</v>
      </c>
      <c r="O266" s="242">
        <f>'[2]Turkey Sun Oil Imports'!GQ$290</f>
        <v>2.7389999999999999</v>
      </c>
      <c r="P266" s="242">
        <f>'[2]Turkey Sun Oil Imports'!HC$290</f>
        <v>10.324</v>
      </c>
      <c r="Q266" s="242">
        <f>'[2]Turkey Sun Oil Imports'!HO$290</f>
        <v>5.157</v>
      </c>
      <c r="R266" s="242">
        <f>'[2]Turkey Sun Oil Imports'!IA$290</f>
        <v>14.327</v>
      </c>
      <c r="S266" s="242">
        <f>'[2]Turkey Sun Oil Imports'!IM$290</f>
        <v>15.678000000000001</v>
      </c>
      <c r="T266" s="242">
        <f>'[2]Turkey Sun Oil Imports'!IY$290</f>
        <v>45.149000000000001</v>
      </c>
      <c r="U266" s="242">
        <f>'[2]Turkey Sun Oil Imports'!JK$290</f>
        <v>43.475000000000001</v>
      </c>
      <c r="V266" s="242">
        <f>'[2]Turkey Sun Oil Imports'!JW$290</f>
        <v>39.817999999999998</v>
      </c>
      <c r="W266" s="242">
        <f>'[2]Turkey Sun Oil Imports'!KI$290</f>
        <v>15.076000000000001</v>
      </c>
      <c r="X266" s="242">
        <f>'[2]Turkey Sun Oil Imports'!KU$290</f>
        <v>35.662999999999997</v>
      </c>
      <c r="Y266" s="242">
        <f>'[2]Turkey Sun Oil Imports'!LG$290</f>
        <v>13.540801</v>
      </c>
      <c r="Z266" s="242">
        <f>'[2]Turkey Sun Oil Imports'!LS$290</f>
        <v>30.499416</v>
      </c>
      <c r="AA266" s="242">
        <f>'[2]Turkey Sun Oil Imports'!ME$290</f>
        <v>31.298075999999998</v>
      </c>
      <c r="AB266" s="242">
        <f>'[2]Turkey Sun Oil Imports'!MQ$290</f>
        <v>19.4255</v>
      </c>
      <c r="AC266" s="242">
        <f>'[2]Turkey Sun Oil Imports'!NC$290</f>
        <v>40.351999999999997</v>
      </c>
      <c r="AD266" s="243">
        <f t="shared" ref="AD266:AE266" si="132">AD267-SUM(AD255:AD265)</f>
        <v>-117.69216399578863</v>
      </c>
      <c r="AE266" s="243">
        <f t="shared" si="132"/>
        <v>35.147688486286711</v>
      </c>
    </row>
    <row r="267" spans="1:31" ht="15.75" thickBot="1">
      <c r="A267" s="240" t="s">
        <v>242</v>
      </c>
      <c r="B267" s="292">
        <f t="shared" ref="B267:G267" si="133">B34</f>
        <v>278</v>
      </c>
      <c r="C267" s="292">
        <f t="shared" si="133"/>
        <v>316</v>
      </c>
      <c r="D267" s="292">
        <f t="shared" si="133"/>
        <v>200</v>
      </c>
      <c r="E267" s="292">
        <f t="shared" si="133"/>
        <v>240</v>
      </c>
      <c r="F267" s="292">
        <f t="shared" si="133"/>
        <v>161</v>
      </c>
      <c r="G267" s="292">
        <f t="shared" si="133"/>
        <v>140</v>
      </c>
      <c r="H267" s="292">
        <f t="shared" ref="H267:AB267" si="134">SUM(H255:H266)</f>
        <v>102.82700000000001</v>
      </c>
      <c r="I267" s="292">
        <f t="shared" si="134"/>
        <v>100.289</v>
      </c>
      <c r="J267" s="292">
        <f t="shared" si="134"/>
        <v>144.12499999999997</v>
      </c>
      <c r="K267" s="292">
        <f t="shared" si="134"/>
        <v>70.477000000000004</v>
      </c>
      <c r="L267" s="292">
        <f t="shared" si="134"/>
        <v>81.134999999999991</v>
      </c>
      <c r="M267" s="292">
        <f t="shared" si="134"/>
        <v>158.48700000000002</v>
      </c>
      <c r="N267" s="292">
        <f t="shared" si="134"/>
        <v>458.37399999999997</v>
      </c>
      <c r="O267" s="292">
        <f t="shared" si="134"/>
        <v>132.02300000000002</v>
      </c>
      <c r="P267" s="292">
        <f t="shared" si="134"/>
        <v>333.58699999999999</v>
      </c>
      <c r="Q267" s="292">
        <f t="shared" si="134"/>
        <v>427.24599999999998</v>
      </c>
      <c r="R267" s="292">
        <f t="shared" si="134"/>
        <v>193.62200000000001</v>
      </c>
      <c r="S267" s="292">
        <f t="shared" si="134"/>
        <v>402.64199999999994</v>
      </c>
      <c r="T267" s="292">
        <f t="shared" si="134"/>
        <v>680.625</v>
      </c>
      <c r="U267" s="292">
        <f t="shared" si="134"/>
        <v>655.59699999999998</v>
      </c>
      <c r="V267" s="292">
        <f t="shared" si="134"/>
        <v>772.50099999999986</v>
      </c>
      <c r="W267" s="292">
        <f t="shared" si="134"/>
        <v>788.84900000000005</v>
      </c>
      <c r="X267" s="292">
        <f t="shared" si="134"/>
        <v>706.42800000000011</v>
      </c>
      <c r="Y267" s="292">
        <f t="shared" si="134"/>
        <v>767.65730899999994</v>
      </c>
      <c r="Z267" s="292">
        <f t="shared" si="134"/>
        <v>561.666608</v>
      </c>
      <c r="AA267" s="292">
        <f t="shared" si="134"/>
        <v>569.69518500000004</v>
      </c>
      <c r="AB267" s="292">
        <f t="shared" si="134"/>
        <v>857.8235360000001</v>
      </c>
      <c r="AC267" s="146">
        <f>SUM(AC255:AC266)</f>
        <v>799.06996699999991</v>
      </c>
      <c r="AD267" s="253">
        <f t="shared" ref="AD267:AE267" si="135">AD34</f>
        <v>925</v>
      </c>
      <c r="AE267" s="253">
        <f t="shared" si="135"/>
        <v>925</v>
      </c>
    </row>
    <row r="268" spans="1:31">
      <c r="A268" s="248"/>
      <c r="B268" s="248"/>
      <c r="C268" s="263"/>
      <c r="D268" s="436"/>
      <c r="E268" s="436"/>
      <c r="F268" s="436"/>
      <c r="G268" s="436"/>
      <c r="H268" s="436"/>
      <c r="I268" s="436"/>
      <c r="J268" s="436"/>
      <c r="K268" s="436"/>
      <c r="L268" s="436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  <c r="AD268" s="248"/>
      <c r="AE268" s="248"/>
    </row>
    <row r="269" spans="1:31" ht="15.75" thickBot="1">
      <c r="A269" s="235" t="s">
        <v>267</v>
      </c>
      <c r="D269" s="271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</row>
    <row r="270" spans="1:31" ht="15.75" thickBot="1">
      <c r="A270" s="236"/>
      <c r="B270" s="237" t="str">
        <f>B$2</f>
        <v xml:space="preserve">93/94 </v>
      </c>
      <c r="C270" s="237" t="str">
        <f t="shared" ref="C270:AE270" si="136">C$2</f>
        <v xml:space="preserve">94/95 </v>
      </c>
      <c r="D270" s="237" t="str">
        <f t="shared" si="136"/>
        <v xml:space="preserve">95/96 </v>
      </c>
      <c r="E270" s="237" t="str">
        <f t="shared" si="136"/>
        <v xml:space="preserve">96/97 </v>
      </c>
      <c r="F270" s="237" t="str">
        <f t="shared" si="136"/>
        <v xml:space="preserve">97/98 </v>
      </c>
      <c r="G270" s="237" t="str">
        <f t="shared" si="136"/>
        <v xml:space="preserve">98/99 </v>
      </c>
      <c r="H270" s="237" t="str">
        <f t="shared" si="136"/>
        <v xml:space="preserve">99/00 </v>
      </c>
      <c r="I270" s="237" t="str">
        <f t="shared" si="136"/>
        <v xml:space="preserve">00/01 </v>
      </c>
      <c r="J270" s="237" t="str">
        <f t="shared" si="136"/>
        <v xml:space="preserve">01/02 </v>
      </c>
      <c r="K270" s="237" t="str">
        <f t="shared" si="136"/>
        <v xml:space="preserve">02/03 </v>
      </c>
      <c r="L270" s="237" t="str">
        <f t="shared" si="136"/>
        <v xml:space="preserve">03/04 </v>
      </c>
      <c r="M270" s="237" t="str">
        <f t="shared" si="136"/>
        <v xml:space="preserve">04/05 </v>
      </c>
      <c r="N270" s="237" t="str">
        <f t="shared" si="136"/>
        <v xml:space="preserve">05/06 </v>
      </c>
      <c r="O270" s="237" t="str">
        <f t="shared" si="136"/>
        <v xml:space="preserve">06/07 </v>
      </c>
      <c r="P270" s="237" t="str">
        <f t="shared" si="136"/>
        <v xml:space="preserve">07/08 </v>
      </c>
      <c r="Q270" s="237" t="str">
        <f t="shared" si="136"/>
        <v xml:space="preserve">08/09 </v>
      </c>
      <c r="R270" s="237" t="str">
        <f t="shared" si="136"/>
        <v xml:space="preserve">09/10 </v>
      </c>
      <c r="S270" s="237" t="str">
        <f t="shared" si="136"/>
        <v xml:space="preserve">10/11 </v>
      </c>
      <c r="T270" s="237" t="str">
        <f t="shared" si="136"/>
        <v xml:space="preserve">11/12 </v>
      </c>
      <c r="U270" s="237" t="str">
        <f t="shared" si="136"/>
        <v xml:space="preserve">12/13 </v>
      </c>
      <c r="V270" s="237" t="str">
        <f t="shared" si="136"/>
        <v xml:space="preserve">13/14 </v>
      </c>
      <c r="W270" s="237" t="str">
        <f t="shared" si="136"/>
        <v xml:space="preserve">14/15 </v>
      </c>
      <c r="X270" s="237" t="str">
        <f t="shared" si="136"/>
        <v xml:space="preserve">15/16 </v>
      </c>
      <c r="Y270" s="237" t="str">
        <f t="shared" si="136"/>
        <v xml:space="preserve">16/17 </v>
      </c>
      <c r="Z270" s="237" t="str">
        <f t="shared" si="136"/>
        <v xml:space="preserve">17/18 </v>
      </c>
      <c r="AA270" s="237" t="str">
        <f t="shared" si="136"/>
        <v xml:space="preserve">18/19 </v>
      </c>
      <c r="AB270" s="237" t="str">
        <f t="shared" si="136"/>
        <v xml:space="preserve">19/20 </v>
      </c>
      <c r="AC270" s="237" t="str">
        <f t="shared" si="136"/>
        <v xml:space="preserve">20/21 </v>
      </c>
      <c r="AD270" s="237" t="str">
        <f t="shared" si="136"/>
        <v xml:space="preserve">21/22 </v>
      </c>
      <c r="AE270" s="237" t="str">
        <f t="shared" si="136"/>
        <v xml:space="preserve">22/23 </v>
      </c>
    </row>
    <row r="271" spans="1:31">
      <c r="A271" s="240" t="s">
        <v>239</v>
      </c>
      <c r="B271" s="290">
        <f>(SUM(K271:O271)/SUM(K$283:O$283))*B$283</f>
        <v>4.1867645210747231</v>
      </c>
      <c r="C271" s="290">
        <f t="shared" ref="C271:F282" si="137">(SUM(L271:P271)/SUM(L$283:P$283))*C$283</f>
        <v>5.9905536719214227</v>
      </c>
      <c r="D271" s="290">
        <f t="shared" si="137"/>
        <v>3.8285340314136134</v>
      </c>
      <c r="E271" s="290">
        <f t="shared" si="137"/>
        <v>4.1777075050586197</v>
      </c>
      <c r="F271" s="290">
        <f t="shared" si="137"/>
        <v>8.1906806465050774</v>
      </c>
      <c r="G271" s="290">
        <v>16.338248554913289</v>
      </c>
      <c r="H271" s="242">
        <f>'[2]Turkey Sun Oil Exports'!CZ$290</f>
        <v>2.8969999999999998</v>
      </c>
      <c r="I271" s="242">
        <f>'[2]Turkey Sun Oil Exports'!DL$290</f>
        <v>2.4790000000000001</v>
      </c>
      <c r="J271" s="242">
        <f>'[2]Turkey Sun Oil Exports'!DX$290</f>
        <v>1.103</v>
      </c>
      <c r="K271" s="242">
        <f>'[2]Turkey Sun Oil Exports'!EJ$290</f>
        <v>0.53500000000000003</v>
      </c>
      <c r="L271" s="242">
        <f>'[2]Turkey Sun Oil Exports'!EV$290</f>
        <v>0.96299999999999997</v>
      </c>
      <c r="M271" s="242">
        <f>'[2]Turkey Sun Oil Exports'!FH$290</f>
        <v>2.4319999999999999</v>
      </c>
      <c r="N271" s="242">
        <f>'[2]Turkey Sun Oil Exports'!FT$290</f>
        <v>2.077</v>
      </c>
      <c r="O271" s="242">
        <f>'[2]Turkey Sun Oil Exports'!GF$290</f>
        <v>0.82</v>
      </c>
      <c r="P271" s="242">
        <f>'[2]Turkey Sun Oil Exports'!GR$290</f>
        <v>1.9179999999999999</v>
      </c>
      <c r="Q271" s="242">
        <f>'[2]Turkey Sun Oil Exports'!HD$290</f>
        <v>13.048</v>
      </c>
      <c r="R271" s="242">
        <f>'[2]Turkey Sun Oil Exports'!HP$290</f>
        <v>7.4210000000000003</v>
      </c>
      <c r="S271" s="242">
        <f>'[2]Turkey Sun Oil Exports'!IB$290</f>
        <v>7.2530000000000001</v>
      </c>
      <c r="T271" s="242">
        <f>'[2]Turkey Sun Oil Exports'!IN$290</f>
        <v>22.756</v>
      </c>
      <c r="U271" s="242">
        <f>'[2]Turkey Sun Oil Exports'!IZ$290</f>
        <v>17.12</v>
      </c>
      <c r="V271" s="242">
        <f>'[2]Turkey Sun Oil Exports'!JL$290</f>
        <v>23.689</v>
      </c>
      <c r="W271" s="242">
        <f>'[2]Turkey Sun Oil Exports'!JX$290</f>
        <v>50.741999999999997</v>
      </c>
      <c r="X271" s="242">
        <f>'[2]Turkey Sun Oil Exports'!KJ$290</f>
        <v>46.731000000000002</v>
      </c>
      <c r="Y271" s="242">
        <f>'[2]Turkey Sun Oil Exports'!KV$290</f>
        <v>63.439</v>
      </c>
      <c r="Z271" s="242">
        <f>'[2]Turkey Sun Oil Exports'!LH$290</f>
        <v>35.001835</v>
      </c>
      <c r="AA271" s="242">
        <f>'[2]Turkey Sun Oil Exports'!LT$290</f>
        <v>45.613813999999998</v>
      </c>
      <c r="AB271" s="242">
        <f>'[2]Turkey Sun Oil Exports'!MF$290</f>
        <v>60.384521999999997</v>
      </c>
      <c r="AC271" s="242">
        <f>'[2]Turkey Sun Oil Exports'!MR$290</f>
        <v>43.706024999999997</v>
      </c>
      <c r="AD271" s="242">
        <f>'[2]Turkey Sun Oil Exports'!ND$290</f>
        <v>45.737000000000002</v>
      </c>
      <c r="AE271" s="243">
        <f t="shared" ref="AE271:AE277" si="138">(SUM(Y271:AC271)/SUM(Y$283:AC$283))*AE$283</f>
        <v>75.279176059124666</v>
      </c>
    </row>
    <row r="272" spans="1:31">
      <c r="A272" s="240" t="s">
        <v>240</v>
      </c>
      <c r="B272" s="290">
        <f t="shared" ref="B272:B282" si="139">(SUM(K272:O272)/SUM(K$283:O$283))*B$283</f>
        <v>5.8573001231558051</v>
      </c>
      <c r="C272" s="290">
        <f t="shared" si="137"/>
        <v>7.5228512006711163</v>
      </c>
      <c r="D272" s="290">
        <f t="shared" si="137"/>
        <v>5.5040718124934704</v>
      </c>
      <c r="E272" s="290">
        <f t="shared" si="137"/>
        <v>5.3591111065919659</v>
      </c>
      <c r="F272" s="290">
        <f t="shared" si="137"/>
        <v>9.4797851448420882</v>
      </c>
      <c r="G272" s="290">
        <v>16.823664739884393</v>
      </c>
      <c r="H272" s="242">
        <f>'[2]Turkey Sun Oil Exports'!DA$290</f>
        <v>1.474</v>
      </c>
      <c r="I272" s="242">
        <f>'[2]Turkey Sun Oil Exports'!DM$290</f>
        <v>3.6360000000000001</v>
      </c>
      <c r="J272" s="242">
        <f>'[2]Turkey Sun Oil Exports'!DY$290</f>
        <v>0.53300000000000003</v>
      </c>
      <c r="K272" s="242">
        <f>'[2]Turkey Sun Oil Exports'!EK$290</f>
        <v>1.1559999999999999</v>
      </c>
      <c r="L272" s="242">
        <f>'[2]Turkey Sun Oil Exports'!EW$290</f>
        <v>1.415</v>
      </c>
      <c r="M272" s="242">
        <f>'[2]Turkey Sun Oil Exports'!FI$290</f>
        <v>1.083</v>
      </c>
      <c r="N272" s="242">
        <f>'[2]Turkey Sun Oil Exports'!FU$290</f>
        <v>1.7330000000000001</v>
      </c>
      <c r="O272" s="242">
        <f>'[2]Turkey Sun Oil Exports'!GG$290</f>
        <v>4.1639999999999997</v>
      </c>
      <c r="P272" s="242">
        <f>'[2]Turkey Sun Oil Exports'!GS$290</f>
        <v>1.915</v>
      </c>
      <c r="Q272" s="242">
        <f>'[2]Turkey Sun Oil Exports'!HE$290</f>
        <v>20.282</v>
      </c>
      <c r="R272" s="242">
        <f>'[2]Turkey Sun Oil Exports'!HQ$290</f>
        <v>4.34</v>
      </c>
      <c r="S272" s="242">
        <f>'[2]Turkey Sun Oil Exports'!IC$290</f>
        <v>4.5529999999999999</v>
      </c>
      <c r="T272" s="242">
        <f>'[2]Turkey Sun Oil Exports'!IO$290</f>
        <v>17.893999999999998</v>
      </c>
      <c r="U272" s="242">
        <f>'[2]Turkey Sun Oil Exports'!JA$290</f>
        <v>21.992999999999999</v>
      </c>
      <c r="V272" s="242">
        <f>'[2]Turkey Sun Oil Exports'!JM$290</f>
        <v>40.271999999999998</v>
      </c>
      <c r="W272" s="242">
        <f>'[2]Turkey Sun Oil Exports'!JY$290</f>
        <v>57.924999999999997</v>
      </c>
      <c r="X272" s="242">
        <f>'[2]Turkey Sun Oil Exports'!KK$290</f>
        <v>68.031000000000006</v>
      </c>
      <c r="Y272" s="242">
        <f>'[2]Turkey Sun Oil Exports'!KW$290</f>
        <v>66.076999999999998</v>
      </c>
      <c r="Z272" s="242">
        <f>'[2]Turkey Sun Oil Exports'!LI$290</f>
        <v>28.337185000000002</v>
      </c>
      <c r="AA272" s="242">
        <f>'[2]Turkey Sun Oil Exports'!LU$290</f>
        <v>45.160369000000003</v>
      </c>
      <c r="AB272" s="242">
        <f>'[2]Turkey Sun Oil Exports'!MG$290</f>
        <v>48.131816999999998</v>
      </c>
      <c r="AC272" s="242">
        <f>'[2]Turkey Sun Oil Exports'!MS$290</f>
        <v>47.191071000000001</v>
      </c>
      <c r="AD272" s="242">
        <f>'[2]Turkey Sun Oil Exports'!NE$290</f>
        <v>55.865000000000002</v>
      </c>
      <c r="AE272" s="243">
        <f t="shared" si="138"/>
        <v>71.26023867153981</v>
      </c>
    </row>
    <row r="273" spans="1:31">
      <c r="A273" s="240" t="s">
        <v>241</v>
      </c>
      <c r="B273" s="290">
        <f t="shared" si="139"/>
        <v>7.3708397215170782</v>
      </c>
      <c r="C273" s="290">
        <f t="shared" si="137"/>
        <v>9.5710222307665429</v>
      </c>
      <c r="D273" s="290">
        <f t="shared" si="137"/>
        <v>4.862492889564785</v>
      </c>
      <c r="E273" s="290">
        <f t="shared" si="137"/>
        <v>4.7300756505028119</v>
      </c>
      <c r="F273" s="290">
        <f t="shared" si="137"/>
        <v>9.5392119479569164</v>
      </c>
      <c r="G273" s="290">
        <v>22.114086705202308</v>
      </c>
      <c r="H273" s="242">
        <f>'[2]Turkey Sun Oil Exports'!DB$290</f>
        <v>2.8889999999999998</v>
      </c>
      <c r="I273" s="242">
        <f>'[2]Turkey Sun Oil Exports'!DN$290</f>
        <v>4.4989999999999997</v>
      </c>
      <c r="J273" s="242">
        <f>'[2]Turkey Sun Oil Exports'!DZ$290</f>
        <v>0.61399999999999999</v>
      </c>
      <c r="K273" s="242">
        <f>'[2]Turkey Sun Oil Exports'!EL$290</f>
        <v>1.67</v>
      </c>
      <c r="L273" s="242">
        <f>'[2]Turkey Sun Oil Exports'!EX$290</f>
        <v>1.125</v>
      </c>
      <c r="M273" s="242">
        <f>'[2]Turkey Sun Oil Exports'!FJ$290</f>
        <v>2.7909999999999999</v>
      </c>
      <c r="N273" s="242">
        <f>'[2]Turkey Sun Oil Exports'!FV$290</f>
        <v>4.4870000000000001</v>
      </c>
      <c r="O273" s="242">
        <f>'[2]Turkey Sun Oil Exports'!GH$290</f>
        <v>1.946</v>
      </c>
      <c r="P273" s="242">
        <f>'[2]Turkey Sun Oil Exports'!GT$290</f>
        <v>2.7679999999999998</v>
      </c>
      <c r="Q273" s="242">
        <f>'[2]Turkey Sun Oil Exports'!HF$290</f>
        <v>13.784000000000001</v>
      </c>
      <c r="R273" s="242">
        <f>'[2]Turkey Sun Oil Exports'!HR$290</f>
        <v>5.6420000000000003</v>
      </c>
      <c r="S273" s="242">
        <f>'[2]Turkey Sun Oil Exports'!ID$290</f>
        <v>11.335000000000001</v>
      </c>
      <c r="T273" s="242">
        <f>'[2]Turkey Sun Oil Exports'!IP$290</f>
        <v>26.725999999999999</v>
      </c>
      <c r="U273" s="242">
        <f>'[2]Turkey Sun Oil Exports'!JB$290</f>
        <v>20.396999999999998</v>
      </c>
      <c r="V273" s="242">
        <f>'[2]Turkey Sun Oil Exports'!JN$290</f>
        <v>49.033000000000001</v>
      </c>
      <c r="W273" s="242">
        <f>'[2]Turkey Sun Oil Exports'!JZ$290</f>
        <v>63.759</v>
      </c>
      <c r="X273" s="242">
        <f>'[2]Turkey Sun Oil Exports'!KL$290</f>
        <v>55.600999999999999</v>
      </c>
      <c r="Y273" s="242">
        <f>'[2]Turkey Sun Oil Exports'!KX$290</f>
        <v>51.771999999999998</v>
      </c>
      <c r="Z273" s="242">
        <f>'[2]Turkey Sun Oil Exports'!LJ$290</f>
        <v>31.861011999999999</v>
      </c>
      <c r="AA273" s="242">
        <f>'[2]Turkey Sun Oil Exports'!LV$290</f>
        <v>33.516067999999997</v>
      </c>
      <c r="AB273" s="242">
        <f>'[2]Turkey Sun Oil Exports'!MH$290</f>
        <v>48.832450000000001</v>
      </c>
      <c r="AC273" s="242">
        <f>'[2]Turkey Sun Oil Exports'!MT$290</f>
        <v>84.089320999999998</v>
      </c>
      <c r="AD273" s="242">
        <f>'[2]Turkey Sun Oil Exports'!NF$290</f>
        <v>67.016999999999996</v>
      </c>
      <c r="AE273" s="243">
        <f t="shared" si="138"/>
        <v>75.863357111632865</v>
      </c>
    </row>
    <row r="274" spans="1:31">
      <c r="A274" s="240" t="s">
        <v>231</v>
      </c>
      <c r="B274" s="290">
        <f t="shared" si="139"/>
        <v>6.9433935707643188</v>
      </c>
      <c r="C274" s="290">
        <f t="shared" si="137"/>
        <v>10.728271697717501</v>
      </c>
      <c r="D274" s="290">
        <f t="shared" si="137"/>
        <v>5.5866979719297438</v>
      </c>
      <c r="E274" s="290">
        <f t="shared" si="137"/>
        <v>5.4227251466745319</v>
      </c>
      <c r="F274" s="290">
        <f t="shared" si="137"/>
        <v>9.8643115179380256</v>
      </c>
      <c r="G274" s="242">
        <f>'[2]Turkey Sun Oil Exports'!CQ$290</f>
        <v>6.3460000000000001</v>
      </c>
      <c r="H274" s="242">
        <f>'[2]Turkey Sun Oil Exports'!DC$290</f>
        <v>1.101</v>
      </c>
      <c r="I274" s="242">
        <f>'[2]Turkey Sun Oil Exports'!DO$290</f>
        <v>2.895</v>
      </c>
      <c r="J274" s="242">
        <f>'[2]Turkey Sun Oil Exports'!EA$290</f>
        <v>0.60599999999999998</v>
      </c>
      <c r="K274" s="242">
        <f>'[2]Turkey Sun Oil Exports'!EM$290</f>
        <v>1.627</v>
      </c>
      <c r="L274" s="242">
        <f>'[2]Turkey Sun Oil Exports'!EY$290</f>
        <v>0.89400000000000002</v>
      </c>
      <c r="M274" s="242">
        <f>'[2]Turkey Sun Oil Exports'!FK$290</f>
        <v>2.0790000000000002</v>
      </c>
      <c r="N274" s="242">
        <f>'[2]Turkey Sun Oil Exports'!FW$290</f>
        <v>5.8330000000000002</v>
      </c>
      <c r="O274" s="242">
        <f>'[2]Turkey Sun Oil Exports'!GI$290</f>
        <v>0.88900000000000001</v>
      </c>
      <c r="P274" s="242">
        <f>'[2]Turkey Sun Oil Exports'!GU$290</f>
        <v>5.008</v>
      </c>
      <c r="Q274" s="242">
        <f>'[2]Turkey Sun Oil Exports'!HG$290</f>
        <v>15.805999999999999</v>
      </c>
      <c r="R274" s="242">
        <f>'[2]Turkey Sun Oil Exports'!HS$290</f>
        <v>5.2830000000000004</v>
      </c>
      <c r="S274" s="242">
        <f>'[2]Turkey Sun Oil Exports'!IE$290</f>
        <v>9.6980000000000004</v>
      </c>
      <c r="T274" s="242">
        <f>'[2]Turkey Sun Oil Exports'!IQ$290</f>
        <v>27.030999999999999</v>
      </c>
      <c r="U274" s="242">
        <f>'[2]Turkey Sun Oil Exports'!JC$290</f>
        <v>26.724</v>
      </c>
      <c r="V274" s="242">
        <f>'[2]Turkey Sun Oil Exports'!JO$290</f>
        <v>46.143999999999998</v>
      </c>
      <c r="W274" s="242">
        <f>'[2]Turkey Sun Oil Exports'!KA$290</f>
        <v>80.664000000000001</v>
      </c>
      <c r="X274" s="242">
        <f>'[2]Turkey Sun Oil Exports'!KM$290</f>
        <v>47.497999999999998</v>
      </c>
      <c r="Y274" s="242">
        <f>'[2]Turkey Sun Oil Exports'!KY$290</f>
        <v>46.962000000000003</v>
      </c>
      <c r="Z274" s="242">
        <f>'[2]Turkey Sun Oil Exports'!LK$290</f>
        <v>30.365527</v>
      </c>
      <c r="AA274" s="242">
        <f>'[2]Turkey Sun Oil Exports'!LW$290</f>
        <v>34.787987999999999</v>
      </c>
      <c r="AB274" s="242">
        <f>'[2]Turkey Sun Oil Exports'!MI$290</f>
        <v>51.988177999999998</v>
      </c>
      <c r="AC274" s="242">
        <f>'[2]Turkey Sun Oil Exports'!MU$290</f>
        <v>33.238</v>
      </c>
      <c r="AD274" s="242">
        <f>'[2]Turkey Sun Oil Exports'!NG$290</f>
        <v>58.649000000000001</v>
      </c>
      <c r="AE274" s="243">
        <f t="shared" si="138"/>
        <v>59.867046755774105</v>
      </c>
    </row>
    <row r="275" spans="1:31">
      <c r="A275" s="240" t="s">
        <v>232</v>
      </c>
      <c r="B275" s="290">
        <f t="shared" si="139"/>
        <v>9.9201849850453669</v>
      </c>
      <c r="C275" s="290">
        <f t="shared" si="137"/>
        <v>17.770273340557168</v>
      </c>
      <c r="D275" s="290">
        <f t="shared" si="137"/>
        <v>6.9619141872046999</v>
      </c>
      <c r="E275" s="290">
        <f t="shared" si="137"/>
        <v>6.4726046549462639</v>
      </c>
      <c r="F275" s="290">
        <f t="shared" si="137"/>
        <v>10.111968014176737</v>
      </c>
      <c r="G275" s="242">
        <f>'[2]Turkey Sun Oil Exports'!CR$290</f>
        <v>4.3540000000000001</v>
      </c>
      <c r="H275" s="242">
        <f>'[2]Turkey Sun Oil Exports'!DD$290</f>
        <v>1.93</v>
      </c>
      <c r="I275" s="242">
        <f>'[2]Turkey Sun Oil Exports'!DP$290</f>
        <v>3.2639999999999998</v>
      </c>
      <c r="J275" s="242">
        <f>'[2]Turkey Sun Oil Exports'!EB$290</f>
        <v>1.1559999999999999</v>
      </c>
      <c r="K275" s="242">
        <f>'[2]Turkey Sun Oil Exports'!EN$290</f>
        <v>0.56100000000000005</v>
      </c>
      <c r="L275" s="242">
        <f>'[2]Turkey Sun Oil Exports'!EZ$290</f>
        <v>0.97299999999999998</v>
      </c>
      <c r="M275" s="242">
        <f>'[2]Turkey Sun Oil Exports'!FL$290</f>
        <v>1.7430000000000001</v>
      </c>
      <c r="N275" s="242">
        <f>'[2]Turkey Sun Oil Exports'!FX$290</f>
        <v>9.75</v>
      </c>
      <c r="O275" s="242">
        <f>'[2]Turkey Sun Oil Exports'!GJ$290</f>
        <v>3.149</v>
      </c>
      <c r="P275" s="242">
        <f>'[2]Turkey Sun Oil Exports'!GV$290</f>
        <v>8.7390000000000008</v>
      </c>
      <c r="Q275" s="242">
        <f>'[2]Turkey Sun Oil Exports'!HH$290</f>
        <v>13.523999999999999</v>
      </c>
      <c r="R275" s="242">
        <f>'[2]Turkey Sun Oil Exports'!HT$290</f>
        <v>4.0110000000000001</v>
      </c>
      <c r="S275" s="242">
        <f>'[2]Turkey Sun Oil Exports'!IF$290</f>
        <v>8.1820000000000004</v>
      </c>
      <c r="T275" s="242">
        <f>'[2]Turkey Sun Oil Exports'!IR$290</f>
        <v>26.494</v>
      </c>
      <c r="U275" s="242">
        <f>'[2]Turkey Sun Oil Exports'!JD$290</f>
        <v>18.187999999999999</v>
      </c>
      <c r="V275" s="242">
        <f>'[2]Turkey Sun Oil Exports'!JP$290</f>
        <v>34.841000000000001</v>
      </c>
      <c r="W275" s="242">
        <f>'[2]Turkey Sun Oil Exports'!KB$290</f>
        <v>61.86</v>
      </c>
      <c r="X275" s="242">
        <f>'[2]Turkey Sun Oil Exports'!KN$290</f>
        <v>54.781999999999996</v>
      </c>
      <c r="Y275" s="242">
        <f>'[2]Turkey Sun Oil Exports'!KZ$290</f>
        <v>59.256999999999998</v>
      </c>
      <c r="Z275" s="242">
        <f>'[2]Turkey Sun Oil Exports'!LL$290</f>
        <v>28.781715999999999</v>
      </c>
      <c r="AA275" s="242">
        <f>'[2]Turkey Sun Oil Exports'!LX$290</f>
        <v>42.551988999999999</v>
      </c>
      <c r="AB275" s="242">
        <f>'[2]Turkey Sun Oil Exports'!MJ$290</f>
        <v>60.309288000000002</v>
      </c>
      <c r="AC275" s="242">
        <f>'[2]Turkey Sun Oil Exports'!MV$290</f>
        <v>66.631</v>
      </c>
      <c r="AD275" s="242">
        <f>'[2]Turkey Sun Oil Exports'!NH$290</f>
        <v>80.183000000000007</v>
      </c>
      <c r="AE275" s="243">
        <f t="shared" si="138"/>
        <v>78.12652138842212</v>
      </c>
    </row>
    <row r="276" spans="1:31">
      <c r="A276" s="240" t="s">
        <v>233</v>
      </c>
      <c r="B276" s="290">
        <f t="shared" si="139"/>
        <v>15.461040038203432</v>
      </c>
      <c r="C276" s="290">
        <f t="shared" si="137"/>
        <v>21.407655807612986</v>
      </c>
      <c r="D276" s="290">
        <f t="shared" si="137"/>
        <v>7.5236966136915067</v>
      </c>
      <c r="E276" s="290">
        <f t="shared" si="137"/>
        <v>7.1092407495907368</v>
      </c>
      <c r="F276" s="290">
        <f t="shared" si="137"/>
        <v>11.950165417312284</v>
      </c>
      <c r="G276" s="242">
        <f>'[2]Turkey Sun Oil Exports'!CS$290</f>
        <v>1.641</v>
      </c>
      <c r="H276" s="242">
        <f>'[2]Turkey Sun Oil Exports'!DE$290</f>
        <v>2.5049999999999999</v>
      </c>
      <c r="I276" s="242">
        <f>'[2]Turkey Sun Oil Exports'!DQ$290</f>
        <v>2.1480000000000001</v>
      </c>
      <c r="J276" s="242">
        <f>'[2]Turkey Sun Oil Exports'!EC$290</f>
        <v>1.248</v>
      </c>
      <c r="K276" s="242">
        <f>'[2]Turkey Sun Oil Exports'!EO$290</f>
        <v>0.878</v>
      </c>
      <c r="L276" s="242">
        <f>'[2]Turkey Sun Oil Exports'!FA$290</f>
        <v>1.407</v>
      </c>
      <c r="M276" s="242">
        <f>'[2]Turkey Sun Oil Exports'!FM$290</f>
        <v>1.6830000000000001</v>
      </c>
      <c r="N276" s="242">
        <f>'[2]Turkey Sun Oil Exports'!FY$290</f>
        <v>15.651999999999999</v>
      </c>
      <c r="O276" s="242">
        <f>'[2]Turkey Sun Oil Exports'!GK$290</f>
        <v>5.5910000000000002</v>
      </c>
      <c r="P276" s="242">
        <f>'[2]Turkey Sun Oil Exports'!GW$290</f>
        <v>5.0060000000000002</v>
      </c>
      <c r="Q276" s="242">
        <f>'[2]Turkey Sun Oil Exports'!HI$290</f>
        <v>11.951000000000001</v>
      </c>
      <c r="R276" s="242">
        <f>'[2]Turkey Sun Oil Exports'!HU$290</f>
        <v>4.8259999999999996</v>
      </c>
      <c r="S276" s="242">
        <f>'[2]Turkey Sun Oil Exports'!IG$290</f>
        <v>17.067</v>
      </c>
      <c r="T276" s="242">
        <f>'[2]Turkey Sun Oil Exports'!IS$290</f>
        <v>25.614000000000001</v>
      </c>
      <c r="U276" s="242">
        <f>'[2]Turkey Sun Oil Exports'!JE$290</f>
        <v>17.478999999999999</v>
      </c>
      <c r="V276" s="242">
        <f>'[2]Turkey Sun Oil Exports'!JQ$290</f>
        <v>59.462000000000003</v>
      </c>
      <c r="W276" s="242">
        <f>'[2]Turkey Sun Oil Exports'!KC$290</f>
        <v>53.643999999999998</v>
      </c>
      <c r="X276" s="242">
        <f>'[2]Turkey Sun Oil Exports'!KO$290</f>
        <v>47.06</v>
      </c>
      <c r="Y276" s="242">
        <f>'[2]Turkey Sun Oil Exports'!LA$290</f>
        <v>70.41</v>
      </c>
      <c r="Z276" s="242">
        <f>'[2]Turkey Sun Oil Exports'!LM$290</f>
        <v>37.043411999999996</v>
      </c>
      <c r="AA276" s="242">
        <f>'[2]Turkey Sun Oil Exports'!LY$290</f>
        <v>41.237622000000002</v>
      </c>
      <c r="AB276" s="242">
        <f>'[2]Turkey Sun Oil Exports'!MK$290</f>
        <v>58.997957</v>
      </c>
      <c r="AC276" s="242">
        <f>'[2]Turkey Sun Oil Exports'!MW$290</f>
        <v>67.561000000000007</v>
      </c>
      <c r="AD276" s="242">
        <f>'[2]Turkey Sun Oil Exports'!NI$290</f>
        <v>28.195</v>
      </c>
      <c r="AE276" s="243">
        <f t="shared" si="138"/>
        <v>83.501888679567585</v>
      </c>
    </row>
    <row r="277" spans="1:31">
      <c r="A277" s="240" t="s">
        <v>234</v>
      </c>
      <c r="B277" s="290">
        <f t="shared" si="139"/>
        <v>14.914620353381761</v>
      </c>
      <c r="C277" s="290">
        <f t="shared" si="137"/>
        <v>18.898336187912896</v>
      </c>
      <c r="D277" s="290">
        <f t="shared" si="137"/>
        <v>6.9145644930985251</v>
      </c>
      <c r="E277" s="290">
        <f t="shared" si="137"/>
        <v>6.6983105737846618</v>
      </c>
      <c r="F277" s="290">
        <f t="shared" si="137"/>
        <v>12.039440071765325</v>
      </c>
      <c r="G277" s="242">
        <f>'[2]Turkey Sun Oil Exports'!CT$290</f>
        <v>3.2080000000000002</v>
      </c>
      <c r="H277" s="242">
        <f>'[2]Turkey Sun Oil Exports'!DF$290</f>
        <v>1.7949999999999999</v>
      </c>
      <c r="I277" s="242">
        <f>'[2]Turkey Sun Oil Exports'!DR$290</f>
        <v>5.49</v>
      </c>
      <c r="J277" s="242">
        <f>'[2]Turkey Sun Oil Exports'!ED$290</f>
        <v>0.755</v>
      </c>
      <c r="K277" s="242">
        <f>'[2]Turkey Sun Oil Exports'!EP$290</f>
        <v>4.3769999999999998</v>
      </c>
      <c r="L277" s="242">
        <f>'[2]Turkey Sun Oil Exports'!FB$290</f>
        <v>1.911</v>
      </c>
      <c r="M277" s="242">
        <f>'[2]Turkey Sun Oil Exports'!FN$290</f>
        <v>0.77800000000000002</v>
      </c>
      <c r="N277" s="242">
        <f>'[2]Turkey Sun Oil Exports'!FZ$290</f>
        <v>14.753</v>
      </c>
      <c r="O277" s="242">
        <f>'[2]Turkey Sun Oil Exports'!GL$290</f>
        <v>2.5009999999999999</v>
      </c>
      <c r="P277" s="242">
        <f>'[2]Turkey Sun Oil Exports'!GX$290</f>
        <v>5.9569999999999999</v>
      </c>
      <c r="Q277" s="242">
        <f>'[2]Turkey Sun Oil Exports'!HJ$290</f>
        <v>12.664999999999999</v>
      </c>
      <c r="R277" s="242">
        <f>'[2]Turkey Sun Oil Exports'!HV$290</f>
        <v>4.6630000000000003</v>
      </c>
      <c r="S277" s="242">
        <f>'[2]Turkey Sun Oil Exports'!IH$290</f>
        <v>18.986999999999998</v>
      </c>
      <c r="T277" s="242">
        <f>'[2]Turkey Sun Oil Exports'!IT$290</f>
        <v>30.417999999999999</v>
      </c>
      <c r="U277" s="242">
        <f>'[2]Turkey Sun Oil Exports'!JF$290</f>
        <v>22.757999999999999</v>
      </c>
      <c r="V277" s="242">
        <f>'[2]Turkey Sun Oil Exports'!JR$290</f>
        <v>68.680999999999997</v>
      </c>
      <c r="W277" s="242">
        <f>'[2]Turkey Sun Oil Exports'!KD$290</f>
        <v>37.468000000000004</v>
      </c>
      <c r="X277" s="242">
        <f>'[2]Turkey Sun Oil Exports'!KP$290</f>
        <v>40.162999999999997</v>
      </c>
      <c r="Y277" s="242">
        <f>'[2]Turkey Sun Oil Exports'!LB$290</f>
        <v>48.95</v>
      </c>
      <c r="Z277" s="242">
        <f>'[2]Turkey Sun Oil Exports'!LN$290</f>
        <v>44.183618000000003</v>
      </c>
      <c r="AA277" s="242">
        <f>'[2]Turkey Sun Oil Exports'!LZ$290</f>
        <v>41.614108000000002</v>
      </c>
      <c r="AB277" s="242">
        <f>'[2]Turkey Sun Oil Exports'!ML$290</f>
        <v>69.199663999999999</v>
      </c>
      <c r="AC277" s="242">
        <f>'[2]Turkey Sun Oil Exports'!MX$290</f>
        <v>53.146000000000001</v>
      </c>
      <c r="AD277" s="243">
        <f t="shared" ref="AD277:AE281" si="140">(SUM(X277:AB277)/SUM(X$283:AB$283))*AD$283</f>
        <v>62.224338643459149</v>
      </c>
      <c r="AE277" s="243">
        <f t="shared" si="138"/>
        <v>77.993766880932085</v>
      </c>
    </row>
    <row r="278" spans="1:31">
      <c r="A278" s="240" t="s">
        <v>46</v>
      </c>
      <c r="B278" s="290">
        <f t="shared" si="139"/>
        <v>20.712433709503102</v>
      </c>
      <c r="C278" s="290">
        <f t="shared" si="137"/>
        <v>22.086974378692023</v>
      </c>
      <c r="D278" s="290">
        <f t="shared" si="137"/>
        <v>6.7085650271067205</v>
      </c>
      <c r="E278" s="290">
        <f t="shared" si="137"/>
        <v>6.286719472886821</v>
      </c>
      <c r="F278" s="290">
        <f t="shared" si="137"/>
        <v>10.282719235796263</v>
      </c>
      <c r="G278" s="242">
        <f>'[2]Turkey Sun Oil Exports'!CU$290</f>
        <v>1.7130000000000001</v>
      </c>
      <c r="H278" s="242">
        <f>'[2]Turkey Sun Oil Exports'!DG$290</f>
        <v>4.2380000000000004</v>
      </c>
      <c r="I278" s="242">
        <f>'[2]Turkey Sun Oil Exports'!DS$290</f>
        <v>2.036</v>
      </c>
      <c r="J278" s="242">
        <f>'[2]Turkey Sun Oil Exports'!EE$290</f>
        <v>0.67</v>
      </c>
      <c r="K278" s="242">
        <f>'[2]Turkey Sun Oil Exports'!EQ$290</f>
        <v>5.8529999999999998</v>
      </c>
      <c r="L278" s="242">
        <f>'[2]Turkey Sun Oil Exports'!FC$290</f>
        <v>1.4990000000000001</v>
      </c>
      <c r="M278" s="242">
        <f>'[2]Turkey Sun Oil Exports'!FO$290</f>
        <v>2.2549999999999999</v>
      </c>
      <c r="N278" s="242">
        <f>'[2]Turkey Sun Oil Exports'!GA$290</f>
        <v>18.855</v>
      </c>
      <c r="O278" s="242">
        <f>'[2]Turkey Sun Oil Exports'!GM$290</f>
        <v>5.3120000000000003</v>
      </c>
      <c r="P278" s="242">
        <f>'[2]Turkey Sun Oil Exports'!GY$290</f>
        <v>2.3490000000000002</v>
      </c>
      <c r="Q278" s="242">
        <f>'[2]Turkey Sun Oil Exports'!HK$290</f>
        <v>6.7910000000000004</v>
      </c>
      <c r="R278" s="242">
        <f>'[2]Turkey Sun Oil Exports'!HW$290</f>
        <v>4.7409999999999997</v>
      </c>
      <c r="S278" s="242">
        <f>'[2]Turkey Sun Oil Exports'!II$290</f>
        <v>19.047000000000001</v>
      </c>
      <c r="T278" s="242">
        <f>'[2]Turkey Sun Oil Exports'!IU$290</f>
        <v>21.911000000000001</v>
      </c>
      <c r="U278" s="242">
        <f>'[2]Turkey Sun Oil Exports'!JG$290</f>
        <v>35.322000000000003</v>
      </c>
      <c r="V278" s="242">
        <f>'[2]Turkey Sun Oil Exports'!JS$290</f>
        <v>60.485999999999997</v>
      </c>
      <c r="W278" s="242">
        <f>'[2]Turkey Sun Oil Exports'!KE$290</f>
        <v>49.521999999999998</v>
      </c>
      <c r="X278" s="242">
        <f>'[2]Turkey Sun Oil Exports'!KQ$290</f>
        <v>43.686</v>
      </c>
      <c r="Y278" s="242">
        <f>'[2]Turkey Sun Oil Exports'!LC$290</f>
        <v>58.223999999999997</v>
      </c>
      <c r="Z278" s="242">
        <f>'[2]Turkey Sun Oil Exports'!LO$290</f>
        <v>48.418480000000002</v>
      </c>
      <c r="AA278" s="242">
        <f>'[2]Turkey Sun Oil Exports'!MA$290</f>
        <v>49.583035000000002</v>
      </c>
      <c r="AB278" s="242">
        <f>'[2]Turkey Sun Oil Exports'!MM$290</f>
        <v>62.843420000000002</v>
      </c>
      <c r="AC278" s="242">
        <f>'[2]Turkey Sun Oil Exports'!MY$290</f>
        <v>46.369</v>
      </c>
      <c r="AD278" s="243">
        <f t="shared" si="140"/>
        <v>66.97687900822288</v>
      </c>
      <c r="AE278" s="243">
        <f t="shared" si="140"/>
        <v>80.525230243165751</v>
      </c>
    </row>
    <row r="279" spans="1:31">
      <c r="A279" s="240" t="s">
        <v>235</v>
      </c>
      <c r="B279" s="290">
        <f t="shared" si="139"/>
        <v>13.156387764847818</v>
      </c>
      <c r="C279" s="290">
        <f t="shared" si="137"/>
        <v>14.086192282148973</v>
      </c>
      <c r="D279" s="290">
        <f t="shared" si="137"/>
        <v>4.4163493574488344</v>
      </c>
      <c r="E279" s="290">
        <f t="shared" si="137"/>
        <v>4.2423129327788338</v>
      </c>
      <c r="F279" s="290">
        <f t="shared" si="137"/>
        <v>9.5158176860972308</v>
      </c>
      <c r="G279" s="242">
        <f>'[2]Turkey Sun Oil Exports'!CV$290</f>
        <v>1.6080000000000001</v>
      </c>
      <c r="H279" s="242">
        <f>'[2]Turkey Sun Oil Exports'!DH$290</f>
        <v>4.1879999999999997</v>
      </c>
      <c r="I279" s="242">
        <f>'[2]Turkey Sun Oil Exports'!DT$290</f>
        <v>2.016</v>
      </c>
      <c r="J279" s="242">
        <f>'[2]Turkey Sun Oil Exports'!EF$290</f>
        <v>1.2829999999999999</v>
      </c>
      <c r="K279" s="242">
        <f>'[2]Turkey Sun Oil Exports'!ER$290</f>
        <v>5.657</v>
      </c>
      <c r="L279" s="242">
        <f>'[2]Turkey Sun Oil Exports'!FD$290</f>
        <v>1.0760000000000001</v>
      </c>
      <c r="M279" s="242">
        <f>'[2]Turkey Sun Oil Exports'!FP$290</f>
        <v>2.069</v>
      </c>
      <c r="N279" s="242">
        <f>'[2]Turkey Sun Oil Exports'!GB$290</f>
        <v>11.938000000000001</v>
      </c>
      <c r="O279" s="242">
        <f>'[2]Turkey Sun Oil Exports'!GN$290</f>
        <v>0.71299999999999997</v>
      </c>
      <c r="P279" s="242">
        <f>'[2]Turkey Sun Oil Exports'!GZ$290</f>
        <v>3.5089999999999999</v>
      </c>
      <c r="Q279" s="242">
        <f>'[2]Turkey Sun Oil Exports'!HL$290</f>
        <v>5.1820000000000004</v>
      </c>
      <c r="R279" s="242">
        <f>'[2]Turkey Sun Oil Exports'!HX$290</f>
        <v>4.3330000000000002</v>
      </c>
      <c r="S279" s="242">
        <f>'[2]Turkey Sun Oil Exports'!IJ$290</f>
        <v>21.651</v>
      </c>
      <c r="T279" s="242">
        <f>'[2]Turkey Sun Oil Exports'!IV$290</f>
        <v>18.763000000000002</v>
      </c>
      <c r="U279" s="242">
        <f>'[2]Turkey Sun Oil Exports'!JH$290</f>
        <v>33.17</v>
      </c>
      <c r="V279" s="242">
        <f>'[2]Turkey Sun Oil Exports'!JT$290</f>
        <v>65.491</v>
      </c>
      <c r="W279" s="242">
        <f>'[2]Turkey Sun Oil Exports'!KF$290</f>
        <v>57.136000000000003</v>
      </c>
      <c r="X279" s="242">
        <f>'[2]Turkey Sun Oil Exports'!KR$290</f>
        <v>52.459000000000003</v>
      </c>
      <c r="Y279" s="242">
        <f>'[2]Turkey Sun Oil Exports'!LD$290</f>
        <v>54.886000000000003</v>
      </c>
      <c r="Z279" s="242">
        <f>'[2]Turkey Sun Oil Exports'!LP$290</f>
        <v>29.885332999999999</v>
      </c>
      <c r="AA279" s="242">
        <f>'[2]Turkey Sun Oil Exports'!MB$290</f>
        <v>31.715620999999999</v>
      </c>
      <c r="AB279" s="242">
        <f>'[2]Turkey Sun Oil Exports'!MN$290</f>
        <v>73.990412000000006</v>
      </c>
      <c r="AC279" s="242">
        <f>'[2]Turkey Sun Oil Exports'!MZ$290</f>
        <v>63.957999999999998</v>
      </c>
      <c r="AD279" s="243">
        <f t="shared" si="140"/>
        <v>61.925077039102433</v>
      </c>
      <c r="AE279" s="243">
        <f t="shared" si="140"/>
        <v>77.187408910313238</v>
      </c>
    </row>
    <row r="280" spans="1:31">
      <c r="A280" s="240" t="s">
        <v>236</v>
      </c>
      <c r="B280" s="290">
        <f t="shared" si="139"/>
        <v>10.903863070852289</v>
      </c>
      <c r="C280" s="290">
        <f t="shared" si="137"/>
        <v>14.937711908839876</v>
      </c>
      <c r="D280" s="290">
        <f t="shared" si="137"/>
        <v>4.5108601014615575</v>
      </c>
      <c r="E280" s="290">
        <f t="shared" si="137"/>
        <v>4.5729407099352297</v>
      </c>
      <c r="F280" s="290">
        <f t="shared" si="137"/>
        <v>8.4950749502425627</v>
      </c>
      <c r="G280" s="242">
        <f>'[2]Turkey Sun Oil Exports'!CW$290</f>
        <v>3.5579999999999998</v>
      </c>
      <c r="H280" s="242">
        <f>'[2]Turkey Sun Oil Exports'!DI$290</f>
        <v>4.2</v>
      </c>
      <c r="I280" s="242">
        <f>'[2]Turkey Sun Oil Exports'!DU$290</f>
        <v>0.99099999999999999</v>
      </c>
      <c r="J280" s="242">
        <f>'[2]Turkey Sun Oil Exports'!EG$290</f>
        <v>1.6930000000000001</v>
      </c>
      <c r="K280" s="242">
        <f>'[2]Turkey Sun Oil Exports'!ES$290</f>
        <v>3.4980000000000002</v>
      </c>
      <c r="L280" s="242">
        <f>'[2]Turkey Sun Oil Exports'!FE$290</f>
        <v>1.423</v>
      </c>
      <c r="M280" s="242">
        <f>'[2]Turkey Sun Oil Exports'!FQ$290</f>
        <v>2.262</v>
      </c>
      <c r="N280" s="242">
        <f>'[2]Turkey Sun Oil Exports'!GC$290</f>
        <v>8.843</v>
      </c>
      <c r="O280" s="242">
        <f>'[2]Turkey Sun Oil Exports'!GO$290</f>
        <v>1.754</v>
      </c>
      <c r="P280" s="242">
        <f>'[2]Turkey Sun Oil Exports'!HA$290</f>
        <v>6.19</v>
      </c>
      <c r="Q280" s="242">
        <f>'[2]Turkey Sun Oil Exports'!HM$290</f>
        <v>4.8630000000000004</v>
      </c>
      <c r="R280" s="242">
        <f>'[2]Turkey Sun Oil Exports'!HY$290</f>
        <v>6.0259999999999998</v>
      </c>
      <c r="S280" s="242">
        <f>'[2]Turkey Sun Oil Exports'!IK$290</f>
        <v>12.759</v>
      </c>
      <c r="T280" s="242">
        <f>'[2]Turkey Sun Oil Exports'!IW$290</f>
        <v>21.209</v>
      </c>
      <c r="U280" s="242">
        <f>'[2]Turkey Sun Oil Exports'!JI$290</f>
        <v>24.004999999999999</v>
      </c>
      <c r="V280" s="242">
        <f>'[2]Turkey Sun Oil Exports'!JU$290</f>
        <v>56.234000000000002</v>
      </c>
      <c r="W280" s="242">
        <f>'[2]Turkey Sun Oil Exports'!KG$290</f>
        <v>35.274000000000001</v>
      </c>
      <c r="X280" s="242">
        <f>'[2]Turkey Sun Oil Exports'!KS$290</f>
        <v>43.783999999999999</v>
      </c>
      <c r="Y280" s="242">
        <f>'[2]Turkey Sun Oil Exports'!LE$290</f>
        <v>37.669716999999999</v>
      </c>
      <c r="Z280" s="242">
        <f>'[2]Turkey Sun Oil Exports'!LQ$290</f>
        <v>35.314058000000003</v>
      </c>
      <c r="AA280" s="242">
        <f>'[2]Turkey Sun Oil Exports'!MC$290</f>
        <v>54.952812000000002</v>
      </c>
      <c r="AB280" s="242">
        <f>'[2]Turkey Sun Oil Exports'!MO$290</f>
        <v>70.745649999999998</v>
      </c>
      <c r="AC280" s="242">
        <f>'[2]Turkey Sun Oil Exports'!NA$290</f>
        <v>29.05</v>
      </c>
      <c r="AD280" s="243">
        <f t="shared" si="140"/>
        <v>61.80524000102259</v>
      </c>
      <c r="AE280" s="243">
        <f t="shared" si="140"/>
        <v>69.086548681205599</v>
      </c>
    </row>
    <row r="281" spans="1:31">
      <c r="A281" s="240" t="s">
        <v>237</v>
      </c>
      <c r="B281" s="290">
        <f t="shared" si="139"/>
        <v>6.53802498303466</v>
      </c>
      <c r="C281" s="290">
        <f t="shared" si="137"/>
        <v>12.352507078192177</v>
      </c>
      <c r="D281" s="290">
        <f t="shared" si="137"/>
        <v>4.129610174017019</v>
      </c>
      <c r="E281" s="290">
        <f t="shared" si="137"/>
        <v>4.9994026253978276</v>
      </c>
      <c r="F281" s="290">
        <f t="shared" si="137"/>
        <v>11.807917549222948</v>
      </c>
      <c r="G281" s="242">
        <f>'[2]Turkey Sun Oil Exports'!CX$290</f>
        <v>6.2960000000000003</v>
      </c>
      <c r="H281" s="242">
        <f>'[2]Turkey Sun Oil Exports'!DJ$290</f>
        <v>5.2770000000000001</v>
      </c>
      <c r="I281" s="242">
        <f>'[2]Turkey Sun Oil Exports'!DV$290</f>
        <v>1.633</v>
      </c>
      <c r="J281" s="242">
        <f>'[2]Turkey Sun Oil Exports'!EH$290</f>
        <v>0.24</v>
      </c>
      <c r="K281" s="242">
        <f>'[2]Turkey Sun Oil Exports'!ET$290</f>
        <v>1.4390000000000001</v>
      </c>
      <c r="L281" s="242">
        <f>'[2]Turkey Sun Oil Exports'!FF$290</f>
        <v>1.242</v>
      </c>
      <c r="M281" s="242">
        <f>'[2]Turkey Sun Oil Exports'!FR$290</f>
        <v>0.753</v>
      </c>
      <c r="N281" s="242">
        <f>'[2]Turkey Sun Oil Exports'!GD$290</f>
        <v>3.3340000000000001</v>
      </c>
      <c r="O281" s="242">
        <f>'[2]Turkey Sun Oil Exports'!GP$290</f>
        <v>3.8929999999999998</v>
      </c>
      <c r="P281" s="242">
        <f>'[2]Turkey Sun Oil Exports'!HB$290</f>
        <v>7.7069999999999999</v>
      </c>
      <c r="Q281" s="242">
        <f>'[2]Turkey Sun Oil Exports'!HN$290</f>
        <v>6.2039999999999997</v>
      </c>
      <c r="R281" s="242">
        <f>'[2]Turkey Sun Oil Exports'!HZ$290</f>
        <v>9.1189999999999998</v>
      </c>
      <c r="S281" s="242">
        <f>'[2]Turkey Sun Oil Exports'!IL$290</f>
        <v>16.989000000000001</v>
      </c>
      <c r="T281" s="242">
        <f>'[2]Turkey Sun Oil Exports'!IX$290</f>
        <v>18.824999999999999</v>
      </c>
      <c r="U281" s="242">
        <f>'[2]Turkey Sun Oil Exports'!JJ$290</f>
        <v>30.117000000000001</v>
      </c>
      <c r="V281" s="242">
        <f>'[2]Turkey Sun Oil Exports'!JV$290</f>
        <v>54.847000000000001</v>
      </c>
      <c r="W281" s="242">
        <f>'[2]Turkey Sun Oil Exports'!KH$290</f>
        <v>37.984999999999999</v>
      </c>
      <c r="X281" s="242">
        <f>'[2]Turkey Sun Oil Exports'!KT$290</f>
        <v>49.191000000000003</v>
      </c>
      <c r="Y281" s="242">
        <f>'[2]Turkey Sun Oil Exports'!LF$290</f>
        <v>43.168491000000003</v>
      </c>
      <c r="Z281" s="242">
        <f>'[2]Turkey Sun Oil Exports'!LR$290</f>
        <v>35.834322999999998</v>
      </c>
      <c r="AA281" s="242">
        <f>'[2]Turkey Sun Oil Exports'!MD$290</f>
        <v>39.124420999999998</v>
      </c>
      <c r="AB281" s="242">
        <f>'[2]Turkey Sun Oil Exports'!MP$290</f>
        <v>57.538725999999997</v>
      </c>
      <c r="AC281" s="242">
        <f>'[2]Turkey Sun Oil Exports'!NB$290</f>
        <v>44.088000000000001</v>
      </c>
      <c r="AD281" s="243">
        <f t="shared" si="140"/>
        <v>57.31659224993696</v>
      </c>
      <c r="AE281" s="243">
        <f t="shared" si="140"/>
        <v>66.666199412577029</v>
      </c>
    </row>
    <row r="282" spans="1:31">
      <c r="A282" s="240" t="s">
        <v>238</v>
      </c>
      <c r="B282" s="290">
        <f t="shared" si="139"/>
        <v>6.0351471586196492</v>
      </c>
      <c r="C282" s="290">
        <f t="shared" si="137"/>
        <v>11.647650214967317</v>
      </c>
      <c r="D282" s="290">
        <f t="shared" si="137"/>
        <v>4.0526433405695315</v>
      </c>
      <c r="E282" s="290">
        <f t="shared" si="137"/>
        <v>4.9288488718517094</v>
      </c>
      <c r="F282" s="290">
        <f t="shared" si="137"/>
        <v>10.722907818144551</v>
      </c>
      <c r="G282" s="242">
        <f>'[2]Turkey Sun Oil Exports'!CY$290</f>
        <v>1</v>
      </c>
      <c r="H282" s="242">
        <f>'[2]Turkey Sun Oil Exports'!DK$290</f>
        <v>2.5920000000000001</v>
      </c>
      <c r="I282" s="242">
        <f>'[2]Turkey Sun Oil Exports'!DW$290</f>
        <v>1.6759999999999999</v>
      </c>
      <c r="J282" s="242">
        <f>'[2]Turkey Sun Oil Exports'!EI$290</f>
        <v>0.29299999999999998</v>
      </c>
      <c r="K282" s="242">
        <f>'[2]Turkey Sun Oil Exports'!EU$290</f>
        <v>1.091</v>
      </c>
      <c r="L282" s="242">
        <f>'[2]Turkey Sun Oil Exports'!FG$290</f>
        <v>1.7529999999999999</v>
      </c>
      <c r="M282" s="242">
        <f>'[2]Turkey Sun Oil Exports'!FS$290</f>
        <v>1.254</v>
      </c>
      <c r="N282" s="242">
        <f>'[2]Turkey Sun Oil Exports'!GE$290</f>
        <v>3.2879999999999998</v>
      </c>
      <c r="O282" s="242">
        <f>'[2]Turkey Sun Oil Exports'!GQ$290</f>
        <v>2.4550000000000001</v>
      </c>
      <c r="P282" s="242">
        <f>'[2]Turkey Sun Oil Exports'!HC$290</f>
        <v>7.2130000000000001</v>
      </c>
      <c r="Q282" s="242">
        <f>'[2]Turkey Sun Oil Exports'!HO$290</f>
        <v>7.2729999999999997</v>
      </c>
      <c r="R282" s="242">
        <f>'[2]Turkey Sun Oil Exports'!IA$290</f>
        <v>9.6010000000000009</v>
      </c>
      <c r="S282" s="242">
        <f>'[2]Turkey Sun Oil Exports'!IM$290</f>
        <v>13.335000000000001</v>
      </c>
      <c r="T282" s="242">
        <f>'[2]Turkey Sun Oil Exports'!IY$290</f>
        <v>21.257000000000001</v>
      </c>
      <c r="U282" s="242">
        <f>'[2]Turkey Sun Oil Exports'!JK$290</f>
        <v>24.913</v>
      </c>
      <c r="V282" s="242">
        <f>'[2]Turkey Sun Oil Exports'!JW$290</f>
        <v>45.465000000000003</v>
      </c>
      <c r="W282" s="242">
        <f>'[2]Turkey Sun Oil Exports'!KI$290</f>
        <v>34.009</v>
      </c>
      <c r="X282" s="242">
        <f>'[2]Turkey Sun Oil Exports'!KU$290</f>
        <v>40.301000000000002</v>
      </c>
      <c r="Y282" s="242">
        <f>'[2]Turkey Sun Oil Exports'!LG$290</f>
        <v>33.241168999999999</v>
      </c>
      <c r="Z282" s="242">
        <f>'[2]Turkey Sun Oil Exports'!LS$290</f>
        <v>36.562350000000002</v>
      </c>
      <c r="AA282" s="242">
        <f>'[2]Turkey Sun Oil Exports'!ME$290</f>
        <v>51.760117999999999</v>
      </c>
      <c r="AB282" s="242">
        <f>'[2]Turkey Sun Oil Exports'!MQ$290</f>
        <v>60.020560000000003</v>
      </c>
      <c r="AC282" s="242">
        <f>'[2]Turkey Sun Oil Exports'!NC$290</f>
        <v>50.430999999999997</v>
      </c>
      <c r="AD282" s="243">
        <f t="shared" ref="AD282:AE282" si="141">AD283-SUM(AD271:AD281)</f>
        <v>88.105873058255838</v>
      </c>
      <c r="AE282" s="243">
        <f t="shared" si="141"/>
        <v>70.385859347264727</v>
      </c>
    </row>
    <row r="283" spans="1:31" ht="15.75" thickBot="1">
      <c r="A283" s="240" t="s">
        <v>242</v>
      </c>
      <c r="B283" s="146">
        <f t="shared" ref="B283:G283" si="142">B40</f>
        <v>122</v>
      </c>
      <c r="C283" s="146">
        <f t="shared" si="142"/>
        <v>167</v>
      </c>
      <c r="D283" s="146">
        <f t="shared" si="142"/>
        <v>65</v>
      </c>
      <c r="E283" s="146">
        <f t="shared" si="142"/>
        <v>65</v>
      </c>
      <c r="F283" s="146">
        <f t="shared" si="142"/>
        <v>122</v>
      </c>
      <c r="G283" s="146">
        <f t="shared" si="142"/>
        <v>85</v>
      </c>
      <c r="H283" s="146">
        <f t="shared" ref="H283:W283" si="143">SUM(H271:H282)</f>
        <v>35.085999999999999</v>
      </c>
      <c r="I283" s="146">
        <f t="shared" si="143"/>
        <v>32.762999999999998</v>
      </c>
      <c r="J283" s="146">
        <f t="shared" si="143"/>
        <v>10.193999999999999</v>
      </c>
      <c r="K283" s="146">
        <f t="shared" si="143"/>
        <v>28.341999999999999</v>
      </c>
      <c r="L283" s="146">
        <f t="shared" si="143"/>
        <v>15.681000000000001</v>
      </c>
      <c r="M283" s="146">
        <f t="shared" si="143"/>
        <v>21.182000000000002</v>
      </c>
      <c r="N283" s="146">
        <f t="shared" si="143"/>
        <v>100.54300000000001</v>
      </c>
      <c r="O283" s="146">
        <f t="shared" si="143"/>
        <v>33.187000000000005</v>
      </c>
      <c r="P283" s="146">
        <f t="shared" si="143"/>
        <v>58.278999999999996</v>
      </c>
      <c r="Q283" s="146">
        <f t="shared" si="143"/>
        <v>131.37299999999996</v>
      </c>
      <c r="R283" s="146">
        <f t="shared" si="143"/>
        <v>70.006</v>
      </c>
      <c r="S283" s="146">
        <f t="shared" si="143"/>
        <v>160.85599999999999</v>
      </c>
      <c r="T283" s="146">
        <f t="shared" si="143"/>
        <v>278.89800000000002</v>
      </c>
      <c r="U283" s="146">
        <f t="shared" si="143"/>
        <v>292.18600000000004</v>
      </c>
      <c r="V283" s="146">
        <f t="shared" si="143"/>
        <v>604.64499999999998</v>
      </c>
      <c r="W283" s="146">
        <f t="shared" si="143"/>
        <v>619.98800000000006</v>
      </c>
      <c r="X283" s="146">
        <f>SUM(X271:X282)</f>
        <v>589.28700000000003</v>
      </c>
      <c r="Y283" s="146">
        <f>SUM(Y271:Y282)</f>
        <v>634.056377</v>
      </c>
      <c r="Z283" s="146">
        <f t="shared" ref="Z283:AB283" si="144">SUM(Z271:Z282)</f>
        <v>421.58884899999993</v>
      </c>
      <c r="AA283" s="146">
        <f t="shared" si="144"/>
        <v>511.61796499999991</v>
      </c>
      <c r="AB283" s="146">
        <f t="shared" si="144"/>
        <v>722.98264399999994</v>
      </c>
      <c r="AC283" s="146">
        <f>SUM(AC271:AC282)</f>
        <v>629.45841699999994</v>
      </c>
      <c r="AD283" s="253">
        <f t="shared" ref="AD283:AE283" si="145">AD40</f>
        <v>734</v>
      </c>
      <c r="AE283" s="253">
        <f t="shared" si="145"/>
        <v>885.74324214151966</v>
      </c>
    </row>
    <row r="284" spans="1:31">
      <c r="A284" s="248"/>
      <c r="B284" s="248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  <c r="AD284" s="248"/>
      <c r="AE284" s="248"/>
    </row>
    <row r="285" spans="1:31" ht="15.75" thickBot="1">
      <c r="A285" s="235" t="s">
        <v>268</v>
      </c>
      <c r="D285" s="264"/>
      <c r="E285" s="264"/>
      <c r="F285" s="264"/>
      <c r="G285" s="264"/>
      <c r="H285" s="264"/>
      <c r="I285" s="264"/>
    </row>
    <row r="286" spans="1:31" ht="15.75" thickBot="1">
      <c r="A286" s="236"/>
      <c r="B286" s="237" t="str">
        <f>B$2</f>
        <v xml:space="preserve">93/94 </v>
      </c>
      <c r="C286" s="237" t="str">
        <f t="shared" ref="C286:AE286" si="146">C$2</f>
        <v xml:space="preserve">94/95 </v>
      </c>
      <c r="D286" s="237" t="str">
        <f t="shared" si="146"/>
        <v xml:space="preserve">95/96 </v>
      </c>
      <c r="E286" s="237" t="str">
        <f t="shared" si="146"/>
        <v xml:space="preserve">96/97 </v>
      </c>
      <c r="F286" s="237" t="str">
        <f t="shared" si="146"/>
        <v xml:space="preserve">97/98 </v>
      </c>
      <c r="G286" s="237" t="str">
        <f t="shared" si="146"/>
        <v xml:space="preserve">98/99 </v>
      </c>
      <c r="H286" s="237" t="str">
        <f t="shared" si="146"/>
        <v xml:space="preserve">99/00 </v>
      </c>
      <c r="I286" s="237" t="str">
        <f t="shared" si="146"/>
        <v xml:space="preserve">00/01 </v>
      </c>
      <c r="J286" s="237" t="str">
        <f t="shared" si="146"/>
        <v xml:space="preserve">01/02 </v>
      </c>
      <c r="K286" s="237" t="str">
        <f t="shared" si="146"/>
        <v xml:space="preserve">02/03 </v>
      </c>
      <c r="L286" s="237" t="str">
        <f t="shared" si="146"/>
        <v xml:space="preserve">03/04 </v>
      </c>
      <c r="M286" s="237" t="str">
        <f t="shared" si="146"/>
        <v xml:space="preserve">04/05 </v>
      </c>
      <c r="N286" s="237" t="str">
        <f t="shared" si="146"/>
        <v xml:space="preserve">05/06 </v>
      </c>
      <c r="O286" s="237" t="str">
        <f t="shared" si="146"/>
        <v xml:space="preserve">06/07 </v>
      </c>
      <c r="P286" s="237" t="str">
        <f t="shared" si="146"/>
        <v xml:space="preserve">07/08 </v>
      </c>
      <c r="Q286" s="237" t="str">
        <f t="shared" si="146"/>
        <v xml:space="preserve">08/09 </v>
      </c>
      <c r="R286" s="237" t="str">
        <f t="shared" si="146"/>
        <v xml:space="preserve">09/10 </v>
      </c>
      <c r="S286" s="237" t="str">
        <f t="shared" si="146"/>
        <v xml:space="preserve">10/11 </v>
      </c>
      <c r="T286" s="237" t="str">
        <f t="shared" si="146"/>
        <v xml:space="preserve">11/12 </v>
      </c>
      <c r="U286" s="237" t="str">
        <f t="shared" si="146"/>
        <v xml:space="preserve">12/13 </v>
      </c>
      <c r="V286" s="237" t="str">
        <f t="shared" si="146"/>
        <v xml:space="preserve">13/14 </v>
      </c>
      <c r="W286" s="237" t="str">
        <f t="shared" si="146"/>
        <v xml:space="preserve">14/15 </v>
      </c>
      <c r="X286" s="237" t="str">
        <f t="shared" si="146"/>
        <v xml:space="preserve">15/16 </v>
      </c>
      <c r="Y286" s="237" t="str">
        <f t="shared" si="146"/>
        <v xml:space="preserve">16/17 </v>
      </c>
      <c r="Z286" s="237" t="str">
        <f t="shared" si="146"/>
        <v xml:space="preserve">17/18 </v>
      </c>
      <c r="AA286" s="237" t="str">
        <f t="shared" si="146"/>
        <v xml:space="preserve">18/19 </v>
      </c>
      <c r="AB286" s="237" t="str">
        <f t="shared" si="146"/>
        <v xml:space="preserve">19/20 </v>
      </c>
      <c r="AC286" s="237" t="str">
        <f t="shared" si="146"/>
        <v xml:space="preserve">20/21 </v>
      </c>
      <c r="AD286" s="237" t="str">
        <f t="shared" si="146"/>
        <v xml:space="preserve">21/22 </v>
      </c>
      <c r="AE286" s="237" t="str">
        <f t="shared" si="146"/>
        <v xml:space="preserve">22/23 </v>
      </c>
    </row>
    <row r="287" spans="1:31">
      <c r="A287" s="240" t="s">
        <v>239</v>
      </c>
      <c r="B287" s="290">
        <f t="shared" ref="B287:Q298" si="147">B$299/12</f>
        <v>42.833333333333336</v>
      </c>
      <c r="C287" s="290">
        <f t="shared" si="147"/>
        <v>51.166666666666664</v>
      </c>
      <c r="D287" s="290">
        <f t="shared" si="147"/>
        <v>50.583333333333336</v>
      </c>
      <c r="E287" s="290">
        <f t="shared" si="147"/>
        <v>48.75</v>
      </c>
      <c r="F287" s="290">
        <f t="shared" si="147"/>
        <v>45.416666666666664</v>
      </c>
      <c r="G287" s="290">
        <f t="shared" si="147"/>
        <v>48.083333333333336</v>
      </c>
      <c r="H287" s="290">
        <f t="shared" si="147"/>
        <v>46.833333333333336</v>
      </c>
      <c r="I287" s="290">
        <f t="shared" si="147"/>
        <v>42.916666666666664</v>
      </c>
      <c r="J287" s="290">
        <f t="shared" si="147"/>
        <v>36.333333333333336</v>
      </c>
      <c r="K287" s="290">
        <f t="shared" si="147"/>
        <v>39.5</v>
      </c>
      <c r="L287" s="290">
        <f t="shared" si="147"/>
        <v>48.75</v>
      </c>
      <c r="M287" s="290">
        <f t="shared" si="147"/>
        <v>51.75</v>
      </c>
      <c r="N287" s="290">
        <f t="shared" si="147"/>
        <v>60.416666666666664</v>
      </c>
      <c r="O287" s="290">
        <f t="shared" si="147"/>
        <v>60.5</v>
      </c>
      <c r="P287" s="290">
        <f t="shared" si="147"/>
        <v>60.25</v>
      </c>
      <c r="Q287" s="290">
        <f t="shared" si="147"/>
        <v>68.583333333333329</v>
      </c>
      <c r="R287" s="290">
        <f t="shared" ref="R287:AE298" si="148">R$299/12</f>
        <v>66.833333333333329</v>
      </c>
      <c r="S287" s="290">
        <f t="shared" si="148"/>
        <v>70.416666666666671</v>
      </c>
      <c r="T287" s="290">
        <f t="shared" si="148"/>
        <v>75.416666666666671</v>
      </c>
      <c r="U287" s="290">
        <f t="shared" si="148"/>
        <v>80.416666666666671</v>
      </c>
      <c r="V287" s="290">
        <f t="shared" si="148"/>
        <v>79.166666666666671</v>
      </c>
      <c r="W287" s="290">
        <f t="shared" si="148"/>
        <v>76.25</v>
      </c>
      <c r="X287" s="290">
        <f t="shared" si="148"/>
        <v>76.666666666666671</v>
      </c>
      <c r="Y287" s="290">
        <f t="shared" si="148"/>
        <v>78.75</v>
      </c>
      <c r="Z287" s="290">
        <f t="shared" si="148"/>
        <v>81.666666666666671</v>
      </c>
      <c r="AA287" s="290">
        <f t="shared" si="148"/>
        <v>91.25</v>
      </c>
      <c r="AB287" s="290">
        <f t="shared" si="148"/>
        <v>95</v>
      </c>
      <c r="AC287" s="290">
        <f t="shared" si="148"/>
        <v>101.25</v>
      </c>
      <c r="AD287" s="252">
        <f t="shared" si="148"/>
        <v>100.83333333333333</v>
      </c>
      <c r="AE287" s="252">
        <f t="shared" si="148"/>
        <v>102.5</v>
      </c>
    </row>
    <row r="288" spans="1:31">
      <c r="A288" s="240" t="s">
        <v>240</v>
      </c>
      <c r="B288" s="290">
        <f t="shared" si="147"/>
        <v>42.833333333333336</v>
      </c>
      <c r="C288" s="290">
        <f t="shared" si="147"/>
        <v>51.166666666666664</v>
      </c>
      <c r="D288" s="290">
        <f t="shared" si="147"/>
        <v>50.583333333333336</v>
      </c>
      <c r="E288" s="290">
        <f t="shared" si="147"/>
        <v>48.75</v>
      </c>
      <c r="F288" s="290">
        <f t="shared" si="147"/>
        <v>45.416666666666664</v>
      </c>
      <c r="G288" s="290">
        <f t="shared" si="147"/>
        <v>48.083333333333336</v>
      </c>
      <c r="H288" s="290">
        <f t="shared" si="147"/>
        <v>46.833333333333336</v>
      </c>
      <c r="I288" s="290">
        <f t="shared" si="147"/>
        <v>42.916666666666664</v>
      </c>
      <c r="J288" s="290">
        <f t="shared" si="147"/>
        <v>36.333333333333336</v>
      </c>
      <c r="K288" s="290">
        <f t="shared" si="147"/>
        <v>39.5</v>
      </c>
      <c r="L288" s="290">
        <f t="shared" si="147"/>
        <v>48.75</v>
      </c>
      <c r="M288" s="290">
        <f t="shared" si="147"/>
        <v>51.75</v>
      </c>
      <c r="N288" s="290">
        <f t="shared" si="147"/>
        <v>60.416666666666664</v>
      </c>
      <c r="O288" s="290">
        <f t="shared" si="147"/>
        <v>60.5</v>
      </c>
      <c r="P288" s="290">
        <f t="shared" si="147"/>
        <v>60.25</v>
      </c>
      <c r="Q288" s="290">
        <f t="shared" si="147"/>
        <v>68.583333333333329</v>
      </c>
      <c r="R288" s="290">
        <f t="shared" si="148"/>
        <v>66.833333333333329</v>
      </c>
      <c r="S288" s="290">
        <f t="shared" si="148"/>
        <v>70.416666666666671</v>
      </c>
      <c r="T288" s="290">
        <f t="shared" si="148"/>
        <v>75.416666666666671</v>
      </c>
      <c r="U288" s="290">
        <f t="shared" si="148"/>
        <v>80.416666666666671</v>
      </c>
      <c r="V288" s="290">
        <f t="shared" si="148"/>
        <v>79.166666666666671</v>
      </c>
      <c r="W288" s="290">
        <f t="shared" si="148"/>
        <v>76.25</v>
      </c>
      <c r="X288" s="290">
        <f t="shared" si="148"/>
        <v>76.666666666666671</v>
      </c>
      <c r="Y288" s="290">
        <f t="shared" si="148"/>
        <v>78.75</v>
      </c>
      <c r="Z288" s="290">
        <f t="shared" si="148"/>
        <v>81.666666666666671</v>
      </c>
      <c r="AA288" s="290">
        <f t="shared" si="148"/>
        <v>91.25</v>
      </c>
      <c r="AB288" s="290">
        <f t="shared" si="148"/>
        <v>95</v>
      </c>
      <c r="AC288" s="290">
        <f t="shared" si="148"/>
        <v>101.25</v>
      </c>
      <c r="AD288" s="252">
        <f t="shared" si="148"/>
        <v>100.83333333333333</v>
      </c>
      <c r="AE288" s="252">
        <f t="shared" si="148"/>
        <v>102.5</v>
      </c>
    </row>
    <row r="289" spans="1:31">
      <c r="A289" s="240" t="s">
        <v>241</v>
      </c>
      <c r="B289" s="290">
        <f t="shared" si="147"/>
        <v>42.833333333333336</v>
      </c>
      <c r="C289" s="290">
        <f t="shared" si="147"/>
        <v>51.166666666666664</v>
      </c>
      <c r="D289" s="290">
        <f t="shared" si="147"/>
        <v>50.583333333333336</v>
      </c>
      <c r="E289" s="290">
        <f t="shared" si="147"/>
        <v>48.75</v>
      </c>
      <c r="F289" s="290">
        <f t="shared" si="147"/>
        <v>45.416666666666664</v>
      </c>
      <c r="G289" s="290">
        <f t="shared" si="147"/>
        <v>48.083333333333336</v>
      </c>
      <c r="H289" s="290">
        <f t="shared" si="147"/>
        <v>46.833333333333336</v>
      </c>
      <c r="I289" s="290">
        <f t="shared" si="147"/>
        <v>42.916666666666664</v>
      </c>
      <c r="J289" s="290">
        <f t="shared" si="147"/>
        <v>36.333333333333336</v>
      </c>
      <c r="K289" s="290">
        <f t="shared" si="147"/>
        <v>39.5</v>
      </c>
      <c r="L289" s="290">
        <f t="shared" si="147"/>
        <v>48.75</v>
      </c>
      <c r="M289" s="290">
        <f t="shared" si="147"/>
        <v>51.75</v>
      </c>
      <c r="N289" s="290">
        <f t="shared" si="147"/>
        <v>60.416666666666664</v>
      </c>
      <c r="O289" s="290">
        <f t="shared" si="147"/>
        <v>60.5</v>
      </c>
      <c r="P289" s="290">
        <f t="shared" si="147"/>
        <v>60.25</v>
      </c>
      <c r="Q289" s="290">
        <f t="shared" si="147"/>
        <v>68.583333333333329</v>
      </c>
      <c r="R289" s="290">
        <f t="shared" si="148"/>
        <v>66.833333333333329</v>
      </c>
      <c r="S289" s="290">
        <f t="shared" si="148"/>
        <v>70.416666666666671</v>
      </c>
      <c r="T289" s="290">
        <f t="shared" si="148"/>
        <v>75.416666666666671</v>
      </c>
      <c r="U289" s="290">
        <f t="shared" si="148"/>
        <v>80.416666666666671</v>
      </c>
      <c r="V289" s="290">
        <f t="shared" si="148"/>
        <v>79.166666666666671</v>
      </c>
      <c r="W289" s="290">
        <f t="shared" si="148"/>
        <v>76.25</v>
      </c>
      <c r="X289" s="290">
        <f t="shared" si="148"/>
        <v>76.666666666666671</v>
      </c>
      <c r="Y289" s="290">
        <f t="shared" si="148"/>
        <v>78.75</v>
      </c>
      <c r="Z289" s="290">
        <f t="shared" si="148"/>
        <v>81.666666666666671</v>
      </c>
      <c r="AA289" s="290">
        <f t="shared" si="148"/>
        <v>91.25</v>
      </c>
      <c r="AB289" s="290">
        <f t="shared" si="148"/>
        <v>95</v>
      </c>
      <c r="AC289" s="290">
        <f t="shared" si="148"/>
        <v>101.25</v>
      </c>
      <c r="AD289" s="252">
        <f t="shared" si="148"/>
        <v>100.83333333333333</v>
      </c>
      <c r="AE289" s="252">
        <f t="shared" si="148"/>
        <v>102.5</v>
      </c>
    </row>
    <row r="290" spans="1:31">
      <c r="A290" s="240" t="s">
        <v>231</v>
      </c>
      <c r="B290" s="290">
        <f t="shared" si="147"/>
        <v>42.833333333333336</v>
      </c>
      <c r="C290" s="290">
        <f t="shared" si="147"/>
        <v>51.166666666666664</v>
      </c>
      <c r="D290" s="290">
        <f t="shared" si="147"/>
        <v>50.583333333333336</v>
      </c>
      <c r="E290" s="290">
        <f t="shared" si="147"/>
        <v>48.75</v>
      </c>
      <c r="F290" s="290">
        <f t="shared" si="147"/>
        <v>45.416666666666664</v>
      </c>
      <c r="G290" s="290">
        <f t="shared" si="147"/>
        <v>48.083333333333336</v>
      </c>
      <c r="H290" s="290">
        <f t="shared" si="147"/>
        <v>46.833333333333336</v>
      </c>
      <c r="I290" s="290">
        <f t="shared" si="147"/>
        <v>42.916666666666664</v>
      </c>
      <c r="J290" s="290">
        <f t="shared" si="147"/>
        <v>36.333333333333336</v>
      </c>
      <c r="K290" s="290">
        <f t="shared" si="147"/>
        <v>39.5</v>
      </c>
      <c r="L290" s="290">
        <f t="shared" si="147"/>
        <v>48.75</v>
      </c>
      <c r="M290" s="290">
        <f t="shared" si="147"/>
        <v>51.75</v>
      </c>
      <c r="N290" s="290">
        <f t="shared" si="147"/>
        <v>60.416666666666664</v>
      </c>
      <c r="O290" s="290">
        <f t="shared" si="147"/>
        <v>60.5</v>
      </c>
      <c r="P290" s="290">
        <f t="shared" si="147"/>
        <v>60.25</v>
      </c>
      <c r="Q290" s="290">
        <f t="shared" si="147"/>
        <v>68.583333333333329</v>
      </c>
      <c r="R290" s="290">
        <f t="shared" si="148"/>
        <v>66.833333333333329</v>
      </c>
      <c r="S290" s="290">
        <f t="shared" si="148"/>
        <v>70.416666666666671</v>
      </c>
      <c r="T290" s="290">
        <f t="shared" si="148"/>
        <v>75.416666666666671</v>
      </c>
      <c r="U290" s="290">
        <f t="shared" si="148"/>
        <v>80.416666666666671</v>
      </c>
      <c r="V290" s="290">
        <f t="shared" si="148"/>
        <v>79.166666666666671</v>
      </c>
      <c r="W290" s="290">
        <f t="shared" si="148"/>
        <v>76.25</v>
      </c>
      <c r="X290" s="290">
        <f t="shared" si="148"/>
        <v>76.666666666666671</v>
      </c>
      <c r="Y290" s="290">
        <f t="shared" si="148"/>
        <v>78.75</v>
      </c>
      <c r="Z290" s="290">
        <f t="shared" si="148"/>
        <v>81.666666666666671</v>
      </c>
      <c r="AA290" s="290">
        <f t="shared" si="148"/>
        <v>91.25</v>
      </c>
      <c r="AB290" s="290">
        <f t="shared" si="148"/>
        <v>95</v>
      </c>
      <c r="AC290" s="290">
        <f t="shared" si="148"/>
        <v>101.25</v>
      </c>
      <c r="AD290" s="252">
        <f t="shared" si="148"/>
        <v>100.83333333333333</v>
      </c>
      <c r="AE290" s="252">
        <f t="shared" si="148"/>
        <v>102.5</v>
      </c>
    </row>
    <row r="291" spans="1:31">
      <c r="A291" s="240" t="s">
        <v>232</v>
      </c>
      <c r="B291" s="290">
        <f t="shared" si="147"/>
        <v>42.833333333333336</v>
      </c>
      <c r="C291" s="290">
        <f t="shared" si="147"/>
        <v>51.166666666666664</v>
      </c>
      <c r="D291" s="290">
        <f t="shared" si="147"/>
        <v>50.583333333333336</v>
      </c>
      <c r="E291" s="290">
        <f t="shared" si="147"/>
        <v>48.75</v>
      </c>
      <c r="F291" s="290">
        <f t="shared" si="147"/>
        <v>45.416666666666664</v>
      </c>
      <c r="G291" s="290">
        <f t="shared" si="147"/>
        <v>48.083333333333336</v>
      </c>
      <c r="H291" s="290">
        <f t="shared" si="147"/>
        <v>46.833333333333336</v>
      </c>
      <c r="I291" s="290">
        <f t="shared" si="147"/>
        <v>42.916666666666664</v>
      </c>
      <c r="J291" s="290">
        <f t="shared" si="147"/>
        <v>36.333333333333336</v>
      </c>
      <c r="K291" s="290">
        <f t="shared" si="147"/>
        <v>39.5</v>
      </c>
      <c r="L291" s="290">
        <f t="shared" si="147"/>
        <v>48.75</v>
      </c>
      <c r="M291" s="290">
        <f t="shared" si="147"/>
        <v>51.75</v>
      </c>
      <c r="N291" s="290">
        <f t="shared" si="147"/>
        <v>60.416666666666664</v>
      </c>
      <c r="O291" s="290">
        <f t="shared" si="147"/>
        <v>60.5</v>
      </c>
      <c r="P291" s="290">
        <f t="shared" si="147"/>
        <v>60.25</v>
      </c>
      <c r="Q291" s="290">
        <f t="shared" si="147"/>
        <v>68.583333333333329</v>
      </c>
      <c r="R291" s="290">
        <f t="shared" si="148"/>
        <v>66.833333333333329</v>
      </c>
      <c r="S291" s="290">
        <f t="shared" si="148"/>
        <v>70.416666666666671</v>
      </c>
      <c r="T291" s="290">
        <f t="shared" si="148"/>
        <v>75.416666666666671</v>
      </c>
      <c r="U291" s="290">
        <f t="shared" si="148"/>
        <v>80.416666666666671</v>
      </c>
      <c r="V291" s="290">
        <f t="shared" si="148"/>
        <v>79.166666666666671</v>
      </c>
      <c r="W291" s="290">
        <f t="shared" si="148"/>
        <v>76.25</v>
      </c>
      <c r="X291" s="290">
        <f t="shared" si="148"/>
        <v>76.666666666666671</v>
      </c>
      <c r="Y291" s="290">
        <f t="shared" si="148"/>
        <v>78.75</v>
      </c>
      <c r="Z291" s="290">
        <f t="shared" si="148"/>
        <v>81.666666666666671</v>
      </c>
      <c r="AA291" s="290">
        <f t="shared" si="148"/>
        <v>91.25</v>
      </c>
      <c r="AB291" s="290">
        <f t="shared" si="148"/>
        <v>95</v>
      </c>
      <c r="AC291" s="290">
        <f t="shared" si="148"/>
        <v>101.25</v>
      </c>
      <c r="AD291" s="252">
        <f t="shared" si="148"/>
        <v>100.83333333333333</v>
      </c>
      <c r="AE291" s="252">
        <f t="shared" si="148"/>
        <v>102.5</v>
      </c>
    </row>
    <row r="292" spans="1:31">
      <c r="A292" s="240" t="s">
        <v>233</v>
      </c>
      <c r="B292" s="290">
        <f t="shared" si="147"/>
        <v>42.833333333333336</v>
      </c>
      <c r="C292" s="290">
        <f t="shared" si="147"/>
        <v>51.166666666666664</v>
      </c>
      <c r="D292" s="290">
        <f t="shared" si="147"/>
        <v>50.583333333333336</v>
      </c>
      <c r="E292" s="290">
        <f t="shared" si="147"/>
        <v>48.75</v>
      </c>
      <c r="F292" s="290">
        <f t="shared" si="147"/>
        <v>45.416666666666664</v>
      </c>
      <c r="G292" s="290">
        <f t="shared" si="147"/>
        <v>48.083333333333336</v>
      </c>
      <c r="H292" s="290">
        <f t="shared" si="147"/>
        <v>46.833333333333336</v>
      </c>
      <c r="I292" s="290">
        <f t="shared" si="147"/>
        <v>42.916666666666664</v>
      </c>
      <c r="J292" s="290">
        <f t="shared" si="147"/>
        <v>36.333333333333336</v>
      </c>
      <c r="K292" s="290">
        <f t="shared" si="147"/>
        <v>39.5</v>
      </c>
      <c r="L292" s="290">
        <f t="shared" si="147"/>
        <v>48.75</v>
      </c>
      <c r="M292" s="290">
        <f t="shared" si="147"/>
        <v>51.75</v>
      </c>
      <c r="N292" s="290">
        <f t="shared" si="147"/>
        <v>60.416666666666664</v>
      </c>
      <c r="O292" s="290">
        <f t="shared" si="147"/>
        <v>60.5</v>
      </c>
      <c r="P292" s="290">
        <f t="shared" si="147"/>
        <v>60.25</v>
      </c>
      <c r="Q292" s="290">
        <f t="shared" si="147"/>
        <v>68.583333333333329</v>
      </c>
      <c r="R292" s="290">
        <f t="shared" si="148"/>
        <v>66.833333333333329</v>
      </c>
      <c r="S292" s="290">
        <f t="shared" si="148"/>
        <v>70.416666666666671</v>
      </c>
      <c r="T292" s="290">
        <f t="shared" si="148"/>
        <v>75.416666666666671</v>
      </c>
      <c r="U292" s="290">
        <f t="shared" si="148"/>
        <v>80.416666666666671</v>
      </c>
      <c r="V292" s="290">
        <f t="shared" si="148"/>
        <v>79.166666666666671</v>
      </c>
      <c r="W292" s="290">
        <f t="shared" si="148"/>
        <v>76.25</v>
      </c>
      <c r="X292" s="290">
        <f t="shared" si="148"/>
        <v>76.666666666666671</v>
      </c>
      <c r="Y292" s="290">
        <f t="shared" si="148"/>
        <v>78.75</v>
      </c>
      <c r="Z292" s="290">
        <f t="shared" si="148"/>
        <v>81.666666666666671</v>
      </c>
      <c r="AA292" s="290">
        <f t="shared" si="148"/>
        <v>91.25</v>
      </c>
      <c r="AB292" s="290">
        <f t="shared" si="148"/>
        <v>95</v>
      </c>
      <c r="AC292" s="290">
        <f t="shared" si="148"/>
        <v>101.25</v>
      </c>
      <c r="AD292" s="252">
        <f t="shared" si="148"/>
        <v>100.83333333333333</v>
      </c>
      <c r="AE292" s="252">
        <f t="shared" si="148"/>
        <v>102.5</v>
      </c>
    </row>
    <row r="293" spans="1:31">
      <c r="A293" s="240" t="s">
        <v>234</v>
      </c>
      <c r="B293" s="290">
        <f t="shared" si="147"/>
        <v>42.833333333333336</v>
      </c>
      <c r="C293" s="290">
        <f t="shared" si="147"/>
        <v>51.166666666666664</v>
      </c>
      <c r="D293" s="290">
        <f t="shared" si="147"/>
        <v>50.583333333333336</v>
      </c>
      <c r="E293" s="290">
        <f t="shared" si="147"/>
        <v>48.75</v>
      </c>
      <c r="F293" s="290">
        <f t="shared" si="147"/>
        <v>45.416666666666664</v>
      </c>
      <c r="G293" s="290">
        <f t="shared" si="147"/>
        <v>48.083333333333336</v>
      </c>
      <c r="H293" s="290">
        <f t="shared" si="147"/>
        <v>46.833333333333336</v>
      </c>
      <c r="I293" s="290">
        <f t="shared" si="147"/>
        <v>42.916666666666664</v>
      </c>
      <c r="J293" s="290">
        <f t="shared" si="147"/>
        <v>36.333333333333336</v>
      </c>
      <c r="K293" s="290">
        <f t="shared" si="147"/>
        <v>39.5</v>
      </c>
      <c r="L293" s="290">
        <f t="shared" si="147"/>
        <v>48.75</v>
      </c>
      <c r="M293" s="290">
        <f t="shared" si="147"/>
        <v>51.75</v>
      </c>
      <c r="N293" s="290">
        <f t="shared" si="147"/>
        <v>60.416666666666664</v>
      </c>
      <c r="O293" s="290">
        <f t="shared" si="147"/>
        <v>60.5</v>
      </c>
      <c r="P293" s="290">
        <f t="shared" si="147"/>
        <v>60.25</v>
      </c>
      <c r="Q293" s="290">
        <f t="shared" si="147"/>
        <v>68.583333333333329</v>
      </c>
      <c r="R293" s="290">
        <f t="shared" si="148"/>
        <v>66.833333333333329</v>
      </c>
      <c r="S293" s="290">
        <f t="shared" si="148"/>
        <v>70.416666666666671</v>
      </c>
      <c r="T293" s="290">
        <f t="shared" si="148"/>
        <v>75.416666666666671</v>
      </c>
      <c r="U293" s="290">
        <f t="shared" si="148"/>
        <v>80.416666666666671</v>
      </c>
      <c r="V293" s="290">
        <f t="shared" si="148"/>
        <v>79.166666666666671</v>
      </c>
      <c r="W293" s="290">
        <f t="shared" si="148"/>
        <v>76.25</v>
      </c>
      <c r="X293" s="290">
        <f t="shared" si="148"/>
        <v>76.666666666666671</v>
      </c>
      <c r="Y293" s="290">
        <f t="shared" si="148"/>
        <v>78.75</v>
      </c>
      <c r="Z293" s="290">
        <f t="shared" si="148"/>
        <v>81.666666666666671</v>
      </c>
      <c r="AA293" s="290">
        <f t="shared" si="148"/>
        <v>91.25</v>
      </c>
      <c r="AB293" s="290">
        <f t="shared" si="148"/>
        <v>95</v>
      </c>
      <c r="AC293" s="290">
        <f t="shared" si="148"/>
        <v>101.25</v>
      </c>
      <c r="AD293" s="252">
        <f t="shared" si="148"/>
        <v>100.83333333333333</v>
      </c>
      <c r="AE293" s="252">
        <f t="shared" si="148"/>
        <v>102.5</v>
      </c>
    </row>
    <row r="294" spans="1:31">
      <c r="A294" s="240" t="s">
        <v>46</v>
      </c>
      <c r="B294" s="290">
        <f t="shared" si="147"/>
        <v>42.833333333333336</v>
      </c>
      <c r="C294" s="290">
        <f t="shared" si="147"/>
        <v>51.166666666666664</v>
      </c>
      <c r="D294" s="290">
        <f t="shared" si="147"/>
        <v>50.583333333333336</v>
      </c>
      <c r="E294" s="290">
        <f t="shared" si="147"/>
        <v>48.75</v>
      </c>
      <c r="F294" s="290">
        <f t="shared" si="147"/>
        <v>45.416666666666664</v>
      </c>
      <c r="G294" s="290">
        <f t="shared" si="147"/>
        <v>48.083333333333336</v>
      </c>
      <c r="H294" s="290">
        <f t="shared" si="147"/>
        <v>46.833333333333336</v>
      </c>
      <c r="I294" s="290">
        <f t="shared" si="147"/>
        <v>42.916666666666664</v>
      </c>
      <c r="J294" s="290">
        <f t="shared" si="147"/>
        <v>36.333333333333336</v>
      </c>
      <c r="K294" s="290">
        <f t="shared" si="147"/>
        <v>39.5</v>
      </c>
      <c r="L294" s="290">
        <f t="shared" si="147"/>
        <v>48.75</v>
      </c>
      <c r="M294" s="290">
        <f t="shared" si="147"/>
        <v>51.75</v>
      </c>
      <c r="N294" s="290">
        <f t="shared" si="147"/>
        <v>60.416666666666664</v>
      </c>
      <c r="O294" s="290">
        <f t="shared" si="147"/>
        <v>60.5</v>
      </c>
      <c r="P294" s="290">
        <f t="shared" si="147"/>
        <v>60.25</v>
      </c>
      <c r="Q294" s="290">
        <f t="shared" si="147"/>
        <v>68.583333333333329</v>
      </c>
      <c r="R294" s="290">
        <f t="shared" si="148"/>
        <v>66.833333333333329</v>
      </c>
      <c r="S294" s="290">
        <f t="shared" si="148"/>
        <v>70.416666666666671</v>
      </c>
      <c r="T294" s="290">
        <f t="shared" si="148"/>
        <v>75.416666666666671</v>
      </c>
      <c r="U294" s="290">
        <f t="shared" si="148"/>
        <v>80.416666666666671</v>
      </c>
      <c r="V294" s="290">
        <f t="shared" si="148"/>
        <v>79.166666666666671</v>
      </c>
      <c r="W294" s="290">
        <f t="shared" si="148"/>
        <v>76.25</v>
      </c>
      <c r="X294" s="290">
        <f t="shared" si="148"/>
        <v>76.666666666666671</v>
      </c>
      <c r="Y294" s="290">
        <f t="shared" si="148"/>
        <v>78.75</v>
      </c>
      <c r="Z294" s="290">
        <f t="shared" si="148"/>
        <v>81.666666666666671</v>
      </c>
      <c r="AA294" s="290">
        <f t="shared" si="148"/>
        <v>91.25</v>
      </c>
      <c r="AB294" s="290">
        <f t="shared" si="148"/>
        <v>95</v>
      </c>
      <c r="AC294" s="290">
        <f t="shared" si="148"/>
        <v>101.25</v>
      </c>
      <c r="AD294" s="252">
        <f t="shared" si="148"/>
        <v>100.83333333333333</v>
      </c>
      <c r="AE294" s="252">
        <f t="shared" si="148"/>
        <v>102.5</v>
      </c>
    </row>
    <row r="295" spans="1:31">
      <c r="A295" s="240" t="s">
        <v>235</v>
      </c>
      <c r="B295" s="290">
        <f t="shared" si="147"/>
        <v>42.833333333333336</v>
      </c>
      <c r="C295" s="290">
        <f t="shared" si="147"/>
        <v>51.166666666666664</v>
      </c>
      <c r="D295" s="290">
        <f t="shared" si="147"/>
        <v>50.583333333333336</v>
      </c>
      <c r="E295" s="290">
        <f t="shared" si="147"/>
        <v>48.75</v>
      </c>
      <c r="F295" s="290">
        <f t="shared" si="147"/>
        <v>45.416666666666664</v>
      </c>
      <c r="G295" s="290">
        <f t="shared" si="147"/>
        <v>48.083333333333336</v>
      </c>
      <c r="H295" s="290">
        <f t="shared" si="147"/>
        <v>46.833333333333336</v>
      </c>
      <c r="I295" s="290">
        <f t="shared" si="147"/>
        <v>42.916666666666664</v>
      </c>
      <c r="J295" s="290">
        <f t="shared" si="147"/>
        <v>36.333333333333336</v>
      </c>
      <c r="K295" s="290">
        <f t="shared" si="147"/>
        <v>39.5</v>
      </c>
      <c r="L295" s="290">
        <f t="shared" si="147"/>
        <v>48.75</v>
      </c>
      <c r="M295" s="290">
        <f t="shared" si="147"/>
        <v>51.75</v>
      </c>
      <c r="N295" s="290">
        <f t="shared" si="147"/>
        <v>60.416666666666664</v>
      </c>
      <c r="O295" s="290">
        <f t="shared" si="147"/>
        <v>60.5</v>
      </c>
      <c r="P295" s="290">
        <f t="shared" si="147"/>
        <v>60.25</v>
      </c>
      <c r="Q295" s="290">
        <f t="shared" si="147"/>
        <v>68.583333333333329</v>
      </c>
      <c r="R295" s="290">
        <f t="shared" si="148"/>
        <v>66.833333333333329</v>
      </c>
      <c r="S295" s="290">
        <f t="shared" si="148"/>
        <v>70.416666666666671</v>
      </c>
      <c r="T295" s="290">
        <f t="shared" si="148"/>
        <v>75.416666666666671</v>
      </c>
      <c r="U295" s="290">
        <f t="shared" si="148"/>
        <v>80.416666666666671</v>
      </c>
      <c r="V295" s="290">
        <f t="shared" si="148"/>
        <v>79.166666666666671</v>
      </c>
      <c r="W295" s="290">
        <f t="shared" si="148"/>
        <v>76.25</v>
      </c>
      <c r="X295" s="290">
        <f t="shared" si="148"/>
        <v>76.666666666666671</v>
      </c>
      <c r="Y295" s="290">
        <f t="shared" si="148"/>
        <v>78.75</v>
      </c>
      <c r="Z295" s="290">
        <f t="shared" si="148"/>
        <v>81.666666666666671</v>
      </c>
      <c r="AA295" s="290">
        <f t="shared" si="148"/>
        <v>91.25</v>
      </c>
      <c r="AB295" s="290">
        <f t="shared" si="148"/>
        <v>95</v>
      </c>
      <c r="AC295" s="252">
        <f t="shared" si="148"/>
        <v>101.25</v>
      </c>
      <c r="AD295" s="252">
        <f t="shared" si="148"/>
        <v>100.83333333333333</v>
      </c>
      <c r="AE295" s="252">
        <f t="shared" si="148"/>
        <v>102.5</v>
      </c>
    </row>
    <row r="296" spans="1:31">
      <c r="A296" s="240" t="s">
        <v>236</v>
      </c>
      <c r="B296" s="290">
        <f t="shared" si="147"/>
        <v>42.833333333333336</v>
      </c>
      <c r="C296" s="290">
        <f t="shared" si="147"/>
        <v>51.166666666666664</v>
      </c>
      <c r="D296" s="290">
        <f t="shared" si="147"/>
        <v>50.583333333333336</v>
      </c>
      <c r="E296" s="290">
        <f t="shared" si="147"/>
        <v>48.75</v>
      </c>
      <c r="F296" s="290">
        <f t="shared" si="147"/>
        <v>45.416666666666664</v>
      </c>
      <c r="G296" s="290">
        <f t="shared" si="147"/>
        <v>48.083333333333336</v>
      </c>
      <c r="H296" s="290">
        <f t="shared" si="147"/>
        <v>46.833333333333336</v>
      </c>
      <c r="I296" s="290">
        <f t="shared" si="147"/>
        <v>42.916666666666664</v>
      </c>
      <c r="J296" s="290">
        <f t="shared" si="147"/>
        <v>36.333333333333336</v>
      </c>
      <c r="K296" s="290">
        <f t="shared" si="147"/>
        <v>39.5</v>
      </c>
      <c r="L296" s="290">
        <f t="shared" si="147"/>
        <v>48.75</v>
      </c>
      <c r="M296" s="290">
        <f t="shared" si="147"/>
        <v>51.75</v>
      </c>
      <c r="N296" s="290">
        <f t="shared" si="147"/>
        <v>60.416666666666664</v>
      </c>
      <c r="O296" s="290">
        <f t="shared" si="147"/>
        <v>60.5</v>
      </c>
      <c r="P296" s="290">
        <f t="shared" si="147"/>
        <v>60.25</v>
      </c>
      <c r="Q296" s="290">
        <f t="shared" si="147"/>
        <v>68.583333333333329</v>
      </c>
      <c r="R296" s="290">
        <f t="shared" si="148"/>
        <v>66.833333333333329</v>
      </c>
      <c r="S296" s="290">
        <f t="shared" si="148"/>
        <v>70.416666666666671</v>
      </c>
      <c r="T296" s="290">
        <f t="shared" si="148"/>
        <v>75.416666666666671</v>
      </c>
      <c r="U296" s="290">
        <f t="shared" si="148"/>
        <v>80.416666666666671</v>
      </c>
      <c r="V296" s="290">
        <f t="shared" si="148"/>
        <v>79.166666666666671</v>
      </c>
      <c r="W296" s="290">
        <f t="shared" si="148"/>
        <v>76.25</v>
      </c>
      <c r="X296" s="290">
        <f t="shared" si="148"/>
        <v>76.666666666666671</v>
      </c>
      <c r="Y296" s="290">
        <f t="shared" si="148"/>
        <v>78.75</v>
      </c>
      <c r="Z296" s="290">
        <f t="shared" si="148"/>
        <v>81.666666666666671</v>
      </c>
      <c r="AA296" s="290">
        <f t="shared" si="148"/>
        <v>91.25</v>
      </c>
      <c r="AB296" s="290">
        <f t="shared" si="148"/>
        <v>95</v>
      </c>
      <c r="AC296" s="252">
        <f t="shared" si="148"/>
        <v>101.25</v>
      </c>
      <c r="AD296" s="252">
        <f t="shared" si="148"/>
        <v>100.83333333333333</v>
      </c>
      <c r="AE296" s="252">
        <f t="shared" si="148"/>
        <v>102.5</v>
      </c>
    </row>
    <row r="297" spans="1:31">
      <c r="A297" s="240" t="s">
        <v>237</v>
      </c>
      <c r="B297" s="290">
        <f t="shared" si="147"/>
        <v>42.833333333333336</v>
      </c>
      <c r="C297" s="290">
        <f t="shared" si="147"/>
        <v>51.166666666666664</v>
      </c>
      <c r="D297" s="290">
        <f t="shared" si="147"/>
        <v>50.583333333333336</v>
      </c>
      <c r="E297" s="290">
        <f t="shared" si="147"/>
        <v>48.75</v>
      </c>
      <c r="F297" s="290">
        <f t="shared" si="147"/>
        <v>45.416666666666664</v>
      </c>
      <c r="G297" s="290">
        <f t="shared" si="147"/>
        <v>48.083333333333336</v>
      </c>
      <c r="H297" s="290">
        <f t="shared" si="147"/>
        <v>46.833333333333336</v>
      </c>
      <c r="I297" s="290">
        <f t="shared" si="147"/>
        <v>42.916666666666664</v>
      </c>
      <c r="J297" s="290">
        <f t="shared" si="147"/>
        <v>36.333333333333336</v>
      </c>
      <c r="K297" s="290">
        <f t="shared" si="147"/>
        <v>39.5</v>
      </c>
      <c r="L297" s="290">
        <f t="shared" si="147"/>
        <v>48.75</v>
      </c>
      <c r="M297" s="290">
        <f t="shared" si="147"/>
        <v>51.75</v>
      </c>
      <c r="N297" s="290">
        <f t="shared" si="147"/>
        <v>60.416666666666664</v>
      </c>
      <c r="O297" s="290">
        <f t="shared" si="147"/>
        <v>60.5</v>
      </c>
      <c r="P297" s="290">
        <f t="shared" si="147"/>
        <v>60.25</v>
      </c>
      <c r="Q297" s="290">
        <f t="shared" si="147"/>
        <v>68.583333333333329</v>
      </c>
      <c r="R297" s="290">
        <f t="shared" si="148"/>
        <v>66.833333333333329</v>
      </c>
      <c r="S297" s="290">
        <f t="shared" si="148"/>
        <v>70.416666666666671</v>
      </c>
      <c r="T297" s="290">
        <f t="shared" si="148"/>
        <v>75.416666666666671</v>
      </c>
      <c r="U297" s="290">
        <f t="shared" si="148"/>
        <v>80.416666666666671</v>
      </c>
      <c r="V297" s="290">
        <f t="shared" si="148"/>
        <v>79.166666666666671</v>
      </c>
      <c r="W297" s="290">
        <f t="shared" si="148"/>
        <v>76.25</v>
      </c>
      <c r="X297" s="290">
        <f t="shared" si="148"/>
        <v>76.666666666666671</v>
      </c>
      <c r="Y297" s="290">
        <f t="shared" si="148"/>
        <v>78.75</v>
      </c>
      <c r="Z297" s="290">
        <f t="shared" si="148"/>
        <v>81.666666666666671</v>
      </c>
      <c r="AA297" s="290">
        <f t="shared" si="148"/>
        <v>91.25</v>
      </c>
      <c r="AB297" s="290">
        <f t="shared" si="148"/>
        <v>95</v>
      </c>
      <c r="AC297" s="252">
        <f t="shared" si="148"/>
        <v>101.25</v>
      </c>
      <c r="AD297" s="252">
        <f t="shared" si="148"/>
        <v>100.83333333333333</v>
      </c>
      <c r="AE297" s="252">
        <f t="shared" si="148"/>
        <v>102.5</v>
      </c>
    </row>
    <row r="298" spans="1:31">
      <c r="A298" s="240" t="s">
        <v>238</v>
      </c>
      <c r="B298" s="290">
        <f t="shared" si="147"/>
        <v>42.833333333333336</v>
      </c>
      <c r="C298" s="290">
        <f t="shared" si="147"/>
        <v>51.166666666666664</v>
      </c>
      <c r="D298" s="290">
        <f t="shared" si="147"/>
        <v>50.583333333333336</v>
      </c>
      <c r="E298" s="290">
        <f t="shared" si="147"/>
        <v>48.75</v>
      </c>
      <c r="F298" s="290">
        <f t="shared" si="147"/>
        <v>45.416666666666664</v>
      </c>
      <c r="G298" s="290">
        <f t="shared" si="147"/>
        <v>48.083333333333336</v>
      </c>
      <c r="H298" s="290">
        <f t="shared" si="147"/>
        <v>46.833333333333336</v>
      </c>
      <c r="I298" s="290">
        <f t="shared" si="147"/>
        <v>42.916666666666664</v>
      </c>
      <c r="J298" s="290">
        <f t="shared" si="147"/>
        <v>36.333333333333336</v>
      </c>
      <c r="K298" s="290">
        <f t="shared" si="147"/>
        <v>39.5</v>
      </c>
      <c r="L298" s="290">
        <f t="shared" si="147"/>
        <v>48.75</v>
      </c>
      <c r="M298" s="290">
        <f t="shared" si="147"/>
        <v>51.75</v>
      </c>
      <c r="N298" s="290">
        <f t="shared" si="147"/>
        <v>60.416666666666664</v>
      </c>
      <c r="O298" s="290">
        <f t="shared" si="147"/>
        <v>60.5</v>
      </c>
      <c r="P298" s="290">
        <f t="shared" si="147"/>
        <v>60.25</v>
      </c>
      <c r="Q298" s="290">
        <f t="shared" si="147"/>
        <v>68.583333333333329</v>
      </c>
      <c r="R298" s="290">
        <f t="shared" si="148"/>
        <v>66.833333333333329</v>
      </c>
      <c r="S298" s="290">
        <f t="shared" si="148"/>
        <v>70.416666666666671</v>
      </c>
      <c r="T298" s="290">
        <f t="shared" si="148"/>
        <v>75.416666666666671</v>
      </c>
      <c r="U298" s="290">
        <f t="shared" si="148"/>
        <v>80.416666666666671</v>
      </c>
      <c r="V298" s="290">
        <f t="shared" si="148"/>
        <v>79.166666666666671</v>
      </c>
      <c r="W298" s="290">
        <f t="shared" si="148"/>
        <v>76.25</v>
      </c>
      <c r="X298" s="290">
        <f t="shared" si="148"/>
        <v>76.666666666666671</v>
      </c>
      <c r="Y298" s="290">
        <f t="shared" si="148"/>
        <v>78.75</v>
      </c>
      <c r="Z298" s="290">
        <f t="shared" si="148"/>
        <v>81.666666666666671</v>
      </c>
      <c r="AA298" s="290">
        <f t="shared" si="148"/>
        <v>91.25</v>
      </c>
      <c r="AB298" s="290">
        <f t="shared" si="148"/>
        <v>95</v>
      </c>
      <c r="AC298" s="252">
        <f t="shared" si="148"/>
        <v>101.25</v>
      </c>
      <c r="AD298" s="252">
        <f t="shared" si="148"/>
        <v>100.83333333333333</v>
      </c>
      <c r="AE298" s="252">
        <f t="shared" si="148"/>
        <v>102.5</v>
      </c>
    </row>
    <row r="299" spans="1:31" ht="15.75" thickBot="1">
      <c r="A299" s="240" t="s">
        <v>242</v>
      </c>
      <c r="B299" s="146">
        <f>B36</f>
        <v>514</v>
      </c>
      <c r="C299" s="146">
        <f t="shared" ref="C299:AB299" si="149">C36</f>
        <v>614</v>
      </c>
      <c r="D299" s="146">
        <f t="shared" si="149"/>
        <v>607</v>
      </c>
      <c r="E299" s="146">
        <f t="shared" si="149"/>
        <v>585</v>
      </c>
      <c r="F299" s="146">
        <f t="shared" si="149"/>
        <v>545</v>
      </c>
      <c r="G299" s="146">
        <f t="shared" si="149"/>
        <v>577</v>
      </c>
      <c r="H299" s="146">
        <f t="shared" si="149"/>
        <v>562</v>
      </c>
      <c r="I299" s="146">
        <f t="shared" si="149"/>
        <v>515</v>
      </c>
      <c r="J299" s="146">
        <f t="shared" si="149"/>
        <v>436</v>
      </c>
      <c r="K299" s="146">
        <f t="shared" si="149"/>
        <v>474</v>
      </c>
      <c r="L299" s="146">
        <f t="shared" si="149"/>
        <v>585</v>
      </c>
      <c r="M299" s="146">
        <f t="shared" si="149"/>
        <v>621</v>
      </c>
      <c r="N299" s="146">
        <f t="shared" si="149"/>
        <v>725</v>
      </c>
      <c r="O299" s="146">
        <f t="shared" si="149"/>
        <v>726</v>
      </c>
      <c r="P299" s="146">
        <f t="shared" si="149"/>
        <v>723</v>
      </c>
      <c r="Q299" s="146">
        <f t="shared" si="149"/>
        <v>823</v>
      </c>
      <c r="R299" s="146">
        <f t="shared" si="149"/>
        <v>802</v>
      </c>
      <c r="S299" s="146">
        <f t="shared" si="149"/>
        <v>845</v>
      </c>
      <c r="T299" s="146">
        <f t="shared" si="149"/>
        <v>905</v>
      </c>
      <c r="U299" s="146">
        <f t="shared" si="149"/>
        <v>965</v>
      </c>
      <c r="V299" s="146">
        <f t="shared" si="149"/>
        <v>950</v>
      </c>
      <c r="W299" s="146">
        <f t="shared" si="149"/>
        <v>915</v>
      </c>
      <c r="X299" s="146">
        <f t="shared" si="149"/>
        <v>920</v>
      </c>
      <c r="Y299" s="146">
        <f t="shared" si="149"/>
        <v>945</v>
      </c>
      <c r="Z299" s="146">
        <f t="shared" si="149"/>
        <v>980</v>
      </c>
      <c r="AA299" s="146">
        <f t="shared" si="149"/>
        <v>1095</v>
      </c>
      <c r="AB299" s="146">
        <f t="shared" si="149"/>
        <v>1140</v>
      </c>
      <c r="AC299" s="253">
        <f>AC36</f>
        <v>1215</v>
      </c>
      <c r="AD299" s="253">
        <f t="shared" ref="AD299:AE299" si="150">AD36</f>
        <v>1210</v>
      </c>
      <c r="AE299" s="253">
        <f t="shared" si="150"/>
        <v>1230</v>
      </c>
    </row>
    <row r="300" spans="1:31">
      <c r="A300" s="248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  <c r="AD300" s="254"/>
      <c r="AE300" s="254"/>
    </row>
    <row r="301" spans="1:31" ht="15.75" thickBot="1">
      <c r="A301" s="235" t="s">
        <v>269</v>
      </c>
    </row>
    <row r="302" spans="1:31" ht="15.75" thickBot="1">
      <c r="A302" s="236"/>
      <c r="B302" s="237" t="str">
        <f>B$2</f>
        <v xml:space="preserve">93/94 </v>
      </c>
      <c r="C302" s="237" t="str">
        <f t="shared" ref="C302:AE302" si="151">C$2</f>
        <v xml:space="preserve">94/95 </v>
      </c>
      <c r="D302" s="237" t="str">
        <f t="shared" si="151"/>
        <v xml:space="preserve">95/96 </v>
      </c>
      <c r="E302" s="237" t="str">
        <f t="shared" si="151"/>
        <v xml:space="preserve">96/97 </v>
      </c>
      <c r="F302" s="237" t="str">
        <f t="shared" si="151"/>
        <v xml:space="preserve">97/98 </v>
      </c>
      <c r="G302" s="237" t="str">
        <f t="shared" si="151"/>
        <v xml:space="preserve">98/99 </v>
      </c>
      <c r="H302" s="237" t="str">
        <f t="shared" si="151"/>
        <v xml:space="preserve">99/00 </v>
      </c>
      <c r="I302" s="237" t="str">
        <f t="shared" si="151"/>
        <v xml:space="preserve">00/01 </v>
      </c>
      <c r="J302" s="237" t="str">
        <f t="shared" si="151"/>
        <v xml:space="preserve">01/02 </v>
      </c>
      <c r="K302" s="237" t="str">
        <f t="shared" si="151"/>
        <v xml:space="preserve">02/03 </v>
      </c>
      <c r="L302" s="237" t="str">
        <f t="shared" si="151"/>
        <v xml:space="preserve">03/04 </v>
      </c>
      <c r="M302" s="237" t="str">
        <f t="shared" si="151"/>
        <v xml:space="preserve">04/05 </v>
      </c>
      <c r="N302" s="237" t="str">
        <f t="shared" si="151"/>
        <v xml:space="preserve">05/06 </v>
      </c>
      <c r="O302" s="237" t="str">
        <f t="shared" si="151"/>
        <v xml:space="preserve">06/07 </v>
      </c>
      <c r="P302" s="237" t="str">
        <f t="shared" si="151"/>
        <v xml:space="preserve">07/08 </v>
      </c>
      <c r="Q302" s="237" t="str">
        <f t="shared" si="151"/>
        <v xml:space="preserve">08/09 </v>
      </c>
      <c r="R302" s="237" t="str">
        <f t="shared" si="151"/>
        <v xml:space="preserve">09/10 </v>
      </c>
      <c r="S302" s="237" t="str">
        <f t="shared" si="151"/>
        <v xml:space="preserve">10/11 </v>
      </c>
      <c r="T302" s="237" t="str">
        <f t="shared" si="151"/>
        <v xml:space="preserve">11/12 </v>
      </c>
      <c r="U302" s="237" t="str">
        <f t="shared" si="151"/>
        <v xml:space="preserve">12/13 </v>
      </c>
      <c r="V302" s="237" t="str">
        <f t="shared" si="151"/>
        <v xml:space="preserve">13/14 </v>
      </c>
      <c r="W302" s="237" t="str">
        <f t="shared" si="151"/>
        <v xml:space="preserve">14/15 </v>
      </c>
      <c r="X302" s="237" t="str">
        <f t="shared" si="151"/>
        <v xml:space="preserve">15/16 </v>
      </c>
      <c r="Y302" s="237" t="str">
        <f t="shared" si="151"/>
        <v xml:space="preserve">16/17 </v>
      </c>
      <c r="Z302" s="237" t="str">
        <f t="shared" si="151"/>
        <v xml:space="preserve">17/18 </v>
      </c>
      <c r="AA302" s="237" t="str">
        <f t="shared" si="151"/>
        <v xml:space="preserve">18/19 </v>
      </c>
      <c r="AB302" s="237" t="str">
        <f t="shared" si="151"/>
        <v xml:space="preserve">19/20 </v>
      </c>
      <c r="AC302" s="237" t="str">
        <f t="shared" si="151"/>
        <v xml:space="preserve">20/21 </v>
      </c>
      <c r="AD302" s="237" t="str">
        <f t="shared" si="151"/>
        <v xml:space="preserve">21/22 </v>
      </c>
      <c r="AE302" s="237" t="str">
        <f t="shared" si="151"/>
        <v xml:space="preserve">22/23 </v>
      </c>
    </row>
    <row r="303" spans="1:31">
      <c r="A303" s="240" t="s">
        <v>239</v>
      </c>
      <c r="B303" s="290">
        <f>(B$314-B$32)/13+B32</f>
        <v>116</v>
      </c>
      <c r="C303" s="290">
        <f>(C$314-B$314)/13+B314</f>
        <v>78.461538461538467</v>
      </c>
      <c r="D303" s="290">
        <f t="shared" ref="D303:AC303" si="152">(D$314-C$314)/13+C314</f>
        <v>60.769230769230766</v>
      </c>
      <c r="E303" s="290">
        <f t="shared" si="152"/>
        <v>70</v>
      </c>
      <c r="F303" s="290">
        <f t="shared" si="152"/>
        <v>70</v>
      </c>
      <c r="G303" s="290">
        <f t="shared" si="152"/>
        <v>69.230769230769226</v>
      </c>
      <c r="H303" s="290">
        <f t="shared" si="152"/>
        <v>60</v>
      </c>
      <c r="I303" s="290">
        <f t="shared" si="152"/>
        <v>57.692307692307693</v>
      </c>
      <c r="J303" s="290">
        <f t="shared" si="152"/>
        <v>29.23076923076923</v>
      </c>
      <c r="K303" s="290">
        <f t="shared" si="152"/>
        <v>19.615384615384617</v>
      </c>
      <c r="L303" s="290">
        <f t="shared" si="152"/>
        <v>15.538461538461538</v>
      </c>
      <c r="M303" s="290">
        <f t="shared" si="152"/>
        <v>21.615384615384617</v>
      </c>
      <c r="N303" s="290">
        <f t="shared" si="152"/>
        <v>24.692307692307693</v>
      </c>
      <c r="O303" s="290">
        <f t="shared" si="152"/>
        <v>109.38461538461539</v>
      </c>
      <c r="P303" s="290">
        <f t="shared" si="152"/>
        <v>23</v>
      </c>
      <c r="Q303" s="290">
        <f t="shared" si="152"/>
        <v>82.538461538461533</v>
      </c>
      <c r="R303" s="290">
        <f t="shared" si="152"/>
        <v>72.230769230769226</v>
      </c>
      <c r="S303" s="290">
        <f t="shared" si="152"/>
        <v>20.076923076923077</v>
      </c>
      <c r="T303" s="290">
        <f t="shared" si="152"/>
        <v>93.538461538461533</v>
      </c>
      <c r="U303" s="290">
        <f t="shared" si="152"/>
        <v>250.84615384615384</v>
      </c>
      <c r="V303" s="290">
        <f t="shared" si="152"/>
        <v>333.53846153846155</v>
      </c>
      <c r="W303" s="290">
        <f t="shared" si="152"/>
        <v>336.23076923076923</v>
      </c>
      <c r="X303" s="290">
        <f t="shared" si="152"/>
        <v>272.38461538461536</v>
      </c>
      <c r="Y303" s="290">
        <f t="shared" si="152"/>
        <v>46.307692307692307</v>
      </c>
      <c r="Z303" s="290">
        <f t="shared" si="152"/>
        <v>16.153846153846153</v>
      </c>
      <c r="AA303" s="290">
        <f t="shared" si="152"/>
        <v>45.384615384615387</v>
      </c>
      <c r="AB303" s="290">
        <f t="shared" si="152"/>
        <v>98</v>
      </c>
      <c r="AC303" s="290">
        <f t="shared" si="152"/>
        <v>238.76923076923077</v>
      </c>
      <c r="AD303" s="252">
        <f>(AD$314-AD$32)/13+AC314</f>
        <v>209.61538461538461</v>
      </c>
      <c r="AE303" s="252">
        <f>(AE$314-AE$32)/13+AD314</f>
        <v>325</v>
      </c>
    </row>
    <row r="304" spans="1:31">
      <c r="A304" s="240" t="s">
        <v>240</v>
      </c>
      <c r="B304" s="290">
        <f t="shared" ref="B304:B313" si="153">(B$314-B$32)/13+B303</f>
        <v>113</v>
      </c>
      <c r="C304" s="290">
        <f>(C$314-B$314)/13+C303</f>
        <v>76.923076923076934</v>
      </c>
      <c r="D304" s="290">
        <f t="shared" ref="D304:AC313" si="154">(D$314-C$314)/13+D303</f>
        <v>61.538461538461533</v>
      </c>
      <c r="E304" s="290">
        <f t="shared" si="154"/>
        <v>70</v>
      </c>
      <c r="F304" s="290">
        <f t="shared" si="154"/>
        <v>70</v>
      </c>
      <c r="G304" s="290">
        <f t="shared" si="154"/>
        <v>68.461538461538453</v>
      </c>
      <c r="H304" s="290">
        <f t="shared" si="154"/>
        <v>60</v>
      </c>
      <c r="I304" s="290">
        <f t="shared" si="154"/>
        <v>55.384615384615387</v>
      </c>
      <c r="J304" s="290">
        <f t="shared" si="154"/>
        <v>28.46153846153846</v>
      </c>
      <c r="K304" s="290">
        <f t="shared" si="154"/>
        <v>19.230769230769234</v>
      </c>
      <c r="L304" s="290">
        <f t="shared" si="154"/>
        <v>16.076923076923077</v>
      </c>
      <c r="M304" s="290">
        <f t="shared" si="154"/>
        <v>21.230769230769234</v>
      </c>
      <c r="N304" s="290">
        <f t="shared" si="154"/>
        <v>32.384615384615387</v>
      </c>
      <c r="O304" s="290">
        <f t="shared" si="154"/>
        <v>101.76923076923077</v>
      </c>
      <c r="P304" s="290">
        <f t="shared" si="154"/>
        <v>28</v>
      </c>
      <c r="Q304" s="290">
        <f t="shared" si="154"/>
        <v>82.076923076923066</v>
      </c>
      <c r="R304" s="290">
        <f t="shared" si="154"/>
        <v>67.461538461538453</v>
      </c>
      <c r="S304" s="290">
        <f t="shared" si="154"/>
        <v>25.153846153846153</v>
      </c>
      <c r="T304" s="290">
        <f t="shared" si="154"/>
        <v>106.07692307692307</v>
      </c>
      <c r="U304" s="290">
        <f t="shared" si="154"/>
        <v>257.69230769230768</v>
      </c>
      <c r="V304" s="290">
        <f t="shared" si="154"/>
        <v>334.07692307692309</v>
      </c>
      <c r="W304" s="290">
        <f t="shared" si="154"/>
        <v>332.46153846153845</v>
      </c>
      <c r="X304" s="290">
        <f t="shared" si="154"/>
        <v>253.76923076923075</v>
      </c>
      <c r="Y304" s="290">
        <f t="shared" si="154"/>
        <v>43.615384615384613</v>
      </c>
      <c r="Z304" s="290">
        <f t="shared" si="154"/>
        <v>18.307692307692307</v>
      </c>
      <c r="AA304" s="290">
        <f t="shared" si="154"/>
        <v>48.769230769230774</v>
      </c>
      <c r="AB304" s="290">
        <f t="shared" si="154"/>
        <v>110</v>
      </c>
      <c r="AC304" s="290">
        <f t="shared" si="154"/>
        <v>235.53846153846155</v>
      </c>
      <c r="AD304" s="252">
        <f t="shared" ref="AD304:AE313" si="155">(AD$314-AD$32)/13+AD303</f>
        <v>219.23076923076923</v>
      </c>
      <c r="AE304" s="252">
        <f t="shared" si="155"/>
        <v>325</v>
      </c>
    </row>
    <row r="305" spans="1:31">
      <c r="A305" s="240" t="s">
        <v>241</v>
      </c>
      <c r="B305" s="290">
        <f t="shared" si="153"/>
        <v>110</v>
      </c>
      <c r="C305" s="290">
        <f t="shared" ref="C305:C313" si="156">(C$314-B$314)/13+C304</f>
        <v>75.384615384615401</v>
      </c>
      <c r="D305" s="290">
        <f t="shared" si="154"/>
        <v>62.307692307692299</v>
      </c>
      <c r="E305" s="290">
        <f t="shared" si="154"/>
        <v>70</v>
      </c>
      <c r="F305" s="290">
        <f t="shared" si="154"/>
        <v>70</v>
      </c>
      <c r="G305" s="290">
        <f t="shared" si="154"/>
        <v>67.692307692307679</v>
      </c>
      <c r="H305" s="290">
        <f t="shared" si="154"/>
        <v>60</v>
      </c>
      <c r="I305" s="290">
        <f t="shared" si="154"/>
        <v>53.07692307692308</v>
      </c>
      <c r="J305" s="290">
        <f t="shared" si="154"/>
        <v>27.69230769230769</v>
      </c>
      <c r="K305" s="290">
        <f t="shared" si="154"/>
        <v>18.84615384615385</v>
      </c>
      <c r="L305" s="290">
        <f t="shared" si="154"/>
        <v>16.615384615384617</v>
      </c>
      <c r="M305" s="290">
        <f t="shared" si="154"/>
        <v>20.84615384615385</v>
      </c>
      <c r="N305" s="290">
        <f t="shared" si="154"/>
        <v>40.07692307692308</v>
      </c>
      <c r="O305" s="290">
        <f t="shared" si="154"/>
        <v>94.15384615384616</v>
      </c>
      <c r="P305" s="290">
        <f t="shared" si="154"/>
        <v>33</v>
      </c>
      <c r="Q305" s="290">
        <f t="shared" si="154"/>
        <v>81.615384615384599</v>
      </c>
      <c r="R305" s="290">
        <f t="shared" si="154"/>
        <v>62.692307692307686</v>
      </c>
      <c r="S305" s="290">
        <f t="shared" si="154"/>
        <v>30.23076923076923</v>
      </c>
      <c r="T305" s="290">
        <f t="shared" si="154"/>
        <v>118.6153846153846</v>
      </c>
      <c r="U305" s="290">
        <f t="shared" si="154"/>
        <v>264.53846153846155</v>
      </c>
      <c r="V305" s="290">
        <f t="shared" si="154"/>
        <v>334.61538461538464</v>
      </c>
      <c r="W305" s="290">
        <f t="shared" si="154"/>
        <v>328.69230769230768</v>
      </c>
      <c r="X305" s="290">
        <f t="shared" si="154"/>
        <v>235.15384615384613</v>
      </c>
      <c r="Y305" s="290">
        <f t="shared" si="154"/>
        <v>40.92307692307692</v>
      </c>
      <c r="Z305" s="290">
        <f t="shared" si="154"/>
        <v>20.46153846153846</v>
      </c>
      <c r="AA305" s="290">
        <f t="shared" si="154"/>
        <v>52.15384615384616</v>
      </c>
      <c r="AB305" s="290">
        <f t="shared" si="154"/>
        <v>122</v>
      </c>
      <c r="AC305" s="290">
        <f t="shared" si="154"/>
        <v>232.30769230769232</v>
      </c>
      <c r="AD305" s="252">
        <f t="shared" si="155"/>
        <v>228.84615384615384</v>
      </c>
      <c r="AE305" s="252">
        <f t="shared" si="155"/>
        <v>325</v>
      </c>
    </row>
    <row r="306" spans="1:31">
      <c r="A306" s="240" t="s">
        <v>231</v>
      </c>
      <c r="B306" s="290">
        <f t="shared" si="153"/>
        <v>107</v>
      </c>
      <c r="C306" s="290">
        <f t="shared" si="156"/>
        <v>73.846153846153868</v>
      </c>
      <c r="D306" s="290">
        <f t="shared" si="154"/>
        <v>63.076923076923066</v>
      </c>
      <c r="E306" s="290">
        <f t="shared" si="154"/>
        <v>70</v>
      </c>
      <c r="F306" s="290">
        <f t="shared" si="154"/>
        <v>70</v>
      </c>
      <c r="G306" s="290">
        <f t="shared" si="154"/>
        <v>66.923076923076906</v>
      </c>
      <c r="H306" s="290">
        <f t="shared" si="154"/>
        <v>60</v>
      </c>
      <c r="I306" s="290">
        <f t="shared" si="154"/>
        <v>50.769230769230774</v>
      </c>
      <c r="J306" s="290">
        <f t="shared" si="154"/>
        <v>26.92307692307692</v>
      </c>
      <c r="K306" s="290">
        <f t="shared" si="154"/>
        <v>18.461538461538467</v>
      </c>
      <c r="L306" s="290">
        <f t="shared" si="154"/>
        <v>17.153846153846157</v>
      </c>
      <c r="M306" s="290">
        <f t="shared" si="154"/>
        <v>20.461538461538467</v>
      </c>
      <c r="N306" s="290">
        <f t="shared" si="154"/>
        <v>47.769230769230774</v>
      </c>
      <c r="O306" s="290">
        <f t="shared" si="154"/>
        <v>86.538461538461547</v>
      </c>
      <c r="P306" s="290">
        <f t="shared" si="154"/>
        <v>38</v>
      </c>
      <c r="Q306" s="290">
        <f t="shared" si="154"/>
        <v>81.153846153846132</v>
      </c>
      <c r="R306" s="290">
        <f t="shared" si="154"/>
        <v>57.92307692307692</v>
      </c>
      <c r="S306" s="290">
        <f t="shared" si="154"/>
        <v>35.307692307692307</v>
      </c>
      <c r="T306" s="290">
        <f t="shared" si="154"/>
        <v>131.15384615384613</v>
      </c>
      <c r="U306" s="290">
        <f t="shared" si="154"/>
        <v>271.38461538461542</v>
      </c>
      <c r="V306" s="290">
        <f t="shared" si="154"/>
        <v>335.15384615384619</v>
      </c>
      <c r="W306" s="290">
        <f t="shared" si="154"/>
        <v>324.92307692307691</v>
      </c>
      <c r="X306" s="290">
        <f t="shared" si="154"/>
        <v>216.53846153846152</v>
      </c>
      <c r="Y306" s="290">
        <f t="shared" si="154"/>
        <v>38.230769230769226</v>
      </c>
      <c r="Z306" s="290">
        <f t="shared" si="154"/>
        <v>22.615384615384613</v>
      </c>
      <c r="AA306" s="290">
        <f t="shared" si="154"/>
        <v>55.538461538461547</v>
      </c>
      <c r="AB306" s="290">
        <f t="shared" si="154"/>
        <v>134</v>
      </c>
      <c r="AC306" s="290">
        <f t="shared" si="154"/>
        <v>229.07692307692309</v>
      </c>
      <c r="AD306" s="252">
        <f t="shared" si="155"/>
        <v>238.46153846153845</v>
      </c>
      <c r="AE306" s="252">
        <f t="shared" si="155"/>
        <v>325</v>
      </c>
    </row>
    <row r="307" spans="1:31">
      <c r="A307" s="240" t="s">
        <v>232</v>
      </c>
      <c r="B307" s="290">
        <f t="shared" si="153"/>
        <v>104</v>
      </c>
      <c r="C307" s="290">
        <f t="shared" si="156"/>
        <v>72.307692307692335</v>
      </c>
      <c r="D307" s="290">
        <f t="shared" si="154"/>
        <v>63.846153846153832</v>
      </c>
      <c r="E307" s="290">
        <f t="shared" si="154"/>
        <v>70</v>
      </c>
      <c r="F307" s="290">
        <f t="shared" si="154"/>
        <v>70</v>
      </c>
      <c r="G307" s="290">
        <f t="shared" si="154"/>
        <v>66.153846153846132</v>
      </c>
      <c r="H307" s="290">
        <f t="shared" si="154"/>
        <v>60</v>
      </c>
      <c r="I307" s="290">
        <f t="shared" si="154"/>
        <v>48.461538461538467</v>
      </c>
      <c r="J307" s="290">
        <f t="shared" si="154"/>
        <v>26.15384615384615</v>
      </c>
      <c r="K307" s="290">
        <f t="shared" si="154"/>
        <v>18.076923076923084</v>
      </c>
      <c r="L307" s="290">
        <f t="shared" si="154"/>
        <v>17.692307692307697</v>
      </c>
      <c r="M307" s="290">
        <f t="shared" si="154"/>
        <v>20.076923076923084</v>
      </c>
      <c r="N307" s="290">
        <f t="shared" si="154"/>
        <v>55.461538461538467</v>
      </c>
      <c r="O307" s="290">
        <f t="shared" si="154"/>
        <v>78.923076923076934</v>
      </c>
      <c r="P307" s="290">
        <f t="shared" si="154"/>
        <v>43</v>
      </c>
      <c r="Q307" s="290">
        <f t="shared" si="154"/>
        <v>80.692307692307665</v>
      </c>
      <c r="R307" s="290">
        <f t="shared" si="154"/>
        <v>53.153846153846153</v>
      </c>
      <c r="S307" s="290">
        <f t="shared" si="154"/>
        <v>40.384615384615387</v>
      </c>
      <c r="T307" s="290">
        <f t="shared" si="154"/>
        <v>143.69230769230768</v>
      </c>
      <c r="U307" s="290">
        <f t="shared" si="154"/>
        <v>278.23076923076928</v>
      </c>
      <c r="V307" s="290">
        <f t="shared" si="154"/>
        <v>335.69230769230774</v>
      </c>
      <c r="W307" s="290">
        <f t="shared" si="154"/>
        <v>321.15384615384613</v>
      </c>
      <c r="X307" s="290">
        <f t="shared" si="154"/>
        <v>197.92307692307691</v>
      </c>
      <c r="Y307" s="290">
        <f t="shared" si="154"/>
        <v>35.538461538461533</v>
      </c>
      <c r="Z307" s="290">
        <f t="shared" si="154"/>
        <v>24.769230769230766</v>
      </c>
      <c r="AA307" s="290">
        <f t="shared" si="154"/>
        <v>58.923076923076934</v>
      </c>
      <c r="AB307" s="290">
        <f t="shared" si="154"/>
        <v>146</v>
      </c>
      <c r="AC307" s="290">
        <f t="shared" si="154"/>
        <v>225.84615384615387</v>
      </c>
      <c r="AD307" s="252">
        <f t="shared" si="155"/>
        <v>248.07692307692307</v>
      </c>
      <c r="AE307" s="252">
        <f t="shared" si="155"/>
        <v>325</v>
      </c>
    </row>
    <row r="308" spans="1:31">
      <c r="A308" s="240" t="s">
        <v>233</v>
      </c>
      <c r="B308" s="290">
        <f t="shared" si="153"/>
        <v>101</v>
      </c>
      <c r="C308" s="290">
        <f t="shared" si="156"/>
        <v>70.769230769230802</v>
      </c>
      <c r="D308" s="290">
        <f t="shared" si="154"/>
        <v>64.615384615384599</v>
      </c>
      <c r="E308" s="290">
        <f t="shared" si="154"/>
        <v>70</v>
      </c>
      <c r="F308" s="290">
        <f t="shared" si="154"/>
        <v>70</v>
      </c>
      <c r="G308" s="290">
        <f t="shared" si="154"/>
        <v>65.384615384615358</v>
      </c>
      <c r="H308" s="290">
        <f t="shared" si="154"/>
        <v>60</v>
      </c>
      <c r="I308" s="290">
        <f t="shared" si="154"/>
        <v>46.15384615384616</v>
      </c>
      <c r="J308" s="290">
        <f t="shared" si="154"/>
        <v>25.38461538461538</v>
      </c>
      <c r="K308" s="290">
        <f t="shared" si="154"/>
        <v>17.692307692307701</v>
      </c>
      <c r="L308" s="290">
        <f t="shared" si="154"/>
        <v>18.230769230769237</v>
      </c>
      <c r="M308" s="290">
        <f t="shared" si="154"/>
        <v>19.692307692307701</v>
      </c>
      <c r="N308" s="290">
        <f t="shared" si="154"/>
        <v>63.15384615384616</v>
      </c>
      <c r="O308" s="290">
        <f t="shared" si="154"/>
        <v>71.307692307692321</v>
      </c>
      <c r="P308" s="290">
        <f t="shared" si="154"/>
        <v>48</v>
      </c>
      <c r="Q308" s="290">
        <f t="shared" si="154"/>
        <v>80.230769230769198</v>
      </c>
      <c r="R308" s="290">
        <f t="shared" si="154"/>
        <v>48.384615384615387</v>
      </c>
      <c r="S308" s="290">
        <f t="shared" si="154"/>
        <v>45.461538461538467</v>
      </c>
      <c r="T308" s="290">
        <f t="shared" si="154"/>
        <v>156.23076923076923</v>
      </c>
      <c r="U308" s="290">
        <f t="shared" si="154"/>
        <v>285.07692307692315</v>
      </c>
      <c r="V308" s="290">
        <f t="shared" si="154"/>
        <v>336.23076923076928</v>
      </c>
      <c r="W308" s="290">
        <f t="shared" si="154"/>
        <v>317.38461538461536</v>
      </c>
      <c r="X308" s="290">
        <f t="shared" si="154"/>
        <v>179.30769230769229</v>
      </c>
      <c r="Y308" s="290">
        <f t="shared" si="154"/>
        <v>32.84615384615384</v>
      </c>
      <c r="Z308" s="290">
        <f t="shared" si="154"/>
        <v>26.92307692307692</v>
      </c>
      <c r="AA308" s="290">
        <f t="shared" si="154"/>
        <v>62.307692307692321</v>
      </c>
      <c r="AB308" s="290">
        <f t="shared" si="154"/>
        <v>158</v>
      </c>
      <c r="AC308" s="290">
        <f t="shared" si="154"/>
        <v>222.61538461538464</v>
      </c>
      <c r="AD308" s="252">
        <f t="shared" si="155"/>
        <v>257.69230769230768</v>
      </c>
      <c r="AE308" s="252">
        <f t="shared" si="155"/>
        <v>325</v>
      </c>
    </row>
    <row r="309" spans="1:31">
      <c r="A309" s="240" t="s">
        <v>234</v>
      </c>
      <c r="B309" s="290">
        <f t="shared" si="153"/>
        <v>98</v>
      </c>
      <c r="C309" s="290">
        <f t="shared" si="156"/>
        <v>69.230769230769269</v>
      </c>
      <c r="D309" s="290">
        <f t="shared" si="154"/>
        <v>65.384615384615373</v>
      </c>
      <c r="E309" s="290">
        <f t="shared" si="154"/>
        <v>70</v>
      </c>
      <c r="F309" s="290">
        <f t="shared" si="154"/>
        <v>70</v>
      </c>
      <c r="G309" s="290">
        <f t="shared" si="154"/>
        <v>64.615384615384585</v>
      </c>
      <c r="H309" s="290">
        <f t="shared" si="154"/>
        <v>60</v>
      </c>
      <c r="I309" s="290">
        <f t="shared" si="154"/>
        <v>43.846153846153854</v>
      </c>
      <c r="J309" s="290">
        <f t="shared" si="154"/>
        <v>24.61538461538461</v>
      </c>
      <c r="K309" s="290">
        <f t="shared" si="154"/>
        <v>17.307692307692317</v>
      </c>
      <c r="L309" s="290">
        <f t="shared" si="154"/>
        <v>18.769230769230777</v>
      </c>
      <c r="M309" s="290">
        <f t="shared" si="154"/>
        <v>19.307692307692317</v>
      </c>
      <c r="N309" s="290">
        <f t="shared" si="154"/>
        <v>70.846153846153854</v>
      </c>
      <c r="O309" s="290">
        <f t="shared" si="154"/>
        <v>63.692307692307708</v>
      </c>
      <c r="P309" s="290">
        <f t="shared" si="154"/>
        <v>53</v>
      </c>
      <c r="Q309" s="290">
        <f t="shared" si="154"/>
        <v>79.769230769230731</v>
      </c>
      <c r="R309" s="290">
        <f t="shared" si="154"/>
        <v>43.61538461538462</v>
      </c>
      <c r="S309" s="290">
        <f t="shared" si="154"/>
        <v>50.538461538461547</v>
      </c>
      <c r="T309" s="290">
        <f t="shared" si="154"/>
        <v>168.76923076923077</v>
      </c>
      <c r="U309" s="290">
        <f t="shared" si="154"/>
        <v>291.92307692307702</v>
      </c>
      <c r="V309" s="290">
        <f t="shared" si="154"/>
        <v>336.76923076923083</v>
      </c>
      <c r="W309" s="290">
        <f t="shared" si="154"/>
        <v>313.61538461538458</v>
      </c>
      <c r="X309" s="290">
        <f t="shared" si="154"/>
        <v>160.69230769230768</v>
      </c>
      <c r="Y309" s="290">
        <f t="shared" si="154"/>
        <v>30.153846153846146</v>
      </c>
      <c r="Z309" s="290">
        <f t="shared" si="154"/>
        <v>29.076923076923073</v>
      </c>
      <c r="AA309" s="290">
        <f t="shared" si="154"/>
        <v>65.692307692307708</v>
      </c>
      <c r="AB309" s="290">
        <f t="shared" si="154"/>
        <v>170</v>
      </c>
      <c r="AC309" s="290">
        <f t="shared" si="154"/>
        <v>219.38461538461542</v>
      </c>
      <c r="AD309" s="252">
        <f t="shared" si="155"/>
        <v>267.30769230769232</v>
      </c>
      <c r="AE309" s="252">
        <f t="shared" si="155"/>
        <v>325</v>
      </c>
    </row>
    <row r="310" spans="1:31">
      <c r="A310" s="240" t="s">
        <v>46</v>
      </c>
      <c r="B310" s="290">
        <f t="shared" si="153"/>
        <v>95</v>
      </c>
      <c r="C310" s="290">
        <f t="shared" si="156"/>
        <v>67.692307692307736</v>
      </c>
      <c r="D310" s="290">
        <f t="shared" si="154"/>
        <v>66.153846153846146</v>
      </c>
      <c r="E310" s="290">
        <f t="shared" si="154"/>
        <v>70</v>
      </c>
      <c r="F310" s="290">
        <f t="shared" si="154"/>
        <v>70</v>
      </c>
      <c r="G310" s="290">
        <f t="shared" si="154"/>
        <v>63.846153846153818</v>
      </c>
      <c r="H310" s="290">
        <f t="shared" si="154"/>
        <v>60</v>
      </c>
      <c r="I310" s="290">
        <f t="shared" si="154"/>
        <v>41.538461538461547</v>
      </c>
      <c r="J310" s="290">
        <f t="shared" si="154"/>
        <v>23.84615384615384</v>
      </c>
      <c r="K310" s="290">
        <f t="shared" si="154"/>
        <v>16.923076923076934</v>
      </c>
      <c r="L310" s="290">
        <f t="shared" si="154"/>
        <v>19.307692307692317</v>
      </c>
      <c r="M310" s="290">
        <f t="shared" si="154"/>
        <v>18.923076923076934</v>
      </c>
      <c r="N310" s="290">
        <f t="shared" si="154"/>
        <v>78.538461538461547</v>
      </c>
      <c r="O310" s="290">
        <f t="shared" si="154"/>
        <v>56.076923076923094</v>
      </c>
      <c r="P310" s="290">
        <f t="shared" si="154"/>
        <v>58</v>
      </c>
      <c r="Q310" s="290">
        <f t="shared" si="154"/>
        <v>79.307692307692264</v>
      </c>
      <c r="R310" s="290">
        <f t="shared" si="154"/>
        <v>38.846153846153854</v>
      </c>
      <c r="S310" s="290">
        <f t="shared" si="154"/>
        <v>55.615384615384627</v>
      </c>
      <c r="T310" s="290">
        <f t="shared" si="154"/>
        <v>181.30769230769232</v>
      </c>
      <c r="U310" s="290">
        <f t="shared" si="154"/>
        <v>298.76923076923089</v>
      </c>
      <c r="V310" s="290">
        <f t="shared" si="154"/>
        <v>337.30769230769238</v>
      </c>
      <c r="W310" s="290">
        <f t="shared" si="154"/>
        <v>309.84615384615381</v>
      </c>
      <c r="X310" s="290">
        <f t="shared" si="154"/>
        <v>142.07692307692307</v>
      </c>
      <c r="Y310" s="290">
        <f t="shared" si="154"/>
        <v>27.461538461538453</v>
      </c>
      <c r="Z310" s="290">
        <f t="shared" si="154"/>
        <v>31.230769230769226</v>
      </c>
      <c r="AA310" s="290">
        <f t="shared" si="154"/>
        <v>69.076923076923094</v>
      </c>
      <c r="AB310" s="290">
        <f t="shared" si="154"/>
        <v>182</v>
      </c>
      <c r="AC310" s="290">
        <f t="shared" si="154"/>
        <v>216.15384615384619</v>
      </c>
      <c r="AD310" s="252">
        <f t="shared" si="155"/>
        <v>276.92307692307696</v>
      </c>
      <c r="AE310" s="252">
        <f t="shared" si="155"/>
        <v>325</v>
      </c>
    </row>
    <row r="311" spans="1:31">
      <c r="A311" s="240" t="s">
        <v>235</v>
      </c>
      <c r="B311" s="290">
        <f t="shared" si="153"/>
        <v>92</v>
      </c>
      <c r="C311" s="290">
        <f t="shared" si="156"/>
        <v>66.153846153846203</v>
      </c>
      <c r="D311" s="290">
        <f t="shared" si="154"/>
        <v>66.92307692307692</v>
      </c>
      <c r="E311" s="290">
        <f t="shared" si="154"/>
        <v>70</v>
      </c>
      <c r="F311" s="290">
        <f t="shared" si="154"/>
        <v>70</v>
      </c>
      <c r="G311" s="290">
        <f t="shared" si="154"/>
        <v>63.076923076923052</v>
      </c>
      <c r="H311" s="290">
        <f t="shared" si="154"/>
        <v>60</v>
      </c>
      <c r="I311" s="290">
        <f t="shared" si="154"/>
        <v>39.230769230769241</v>
      </c>
      <c r="J311" s="290">
        <f t="shared" si="154"/>
        <v>23.07692307692307</v>
      </c>
      <c r="K311" s="290">
        <f t="shared" si="154"/>
        <v>16.538461538461551</v>
      </c>
      <c r="L311" s="290">
        <f t="shared" si="154"/>
        <v>19.846153846153857</v>
      </c>
      <c r="M311" s="290">
        <f t="shared" si="154"/>
        <v>18.538461538461551</v>
      </c>
      <c r="N311" s="290">
        <f t="shared" si="154"/>
        <v>86.230769230769241</v>
      </c>
      <c r="O311" s="290">
        <f t="shared" si="154"/>
        <v>48.461538461538481</v>
      </c>
      <c r="P311" s="290">
        <f t="shared" si="154"/>
        <v>63</v>
      </c>
      <c r="Q311" s="290">
        <f t="shared" si="154"/>
        <v>78.846153846153797</v>
      </c>
      <c r="R311" s="290">
        <f t="shared" si="154"/>
        <v>34.076923076923087</v>
      </c>
      <c r="S311" s="290">
        <f t="shared" si="154"/>
        <v>60.692307692307708</v>
      </c>
      <c r="T311" s="290">
        <f t="shared" si="154"/>
        <v>193.84615384615387</v>
      </c>
      <c r="U311" s="290">
        <f t="shared" si="154"/>
        <v>305.61538461538476</v>
      </c>
      <c r="V311" s="290">
        <f t="shared" si="154"/>
        <v>337.84615384615392</v>
      </c>
      <c r="W311" s="290">
        <f t="shared" si="154"/>
        <v>306.07692307692304</v>
      </c>
      <c r="X311" s="290">
        <f t="shared" si="154"/>
        <v>123.46153846153845</v>
      </c>
      <c r="Y311" s="290">
        <f t="shared" si="154"/>
        <v>24.769230769230759</v>
      </c>
      <c r="Z311" s="290">
        <f t="shared" si="154"/>
        <v>33.38461538461538</v>
      </c>
      <c r="AA311" s="290">
        <f t="shared" si="154"/>
        <v>72.461538461538481</v>
      </c>
      <c r="AB311" s="290">
        <f t="shared" si="154"/>
        <v>194</v>
      </c>
      <c r="AC311" s="252">
        <f t="shared" ref="AC311:AC313" si="157">(AC$314-AC$32)/13+AC310</f>
        <v>212.92307692307696</v>
      </c>
      <c r="AD311" s="252">
        <f t="shared" si="155"/>
        <v>286.5384615384616</v>
      </c>
      <c r="AE311" s="252">
        <f t="shared" si="155"/>
        <v>325</v>
      </c>
    </row>
    <row r="312" spans="1:31">
      <c r="A312" s="240" t="s">
        <v>236</v>
      </c>
      <c r="B312" s="290">
        <f t="shared" si="153"/>
        <v>89</v>
      </c>
      <c r="C312" s="290">
        <f t="shared" si="156"/>
        <v>64.61538461538467</v>
      </c>
      <c r="D312" s="290">
        <f t="shared" si="154"/>
        <v>67.692307692307693</v>
      </c>
      <c r="E312" s="290">
        <f t="shared" si="154"/>
        <v>70</v>
      </c>
      <c r="F312" s="290">
        <f t="shared" si="154"/>
        <v>70</v>
      </c>
      <c r="G312" s="290">
        <f t="shared" si="154"/>
        <v>62.307692307692285</v>
      </c>
      <c r="H312" s="290">
        <f t="shared" si="154"/>
        <v>60</v>
      </c>
      <c r="I312" s="290">
        <f t="shared" si="154"/>
        <v>36.923076923076934</v>
      </c>
      <c r="J312" s="290">
        <f t="shared" si="154"/>
        <v>22.307692307692299</v>
      </c>
      <c r="K312" s="290">
        <f t="shared" si="154"/>
        <v>16.153846153846168</v>
      </c>
      <c r="L312" s="290">
        <f t="shared" si="154"/>
        <v>20.384615384615397</v>
      </c>
      <c r="M312" s="290">
        <f t="shared" si="154"/>
        <v>18.153846153846168</v>
      </c>
      <c r="N312" s="290">
        <f t="shared" si="154"/>
        <v>93.923076923076934</v>
      </c>
      <c r="O312" s="290">
        <f t="shared" si="154"/>
        <v>40.846153846153868</v>
      </c>
      <c r="P312" s="290">
        <f t="shared" si="154"/>
        <v>68</v>
      </c>
      <c r="Q312" s="290">
        <f t="shared" si="154"/>
        <v>78.38461538461533</v>
      </c>
      <c r="R312" s="290">
        <f t="shared" si="154"/>
        <v>29.307692307692317</v>
      </c>
      <c r="S312" s="290">
        <f t="shared" si="154"/>
        <v>65.769230769230788</v>
      </c>
      <c r="T312" s="290">
        <f t="shared" si="154"/>
        <v>206.38461538461542</v>
      </c>
      <c r="U312" s="290">
        <f t="shared" si="154"/>
        <v>312.46153846153862</v>
      </c>
      <c r="V312" s="290">
        <f t="shared" si="154"/>
        <v>338.38461538461547</v>
      </c>
      <c r="W312" s="290">
        <f t="shared" si="154"/>
        <v>302.30769230769226</v>
      </c>
      <c r="X312" s="290">
        <f t="shared" si="154"/>
        <v>104.84615384615384</v>
      </c>
      <c r="Y312" s="290">
        <f t="shared" si="154"/>
        <v>22.076923076923066</v>
      </c>
      <c r="Z312" s="290">
        <f t="shared" si="154"/>
        <v>35.538461538461533</v>
      </c>
      <c r="AA312" s="290">
        <f t="shared" si="154"/>
        <v>75.846153846153868</v>
      </c>
      <c r="AB312" s="290">
        <f t="shared" si="154"/>
        <v>206</v>
      </c>
      <c r="AC312" s="252">
        <f t="shared" si="157"/>
        <v>209.69230769230774</v>
      </c>
      <c r="AD312" s="252">
        <f t="shared" si="155"/>
        <v>296.15384615384625</v>
      </c>
      <c r="AE312" s="252">
        <f t="shared" si="155"/>
        <v>325</v>
      </c>
    </row>
    <row r="313" spans="1:31">
      <c r="A313" s="240" t="s">
        <v>237</v>
      </c>
      <c r="B313" s="290">
        <f t="shared" si="153"/>
        <v>86</v>
      </c>
      <c r="C313" s="290">
        <f t="shared" si="156"/>
        <v>63.07692307692313</v>
      </c>
      <c r="D313" s="290">
        <f t="shared" si="154"/>
        <v>68.461538461538467</v>
      </c>
      <c r="E313" s="290">
        <f t="shared" si="154"/>
        <v>70</v>
      </c>
      <c r="F313" s="290">
        <f t="shared" si="154"/>
        <v>70</v>
      </c>
      <c r="G313" s="290">
        <f t="shared" si="154"/>
        <v>61.538461538461519</v>
      </c>
      <c r="H313" s="290">
        <f t="shared" si="154"/>
        <v>60</v>
      </c>
      <c r="I313" s="290">
        <f t="shared" si="154"/>
        <v>34.615384615384627</v>
      </c>
      <c r="J313" s="290">
        <f t="shared" si="154"/>
        <v>21.538461538461529</v>
      </c>
      <c r="K313" s="290">
        <f t="shared" si="154"/>
        <v>15.769230769230782</v>
      </c>
      <c r="L313" s="290">
        <f t="shared" si="154"/>
        <v>20.923076923076938</v>
      </c>
      <c r="M313" s="290">
        <f t="shared" si="154"/>
        <v>17.769230769230784</v>
      </c>
      <c r="N313" s="290">
        <f t="shared" si="154"/>
        <v>101.61538461538463</v>
      </c>
      <c r="O313" s="290">
        <f t="shared" si="154"/>
        <v>33.230769230769255</v>
      </c>
      <c r="P313" s="290">
        <f t="shared" si="154"/>
        <v>73</v>
      </c>
      <c r="Q313" s="290">
        <f t="shared" si="154"/>
        <v>77.923076923076863</v>
      </c>
      <c r="R313" s="290">
        <f t="shared" si="154"/>
        <v>24.538461538461547</v>
      </c>
      <c r="S313" s="290">
        <f t="shared" si="154"/>
        <v>70.846153846153868</v>
      </c>
      <c r="T313" s="290">
        <f t="shared" si="154"/>
        <v>218.92307692307696</v>
      </c>
      <c r="U313" s="290">
        <f t="shared" si="154"/>
        <v>319.30769230769249</v>
      </c>
      <c r="V313" s="290">
        <f t="shared" si="154"/>
        <v>338.92307692307702</v>
      </c>
      <c r="W313" s="290">
        <f t="shared" si="154"/>
        <v>298.53846153846149</v>
      </c>
      <c r="X313" s="290">
        <f t="shared" si="154"/>
        <v>86.230769230769226</v>
      </c>
      <c r="Y313" s="290">
        <f t="shared" si="154"/>
        <v>19.384615384615373</v>
      </c>
      <c r="Z313" s="290">
        <f t="shared" si="154"/>
        <v>37.692307692307686</v>
      </c>
      <c r="AA313" s="290">
        <f t="shared" ref="AA313:AB313" si="158">(AA$314-Z$314)/13+AA312</f>
        <v>79.230769230769255</v>
      </c>
      <c r="AB313" s="290">
        <f t="shared" si="158"/>
        <v>218</v>
      </c>
      <c r="AC313" s="252">
        <f t="shared" si="157"/>
        <v>206.46153846153851</v>
      </c>
      <c r="AD313" s="252">
        <f t="shared" si="155"/>
        <v>305.76923076923089</v>
      </c>
      <c r="AE313" s="252">
        <f t="shared" si="155"/>
        <v>325</v>
      </c>
    </row>
    <row r="314" spans="1:31" ht="15.75" thickBot="1">
      <c r="A314" s="240" t="s">
        <v>238</v>
      </c>
      <c r="B314" s="146">
        <f>B42</f>
        <v>80</v>
      </c>
      <c r="C314" s="146">
        <f t="shared" ref="C314:AE314" si="159">C42</f>
        <v>60</v>
      </c>
      <c r="D314" s="146">
        <f t="shared" si="159"/>
        <v>70</v>
      </c>
      <c r="E314" s="146">
        <f t="shared" si="159"/>
        <v>70</v>
      </c>
      <c r="F314" s="146">
        <f t="shared" si="159"/>
        <v>70</v>
      </c>
      <c r="G314" s="146">
        <f t="shared" si="159"/>
        <v>60</v>
      </c>
      <c r="H314" s="146">
        <f t="shared" si="159"/>
        <v>60</v>
      </c>
      <c r="I314" s="146">
        <f t="shared" si="159"/>
        <v>30</v>
      </c>
      <c r="J314" s="146">
        <f t="shared" si="159"/>
        <v>20</v>
      </c>
      <c r="K314" s="146">
        <f t="shared" si="159"/>
        <v>15</v>
      </c>
      <c r="L314" s="146">
        <f t="shared" si="159"/>
        <v>22</v>
      </c>
      <c r="M314" s="146">
        <f t="shared" si="159"/>
        <v>17</v>
      </c>
      <c r="N314" s="146">
        <f t="shared" si="159"/>
        <v>117</v>
      </c>
      <c r="O314" s="146">
        <f t="shared" si="159"/>
        <v>18</v>
      </c>
      <c r="P314" s="146">
        <f t="shared" si="159"/>
        <v>83</v>
      </c>
      <c r="Q314" s="146">
        <f t="shared" si="159"/>
        <v>77</v>
      </c>
      <c r="R314" s="146">
        <f t="shared" si="159"/>
        <v>15</v>
      </c>
      <c r="S314" s="146">
        <f t="shared" si="159"/>
        <v>81</v>
      </c>
      <c r="T314" s="146">
        <f t="shared" si="159"/>
        <v>244</v>
      </c>
      <c r="U314" s="146">
        <f t="shared" si="159"/>
        <v>333</v>
      </c>
      <c r="V314" s="146">
        <f t="shared" si="159"/>
        <v>340</v>
      </c>
      <c r="W314" s="146">
        <f t="shared" si="159"/>
        <v>291</v>
      </c>
      <c r="X314" s="146">
        <f t="shared" si="159"/>
        <v>49</v>
      </c>
      <c r="Y314" s="146">
        <f t="shared" si="159"/>
        <v>14</v>
      </c>
      <c r="Z314" s="146">
        <f t="shared" si="159"/>
        <v>42</v>
      </c>
      <c r="AA314" s="146">
        <f t="shared" si="159"/>
        <v>86</v>
      </c>
      <c r="AB314" s="146">
        <f t="shared" si="159"/>
        <v>242</v>
      </c>
      <c r="AC314" s="146">
        <f t="shared" si="159"/>
        <v>200</v>
      </c>
      <c r="AD314" s="146">
        <f t="shared" si="159"/>
        <v>325</v>
      </c>
      <c r="AE314" s="146">
        <f t="shared" si="159"/>
        <v>325</v>
      </c>
    </row>
    <row r="315" spans="1:31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  <c r="AE315" s="248"/>
    </row>
    <row r="316" spans="1:31" ht="15.75" thickBot="1">
      <c r="A316" s="235" t="s">
        <v>270</v>
      </c>
    </row>
    <row r="317" spans="1:31" ht="15.75" thickBot="1">
      <c r="A317" s="236"/>
      <c r="B317" s="237" t="str">
        <f>B$2</f>
        <v xml:space="preserve">93/94 </v>
      </c>
      <c r="C317" s="237" t="str">
        <f t="shared" ref="C317:AE317" si="160">C$2</f>
        <v xml:space="preserve">94/95 </v>
      </c>
      <c r="D317" s="237" t="str">
        <f t="shared" si="160"/>
        <v xml:space="preserve">95/96 </v>
      </c>
      <c r="E317" s="237" t="str">
        <f t="shared" si="160"/>
        <v xml:space="preserve">96/97 </v>
      </c>
      <c r="F317" s="237" t="str">
        <f t="shared" si="160"/>
        <v xml:space="preserve">97/98 </v>
      </c>
      <c r="G317" s="237" t="str">
        <f t="shared" si="160"/>
        <v xml:space="preserve">98/99 </v>
      </c>
      <c r="H317" s="237" t="str">
        <f t="shared" si="160"/>
        <v xml:space="preserve">99/00 </v>
      </c>
      <c r="I317" s="237" t="str">
        <f t="shared" si="160"/>
        <v xml:space="preserve">00/01 </v>
      </c>
      <c r="J317" s="237" t="str">
        <f t="shared" si="160"/>
        <v xml:space="preserve">01/02 </v>
      </c>
      <c r="K317" s="237" t="str">
        <f t="shared" si="160"/>
        <v xml:space="preserve">02/03 </v>
      </c>
      <c r="L317" s="237" t="str">
        <f t="shared" si="160"/>
        <v xml:space="preserve">03/04 </v>
      </c>
      <c r="M317" s="237" t="str">
        <f t="shared" si="160"/>
        <v xml:space="preserve">04/05 </v>
      </c>
      <c r="N317" s="237" t="str">
        <f t="shared" si="160"/>
        <v xml:space="preserve">05/06 </v>
      </c>
      <c r="O317" s="237" t="str">
        <f t="shared" si="160"/>
        <v xml:space="preserve">06/07 </v>
      </c>
      <c r="P317" s="237" t="str">
        <f t="shared" si="160"/>
        <v xml:space="preserve">07/08 </v>
      </c>
      <c r="Q317" s="237" t="str">
        <f t="shared" si="160"/>
        <v xml:space="preserve">08/09 </v>
      </c>
      <c r="R317" s="237" t="str">
        <f t="shared" si="160"/>
        <v xml:space="preserve">09/10 </v>
      </c>
      <c r="S317" s="237" t="str">
        <f t="shared" si="160"/>
        <v xml:space="preserve">10/11 </v>
      </c>
      <c r="T317" s="237" t="str">
        <f t="shared" si="160"/>
        <v xml:space="preserve">11/12 </v>
      </c>
      <c r="U317" s="237" t="str">
        <f t="shared" si="160"/>
        <v xml:space="preserve">12/13 </v>
      </c>
      <c r="V317" s="237" t="str">
        <f t="shared" si="160"/>
        <v xml:space="preserve">13/14 </v>
      </c>
      <c r="W317" s="237" t="str">
        <f t="shared" si="160"/>
        <v xml:space="preserve">14/15 </v>
      </c>
      <c r="X317" s="237" t="str">
        <f t="shared" si="160"/>
        <v xml:space="preserve">15/16 </v>
      </c>
      <c r="Y317" s="237" t="str">
        <f t="shared" si="160"/>
        <v xml:space="preserve">16/17 </v>
      </c>
      <c r="Z317" s="237" t="str">
        <f t="shared" si="160"/>
        <v xml:space="preserve">17/18 </v>
      </c>
      <c r="AA317" s="237" t="str">
        <f t="shared" si="160"/>
        <v xml:space="preserve">18/19 </v>
      </c>
      <c r="AB317" s="237" t="str">
        <f t="shared" si="160"/>
        <v xml:space="preserve">19/20 </v>
      </c>
      <c r="AC317" s="237" t="str">
        <f t="shared" si="160"/>
        <v xml:space="preserve">20/21 </v>
      </c>
      <c r="AD317" s="237" t="str">
        <f t="shared" si="160"/>
        <v xml:space="preserve">21/22 </v>
      </c>
      <c r="AE317" s="237" t="str">
        <f t="shared" si="160"/>
        <v xml:space="preserve">22/23 </v>
      </c>
    </row>
    <row r="318" spans="1:31">
      <c r="A318" s="240" t="s">
        <v>239</v>
      </c>
    </row>
    <row r="319" spans="1:31">
      <c r="A319" s="240" t="s">
        <v>240</v>
      </c>
    </row>
    <row r="320" spans="1:31">
      <c r="A320" s="240" t="s">
        <v>241</v>
      </c>
    </row>
    <row r="321" spans="1:31">
      <c r="A321" s="240" t="s">
        <v>231</v>
      </c>
    </row>
    <row r="322" spans="1:31">
      <c r="A322" s="240" t="s">
        <v>232</v>
      </c>
    </row>
    <row r="323" spans="1:31">
      <c r="A323" s="240" t="s">
        <v>233</v>
      </c>
    </row>
    <row r="324" spans="1:31">
      <c r="A324" s="240" t="s">
        <v>234</v>
      </c>
    </row>
    <row r="325" spans="1:31">
      <c r="A325" s="240" t="s">
        <v>46</v>
      </c>
    </row>
    <row r="326" spans="1:31">
      <c r="A326" s="240" t="s">
        <v>235</v>
      </c>
    </row>
    <row r="327" spans="1:31">
      <c r="A327" s="240" t="s">
        <v>236</v>
      </c>
    </row>
    <row r="328" spans="1:31">
      <c r="A328" s="240" t="s">
        <v>237</v>
      </c>
    </row>
    <row r="329" spans="1:31">
      <c r="A329" s="240" t="s">
        <v>238</v>
      </c>
    </row>
    <row r="330" spans="1:31" ht="15.75" thickBot="1">
      <c r="A330" s="240" t="s">
        <v>255</v>
      </c>
    </row>
    <row r="331" spans="1:31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  <c r="AD331" s="248"/>
      <c r="AE331" s="24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37F7-A66D-4901-80B9-BBAEB6874269}">
  <dimension ref="A1:BL331"/>
  <sheetViews>
    <sheetView zoomScale="85" zoomScaleNormal="85" workbookViewId="0">
      <pane xSplit="1" ySplit="2" topLeftCell="B3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2" customWidth="1"/>
    <col min="32" max="32" width="11" customWidth="1"/>
  </cols>
  <sheetData>
    <row r="1" spans="1:64" ht="15.75" thickBot="1">
      <c r="A1" s="418" t="s">
        <v>322</v>
      </c>
      <c r="AF1" s="300"/>
      <c r="AG1" s="390"/>
      <c r="AH1" s="300"/>
      <c r="AI1" s="300"/>
      <c r="AJ1" s="300"/>
      <c r="AK1" s="302"/>
      <c r="AM1" s="300"/>
      <c r="AN1" s="303"/>
      <c r="AP1" s="303"/>
      <c r="AQ1" s="300"/>
      <c r="AR1" s="300"/>
      <c r="AS1" s="300"/>
    </row>
    <row r="2" spans="1:64" ht="15.75" thickBot="1">
      <c r="A2" s="419"/>
      <c r="B2" s="237" t="s">
        <v>272</v>
      </c>
      <c r="C2" s="420" t="s">
        <v>273</v>
      </c>
      <c r="D2" s="237" t="s">
        <v>274</v>
      </c>
      <c r="E2" s="420" t="s">
        <v>275</v>
      </c>
      <c r="F2" s="237" t="s">
        <v>276</v>
      </c>
      <c r="G2" s="420" t="s">
        <v>277</v>
      </c>
      <c r="H2" s="237" t="s">
        <v>278</v>
      </c>
      <c r="I2" s="420" t="s">
        <v>279</v>
      </c>
      <c r="J2" s="237" t="s">
        <v>280</v>
      </c>
      <c r="K2" s="420" t="s">
        <v>281</v>
      </c>
      <c r="L2" s="237" t="s">
        <v>282</v>
      </c>
      <c r="M2" s="420" t="s">
        <v>283</v>
      </c>
      <c r="N2" s="237" t="s">
        <v>284</v>
      </c>
      <c r="O2" s="420" t="s">
        <v>285</v>
      </c>
      <c r="P2" s="237" t="s">
        <v>286</v>
      </c>
      <c r="Q2" s="420" t="s">
        <v>287</v>
      </c>
      <c r="R2" s="237" t="s">
        <v>288</v>
      </c>
      <c r="S2" s="420" t="s">
        <v>289</v>
      </c>
      <c r="T2" s="237" t="s">
        <v>290</v>
      </c>
      <c r="U2" s="420" t="s">
        <v>291</v>
      </c>
      <c r="V2" s="237" t="s">
        <v>292</v>
      </c>
      <c r="W2" s="420" t="s">
        <v>293</v>
      </c>
      <c r="X2" s="237" t="s">
        <v>294</v>
      </c>
      <c r="Y2" s="420" t="s">
        <v>295</v>
      </c>
      <c r="Z2" s="237" t="s">
        <v>296</v>
      </c>
      <c r="AA2" s="420" t="s">
        <v>297</v>
      </c>
      <c r="AB2" s="420" t="s">
        <v>298</v>
      </c>
      <c r="AC2" s="420" t="s">
        <v>299</v>
      </c>
      <c r="AF2" s="392"/>
      <c r="AG2" s="308"/>
      <c r="AH2" s="302"/>
      <c r="AJ2" s="302"/>
      <c r="AN2" s="302"/>
      <c r="AP2" s="302"/>
      <c r="AQ2" s="302"/>
      <c r="AR2" s="302"/>
      <c r="AS2" s="302"/>
    </row>
    <row r="3" spans="1:64" ht="16.5">
      <c r="A3" s="234" t="s">
        <v>331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F3" s="377"/>
      <c r="AG3" s="379"/>
      <c r="AH3" s="379"/>
      <c r="AI3" s="379"/>
      <c r="AJ3" s="379"/>
      <c r="AK3" s="379"/>
      <c r="AL3" s="379"/>
      <c r="AM3" s="379"/>
      <c r="AN3" s="379"/>
      <c r="AO3" s="379"/>
      <c r="AP3" s="379"/>
      <c r="AQ3" s="379"/>
      <c r="AR3" s="379"/>
      <c r="AS3" s="379"/>
      <c r="AT3" s="379"/>
      <c r="AU3" s="379"/>
      <c r="AV3" s="379"/>
      <c r="AW3" s="379"/>
      <c r="AX3" s="379"/>
      <c r="AY3" s="379"/>
      <c r="AZ3" s="379"/>
      <c r="BA3" s="379"/>
      <c r="BB3" s="379"/>
      <c r="BC3" s="379"/>
      <c r="BD3" s="379"/>
      <c r="BE3" s="379"/>
      <c r="BF3" s="379"/>
      <c r="BG3" s="379"/>
      <c r="BH3" s="379"/>
      <c r="BI3" s="379"/>
      <c r="BJ3" s="379"/>
      <c r="BK3" s="379"/>
      <c r="BL3" s="379"/>
    </row>
    <row r="4" spans="1:64" ht="16.5">
      <c r="A4" s="234" t="s">
        <v>213</v>
      </c>
      <c r="B4" s="87">
        <f>AJ4</f>
        <v>0</v>
      </c>
      <c r="C4" s="87">
        <f t="shared" ref="C4:R5" si="0">AK4</f>
        <v>0</v>
      </c>
      <c r="D4" s="87">
        <f t="shared" si="0"/>
        <v>0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0</v>
      </c>
      <c r="Q4" s="87">
        <f t="shared" si="0"/>
        <v>0</v>
      </c>
      <c r="R4" s="87">
        <f t="shared" si="0"/>
        <v>0</v>
      </c>
      <c r="S4" s="87">
        <f t="shared" ref="S4:Z5" si="1">BA4</f>
        <v>0</v>
      </c>
      <c r="T4" s="87">
        <f t="shared" si="1"/>
        <v>0</v>
      </c>
      <c r="U4" s="87">
        <f t="shared" si="1"/>
        <v>0</v>
      </c>
      <c r="V4" s="87">
        <f t="shared" si="1"/>
        <v>0</v>
      </c>
      <c r="W4" s="87">
        <f t="shared" si="1"/>
        <v>0</v>
      </c>
      <c r="X4" s="87">
        <f t="shared" si="1"/>
        <v>0</v>
      </c>
      <c r="Y4" s="87">
        <f t="shared" si="1"/>
        <v>0</v>
      </c>
      <c r="Z4" s="87">
        <f t="shared" si="1"/>
        <v>0</v>
      </c>
      <c r="AA4" s="394" t="e">
        <f>MROUND(AA5/(SUM(C5:Z5)/SUM(C4:Z4)),25)</f>
        <v>#DIV/0!</v>
      </c>
      <c r="AB4" s="394" t="e">
        <f>MROUND(AB5/(SUM(D5:AA5)/SUM(D4:AA4)),25)</f>
        <v>#DIV/0!</v>
      </c>
      <c r="AC4" s="394" t="e">
        <f>MROUND(AC5/(SUM(E5:AB5)/SUM(E4:AB4)),25)</f>
        <v>#DIV/0!</v>
      </c>
      <c r="AD4" s="394" t="e">
        <f>MROUND(AD5/(SUM(F5:AC5)/SUM(F4:AC4)),25)</f>
        <v>#DIV/0!</v>
      </c>
      <c r="AF4" s="315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</row>
    <row r="5" spans="1:64" ht="16.5">
      <c r="A5" s="234" t="s">
        <v>2</v>
      </c>
      <c r="B5" s="87">
        <f>AJ5</f>
        <v>0</v>
      </c>
      <c r="C5" s="87">
        <f t="shared" si="0"/>
        <v>0</v>
      </c>
      <c r="D5" s="87">
        <f t="shared" si="0"/>
        <v>0</v>
      </c>
      <c r="E5" s="87">
        <f t="shared" si="0"/>
        <v>0</v>
      </c>
      <c r="F5" s="87">
        <f t="shared" si="0"/>
        <v>0</v>
      </c>
      <c r="G5" s="87">
        <f t="shared" si="0"/>
        <v>0</v>
      </c>
      <c r="H5" s="87">
        <f t="shared" si="0"/>
        <v>0</v>
      </c>
      <c r="I5" s="87">
        <f t="shared" si="0"/>
        <v>0</v>
      </c>
      <c r="J5" s="87">
        <f t="shared" si="0"/>
        <v>0</v>
      </c>
      <c r="K5" s="87">
        <f t="shared" si="0"/>
        <v>0</v>
      </c>
      <c r="L5" s="87">
        <f t="shared" si="0"/>
        <v>0</v>
      </c>
      <c r="M5" s="87">
        <f t="shared" si="0"/>
        <v>0</v>
      </c>
      <c r="N5" s="87">
        <f t="shared" si="0"/>
        <v>0</v>
      </c>
      <c r="O5" s="87">
        <f t="shared" si="0"/>
        <v>0</v>
      </c>
      <c r="P5" s="87">
        <f t="shared" si="0"/>
        <v>0</v>
      </c>
      <c r="Q5" s="87">
        <f t="shared" si="0"/>
        <v>0</v>
      </c>
      <c r="R5" s="87">
        <f t="shared" si="0"/>
        <v>0</v>
      </c>
      <c r="S5" s="87">
        <f t="shared" si="1"/>
        <v>0</v>
      </c>
      <c r="T5" s="87">
        <f t="shared" si="1"/>
        <v>0</v>
      </c>
      <c r="U5" s="87">
        <f t="shared" si="1"/>
        <v>0</v>
      </c>
      <c r="V5" s="87">
        <f t="shared" si="1"/>
        <v>0</v>
      </c>
      <c r="W5" s="87">
        <f t="shared" si="1"/>
        <v>0</v>
      </c>
      <c r="X5" s="87">
        <f t="shared" si="1"/>
        <v>0</v>
      </c>
      <c r="Y5" s="87">
        <f t="shared" si="1"/>
        <v>0</v>
      </c>
      <c r="Z5" s="87">
        <f t="shared" si="1"/>
        <v>0</v>
      </c>
      <c r="AA5" s="396">
        <f>MROUND(FORECAST(AA45,B5:Z5,B45:Z45),5)</f>
        <v>0</v>
      </c>
      <c r="AB5" s="396">
        <f>MROUND(FORECAST(AB45,C5:AA5,C45:AA45),5)</f>
        <v>0</v>
      </c>
      <c r="AC5" s="396">
        <f>MROUND(FORECAST(AC45,D5:AB5,D45:AB45),5)</f>
        <v>0</v>
      </c>
      <c r="AD5" s="396">
        <f>MROUND(FORECAST(AD45,E5:AC5,E45:AC45),5)</f>
        <v>0</v>
      </c>
      <c r="AF5" s="315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</row>
    <row r="6" spans="1:64" s="219" customFormat="1" ht="13.5">
      <c r="A6" s="240" t="s">
        <v>214</v>
      </c>
      <c r="B6" s="421" t="e">
        <f>B5/B4</f>
        <v>#DIV/0!</v>
      </c>
      <c r="C6" s="421" t="e">
        <f t="shared" ref="C6:AC6" si="2">C5/C4</f>
        <v>#DIV/0!</v>
      </c>
      <c r="D6" s="421" t="e">
        <f t="shared" si="2"/>
        <v>#DIV/0!</v>
      </c>
      <c r="E6" s="421" t="e">
        <f t="shared" si="2"/>
        <v>#DIV/0!</v>
      </c>
      <c r="F6" s="421" t="e">
        <f t="shared" si="2"/>
        <v>#DIV/0!</v>
      </c>
      <c r="G6" s="421" t="e">
        <f t="shared" si="2"/>
        <v>#DIV/0!</v>
      </c>
      <c r="H6" s="421" t="e">
        <f t="shared" si="2"/>
        <v>#DIV/0!</v>
      </c>
      <c r="I6" s="421" t="e">
        <f t="shared" si="2"/>
        <v>#DIV/0!</v>
      </c>
      <c r="J6" s="421" t="e">
        <f t="shared" si="2"/>
        <v>#DIV/0!</v>
      </c>
      <c r="K6" s="421" t="e">
        <f t="shared" si="2"/>
        <v>#DIV/0!</v>
      </c>
      <c r="L6" s="421" t="e">
        <f t="shared" si="2"/>
        <v>#DIV/0!</v>
      </c>
      <c r="M6" s="421" t="e">
        <f t="shared" si="2"/>
        <v>#DIV/0!</v>
      </c>
      <c r="N6" s="421" t="e">
        <f t="shared" si="2"/>
        <v>#DIV/0!</v>
      </c>
      <c r="O6" s="421" t="e">
        <f t="shared" si="2"/>
        <v>#DIV/0!</v>
      </c>
      <c r="P6" s="421" t="e">
        <f t="shared" si="2"/>
        <v>#DIV/0!</v>
      </c>
      <c r="Q6" s="421" t="e">
        <f t="shared" si="2"/>
        <v>#DIV/0!</v>
      </c>
      <c r="R6" s="421" t="e">
        <f t="shared" si="2"/>
        <v>#DIV/0!</v>
      </c>
      <c r="S6" s="421" t="e">
        <f t="shared" si="2"/>
        <v>#DIV/0!</v>
      </c>
      <c r="T6" s="421" t="e">
        <f t="shared" si="2"/>
        <v>#DIV/0!</v>
      </c>
      <c r="U6" s="421" t="e">
        <f t="shared" si="2"/>
        <v>#DIV/0!</v>
      </c>
      <c r="V6" s="421" t="e">
        <f t="shared" si="2"/>
        <v>#DIV/0!</v>
      </c>
      <c r="W6" s="421" t="e">
        <f t="shared" si="2"/>
        <v>#DIV/0!</v>
      </c>
      <c r="X6" s="421" t="e">
        <f t="shared" si="2"/>
        <v>#DIV/0!</v>
      </c>
      <c r="Y6" s="421" t="e">
        <f t="shared" si="2"/>
        <v>#DIV/0!</v>
      </c>
      <c r="Z6" s="421" t="e">
        <f t="shared" si="2"/>
        <v>#DIV/0!</v>
      </c>
      <c r="AA6" s="422" t="e">
        <f t="shared" si="2"/>
        <v>#DIV/0!</v>
      </c>
      <c r="AB6" s="422" t="e">
        <f t="shared" si="2"/>
        <v>#DIV/0!</v>
      </c>
      <c r="AC6" s="422" t="e">
        <f t="shared" si="2"/>
        <v>#DIV/0!</v>
      </c>
      <c r="AD6" s="217"/>
      <c r="AF6" s="324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</row>
    <row r="7" spans="1:64" ht="16.5">
      <c r="A7" s="234" t="s">
        <v>215</v>
      </c>
      <c r="B7" s="423" t="e">
        <f t="shared" ref="B7:AA7" si="3">B9/B5</f>
        <v>#DIV/0!</v>
      </c>
      <c r="C7" s="423" t="e">
        <f t="shared" si="3"/>
        <v>#DIV/0!</v>
      </c>
      <c r="D7" s="423" t="e">
        <f t="shared" si="3"/>
        <v>#DIV/0!</v>
      </c>
      <c r="E7" s="423" t="e">
        <f t="shared" si="3"/>
        <v>#DIV/0!</v>
      </c>
      <c r="F7" s="423" t="e">
        <f t="shared" si="3"/>
        <v>#DIV/0!</v>
      </c>
      <c r="G7" s="423" t="e">
        <f t="shared" si="3"/>
        <v>#DIV/0!</v>
      </c>
      <c r="H7" s="423" t="e">
        <f t="shared" si="3"/>
        <v>#DIV/0!</v>
      </c>
      <c r="I7" s="423" t="e">
        <f t="shared" si="3"/>
        <v>#DIV/0!</v>
      </c>
      <c r="J7" s="423" t="e">
        <f t="shared" si="3"/>
        <v>#DIV/0!</v>
      </c>
      <c r="K7" s="423" t="e">
        <f t="shared" si="3"/>
        <v>#DIV/0!</v>
      </c>
      <c r="L7" s="423" t="e">
        <f t="shared" si="3"/>
        <v>#DIV/0!</v>
      </c>
      <c r="M7" s="423" t="e">
        <f t="shared" si="3"/>
        <v>#DIV/0!</v>
      </c>
      <c r="N7" s="423" t="e">
        <f t="shared" si="3"/>
        <v>#DIV/0!</v>
      </c>
      <c r="O7" s="423" t="e">
        <f t="shared" si="3"/>
        <v>#DIV/0!</v>
      </c>
      <c r="P7" s="423" t="e">
        <f t="shared" si="3"/>
        <v>#DIV/0!</v>
      </c>
      <c r="Q7" s="423" t="e">
        <f t="shared" si="3"/>
        <v>#DIV/0!</v>
      </c>
      <c r="R7" s="423" t="e">
        <f t="shared" si="3"/>
        <v>#DIV/0!</v>
      </c>
      <c r="S7" s="423" t="e">
        <f t="shared" si="3"/>
        <v>#DIV/0!</v>
      </c>
      <c r="T7" s="423" t="e">
        <f t="shared" si="3"/>
        <v>#DIV/0!</v>
      </c>
      <c r="U7" s="423" t="e">
        <f t="shared" si="3"/>
        <v>#DIV/0!</v>
      </c>
      <c r="V7" s="423" t="e">
        <f t="shared" si="3"/>
        <v>#DIV/0!</v>
      </c>
      <c r="W7" s="423" t="e">
        <f t="shared" si="3"/>
        <v>#DIV/0!</v>
      </c>
      <c r="X7" s="423" t="e">
        <f t="shared" si="3"/>
        <v>#DIV/0!</v>
      </c>
      <c r="Y7" s="423" t="e">
        <f t="shared" si="3"/>
        <v>#DIV/0!</v>
      </c>
      <c r="Z7" s="423" t="e">
        <f t="shared" si="3"/>
        <v>#DIV/0!</v>
      </c>
      <c r="AA7" s="424" t="e">
        <f t="shared" si="3"/>
        <v>#DIV/0!</v>
      </c>
      <c r="AB7" s="424" t="e">
        <f>FORECAST(AB45,C7:AA7,C45:AA45)</f>
        <v>#DIV/0!</v>
      </c>
      <c r="AC7" s="424" t="e">
        <f>FORECAST(AC45,D7:AB7,D45:AB45)</f>
        <v>#DIV/0!</v>
      </c>
      <c r="AF7" s="315"/>
    </row>
    <row r="8" spans="1:64" ht="16.5">
      <c r="A8" s="425" t="s">
        <v>333</v>
      </c>
      <c r="B8" s="426">
        <v>0</v>
      </c>
      <c r="C8" s="426">
        <f>B17</f>
        <v>0</v>
      </c>
      <c r="D8" s="426">
        <f t="shared" ref="D8:AC8" si="4">C17</f>
        <v>0</v>
      </c>
      <c r="E8" s="426">
        <f t="shared" si="4"/>
        <v>50</v>
      </c>
      <c r="F8" s="426">
        <f t="shared" si="4"/>
        <v>0</v>
      </c>
      <c r="G8" s="426">
        <f t="shared" si="4"/>
        <v>8</v>
      </c>
      <c r="H8" s="426">
        <f t="shared" si="4"/>
        <v>10</v>
      </c>
      <c r="I8" s="426">
        <f t="shared" si="4"/>
        <v>87</v>
      </c>
      <c r="J8" s="426">
        <f t="shared" si="4"/>
        <v>15</v>
      </c>
      <c r="K8" s="426">
        <f t="shared" si="4"/>
        <v>5</v>
      </c>
      <c r="L8" s="426">
        <f t="shared" si="4"/>
        <v>25</v>
      </c>
      <c r="M8" s="426">
        <f t="shared" si="4"/>
        <v>129</v>
      </c>
      <c r="N8" s="426">
        <f t="shared" si="4"/>
        <v>113</v>
      </c>
      <c r="O8" s="426">
        <f t="shared" si="4"/>
        <v>185</v>
      </c>
      <c r="P8" s="426">
        <f t="shared" si="4"/>
        <v>622</v>
      </c>
      <c r="Q8" s="426">
        <f t="shared" si="4"/>
        <v>445</v>
      </c>
      <c r="R8" s="426">
        <f t="shared" si="4"/>
        <v>384</v>
      </c>
      <c r="S8" s="426">
        <f t="shared" si="4"/>
        <v>483</v>
      </c>
      <c r="T8" s="426">
        <f t="shared" si="4"/>
        <v>146</v>
      </c>
      <c r="U8" s="426">
        <f t="shared" si="4"/>
        <v>151</v>
      </c>
      <c r="V8" s="426">
        <f t="shared" si="4"/>
        <v>314</v>
      </c>
      <c r="W8" s="426">
        <f t="shared" si="4"/>
        <v>449</v>
      </c>
      <c r="X8" s="426">
        <f t="shared" si="4"/>
        <v>149</v>
      </c>
      <c r="Y8" s="426">
        <f t="shared" si="4"/>
        <v>168</v>
      </c>
      <c r="Z8" s="426">
        <f t="shared" si="4"/>
        <v>421</v>
      </c>
      <c r="AA8" s="427">
        <f t="shared" si="4"/>
        <v>211</v>
      </c>
      <c r="AB8" s="427">
        <f t="shared" si="4"/>
        <v>150</v>
      </c>
      <c r="AC8" s="427">
        <f t="shared" si="4"/>
        <v>150</v>
      </c>
      <c r="AF8" s="315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</row>
    <row r="9" spans="1:64" ht="16.5">
      <c r="A9" s="234" t="s">
        <v>5</v>
      </c>
      <c r="B9" s="87">
        <f>AJ8</f>
        <v>0</v>
      </c>
      <c r="C9" s="87">
        <f t="shared" ref="C9:AC9" si="5">AK8</f>
        <v>0</v>
      </c>
      <c r="D9" s="87">
        <f t="shared" si="5"/>
        <v>0</v>
      </c>
      <c r="E9" s="87">
        <f t="shared" si="5"/>
        <v>0</v>
      </c>
      <c r="F9" s="87">
        <f t="shared" si="5"/>
        <v>0</v>
      </c>
      <c r="G9" s="87">
        <f t="shared" si="5"/>
        <v>0</v>
      </c>
      <c r="H9" s="87">
        <f t="shared" si="5"/>
        <v>0</v>
      </c>
      <c r="I9" s="87">
        <f t="shared" si="5"/>
        <v>0</v>
      </c>
      <c r="J9" s="87">
        <f t="shared" si="5"/>
        <v>0</v>
      </c>
      <c r="K9" s="87">
        <f t="shared" si="5"/>
        <v>0</v>
      </c>
      <c r="L9" s="87">
        <f t="shared" si="5"/>
        <v>0</v>
      </c>
      <c r="M9" s="87">
        <f t="shared" si="5"/>
        <v>0</v>
      </c>
      <c r="N9" s="87">
        <f t="shared" si="5"/>
        <v>0</v>
      </c>
      <c r="O9" s="87">
        <f t="shared" si="5"/>
        <v>0</v>
      </c>
      <c r="P9" s="87">
        <f t="shared" si="5"/>
        <v>0</v>
      </c>
      <c r="Q9" s="87">
        <f t="shared" si="5"/>
        <v>0</v>
      </c>
      <c r="R9" s="87">
        <f t="shared" si="5"/>
        <v>0</v>
      </c>
      <c r="S9" s="87">
        <f t="shared" si="5"/>
        <v>0</v>
      </c>
      <c r="T9" s="87">
        <f t="shared" si="5"/>
        <v>0</v>
      </c>
      <c r="U9" s="87">
        <f t="shared" si="5"/>
        <v>0</v>
      </c>
      <c r="V9" s="87">
        <f t="shared" si="5"/>
        <v>0</v>
      </c>
      <c r="W9" s="87">
        <f t="shared" si="5"/>
        <v>0</v>
      </c>
      <c r="X9" s="87">
        <f t="shared" si="5"/>
        <v>0</v>
      </c>
      <c r="Y9" s="87">
        <f t="shared" si="5"/>
        <v>0</v>
      </c>
      <c r="Z9" s="87">
        <f t="shared" si="5"/>
        <v>0</v>
      </c>
      <c r="AA9" s="394">
        <f t="shared" si="5"/>
        <v>0</v>
      </c>
      <c r="AB9" s="394">
        <f t="shared" si="5"/>
        <v>0</v>
      </c>
      <c r="AC9" s="394">
        <f t="shared" si="5"/>
        <v>0</v>
      </c>
    </row>
    <row r="10" spans="1:64" ht="16.5">
      <c r="A10" s="234" t="s">
        <v>6</v>
      </c>
      <c r="B10" s="87">
        <v>0</v>
      </c>
      <c r="C10" s="87">
        <v>0</v>
      </c>
      <c r="D10" s="87">
        <v>20</v>
      </c>
      <c r="E10" s="87">
        <v>15</v>
      </c>
      <c r="F10" s="87">
        <v>15</v>
      </c>
      <c r="G10" s="87">
        <v>2</v>
      </c>
      <c r="H10" s="87">
        <v>2</v>
      </c>
      <c r="I10" s="87">
        <v>1</v>
      </c>
      <c r="J10" s="87">
        <v>1</v>
      </c>
      <c r="K10" s="87">
        <f t="shared" ref="K10:Y10" si="6">K60</f>
        <v>1.3039999999999998</v>
      </c>
      <c r="L10" s="87">
        <f t="shared" si="6"/>
        <v>0.13100000000000001</v>
      </c>
      <c r="M10" s="87">
        <f t="shared" si="6"/>
        <v>2.3129999999999993</v>
      </c>
      <c r="N10" s="87">
        <f t="shared" si="6"/>
        <v>0.11700000000000001</v>
      </c>
      <c r="O10" s="87">
        <f t="shared" si="6"/>
        <v>0.26600000000000001</v>
      </c>
      <c r="P10" s="87">
        <f t="shared" si="6"/>
        <v>0.873</v>
      </c>
      <c r="Q10" s="87">
        <f t="shared" si="6"/>
        <v>0.495</v>
      </c>
      <c r="R10" s="87">
        <f t="shared" si="6"/>
        <v>1.0760000000000001</v>
      </c>
      <c r="S10" s="87">
        <f t="shared" si="6"/>
        <v>1.147</v>
      </c>
      <c r="T10" s="87">
        <f t="shared" si="6"/>
        <v>1.4180000000000001</v>
      </c>
      <c r="U10" s="87">
        <f t="shared" si="6"/>
        <v>1.5099999999999998</v>
      </c>
      <c r="V10" s="87">
        <f t="shared" si="6"/>
        <v>1.4660000000000002</v>
      </c>
      <c r="W10" s="87">
        <f t="shared" si="6"/>
        <v>1.611</v>
      </c>
      <c r="X10" s="87">
        <f t="shared" si="6"/>
        <v>0.97199999999999998</v>
      </c>
      <c r="Y10" s="87">
        <f t="shared" si="6"/>
        <v>19.948999999999998</v>
      </c>
      <c r="Z10" s="394">
        <v>27.5</v>
      </c>
      <c r="AA10" s="394">
        <v>25</v>
      </c>
      <c r="AB10" s="394">
        <v>25</v>
      </c>
      <c r="AC10" s="394">
        <v>25</v>
      </c>
    </row>
    <row r="11" spans="1:64" ht="16.5">
      <c r="A11" s="425" t="s">
        <v>7</v>
      </c>
      <c r="B11" s="426">
        <f>SUM(B8:B10)</f>
        <v>0</v>
      </c>
      <c r="C11" s="426">
        <f t="shared" ref="C11:Z11" si="7">SUM(C8:C10)</f>
        <v>0</v>
      </c>
      <c r="D11" s="426">
        <f t="shared" si="7"/>
        <v>20</v>
      </c>
      <c r="E11" s="426">
        <f t="shared" si="7"/>
        <v>65</v>
      </c>
      <c r="F11" s="426">
        <f t="shared" si="7"/>
        <v>15</v>
      </c>
      <c r="G11" s="426">
        <f t="shared" si="7"/>
        <v>10</v>
      </c>
      <c r="H11" s="426">
        <f t="shared" si="7"/>
        <v>12</v>
      </c>
      <c r="I11" s="426">
        <f t="shared" si="7"/>
        <v>88</v>
      </c>
      <c r="J11" s="426">
        <f t="shared" si="7"/>
        <v>16</v>
      </c>
      <c r="K11" s="426">
        <f t="shared" si="7"/>
        <v>6.3040000000000003</v>
      </c>
      <c r="L11" s="426">
        <f t="shared" si="7"/>
        <v>25.131</v>
      </c>
      <c r="M11" s="426">
        <f t="shared" si="7"/>
        <v>131.31299999999999</v>
      </c>
      <c r="N11" s="426">
        <f t="shared" si="7"/>
        <v>113.117</v>
      </c>
      <c r="O11" s="426">
        <f t="shared" si="7"/>
        <v>185.26599999999999</v>
      </c>
      <c r="P11" s="426">
        <f t="shared" si="7"/>
        <v>622.87300000000005</v>
      </c>
      <c r="Q11" s="426">
        <f t="shared" si="7"/>
        <v>445.495</v>
      </c>
      <c r="R11" s="426">
        <f t="shared" si="7"/>
        <v>385.07600000000002</v>
      </c>
      <c r="S11" s="426">
        <f t="shared" si="7"/>
        <v>484.14699999999999</v>
      </c>
      <c r="T11" s="426">
        <f t="shared" si="7"/>
        <v>147.41800000000001</v>
      </c>
      <c r="U11" s="426">
        <f t="shared" si="7"/>
        <v>152.51</v>
      </c>
      <c r="V11" s="426">
        <f t="shared" si="7"/>
        <v>315.46600000000001</v>
      </c>
      <c r="W11" s="426">
        <f t="shared" si="7"/>
        <v>450.61099999999999</v>
      </c>
      <c r="X11" s="426">
        <f t="shared" si="7"/>
        <v>149.97200000000001</v>
      </c>
      <c r="Y11" s="426">
        <f t="shared" si="7"/>
        <v>187.94900000000001</v>
      </c>
      <c r="Z11" s="427">
        <f t="shared" si="7"/>
        <v>448.5</v>
      </c>
      <c r="AA11" s="427">
        <f>SUM(AA8:AA10)</f>
        <v>236</v>
      </c>
      <c r="AB11" s="427">
        <f>SUM(AB8:AB10)</f>
        <v>175</v>
      </c>
      <c r="AC11" s="427">
        <f>SUM(AC8:AC10)</f>
        <v>175</v>
      </c>
    </row>
    <row r="12" spans="1:64" ht="16.5">
      <c r="A12" s="234" t="s">
        <v>8</v>
      </c>
      <c r="B12" s="87">
        <f>B92</f>
        <v>1936.4137399724195</v>
      </c>
      <c r="C12" s="87">
        <f t="shared" ref="C12:Y12" si="8">C92</f>
        <v>1426.450289311568</v>
      </c>
      <c r="D12" s="87">
        <f t="shared" si="8"/>
        <v>2302.1387070359733</v>
      </c>
      <c r="E12" s="87">
        <f t="shared" si="8"/>
        <v>1071.9005257072108</v>
      </c>
      <c r="F12" s="87">
        <f t="shared" si="8"/>
        <v>1160.6520777731814</v>
      </c>
      <c r="G12" s="87">
        <f t="shared" si="8"/>
        <v>1374.6965410987168</v>
      </c>
      <c r="H12" s="87">
        <f t="shared" si="8"/>
        <v>2141.9268837690702</v>
      </c>
      <c r="I12" s="87">
        <f t="shared" si="8"/>
        <v>2358.6914261003722</v>
      </c>
      <c r="J12" s="87">
        <f t="shared" si="8"/>
        <v>2127.1943360664236</v>
      </c>
      <c r="K12" s="87">
        <f t="shared" si="8"/>
        <v>3123.6766859341028</v>
      </c>
      <c r="L12" s="87">
        <f t="shared" si="8"/>
        <v>3267.4464426877466</v>
      </c>
      <c r="M12" s="87">
        <f t="shared" si="8"/>
        <v>2665.569664031621</v>
      </c>
      <c r="N12" s="87">
        <f t="shared" si="8"/>
        <v>4452.7201581027675</v>
      </c>
      <c r="O12" s="87">
        <f t="shared" si="8"/>
        <v>4835.1347006651886</v>
      </c>
      <c r="P12" s="87">
        <f t="shared" si="8"/>
        <v>4163.0074681703927</v>
      </c>
      <c r="Q12" s="87">
        <f t="shared" si="8"/>
        <v>5905.1300942586195</v>
      </c>
      <c r="R12" s="87">
        <f t="shared" si="8"/>
        <v>6741.7011349740396</v>
      </c>
      <c r="S12" s="87">
        <f t="shared" si="8"/>
        <v>6980.6262332616398</v>
      </c>
      <c r="T12" s="87">
        <f t="shared" si="8"/>
        <v>8476.3437503582227</v>
      </c>
      <c r="U12" s="87">
        <f t="shared" si="8"/>
        <v>7356.4007464246733</v>
      </c>
      <c r="V12" s="87">
        <f t="shared" si="8"/>
        <v>10010.819899011403</v>
      </c>
      <c r="W12" s="87">
        <f t="shared" si="8"/>
        <v>8281.8989723266077</v>
      </c>
      <c r="X12" s="87">
        <f t="shared" si="8"/>
        <v>8869.6497005988003</v>
      </c>
      <c r="Y12" s="87">
        <f t="shared" si="8"/>
        <v>11746.23167458187</v>
      </c>
      <c r="Z12" s="394">
        <v>12000</v>
      </c>
      <c r="AA12" s="394">
        <v>12000</v>
      </c>
      <c r="AB12" s="394">
        <v>12000</v>
      </c>
      <c r="AC12" s="394">
        <v>12000</v>
      </c>
      <c r="AF12" s="377"/>
    </row>
    <row r="13" spans="1:64" ht="16.5">
      <c r="A13" s="234" t="s">
        <v>9</v>
      </c>
      <c r="B13" s="87">
        <v>200</v>
      </c>
      <c r="C13" s="87">
        <f t="shared" ref="C13:Y13" si="9">C76</f>
        <v>126.50000000000001</v>
      </c>
      <c r="D13" s="87">
        <f t="shared" si="9"/>
        <v>469.1</v>
      </c>
      <c r="E13" s="87">
        <f t="shared" si="9"/>
        <v>725.13800000000003</v>
      </c>
      <c r="F13" s="87">
        <f t="shared" si="9"/>
        <v>591.30799999999999</v>
      </c>
      <c r="G13" s="87">
        <f t="shared" si="9"/>
        <v>753.19599999999991</v>
      </c>
      <c r="H13" s="87">
        <f t="shared" si="9"/>
        <v>164.24785000000003</v>
      </c>
      <c r="I13" s="87">
        <f t="shared" si="9"/>
        <v>653.43900000000008</v>
      </c>
      <c r="J13" s="87">
        <f t="shared" si="9"/>
        <v>114.36601</v>
      </c>
      <c r="K13" s="87">
        <f t="shared" si="9"/>
        <v>144.60784999999998</v>
      </c>
      <c r="L13" s="87">
        <f t="shared" si="9"/>
        <v>921.69399999999996</v>
      </c>
      <c r="M13" s="87">
        <f t="shared" si="9"/>
        <v>11.449</v>
      </c>
      <c r="N13" s="87">
        <f t="shared" si="9"/>
        <v>219.74600000000001</v>
      </c>
      <c r="O13" s="87">
        <f t="shared" si="9"/>
        <v>336.02699999999999</v>
      </c>
      <c r="P13" s="87">
        <f t="shared" si="9"/>
        <v>75.356999999999999</v>
      </c>
      <c r="Q13" s="87">
        <f t="shared" si="9"/>
        <v>747.74700000000007</v>
      </c>
      <c r="R13" s="87">
        <f t="shared" si="9"/>
        <v>352.08399999999995</v>
      </c>
      <c r="S13" s="87">
        <f t="shared" si="9"/>
        <v>442.98100000000005</v>
      </c>
      <c r="T13" s="87">
        <f t="shared" si="9"/>
        <v>279.68599999999998</v>
      </c>
      <c r="U13" s="87">
        <f t="shared" si="9"/>
        <v>126.68700000000001</v>
      </c>
      <c r="V13" s="87">
        <f t="shared" si="9"/>
        <v>69.272999999999996</v>
      </c>
      <c r="W13" s="87">
        <f t="shared" si="9"/>
        <v>44.750999999999998</v>
      </c>
      <c r="X13" s="87">
        <f t="shared" si="9"/>
        <v>81.540000000000006</v>
      </c>
      <c r="Y13" s="87">
        <f t="shared" si="9"/>
        <v>189.92956800000002</v>
      </c>
      <c r="Z13" s="394">
        <v>75</v>
      </c>
      <c r="AA13" s="394">
        <v>75</v>
      </c>
      <c r="AB13" s="394">
        <v>75</v>
      </c>
      <c r="AC13" s="394">
        <v>75</v>
      </c>
    </row>
    <row r="14" spans="1:64" ht="16.5">
      <c r="A14" s="234" t="s">
        <v>10</v>
      </c>
      <c r="B14" s="87">
        <f>ROUND(C4*0.007,0)</f>
        <v>0</v>
      </c>
      <c r="C14" s="87">
        <f t="shared" ref="C14:AC14" si="10">ROUND(D4*0.007,0)</f>
        <v>0</v>
      </c>
      <c r="D14" s="87">
        <f t="shared" si="10"/>
        <v>0</v>
      </c>
      <c r="E14" s="87">
        <f t="shared" si="10"/>
        <v>0</v>
      </c>
      <c r="F14" s="87">
        <f t="shared" si="10"/>
        <v>0</v>
      </c>
      <c r="G14" s="87">
        <f t="shared" si="10"/>
        <v>0</v>
      </c>
      <c r="H14" s="87">
        <f t="shared" si="10"/>
        <v>0</v>
      </c>
      <c r="I14" s="87">
        <f t="shared" si="10"/>
        <v>0</v>
      </c>
      <c r="J14" s="87">
        <f t="shared" si="10"/>
        <v>0</v>
      </c>
      <c r="K14" s="87">
        <f t="shared" si="10"/>
        <v>0</v>
      </c>
      <c r="L14" s="87">
        <f t="shared" si="10"/>
        <v>0</v>
      </c>
      <c r="M14" s="87">
        <f t="shared" si="10"/>
        <v>0</v>
      </c>
      <c r="N14" s="87">
        <f t="shared" si="10"/>
        <v>0</v>
      </c>
      <c r="O14" s="87">
        <f t="shared" si="10"/>
        <v>0</v>
      </c>
      <c r="P14" s="87">
        <f t="shared" si="10"/>
        <v>0</v>
      </c>
      <c r="Q14" s="87">
        <f t="shared" si="10"/>
        <v>0</v>
      </c>
      <c r="R14" s="87">
        <f t="shared" si="10"/>
        <v>0</v>
      </c>
      <c r="S14" s="87">
        <f t="shared" si="10"/>
        <v>0</v>
      </c>
      <c r="T14" s="87">
        <f t="shared" si="10"/>
        <v>0</v>
      </c>
      <c r="U14" s="87">
        <f t="shared" si="10"/>
        <v>0</v>
      </c>
      <c r="V14" s="87">
        <f t="shared" si="10"/>
        <v>0</v>
      </c>
      <c r="W14" s="87">
        <f t="shared" si="10"/>
        <v>0</v>
      </c>
      <c r="X14" s="87">
        <f t="shared" si="10"/>
        <v>0</v>
      </c>
      <c r="Y14" s="87">
        <f t="shared" si="10"/>
        <v>0</v>
      </c>
      <c r="Z14" s="87" t="e">
        <f t="shared" si="10"/>
        <v>#DIV/0!</v>
      </c>
      <c r="AA14" s="87" t="e">
        <f t="shared" si="10"/>
        <v>#DIV/0!</v>
      </c>
      <c r="AB14" s="87" t="e">
        <f t="shared" si="10"/>
        <v>#DIV/0!</v>
      </c>
      <c r="AC14" s="87" t="e">
        <f t="shared" si="10"/>
        <v>#DIV/0!</v>
      </c>
    </row>
    <row r="15" spans="1:64" ht="16.5">
      <c r="A15" s="234" t="s">
        <v>11</v>
      </c>
      <c r="B15" s="87">
        <f t="shared" ref="B15:AC15" si="11">B16-SUM(B12:B13)</f>
        <v>-2136.4137399724195</v>
      </c>
      <c r="C15" s="87">
        <f t="shared" si="11"/>
        <v>-1552.950289311568</v>
      </c>
      <c r="D15" s="87">
        <f t="shared" si="11"/>
        <v>-2801.2387070359732</v>
      </c>
      <c r="E15" s="87">
        <f t="shared" si="11"/>
        <v>-1732.0385257072107</v>
      </c>
      <c r="F15" s="87">
        <f t="shared" si="11"/>
        <v>-1744.9600777731814</v>
      </c>
      <c r="G15" s="87">
        <f t="shared" si="11"/>
        <v>-2127.8925410987167</v>
      </c>
      <c r="H15" s="87">
        <f t="shared" si="11"/>
        <v>-2381.1747337690704</v>
      </c>
      <c r="I15" s="87">
        <f t="shared" si="11"/>
        <v>-2939.1304261003725</v>
      </c>
      <c r="J15" s="87">
        <f t="shared" si="11"/>
        <v>-2230.5603460664238</v>
      </c>
      <c r="K15" s="87">
        <f t="shared" si="11"/>
        <v>-3286.9805359341026</v>
      </c>
      <c r="L15" s="87">
        <f t="shared" si="11"/>
        <v>-4293.0094426877467</v>
      </c>
      <c r="M15" s="87">
        <f t="shared" si="11"/>
        <v>-2658.7056640316209</v>
      </c>
      <c r="N15" s="87">
        <f t="shared" si="11"/>
        <v>-4744.3491581027674</v>
      </c>
      <c r="O15" s="87">
        <f t="shared" si="11"/>
        <v>-5607.895700665189</v>
      </c>
      <c r="P15" s="87">
        <f t="shared" si="11"/>
        <v>-4060.4914681703926</v>
      </c>
      <c r="Q15" s="87">
        <f t="shared" si="11"/>
        <v>-6591.3820942586199</v>
      </c>
      <c r="R15" s="87">
        <f t="shared" si="11"/>
        <v>-7191.7091349740394</v>
      </c>
      <c r="S15" s="87">
        <f t="shared" si="11"/>
        <v>-7085.4602332616396</v>
      </c>
      <c r="T15" s="87">
        <f t="shared" si="11"/>
        <v>-8759.6117503582227</v>
      </c>
      <c r="U15" s="87">
        <f t="shared" si="11"/>
        <v>-7644.577746424673</v>
      </c>
      <c r="V15" s="87">
        <f t="shared" si="11"/>
        <v>-10213.626899011402</v>
      </c>
      <c r="W15" s="87">
        <f t="shared" si="11"/>
        <v>-8025.038972326608</v>
      </c>
      <c r="X15" s="87">
        <f t="shared" si="11"/>
        <v>-8969.2177005988015</v>
      </c>
      <c r="Y15" s="87">
        <f t="shared" si="11"/>
        <v>-12169.212242581869</v>
      </c>
      <c r="Z15" s="394">
        <f t="shared" si="11"/>
        <v>-11837.5</v>
      </c>
      <c r="AA15" s="394">
        <f t="shared" si="11"/>
        <v>-11989</v>
      </c>
      <c r="AB15" s="394">
        <f t="shared" si="11"/>
        <v>-12050</v>
      </c>
      <c r="AC15" s="394">
        <f t="shared" si="11"/>
        <v>-12050</v>
      </c>
    </row>
    <row r="16" spans="1:64" ht="16.5">
      <c r="A16" s="425" t="s">
        <v>12</v>
      </c>
      <c r="B16" s="426">
        <f t="shared" ref="B16:AC16" si="12">B11-B17</f>
        <v>0</v>
      </c>
      <c r="C16" s="426">
        <f t="shared" si="12"/>
        <v>0</v>
      </c>
      <c r="D16" s="426">
        <f t="shared" si="12"/>
        <v>-30</v>
      </c>
      <c r="E16" s="426">
        <f t="shared" si="12"/>
        <v>65</v>
      </c>
      <c r="F16" s="426">
        <f t="shared" si="12"/>
        <v>7</v>
      </c>
      <c r="G16" s="426">
        <f t="shared" si="12"/>
        <v>0</v>
      </c>
      <c r="H16" s="426">
        <f t="shared" si="12"/>
        <v>-75</v>
      </c>
      <c r="I16" s="426">
        <f t="shared" si="12"/>
        <v>73</v>
      </c>
      <c r="J16" s="426">
        <f t="shared" si="12"/>
        <v>11</v>
      </c>
      <c r="K16" s="426">
        <f t="shared" si="12"/>
        <v>-18.695999999999998</v>
      </c>
      <c r="L16" s="426">
        <f t="shared" si="12"/>
        <v>-103.869</v>
      </c>
      <c r="M16" s="426">
        <f t="shared" si="12"/>
        <v>18.312999999999988</v>
      </c>
      <c r="N16" s="426">
        <f t="shared" si="12"/>
        <v>-71.882999999999996</v>
      </c>
      <c r="O16" s="426">
        <f t="shared" si="12"/>
        <v>-436.73400000000004</v>
      </c>
      <c r="P16" s="426">
        <f t="shared" si="12"/>
        <v>177.87300000000005</v>
      </c>
      <c r="Q16" s="426">
        <f t="shared" si="12"/>
        <v>61.495000000000005</v>
      </c>
      <c r="R16" s="426">
        <f t="shared" si="12"/>
        <v>-97.923999999999978</v>
      </c>
      <c r="S16" s="426">
        <f t="shared" si="12"/>
        <v>338.14699999999999</v>
      </c>
      <c r="T16" s="426">
        <f t="shared" si="12"/>
        <v>-3.5819999999999936</v>
      </c>
      <c r="U16" s="426">
        <f t="shared" si="12"/>
        <v>-161.49</v>
      </c>
      <c r="V16" s="426">
        <f t="shared" si="12"/>
        <v>-133.53399999999999</v>
      </c>
      <c r="W16" s="426">
        <f t="shared" si="12"/>
        <v>301.61099999999999</v>
      </c>
      <c r="X16" s="426">
        <f t="shared" si="12"/>
        <v>-18.027999999999992</v>
      </c>
      <c r="Y16" s="426">
        <f t="shared" si="12"/>
        <v>-233.05099999999999</v>
      </c>
      <c r="Z16" s="427">
        <f t="shared" si="12"/>
        <v>237.5</v>
      </c>
      <c r="AA16" s="427">
        <f t="shared" si="12"/>
        <v>86</v>
      </c>
      <c r="AB16" s="427">
        <f t="shared" si="12"/>
        <v>25</v>
      </c>
      <c r="AC16" s="427">
        <f t="shared" si="12"/>
        <v>25</v>
      </c>
    </row>
    <row r="17" spans="1:30" ht="16.5">
      <c r="A17" s="234" t="s">
        <v>338</v>
      </c>
      <c r="B17" s="87">
        <v>0</v>
      </c>
      <c r="C17" s="87">
        <v>0</v>
      </c>
      <c r="D17" s="87">
        <v>50</v>
      </c>
      <c r="E17" s="87">
        <v>0</v>
      </c>
      <c r="F17" s="87">
        <v>8</v>
      </c>
      <c r="G17" s="87">
        <v>10</v>
      </c>
      <c r="H17" s="87">
        <v>87</v>
      </c>
      <c r="I17" s="87">
        <v>15</v>
      </c>
      <c r="J17" s="87">
        <v>5</v>
      </c>
      <c r="K17" s="87">
        <v>25</v>
      </c>
      <c r="L17" s="87">
        <v>129</v>
      </c>
      <c r="M17" s="87">
        <v>113</v>
      </c>
      <c r="N17" s="87">
        <v>185</v>
      </c>
      <c r="O17" s="87">
        <v>622</v>
      </c>
      <c r="P17" s="87">
        <v>445</v>
      </c>
      <c r="Q17" s="87">
        <v>384</v>
      </c>
      <c r="R17" s="87">
        <v>483</v>
      </c>
      <c r="S17" s="87">
        <v>146</v>
      </c>
      <c r="T17" s="87">
        <v>151</v>
      </c>
      <c r="U17" s="87">
        <v>314</v>
      </c>
      <c r="V17" s="87">
        <v>449</v>
      </c>
      <c r="W17" s="87">
        <v>149</v>
      </c>
      <c r="X17" s="87">
        <v>168</v>
      </c>
      <c r="Y17" s="87">
        <v>421</v>
      </c>
      <c r="Z17" s="394">
        <v>211</v>
      </c>
      <c r="AA17" s="394">
        <v>150</v>
      </c>
      <c r="AB17" s="394">
        <v>150</v>
      </c>
      <c r="AC17" s="394">
        <v>150</v>
      </c>
    </row>
    <row r="18" spans="1:30">
      <c r="A18" s="425" t="s">
        <v>221</v>
      </c>
      <c r="B18" s="428"/>
      <c r="C18" s="428"/>
      <c r="D18" s="428"/>
      <c r="E18" s="428"/>
      <c r="F18" s="428"/>
      <c r="G18" s="428"/>
      <c r="H18" s="428"/>
      <c r="I18" s="428"/>
      <c r="J18" s="428"/>
      <c r="K18" s="428"/>
      <c r="L18" s="428"/>
      <c r="M18" s="428"/>
      <c r="N18" s="428"/>
      <c r="O18" s="428"/>
      <c r="P18" s="428"/>
      <c r="Q18" s="428"/>
      <c r="R18" s="428"/>
      <c r="S18" s="428"/>
      <c r="T18" s="428"/>
      <c r="U18" s="428"/>
      <c r="V18" s="428"/>
      <c r="W18" s="428"/>
      <c r="X18" s="428"/>
      <c r="Y18" s="428"/>
      <c r="Z18" s="428"/>
      <c r="AA18" s="428"/>
      <c r="AB18" s="428"/>
      <c r="AC18" s="428"/>
    </row>
    <row r="19" spans="1:30" ht="15.75" thickBot="1">
      <c r="A19" s="234" t="s">
        <v>222</v>
      </c>
    </row>
    <row r="20" spans="1:30" ht="16.5">
      <c r="A20" s="431" t="s">
        <v>339</v>
      </c>
      <c r="B20" s="430"/>
      <c r="C20" s="430"/>
      <c r="D20" s="430"/>
      <c r="E20" s="430"/>
      <c r="F20" s="430"/>
      <c r="G20" s="430"/>
      <c r="H20" s="430"/>
      <c r="I20" s="430"/>
      <c r="J20" s="430"/>
      <c r="K20" s="430"/>
      <c r="L20" s="430"/>
      <c r="M20" s="430"/>
      <c r="N20" s="430"/>
      <c r="O20" s="430"/>
      <c r="P20" s="430"/>
      <c r="Q20" s="430"/>
      <c r="R20" s="430"/>
      <c r="S20" s="430"/>
      <c r="T20" s="430"/>
      <c r="U20" s="430"/>
      <c r="V20" s="430"/>
      <c r="W20" s="430"/>
      <c r="X20" s="430"/>
      <c r="Y20" s="430"/>
      <c r="Z20" s="430"/>
      <c r="AA20" s="430"/>
      <c r="AB20" s="430"/>
      <c r="AC20" s="430"/>
    </row>
    <row r="21" spans="1:30" ht="16.5">
      <c r="A21" s="234" t="s">
        <v>224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</row>
    <row r="22" spans="1:30" ht="16.5">
      <c r="A22" s="425" t="s">
        <v>333</v>
      </c>
      <c r="B22" s="426">
        <v>0</v>
      </c>
      <c r="C22" s="426">
        <f>B29</f>
        <v>0</v>
      </c>
      <c r="D22" s="426">
        <f t="shared" ref="D22:AC22" si="13">C29</f>
        <v>0</v>
      </c>
      <c r="E22" s="426">
        <f t="shared" si="13"/>
        <v>0</v>
      </c>
      <c r="F22" s="426">
        <f t="shared" si="13"/>
        <v>0</v>
      </c>
      <c r="G22" s="426">
        <f t="shared" si="13"/>
        <v>0</v>
      </c>
      <c r="H22" s="426">
        <f t="shared" si="13"/>
        <v>0</v>
      </c>
      <c r="I22" s="426">
        <f t="shared" si="13"/>
        <v>2</v>
      </c>
      <c r="J22" s="426">
        <f t="shared" si="13"/>
        <v>2</v>
      </c>
      <c r="K22" s="426">
        <f t="shared" si="13"/>
        <v>2</v>
      </c>
      <c r="L22" s="426">
        <f t="shared" si="13"/>
        <v>4</v>
      </c>
      <c r="M22" s="426">
        <f t="shared" si="13"/>
        <v>5</v>
      </c>
      <c r="N22" s="426">
        <f t="shared" si="13"/>
        <v>5</v>
      </c>
      <c r="O22" s="426">
        <f t="shared" si="13"/>
        <v>5</v>
      </c>
      <c r="P22" s="426">
        <f t="shared" si="13"/>
        <v>5</v>
      </c>
      <c r="Q22" s="426">
        <f t="shared" si="13"/>
        <v>15</v>
      </c>
      <c r="R22" s="426">
        <f t="shared" si="13"/>
        <v>56</v>
      </c>
      <c r="S22" s="426">
        <f t="shared" si="13"/>
        <v>127</v>
      </c>
      <c r="T22" s="426">
        <f t="shared" si="13"/>
        <v>127</v>
      </c>
      <c r="U22" s="426">
        <f t="shared" si="13"/>
        <v>1</v>
      </c>
      <c r="V22" s="426">
        <f t="shared" si="13"/>
        <v>6</v>
      </c>
      <c r="W22" s="426">
        <f t="shared" si="13"/>
        <v>304</v>
      </c>
      <c r="X22" s="426">
        <f t="shared" si="13"/>
        <v>370</v>
      </c>
      <c r="Y22" s="426">
        <f t="shared" si="13"/>
        <v>465</v>
      </c>
      <c r="Z22" s="426">
        <f t="shared" si="13"/>
        <v>495</v>
      </c>
      <c r="AA22" s="427">
        <f t="shared" si="13"/>
        <v>270</v>
      </c>
      <c r="AB22" s="427">
        <f t="shared" si="13"/>
        <v>275</v>
      </c>
      <c r="AC22" s="427">
        <f t="shared" si="13"/>
        <v>275</v>
      </c>
    </row>
    <row r="23" spans="1:30" ht="16.5">
      <c r="A23" s="234" t="s">
        <v>5</v>
      </c>
      <c r="B23" s="87">
        <f>B108</f>
        <v>835.04526759358589</v>
      </c>
      <c r="C23" s="87">
        <f t="shared" ref="C23:Z23" si="14">C108</f>
        <v>570.58011572462715</v>
      </c>
      <c r="D23" s="87">
        <f t="shared" si="14"/>
        <v>875.81363854629421</v>
      </c>
      <c r="E23" s="87">
        <f t="shared" si="14"/>
        <v>480.91249907103179</v>
      </c>
      <c r="F23" s="87">
        <f t="shared" si="14"/>
        <v>467.66200935915742</v>
      </c>
      <c r="G23" s="87">
        <f t="shared" si="14"/>
        <v>549.87861643948679</v>
      </c>
      <c r="H23" s="87">
        <f t="shared" si="14"/>
        <v>866.97040533509971</v>
      </c>
      <c r="I23" s="87">
        <f t="shared" si="14"/>
        <v>961.69822094221172</v>
      </c>
      <c r="J23" s="87">
        <f t="shared" si="14"/>
        <v>860.39168089803798</v>
      </c>
      <c r="K23" s="87">
        <f t="shared" si="14"/>
        <v>1282.9386388657922</v>
      </c>
      <c r="L23" s="87">
        <f t="shared" si="14"/>
        <v>1348.4699604743082</v>
      </c>
      <c r="M23" s="87">
        <f t="shared" si="14"/>
        <v>1110.6540266798418</v>
      </c>
      <c r="N23" s="87">
        <f t="shared" si="14"/>
        <v>1839.8052521391651</v>
      </c>
      <c r="O23" s="87">
        <f t="shared" si="14"/>
        <v>2020.04286545224</v>
      </c>
      <c r="P23" s="87">
        <f t="shared" si="14"/>
        <v>1736.8774083003354</v>
      </c>
      <c r="Q23" s="87">
        <f t="shared" si="14"/>
        <v>2468.3823545132495</v>
      </c>
      <c r="R23" s="87">
        <f t="shared" si="14"/>
        <v>2818.1267013856027</v>
      </c>
      <c r="S23" s="87">
        <f t="shared" si="14"/>
        <v>2917.9637368205913</v>
      </c>
      <c r="T23" s="87">
        <f t="shared" si="14"/>
        <v>3543.8330786072142</v>
      </c>
      <c r="U23" s="87">
        <f t="shared" si="14"/>
        <v>3075.1465910926386</v>
      </c>
      <c r="V23" s="87">
        <f t="shared" si="14"/>
        <v>4134.2461556272865</v>
      </c>
      <c r="W23" s="87">
        <f t="shared" si="14"/>
        <v>3420.5046823570278</v>
      </c>
      <c r="X23" s="87">
        <f t="shared" si="14"/>
        <v>3662.8227218524321</v>
      </c>
      <c r="Y23" s="87">
        <f t="shared" si="14"/>
        <v>4815.9549865785675</v>
      </c>
      <c r="Z23" s="87">
        <f t="shared" si="14"/>
        <v>4955.9999999999991</v>
      </c>
      <c r="AA23" s="394">
        <f>AA124*AA92</f>
        <v>5002.1559625750006</v>
      </c>
      <c r="AB23" s="394">
        <f>AB124*AB92</f>
        <v>4997.5613237646112</v>
      </c>
      <c r="AC23" s="394">
        <f>AC124*AC92</f>
        <v>4993.8224440326376</v>
      </c>
    </row>
    <row r="24" spans="1:30" ht="16.5">
      <c r="A24" s="234" t="s">
        <v>6</v>
      </c>
      <c r="B24" s="87">
        <v>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f t="shared" ref="H24:Y24" si="15">H140</f>
        <v>6.4879999999999995</v>
      </c>
      <c r="I24" s="87">
        <f t="shared" si="15"/>
        <v>17.5</v>
      </c>
      <c r="J24" s="87">
        <f t="shared" si="15"/>
        <v>0.34599999999999997</v>
      </c>
      <c r="K24" s="87">
        <f t="shared" si="15"/>
        <v>0</v>
      </c>
      <c r="L24" s="87">
        <f t="shared" si="15"/>
        <v>0.91900000000000004</v>
      </c>
      <c r="M24" s="87">
        <f t="shared" si="15"/>
        <v>0.05</v>
      </c>
      <c r="N24" s="87">
        <f t="shared" si="15"/>
        <v>0</v>
      </c>
      <c r="O24" s="87">
        <f t="shared" si="15"/>
        <v>0</v>
      </c>
      <c r="P24" s="87">
        <f t="shared" si="15"/>
        <v>1.0860000000000001</v>
      </c>
      <c r="Q24" s="87">
        <f t="shared" si="15"/>
        <v>0.191</v>
      </c>
      <c r="R24" s="87">
        <f t="shared" si="15"/>
        <v>0.35100000000000003</v>
      </c>
      <c r="S24" s="87">
        <f t="shared" si="15"/>
        <v>0.50900000000000001</v>
      </c>
      <c r="T24" s="87">
        <f t="shared" si="15"/>
        <v>0.59500000000000008</v>
      </c>
      <c r="U24" s="87">
        <f t="shared" si="15"/>
        <v>1.7270000000000001</v>
      </c>
      <c r="V24" s="87">
        <f t="shared" si="15"/>
        <v>4.5999999999999999E-2</v>
      </c>
      <c r="W24" s="87">
        <f t="shared" si="15"/>
        <v>5.8129999999999997</v>
      </c>
      <c r="X24" s="87">
        <f t="shared" si="15"/>
        <v>0.82099999999999995</v>
      </c>
      <c r="Y24" s="87">
        <f t="shared" si="15"/>
        <v>0.77100000000000013</v>
      </c>
      <c r="Z24" s="394">
        <v>7</v>
      </c>
      <c r="AA24" s="394">
        <v>1.5</v>
      </c>
      <c r="AB24" s="394">
        <v>1.5</v>
      </c>
      <c r="AC24" s="394">
        <v>1.5</v>
      </c>
    </row>
    <row r="25" spans="1:30" ht="16.5">
      <c r="A25" s="425" t="s">
        <v>7</v>
      </c>
      <c r="B25" s="426">
        <f>SUM(B22:B24)</f>
        <v>835.04526759358589</v>
      </c>
      <c r="C25" s="426">
        <f t="shared" ref="C25:AC25" si="16">SUM(C22:C24)</f>
        <v>570.58011572462715</v>
      </c>
      <c r="D25" s="426">
        <f t="shared" si="16"/>
        <v>875.81363854629421</v>
      </c>
      <c r="E25" s="426">
        <f t="shared" si="16"/>
        <v>480.91249907103179</v>
      </c>
      <c r="F25" s="426">
        <f t="shared" si="16"/>
        <v>467.66200935915742</v>
      </c>
      <c r="G25" s="426">
        <f t="shared" si="16"/>
        <v>549.87861643948679</v>
      </c>
      <c r="H25" s="426">
        <f t="shared" si="16"/>
        <v>873.45840533509977</v>
      </c>
      <c r="I25" s="426">
        <f t="shared" si="16"/>
        <v>981.19822094221172</v>
      </c>
      <c r="J25" s="426">
        <f t="shared" si="16"/>
        <v>862.73768089803798</v>
      </c>
      <c r="K25" s="426">
        <f t="shared" si="16"/>
        <v>1284.9386388657922</v>
      </c>
      <c r="L25" s="426">
        <f t="shared" si="16"/>
        <v>1353.3889604743083</v>
      </c>
      <c r="M25" s="426">
        <f t="shared" si="16"/>
        <v>1115.7040266798417</v>
      </c>
      <c r="N25" s="426">
        <f t="shared" si="16"/>
        <v>1844.8052521391651</v>
      </c>
      <c r="O25" s="426">
        <f t="shared" si="16"/>
        <v>2025.04286545224</v>
      </c>
      <c r="P25" s="426">
        <f t="shared" si="16"/>
        <v>1742.9634083003355</v>
      </c>
      <c r="Q25" s="426">
        <f t="shared" si="16"/>
        <v>2483.5733545132493</v>
      </c>
      <c r="R25" s="426">
        <f t="shared" si="16"/>
        <v>2874.4777013856028</v>
      </c>
      <c r="S25" s="426">
        <f t="shared" si="16"/>
        <v>3045.4727368205913</v>
      </c>
      <c r="T25" s="426">
        <f t="shared" si="16"/>
        <v>3671.428078607214</v>
      </c>
      <c r="U25" s="426">
        <f t="shared" si="16"/>
        <v>3077.8735910926384</v>
      </c>
      <c r="V25" s="426">
        <f t="shared" si="16"/>
        <v>4140.2921556272868</v>
      </c>
      <c r="W25" s="426">
        <f t="shared" si="16"/>
        <v>3730.3176823570279</v>
      </c>
      <c r="X25" s="426">
        <f t="shared" si="16"/>
        <v>4033.643721852432</v>
      </c>
      <c r="Y25" s="426">
        <f t="shared" si="16"/>
        <v>5281.7259865785672</v>
      </c>
      <c r="Z25" s="427">
        <f t="shared" si="16"/>
        <v>5457.9999999999991</v>
      </c>
      <c r="AA25" s="427">
        <f t="shared" si="16"/>
        <v>5273.6559625750006</v>
      </c>
      <c r="AB25" s="427">
        <f t="shared" si="16"/>
        <v>5274.0613237646112</v>
      </c>
      <c r="AC25" s="427">
        <f t="shared" si="16"/>
        <v>5270.3224440326376</v>
      </c>
    </row>
    <row r="26" spans="1:30" ht="16.5">
      <c r="A26" s="234" t="s">
        <v>24</v>
      </c>
      <c r="B26" s="87">
        <f>B28-B27</f>
        <v>835.04526759358589</v>
      </c>
      <c r="C26" s="87">
        <f t="shared" ref="C26:AC26" si="17">C28-C27</f>
        <v>570.58011572462715</v>
      </c>
      <c r="D26" s="87">
        <f t="shared" si="17"/>
        <v>875.81363854629421</v>
      </c>
      <c r="E26" s="87">
        <f t="shared" si="17"/>
        <v>470.91249907103179</v>
      </c>
      <c r="F26" s="87">
        <f t="shared" si="17"/>
        <v>317.66200935915742</v>
      </c>
      <c r="G26" s="87">
        <f t="shared" si="17"/>
        <v>359.87861643948679</v>
      </c>
      <c r="H26" s="87">
        <f t="shared" si="17"/>
        <v>524.5169683350997</v>
      </c>
      <c r="I26" s="87">
        <f t="shared" si="17"/>
        <v>544.49822094221167</v>
      </c>
      <c r="J26" s="87">
        <f t="shared" si="17"/>
        <v>258.79668089803783</v>
      </c>
      <c r="K26" s="87">
        <f t="shared" si="17"/>
        <v>435.70963886579227</v>
      </c>
      <c r="L26" s="87">
        <f t="shared" si="17"/>
        <v>257.56596047430821</v>
      </c>
      <c r="M26" s="87">
        <f t="shared" si="17"/>
        <v>242.1910266798418</v>
      </c>
      <c r="N26" s="87">
        <f t="shared" si="17"/>
        <v>498.17425213916499</v>
      </c>
      <c r="O26" s="87">
        <f t="shared" si="17"/>
        <v>510.40686545224025</v>
      </c>
      <c r="P26" s="87">
        <f t="shared" si="17"/>
        <v>483.49940830033552</v>
      </c>
      <c r="Q26" s="87">
        <f t="shared" si="17"/>
        <v>159.33935451324987</v>
      </c>
      <c r="R26" s="87">
        <f t="shared" si="17"/>
        <v>231.777701385603</v>
      </c>
      <c r="S26" s="87">
        <f t="shared" si="17"/>
        <v>-51.059263179408845</v>
      </c>
      <c r="T26" s="87">
        <f t="shared" si="17"/>
        <v>-253.72392139278554</v>
      </c>
      <c r="U26" s="87">
        <f t="shared" si="17"/>
        <v>100.71959109263844</v>
      </c>
      <c r="V26" s="87">
        <f t="shared" si="17"/>
        <v>148.31315562728651</v>
      </c>
      <c r="W26" s="87">
        <f t="shared" si="17"/>
        <v>8.6246823570277229</v>
      </c>
      <c r="X26" s="87">
        <f t="shared" si="17"/>
        <v>-276.88127814756763</v>
      </c>
      <c r="Y26" s="87">
        <f t="shared" si="17"/>
        <v>-40.066013421432217</v>
      </c>
      <c r="Z26" s="394">
        <f t="shared" si="17"/>
        <v>87.999999999999091</v>
      </c>
      <c r="AA26" s="394">
        <f t="shared" si="17"/>
        <v>98.655962575000558</v>
      </c>
      <c r="AB26" s="394">
        <f t="shared" si="17"/>
        <v>99.061323764611188</v>
      </c>
      <c r="AC26" s="394">
        <f t="shared" si="17"/>
        <v>95.322444032637577</v>
      </c>
    </row>
    <row r="27" spans="1:30" ht="16.5">
      <c r="A27" s="234" t="s">
        <v>9</v>
      </c>
      <c r="B27" s="87">
        <v>0</v>
      </c>
      <c r="C27" s="87">
        <v>0</v>
      </c>
      <c r="D27" s="87">
        <v>0</v>
      </c>
      <c r="E27" s="87">
        <v>10</v>
      </c>
      <c r="F27" s="87">
        <v>150</v>
      </c>
      <c r="G27" s="87">
        <v>190</v>
      </c>
      <c r="H27" s="87">
        <f t="shared" ref="H27:Y27" si="18">H156</f>
        <v>346.94143700000006</v>
      </c>
      <c r="I27" s="87">
        <f t="shared" si="18"/>
        <v>434.7000000000001</v>
      </c>
      <c r="J27" s="87">
        <f t="shared" si="18"/>
        <v>601.94100000000014</v>
      </c>
      <c r="K27" s="87">
        <f t="shared" si="18"/>
        <v>845.22899999999993</v>
      </c>
      <c r="L27" s="87">
        <f t="shared" si="18"/>
        <v>1090.8230000000001</v>
      </c>
      <c r="M27" s="87">
        <f t="shared" si="18"/>
        <v>868.51299999999992</v>
      </c>
      <c r="N27" s="87">
        <f t="shared" si="18"/>
        <v>1341.6310000000001</v>
      </c>
      <c r="O27" s="87">
        <f t="shared" si="18"/>
        <v>1509.6359999999997</v>
      </c>
      <c r="P27" s="87">
        <f t="shared" si="18"/>
        <v>1244.4639999999999</v>
      </c>
      <c r="Q27" s="87">
        <f t="shared" si="18"/>
        <v>2268.2339999999995</v>
      </c>
      <c r="R27" s="87">
        <f t="shared" si="18"/>
        <v>2515.6999999999998</v>
      </c>
      <c r="S27" s="87">
        <f t="shared" si="18"/>
        <v>2969.5320000000002</v>
      </c>
      <c r="T27" s="87">
        <f t="shared" si="18"/>
        <v>3924.1519999999996</v>
      </c>
      <c r="U27" s="87">
        <f t="shared" si="18"/>
        <v>2971.154</v>
      </c>
      <c r="V27" s="87">
        <f t="shared" si="18"/>
        <v>3687.9790000000003</v>
      </c>
      <c r="W27" s="87">
        <f t="shared" si="18"/>
        <v>3351.6930000000002</v>
      </c>
      <c r="X27" s="87">
        <f t="shared" si="18"/>
        <v>3845.5249999999996</v>
      </c>
      <c r="Y27" s="87">
        <f t="shared" si="18"/>
        <v>4826.7919999999995</v>
      </c>
      <c r="Z27" s="394">
        <v>5100</v>
      </c>
      <c r="AA27" s="394">
        <v>4900</v>
      </c>
      <c r="AB27" s="394">
        <v>4900</v>
      </c>
      <c r="AC27" s="394">
        <v>4900</v>
      </c>
    </row>
    <row r="28" spans="1:30" ht="16.5">
      <c r="A28" s="425" t="s">
        <v>12</v>
      </c>
      <c r="B28" s="426">
        <f>B25-B29</f>
        <v>835.04526759358589</v>
      </c>
      <c r="C28" s="426">
        <f t="shared" ref="C28:AC28" si="19">C25-C29</f>
        <v>570.58011572462715</v>
      </c>
      <c r="D28" s="426">
        <f t="shared" si="19"/>
        <v>875.81363854629421</v>
      </c>
      <c r="E28" s="426">
        <f t="shared" si="19"/>
        <v>480.91249907103179</v>
      </c>
      <c r="F28" s="426">
        <f t="shared" si="19"/>
        <v>467.66200935915742</v>
      </c>
      <c r="G28" s="426">
        <f t="shared" si="19"/>
        <v>549.87861643948679</v>
      </c>
      <c r="H28" s="426">
        <f t="shared" si="19"/>
        <v>871.45840533509977</v>
      </c>
      <c r="I28" s="426">
        <f t="shared" si="19"/>
        <v>979.19822094221172</v>
      </c>
      <c r="J28" s="426">
        <f t="shared" si="19"/>
        <v>860.73768089803798</v>
      </c>
      <c r="K28" s="426">
        <f t="shared" si="19"/>
        <v>1280.9386388657922</v>
      </c>
      <c r="L28" s="426">
        <f t="shared" si="19"/>
        <v>1348.3889604743083</v>
      </c>
      <c r="M28" s="426">
        <f t="shared" si="19"/>
        <v>1110.7040266798417</v>
      </c>
      <c r="N28" s="426">
        <f t="shared" si="19"/>
        <v>1839.8052521391651</v>
      </c>
      <c r="O28" s="426">
        <f t="shared" si="19"/>
        <v>2020.04286545224</v>
      </c>
      <c r="P28" s="426">
        <f t="shared" si="19"/>
        <v>1727.9634083003355</v>
      </c>
      <c r="Q28" s="426">
        <f t="shared" si="19"/>
        <v>2427.5733545132493</v>
      </c>
      <c r="R28" s="426">
        <f t="shared" si="19"/>
        <v>2747.4777013856028</v>
      </c>
      <c r="S28" s="426">
        <f t="shared" si="19"/>
        <v>2918.4727368205913</v>
      </c>
      <c r="T28" s="426">
        <f t="shared" si="19"/>
        <v>3670.428078607214</v>
      </c>
      <c r="U28" s="426">
        <f t="shared" si="19"/>
        <v>3071.8735910926384</v>
      </c>
      <c r="V28" s="426">
        <f t="shared" si="19"/>
        <v>3836.2921556272868</v>
      </c>
      <c r="W28" s="426">
        <f t="shared" si="19"/>
        <v>3360.3176823570279</v>
      </c>
      <c r="X28" s="426">
        <f t="shared" si="19"/>
        <v>3568.643721852432</v>
      </c>
      <c r="Y28" s="426">
        <f t="shared" si="19"/>
        <v>4786.7259865785672</v>
      </c>
      <c r="Z28" s="427">
        <f t="shared" si="19"/>
        <v>5187.9999999999991</v>
      </c>
      <c r="AA28" s="427">
        <f t="shared" si="19"/>
        <v>4998.6559625750006</v>
      </c>
      <c r="AB28" s="427">
        <f t="shared" si="19"/>
        <v>4999.0613237646112</v>
      </c>
      <c r="AC28" s="427">
        <f t="shared" si="19"/>
        <v>4995.3224440326376</v>
      </c>
    </row>
    <row r="29" spans="1:30" ht="16.5">
      <c r="A29" s="234" t="s">
        <v>338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2</v>
      </c>
      <c r="I29" s="87">
        <v>2</v>
      </c>
      <c r="J29" s="87">
        <v>2</v>
      </c>
      <c r="K29" s="87">
        <v>4</v>
      </c>
      <c r="L29" s="87">
        <v>5</v>
      </c>
      <c r="M29" s="87">
        <v>5</v>
      </c>
      <c r="N29" s="87">
        <v>5</v>
      </c>
      <c r="O29" s="87">
        <v>5</v>
      </c>
      <c r="P29" s="87">
        <v>15</v>
      </c>
      <c r="Q29" s="87">
        <v>56</v>
      </c>
      <c r="R29" s="87">
        <v>127</v>
      </c>
      <c r="S29" s="87">
        <v>127</v>
      </c>
      <c r="T29" s="87">
        <v>1</v>
      </c>
      <c r="U29" s="87">
        <v>6</v>
      </c>
      <c r="V29" s="87">
        <v>304</v>
      </c>
      <c r="W29" s="87">
        <v>370</v>
      </c>
      <c r="X29" s="87">
        <v>465</v>
      </c>
      <c r="Y29" s="87">
        <v>495</v>
      </c>
      <c r="Z29" s="394">
        <v>270</v>
      </c>
      <c r="AA29" s="394">
        <v>275</v>
      </c>
      <c r="AB29" s="394">
        <v>275</v>
      </c>
      <c r="AC29" s="394">
        <v>275</v>
      </c>
      <c r="AD29" s="87"/>
    </row>
    <row r="30" spans="1:30" ht="15.75" thickBot="1">
      <c r="A30" s="234" t="s">
        <v>225</v>
      </c>
    </row>
    <row r="31" spans="1:30">
      <c r="A31" s="431" t="s">
        <v>340</v>
      </c>
      <c r="B31" s="431"/>
      <c r="C31" s="431"/>
      <c r="D31" s="431"/>
      <c r="E31" s="431"/>
      <c r="F31" s="431"/>
      <c r="G31" s="431"/>
      <c r="H31" s="431"/>
      <c r="I31" s="431"/>
      <c r="J31" s="431"/>
      <c r="K31" s="431"/>
      <c r="L31" s="431"/>
      <c r="M31" s="431"/>
      <c r="N31" s="431"/>
      <c r="O31" s="431"/>
      <c r="P31" s="431"/>
      <c r="Q31" s="431"/>
      <c r="R31" s="431"/>
      <c r="S31" s="431"/>
      <c r="T31" s="431"/>
      <c r="U31" s="431"/>
      <c r="V31" s="431"/>
      <c r="W31" s="431"/>
      <c r="X31" s="431"/>
      <c r="Y31" s="431"/>
      <c r="Z31" s="431"/>
      <c r="AA31" s="431"/>
      <c r="AB31" s="431"/>
      <c r="AC31" s="431"/>
    </row>
    <row r="32" spans="1:30" ht="16.5">
      <c r="A32" s="425" t="s">
        <v>316</v>
      </c>
      <c r="B32" s="87">
        <v>206</v>
      </c>
      <c r="C32" s="87">
        <f>B42</f>
        <v>196</v>
      </c>
      <c r="D32" s="87">
        <f t="shared" ref="D32:AC32" si="20">C42</f>
        <v>107</v>
      </c>
      <c r="E32" s="87">
        <f t="shared" si="20"/>
        <v>150</v>
      </c>
      <c r="F32" s="87">
        <f t="shared" si="20"/>
        <v>25</v>
      </c>
      <c r="G32" s="87">
        <f t="shared" si="20"/>
        <v>9</v>
      </c>
      <c r="H32" s="87">
        <f t="shared" si="20"/>
        <v>7</v>
      </c>
      <c r="I32" s="87">
        <f t="shared" si="20"/>
        <v>12</v>
      </c>
      <c r="J32" s="87">
        <f t="shared" si="20"/>
        <v>15</v>
      </c>
      <c r="K32" s="87">
        <f t="shared" si="20"/>
        <v>35</v>
      </c>
      <c r="L32" s="87">
        <f t="shared" si="20"/>
        <v>9</v>
      </c>
      <c r="M32" s="87">
        <f t="shared" si="20"/>
        <v>48</v>
      </c>
      <c r="N32" s="87">
        <f t="shared" si="20"/>
        <v>293</v>
      </c>
      <c r="O32" s="87">
        <f t="shared" si="20"/>
        <v>287</v>
      </c>
      <c r="P32" s="87">
        <f t="shared" si="20"/>
        <v>90</v>
      </c>
      <c r="Q32" s="87">
        <f t="shared" si="20"/>
        <v>148</v>
      </c>
      <c r="R32" s="87">
        <f t="shared" si="20"/>
        <v>266</v>
      </c>
      <c r="S32" s="87">
        <f t="shared" si="20"/>
        <v>144</v>
      </c>
      <c r="T32" s="87">
        <f t="shared" si="20"/>
        <v>298</v>
      </c>
      <c r="U32" s="87">
        <f t="shared" si="20"/>
        <v>462</v>
      </c>
      <c r="V32" s="87">
        <f t="shared" si="20"/>
        <v>306</v>
      </c>
      <c r="W32" s="87">
        <f t="shared" si="20"/>
        <v>335</v>
      </c>
      <c r="X32" s="87">
        <f t="shared" si="20"/>
        <v>294</v>
      </c>
      <c r="Y32" s="87">
        <f t="shared" si="20"/>
        <v>215</v>
      </c>
      <c r="Z32" s="87">
        <f t="shared" si="20"/>
        <v>120</v>
      </c>
      <c r="AA32" s="394">
        <f t="shared" si="20"/>
        <v>97</v>
      </c>
      <c r="AB32" s="394">
        <f t="shared" si="20"/>
        <v>100</v>
      </c>
      <c r="AC32" s="394">
        <f t="shared" si="20"/>
        <v>100</v>
      </c>
    </row>
    <row r="33" spans="1:31" ht="16.5">
      <c r="A33" s="234" t="s">
        <v>5</v>
      </c>
      <c r="B33" s="87">
        <v>767</v>
      </c>
      <c r="C33" s="87">
        <f>C219</f>
        <v>587.99999999999977</v>
      </c>
      <c r="D33" s="87">
        <f t="shared" ref="D33:Y33" si="21">D219</f>
        <v>943.00000000000011</v>
      </c>
      <c r="E33" s="87">
        <f t="shared" si="21"/>
        <v>429.99999999999994</v>
      </c>
      <c r="F33" s="87">
        <f t="shared" si="21"/>
        <v>505.00000000000011</v>
      </c>
      <c r="G33" s="87">
        <f t="shared" si="21"/>
        <v>560</v>
      </c>
      <c r="H33" s="87">
        <f t="shared" si="21"/>
        <v>879.99999999999989</v>
      </c>
      <c r="I33" s="87">
        <f t="shared" si="21"/>
        <v>975.99999999999989</v>
      </c>
      <c r="J33" s="87">
        <f t="shared" si="21"/>
        <v>880.99999999999989</v>
      </c>
      <c r="K33" s="87">
        <f t="shared" si="21"/>
        <v>1281.5</v>
      </c>
      <c r="L33" s="87">
        <f t="shared" si="21"/>
        <v>1338.1</v>
      </c>
      <c r="M33" s="87">
        <f t="shared" si="21"/>
        <v>1151.3</v>
      </c>
      <c r="N33" s="87">
        <f t="shared" si="21"/>
        <v>1868.3999999999999</v>
      </c>
      <c r="O33" s="87">
        <f t="shared" si="21"/>
        <v>2096.8999999999996</v>
      </c>
      <c r="P33" s="87">
        <f t="shared" si="21"/>
        <v>1755.5</v>
      </c>
      <c r="Q33" s="87">
        <f t="shared" si="21"/>
        <v>2535.6999999999998</v>
      </c>
      <c r="R33" s="87">
        <f t="shared" si="21"/>
        <v>2878.3999999999996</v>
      </c>
      <c r="S33" s="87">
        <f t="shared" si="21"/>
        <v>3017.9</v>
      </c>
      <c r="T33" s="87">
        <f t="shared" si="21"/>
        <v>3624.2999999999997</v>
      </c>
      <c r="U33" s="87">
        <f t="shared" si="21"/>
        <v>3135</v>
      </c>
      <c r="V33" s="87">
        <f t="shared" si="21"/>
        <v>4232.1000000000004</v>
      </c>
      <c r="W33" s="87">
        <f t="shared" si="21"/>
        <v>3565.4</v>
      </c>
      <c r="X33" s="87">
        <f t="shared" si="21"/>
        <v>3913.3</v>
      </c>
      <c r="Y33" s="87">
        <f t="shared" si="21"/>
        <v>4850</v>
      </c>
      <c r="Z33" s="394">
        <v>5250</v>
      </c>
      <c r="AA33" s="394">
        <v>5250</v>
      </c>
      <c r="AB33" s="394">
        <v>5250</v>
      </c>
      <c r="AC33" s="394">
        <v>5250</v>
      </c>
    </row>
    <row r="34" spans="1:31" ht="16.5">
      <c r="A34" s="234" t="s">
        <v>6</v>
      </c>
      <c r="B34" s="87">
        <v>0</v>
      </c>
      <c r="C34" s="87">
        <v>5</v>
      </c>
      <c r="D34" s="87">
        <v>0</v>
      </c>
      <c r="E34" s="87">
        <v>30</v>
      </c>
      <c r="F34" s="87">
        <v>15</v>
      </c>
      <c r="G34" s="87">
        <v>30</v>
      </c>
      <c r="H34" s="87">
        <v>0</v>
      </c>
      <c r="I34" s="87">
        <v>0</v>
      </c>
      <c r="J34" s="87">
        <f t="shared" ref="J34:Y34" si="22">J267</f>
        <v>6.7000000000000004E-2</v>
      </c>
      <c r="K34" s="87">
        <f t="shared" si="22"/>
        <v>1.3039999999999998</v>
      </c>
      <c r="L34" s="87">
        <f t="shared" si="22"/>
        <v>0.13100000000000001</v>
      </c>
      <c r="M34" s="87">
        <f t="shared" si="22"/>
        <v>2.3129999999999993</v>
      </c>
      <c r="N34" s="87">
        <f t="shared" si="22"/>
        <v>0.11700000000000001</v>
      </c>
      <c r="O34" s="87">
        <f t="shared" si="22"/>
        <v>0.26600000000000001</v>
      </c>
      <c r="P34" s="87">
        <f t="shared" si="22"/>
        <v>0.873</v>
      </c>
      <c r="Q34" s="87">
        <f t="shared" si="22"/>
        <v>0.495</v>
      </c>
      <c r="R34" s="87">
        <f t="shared" si="22"/>
        <v>1.0760000000000001</v>
      </c>
      <c r="S34" s="87">
        <f t="shared" si="22"/>
        <v>1.147</v>
      </c>
      <c r="T34" s="87">
        <f t="shared" si="22"/>
        <v>1.4180000000000001</v>
      </c>
      <c r="U34" s="87">
        <f t="shared" si="22"/>
        <v>1.5099999999999998</v>
      </c>
      <c r="V34" s="87">
        <f t="shared" si="22"/>
        <v>1.4660000000000002</v>
      </c>
      <c r="W34" s="87">
        <f t="shared" si="22"/>
        <v>1.611</v>
      </c>
      <c r="X34" s="87">
        <f t="shared" si="22"/>
        <v>0.97199999999999998</v>
      </c>
      <c r="Y34" s="87">
        <f t="shared" si="22"/>
        <v>0.29499999999999998</v>
      </c>
      <c r="Z34" s="394">
        <v>1</v>
      </c>
      <c r="AA34" s="394">
        <v>1</v>
      </c>
      <c r="AB34" s="394">
        <v>1</v>
      </c>
      <c r="AC34" s="394">
        <v>1</v>
      </c>
    </row>
    <row r="35" spans="1:31" ht="16.5">
      <c r="A35" s="425" t="s">
        <v>7</v>
      </c>
      <c r="B35" s="426">
        <f>SUM(B32:B34)</f>
        <v>973</v>
      </c>
      <c r="C35" s="426">
        <f t="shared" ref="C35:AC35" si="23">SUM(C32:C34)</f>
        <v>788.99999999999977</v>
      </c>
      <c r="D35" s="426">
        <f t="shared" si="23"/>
        <v>1050</v>
      </c>
      <c r="E35" s="426">
        <f t="shared" si="23"/>
        <v>610</v>
      </c>
      <c r="F35" s="426">
        <f t="shared" si="23"/>
        <v>545.00000000000011</v>
      </c>
      <c r="G35" s="426">
        <f t="shared" si="23"/>
        <v>599</v>
      </c>
      <c r="H35" s="426">
        <f t="shared" si="23"/>
        <v>886.99999999999989</v>
      </c>
      <c r="I35" s="426">
        <f t="shared" si="23"/>
        <v>987.99999999999989</v>
      </c>
      <c r="J35" s="426">
        <f t="shared" si="23"/>
        <v>896.06699999999989</v>
      </c>
      <c r="K35" s="426">
        <f t="shared" si="23"/>
        <v>1317.8040000000001</v>
      </c>
      <c r="L35" s="426">
        <f t="shared" si="23"/>
        <v>1347.231</v>
      </c>
      <c r="M35" s="426">
        <f t="shared" si="23"/>
        <v>1201.6130000000001</v>
      </c>
      <c r="N35" s="426">
        <f t="shared" si="23"/>
        <v>2161.5169999999998</v>
      </c>
      <c r="O35" s="426">
        <f t="shared" si="23"/>
        <v>2384.1659999999997</v>
      </c>
      <c r="P35" s="426">
        <f t="shared" si="23"/>
        <v>1846.373</v>
      </c>
      <c r="Q35" s="426">
        <f t="shared" si="23"/>
        <v>2684.1949999999997</v>
      </c>
      <c r="R35" s="426">
        <f t="shared" si="23"/>
        <v>3145.4759999999997</v>
      </c>
      <c r="S35" s="426">
        <f t="shared" si="23"/>
        <v>3163.047</v>
      </c>
      <c r="T35" s="426">
        <f t="shared" si="23"/>
        <v>3923.7179999999998</v>
      </c>
      <c r="U35" s="426">
        <f t="shared" si="23"/>
        <v>3598.51</v>
      </c>
      <c r="V35" s="426">
        <f t="shared" si="23"/>
        <v>4539.5660000000007</v>
      </c>
      <c r="W35" s="426">
        <f t="shared" si="23"/>
        <v>3902.011</v>
      </c>
      <c r="X35" s="426">
        <f t="shared" si="23"/>
        <v>4208.2719999999999</v>
      </c>
      <c r="Y35" s="426">
        <f t="shared" si="23"/>
        <v>5065.2950000000001</v>
      </c>
      <c r="Z35" s="427">
        <f t="shared" si="23"/>
        <v>5371</v>
      </c>
      <c r="AA35" s="427">
        <f t="shared" si="23"/>
        <v>5348</v>
      </c>
      <c r="AB35" s="427">
        <f t="shared" si="23"/>
        <v>5351</v>
      </c>
      <c r="AC35" s="427">
        <f t="shared" si="23"/>
        <v>5351</v>
      </c>
    </row>
    <row r="36" spans="1:31" ht="16.5">
      <c r="A36" s="234" t="s">
        <v>24</v>
      </c>
      <c r="B36" s="87">
        <f>B41-B40</f>
        <v>384</v>
      </c>
      <c r="C36" s="87">
        <f t="shared" ref="C36:Y36" si="24">C41-C40</f>
        <v>533.99999999999977</v>
      </c>
      <c r="D36" s="87">
        <f t="shared" si="24"/>
        <v>540</v>
      </c>
      <c r="E36" s="87">
        <f t="shared" si="24"/>
        <v>420.9</v>
      </c>
      <c r="F36" s="87">
        <f t="shared" si="24"/>
        <v>356.80000000000007</v>
      </c>
      <c r="G36" s="87">
        <f t="shared" si="24"/>
        <v>382</v>
      </c>
      <c r="H36" s="87">
        <f t="shared" si="24"/>
        <v>425.29499298999991</v>
      </c>
      <c r="I36" s="87">
        <f t="shared" si="24"/>
        <v>411.69999999999982</v>
      </c>
      <c r="J36" s="87">
        <f t="shared" si="24"/>
        <v>415.06689814999982</v>
      </c>
      <c r="K36" s="87">
        <f t="shared" si="24"/>
        <v>401.63400000000013</v>
      </c>
      <c r="L36" s="87">
        <f t="shared" si="24"/>
        <v>327.34100000000012</v>
      </c>
      <c r="M36" s="87">
        <f t="shared" si="24"/>
        <v>251.95200000000023</v>
      </c>
      <c r="N36" s="87">
        <f t="shared" si="24"/>
        <v>288.29099999999994</v>
      </c>
      <c r="O36" s="87">
        <f t="shared" si="24"/>
        <v>467.76399999999967</v>
      </c>
      <c r="P36" s="87">
        <f t="shared" si="24"/>
        <v>361.50600000000009</v>
      </c>
      <c r="Q36" s="87">
        <f t="shared" si="24"/>
        <v>222.97499999999945</v>
      </c>
      <c r="R36" s="87">
        <f t="shared" si="24"/>
        <v>451.05299999999943</v>
      </c>
      <c r="S36" s="87">
        <f t="shared" si="24"/>
        <v>213.83399999999983</v>
      </c>
      <c r="T36" s="87">
        <f t="shared" si="24"/>
        <v>1.7359999999994216</v>
      </c>
      <c r="U36" s="87">
        <f t="shared" si="24"/>
        <v>176.21199999999999</v>
      </c>
      <c r="V36" s="87">
        <f t="shared" si="24"/>
        <v>-117.97699999999895</v>
      </c>
      <c r="W36" s="87">
        <f t="shared" si="24"/>
        <v>-132.46200000000044</v>
      </c>
      <c r="X36" s="87">
        <f t="shared" si="24"/>
        <v>-614.96200000000044</v>
      </c>
      <c r="Y36" s="87">
        <f t="shared" si="24"/>
        <v>-943.43868199999997</v>
      </c>
      <c r="Z36" s="394">
        <f>SUM(Z37:Z39)</f>
        <v>165</v>
      </c>
      <c r="AA36" s="394">
        <f>SUM(AA37:AA39)</f>
        <v>400</v>
      </c>
      <c r="AB36" s="394">
        <f>SUM(AB37:AB39)</f>
        <v>400</v>
      </c>
      <c r="AC36" s="394">
        <f>SUM(AC37:AC39)</f>
        <v>425</v>
      </c>
    </row>
    <row r="37" spans="1:31" ht="16.5">
      <c r="A37" s="234" t="s">
        <v>30</v>
      </c>
      <c r="B37" s="87">
        <v>0</v>
      </c>
      <c r="C37" s="87">
        <v>0</v>
      </c>
      <c r="D37" s="87">
        <v>0</v>
      </c>
      <c r="E37" s="87">
        <v>34</v>
      </c>
      <c r="F37" s="87">
        <v>20</v>
      </c>
      <c r="G37" s="87">
        <v>10</v>
      </c>
      <c r="H37" s="87">
        <v>10</v>
      </c>
      <c r="I37" s="87">
        <v>10</v>
      </c>
      <c r="J37" s="87">
        <v>10</v>
      </c>
      <c r="K37" s="87">
        <v>10</v>
      </c>
      <c r="L37" s="87">
        <v>10</v>
      </c>
      <c r="M37" s="87">
        <v>15</v>
      </c>
      <c r="N37" s="87">
        <v>15</v>
      </c>
      <c r="O37" s="87">
        <v>10</v>
      </c>
      <c r="P37" s="87">
        <v>15</v>
      </c>
      <c r="Q37" s="87">
        <v>15</v>
      </c>
      <c r="R37" s="87">
        <v>10</v>
      </c>
      <c r="S37" s="87">
        <v>30</v>
      </c>
      <c r="T37" s="87">
        <v>30</v>
      </c>
      <c r="U37" s="87">
        <v>30</v>
      </c>
      <c r="V37" s="87">
        <v>30</v>
      </c>
      <c r="W37" s="87">
        <v>30</v>
      </c>
      <c r="X37" s="87">
        <v>30</v>
      </c>
      <c r="Y37" s="87">
        <v>30</v>
      </c>
      <c r="Z37" s="394">
        <v>30</v>
      </c>
      <c r="AA37" s="394">
        <v>275</v>
      </c>
      <c r="AB37" s="394">
        <v>275</v>
      </c>
      <c r="AC37" s="394">
        <v>300</v>
      </c>
    </row>
    <row r="38" spans="1:31" ht="16.5">
      <c r="A38" s="234" t="s">
        <v>31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2</v>
      </c>
      <c r="H38" s="87">
        <v>15</v>
      </c>
      <c r="I38" s="87">
        <v>7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</v>
      </c>
      <c r="R38" s="87">
        <v>0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7">
        <v>0</v>
      </c>
      <c r="Y38" s="87">
        <v>0</v>
      </c>
      <c r="Z38" s="394">
        <v>0</v>
      </c>
      <c r="AA38" s="394">
        <v>0</v>
      </c>
      <c r="AB38" s="394">
        <v>0</v>
      </c>
      <c r="AC38" s="394">
        <v>0</v>
      </c>
    </row>
    <row r="39" spans="1:31" ht="16.5">
      <c r="A39" s="234" t="s">
        <v>32</v>
      </c>
      <c r="B39" s="87">
        <f>B36-B37</f>
        <v>384</v>
      </c>
      <c r="C39" s="87">
        <f t="shared" ref="C39:Y39" si="25">C36-C37</f>
        <v>533.99999999999977</v>
      </c>
      <c r="D39" s="87">
        <f t="shared" si="25"/>
        <v>540</v>
      </c>
      <c r="E39" s="87">
        <f t="shared" si="25"/>
        <v>386.9</v>
      </c>
      <c r="F39" s="87">
        <f t="shared" si="25"/>
        <v>336.80000000000007</v>
      </c>
      <c r="G39" s="87">
        <f t="shared" si="25"/>
        <v>372</v>
      </c>
      <c r="H39" s="87">
        <f t="shared" si="25"/>
        <v>415.29499298999991</v>
      </c>
      <c r="I39" s="87">
        <f t="shared" si="25"/>
        <v>401.69999999999982</v>
      </c>
      <c r="J39" s="87">
        <f t="shared" si="25"/>
        <v>405.06689814999982</v>
      </c>
      <c r="K39" s="87">
        <f t="shared" si="25"/>
        <v>391.63400000000013</v>
      </c>
      <c r="L39" s="87">
        <f t="shared" si="25"/>
        <v>317.34100000000012</v>
      </c>
      <c r="M39" s="87">
        <f t="shared" si="25"/>
        <v>236.95200000000023</v>
      </c>
      <c r="N39" s="87">
        <f t="shared" si="25"/>
        <v>273.29099999999994</v>
      </c>
      <c r="O39" s="87">
        <f t="shared" si="25"/>
        <v>457.76399999999967</v>
      </c>
      <c r="P39" s="87">
        <f t="shared" si="25"/>
        <v>346.50600000000009</v>
      </c>
      <c r="Q39" s="87">
        <f t="shared" si="25"/>
        <v>207.97499999999945</v>
      </c>
      <c r="R39" s="87">
        <f t="shared" si="25"/>
        <v>441.05299999999943</v>
      </c>
      <c r="S39" s="87">
        <f t="shared" si="25"/>
        <v>183.83399999999983</v>
      </c>
      <c r="T39" s="87">
        <f t="shared" si="25"/>
        <v>-28.264000000000578</v>
      </c>
      <c r="U39" s="87">
        <f t="shared" si="25"/>
        <v>146.21199999999999</v>
      </c>
      <c r="V39" s="87">
        <f t="shared" si="25"/>
        <v>-147.97699999999895</v>
      </c>
      <c r="W39" s="87">
        <f t="shared" si="25"/>
        <v>-162.46200000000044</v>
      </c>
      <c r="X39" s="87">
        <f t="shared" si="25"/>
        <v>-644.96200000000044</v>
      </c>
      <c r="Y39" s="87">
        <f t="shared" si="25"/>
        <v>-973.43868199999997</v>
      </c>
      <c r="Z39" s="394">
        <v>135</v>
      </c>
      <c r="AA39" s="394">
        <v>125</v>
      </c>
      <c r="AB39" s="394">
        <v>125</v>
      </c>
      <c r="AC39" s="394">
        <v>125</v>
      </c>
    </row>
    <row r="40" spans="1:31" ht="16.5">
      <c r="A40" s="234" t="s">
        <v>9</v>
      </c>
      <c r="B40" s="87">
        <v>393</v>
      </c>
      <c r="C40" s="87">
        <v>148</v>
      </c>
      <c r="D40" s="87">
        <v>360</v>
      </c>
      <c r="E40" s="87">
        <f t="shared" ref="E40:Y40" si="26">E283</f>
        <v>164.1</v>
      </c>
      <c r="F40" s="87">
        <f t="shared" si="26"/>
        <v>179.20000000000005</v>
      </c>
      <c r="G40" s="87">
        <f t="shared" si="26"/>
        <v>210</v>
      </c>
      <c r="H40" s="87">
        <f t="shared" si="26"/>
        <v>449.70500700999997</v>
      </c>
      <c r="I40" s="87">
        <f t="shared" si="26"/>
        <v>561.30000000000007</v>
      </c>
      <c r="J40" s="87">
        <f t="shared" si="26"/>
        <v>446.00010185000008</v>
      </c>
      <c r="K40" s="87">
        <f t="shared" si="26"/>
        <v>907.17</v>
      </c>
      <c r="L40" s="87">
        <f t="shared" si="26"/>
        <v>971.88999999999987</v>
      </c>
      <c r="M40" s="87">
        <f t="shared" si="26"/>
        <v>656.66099999999983</v>
      </c>
      <c r="N40" s="87">
        <f t="shared" si="26"/>
        <v>1586.2259999999999</v>
      </c>
      <c r="O40" s="87">
        <f t="shared" si="26"/>
        <v>1826.402</v>
      </c>
      <c r="P40" s="87">
        <f t="shared" si="26"/>
        <v>1336.867</v>
      </c>
      <c r="Q40" s="87">
        <f t="shared" si="26"/>
        <v>2195.2200000000003</v>
      </c>
      <c r="R40" s="87">
        <f t="shared" si="26"/>
        <v>2550.4230000000002</v>
      </c>
      <c r="S40" s="87">
        <f t="shared" si="26"/>
        <v>2651.2130000000002</v>
      </c>
      <c r="T40" s="87">
        <f t="shared" si="26"/>
        <v>3459.9820000000004</v>
      </c>
      <c r="U40" s="87">
        <f t="shared" si="26"/>
        <v>3116.2980000000002</v>
      </c>
      <c r="V40" s="87">
        <f t="shared" si="26"/>
        <v>4322.5429999999997</v>
      </c>
      <c r="W40" s="87">
        <f t="shared" si="26"/>
        <v>3740.4730000000004</v>
      </c>
      <c r="X40" s="87">
        <f t="shared" si="26"/>
        <v>4608.2340000000004</v>
      </c>
      <c r="Y40" s="87">
        <f t="shared" si="26"/>
        <v>5888.733682</v>
      </c>
      <c r="Z40" s="394">
        <f>Z41-Z36</f>
        <v>5109</v>
      </c>
      <c r="AA40" s="394">
        <f>AA41-AA36</f>
        <v>4848</v>
      </c>
      <c r="AB40" s="394">
        <f>AB41-AB36</f>
        <v>4851</v>
      </c>
      <c r="AC40" s="394">
        <f>AC41-AC36</f>
        <v>4826</v>
      </c>
    </row>
    <row r="41" spans="1:31" ht="16.5">
      <c r="A41" s="425" t="s">
        <v>12</v>
      </c>
      <c r="B41" s="426">
        <f>B35-B42</f>
        <v>777</v>
      </c>
      <c r="C41" s="426">
        <f t="shared" ref="C41:AC41" si="27">C35-C42</f>
        <v>681.99999999999977</v>
      </c>
      <c r="D41" s="426">
        <f t="shared" si="27"/>
        <v>900</v>
      </c>
      <c r="E41" s="426">
        <f t="shared" si="27"/>
        <v>585</v>
      </c>
      <c r="F41" s="426">
        <f t="shared" si="27"/>
        <v>536.00000000000011</v>
      </c>
      <c r="G41" s="426">
        <f t="shared" si="27"/>
        <v>592</v>
      </c>
      <c r="H41" s="426">
        <f t="shared" si="27"/>
        <v>874.99999999999989</v>
      </c>
      <c r="I41" s="426">
        <f t="shared" si="27"/>
        <v>972.99999999999989</v>
      </c>
      <c r="J41" s="426">
        <f t="shared" si="27"/>
        <v>861.06699999999989</v>
      </c>
      <c r="K41" s="426">
        <f t="shared" si="27"/>
        <v>1308.8040000000001</v>
      </c>
      <c r="L41" s="426">
        <f t="shared" si="27"/>
        <v>1299.231</v>
      </c>
      <c r="M41" s="426">
        <f t="shared" si="27"/>
        <v>908.61300000000006</v>
      </c>
      <c r="N41" s="426">
        <f t="shared" si="27"/>
        <v>1874.5169999999998</v>
      </c>
      <c r="O41" s="426">
        <f t="shared" si="27"/>
        <v>2294.1659999999997</v>
      </c>
      <c r="P41" s="426">
        <f t="shared" si="27"/>
        <v>1698.373</v>
      </c>
      <c r="Q41" s="426">
        <f t="shared" si="27"/>
        <v>2418.1949999999997</v>
      </c>
      <c r="R41" s="426">
        <f t="shared" si="27"/>
        <v>3001.4759999999997</v>
      </c>
      <c r="S41" s="426">
        <f t="shared" si="27"/>
        <v>2865.047</v>
      </c>
      <c r="T41" s="426">
        <f t="shared" si="27"/>
        <v>3461.7179999999998</v>
      </c>
      <c r="U41" s="426">
        <f t="shared" si="27"/>
        <v>3292.51</v>
      </c>
      <c r="V41" s="426">
        <f t="shared" si="27"/>
        <v>4204.5660000000007</v>
      </c>
      <c r="W41" s="426">
        <f t="shared" si="27"/>
        <v>3608.011</v>
      </c>
      <c r="X41" s="426">
        <f t="shared" si="27"/>
        <v>3993.2719999999999</v>
      </c>
      <c r="Y41" s="426">
        <f t="shared" si="27"/>
        <v>4945.2950000000001</v>
      </c>
      <c r="Z41" s="427">
        <f t="shared" si="27"/>
        <v>5274</v>
      </c>
      <c r="AA41" s="427">
        <f t="shared" si="27"/>
        <v>5248</v>
      </c>
      <c r="AB41" s="427">
        <f t="shared" si="27"/>
        <v>5251</v>
      </c>
      <c r="AC41" s="427">
        <f t="shared" si="27"/>
        <v>5251</v>
      </c>
    </row>
    <row r="42" spans="1:31" ht="16.5">
      <c r="A42" s="234" t="s">
        <v>317</v>
      </c>
      <c r="B42" s="87">
        <v>196</v>
      </c>
      <c r="C42" s="87">
        <v>107</v>
      </c>
      <c r="D42" s="87">
        <v>150</v>
      </c>
      <c r="E42" s="87">
        <v>25</v>
      </c>
      <c r="F42" s="87">
        <v>9</v>
      </c>
      <c r="G42" s="87">
        <v>7</v>
      </c>
      <c r="H42" s="87">
        <v>12</v>
      </c>
      <c r="I42" s="87">
        <v>15</v>
      </c>
      <c r="J42" s="87">
        <v>35</v>
      </c>
      <c r="K42" s="87">
        <v>9</v>
      </c>
      <c r="L42" s="87">
        <v>48</v>
      </c>
      <c r="M42" s="87">
        <v>293</v>
      </c>
      <c r="N42" s="87">
        <v>287</v>
      </c>
      <c r="O42" s="87">
        <v>90</v>
      </c>
      <c r="P42" s="87">
        <v>148</v>
      </c>
      <c r="Q42" s="87">
        <v>266</v>
      </c>
      <c r="R42" s="87">
        <v>144</v>
      </c>
      <c r="S42" s="87">
        <v>298</v>
      </c>
      <c r="T42" s="87">
        <v>462</v>
      </c>
      <c r="U42" s="87">
        <v>306</v>
      </c>
      <c r="V42" s="87">
        <v>335</v>
      </c>
      <c r="W42" s="87">
        <v>294</v>
      </c>
      <c r="X42" s="87">
        <v>215</v>
      </c>
      <c r="Y42" s="87">
        <v>120</v>
      </c>
      <c r="Z42" s="394">
        <v>97</v>
      </c>
      <c r="AA42" s="394">
        <v>100</v>
      </c>
      <c r="AB42" s="394">
        <v>100</v>
      </c>
      <c r="AC42" s="394">
        <v>100</v>
      </c>
    </row>
    <row r="43" spans="1:31" ht="15.75" thickBot="1">
      <c r="A43" s="234" t="s">
        <v>225</v>
      </c>
    </row>
    <row r="44" spans="1:31">
      <c r="A44" s="432" t="s">
        <v>227</v>
      </c>
      <c r="B44" s="431"/>
      <c r="C44" s="431"/>
      <c r="D44" s="431"/>
      <c r="E44" s="431"/>
      <c r="F44" s="431"/>
      <c r="G44" s="431"/>
      <c r="H44" s="431"/>
      <c r="I44" s="431"/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431"/>
      <c r="X44" s="431"/>
      <c r="Y44" s="431"/>
      <c r="Z44" s="431"/>
      <c r="AA44" s="431"/>
      <c r="AB44" s="431"/>
      <c r="AC44" s="431"/>
    </row>
    <row r="45" spans="1:31">
      <c r="A45" s="234"/>
      <c r="B45" s="234">
        <v>1993</v>
      </c>
      <c r="C45" s="234">
        <v>1994</v>
      </c>
      <c r="D45" s="234">
        <v>1995</v>
      </c>
      <c r="E45" s="234">
        <v>1996</v>
      </c>
      <c r="F45" s="234">
        <v>1997</v>
      </c>
      <c r="G45" s="234">
        <v>1998</v>
      </c>
      <c r="H45" s="234">
        <v>1999</v>
      </c>
      <c r="I45" s="234">
        <v>2000</v>
      </c>
      <c r="J45" s="234">
        <v>2001</v>
      </c>
      <c r="K45" s="234">
        <v>2002</v>
      </c>
      <c r="L45" s="234">
        <v>2003</v>
      </c>
      <c r="M45" s="234">
        <v>2004</v>
      </c>
      <c r="N45" s="234">
        <v>2005</v>
      </c>
      <c r="O45" s="234">
        <v>2006</v>
      </c>
      <c r="P45" s="234">
        <v>2007</v>
      </c>
      <c r="Q45" s="234">
        <v>2008</v>
      </c>
      <c r="R45" s="234">
        <v>2009</v>
      </c>
      <c r="S45" s="234">
        <v>2010</v>
      </c>
      <c r="T45" s="234">
        <v>2011</v>
      </c>
      <c r="U45" s="234">
        <v>2012</v>
      </c>
      <c r="V45" s="234">
        <v>2013</v>
      </c>
      <c r="W45" s="234">
        <v>2014</v>
      </c>
      <c r="X45" s="234">
        <v>2015</v>
      </c>
      <c r="Y45" s="234">
        <v>2016</v>
      </c>
      <c r="Z45" s="234">
        <v>2017</v>
      </c>
      <c r="AA45" s="234">
        <v>2018</v>
      </c>
      <c r="AB45" s="234">
        <v>2019</v>
      </c>
      <c r="AC45" s="234">
        <v>2020</v>
      </c>
      <c r="AD45" s="234">
        <v>2021</v>
      </c>
    </row>
    <row r="46" spans="1:31" ht="15.75" thickBot="1">
      <c r="A46" s="240" t="s">
        <v>228</v>
      </c>
    </row>
    <row r="47" spans="1:31" ht="15.75" thickBot="1">
      <c r="A47" s="236"/>
      <c r="B47" s="237" t="str">
        <f>B$2</f>
        <v xml:space="preserve">93/94 </v>
      </c>
      <c r="C47" s="237" t="str">
        <f t="shared" ref="C47:AC47" si="28">C$2</f>
        <v xml:space="preserve">94/95 </v>
      </c>
      <c r="D47" s="237" t="str">
        <f t="shared" si="28"/>
        <v xml:space="preserve">95/96 </v>
      </c>
      <c r="E47" s="237" t="str">
        <f t="shared" si="28"/>
        <v xml:space="preserve">96/97 </v>
      </c>
      <c r="F47" s="237" t="str">
        <f t="shared" si="28"/>
        <v xml:space="preserve">97/98 </v>
      </c>
      <c r="G47" s="237" t="str">
        <f t="shared" si="28"/>
        <v xml:space="preserve">98/99 </v>
      </c>
      <c r="H47" s="237" t="str">
        <f t="shared" si="28"/>
        <v xml:space="preserve">99/00 </v>
      </c>
      <c r="I47" s="237" t="str">
        <f t="shared" si="28"/>
        <v xml:space="preserve">00/01 </v>
      </c>
      <c r="J47" s="237" t="str">
        <f t="shared" si="28"/>
        <v xml:space="preserve">01/02 </v>
      </c>
      <c r="K47" s="237" t="str">
        <f t="shared" si="28"/>
        <v xml:space="preserve">02/03 </v>
      </c>
      <c r="L47" s="237" t="str">
        <f t="shared" si="28"/>
        <v xml:space="preserve">03/04 </v>
      </c>
      <c r="M47" s="237" t="str">
        <f t="shared" si="28"/>
        <v xml:space="preserve">04/05 </v>
      </c>
      <c r="N47" s="237" t="str">
        <f t="shared" si="28"/>
        <v xml:space="preserve">05/06 </v>
      </c>
      <c r="O47" s="237" t="str">
        <f t="shared" si="28"/>
        <v xml:space="preserve">06/07 </v>
      </c>
      <c r="P47" s="237" t="str">
        <f t="shared" si="28"/>
        <v xml:space="preserve">07/08 </v>
      </c>
      <c r="Q47" s="237" t="str">
        <f t="shared" si="28"/>
        <v xml:space="preserve">08/09 </v>
      </c>
      <c r="R47" s="237" t="str">
        <f t="shared" si="28"/>
        <v xml:space="preserve">09/10 </v>
      </c>
      <c r="S47" s="237" t="str">
        <f t="shared" si="28"/>
        <v xml:space="preserve">10/11 </v>
      </c>
      <c r="T47" s="237" t="str">
        <f t="shared" si="28"/>
        <v xml:space="preserve">11/12 </v>
      </c>
      <c r="U47" s="237" t="str">
        <f t="shared" si="28"/>
        <v xml:space="preserve">12/13 </v>
      </c>
      <c r="V47" s="237" t="str">
        <f t="shared" si="28"/>
        <v xml:space="preserve">13/14 </v>
      </c>
      <c r="W47" s="237" t="str">
        <f t="shared" si="28"/>
        <v xml:space="preserve">14/15 </v>
      </c>
      <c r="X47" s="237" t="str">
        <f t="shared" si="28"/>
        <v xml:space="preserve">15/16 </v>
      </c>
      <c r="Y47" s="237" t="str">
        <f t="shared" si="28"/>
        <v xml:space="preserve">16/17 </v>
      </c>
      <c r="Z47" s="237" t="str">
        <f t="shared" si="28"/>
        <v xml:space="preserve">17/18 </v>
      </c>
      <c r="AA47" s="237" t="str">
        <f t="shared" si="28"/>
        <v xml:space="preserve">18/19 </v>
      </c>
      <c r="AB47" s="237" t="str">
        <f t="shared" si="28"/>
        <v xml:space="preserve">19/20 </v>
      </c>
      <c r="AC47" s="237" t="str">
        <f t="shared" si="28"/>
        <v xml:space="preserve">20/21 </v>
      </c>
    </row>
    <row r="48" spans="1:31">
      <c r="A48" s="240" t="s">
        <v>238</v>
      </c>
      <c r="B48" s="241">
        <f t="shared" ref="B48:I59" si="29">(SUM(K48:O48)/SUM(K$60:O$60))*B$60</f>
        <v>0</v>
      </c>
      <c r="C48" s="241">
        <f t="shared" si="29"/>
        <v>0</v>
      </c>
      <c r="D48" s="241">
        <f t="shared" si="29"/>
        <v>3.6958661417322842</v>
      </c>
      <c r="E48" s="241">
        <f t="shared" si="29"/>
        <v>0.42978422355854262</v>
      </c>
      <c r="F48" s="241">
        <f t="shared" si="29"/>
        <v>0.4511278195488721</v>
      </c>
      <c r="G48" s="241">
        <f t="shared" si="29"/>
        <v>7.5863445797564377E-2</v>
      </c>
      <c r="H48" s="241">
        <f t="shared" si="29"/>
        <v>0.10343606092809068</v>
      </c>
      <c r="I48" s="241">
        <f t="shared" si="29"/>
        <v>6.2263865800211572E-2</v>
      </c>
      <c r="J48" s="241">
        <v>0.01</v>
      </c>
      <c r="K48" s="242">
        <v>0.01</v>
      </c>
      <c r="L48" s="242">
        <v>0</v>
      </c>
      <c r="M48" s="242">
        <v>0.72599999999999998</v>
      </c>
      <c r="N48" s="242">
        <v>3.0000000000000001E-3</v>
      </c>
      <c r="O48" s="242">
        <v>2E-3</v>
      </c>
      <c r="P48" s="242">
        <v>1.9E-2</v>
      </c>
      <c r="Q48" s="242">
        <v>1E-3</v>
      </c>
      <c r="R48" s="242">
        <v>5.6000000000000001E-2</v>
      </c>
      <c r="S48" s="242">
        <v>3.7999999999999999E-2</v>
      </c>
      <c r="T48" s="242">
        <v>7.5999999999999998E-2</v>
      </c>
      <c r="U48" s="242">
        <v>0.121</v>
      </c>
      <c r="V48" s="242">
        <v>0.121</v>
      </c>
      <c r="W48" s="242">
        <v>9.5000000000000001E-2</v>
      </c>
      <c r="X48" s="242">
        <v>0.114</v>
      </c>
      <c r="Y48" s="242">
        <v>1.9E-2</v>
      </c>
      <c r="Z48" s="242">
        <v>5.0000000000000001E-3</v>
      </c>
      <c r="AA48" s="243">
        <f t="shared" ref="AA48:AC49" si="30">(SUM(U48:Y48)/SUM(U$60:Y$60))*AA$60</f>
        <v>0.46063979927865778</v>
      </c>
      <c r="AB48" s="243">
        <f t="shared" si="30"/>
        <v>0.17185133403238964</v>
      </c>
      <c r="AC48" s="243">
        <f t="shared" si="30"/>
        <v>0.2311146575056835</v>
      </c>
      <c r="AE48" s="244"/>
    </row>
    <row r="49" spans="1:31">
      <c r="A49" s="240" t="s">
        <v>239</v>
      </c>
      <c r="B49" s="241">
        <f t="shared" si="29"/>
        <v>0</v>
      </c>
      <c r="C49" s="241">
        <f t="shared" si="29"/>
        <v>0</v>
      </c>
      <c r="D49" s="241">
        <f t="shared" si="29"/>
        <v>2.5541338582677171</v>
      </c>
      <c r="E49" s="241">
        <f t="shared" si="29"/>
        <v>0.27060488149982309</v>
      </c>
      <c r="F49" s="241">
        <f t="shared" si="29"/>
        <v>0.56390977443609014</v>
      </c>
      <c r="G49" s="241">
        <f t="shared" si="29"/>
        <v>9.8223198243162294E-2</v>
      </c>
      <c r="H49" s="241">
        <f t="shared" si="29"/>
        <v>0.12681544456252214</v>
      </c>
      <c r="I49" s="241">
        <f t="shared" si="29"/>
        <v>7.1180293184222448E-2</v>
      </c>
      <c r="J49" s="241">
        <v>0.01</v>
      </c>
      <c r="K49" s="242">
        <v>3.0000000000000001E-3</v>
      </c>
      <c r="L49" s="242">
        <v>7.0000000000000001E-3</v>
      </c>
      <c r="M49" s="242">
        <v>0.50600000000000001</v>
      </c>
      <c r="N49" s="242">
        <v>0</v>
      </c>
      <c r="O49" s="242">
        <v>1.0999999999999999E-2</v>
      </c>
      <c r="P49" s="242">
        <v>2E-3</v>
      </c>
      <c r="Q49" s="242">
        <v>0</v>
      </c>
      <c r="R49" s="242">
        <v>3.7999999999999999E-2</v>
      </c>
      <c r="S49" s="242">
        <v>9.4E-2</v>
      </c>
      <c r="T49" s="242">
        <v>0.112</v>
      </c>
      <c r="U49" s="242">
        <v>0.114</v>
      </c>
      <c r="V49" s="242">
        <v>0.113</v>
      </c>
      <c r="W49" s="242">
        <v>9.5000000000000001E-2</v>
      </c>
      <c r="X49" s="242">
        <v>0.13200000000000001</v>
      </c>
      <c r="Y49" s="242">
        <v>0.17499999999999999</v>
      </c>
      <c r="Z49" s="242">
        <v>8.1000000000000003E-2</v>
      </c>
      <c r="AA49" s="243">
        <f t="shared" si="30"/>
        <v>0.61647326328994834</v>
      </c>
      <c r="AB49" s="243">
        <f t="shared" si="30"/>
        <v>0.28933162452910793</v>
      </c>
      <c r="AC49" s="243">
        <f t="shared" si="30"/>
        <v>0.36633478492174953</v>
      </c>
      <c r="AE49" s="244"/>
    </row>
    <row r="50" spans="1:31">
      <c r="A50" s="240" t="s">
        <v>240</v>
      </c>
      <c r="B50" s="241">
        <f t="shared" si="29"/>
        <v>0</v>
      </c>
      <c r="C50" s="241">
        <f t="shared" si="29"/>
        <v>0</v>
      </c>
      <c r="D50" s="241">
        <f t="shared" si="29"/>
        <v>0.36417322834645671</v>
      </c>
      <c r="E50" s="241">
        <f t="shared" si="29"/>
        <v>1.3795542978422355</v>
      </c>
      <c r="F50" s="241">
        <f t="shared" si="29"/>
        <v>1.462276380606689</v>
      </c>
      <c r="G50" s="241">
        <f t="shared" si="29"/>
        <v>0.21441405470153718</v>
      </c>
      <c r="H50" s="241">
        <f t="shared" si="29"/>
        <v>0.25611052072263546</v>
      </c>
      <c r="I50" s="241">
        <f t="shared" si="29"/>
        <v>0.13268852954511107</v>
      </c>
      <c r="J50" s="241">
        <v>0.01</v>
      </c>
      <c r="K50" s="242">
        <v>1.4999999999999999E-2</v>
      </c>
      <c r="L50" s="242">
        <v>1.2999999999999999E-2</v>
      </c>
      <c r="M50" s="242">
        <v>1.4E-2</v>
      </c>
      <c r="N50" s="242">
        <v>3.4000000000000002E-2</v>
      </c>
      <c r="O50" s="242">
        <v>1.6E-2</v>
      </c>
      <c r="P50" s="242">
        <v>0.01</v>
      </c>
      <c r="Q50" s="242">
        <v>0</v>
      </c>
      <c r="R50" s="242">
        <v>0.2</v>
      </c>
      <c r="S50" s="242">
        <v>0.15</v>
      </c>
      <c r="T50" s="242">
        <v>0.17699999999999999</v>
      </c>
      <c r="U50" s="242">
        <v>0.19600000000000001</v>
      </c>
      <c r="V50" s="242">
        <v>0.155</v>
      </c>
      <c r="W50" s="242">
        <v>0.16</v>
      </c>
      <c r="X50" s="242">
        <v>0.20399999999999999</v>
      </c>
      <c r="Y50" s="242">
        <v>3.1E-2</v>
      </c>
      <c r="Z50" s="242">
        <v>1.7909999999999999</v>
      </c>
      <c r="AA50" s="243">
        <f t="shared" ref="AA50:AC58" si="31">(SUM(U50:Y50)/SUM(U$60:Y$60))*AA$60</f>
        <v>0.73114317076995472</v>
      </c>
      <c r="AB50" s="243">
        <f t="shared" si="31"/>
        <v>1.136451901044701</v>
      </c>
      <c r="AC50" s="243">
        <f t="shared" si="31"/>
        <v>0.97196635128010556</v>
      </c>
      <c r="AE50" s="244"/>
    </row>
    <row r="51" spans="1:31">
      <c r="A51" s="240" t="s">
        <v>241</v>
      </c>
      <c r="B51" s="241">
        <f t="shared" si="29"/>
        <v>0</v>
      </c>
      <c r="C51" s="241">
        <f t="shared" si="29"/>
        <v>0</v>
      </c>
      <c r="D51" s="241">
        <f t="shared" si="29"/>
        <v>8.8582677165354368E-2</v>
      </c>
      <c r="E51" s="241">
        <f t="shared" si="29"/>
        <v>0.14856738592147153</v>
      </c>
      <c r="F51" s="241">
        <f t="shared" si="29"/>
        <v>0.29556650246305416</v>
      </c>
      <c r="G51" s="241">
        <f t="shared" si="29"/>
        <v>5.3902974645637855E-2</v>
      </c>
      <c r="H51" s="241">
        <f t="shared" si="29"/>
        <v>7.3326248671625932E-2</v>
      </c>
      <c r="I51" s="241">
        <f t="shared" si="29"/>
        <v>3.717696841468944E-2</v>
      </c>
      <c r="J51" s="241">
        <v>1.2999999999999999E-2</v>
      </c>
      <c r="K51" s="242">
        <v>0.26800000000000002</v>
      </c>
      <c r="L51" s="242">
        <v>2.1000000000000001E-2</v>
      </c>
      <c r="M51" s="242">
        <v>8.9999999999999993E-3</v>
      </c>
      <c r="N51" s="242">
        <v>7.0000000000000001E-3</v>
      </c>
      <c r="O51" s="242">
        <v>2E-3</v>
      </c>
      <c r="P51" s="242">
        <v>0</v>
      </c>
      <c r="Q51" s="242">
        <v>0</v>
      </c>
      <c r="R51" s="242">
        <v>1.9E-2</v>
      </c>
      <c r="S51" s="242">
        <v>5.5E-2</v>
      </c>
      <c r="T51" s="242">
        <v>6.0999999999999999E-2</v>
      </c>
      <c r="U51" s="242">
        <v>7.1999999999999995E-2</v>
      </c>
      <c r="V51" s="242">
        <v>3.9E-2</v>
      </c>
      <c r="W51" s="242">
        <v>0.111</v>
      </c>
      <c r="X51" s="242">
        <v>0.18</v>
      </c>
      <c r="Y51" s="242">
        <v>4.3999999999999997E-2</v>
      </c>
      <c r="Z51" s="242">
        <v>3.2709999999999999</v>
      </c>
      <c r="AA51" s="243">
        <f t="shared" si="31"/>
        <v>0.43711776697506666</v>
      </c>
      <c r="AB51" s="243">
        <f t="shared" si="31"/>
        <v>1.7694861936385882</v>
      </c>
      <c r="AC51" s="243">
        <f t="shared" si="31"/>
        <v>1.3471311463692379</v>
      </c>
      <c r="AE51" s="244"/>
    </row>
    <row r="52" spans="1:31">
      <c r="A52" s="240" t="s">
        <v>231</v>
      </c>
      <c r="B52" s="241">
        <f t="shared" si="29"/>
        <v>0</v>
      </c>
      <c r="C52" s="241">
        <f t="shared" si="29"/>
        <v>0</v>
      </c>
      <c r="D52" s="241">
        <f t="shared" si="29"/>
        <v>8.3661417322834664E-2</v>
      </c>
      <c r="E52" s="241">
        <f t="shared" si="29"/>
        <v>0.37672444287230283</v>
      </c>
      <c r="F52" s="241">
        <f t="shared" si="29"/>
        <v>0.65335753176043554</v>
      </c>
      <c r="G52" s="241">
        <f t="shared" si="29"/>
        <v>0.10301457376721899</v>
      </c>
      <c r="H52" s="241">
        <f t="shared" si="29"/>
        <v>0.13177470775770458</v>
      </c>
      <c r="I52" s="241">
        <f t="shared" si="29"/>
        <v>7.072691552062868E-2</v>
      </c>
      <c r="J52" s="262">
        <v>8.9999999999999993E-3</v>
      </c>
      <c r="K52" s="242">
        <v>0.25700000000000001</v>
      </c>
      <c r="L52" s="242">
        <v>1.9E-2</v>
      </c>
      <c r="M52" s="242">
        <v>2E-3</v>
      </c>
      <c r="N52" s="242">
        <v>1E-3</v>
      </c>
      <c r="O52" s="242">
        <v>1.2E-2</v>
      </c>
      <c r="P52" s="242">
        <v>2E-3</v>
      </c>
      <c r="Q52" s="242">
        <v>0</v>
      </c>
      <c r="R52" s="242">
        <v>5.6000000000000001E-2</v>
      </c>
      <c r="S52" s="242">
        <v>9.8000000000000004E-2</v>
      </c>
      <c r="T52" s="242">
        <v>0.10199999999999999</v>
      </c>
      <c r="U52" s="242">
        <v>0.11600000000000001</v>
      </c>
      <c r="V52" s="242">
        <v>9.6000000000000002E-2</v>
      </c>
      <c r="W52" s="242">
        <v>0.12</v>
      </c>
      <c r="X52" s="242">
        <v>6.5000000000000002E-2</v>
      </c>
      <c r="Y52" s="242">
        <v>2.464</v>
      </c>
      <c r="Z52" s="242">
        <v>3.67</v>
      </c>
      <c r="AA52" s="243">
        <f t="shared" si="31"/>
        <v>2.8040222675239144</v>
      </c>
      <c r="AB52" s="243">
        <f t="shared" si="31"/>
        <v>3.114198609654744</v>
      </c>
      <c r="AC52" s="243">
        <f t="shared" si="31"/>
        <v>3.0397104793701071</v>
      </c>
      <c r="AE52" s="244"/>
    </row>
    <row r="53" spans="1:31">
      <c r="A53" s="240" t="s">
        <v>232</v>
      </c>
      <c r="B53" s="241">
        <f t="shared" si="29"/>
        <v>0</v>
      </c>
      <c r="C53" s="241">
        <f t="shared" si="29"/>
        <v>0</v>
      </c>
      <c r="D53" s="241">
        <f t="shared" si="29"/>
        <v>0.11318897637795278</v>
      </c>
      <c r="E53" s="241">
        <f t="shared" si="29"/>
        <v>0.59957552175451012</v>
      </c>
      <c r="F53" s="241">
        <f t="shared" si="29"/>
        <v>0.76225045372050815</v>
      </c>
      <c r="G53" s="241">
        <f t="shared" si="29"/>
        <v>0.11499301257736076</v>
      </c>
      <c r="H53" s="241">
        <f t="shared" si="29"/>
        <v>0.13496280552603612</v>
      </c>
      <c r="I53" s="241">
        <f t="shared" si="29"/>
        <v>8.3874867764848107E-2</v>
      </c>
      <c r="J53" s="262">
        <v>8.9999999999999993E-3</v>
      </c>
      <c r="K53" s="242">
        <v>0.35199999999999998</v>
      </c>
      <c r="L53" s="242">
        <v>1.2999999999999999E-2</v>
      </c>
      <c r="M53" s="242">
        <v>0.02</v>
      </c>
      <c r="N53" s="242">
        <v>0</v>
      </c>
      <c r="O53" s="242">
        <v>3.0000000000000001E-3</v>
      </c>
      <c r="P53" s="242">
        <v>0</v>
      </c>
      <c r="Q53" s="242">
        <v>0</v>
      </c>
      <c r="R53" s="242">
        <v>0.11</v>
      </c>
      <c r="S53" s="242">
        <v>8.3000000000000004E-2</v>
      </c>
      <c r="T53" s="242">
        <v>9.5000000000000001E-2</v>
      </c>
      <c r="U53" s="242">
        <v>9.2999999999999999E-2</v>
      </c>
      <c r="V53" s="242">
        <v>0.17399999999999999</v>
      </c>
      <c r="W53" s="242">
        <v>0.14000000000000001</v>
      </c>
      <c r="X53" s="242">
        <v>5.5E-2</v>
      </c>
      <c r="Y53" s="242">
        <v>7.5780000000000003</v>
      </c>
      <c r="Z53" s="242">
        <v>7.6520000000000001</v>
      </c>
      <c r="AA53" s="243">
        <f t="shared" si="31"/>
        <v>7.8798808217029972</v>
      </c>
      <c r="AB53" s="243">
        <f t="shared" si="31"/>
        <v>7.5726241795797904</v>
      </c>
      <c r="AC53" s="243">
        <f t="shared" si="31"/>
        <v>7.7649805488668164</v>
      </c>
      <c r="AE53" s="244"/>
    </row>
    <row r="54" spans="1:31">
      <c r="A54" s="240" t="s">
        <v>233</v>
      </c>
      <c r="B54" s="241">
        <f t="shared" si="29"/>
        <v>0</v>
      </c>
      <c r="C54" s="241">
        <f t="shared" si="29"/>
        <v>0</v>
      </c>
      <c r="D54" s="241">
        <f t="shared" si="29"/>
        <v>0.18208661417322841</v>
      </c>
      <c r="E54" s="241">
        <f t="shared" si="29"/>
        <v>0.79589671029359743</v>
      </c>
      <c r="F54" s="241">
        <f t="shared" si="29"/>
        <v>0.9722582317863625</v>
      </c>
      <c r="G54" s="241">
        <f t="shared" si="29"/>
        <v>0.16051108005589937</v>
      </c>
      <c r="H54" s="241">
        <f t="shared" si="29"/>
        <v>0.20191285866099895</v>
      </c>
      <c r="I54" s="241">
        <f t="shared" si="29"/>
        <v>0.10306785552365121</v>
      </c>
      <c r="J54" s="262">
        <v>8.0000000000000002E-3</v>
      </c>
      <c r="K54" s="242">
        <v>0.35899999999999999</v>
      </c>
      <c r="L54" s="242">
        <v>2.4E-2</v>
      </c>
      <c r="M54" s="242">
        <v>0.02</v>
      </c>
      <c r="N54" s="242">
        <v>1.2999999999999999E-2</v>
      </c>
      <c r="O54" s="242">
        <v>1E-3</v>
      </c>
      <c r="P54" s="242">
        <v>3.0000000000000001E-3</v>
      </c>
      <c r="Q54" s="242">
        <v>0</v>
      </c>
      <c r="R54" s="242">
        <v>0.13300000000000001</v>
      </c>
      <c r="S54" s="242">
        <v>0.113</v>
      </c>
      <c r="T54" s="242">
        <v>0.153</v>
      </c>
      <c r="U54" s="242">
        <v>0.17100000000000001</v>
      </c>
      <c r="V54" s="242">
        <v>0.112</v>
      </c>
      <c r="W54" s="242">
        <v>0.114</v>
      </c>
      <c r="X54" s="242">
        <v>5.5E-2</v>
      </c>
      <c r="Y54" s="242">
        <v>7.5810000000000004</v>
      </c>
      <c r="Z54" s="243">
        <f>(SUM(T54:X54)/SUM(T$60:X$60))*Z$60-0.3</f>
        <v>2.0846208972337688</v>
      </c>
      <c r="AA54" s="243">
        <f t="shared" si="31"/>
        <v>7.8730202289477846</v>
      </c>
      <c r="AB54" s="243">
        <f t="shared" si="31"/>
        <v>4.8286442663956706</v>
      </c>
      <c r="AC54" s="243">
        <f t="shared" si="31"/>
        <v>5.9000296960568663</v>
      </c>
      <c r="AE54" s="244"/>
    </row>
    <row r="55" spans="1:31">
      <c r="A55" s="240" t="s">
        <v>234</v>
      </c>
      <c r="B55" s="241">
        <f t="shared" si="29"/>
        <v>0</v>
      </c>
      <c r="C55" s="241">
        <f t="shared" si="29"/>
        <v>0</v>
      </c>
      <c r="D55" s="241">
        <f t="shared" si="29"/>
        <v>0.49212598425196863</v>
      </c>
      <c r="E55" s="241">
        <f t="shared" si="29"/>
        <v>0.90201627166607701</v>
      </c>
      <c r="F55" s="241">
        <f t="shared" si="29"/>
        <v>0.96448016593207142</v>
      </c>
      <c r="G55" s="241">
        <f t="shared" si="29"/>
        <v>0.16490317428628468</v>
      </c>
      <c r="H55" s="241">
        <f t="shared" si="29"/>
        <v>0.17357421183138508</v>
      </c>
      <c r="I55" s="241">
        <f t="shared" si="29"/>
        <v>7.8132084025993656E-2</v>
      </c>
      <c r="J55" s="262">
        <v>2E-3</v>
      </c>
      <c r="K55" s="242">
        <v>3.0000000000000001E-3</v>
      </c>
      <c r="L55" s="242">
        <v>2E-3</v>
      </c>
      <c r="M55" s="242">
        <v>5.0000000000000001E-3</v>
      </c>
      <c r="N55" s="242">
        <v>0</v>
      </c>
      <c r="O55" s="242">
        <v>0</v>
      </c>
      <c r="P55" s="242">
        <v>1E-3</v>
      </c>
      <c r="Q55" s="242">
        <v>9.4E-2</v>
      </c>
      <c r="R55" s="242">
        <v>7.4999999999999997E-2</v>
      </c>
      <c r="S55" s="242">
        <v>7.8E-2</v>
      </c>
      <c r="T55" s="242">
        <v>0.16500000000000001</v>
      </c>
      <c r="U55" s="242">
        <v>7.8E-2</v>
      </c>
      <c r="V55" s="242">
        <v>0.121</v>
      </c>
      <c r="W55" s="242">
        <v>0.15</v>
      </c>
      <c r="X55" s="242">
        <v>7.0000000000000007E-2</v>
      </c>
      <c r="Y55" s="242">
        <v>1.9650000000000001</v>
      </c>
      <c r="Z55" s="243">
        <f>(SUM(T55:X55)/SUM(T$60:X$60))*Z$60-1</f>
        <v>1.3018489322058193</v>
      </c>
      <c r="AA55" s="243">
        <f t="shared" si="31"/>
        <v>2.3365218754900425</v>
      </c>
      <c r="AB55" s="243">
        <f t="shared" si="31"/>
        <v>1.7514509943132837</v>
      </c>
      <c r="AC55" s="243">
        <f t="shared" si="31"/>
        <v>1.9402957430482533</v>
      </c>
      <c r="AE55" s="244"/>
    </row>
    <row r="56" spans="1:31">
      <c r="A56" s="240" t="s">
        <v>46</v>
      </c>
      <c r="B56" s="241">
        <f t="shared" si="29"/>
        <v>0</v>
      </c>
      <c r="C56" s="241">
        <f t="shared" si="29"/>
        <v>0</v>
      </c>
      <c r="D56" s="241">
        <f t="shared" si="29"/>
        <v>6.1368110236220481</v>
      </c>
      <c r="E56" s="241">
        <f t="shared" si="29"/>
        <v>1.7934205871949063</v>
      </c>
      <c r="F56" s="241">
        <f t="shared" si="29"/>
        <v>1.7578428830697432</v>
      </c>
      <c r="G56" s="241">
        <f t="shared" si="29"/>
        <v>0.14533839089638648</v>
      </c>
      <c r="H56" s="241">
        <f t="shared" si="29"/>
        <v>0.16861494863620261</v>
      </c>
      <c r="I56" s="241">
        <f t="shared" si="29"/>
        <v>7.9189965241045795E-2</v>
      </c>
      <c r="J56" s="262">
        <v>1.0999999999999999E-2</v>
      </c>
      <c r="K56" s="242">
        <v>6.0000000000000001E-3</v>
      </c>
      <c r="L56" s="242">
        <v>2E-3</v>
      </c>
      <c r="M56" s="242">
        <v>0.98399999999999999</v>
      </c>
      <c r="N56" s="242">
        <v>0</v>
      </c>
      <c r="O56" s="242">
        <v>0.19500000000000001</v>
      </c>
      <c r="P56" s="242">
        <v>0</v>
      </c>
      <c r="Q56" s="242">
        <v>6.8000000000000005E-2</v>
      </c>
      <c r="R56" s="242">
        <v>7.4999999999999997E-2</v>
      </c>
      <c r="S56" s="242">
        <v>0.114</v>
      </c>
      <c r="T56" s="242">
        <v>0.107</v>
      </c>
      <c r="U56" s="242">
        <v>0.112</v>
      </c>
      <c r="V56" s="242">
        <v>0.11600000000000001</v>
      </c>
      <c r="W56" s="242">
        <v>0.16500000000000001</v>
      </c>
      <c r="X56" s="242">
        <v>5.8999999999999997E-2</v>
      </c>
      <c r="Y56" s="242">
        <v>6.4000000000000001E-2</v>
      </c>
      <c r="Z56" s="243">
        <f>(SUM(T56:X56)/SUM(T$60:X$60))*Z$60-0.2</f>
        <v>2.0033108786011176</v>
      </c>
      <c r="AA56" s="243">
        <f t="shared" si="31"/>
        <v>0.50572369452720722</v>
      </c>
      <c r="AB56" s="243">
        <f t="shared" si="31"/>
        <v>1.1686428980742543</v>
      </c>
      <c r="AC56" s="243">
        <f t="shared" si="31"/>
        <v>0.93194722689263398</v>
      </c>
      <c r="AE56" s="244"/>
    </row>
    <row r="57" spans="1:31">
      <c r="A57" s="240" t="s">
        <v>235</v>
      </c>
      <c r="B57" s="241">
        <f t="shared" si="29"/>
        <v>0</v>
      </c>
      <c r="C57" s="241">
        <f t="shared" si="29"/>
        <v>0</v>
      </c>
      <c r="D57" s="241">
        <f t="shared" si="29"/>
        <v>3.0708661417322842</v>
      </c>
      <c r="E57" s="241">
        <f t="shared" si="29"/>
        <v>3.7884683409975235</v>
      </c>
      <c r="F57" s="241">
        <f t="shared" si="29"/>
        <v>3.1540057039149594</v>
      </c>
      <c r="G57" s="241">
        <f t="shared" si="29"/>
        <v>0.38131363545617886</v>
      </c>
      <c r="H57" s="241">
        <f t="shared" si="29"/>
        <v>0.20191285866099895</v>
      </c>
      <c r="I57" s="241">
        <f t="shared" si="29"/>
        <v>8.9466525615837983E-2</v>
      </c>
      <c r="J57" s="262">
        <v>7.0000000000000001E-3</v>
      </c>
      <c r="K57" s="242">
        <v>2.4E-2</v>
      </c>
      <c r="L57" s="242">
        <v>0.02</v>
      </c>
      <c r="M57" s="242">
        <v>4.0000000000000001E-3</v>
      </c>
      <c r="N57" s="242">
        <v>0</v>
      </c>
      <c r="O57" s="242">
        <v>1E-3</v>
      </c>
      <c r="P57" s="242">
        <v>0.52900000000000003</v>
      </c>
      <c r="Q57" s="242">
        <v>0.09</v>
      </c>
      <c r="R57" s="242">
        <v>9.4E-2</v>
      </c>
      <c r="S57" s="242">
        <v>9.7000000000000003E-2</v>
      </c>
      <c r="T57" s="242">
        <v>0.14499999999999999</v>
      </c>
      <c r="U57" s="242">
        <v>0.14399999999999999</v>
      </c>
      <c r="V57" s="242">
        <v>0.112</v>
      </c>
      <c r="W57" s="242">
        <v>0.155</v>
      </c>
      <c r="X57" s="242">
        <v>2.1000000000000001E-2</v>
      </c>
      <c r="Y57" s="242">
        <v>2.8000000000000001E-2</v>
      </c>
      <c r="Z57" s="243">
        <f>(SUM(T57:X57)/SUM(T$60:X$60))*Z$60-0.2</f>
        <v>2.0742582771965026</v>
      </c>
      <c r="AA57" s="243">
        <f t="shared" si="31"/>
        <v>0.45083895248549494</v>
      </c>
      <c r="AB57" s="243">
        <f t="shared" si="31"/>
        <v>1.1603646147406221</v>
      </c>
      <c r="AC57" s="243">
        <f t="shared" si="31"/>
        <v>0.90931110382303482</v>
      </c>
      <c r="AE57" s="244"/>
    </row>
    <row r="58" spans="1:31">
      <c r="A58" s="240" t="s">
        <v>236</v>
      </c>
      <c r="B58" s="241">
        <f t="shared" si="29"/>
        <v>0</v>
      </c>
      <c r="C58" s="241">
        <f t="shared" si="29"/>
        <v>0</v>
      </c>
      <c r="D58" s="241">
        <f t="shared" si="29"/>
        <v>2.1555118110236222</v>
      </c>
      <c r="E58" s="241">
        <f t="shared" si="29"/>
        <v>2.7007428369296074</v>
      </c>
      <c r="F58" s="241">
        <f t="shared" si="29"/>
        <v>2.4112004148301787</v>
      </c>
      <c r="G58" s="241">
        <f t="shared" si="29"/>
        <v>0.29866240766620084</v>
      </c>
      <c r="H58" s="241">
        <f t="shared" si="29"/>
        <v>0.21006021962451293</v>
      </c>
      <c r="I58" s="241">
        <f t="shared" si="29"/>
        <v>9.4302554027504912E-2</v>
      </c>
      <c r="J58" s="262">
        <v>0</v>
      </c>
      <c r="K58" s="242">
        <v>3.0000000000000001E-3</v>
      </c>
      <c r="L58" s="242">
        <v>0.01</v>
      </c>
      <c r="M58" s="242">
        <v>1.7999999999999999E-2</v>
      </c>
      <c r="N58" s="242">
        <v>3.0000000000000001E-3</v>
      </c>
      <c r="O58" s="242">
        <v>3.0000000000000001E-3</v>
      </c>
      <c r="P58" s="242">
        <v>0.307</v>
      </c>
      <c r="Q58" s="242">
        <v>0.107</v>
      </c>
      <c r="R58" s="242">
        <v>8.8999999999999996E-2</v>
      </c>
      <c r="S58" s="242">
        <v>0.114</v>
      </c>
      <c r="T58" s="242">
        <v>0.13100000000000001</v>
      </c>
      <c r="U58" s="242">
        <v>0.152</v>
      </c>
      <c r="V58" s="242">
        <v>0.13800000000000001</v>
      </c>
      <c r="W58" s="242">
        <v>0.13900000000000001</v>
      </c>
      <c r="X58" s="242">
        <v>0</v>
      </c>
      <c r="Y58" s="242">
        <v>0</v>
      </c>
      <c r="Z58" s="243">
        <f>(SUM(T58:X58)/SUM(T$60:X$60))*Z$60-0.3</f>
        <v>1.9072524007453062</v>
      </c>
      <c r="AA58" s="243">
        <f t="shared" si="31"/>
        <v>0.42045632742668981</v>
      </c>
      <c r="AB58" s="243">
        <f t="shared" si="31"/>
        <v>1.0603578783376568</v>
      </c>
      <c r="AC58" s="243">
        <f t="shared" si="31"/>
        <v>0.82188557154680553</v>
      </c>
      <c r="AE58" s="244"/>
    </row>
    <row r="59" spans="1:31">
      <c r="A59" s="240" t="s">
        <v>237</v>
      </c>
      <c r="B59" s="241">
        <f t="shared" si="29"/>
        <v>0</v>
      </c>
      <c r="C59" s="241">
        <f t="shared" si="29"/>
        <v>0</v>
      </c>
      <c r="D59" s="241">
        <f t="shared" si="29"/>
        <v>1.0629921259842523</v>
      </c>
      <c r="E59" s="241">
        <f t="shared" si="29"/>
        <v>1.8146444994694022</v>
      </c>
      <c r="F59" s="241">
        <f t="shared" si="29"/>
        <v>1.5517241379310345</v>
      </c>
      <c r="G59" s="241">
        <f t="shared" si="29"/>
        <v>0.18886005190656815</v>
      </c>
      <c r="H59" s="241">
        <f t="shared" si="29"/>
        <v>0.21749911441728659</v>
      </c>
      <c r="I59" s="241">
        <f t="shared" si="29"/>
        <v>9.7929575336255098E-2</v>
      </c>
      <c r="J59" s="262">
        <v>8.0000000000000002E-3</v>
      </c>
      <c r="K59" s="242">
        <v>4.0000000000000001E-3</v>
      </c>
      <c r="L59" s="242">
        <v>0</v>
      </c>
      <c r="M59" s="242">
        <v>5.0000000000000001E-3</v>
      </c>
      <c r="N59" s="242">
        <v>5.6000000000000001E-2</v>
      </c>
      <c r="O59" s="242">
        <v>0.02</v>
      </c>
      <c r="P59" s="242">
        <v>0</v>
      </c>
      <c r="Q59" s="242">
        <v>0.13500000000000001</v>
      </c>
      <c r="R59" s="242">
        <v>0.13100000000000001</v>
      </c>
      <c r="S59" s="242">
        <v>0.113</v>
      </c>
      <c r="T59" s="242">
        <v>9.4E-2</v>
      </c>
      <c r="U59" s="242">
        <v>0.14099999999999999</v>
      </c>
      <c r="V59" s="242">
        <v>0.16900000000000001</v>
      </c>
      <c r="W59" s="242">
        <v>0.16700000000000001</v>
      </c>
      <c r="X59" s="242">
        <v>1.7000000000000001E-2</v>
      </c>
      <c r="Y59" s="242">
        <v>0</v>
      </c>
      <c r="Z59" s="243">
        <f>Z60-SUM(Z48:Z58)</f>
        <v>1.6587086140174883</v>
      </c>
      <c r="AA59" s="243">
        <f>AA60-SUM(AA48:AA58)</f>
        <v>0.48416183158224158</v>
      </c>
      <c r="AB59" s="243">
        <f>AB60-SUM(AB48:AB58)</f>
        <v>0.97659550565919062</v>
      </c>
      <c r="AC59" s="243">
        <f>AC60-SUM(AC48:AC58)</f>
        <v>0.77529269031870385</v>
      </c>
      <c r="AE59" s="244"/>
    </row>
    <row r="60" spans="1:31" ht="15.75" thickBot="1">
      <c r="A60" s="240" t="s">
        <v>242</v>
      </c>
      <c r="B60" s="245">
        <f t="shared" ref="B60:I60" si="32">B10</f>
        <v>0</v>
      </c>
      <c r="C60" s="245">
        <f t="shared" si="32"/>
        <v>0</v>
      </c>
      <c r="D60" s="245">
        <f t="shared" si="32"/>
        <v>20</v>
      </c>
      <c r="E60" s="245">
        <f t="shared" si="32"/>
        <v>15</v>
      </c>
      <c r="F60" s="245">
        <f t="shared" si="32"/>
        <v>15</v>
      </c>
      <c r="G60" s="245">
        <f t="shared" si="32"/>
        <v>2</v>
      </c>
      <c r="H60" s="245">
        <f t="shared" si="32"/>
        <v>2</v>
      </c>
      <c r="I60" s="245">
        <f t="shared" si="32"/>
        <v>1</v>
      </c>
      <c r="J60" s="245">
        <f>SUM(J48:J59)</f>
        <v>9.7000000000000003E-2</v>
      </c>
      <c r="K60" s="245">
        <f>SUM(K48:K59)</f>
        <v>1.3039999999999998</v>
      </c>
      <c r="L60" s="245">
        <f t="shared" ref="L60:Y60" si="33">SUM(L48:L59)</f>
        <v>0.13100000000000001</v>
      </c>
      <c r="M60" s="245">
        <f t="shared" si="33"/>
        <v>2.3129999999999993</v>
      </c>
      <c r="N60" s="245">
        <f t="shared" si="33"/>
        <v>0.11700000000000001</v>
      </c>
      <c r="O60" s="245">
        <f t="shared" si="33"/>
        <v>0.26600000000000001</v>
      </c>
      <c r="P60" s="245">
        <f t="shared" si="33"/>
        <v>0.873</v>
      </c>
      <c r="Q60" s="245">
        <f t="shared" si="33"/>
        <v>0.495</v>
      </c>
      <c r="R60" s="245">
        <f t="shared" si="33"/>
        <v>1.0760000000000001</v>
      </c>
      <c r="S60" s="245">
        <f t="shared" si="33"/>
        <v>1.147</v>
      </c>
      <c r="T60" s="245">
        <f t="shared" si="33"/>
        <v>1.4180000000000001</v>
      </c>
      <c r="U60" s="245">
        <f t="shared" si="33"/>
        <v>1.5099999999999998</v>
      </c>
      <c r="V60" s="245">
        <f t="shared" si="33"/>
        <v>1.4660000000000002</v>
      </c>
      <c r="W60" s="245">
        <f t="shared" si="33"/>
        <v>1.611</v>
      </c>
      <c r="X60" s="245">
        <f t="shared" si="33"/>
        <v>0.97199999999999998</v>
      </c>
      <c r="Y60" s="245">
        <f t="shared" si="33"/>
        <v>19.948999999999998</v>
      </c>
      <c r="Z60" s="247">
        <f>Z10</f>
        <v>27.5</v>
      </c>
      <c r="AA60" s="247">
        <f>AA10</f>
        <v>25</v>
      </c>
      <c r="AB60" s="247">
        <f>AB10</f>
        <v>25</v>
      </c>
      <c r="AC60" s="247">
        <f>AC10</f>
        <v>25</v>
      </c>
    </row>
    <row r="61" spans="1:31">
      <c r="A61" s="248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</row>
    <row r="62" spans="1:31" ht="15.75" thickBot="1">
      <c r="A62" s="240" t="s">
        <v>243</v>
      </c>
      <c r="J62" s="355"/>
    </row>
    <row r="63" spans="1:31" ht="15.75" thickBot="1">
      <c r="A63" s="236"/>
      <c r="B63" s="237" t="str">
        <f>B$2</f>
        <v xml:space="preserve">93/94 </v>
      </c>
      <c r="C63" s="237" t="str">
        <f t="shared" ref="C63:AC63" si="34">C$2</f>
        <v xml:space="preserve">94/95 </v>
      </c>
      <c r="D63" s="237" t="str">
        <f t="shared" si="34"/>
        <v xml:space="preserve">95/96 </v>
      </c>
      <c r="E63" s="237" t="str">
        <f t="shared" si="34"/>
        <v xml:space="preserve">96/97 </v>
      </c>
      <c r="F63" s="237" t="str">
        <f t="shared" si="34"/>
        <v xml:space="preserve">97/98 </v>
      </c>
      <c r="G63" s="237" t="str">
        <f t="shared" si="34"/>
        <v xml:space="preserve">98/99 </v>
      </c>
      <c r="H63" s="237" t="str">
        <f t="shared" si="34"/>
        <v xml:space="preserve">99/00 </v>
      </c>
      <c r="I63" s="237" t="str">
        <f t="shared" si="34"/>
        <v xml:space="preserve">00/01 </v>
      </c>
      <c r="J63" s="237" t="str">
        <f t="shared" si="34"/>
        <v xml:space="preserve">01/02 </v>
      </c>
      <c r="K63" s="237" t="str">
        <f t="shared" si="34"/>
        <v xml:space="preserve">02/03 </v>
      </c>
      <c r="L63" s="237" t="str">
        <f t="shared" si="34"/>
        <v xml:space="preserve">03/04 </v>
      </c>
      <c r="M63" s="237" t="str">
        <f t="shared" si="34"/>
        <v xml:space="preserve">04/05 </v>
      </c>
      <c r="N63" s="237" t="str">
        <f t="shared" si="34"/>
        <v xml:space="preserve">05/06 </v>
      </c>
      <c r="O63" s="237" t="str">
        <f t="shared" si="34"/>
        <v xml:space="preserve">06/07 </v>
      </c>
      <c r="P63" s="237" t="str">
        <f t="shared" si="34"/>
        <v xml:space="preserve">07/08 </v>
      </c>
      <c r="Q63" s="237" t="str">
        <f t="shared" si="34"/>
        <v xml:space="preserve">08/09 </v>
      </c>
      <c r="R63" s="237" t="str">
        <f t="shared" si="34"/>
        <v xml:space="preserve">09/10 </v>
      </c>
      <c r="S63" s="237" t="str">
        <f t="shared" si="34"/>
        <v xml:space="preserve">10/11 </v>
      </c>
      <c r="T63" s="237" t="str">
        <f t="shared" si="34"/>
        <v xml:space="preserve">11/12 </v>
      </c>
      <c r="U63" s="237" t="str">
        <f t="shared" si="34"/>
        <v xml:space="preserve">12/13 </v>
      </c>
      <c r="V63" s="237" t="str">
        <f t="shared" si="34"/>
        <v xml:space="preserve">13/14 </v>
      </c>
      <c r="W63" s="237" t="str">
        <f t="shared" si="34"/>
        <v xml:space="preserve">14/15 </v>
      </c>
      <c r="X63" s="237" t="str">
        <f t="shared" si="34"/>
        <v xml:space="preserve">15/16 </v>
      </c>
      <c r="Y63" s="237" t="str">
        <f t="shared" si="34"/>
        <v xml:space="preserve">16/17 </v>
      </c>
      <c r="Z63" s="237" t="str">
        <f t="shared" si="34"/>
        <v xml:space="preserve">17/18 </v>
      </c>
      <c r="AA63" s="237" t="str">
        <f t="shared" si="34"/>
        <v xml:space="preserve">18/19 </v>
      </c>
      <c r="AB63" s="237" t="str">
        <f t="shared" si="34"/>
        <v xml:space="preserve">19/20 </v>
      </c>
      <c r="AC63" s="237" t="str">
        <f t="shared" si="34"/>
        <v xml:space="preserve">20/21 </v>
      </c>
    </row>
    <row r="64" spans="1:31">
      <c r="A64" s="240" t="s">
        <v>238</v>
      </c>
      <c r="B64" s="241">
        <f>(SUM(K64:O64)/SUM(K$76:O$76))*B$76</f>
        <v>1.0780191547249218</v>
      </c>
      <c r="C64" s="146">
        <f>'[2]Ukraine Sunflower Exports'!AR$290</f>
        <v>12.5</v>
      </c>
      <c r="D64" s="146">
        <f>'[2]Ukraine Sunflower Exports'!BD$290</f>
        <v>9.1999999999999993</v>
      </c>
      <c r="E64" s="146">
        <f>'[2]Ukraine Sunflower Exports'!BP$290</f>
        <v>45.7</v>
      </c>
      <c r="F64" s="146">
        <f>'[2]Ukraine Sunflower Exports'!CB$290</f>
        <v>0.8</v>
      </c>
      <c r="G64" s="146">
        <f>'[2]Ukraine Sunflower Exports'!CN$290</f>
        <v>15.5</v>
      </c>
      <c r="H64" s="146">
        <f>'[2]Ukraine Sunflower Exports'!CZ$290</f>
        <v>15</v>
      </c>
      <c r="I64" s="146">
        <f>'[2]Ukraine Sunflower Exports'!DL$290</f>
        <v>23.8</v>
      </c>
      <c r="J64" s="146">
        <f>'[2]Ukraine Sunflower Exports'!DX$290</f>
        <v>0.3</v>
      </c>
      <c r="K64" s="146">
        <f>'[2]Ukraine Sunflower Exports'!EJ$290</f>
        <v>0.14085</v>
      </c>
      <c r="L64" s="146">
        <f>'[2]Ukraine Sunflower Exports'!EV$290</f>
        <v>7.6980000000000004</v>
      </c>
      <c r="M64" s="146">
        <f>'[2]Ukraine Sunflower Exports'!FH$290</f>
        <v>0.11</v>
      </c>
      <c r="N64" s="146">
        <f>'[2]Ukraine Sunflower Exports'!FT$290</f>
        <v>0.185</v>
      </c>
      <c r="O64" s="146">
        <f>'[2]Ukraine Sunflower Exports'!GF$290</f>
        <v>0.67100000000000004</v>
      </c>
      <c r="P64" s="146">
        <f>'[2]Ukraine Sunflower Exports'!GR$290</f>
        <v>2.21</v>
      </c>
      <c r="Q64" s="146">
        <f>'[2]Ukraine Sunflower Exports'!HD$290</f>
        <v>0.38400000000000001</v>
      </c>
      <c r="R64" s="146">
        <f>'[2]Ukraine Sunflower Exports'!HP$290</f>
        <v>6.66</v>
      </c>
      <c r="S64" s="146">
        <f>'[2]Ukraine Sunflower Exports'!IB$290</f>
        <v>2.851</v>
      </c>
      <c r="T64" s="146">
        <f>'[2]Ukraine Sunflower Exports'!IN$290</f>
        <v>4.4059999999999997</v>
      </c>
      <c r="U64" s="146">
        <f>'[2]Ukraine Sunflower Exports'!IZ$290</f>
        <v>5.8550000000000004</v>
      </c>
      <c r="V64" s="146">
        <f>'[2]Ukraine Sunflower Exports'!JL$290</f>
        <v>3.0710000000000002</v>
      </c>
      <c r="W64" s="146">
        <f>'[2]Ukraine Sunflower Exports'!JX$290</f>
        <v>3.9729999999999999</v>
      </c>
      <c r="X64" s="146">
        <f>'[2]Ukraine Sunflower Exports'!KJ$290</f>
        <v>1.3939999999999999</v>
      </c>
      <c r="Y64" s="146">
        <f>'[2]Ukraine Sunflower Exports'!KV$290</f>
        <v>3.14</v>
      </c>
      <c r="Z64" s="146">
        <f>'[2]Ukraine Sunflower Exports'!LH$290</f>
        <v>2.342498</v>
      </c>
      <c r="AA64" s="253">
        <f t="shared" ref="AA64:AC74" si="35">(SUM(U64:Y64)/SUM(U$76:Y$76))*AA$76</f>
        <v>2.5527618220767798</v>
      </c>
      <c r="AB64" s="253">
        <f t="shared" si="35"/>
        <v>2.2672137518324686</v>
      </c>
      <c r="AC64" s="253">
        <f t="shared" si="35"/>
        <v>2.1559955858827715</v>
      </c>
    </row>
    <row r="65" spans="1:31">
      <c r="A65" s="240" t="s">
        <v>239</v>
      </c>
      <c r="B65" s="241">
        <f t="shared" ref="B65:B74" si="36">(SUM(K65:O65)/SUM(K$76:O$76))*B$76</f>
        <v>21.153655026218321</v>
      </c>
      <c r="C65" s="146">
        <f>'[2]Ukraine Sunflower Exports'!AS$290</f>
        <v>14.4</v>
      </c>
      <c r="D65" s="146">
        <f>'[2]Ukraine Sunflower Exports'!BE$290</f>
        <v>8.5</v>
      </c>
      <c r="E65" s="146">
        <f>'[2]Ukraine Sunflower Exports'!BQ$290</f>
        <v>34.200000000000003</v>
      </c>
      <c r="F65" s="146">
        <f>'[2]Ukraine Sunflower Exports'!CC$290</f>
        <v>70</v>
      </c>
      <c r="G65" s="146">
        <f>'[2]Ukraine Sunflower Exports'!CO$290</f>
        <v>108</v>
      </c>
      <c r="H65" s="146">
        <f>'[2]Ukraine Sunflower Exports'!DA$290</f>
        <v>16.909493000000001</v>
      </c>
      <c r="I65" s="146">
        <f>'[2]Ukraine Sunflower Exports'!DM$290</f>
        <v>56.2</v>
      </c>
      <c r="J65" s="146">
        <f>'[2]Ukraine Sunflower Exports'!DY$290</f>
        <v>20.957678999999995</v>
      </c>
      <c r="K65" s="146">
        <f>'[2]Ukraine Sunflower Exports'!EK$290</f>
        <v>0.66900000000000004</v>
      </c>
      <c r="L65" s="146">
        <f>'[2]Ukraine Sunflower Exports'!EW$290</f>
        <v>163.42099999999999</v>
      </c>
      <c r="M65" s="146">
        <f>'[2]Ukraine Sunflower Exports'!FI$290</f>
        <v>0.80800000000000005</v>
      </c>
      <c r="N65" s="146">
        <f>'[2]Ukraine Sunflower Exports'!FU$290</f>
        <v>1.109</v>
      </c>
      <c r="O65" s="146">
        <f>'[2]Ukraine Sunflower Exports'!GG$290</f>
        <v>6.7679999999999998</v>
      </c>
      <c r="P65" s="146">
        <f>'[2]Ukraine Sunflower Exports'!GS$290</f>
        <v>4.3490000000000002</v>
      </c>
      <c r="Q65" s="146">
        <f>'[2]Ukraine Sunflower Exports'!HE$290</f>
        <v>0.60299999999999998</v>
      </c>
      <c r="R65" s="146">
        <f>'[2]Ukraine Sunflower Exports'!HQ$290</f>
        <v>18.271000000000001</v>
      </c>
      <c r="S65" s="146">
        <f>'[2]Ukraine Sunflower Exports'!IC$290</f>
        <v>5.23</v>
      </c>
      <c r="T65" s="146">
        <f>'[2]Ukraine Sunflower Exports'!IO$290</f>
        <v>26.401</v>
      </c>
      <c r="U65" s="146">
        <f>'[2]Ukraine Sunflower Exports'!JA$290</f>
        <v>28.148</v>
      </c>
      <c r="V65" s="146">
        <f>'[2]Ukraine Sunflower Exports'!JM$290</f>
        <v>4.2709999999999999</v>
      </c>
      <c r="W65" s="146">
        <f>'[2]Ukraine Sunflower Exports'!JY$290</f>
        <v>7.0590000000000002</v>
      </c>
      <c r="X65" s="146">
        <f>'[2]Ukraine Sunflower Exports'!KK$290</f>
        <v>7.4480000000000004</v>
      </c>
      <c r="Y65" s="146">
        <f>'[2]Ukraine Sunflower Exports'!KW$290</f>
        <v>21.945</v>
      </c>
      <c r="Z65" s="146">
        <f>'[2]Ukraine Sunflower Exports'!LI$290</f>
        <v>3.6245530000000001</v>
      </c>
      <c r="AA65" s="253">
        <f t="shared" si="35"/>
        <v>10.084968705802208</v>
      </c>
      <c r="AB65" s="253">
        <f t="shared" si="35"/>
        <v>7.2228293859687511</v>
      </c>
      <c r="AC65" s="253">
        <f t="shared" si="35"/>
        <v>8.0693868656930743</v>
      </c>
    </row>
    <row r="66" spans="1:31">
      <c r="A66" s="240" t="s">
        <v>240</v>
      </c>
      <c r="B66" s="241">
        <f t="shared" si="36"/>
        <v>21.262621907846647</v>
      </c>
      <c r="C66" s="146">
        <f>'[2]Ukraine Sunflower Exports'!AT$290</f>
        <v>13.9</v>
      </c>
      <c r="D66" s="146">
        <f>'[2]Ukraine Sunflower Exports'!BF$290</f>
        <v>5.5</v>
      </c>
      <c r="E66" s="146">
        <f>'[2]Ukraine Sunflower Exports'!BR$290</f>
        <v>61.7</v>
      </c>
      <c r="F66" s="146">
        <f>'[2]Ukraine Sunflower Exports'!CD$290</f>
        <v>166.1</v>
      </c>
      <c r="G66" s="146">
        <f>'[2]Ukraine Sunflower Exports'!CP$290</f>
        <v>120</v>
      </c>
      <c r="H66" s="146">
        <f>'[2]Ukraine Sunflower Exports'!DB$290</f>
        <v>27.558482999999999</v>
      </c>
      <c r="I66" s="146">
        <f>'[2]Ukraine Sunflower Exports'!DN$290</f>
        <v>172.8</v>
      </c>
      <c r="J66" s="146">
        <f>'[2]Ukraine Sunflower Exports'!DZ$290</f>
        <v>17.154117999999997</v>
      </c>
      <c r="K66" s="146">
        <f>'[2]Ukraine Sunflower Exports'!EL$290</f>
        <v>6.0810000000000004</v>
      </c>
      <c r="L66" s="146">
        <f>'[2]Ukraine Sunflower Exports'!EX$290</f>
        <v>161.477</v>
      </c>
      <c r="M66" s="146">
        <f>'[2]Ukraine Sunflower Exports'!FJ$290</f>
        <v>1.417</v>
      </c>
      <c r="N66" s="146">
        <f>'[2]Ukraine Sunflower Exports'!FV$290</f>
        <v>1.581</v>
      </c>
      <c r="O66" s="146">
        <f>'[2]Ukraine Sunflower Exports'!GH$290</f>
        <v>3.109</v>
      </c>
      <c r="P66" s="146">
        <f>'[2]Ukraine Sunflower Exports'!GT$290</f>
        <v>34.472999999999999</v>
      </c>
      <c r="Q66" s="146">
        <f>'[2]Ukraine Sunflower Exports'!HF$290</f>
        <v>36.338999999999999</v>
      </c>
      <c r="R66" s="146">
        <f>'[2]Ukraine Sunflower Exports'!HR$290</f>
        <v>18.459</v>
      </c>
      <c r="S66" s="146">
        <f>'[2]Ukraine Sunflower Exports'!ID$290</f>
        <v>22.962</v>
      </c>
      <c r="T66" s="146">
        <f>'[2]Ukraine Sunflower Exports'!IP$290</f>
        <v>19.614000000000001</v>
      </c>
      <c r="U66" s="146">
        <f>'[2]Ukraine Sunflower Exports'!JB$290</f>
        <v>20.009</v>
      </c>
      <c r="V66" s="146">
        <f>'[2]Ukraine Sunflower Exports'!JN$290</f>
        <v>4.3650000000000002</v>
      </c>
      <c r="W66" s="146">
        <f>'[2]Ukraine Sunflower Exports'!JZ$290</f>
        <v>4.468</v>
      </c>
      <c r="X66" s="146">
        <f>'[2]Ukraine Sunflower Exports'!KL$290</f>
        <v>7.0190000000000001</v>
      </c>
      <c r="Y66" s="146">
        <f>'[2]Ukraine Sunflower Exports'!KX$290</f>
        <v>80.474000000000004</v>
      </c>
      <c r="Z66" s="146">
        <f>'[2]Ukraine Sunflower Exports'!LJ$290</f>
        <v>3.9076900000000001</v>
      </c>
      <c r="AA66" s="253">
        <f t="shared" si="35"/>
        <v>17.035251911392315</v>
      </c>
      <c r="AB66" s="253">
        <f t="shared" si="35"/>
        <v>16.324933229034809</v>
      </c>
      <c r="AC66" s="253">
        <f t="shared" si="35"/>
        <v>18.162638511809334</v>
      </c>
    </row>
    <row r="67" spans="1:31">
      <c r="A67" s="240" t="s">
        <v>241</v>
      </c>
      <c r="B67" s="241">
        <f t="shared" si="36"/>
        <v>40.396839017685608</v>
      </c>
      <c r="C67" s="146">
        <f>'[2]Ukraine Sunflower Exports'!AU$290</f>
        <v>45.7</v>
      </c>
      <c r="D67" s="146">
        <f>'[2]Ukraine Sunflower Exports'!BG$290</f>
        <v>62.5</v>
      </c>
      <c r="E67" s="146">
        <f>'[2]Ukraine Sunflower Exports'!BS$290</f>
        <v>329.8</v>
      </c>
      <c r="F67" s="146">
        <f>'[2]Ukraine Sunflower Exports'!CE$290</f>
        <v>176</v>
      </c>
      <c r="G67" s="146">
        <f>'[2]Ukraine Sunflower Exports'!CQ$290</f>
        <v>228</v>
      </c>
      <c r="H67" s="146">
        <f>'[2]Ukraine Sunflower Exports'!DC$290</f>
        <v>33.729453999999997</v>
      </c>
      <c r="I67" s="146">
        <f>'[2]Ukraine Sunflower Exports'!DO$290</f>
        <v>257.10000000000002</v>
      </c>
      <c r="J67" s="146">
        <f>'[2]Ukraine Sunflower Exports'!EA$290</f>
        <v>15.324408</v>
      </c>
      <c r="K67" s="146">
        <f>'[2]Ukraine Sunflower Exports'!EM$290</f>
        <v>33.289000000000001</v>
      </c>
      <c r="L67" s="146">
        <f>'[2]Ukraine Sunflower Exports'!EY$290</f>
        <v>244.358</v>
      </c>
      <c r="M67" s="146">
        <f>'[2]Ukraine Sunflower Exports'!FK$290</f>
        <v>1.095</v>
      </c>
      <c r="N67" s="146">
        <f>'[2]Ukraine Sunflower Exports'!FW$290</f>
        <v>24.593</v>
      </c>
      <c r="O67" s="146">
        <f>'[2]Ukraine Sunflower Exports'!GI$290</f>
        <v>26.611000000000001</v>
      </c>
      <c r="P67" s="146">
        <f>'[2]Ukraine Sunflower Exports'!GU$290</f>
        <v>30.196000000000002</v>
      </c>
      <c r="Q67" s="146">
        <f>'[2]Ukraine Sunflower Exports'!HG$290</f>
        <v>55.652000000000001</v>
      </c>
      <c r="R67" s="146">
        <f>'[2]Ukraine Sunflower Exports'!HS$290</f>
        <v>10.145</v>
      </c>
      <c r="S67" s="146">
        <f>'[2]Ukraine Sunflower Exports'!IE$290</f>
        <v>78.774000000000001</v>
      </c>
      <c r="T67" s="146">
        <f>'[2]Ukraine Sunflower Exports'!IQ$290</f>
        <v>21.01</v>
      </c>
      <c r="U67" s="146">
        <f>'[2]Ukraine Sunflower Exports'!JC$290</f>
        <v>17.344000000000001</v>
      </c>
      <c r="V67" s="146">
        <f>'[2]Ukraine Sunflower Exports'!JO$290</f>
        <v>2.8479999999999999</v>
      </c>
      <c r="W67" s="146">
        <f>'[2]Ukraine Sunflower Exports'!KA$290</f>
        <v>3.2410000000000001</v>
      </c>
      <c r="X67" s="146">
        <f>'[2]Ukraine Sunflower Exports'!KM$290</f>
        <v>5.1580000000000004</v>
      </c>
      <c r="Y67" s="146">
        <f>'[2]Ukraine Sunflower Exports'!KY$290</f>
        <v>28.683</v>
      </c>
      <c r="Z67" s="146">
        <f>'[2]Ukraine Sunflower Exports'!LK$290</f>
        <v>6.3454090000000001</v>
      </c>
      <c r="AA67" s="253">
        <f t="shared" si="35"/>
        <v>8.3867883093916991</v>
      </c>
      <c r="AB67" s="253">
        <f t="shared" si="35"/>
        <v>7.5368168334546626</v>
      </c>
      <c r="AC67" s="253">
        <f t="shared" si="35"/>
        <v>8.3352495898558825</v>
      </c>
    </row>
    <row r="68" spans="1:31">
      <c r="A68" s="240" t="s">
        <v>231</v>
      </c>
      <c r="B68" s="241">
        <f t="shared" si="36"/>
        <v>15.849539019586398</v>
      </c>
      <c r="C68" s="146">
        <f>'[2]Ukraine Sunflower Exports'!AV$290</f>
        <v>20.2</v>
      </c>
      <c r="D68" s="146">
        <f>'[2]Ukraine Sunflower Exports'!BH$290</f>
        <v>68.3</v>
      </c>
      <c r="E68" s="146">
        <f>'[2]Ukraine Sunflower Exports'!BT$290</f>
        <v>180.2</v>
      </c>
      <c r="F68" s="146">
        <f>'[2]Ukraine Sunflower Exports'!CF$290</f>
        <v>148.80000000000001</v>
      </c>
      <c r="G68" s="146">
        <f>'[2]Ukraine Sunflower Exports'!CR$290</f>
        <v>200</v>
      </c>
      <c r="H68" s="146">
        <f>'[2]Ukraine Sunflower Exports'!DD$290</f>
        <v>32.104419999999998</v>
      </c>
      <c r="I68" s="146">
        <f>'[2]Ukraine Sunflower Exports'!DP$290</f>
        <v>116.1</v>
      </c>
      <c r="J68" s="146">
        <f>'[2]Ukraine Sunflower Exports'!EB$290</f>
        <v>4.6778050000000002</v>
      </c>
      <c r="K68" s="146">
        <f>'[2]Ukraine Sunflower Exports'!EN$290</f>
        <v>49.686</v>
      </c>
      <c r="L68" s="146">
        <f>'[2]Ukraine Sunflower Exports'!EZ$290</f>
        <v>56.323</v>
      </c>
      <c r="M68" s="146">
        <f>'[2]Ukraine Sunflower Exports'!FL$290</f>
        <v>0.752</v>
      </c>
      <c r="N68" s="146">
        <f>'[2]Ukraine Sunflower Exports'!FX$290</f>
        <v>17.265000000000001</v>
      </c>
      <c r="O68" s="146">
        <f>'[2]Ukraine Sunflower Exports'!GJ$290</f>
        <v>5.4269999999999996</v>
      </c>
      <c r="P68" s="146">
        <f>'[2]Ukraine Sunflower Exports'!GV$290</f>
        <v>0.42799999999999999</v>
      </c>
      <c r="Q68" s="146">
        <f>'[2]Ukraine Sunflower Exports'!HH$290</f>
        <v>75.980999999999995</v>
      </c>
      <c r="R68" s="146">
        <f>'[2]Ukraine Sunflower Exports'!HT$290</f>
        <v>9.0039999999999996</v>
      </c>
      <c r="S68" s="146">
        <f>'[2]Ukraine Sunflower Exports'!IF$290</f>
        <v>80.340999999999994</v>
      </c>
      <c r="T68" s="146">
        <f>'[2]Ukraine Sunflower Exports'!IR$290</f>
        <v>17.597000000000001</v>
      </c>
      <c r="U68" s="146">
        <f>'[2]Ukraine Sunflower Exports'!JD$290</f>
        <v>9.6349999999999998</v>
      </c>
      <c r="V68" s="146">
        <f>'[2]Ukraine Sunflower Exports'!JP$290</f>
        <v>3.0819999999999999</v>
      </c>
      <c r="W68" s="146">
        <f>'[2]Ukraine Sunflower Exports'!KB$290</f>
        <v>0.92400000000000004</v>
      </c>
      <c r="X68" s="146">
        <f>'[2]Ukraine Sunflower Exports'!KN$290</f>
        <v>1.5269999999999999</v>
      </c>
      <c r="Y68" s="146">
        <f>'[2]Ukraine Sunflower Exports'!KZ$290</f>
        <v>3.9129999999999998</v>
      </c>
      <c r="Z68" s="146">
        <f>'[2]Ukraine Sunflower Exports'!LL$290</f>
        <v>2.426177</v>
      </c>
      <c r="AA68" s="253">
        <f t="shared" si="35"/>
        <v>2.7940829648968641</v>
      </c>
      <c r="AB68" s="253">
        <f t="shared" si="35"/>
        <v>1.9336063234655212</v>
      </c>
      <c r="AC68" s="253">
        <f t="shared" si="35"/>
        <v>1.8635374691733138</v>
      </c>
    </row>
    <row r="69" spans="1:31">
      <c r="A69" s="240" t="s">
        <v>232</v>
      </c>
      <c r="B69" s="241">
        <f t="shared" si="36"/>
        <v>23.069023448907707</v>
      </c>
      <c r="C69" s="146">
        <f>'[2]Ukraine Sunflower Exports'!AW$290</f>
        <v>11.4</v>
      </c>
      <c r="D69" s="146">
        <f>'[2]Ukraine Sunflower Exports'!BI$290</f>
        <v>45.7</v>
      </c>
      <c r="E69" s="146">
        <f>'[2]EU Sunflower Exports'!BT$290</f>
        <v>1.3429999999999997</v>
      </c>
      <c r="F69" s="146">
        <f>'[2]EU Sunflower Exports'!CF$290</f>
        <v>1.2719999999999998</v>
      </c>
      <c r="G69" s="146">
        <f>'[2]EU Sunflower Exports'!CR$290</f>
        <v>8.1259999999999994</v>
      </c>
      <c r="H69" s="146">
        <f>'[2]EU Sunflower Exports'!DD$290</f>
        <v>6.6669999999999998</v>
      </c>
      <c r="I69" s="146">
        <f>'[2]EU Sunflower Exports'!DP$290</f>
        <v>7.2960000000000003</v>
      </c>
      <c r="J69" s="146">
        <f>'[2]EU Sunflower Exports'!EB$290</f>
        <v>11.034999999999998</v>
      </c>
      <c r="K69" s="146">
        <f>'[2]EU Sunflower Exports'!EN$290</f>
        <v>4.5469999999999997</v>
      </c>
      <c r="L69" s="146">
        <f>'[2]Ukraine Sunflower Exports'!FA$290</f>
        <v>89.76</v>
      </c>
      <c r="M69" s="146">
        <f>'[2]Ukraine Sunflower Exports'!FM$290</f>
        <v>0.90100000000000002</v>
      </c>
      <c r="N69" s="146">
        <f>'[2]Ukraine Sunflower Exports'!FY$290</f>
        <v>4.9770000000000003</v>
      </c>
      <c r="O69" s="146">
        <f>'[2]Ukraine Sunflower Exports'!GK$290</f>
        <v>88.233999999999995</v>
      </c>
      <c r="P69" s="146">
        <f>'[2]Ukraine Sunflower Exports'!GW$290</f>
        <v>3.0960000000000001</v>
      </c>
      <c r="Q69" s="146">
        <f>'[2]Ukraine Sunflower Exports'!HI$290</f>
        <v>148.95400000000001</v>
      </c>
      <c r="R69" s="146">
        <f>'[2]Ukraine Sunflower Exports'!HU$290</f>
        <v>4.2300000000000004</v>
      </c>
      <c r="S69" s="146">
        <f>'[2]Ukraine Sunflower Exports'!IG$290</f>
        <v>54.194000000000003</v>
      </c>
      <c r="T69" s="146">
        <f>'[2]Ukraine Sunflower Exports'!IS$290</f>
        <v>8.4819999999999993</v>
      </c>
      <c r="U69" s="146">
        <f>'[2]Ukraine Sunflower Exports'!JE$290</f>
        <v>19.526</v>
      </c>
      <c r="V69" s="146">
        <f>'[2]Ukraine Sunflower Exports'!JQ$290</f>
        <v>2.4239999999999999</v>
      </c>
      <c r="W69" s="146">
        <f>'[2]Ukraine Sunflower Exports'!KC$290</f>
        <v>1.496</v>
      </c>
      <c r="X69" s="146">
        <f>'[2]Ukraine Sunflower Exports'!KO$290</f>
        <v>9.9049999999999994</v>
      </c>
      <c r="Y69" s="146">
        <f>'[2]Ukraine Sunflower Exports'!LA$290</f>
        <v>11.558999999999999</v>
      </c>
      <c r="Z69" s="146">
        <f>'[2]Ukraine Sunflower Exports'!LM$290</f>
        <v>4.1256930000000001</v>
      </c>
      <c r="AA69" s="253">
        <f>(SUM(U69:Y69)/SUM(U$76:Y$76))*AA$76</f>
        <v>6.5762940073118896</v>
      </c>
      <c r="AB69" s="253">
        <f t="shared" si="35"/>
        <v>4.8062060554122654</v>
      </c>
      <c r="AC69" s="253">
        <f t="shared" si="35"/>
        <v>5.4151386679027667</v>
      </c>
    </row>
    <row r="70" spans="1:31">
      <c r="A70" s="240" t="s">
        <v>233</v>
      </c>
      <c r="B70" s="241">
        <f t="shared" si="36"/>
        <v>33.47621768730221</v>
      </c>
      <c r="C70" s="146">
        <f>'[2]Ukraine Sunflower Exports'!AX$290</f>
        <v>4.9000000000000004</v>
      </c>
      <c r="D70" s="146">
        <f>'[2]Ukraine Sunflower Exports'!BJ$290</f>
        <v>35.799999999999997</v>
      </c>
      <c r="E70" s="146">
        <f>'[2]EU Sunflower Exports'!BU$290</f>
        <v>22.706000000000003</v>
      </c>
      <c r="F70" s="146">
        <f>'[2]EU Sunflower Exports'!CG$290</f>
        <v>16.481000000000002</v>
      </c>
      <c r="G70" s="146">
        <f>'[2]EU Sunflower Exports'!CS$290</f>
        <v>6.3810000000000002</v>
      </c>
      <c r="H70" s="146">
        <f>'[2]EU Sunflower Exports'!DE$290</f>
        <v>3.2669999999999999</v>
      </c>
      <c r="I70" s="146">
        <f>'[2]EU Sunflower Exports'!DQ$290</f>
        <v>3.9689999999999999</v>
      </c>
      <c r="J70" s="146">
        <f>'[2]EU Sunflower Exports'!EC$290</f>
        <v>12.625999999999998</v>
      </c>
      <c r="K70" s="146">
        <f>'[2]EU Sunflower Exports'!EO$290</f>
        <v>2.9990000000000001</v>
      </c>
      <c r="L70" s="146">
        <f>'[2]Ukraine Sunflower Exports'!FB$290</f>
        <v>85.417000000000002</v>
      </c>
      <c r="M70" s="146">
        <f>'[2]Ukraine Sunflower Exports'!FN$290</f>
        <v>0.88</v>
      </c>
      <c r="N70" s="146">
        <f>'[2]Ukraine Sunflower Exports'!FZ$290</f>
        <v>92.524000000000001</v>
      </c>
      <c r="O70" s="146">
        <f>'[2]Ukraine Sunflower Exports'!GL$290</f>
        <v>91.600999999999999</v>
      </c>
      <c r="P70" s="146">
        <f>'[2]Ukraine Sunflower Exports'!GX$290</f>
        <v>0.16</v>
      </c>
      <c r="Q70" s="146">
        <f>'[2]Ukraine Sunflower Exports'!HJ$290</f>
        <v>135.03800000000001</v>
      </c>
      <c r="R70" s="146">
        <f>'[2]Ukraine Sunflower Exports'!HV$290</f>
        <v>43.323999999999998</v>
      </c>
      <c r="S70" s="146">
        <f>'[2]Ukraine Sunflower Exports'!IH$290</f>
        <v>83.518000000000001</v>
      </c>
      <c r="T70" s="146">
        <f>'[2]Ukraine Sunflower Exports'!IT$290</f>
        <v>30.045999999999999</v>
      </c>
      <c r="U70" s="146">
        <f>'[2]Ukraine Sunflower Exports'!JF$290</f>
        <v>14.629</v>
      </c>
      <c r="V70" s="146">
        <f>'[2]Ukraine Sunflower Exports'!JR$290</f>
        <v>5.4290000000000003</v>
      </c>
      <c r="W70" s="146">
        <f>'[2]Ukraine Sunflower Exports'!KD$290</f>
        <v>1.1339999999999999</v>
      </c>
      <c r="X70" s="146">
        <f>'[2]Ukraine Sunflower Exports'!KP$290</f>
        <v>3.7839999999999998</v>
      </c>
      <c r="Y70" s="146">
        <f>'[2]Ukraine Sunflower Exports'!LB$290</f>
        <v>19.652000000000001</v>
      </c>
      <c r="Z70" s="253">
        <f>(SUM(T70:X70)/SUM(T$76:X$76))*Z$76</f>
        <v>6.8556177805983021</v>
      </c>
      <c r="AA70" s="253">
        <f>(SUM(U70:Y70)/SUM(U$76:Y$76))*AA$76</f>
        <v>6.5349999768050555</v>
      </c>
      <c r="AB70" s="253">
        <f t="shared" si="35"/>
        <v>6.0024645850099532</v>
      </c>
      <c r="AC70" s="253">
        <f t="shared" si="35"/>
        <v>6.1066510729429071</v>
      </c>
    </row>
    <row r="71" spans="1:31">
      <c r="A71" s="240" t="s">
        <v>234</v>
      </c>
      <c r="B71" s="241">
        <f t="shared" si="36"/>
        <v>22.262423655461166</v>
      </c>
      <c r="C71" s="146">
        <f>'[2]Ukraine Sunflower Exports'!AY$290</f>
        <v>0.7</v>
      </c>
      <c r="D71" s="146">
        <f>'[2]Ukraine Sunflower Exports'!BK$290</f>
        <v>51.1</v>
      </c>
      <c r="E71" s="146">
        <f>'[2]EU Sunflower Exports'!BV$290</f>
        <v>0.90700000000000003</v>
      </c>
      <c r="F71" s="146">
        <f>'[2]EU Sunflower Exports'!CH$290</f>
        <v>9.7690000000000001</v>
      </c>
      <c r="G71" s="146">
        <f>'[2]EU Sunflower Exports'!CT$290</f>
        <v>12.416</v>
      </c>
      <c r="H71" s="146">
        <f>'[2]EU Sunflower Exports'!DF$290</f>
        <v>4.431</v>
      </c>
      <c r="I71" s="146">
        <f>'[2]EU Sunflower Exports'!DR$290</f>
        <v>3.3660000000000001</v>
      </c>
      <c r="J71" s="146">
        <f>'[2]EU Sunflower Exports'!ED$290</f>
        <v>20.312000000000001</v>
      </c>
      <c r="K71" s="146">
        <f>'[2]EU Sunflower Exports'!EP$290</f>
        <v>3.6579999999999999</v>
      </c>
      <c r="L71" s="146">
        <f>'[2]Ukraine Sunflower Exports'!FC$290</f>
        <v>61.122999999999998</v>
      </c>
      <c r="M71" s="146">
        <f>'[2]Ukraine Sunflower Exports'!FO$290</f>
        <v>4.4649999999999999</v>
      </c>
      <c r="N71" s="146">
        <f>'[2]Ukraine Sunflower Exports'!GA$290</f>
        <v>36.869</v>
      </c>
      <c r="O71" s="146">
        <f>'[2]Ukraine Sunflower Exports'!GM$290</f>
        <v>75.715999999999994</v>
      </c>
      <c r="P71" s="146">
        <f>'[2]Ukraine Sunflower Exports'!GY$290</f>
        <v>0.114</v>
      </c>
      <c r="Q71" s="146">
        <f>'[2]Ukraine Sunflower Exports'!HK$290</f>
        <v>75.781999999999996</v>
      </c>
      <c r="R71" s="146">
        <f>'[2]Ukraine Sunflower Exports'!HW$290</f>
        <v>74.528000000000006</v>
      </c>
      <c r="S71" s="146">
        <f>'[2]Ukraine Sunflower Exports'!II$290</f>
        <v>68.831000000000003</v>
      </c>
      <c r="T71" s="146">
        <f>'[2]Ukraine Sunflower Exports'!IU$290</f>
        <v>34.045999999999999</v>
      </c>
      <c r="U71" s="146">
        <f>'[2]Ukraine Sunflower Exports'!JG$290</f>
        <v>3.9510000000000001</v>
      </c>
      <c r="V71" s="146">
        <f>'[2]Ukraine Sunflower Exports'!JS$290</f>
        <v>24.024000000000001</v>
      </c>
      <c r="W71" s="146">
        <f>'[2]Ukraine Sunflower Exports'!KE$290</f>
        <v>20.120999999999999</v>
      </c>
      <c r="X71" s="146">
        <f>'[2]Ukraine Sunflower Exports'!KQ$290</f>
        <v>11.755000000000001</v>
      </c>
      <c r="Y71" s="146">
        <f>'[2]Ukraine Sunflower Exports'!LC$290</f>
        <v>7.6749999999999998</v>
      </c>
      <c r="Z71" s="253">
        <f t="shared" ref="Z71:AA74" si="37">(SUM(T71:X71)/SUM(T$76:X$76))*Z$76</f>
        <v>11.699355580401273</v>
      </c>
      <c r="AA71" s="253">
        <f t="shared" si="37"/>
        <v>9.8880166808671284</v>
      </c>
      <c r="AB71" s="253">
        <f t="shared" si="35"/>
        <v>12.259838271031169</v>
      </c>
      <c r="AC71" s="253">
        <f t="shared" si="35"/>
        <v>9.8352115593388607</v>
      </c>
    </row>
    <row r="72" spans="1:31">
      <c r="A72" s="240" t="s">
        <v>46</v>
      </c>
      <c r="B72" s="241">
        <f t="shared" si="36"/>
        <v>9.7111529776562477</v>
      </c>
      <c r="C72" s="146">
        <f>'[2]Ukraine Sunflower Exports'!AZ$290</f>
        <v>0.1</v>
      </c>
      <c r="D72" s="146">
        <f>'[2]Ukraine Sunflower Exports'!BL$290</f>
        <v>55.1</v>
      </c>
      <c r="E72" s="146">
        <f>'[2]EU Sunflower Exports'!BW$290</f>
        <v>34.113</v>
      </c>
      <c r="F72" s="146">
        <f>'[2]EU Sunflower Exports'!CI$290</f>
        <v>0.57400000000000007</v>
      </c>
      <c r="G72" s="146">
        <f>'[2]EU Sunflower Exports'!CU$290</f>
        <v>21.55</v>
      </c>
      <c r="H72" s="146">
        <f>'[2]EU Sunflower Exports'!DG$290</f>
        <v>7.0140000000000002</v>
      </c>
      <c r="I72" s="146">
        <f>'[2]EU Sunflower Exports'!DS$290</f>
        <v>4.2430000000000003</v>
      </c>
      <c r="J72" s="146">
        <f>'[2]EU Sunflower Exports'!EE$290</f>
        <v>11.033999999999999</v>
      </c>
      <c r="K72" s="146">
        <f>'[2]EU Sunflower Exports'!EQ$290</f>
        <v>6.2059999999999995</v>
      </c>
      <c r="L72" s="146">
        <f>'[2]Ukraine Sunflower Exports'!FD$290</f>
        <v>20.795999999999999</v>
      </c>
      <c r="M72" s="146">
        <f>'[2]Ukraine Sunflower Exports'!FP$290</f>
        <v>0.313</v>
      </c>
      <c r="N72" s="146">
        <f>'[2]Ukraine Sunflower Exports'!GB$290</f>
        <v>28.486999999999998</v>
      </c>
      <c r="O72" s="146">
        <f>'[2]Ukraine Sunflower Exports'!GN$290</f>
        <v>23.515000000000001</v>
      </c>
      <c r="P72" s="146">
        <f>'[2]Ukraine Sunflower Exports'!GZ$290</f>
        <v>0.12</v>
      </c>
      <c r="Q72" s="146">
        <f>'[2]Ukraine Sunflower Exports'!HL$290</f>
        <v>45.962000000000003</v>
      </c>
      <c r="R72" s="146">
        <f>'[2]Ukraine Sunflower Exports'!HX$290</f>
        <v>87.253</v>
      </c>
      <c r="S72" s="146">
        <f>'[2]Ukraine Sunflower Exports'!IJ$290</f>
        <v>13.983000000000001</v>
      </c>
      <c r="T72" s="146">
        <f>'[2]Ukraine Sunflower Exports'!IV$290</f>
        <v>45.360999999999997</v>
      </c>
      <c r="U72" s="146">
        <f>'[2]Ukraine Sunflower Exports'!JH$290</f>
        <v>5.0279999999999996</v>
      </c>
      <c r="V72" s="146">
        <f>'[2]Ukraine Sunflower Exports'!JT$290</f>
        <v>12.747</v>
      </c>
      <c r="W72" s="146">
        <f>'[2]Ukraine Sunflower Exports'!KF$290</f>
        <v>0.51200000000000001</v>
      </c>
      <c r="X72" s="146">
        <f>'[2]Ukraine Sunflower Exports'!KR$290</f>
        <v>28.327000000000002</v>
      </c>
      <c r="Y72" s="146">
        <f>'[2]Ukraine Sunflower Exports'!LD$290</f>
        <v>5.6719999999999997</v>
      </c>
      <c r="Z72" s="253">
        <f t="shared" si="37"/>
        <v>11.459878691623876</v>
      </c>
      <c r="AA72" s="253">
        <f t="shared" si="37"/>
        <v>7.6563818407105204</v>
      </c>
      <c r="AB72" s="253">
        <f t="shared" si="35"/>
        <v>9.5633060001215693</v>
      </c>
      <c r="AC72" s="253">
        <f t="shared" si="35"/>
        <v>8.6269135597747386</v>
      </c>
    </row>
    <row r="73" spans="1:31">
      <c r="A73" s="240" t="s">
        <v>235</v>
      </c>
      <c r="B73" s="241">
        <f t="shared" si="36"/>
        <v>8.4770112171915937</v>
      </c>
      <c r="C73" s="146">
        <f>'[2]Ukraine Sunflower Exports'!BA$290</f>
        <v>1.9</v>
      </c>
      <c r="D73" s="146">
        <f>'[2]Ukraine Sunflower Exports'!BM$290</f>
        <v>50.6</v>
      </c>
      <c r="E73" s="146">
        <f>'[2]EU Sunflower Exports'!BX$290</f>
        <v>4.6349999999999998</v>
      </c>
      <c r="F73" s="146">
        <f>'[2]EU Sunflower Exports'!CJ$290</f>
        <v>0.75000000000000011</v>
      </c>
      <c r="G73" s="146">
        <f>'[2]EU Sunflower Exports'!CV$290</f>
        <v>31.977</v>
      </c>
      <c r="H73" s="146">
        <f>'[2]EU Sunflower Exports'!DH$290</f>
        <v>5.8</v>
      </c>
      <c r="I73" s="146">
        <f>'[2]EU Sunflower Exports'!DT$290</f>
        <v>7.3819999999999997</v>
      </c>
      <c r="J73" s="146">
        <f>'[2]EU Sunflower Exports'!EF$290</f>
        <v>0.55200000000000005</v>
      </c>
      <c r="K73" s="146">
        <f>'[2]EU Sunflower Exports'!ER$290</f>
        <v>22.326999999999998</v>
      </c>
      <c r="L73" s="146">
        <f>'[2]Ukraine Sunflower Exports'!FE$290</f>
        <v>25.260999999999999</v>
      </c>
      <c r="M73" s="146">
        <f>'[2]Ukraine Sunflower Exports'!FQ$290</f>
        <v>0.63</v>
      </c>
      <c r="N73" s="146">
        <f>'[2]Ukraine Sunflower Exports'!GC$290</f>
        <v>7.1029999999999998</v>
      </c>
      <c r="O73" s="146">
        <f>'[2]Ukraine Sunflower Exports'!GO$290</f>
        <v>13.916</v>
      </c>
      <c r="P73" s="146">
        <f>'[2]Ukraine Sunflower Exports'!HA$290</f>
        <v>6.3E-2</v>
      </c>
      <c r="Q73" s="146">
        <f>'[2]Ukraine Sunflower Exports'!HM$290</f>
        <v>102.24299999999999</v>
      </c>
      <c r="R73" s="146">
        <f>'[2]Ukraine Sunflower Exports'!HY$290</f>
        <v>71.301000000000002</v>
      </c>
      <c r="S73" s="146">
        <f>'[2]Ukraine Sunflower Exports'!IK$290</f>
        <v>29.606999999999999</v>
      </c>
      <c r="T73" s="146">
        <f>'[2]Ukraine Sunflower Exports'!IW$290</f>
        <v>42.113</v>
      </c>
      <c r="U73" s="146">
        <f>'[2]Ukraine Sunflower Exports'!JI$290</f>
        <v>1.772</v>
      </c>
      <c r="V73" s="146">
        <f>'[2]Ukraine Sunflower Exports'!JU$290</f>
        <v>5.5389999999999997</v>
      </c>
      <c r="W73" s="146">
        <f>'[2]Ukraine Sunflower Exports'!KG$290</f>
        <v>1.028</v>
      </c>
      <c r="X73" s="146">
        <f>'[2]Ukraine Sunflower Exports'!KS$290</f>
        <v>3.1749999999999998</v>
      </c>
      <c r="Y73" s="146">
        <f>'[2]Ukraine Sunflower Exports'!LE$290</f>
        <v>5.6199300000000001</v>
      </c>
      <c r="Z73" s="253">
        <f t="shared" si="37"/>
        <v>6.6818039097114816</v>
      </c>
      <c r="AA73" s="253">
        <f t="shared" si="37"/>
        <v>2.508968184829691</v>
      </c>
      <c r="AB73" s="253">
        <f t="shared" si="35"/>
        <v>3.5902348221905265</v>
      </c>
      <c r="AC73" s="253">
        <f t="shared" si="35"/>
        <v>3.0586974384420293</v>
      </c>
    </row>
    <row r="74" spans="1:31">
      <c r="A74" s="240" t="s">
        <v>236</v>
      </c>
      <c r="B74" s="241">
        <f t="shared" si="36"/>
        <v>3.263496887419183</v>
      </c>
      <c r="C74" s="146">
        <f>'[2]Ukraine Sunflower Exports'!BB$290</f>
        <v>0.6</v>
      </c>
      <c r="D74" s="146">
        <f>'[2]Ukraine Sunflower Exports'!BN$290</f>
        <v>23.9</v>
      </c>
      <c r="E74" s="146">
        <f>'[2]EU Sunflower Exports'!BY$290</f>
        <v>9.8339999999999996</v>
      </c>
      <c r="F74" s="146">
        <f>'[2]EU Sunflower Exports'!CK$290</f>
        <v>0.76200000000000023</v>
      </c>
      <c r="G74" s="146">
        <f>'[2]EU Sunflower Exports'!CW$290</f>
        <v>1.246</v>
      </c>
      <c r="H74" s="146">
        <f>'[2]EU Sunflower Exports'!DI$290</f>
        <v>11.766999999999999</v>
      </c>
      <c r="I74" s="146">
        <f>'[2]EU Sunflower Exports'!DU$290</f>
        <v>1.1830000000000001</v>
      </c>
      <c r="J74" s="146">
        <f>'[2]EU Sunflower Exports'!EG$290</f>
        <v>0.39300000000000002</v>
      </c>
      <c r="K74" s="146">
        <f>'[2]EU Sunflower Exports'!ES$290</f>
        <v>15.005000000000001</v>
      </c>
      <c r="L74" s="146">
        <f>'[2]Ukraine Sunflower Exports'!FF$290</f>
        <v>6.06</v>
      </c>
      <c r="M74" s="146">
        <f>'[2]Ukraine Sunflower Exports'!FR$290</f>
        <v>7.8E-2</v>
      </c>
      <c r="N74" s="146">
        <f>'[2]Ukraine Sunflower Exports'!GD$290</f>
        <v>5.0529999999999999</v>
      </c>
      <c r="O74" s="146">
        <f>'[2]Ukraine Sunflower Exports'!GP$290</f>
        <v>0.45900000000000002</v>
      </c>
      <c r="P74" s="146">
        <f>'[2]Ukraine Sunflower Exports'!HB$290</f>
        <v>0.14799999999999999</v>
      </c>
      <c r="Q74" s="146">
        <f>'[2]Ukraine Sunflower Exports'!HN$290</f>
        <v>70.808999999999997</v>
      </c>
      <c r="R74" s="146">
        <f>'[2]Ukraine Sunflower Exports'!HZ$290</f>
        <v>8.9090000000000007</v>
      </c>
      <c r="S74" s="146">
        <f>'[2]Ukraine Sunflower Exports'!IL$290</f>
        <v>2.69</v>
      </c>
      <c r="T74" s="146">
        <f>'[2]Ukraine Sunflower Exports'!IX$290</f>
        <v>30.61</v>
      </c>
      <c r="U74" s="146">
        <f>'[2]Ukraine Sunflower Exports'!JJ$290</f>
        <v>0.79</v>
      </c>
      <c r="V74" s="146">
        <f>'[2]Ukraine Sunflower Exports'!JV$290</f>
        <v>1.4730000000000001</v>
      </c>
      <c r="W74" s="146">
        <f>'[2]Ukraine Sunflower Exports'!KH$290</f>
        <v>0.79500000000000004</v>
      </c>
      <c r="X74" s="146">
        <f>'[2]Ukraine Sunflower Exports'!KT$290</f>
        <v>2.048</v>
      </c>
      <c r="Y74" s="146">
        <f>'[2]Ukraine Sunflower Exports'!LF$290</f>
        <v>1.596638</v>
      </c>
      <c r="Z74" s="253">
        <f t="shared" si="37"/>
        <v>4.4501334857302348</v>
      </c>
      <c r="AA74" s="253">
        <f t="shared" si="37"/>
        <v>0.98148559591585294</v>
      </c>
      <c r="AB74" s="253">
        <f t="shared" si="35"/>
        <v>1.6877713728018184</v>
      </c>
      <c r="AC74" s="253">
        <f t="shared" si="35"/>
        <v>1.5879700123471527</v>
      </c>
    </row>
    <row r="75" spans="1:31">
      <c r="A75" s="240" t="s">
        <v>237</v>
      </c>
      <c r="B75" s="241">
        <f>(SUM(K75:O75)/SUM(K$76:O$76))*B$76</f>
        <v>0.78125581086557139</v>
      </c>
      <c r="C75" s="146">
        <f>'[2]Ukraine Sunflower Exports'!BC$290</f>
        <v>0.2</v>
      </c>
      <c r="D75" s="146">
        <f>'[2]Ukraine Sunflower Exports'!BO$290</f>
        <v>52.9</v>
      </c>
      <c r="E75" s="146">
        <f>'[2]Ukraine Sunflower Exports'!CA$290</f>
        <v>1.7</v>
      </c>
      <c r="F75" s="146">
        <f>'[2]Ukraine Sunflower Exports'!CM$290</f>
        <v>0</v>
      </c>
      <c r="G75" s="146">
        <f>'[2]Ukraine Sunflower Exports'!CY$290</f>
        <v>15</v>
      </c>
      <c r="H75" s="146">
        <f>'[2]Ukraine Sunflower Exports'!DK$290</f>
        <v>18.7</v>
      </c>
      <c r="I75" s="146">
        <f>'[2]Ukraine Sunflower Exports'!DW$290</f>
        <v>10.5</v>
      </c>
      <c r="J75" s="146">
        <f>'[2]Ukraine Sunflower Exports'!EI$290</f>
        <v>3.9E-2</v>
      </c>
      <c r="K75" s="146">
        <f>'[2]Ukraine Sunflower Exports'!EU$290</f>
        <v>4.8000000000000001E-2</v>
      </c>
      <c r="L75" s="146">
        <f>'[2]Ukraine Sunflower Exports'!FG$290</f>
        <v>5.9790000000000001</v>
      </c>
      <c r="M75" s="146">
        <f>'[2]Ukraine Sunflower Exports'!FS$290</f>
        <v>0.11</v>
      </c>
      <c r="N75" s="146">
        <f>'[2]Ukraine Sunflower Exports'!GE$290</f>
        <v>6.8000000000000005E-2</v>
      </c>
      <c r="O75" s="146">
        <f>'[2]Ukraine Sunflower Exports'!GQ$290</f>
        <v>0.17599999999999999</v>
      </c>
      <c r="P75" s="146">
        <f>'[2]Ukraine Sunflower Exports'!HC$290</f>
        <v>0.06</v>
      </c>
      <c r="Q75" s="146">
        <f>'[2]Ukraine Sunflower Exports'!HO$290</f>
        <v>19.488</v>
      </c>
      <c r="R75" s="146">
        <f>'[2]Ukraine Sunflower Exports'!IA$290</f>
        <v>1.3640000000000001</v>
      </c>
      <c r="S75" s="146">
        <f>'[2]Ukraine Sunflower Exports'!IM$290</f>
        <v>1.476</v>
      </c>
      <c r="T75" s="146">
        <f>'[2]Ukraine Sunflower Exports'!IY$290</f>
        <v>2.4860000000000002</v>
      </c>
      <c r="U75" s="146">
        <f>'[2]Ukraine Sunflower Exports'!JK$290</f>
        <v>0.35099999999999998</v>
      </c>
      <c r="V75" s="146">
        <f>'[2]Ukraine Sunflower Exports'!JW$290</f>
        <v>0.438</v>
      </c>
      <c r="W75" s="146">
        <f>'[2]Ukraine Sunflower Exports'!KI$290</f>
        <v>0.61699999999999999</v>
      </c>
      <c r="X75" s="146">
        <f>'[2]Ukraine Sunflower Exports'!KU$290</f>
        <v>1.843</v>
      </c>
      <c r="Y75" s="146">
        <f>'[2]Ukraine Sunflower Exports'!LG$290</f>
        <v>1.3282240000000001</v>
      </c>
      <c r="Z75" s="253">
        <f>Z76-SUM(Z64:Z74)</f>
        <v>11.081190551934831</v>
      </c>
      <c r="AA75" s="253">
        <f>AA76-SUM(AA64:AA74)</f>
        <v>0</v>
      </c>
      <c r="AB75" s="253">
        <f>AB76-SUM(AB64:AB74)</f>
        <v>1.8047793696764813</v>
      </c>
      <c r="AC75" s="253">
        <f>AC76-SUM(AC64:AC74)</f>
        <v>1.7826096668371605</v>
      </c>
    </row>
    <row r="76" spans="1:31" ht="15.75" thickBot="1">
      <c r="A76" s="240" t="s">
        <v>242</v>
      </c>
      <c r="B76" s="245">
        <f>B13</f>
        <v>200</v>
      </c>
      <c r="C76" s="245">
        <f>SUM(C64:C75)</f>
        <v>126.50000000000001</v>
      </c>
      <c r="D76" s="245">
        <f>SUM(D64:D75)</f>
        <v>469.1</v>
      </c>
      <c r="E76" s="245">
        <f t="shared" ref="E76:Y76" si="38">SUM(E64:E74)</f>
        <v>725.13800000000003</v>
      </c>
      <c r="F76" s="245">
        <f t="shared" si="38"/>
        <v>591.30799999999999</v>
      </c>
      <c r="G76" s="245">
        <f t="shared" si="38"/>
        <v>753.19599999999991</v>
      </c>
      <c r="H76" s="245">
        <f t="shared" si="38"/>
        <v>164.24785000000003</v>
      </c>
      <c r="I76" s="245">
        <f t="shared" si="38"/>
        <v>653.43900000000008</v>
      </c>
      <c r="J76" s="245">
        <f t="shared" si="38"/>
        <v>114.36601</v>
      </c>
      <c r="K76" s="245">
        <f t="shared" si="38"/>
        <v>144.60784999999998</v>
      </c>
      <c r="L76" s="245">
        <f t="shared" si="38"/>
        <v>921.69399999999996</v>
      </c>
      <c r="M76" s="245">
        <f t="shared" si="38"/>
        <v>11.449</v>
      </c>
      <c r="N76" s="245">
        <f t="shared" si="38"/>
        <v>219.74600000000001</v>
      </c>
      <c r="O76" s="245">
        <f t="shared" si="38"/>
        <v>336.02699999999999</v>
      </c>
      <c r="P76" s="245">
        <f t="shared" si="38"/>
        <v>75.356999999999999</v>
      </c>
      <c r="Q76" s="245">
        <f t="shared" si="38"/>
        <v>747.74700000000007</v>
      </c>
      <c r="R76" s="245">
        <f t="shared" si="38"/>
        <v>352.08399999999995</v>
      </c>
      <c r="S76" s="245">
        <f t="shared" si="38"/>
        <v>442.98100000000005</v>
      </c>
      <c r="T76" s="245">
        <f t="shared" si="38"/>
        <v>279.68599999999998</v>
      </c>
      <c r="U76" s="245">
        <f t="shared" si="38"/>
        <v>126.68700000000001</v>
      </c>
      <c r="V76" s="245">
        <f t="shared" si="38"/>
        <v>69.272999999999996</v>
      </c>
      <c r="W76" s="245">
        <f t="shared" si="38"/>
        <v>44.750999999999998</v>
      </c>
      <c r="X76" s="245">
        <f t="shared" si="38"/>
        <v>81.540000000000006</v>
      </c>
      <c r="Y76" s="245">
        <f t="shared" si="38"/>
        <v>189.92956800000002</v>
      </c>
      <c r="Z76" s="247">
        <f>Z13</f>
        <v>75</v>
      </c>
      <c r="AA76" s="247">
        <f>AA13</f>
        <v>75</v>
      </c>
      <c r="AB76" s="247">
        <f>AB13</f>
        <v>75</v>
      </c>
      <c r="AC76" s="247">
        <f>AC13</f>
        <v>75</v>
      </c>
    </row>
    <row r="77" spans="1:31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</row>
    <row r="78" spans="1:31" ht="15.75" thickBot="1">
      <c r="A78" s="240" t="s">
        <v>244</v>
      </c>
      <c r="AE78" s="265"/>
    </row>
    <row r="79" spans="1:31" ht="15.75" thickBot="1">
      <c r="A79" s="236"/>
      <c r="B79" s="237" t="str">
        <f>B$2</f>
        <v xml:space="preserve">93/94 </v>
      </c>
      <c r="C79" s="237" t="str">
        <f t="shared" ref="C79:AC79" si="39">C$2</f>
        <v xml:space="preserve">94/95 </v>
      </c>
      <c r="D79" s="237" t="str">
        <f t="shared" si="39"/>
        <v xml:space="preserve">95/96 </v>
      </c>
      <c r="E79" s="237" t="str">
        <f t="shared" si="39"/>
        <v xml:space="preserve">96/97 </v>
      </c>
      <c r="F79" s="237" t="str">
        <f t="shared" si="39"/>
        <v xml:space="preserve">97/98 </v>
      </c>
      <c r="G79" s="237" t="str">
        <f t="shared" si="39"/>
        <v xml:space="preserve">98/99 </v>
      </c>
      <c r="H79" s="237" t="str">
        <f t="shared" si="39"/>
        <v xml:space="preserve">99/00 </v>
      </c>
      <c r="I79" s="237" t="str">
        <f t="shared" si="39"/>
        <v xml:space="preserve">00/01 </v>
      </c>
      <c r="J79" s="237" t="str">
        <f t="shared" si="39"/>
        <v xml:space="preserve">01/02 </v>
      </c>
      <c r="K79" s="237" t="str">
        <f t="shared" si="39"/>
        <v xml:space="preserve">02/03 </v>
      </c>
      <c r="L79" s="237" t="str">
        <f t="shared" si="39"/>
        <v xml:space="preserve">03/04 </v>
      </c>
      <c r="M79" s="237" t="str">
        <f t="shared" si="39"/>
        <v xml:space="preserve">04/05 </v>
      </c>
      <c r="N79" s="237" t="str">
        <f t="shared" si="39"/>
        <v xml:space="preserve">05/06 </v>
      </c>
      <c r="O79" s="237" t="str">
        <f t="shared" si="39"/>
        <v xml:space="preserve">06/07 </v>
      </c>
      <c r="P79" s="237" t="str">
        <f t="shared" si="39"/>
        <v xml:space="preserve">07/08 </v>
      </c>
      <c r="Q79" s="237" t="str">
        <f t="shared" si="39"/>
        <v xml:space="preserve">08/09 </v>
      </c>
      <c r="R79" s="237" t="str">
        <f t="shared" si="39"/>
        <v xml:space="preserve">09/10 </v>
      </c>
      <c r="S79" s="237" t="str">
        <f t="shared" si="39"/>
        <v xml:space="preserve">10/11 </v>
      </c>
      <c r="T79" s="237" t="str">
        <f t="shared" si="39"/>
        <v xml:space="preserve">11/12 </v>
      </c>
      <c r="U79" s="237" t="str">
        <f t="shared" si="39"/>
        <v xml:space="preserve">12/13 </v>
      </c>
      <c r="V79" s="237" t="str">
        <f t="shared" si="39"/>
        <v xml:space="preserve">13/14 </v>
      </c>
      <c r="W79" s="237" t="str">
        <f t="shared" si="39"/>
        <v xml:space="preserve">14/15 </v>
      </c>
      <c r="X79" s="237" t="str">
        <f t="shared" si="39"/>
        <v xml:space="preserve">15/16 </v>
      </c>
      <c r="Y79" s="237" t="str">
        <f t="shared" si="39"/>
        <v xml:space="preserve">16/17 </v>
      </c>
      <c r="Z79" s="237" t="str">
        <f t="shared" si="39"/>
        <v xml:space="preserve">17/18 </v>
      </c>
      <c r="AA79" s="237" t="str">
        <f t="shared" si="39"/>
        <v xml:space="preserve">18/19 </v>
      </c>
      <c r="AB79" s="237" t="str">
        <f t="shared" si="39"/>
        <v xml:space="preserve">19/20 </v>
      </c>
      <c r="AC79" s="237" t="str">
        <f t="shared" si="39"/>
        <v xml:space="preserve">20/21 </v>
      </c>
    </row>
    <row r="80" spans="1:31">
      <c r="A80" s="240" t="s">
        <v>238</v>
      </c>
      <c r="B80" s="251">
        <v>234.79225648481133</v>
      </c>
      <c r="C80" s="251">
        <f>B218/B$235</f>
        <v>123.37851651239197</v>
      </c>
      <c r="D80" s="251">
        <f t="shared" ref="D80:Z80" si="40">C218/C$235</f>
        <v>96.92822720082404</v>
      </c>
      <c r="E80" s="251">
        <f t="shared" si="40"/>
        <v>94.789520164851368</v>
      </c>
      <c r="F80" s="251">
        <f t="shared" si="40"/>
        <v>47.330799683293748</v>
      </c>
      <c r="G80" s="251">
        <f t="shared" si="40"/>
        <v>117.61622191011236</v>
      </c>
      <c r="H80" s="251">
        <f t="shared" si="40"/>
        <v>116.50458647177271</v>
      </c>
      <c r="I80" s="251">
        <f t="shared" si="40"/>
        <v>174.57770270270268</v>
      </c>
      <c r="J80" s="251">
        <f t="shared" si="40"/>
        <v>160.29864773635134</v>
      </c>
      <c r="K80" s="251">
        <f t="shared" si="40"/>
        <v>185.38103376018941</v>
      </c>
      <c r="L80" s="251">
        <f t="shared" si="40"/>
        <v>181.87826086956522</v>
      </c>
      <c r="M80" s="251">
        <f t="shared" si="40"/>
        <v>107.625</v>
      </c>
      <c r="N80" s="251">
        <f t="shared" si="40"/>
        <v>172.41106719367588</v>
      </c>
      <c r="O80" s="251">
        <f t="shared" si="40"/>
        <v>135.90909090909091</v>
      </c>
      <c r="P80" s="251">
        <f t="shared" si="40"/>
        <v>258.66429268292683</v>
      </c>
      <c r="Q80" s="251">
        <f t="shared" si="40"/>
        <v>242.35320334261837</v>
      </c>
      <c r="R80" s="251">
        <f t="shared" si="40"/>
        <v>331.92246294184724</v>
      </c>
      <c r="S80" s="251">
        <f t="shared" si="40"/>
        <v>395.29175050301808</v>
      </c>
      <c r="T80" s="251">
        <f t="shared" si="40"/>
        <v>549.94032983508248</v>
      </c>
      <c r="U80" s="251">
        <f t="shared" si="40"/>
        <v>642.11267605633816</v>
      </c>
      <c r="V80" s="251">
        <f t="shared" si="40"/>
        <v>696.65200659703123</v>
      </c>
      <c r="W80" s="251">
        <f t="shared" si="40"/>
        <v>690.27106534986342</v>
      </c>
      <c r="X80" s="251">
        <f t="shared" si="40"/>
        <v>700</v>
      </c>
      <c r="Y80" s="251">
        <f t="shared" si="40"/>
        <v>930.13972055888223</v>
      </c>
      <c r="Z80" s="251">
        <f t="shared" si="40"/>
        <v>333.33333333333331</v>
      </c>
      <c r="AA80" s="252">
        <f t="shared" ref="AA80:AC82" si="41">(SUM(U80:Y80)/SUM(U$92:Y$92))*AA$92</f>
        <v>949.09985259576342</v>
      </c>
      <c r="AB80" s="252">
        <f t="shared" si="41"/>
        <v>789.74384122491517</v>
      </c>
      <c r="AC80" s="252">
        <f t="shared" si="41"/>
        <v>817.31459010248341</v>
      </c>
    </row>
    <row r="81" spans="1:29">
      <c r="A81" s="240" t="s">
        <v>239</v>
      </c>
      <c r="B81" s="251">
        <f>B207/B$235</f>
        <v>268.8027794066216</v>
      </c>
      <c r="C81" s="251">
        <f>C207/C$235</f>
        <v>207.9167126512894</v>
      </c>
      <c r="D81" s="251">
        <f t="shared" ref="D81:Z91" si="42">D207/D$235</f>
        <v>290.80070650574049</v>
      </c>
      <c r="E81" s="251">
        <f t="shared" si="42"/>
        <v>173.89500751814157</v>
      </c>
      <c r="F81" s="251">
        <f t="shared" si="42"/>
        <v>223.13690345884416</v>
      </c>
      <c r="G81" s="251">
        <f t="shared" si="42"/>
        <v>244.72958245351131</v>
      </c>
      <c r="H81" s="251">
        <f t="shared" si="42"/>
        <v>262.92179436284238</v>
      </c>
      <c r="I81" s="251">
        <f t="shared" si="42"/>
        <v>311.81001129039299</v>
      </c>
      <c r="J81" s="251">
        <f t="shared" si="42"/>
        <v>262.56440208280418</v>
      </c>
      <c r="K81" s="251">
        <f t="shared" si="42"/>
        <v>336.4482744365564</v>
      </c>
      <c r="L81" s="251">
        <f t="shared" si="42"/>
        <v>310.70454545454544</v>
      </c>
      <c r="M81" s="251">
        <f t="shared" si="42"/>
        <v>270.59288537549406</v>
      </c>
      <c r="N81" s="251">
        <f t="shared" si="42"/>
        <v>371.8</v>
      </c>
      <c r="O81" s="251">
        <f t="shared" si="42"/>
        <v>437.64863414634146</v>
      </c>
      <c r="P81" s="251">
        <f t="shared" si="42"/>
        <v>461.79387186629526</v>
      </c>
      <c r="Q81" s="251">
        <f t="shared" si="42"/>
        <v>474.00608133789433</v>
      </c>
      <c r="R81" s="251">
        <f t="shared" si="42"/>
        <v>648.73239436619713</v>
      </c>
      <c r="S81" s="251">
        <f t="shared" si="42"/>
        <v>692.27226386806592</v>
      </c>
      <c r="T81" s="251">
        <f t="shared" si="42"/>
        <v>800.2766599597586</v>
      </c>
      <c r="U81" s="251">
        <f t="shared" si="42"/>
        <v>843.21605277625065</v>
      </c>
      <c r="V81" s="251">
        <f t="shared" si="42"/>
        <v>933.75709182601383</v>
      </c>
      <c r="W81" s="251">
        <f t="shared" si="42"/>
        <v>902.32558139534888</v>
      </c>
      <c r="X81" s="251">
        <f t="shared" si="42"/>
        <v>913.86227544910173</v>
      </c>
      <c r="Y81" s="251">
        <f t="shared" si="42"/>
        <v>1186.2068965517242</v>
      </c>
      <c r="Z81" s="251">
        <f t="shared" si="42"/>
        <v>1200</v>
      </c>
      <c r="AA81" s="252">
        <f t="shared" si="41"/>
        <v>1239.650136065685</v>
      </c>
      <c r="AB81" s="252">
        <f t="shared" si="41"/>
        <v>1210.6760320301876</v>
      </c>
      <c r="AC81" s="252">
        <f t="shared" si="41"/>
        <v>1234.5421347461072</v>
      </c>
    </row>
    <row r="82" spans="1:29">
      <c r="A82" s="240" t="s">
        <v>240</v>
      </c>
      <c r="B82" s="251">
        <f t="shared" ref="B82:C91" si="43">B208/B$235</f>
        <v>257.64840436478846</v>
      </c>
      <c r="C82" s="251">
        <f t="shared" si="43"/>
        <v>199.67626825589522</v>
      </c>
      <c r="D82" s="251">
        <f t="shared" si="42"/>
        <v>280.30615248748899</v>
      </c>
      <c r="E82" s="251">
        <f t="shared" si="42"/>
        <v>184.91098084508269</v>
      </c>
      <c r="F82" s="251">
        <f t="shared" si="42"/>
        <v>237.73202167250443</v>
      </c>
      <c r="G82" s="251">
        <f t="shared" si="42"/>
        <v>211.50568762345884</v>
      </c>
      <c r="H82" s="251">
        <f t="shared" si="42"/>
        <v>230.31361651448989</v>
      </c>
      <c r="I82" s="251">
        <f t="shared" si="42"/>
        <v>299.45192315403858</v>
      </c>
      <c r="J82" s="251">
        <f t="shared" si="42"/>
        <v>252.15808443770919</v>
      </c>
      <c r="K82" s="251">
        <f t="shared" si="42"/>
        <v>323.11368838011629</v>
      </c>
      <c r="L82" s="251">
        <f t="shared" si="42"/>
        <v>303.78409090909088</v>
      </c>
      <c r="M82" s="251">
        <f t="shared" si="42"/>
        <v>273.67588932806325</v>
      </c>
      <c r="N82" s="251">
        <f t="shared" si="42"/>
        <v>384.56363636363636</v>
      </c>
      <c r="O82" s="251">
        <f t="shared" si="42"/>
        <v>433.15629268292679</v>
      </c>
      <c r="P82" s="251">
        <f t="shared" si="42"/>
        <v>443.6055710306407</v>
      </c>
      <c r="Q82" s="251">
        <f t="shared" si="42"/>
        <v>499.06575446598254</v>
      </c>
      <c r="R82" s="251">
        <f t="shared" si="42"/>
        <v>637.62072434607649</v>
      </c>
      <c r="S82" s="251">
        <f t="shared" si="42"/>
        <v>701.7295352323838</v>
      </c>
      <c r="T82" s="251">
        <f t="shared" si="42"/>
        <v>812.33400402414497</v>
      </c>
      <c r="U82" s="251">
        <f t="shared" si="42"/>
        <v>789.55470038482679</v>
      </c>
      <c r="V82" s="251">
        <f t="shared" si="42"/>
        <v>897.35238495482247</v>
      </c>
      <c r="W82" s="251">
        <f t="shared" si="42"/>
        <v>923.25581395348843</v>
      </c>
      <c r="X82" s="251">
        <f t="shared" si="42"/>
        <v>837.12574850299393</v>
      </c>
      <c r="Y82" s="251">
        <f t="shared" si="42"/>
        <v>1216.0919540229886</v>
      </c>
      <c r="Z82" s="251">
        <f t="shared" si="42"/>
        <v>1230.2325581395348</v>
      </c>
      <c r="AA82" s="252">
        <f t="shared" si="41"/>
        <v>1209.5658925926518</v>
      </c>
      <c r="AB82" s="252">
        <f t="shared" si="41"/>
        <v>1203.1110896449047</v>
      </c>
      <c r="AC82" s="252">
        <f t="shared" si="41"/>
        <v>1228.6954798397828</v>
      </c>
    </row>
    <row r="83" spans="1:29">
      <c r="A83" s="240" t="s">
        <v>241</v>
      </c>
      <c r="B83" s="251">
        <f t="shared" si="43"/>
        <v>244.80748851735018</v>
      </c>
      <c r="C83" s="251">
        <f t="shared" si="43"/>
        <v>188.24265165728579</v>
      </c>
      <c r="D83" s="251">
        <f t="shared" si="42"/>
        <v>305.01913453046808</v>
      </c>
      <c r="E83" s="251">
        <f t="shared" si="42"/>
        <v>155.7973370524526</v>
      </c>
      <c r="F83" s="251">
        <f t="shared" si="42"/>
        <v>180.19357486865152</v>
      </c>
      <c r="G83" s="251">
        <f t="shared" si="42"/>
        <v>201.12322048906748</v>
      </c>
      <c r="H83" s="251">
        <f t="shared" si="42"/>
        <v>246.7645891226677</v>
      </c>
      <c r="I83" s="251">
        <f t="shared" si="42"/>
        <v>282.3050758648468</v>
      </c>
      <c r="J83" s="251">
        <f t="shared" si="42"/>
        <v>237.71931870513978</v>
      </c>
      <c r="K83" s="251">
        <f t="shared" si="42"/>
        <v>304.6119502268055</v>
      </c>
      <c r="L83" s="251">
        <f t="shared" si="42"/>
        <v>319.05681818181813</v>
      </c>
      <c r="M83" s="251">
        <f t="shared" si="42"/>
        <v>263.00395256916994</v>
      </c>
      <c r="N83" s="251">
        <f t="shared" si="42"/>
        <v>396.85454545454547</v>
      </c>
      <c r="O83" s="251">
        <f t="shared" si="42"/>
        <v>449.23414634146343</v>
      </c>
      <c r="P83" s="251">
        <f t="shared" si="42"/>
        <v>471.00612813370475</v>
      </c>
      <c r="Q83" s="251">
        <f t="shared" si="42"/>
        <v>550.1307487647282</v>
      </c>
      <c r="R83" s="251">
        <f t="shared" si="42"/>
        <v>667.40945674044269</v>
      </c>
      <c r="S83" s="251">
        <f t="shared" si="42"/>
        <v>718.75262368815595</v>
      </c>
      <c r="T83" s="251">
        <f t="shared" si="42"/>
        <v>868.60160965794773</v>
      </c>
      <c r="U83" s="251">
        <f t="shared" si="42"/>
        <v>815.79439252336454</v>
      </c>
      <c r="V83" s="251">
        <f t="shared" si="42"/>
        <v>934.93906282832518</v>
      </c>
      <c r="W83" s="251">
        <f t="shared" si="42"/>
        <v>883.7209302325582</v>
      </c>
      <c r="X83" s="251">
        <f t="shared" si="42"/>
        <v>844.10179640718559</v>
      </c>
      <c r="Y83" s="251">
        <f t="shared" si="42"/>
        <v>1280.4597701149426</v>
      </c>
      <c r="Z83" s="251">
        <f t="shared" si="42"/>
        <v>1295.3488372093022</v>
      </c>
      <c r="AA83" s="252">
        <f t="shared" ref="Z83:AC90" si="44">(SUM(U83:Y83)/SUM(U$92:Y$92))*AA$92</f>
        <v>1234.3713433397966</v>
      </c>
      <c r="AB83" s="252">
        <f t="shared" si="44"/>
        <v>1234.8177804359602</v>
      </c>
      <c r="AC83" s="252">
        <f t="shared" si="44"/>
        <v>1256.310410211325</v>
      </c>
    </row>
    <row r="84" spans="1:29">
      <c r="A84" s="240" t="s">
        <v>231</v>
      </c>
      <c r="B84" s="251">
        <f t="shared" si="43"/>
        <v>178.75178800880749</v>
      </c>
      <c r="C84" s="251">
        <f t="shared" si="43"/>
        <v>135.7098186366479</v>
      </c>
      <c r="D84" s="251">
        <f t="shared" si="42"/>
        <v>235.95819841036217</v>
      </c>
      <c r="E84" s="251">
        <f t="shared" si="42"/>
        <v>90.589705769672818</v>
      </c>
      <c r="F84" s="251">
        <f t="shared" si="42"/>
        <v>140.57880930656935</v>
      </c>
      <c r="G84" s="251">
        <f t="shared" si="42"/>
        <v>143.77931693336518</v>
      </c>
      <c r="H84" s="251">
        <f t="shared" si="42"/>
        <v>184.81827111984279</v>
      </c>
      <c r="I84" s="251">
        <f t="shared" si="42"/>
        <v>268.5213995626367</v>
      </c>
      <c r="J84" s="251">
        <f t="shared" si="42"/>
        <v>214.57620744259697</v>
      </c>
      <c r="K84" s="251">
        <f t="shared" si="42"/>
        <v>304.10434782608701</v>
      </c>
      <c r="L84" s="251">
        <f t="shared" si="42"/>
        <v>293.28409090909093</v>
      </c>
      <c r="M84" s="251">
        <f t="shared" si="42"/>
        <v>267.27272727272725</v>
      </c>
      <c r="N84" s="251">
        <f t="shared" si="42"/>
        <v>400.87272727272727</v>
      </c>
      <c r="O84" s="251">
        <f t="shared" si="42"/>
        <v>476.18819512195125</v>
      </c>
      <c r="P84" s="251">
        <f t="shared" si="42"/>
        <v>499.82395543175488</v>
      </c>
      <c r="Q84" s="251">
        <f t="shared" si="42"/>
        <v>560.29646522234896</v>
      </c>
      <c r="R84" s="251">
        <f t="shared" si="42"/>
        <v>636.67505030181087</v>
      </c>
      <c r="S84" s="251">
        <f t="shared" si="42"/>
        <v>734.82998500749625</v>
      </c>
      <c r="T84" s="251">
        <f t="shared" si="42"/>
        <v>795.78470824949704</v>
      </c>
      <c r="U84" s="251">
        <f t="shared" si="42"/>
        <v>807.28422210005499</v>
      </c>
      <c r="V84" s="251">
        <f t="shared" si="42"/>
        <v>855.74700567346076</v>
      </c>
      <c r="W84" s="251">
        <f t="shared" si="42"/>
        <v>774.41860465116281</v>
      </c>
      <c r="X84" s="251">
        <f t="shared" si="42"/>
        <v>732.48502994011972</v>
      </c>
      <c r="Y84" s="251">
        <f t="shared" si="42"/>
        <v>1110.344827586207</v>
      </c>
      <c r="Z84" s="251">
        <f t="shared" si="42"/>
        <v>1123.2558139534883</v>
      </c>
      <c r="AA84" s="252">
        <f t="shared" si="44"/>
        <v>1110.1989663254594</v>
      </c>
      <c r="AB84" s="252">
        <f t="shared" si="44"/>
        <v>1083.4125297999128</v>
      </c>
      <c r="AC84" s="252">
        <f t="shared" si="44"/>
        <v>1100.3947335234495</v>
      </c>
    </row>
    <row r="85" spans="1:29">
      <c r="A85" s="240" t="s">
        <v>232</v>
      </c>
      <c r="B85" s="251">
        <f t="shared" si="43"/>
        <v>163.51700912467479</v>
      </c>
      <c r="C85" s="251">
        <f t="shared" si="43"/>
        <v>125.10024647757791</v>
      </c>
      <c r="D85" s="251">
        <f t="shared" si="42"/>
        <v>200.41212834854289</v>
      </c>
      <c r="E85" s="251">
        <f t="shared" si="42"/>
        <v>104.39911213700101</v>
      </c>
      <c r="F85" s="251">
        <f t="shared" si="42"/>
        <v>96.970688868613138</v>
      </c>
      <c r="G85" s="251">
        <f t="shared" si="42"/>
        <v>123.8275614998806</v>
      </c>
      <c r="H85" s="251">
        <f t="shared" si="42"/>
        <v>202.57858546168956</v>
      </c>
      <c r="I85" s="251">
        <f t="shared" si="42"/>
        <v>247.52883473914403</v>
      </c>
      <c r="J85" s="251">
        <f t="shared" si="42"/>
        <v>197.80098970704671</v>
      </c>
      <c r="K85" s="251">
        <f t="shared" si="42"/>
        <v>264.4173913043478</v>
      </c>
      <c r="L85" s="251">
        <f t="shared" si="42"/>
        <v>272.76136363636363</v>
      </c>
      <c r="M85" s="251">
        <f t="shared" si="42"/>
        <v>232.41106719367588</v>
      </c>
      <c r="N85" s="251">
        <f t="shared" si="42"/>
        <v>382.67272727272729</v>
      </c>
      <c r="O85" s="251">
        <f t="shared" si="42"/>
        <v>416.13268292682926</v>
      </c>
      <c r="P85" s="251">
        <f t="shared" si="42"/>
        <v>402.97715877437327</v>
      </c>
      <c r="Q85" s="251">
        <f t="shared" si="42"/>
        <v>510.64994298745728</v>
      </c>
      <c r="R85" s="251">
        <f t="shared" si="42"/>
        <v>574.49698189134813</v>
      </c>
      <c r="S85" s="251">
        <f t="shared" si="42"/>
        <v>668.15622188905547</v>
      </c>
      <c r="T85" s="251">
        <f t="shared" si="42"/>
        <v>707.83702213279673</v>
      </c>
      <c r="U85" s="251">
        <f t="shared" si="42"/>
        <v>741.56679494227592</v>
      </c>
      <c r="V85" s="251">
        <f t="shared" si="42"/>
        <v>806.10422357638151</v>
      </c>
      <c r="W85" s="251">
        <f t="shared" si="42"/>
        <v>732.55813953488371</v>
      </c>
      <c r="X85" s="251">
        <f t="shared" si="42"/>
        <v>867.35528942115764</v>
      </c>
      <c r="Y85" s="251">
        <f t="shared" si="42"/>
        <v>1029.8850574712644</v>
      </c>
      <c r="Z85" s="251">
        <f t="shared" si="42"/>
        <v>1041.8604651162791</v>
      </c>
      <c r="AA85" s="252">
        <f t="shared" si="44"/>
        <v>1083.5325404401842</v>
      </c>
      <c r="AB85" s="252">
        <f t="shared" si="44"/>
        <v>1055.4829211811627</v>
      </c>
      <c r="AC85" s="252">
        <f t="shared" si="44"/>
        <v>1078.7276428035264</v>
      </c>
    </row>
    <row r="86" spans="1:29">
      <c r="A86" s="240" t="s">
        <v>233</v>
      </c>
      <c r="B86" s="251">
        <f t="shared" si="43"/>
        <v>149.3463435084663</v>
      </c>
      <c r="C86" s="251">
        <f t="shared" si="43"/>
        <v>113.10009932678513</v>
      </c>
      <c r="D86" s="251">
        <f t="shared" si="42"/>
        <v>224.10950838975575</v>
      </c>
      <c r="E86" s="251">
        <f t="shared" si="42"/>
        <v>78.989804421117157</v>
      </c>
      <c r="F86" s="251">
        <f t="shared" si="42"/>
        <v>76.888001824817536</v>
      </c>
      <c r="G86" s="251">
        <f t="shared" si="42"/>
        <v>107.67614043467877</v>
      </c>
      <c r="H86" s="251">
        <f t="shared" si="42"/>
        <v>177.60314341846757</v>
      </c>
      <c r="I86" s="251">
        <f t="shared" si="42"/>
        <v>223.78481724461111</v>
      </c>
      <c r="J86" s="251">
        <f t="shared" si="42"/>
        <v>178.82707838479809</v>
      </c>
      <c r="K86" s="251">
        <f t="shared" si="42"/>
        <v>309.46086956521737</v>
      </c>
      <c r="L86" s="251">
        <f t="shared" si="42"/>
        <v>288.03409090909093</v>
      </c>
      <c r="M86" s="251">
        <f t="shared" si="42"/>
        <v>265.8498023715415</v>
      </c>
      <c r="N86" s="251">
        <f t="shared" si="42"/>
        <v>427.81818181818181</v>
      </c>
      <c r="O86" s="251">
        <f t="shared" si="42"/>
        <v>460.81965853658539</v>
      </c>
      <c r="P86" s="251">
        <f t="shared" si="42"/>
        <v>400.37883008356545</v>
      </c>
      <c r="Q86" s="251">
        <f t="shared" si="42"/>
        <v>575.19042189281652</v>
      </c>
      <c r="R86" s="251">
        <f t="shared" si="42"/>
        <v>626.98189134808854</v>
      </c>
      <c r="S86" s="251">
        <f t="shared" si="42"/>
        <v>713.78755622188896</v>
      </c>
      <c r="T86" s="251">
        <f t="shared" si="42"/>
        <v>773.56136820925553</v>
      </c>
      <c r="U86" s="251">
        <f t="shared" si="42"/>
        <v>726.67399670148427</v>
      </c>
      <c r="V86" s="251">
        <f t="shared" si="42"/>
        <v>957.39651187224206</v>
      </c>
      <c r="W86" s="251">
        <f t="shared" si="42"/>
        <v>811.62790697674416</v>
      </c>
      <c r="X86" s="251">
        <f t="shared" si="42"/>
        <v>848.75249500997995</v>
      </c>
      <c r="Y86" s="251">
        <f t="shared" si="42"/>
        <v>1188.5057471264367</v>
      </c>
      <c r="Z86" s="251">
        <f t="shared" si="42"/>
        <v>1202.3255813953488</v>
      </c>
      <c r="AA86" s="252">
        <f t="shared" si="44"/>
        <v>1175.7371387615319</v>
      </c>
      <c r="AB86" s="252">
        <f t="shared" si="44"/>
        <v>1180.6118930303746</v>
      </c>
      <c r="AC86" s="252">
        <f t="shared" si="44"/>
        <v>1185.7470392743282</v>
      </c>
    </row>
    <row r="87" spans="1:29">
      <c r="A87" s="240" t="s">
        <v>234</v>
      </c>
      <c r="B87" s="251">
        <f t="shared" si="43"/>
        <v>137.57741385052918</v>
      </c>
      <c r="C87" s="251">
        <f t="shared" si="43"/>
        <v>103.05705771989847</v>
      </c>
      <c r="D87" s="251">
        <f t="shared" si="42"/>
        <v>202.4433323520754</v>
      </c>
      <c r="E87" s="251">
        <f t="shared" si="42"/>
        <v>63.421025242038112</v>
      </c>
      <c r="F87" s="251">
        <f t="shared" si="42"/>
        <v>59.647817460317462</v>
      </c>
      <c r="G87" s="251">
        <f t="shared" si="42"/>
        <v>97.281739686600574</v>
      </c>
      <c r="H87" s="251">
        <f t="shared" si="42"/>
        <v>190.93243243243242</v>
      </c>
      <c r="I87" s="251">
        <f t="shared" si="42"/>
        <v>170.21256598511235</v>
      </c>
      <c r="J87" s="251">
        <f t="shared" si="42"/>
        <v>191.22945456199318</v>
      </c>
      <c r="K87" s="251">
        <f t="shared" si="42"/>
        <v>286.81739130434784</v>
      </c>
      <c r="L87" s="251">
        <f t="shared" si="42"/>
        <v>280.15909090909093</v>
      </c>
      <c r="M87" s="251">
        <f t="shared" si="42"/>
        <v>265.37549407114625</v>
      </c>
      <c r="N87" s="251">
        <f t="shared" si="42"/>
        <v>420.4909090909091</v>
      </c>
      <c r="O87" s="251">
        <f t="shared" si="42"/>
        <v>454.43580487804877</v>
      </c>
      <c r="P87" s="251">
        <f t="shared" si="42"/>
        <v>295.02841225626742</v>
      </c>
      <c r="Q87" s="251">
        <f t="shared" si="42"/>
        <v>564.0790573926264</v>
      </c>
      <c r="R87" s="251">
        <f t="shared" si="42"/>
        <v>617.52515090543261</v>
      </c>
      <c r="S87" s="251">
        <f t="shared" si="42"/>
        <v>643.80374812593709</v>
      </c>
      <c r="T87" s="251">
        <f t="shared" si="42"/>
        <v>738.57142857142856</v>
      </c>
      <c r="U87" s="251">
        <f t="shared" si="42"/>
        <v>574.20010995052223</v>
      </c>
      <c r="V87" s="251">
        <f t="shared" si="42"/>
        <v>903.02584576591721</v>
      </c>
      <c r="W87" s="251">
        <f t="shared" si="42"/>
        <v>697.67441860465112</v>
      </c>
      <c r="X87" s="251">
        <f t="shared" si="42"/>
        <v>895.25948103792416</v>
      </c>
      <c r="Y87" s="251">
        <f t="shared" si="42"/>
        <v>1045.9770114942528</v>
      </c>
      <c r="Z87" s="252">
        <f t="shared" si="44"/>
        <v>1063.0225657068215</v>
      </c>
      <c r="AA87" s="252">
        <f t="shared" si="44"/>
        <v>1067.6243670625461</v>
      </c>
      <c r="AB87" s="252">
        <f t="shared" si="44"/>
        <v>1085.4651592015371</v>
      </c>
      <c r="AC87" s="252">
        <f t="shared" si="44"/>
        <v>1081.9866873595847</v>
      </c>
    </row>
    <row r="88" spans="1:29">
      <c r="A88" s="240" t="s">
        <v>46</v>
      </c>
      <c r="B88" s="251">
        <f t="shared" si="43"/>
        <v>110.50221538227115</v>
      </c>
      <c r="C88" s="251">
        <f t="shared" si="43"/>
        <v>82.764963396240276</v>
      </c>
      <c r="D88" s="251">
        <f t="shared" si="42"/>
        <v>192.96438033559028</v>
      </c>
      <c r="E88" s="251">
        <f t="shared" si="42"/>
        <v>38.723414450667498</v>
      </c>
      <c r="F88" s="251">
        <f t="shared" si="42"/>
        <v>41.914682539682545</v>
      </c>
      <c r="G88" s="251">
        <f t="shared" si="42"/>
        <v>58.369043811960346</v>
      </c>
      <c r="H88" s="251">
        <f t="shared" si="42"/>
        <v>161.35135135135135</v>
      </c>
      <c r="I88" s="251">
        <f t="shared" si="42"/>
        <v>136.69744804501525</v>
      </c>
      <c r="J88" s="251">
        <f t="shared" si="42"/>
        <v>153.57607870121089</v>
      </c>
      <c r="K88" s="251">
        <f t="shared" si="42"/>
        <v>287.30434782608694</v>
      </c>
      <c r="L88" s="251">
        <f t="shared" si="42"/>
        <v>302.35227272727275</v>
      </c>
      <c r="M88" s="251">
        <f t="shared" si="42"/>
        <v>235.49407114624503</v>
      </c>
      <c r="N88" s="251">
        <f t="shared" si="42"/>
        <v>430.65454545454543</v>
      </c>
      <c r="O88" s="251">
        <f t="shared" si="42"/>
        <v>491.08385365853655</v>
      </c>
      <c r="P88" s="251">
        <f t="shared" si="42"/>
        <v>262.66740947075209</v>
      </c>
      <c r="Q88" s="251">
        <f t="shared" si="42"/>
        <v>573.77194982896242</v>
      </c>
      <c r="R88" s="251">
        <f t="shared" si="42"/>
        <v>623.19919517102619</v>
      </c>
      <c r="S88" s="251">
        <f t="shared" si="42"/>
        <v>647.58665667166406</v>
      </c>
      <c r="T88" s="251">
        <f t="shared" si="42"/>
        <v>759.13983903420535</v>
      </c>
      <c r="U88" s="251">
        <f t="shared" si="42"/>
        <v>498.55415063221551</v>
      </c>
      <c r="V88" s="251">
        <f t="shared" si="42"/>
        <v>940.84891783988223</v>
      </c>
      <c r="W88" s="251">
        <f t="shared" si="42"/>
        <v>651.16279069767438</v>
      </c>
      <c r="X88" s="251">
        <f t="shared" si="42"/>
        <v>832.47504990019956</v>
      </c>
      <c r="Y88" s="251">
        <f t="shared" si="42"/>
        <v>903.44827586206895</v>
      </c>
      <c r="Z88" s="252">
        <f t="shared" si="44"/>
        <v>1027.7021229512</v>
      </c>
      <c r="AA88" s="252">
        <f t="shared" si="44"/>
        <v>992.49690335439936</v>
      </c>
      <c r="AB88" s="252">
        <f t="shared" si="44"/>
        <v>1026.6957966613227</v>
      </c>
      <c r="AC88" s="252">
        <f t="shared" si="44"/>
        <v>999.80417638977065</v>
      </c>
    </row>
    <row r="89" spans="1:29">
      <c r="A89" s="240" t="s">
        <v>235</v>
      </c>
      <c r="B89" s="251">
        <f t="shared" si="43"/>
        <v>84.702205623789624</v>
      </c>
      <c r="C89" s="251">
        <f t="shared" si="43"/>
        <v>64.326969061545825</v>
      </c>
      <c r="D89" s="251">
        <f t="shared" si="42"/>
        <v>138.79894024138949</v>
      </c>
      <c r="E89" s="251">
        <f t="shared" si="42"/>
        <v>38.41850567546539</v>
      </c>
      <c r="F89" s="251">
        <f t="shared" si="42"/>
        <v>20.312500000000004</v>
      </c>
      <c r="G89" s="251">
        <f t="shared" si="42"/>
        <v>35.669971218420216</v>
      </c>
      <c r="H89" s="251">
        <f t="shared" si="42"/>
        <v>145.2162162162162</v>
      </c>
      <c r="I89" s="251">
        <f t="shared" si="42"/>
        <v>106.2446251451301</v>
      </c>
      <c r="J89" s="251">
        <f t="shared" si="42"/>
        <v>119.36311281755596</v>
      </c>
      <c r="K89" s="251">
        <f t="shared" si="42"/>
        <v>251.75652173913045</v>
      </c>
      <c r="L89" s="251">
        <f t="shared" si="42"/>
        <v>315</v>
      </c>
      <c r="M89" s="251">
        <f t="shared" si="42"/>
        <v>198.73517786561263</v>
      </c>
      <c r="N89" s="251">
        <f t="shared" si="42"/>
        <v>392.36363636363637</v>
      </c>
      <c r="O89" s="251">
        <f t="shared" si="42"/>
        <v>436.46643902439024</v>
      </c>
      <c r="P89" s="251">
        <f t="shared" si="42"/>
        <v>214.48022284122561</v>
      </c>
      <c r="Q89" s="251">
        <f t="shared" si="42"/>
        <v>519.16077537058152</v>
      </c>
      <c r="R89" s="251">
        <f t="shared" si="42"/>
        <v>613.74245472837026</v>
      </c>
      <c r="S89" s="251">
        <f t="shared" si="42"/>
        <v>506.43688155922035</v>
      </c>
      <c r="T89" s="251">
        <f t="shared" si="42"/>
        <v>733.6066398390343</v>
      </c>
      <c r="U89" s="251">
        <f t="shared" si="42"/>
        <v>388.63111599780098</v>
      </c>
      <c r="V89" s="251">
        <f t="shared" si="42"/>
        <v>903.02584576591721</v>
      </c>
      <c r="W89" s="251">
        <f t="shared" si="42"/>
        <v>581.39534883720933</v>
      </c>
      <c r="X89" s="251">
        <f t="shared" si="42"/>
        <v>734.8103792415169</v>
      </c>
      <c r="Y89" s="251">
        <f t="shared" si="42"/>
        <v>760.91954022988511</v>
      </c>
      <c r="Z89" s="252">
        <f t="shared" si="44"/>
        <v>932.60905936191216</v>
      </c>
      <c r="AA89" s="252">
        <f t="shared" si="44"/>
        <v>873.77900990500154</v>
      </c>
      <c r="AB89" s="252">
        <f t="shared" si="44"/>
        <v>922.30235861666847</v>
      </c>
      <c r="AC89" s="252">
        <f t="shared" si="44"/>
        <v>880.98517073415064</v>
      </c>
    </row>
    <row r="90" spans="1:29">
      <c r="A90" s="240" t="s">
        <v>236</v>
      </c>
      <c r="B90" s="251">
        <f t="shared" si="43"/>
        <v>73.474086692283564</v>
      </c>
      <c r="C90" s="251">
        <f t="shared" si="43"/>
        <v>57.580105212816825</v>
      </c>
      <c r="D90" s="251">
        <f t="shared" si="42"/>
        <v>107.65381218722406</v>
      </c>
      <c r="E90" s="251">
        <f t="shared" si="42"/>
        <v>22.553602533650039</v>
      </c>
      <c r="F90" s="251">
        <f t="shared" si="42"/>
        <v>18.404494382022474</v>
      </c>
      <c r="G90" s="251">
        <f t="shared" si="42"/>
        <v>22.177268998433892</v>
      </c>
      <c r="H90" s="251">
        <f t="shared" si="42"/>
        <v>158.46283783783784</v>
      </c>
      <c r="I90" s="251">
        <f t="shared" si="42"/>
        <v>95.225232821063116</v>
      </c>
      <c r="J90" s="251">
        <f t="shared" si="42"/>
        <v>110.1253962507395</v>
      </c>
      <c r="K90" s="251">
        <f t="shared" si="42"/>
        <v>203.7913043478261</v>
      </c>
      <c r="L90" s="251">
        <f t="shared" si="42"/>
        <v>257.25</v>
      </c>
      <c r="M90" s="251">
        <f t="shared" si="42"/>
        <v>162.21343873517787</v>
      </c>
      <c r="N90" s="251">
        <f t="shared" si="42"/>
        <v>403.70909090909095</v>
      </c>
      <c r="O90" s="251">
        <f t="shared" si="42"/>
        <v>392.72521951219511</v>
      </c>
      <c r="P90" s="251">
        <f t="shared" si="42"/>
        <v>270.69860724233979</v>
      </c>
      <c r="Q90" s="251">
        <f t="shared" si="42"/>
        <v>495.04675028506273</v>
      </c>
      <c r="R90" s="251">
        <f t="shared" si="42"/>
        <v>535.25150905432599</v>
      </c>
      <c r="S90" s="251">
        <f t="shared" si="42"/>
        <v>389.40314842578709</v>
      </c>
      <c r="T90" s="251">
        <f t="shared" si="42"/>
        <v>669.53722334004021</v>
      </c>
      <c r="U90" s="251">
        <f t="shared" si="42"/>
        <v>365.70093457943921</v>
      </c>
      <c r="V90" s="251">
        <f t="shared" si="42"/>
        <v>761.18932548854798</v>
      </c>
      <c r="W90" s="251">
        <f t="shared" si="42"/>
        <v>493.02325581395348</v>
      </c>
      <c r="X90" s="251">
        <f t="shared" si="42"/>
        <v>497.62475049900195</v>
      </c>
      <c r="Y90" s="251">
        <f t="shared" si="42"/>
        <v>618.39080459770116</v>
      </c>
      <c r="Z90" s="252">
        <f t="shared" si="44"/>
        <v>777.87691413199263</v>
      </c>
      <c r="AA90" s="252">
        <f t="shared" si="44"/>
        <v>709.6325115555785</v>
      </c>
      <c r="AB90" s="252">
        <f t="shared" si="44"/>
        <v>742.06048532944521</v>
      </c>
      <c r="AC90" s="252">
        <f t="shared" si="44"/>
        <v>702.46007668126617</v>
      </c>
    </row>
    <row r="91" spans="1:29">
      <c r="A91" s="240" t="s">
        <v>237</v>
      </c>
      <c r="B91" s="251">
        <f t="shared" si="43"/>
        <v>32.491749008025728</v>
      </c>
      <c r="C91" s="251">
        <f t="shared" si="43"/>
        <v>25.596880403193175</v>
      </c>
      <c r="D91" s="251">
        <f t="shared" si="42"/>
        <v>26.744186046511636</v>
      </c>
      <c r="E91" s="251">
        <f t="shared" si="42"/>
        <v>25.412509897070464</v>
      </c>
      <c r="F91" s="251">
        <f t="shared" si="42"/>
        <v>17.541783707865168</v>
      </c>
      <c r="G91" s="251">
        <f t="shared" si="42"/>
        <v>10.940786039227387</v>
      </c>
      <c r="H91" s="251">
        <f t="shared" si="42"/>
        <v>64.459459459459453</v>
      </c>
      <c r="I91" s="251">
        <f t="shared" si="42"/>
        <v>42.331789545678326</v>
      </c>
      <c r="J91" s="251">
        <f t="shared" si="42"/>
        <v>48.955565238477234</v>
      </c>
      <c r="K91" s="251">
        <f t="shared" si="42"/>
        <v>66.469565217391306</v>
      </c>
      <c r="L91" s="251">
        <f t="shared" si="42"/>
        <v>143.18181818181819</v>
      </c>
      <c r="M91" s="251">
        <f t="shared" si="42"/>
        <v>123.3201581027668</v>
      </c>
      <c r="N91" s="251">
        <f t="shared" si="42"/>
        <v>268.5090909090909</v>
      </c>
      <c r="O91" s="251">
        <f t="shared" si="42"/>
        <v>251.33468292682926</v>
      </c>
      <c r="P91" s="251">
        <f t="shared" si="42"/>
        <v>181.88300835654596</v>
      </c>
      <c r="Q91" s="251">
        <f t="shared" si="42"/>
        <v>341.3789433675409</v>
      </c>
      <c r="R91" s="251">
        <f t="shared" si="42"/>
        <v>228.14386317907446</v>
      </c>
      <c r="S91" s="251">
        <f t="shared" si="42"/>
        <v>168.57586206896551</v>
      </c>
      <c r="T91" s="251">
        <f t="shared" si="42"/>
        <v>267.15291750503019</v>
      </c>
      <c r="U91" s="251">
        <f t="shared" si="42"/>
        <v>163.11159978009894</v>
      </c>
      <c r="V91" s="251">
        <f t="shared" si="42"/>
        <v>420.78167682286193</v>
      </c>
      <c r="W91" s="251">
        <f t="shared" si="42"/>
        <v>140.46511627906978</v>
      </c>
      <c r="X91" s="251">
        <f t="shared" si="42"/>
        <v>165.79740518962075</v>
      </c>
      <c r="Y91" s="251">
        <f t="shared" si="42"/>
        <v>475.86206896551727</v>
      </c>
      <c r="Z91" s="252">
        <f>Z92-SUM(Z80:Z90)</f>
        <v>772.43274870078676</v>
      </c>
      <c r="AA91" s="252">
        <f>AA92-SUM(AA80:AA90)</f>
        <v>354.31133800140015</v>
      </c>
      <c r="AB91" s="252">
        <f>AB92-SUM(AB80:AB90)</f>
        <v>465.62011284360779</v>
      </c>
      <c r="AC91" s="252">
        <f>AC92-SUM(AC80:AC90)</f>
        <v>433.03185833422503</v>
      </c>
    </row>
    <row r="92" spans="1:29" ht="15.75" thickBot="1">
      <c r="A92" s="240" t="s">
        <v>242</v>
      </c>
      <c r="B92" s="146">
        <f>SUM(B80:B91)</f>
        <v>1936.4137399724195</v>
      </c>
      <c r="C92" s="146">
        <f t="shared" ref="C92:Y92" si="45">SUM(C80:C91)</f>
        <v>1426.450289311568</v>
      </c>
      <c r="D92" s="146">
        <f t="shared" si="45"/>
        <v>2302.1387070359733</v>
      </c>
      <c r="E92" s="146">
        <f t="shared" si="45"/>
        <v>1071.9005257072108</v>
      </c>
      <c r="F92" s="146">
        <f t="shared" si="45"/>
        <v>1160.6520777731814</v>
      </c>
      <c r="G92" s="146">
        <f t="shared" si="45"/>
        <v>1374.6965410987168</v>
      </c>
      <c r="H92" s="146">
        <f t="shared" si="45"/>
        <v>2141.9268837690702</v>
      </c>
      <c r="I92" s="146">
        <f t="shared" si="45"/>
        <v>2358.6914261003722</v>
      </c>
      <c r="J92" s="146">
        <f t="shared" si="45"/>
        <v>2127.1943360664236</v>
      </c>
      <c r="K92" s="146">
        <f t="shared" si="45"/>
        <v>3123.6766859341028</v>
      </c>
      <c r="L92" s="146">
        <f t="shared" si="45"/>
        <v>3267.4464426877466</v>
      </c>
      <c r="M92" s="146">
        <f t="shared" si="45"/>
        <v>2665.569664031621</v>
      </c>
      <c r="N92" s="146">
        <f t="shared" si="45"/>
        <v>4452.7201581027675</v>
      </c>
      <c r="O92" s="146">
        <f t="shared" si="45"/>
        <v>4835.1347006651886</v>
      </c>
      <c r="P92" s="146">
        <f t="shared" si="45"/>
        <v>4163.0074681703927</v>
      </c>
      <c r="Q92" s="146">
        <f t="shared" si="45"/>
        <v>5905.1300942586195</v>
      </c>
      <c r="R92" s="146">
        <f t="shared" si="45"/>
        <v>6741.7011349740396</v>
      </c>
      <c r="S92" s="146">
        <f t="shared" si="45"/>
        <v>6980.6262332616398</v>
      </c>
      <c r="T92" s="146">
        <f t="shared" si="45"/>
        <v>8476.3437503582227</v>
      </c>
      <c r="U92" s="146">
        <f t="shared" si="45"/>
        <v>7356.4007464246733</v>
      </c>
      <c r="V92" s="146">
        <f t="shared" si="45"/>
        <v>10010.819899011403</v>
      </c>
      <c r="W92" s="146">
        <f t="shared" si="45"/>
        <v>8281.8989723266077</v>
      </c>
      <c r="X92" s="146">
        <f t="shared" si="45"/>
        <v>8869.6497005988003</v>
      </c>
      <c r="Y92" s="146">
        <f t="shared" si="45"/>
        <v>11746.23167458187</v>
      </c>
      <c r="Z92" s="253">
        <f>Z12</f>
        <v>12000</v>
      </c>
      <c r="AA92" s="253">
        <f>AA12</f>
        <v>12000</v>
      </c>
      <c r="AB92" s="253">
        <f>AB12</f>
        <v>12000</v>
      </c>
      <c r="AC92" s="253">
        <f>AC12</f>
        <v>12000</v>
      </c>
    </row>
    <row r="93" spans="1:29">
      <c r="A93" s="248"/>
      <c r="B93" s="254">
        <f t="shared" ref="B93:AC93" si="46">SUM(B80:B91)-B12</f>
        <v>0</v>
      </c>
      <c r="C93" s="254">
        <f t="shared" si="46"/>
        <v>0</v>
      </c>
      <c r="D93" s="254">
        <f t="shared" si="46"/>
        <v>0</v>
      </c>
      <c r="E93" s="254">
        <f t="shared" si="46"/>
        <v>0</v>
      </c>
      <c r="F93" s="254">
        <f t="shared" si="46"/>
        <v>0</v>
      </c>
      <c r="G93" s="254">
        <f t="shared" si="46"/>
        <v>0</v>
      </c>
      <c r="H93" s="254">
        <f t="shared" si="46"/>
        <v>0</v>
      </c>
      <c r="I93" s="254">
        <f t="shared" si="46"/>
        <v>0</v>
      </c>
      <c r="J93" s="254">
        <f t="shared" si="46"/>
        <v>0</v>
      </c>
      <c r="K93" s="254">
        <f t="shared" si="46"/>
        <v>0</v>
      </c>
      <c r="L93" s="254">
        <f t="shared" si="46"/>
        <v>0</v>
      </c>
      <c r="M93" s="254">
        <f t="shared" si="46"/>
        <v>0</v>
      </c>
      <c r="N93" s="254">
        <f t="shared" si="46"/>
        <v>0</v>
      </c>
      <c r="O93" s="254">
        <f t="shared" si="46"/>
        <v>0</v>
      </c>
      <c r="P93" s="254">
        <f t="shared" si="46"/>
        <v>0</v>
      </c>
      <c r="Q93" s="254">
        <f t="shared" si="46"/>
        <v>0</v>
      </c>
      <c r="R93" s="254">
        <f t="shared" si="46"/>
        <v>0</v>
      </c>
      <c r="S93" s="254">
        <f t="shared" si="46"/>
        <v>0</v>
      </c>
      <c r="T93" s="254">
        <f t="shared" si="46"/>
        <v>0</v>
      </c>
      <c r="U93" s="254">
        <f t="shared" si="46"/>
        <v>0</v>
      </c>
      <c r="V93" s="254">
        <f t="shared" si="46"/>
        <v>0</v>
      </c>
      <c r="W93" s="254">
        <f t="shared" si="46"/>
        <v>0</v>
      </c>
      <c r="X93" s="254">
        <f t="shared" si="46"/>
        <v>0</v>
      </c>
      <c r="Y93" s="254">
        <f t="shared" si="46"/>
        <v>0</v>
      </c>
      <c r="Z93" s="254">
        <f>SUM(Z80:Z91)-Z12</f>
        <v>0</v>
      </c>
      <c r="AA93" s="254">
        <f t="shared" si="46"/>
        <v>0</v>
      </c>
      <c r="AB93" s="254">
        <f t="shared" si="46"/>
        <v>0</v>
      </c>
      <c r="AC93" s="254">
        <f t="shared" si="46"/>
        <v>0</v>
      </c>
    </row>
    <row r="94" spans="1:29" ht="15.75" thickBot="1">
      <c r="A94" s="240" t="s">
        <v>252</v>
      </c>
    </row>
    <row r="95" spans="1:29" ht="15.75" thickBot="1">
      <c r="A95" s="236"/>
      <c r="B95" s="237" t="str">
        <f>B$2</f>
        <v xml:space="preserve">93/94 </v>
      </c>
      <c r="C95" s="237" t="str">
        <f t="shared" ref="C95:AC95" si="47">C$2</f>
        <v xml:space="preserve">94/95 </v>
      </c>
      <c r="D95" s="237" t="str">
        <f t="shared" si="47"/>
        <v xml:space="preserve">95/96 </v>
      </c>
      <c r="E95" s="237" t="str">
        <f t="shared" si="47"/>
        <v xml:space="preserve">96/97 </v>
      </c>
      <c r="F95" s="237" t="str">
        <f t="shared" si="47"/>
        <v xml:space="preserve">97/98 </v>
      </c>
      <c r="G95" s="237" t="str">
        <f t="shared" si="47"/>
        <v xml:space="preserve">98/99 </v>
      </c>
      <c r="H95" s="237" t="str">
        <f t="shared" si="47"/>
        <v xml:space="preserve">99/00 </v>
      </c>
      <c r="I95" s="237" t="str">
        <f t="shared" si="47"/>
        <v xml:space="preserve">00/01 </v>
      </c>
      <c r="J95" s="237" t="str">
        <f t="shared" si="47"/>
        <v xml:space="preserve">01/02 </v>
      </c>
      <c r="K95" s="237" t="str">
        <f t="shared" si="47"/>
        <v xml:space="preserve">02/03 </v>
      </c>
      <c r="L95" s="237" t="str">
        <f t="shared" si="47"/>
        <v xml:space="preserve">03/04 </v>
      </c>
      <c r="M95" s="237" t="str">
        <f t="shared" si="47"/>
        <v xml:space="preserve">04/05 </v>
      </c>
      <c r="N95" s="237" t="str">
        <f t="shared" si="47"/>
        <v xml:space="preserve">05/06 </v>
      </c>
      <c r="O95" s="237" t="str">
        <f t="shared" si="47"/>
        <v xml:space="preserve">06/07 </v>
      </c>
      <c r="P95" s="237" t="str">
        <f t="shared" si="47"/>
        <v xml:space="preserve">07/08 </v>
      </c>
      <c r="Q95" s="237" t="str">
        <f t="shared" si="47"/>
        <v xml:space="preserve">08/09 </v>
      </c>
      <c r="R95" s="237" t="str">
        <f t="shared" si="47"/>
        <v xml:space="preserve">09/10 </v>
      </c>
      <c r="S95" s="237" t="str">
        <f t="shared" si="47"/>
        <v xml:space="preserve">10/11 </v>
      </c>
      <c r="T95" s="237" t="str">
        <f t="shared" si="47"/>
        <v xml:space="preserve">11/12 </v>
      </c>
      <c r="U95" s="237" t="str">
        <f t="shared" si="47"/>
        <v xml:space="preserve">12/13 </v>
      </c>
      <c r="V95" s="237" t="str">
        <f t="shared" si="47"/>
        <v xml:space="preserve">13/14 </v>
      </c>
      <c r="W95" s="237" t="str">
        <f t="shared" si="47"/>
        <v xml:space="preserve">14/15 </v>
      </c>
      <c r="X95" s="237" t="str">
        <f t="shared" si="47"/>
        <v xml:space="preserve">15/16 </v>
      </c>
      <c r="Y95" s="237" t="str">
        <f t="shared" si="47"/>
        <v xml:space="preserve">16/17 </v>
      </c>
      <c r="Z95" s="237" t="str">
        <f t="shared" si="47"/>
        <v xml:space="preserve">17/18 </v>
      </c>
      <c r="AA95" s="237" t="str">
        <f t="shared" si="47"/>
        <v xml:space="preserve">18/19 </v>
      </c>
      <c r="AB95" s="237" t="str">
        <f t="shared" si="47"/>
        <v xml:space="preserve">19/20 </v>
      </c>
      <c r="AC95" s="237" t="str">
        <f t="shared" si="47"/>
        <v xml:space="preserve">20/21 </v>
      </c>
    </row>
    <row r="96" spans="1:29">
      <c r="A96" s="240" t="s">
        <v>239</v>
      </c>
      <c r="B96" s="290">
        <f t="shared" ref="B96:AC105" si="48">B$124*B80</f>
        <v>101.25014019372412</v>
      </c>
      <c r="C96" s="290">
        <f t="shared" si="48"/>
        <v>49.351406604956793</v>
      </c>
      <c r="D96" s="290">
        <f t="shared" si="48"/>
        <v>36.874869043791755</v>
      </c>
      <c r="E96" s="290">
        <f t="shared" si="48"/>
        <v>42.527700971269304</v>
      </c>
      <c r="F96" s="290">
        <f t="shared" si="48"/>
        <v>19.071018187407738</v>
      </c>
      <c r="G96" s="290">
        <f t="shared" si="48"/>
        <v>47.046488764044945</v>
      </c>
      <c r="H96" s="290">
        <f t="shared" si="48"/>
        <v>47.156618333812766</v>
      </c>
      <c r="I96" s="290">
        <f t="shared" si="48"/>
        <v>71.179750028998953</v>
      </c>
      <c r="J96" s="290">
        <f t="shared" si="48"/>
        <v>64.83640005670604</v>
      </c>
      <c r="K96" s="290">
        <f t="shared" si="48"/>
        <v>76.138638865792075</v>
      </c>
      <c r="L96" s="290">
        <f t="shared" si="48"/>
        <v>75.060869565217388</v>
      </c>
      <c r="M96" s="290">
        <f t="shared" si="48"/>
        <v>44.84375</v>
      </c>
      <c r="N96" s="290">
        <f t="shared" si="48"/>
        <v>71.237979411892439</v>
      </c>
      <c r="O96" s="290">
        <f t="shared" si="48"/>
        <v>56.78067033028865</v>
      </c>
      <c r="P96" s="290">
        <f t="shared" si="48"/>
        <v>107.91913531983433</v>
      </c>
      <c r="Q96" s="290">
        <f t="shared" si="48"/>
        <v>101.30519753871508</v>
      </c>
      <c r="R96" s="290">
        <f t="shared" si="48"/>
        <v>138.74829762973388</v>
      </c>
      <c r="S96" s="290">
        <f t="shared" si="48"/>
        <v>165.23546095852222</v>
      </c>
      <c r="T96" s="290">
        <f t="shared" si="48"/>
        <v>229.92186130339087</v>
      </c>
      <c r="U96" s="290">
        <f t="shared" si="48"/>
        <v>268.4180314444809</v>
      </c>
      <c r="V96" s="290">
        <f t="shared" si="48"/>
        <v>287.70179756887177</v>
      </c>
      <c r="W96" s="290">
        <f t="shared" si="48"/>
        <v>285.08865165032222</v>
      </c>
      <c r="X96" s="290">
        <f t="shared" si="48"/>
        <v>289.07296137339057</v>
      </c>
      <c r="Y96" s="290">
        <f t="shared" si="48"/>
        <v>381.35728542914171</v>
      </c>
      <c r="Z96" s="290">
        <f t="shared" si="48"/>
        <v>137.66666666666666</v>
      </c>
      <c r="AA96" s="252">
        <f t="shared" si="48"/>
        <v>395.62879056174603</v>
      </c>
      <c r="AB96" s="252">
        <f t="shared" si="48"/>
        <v>328.89943971557796</v>
      </c>
      <c r="AC96" s="252">
        <f t="shared" si="48"/>
        <v>340.12699532409312</v>
      </c>
    </row>
    <row r="97" spans="1:29">
      <c r="A97" s="240" t="s">
        <v>240</v>
      </c>
      <c r="B97" s="290">
        <f t="shared" si="48"/>
        <v>115.91659583178696</v>
      </c>
      <c r="C97" s="290">
        <f t="shared" si="48"/>
        <v>83.166685060515761</v>
      </c>
      <c r="D97" s="290">
        <f t="shared" si="48"/>
        <v>110.6307035619665</v>
      </c>
      <c r="E97" s="290">
        <f t="shared" si="48"/>
        <v>78.018697291289826</v>
      </c>
      <c r="F97" s="290">
        <f t="shared" si="48"/>
        <v>89.908642419314504</v>
      </c>
      <c r="G97" s="290">
        <f t="shared" si="48"/>
        <v>97.891832981404534</v>
      </c>
      <c r="H97" s="290">
        <f t="shared" si="48"/>
        <v>106.42072628972191</v>
      </c>
      <c r="I97" s="290">
        <f t="shared" si="48"/>
        <v>127.13283722140487</v>
      </c>
      <c r="J97" s="290">
        <f t="shared" si="48"/>
        <v>106.20008873742978</v>
      </c>
      <c r="K97" s="290">
        <f t="shared" si="48"/>
        <v>138.18411271501424</v>
      </c>
      <c r="L97" s="290">
        <f t="shared" si="48"/>
        <v>128.22727272727272</v>
      </c>
      <c r="M97" s="290">
        <f t="shared" si="48"/>
        <v>112.74703557312253</v>
      </c>
      <c r="N97" s="290">
        <f t="shared" si="48"/>
        <v>153.62285714285713</v>
      </c>
      <c r="O97" s="290">
        <f t="shared" si="48"/>
        <v>182.84268292682927</v>
      </c>
      <c r="P97" s="290">
        <f t="shared" si="48"/>
        <v>192.66824512534816</v>
      </c>
      <c r="Q97" s="290">
        <f t="shared" si="48"/>
        <v>198.13759026985937</v>
      </c>
      <c r="R97" s="290">
        <f t="shared" si="48"/>
        <v>271.17934272300471</v>
      </c>
      <c r="S97" s="290">
        <f t="shared" si="48"/>
        <v>289.37595202398802</v>
      </c>
      <c r="T97" s="290">
        <f t="shared" si="48"/>
        <v>334.58375251509057</v>
      </c>
      <c r="U97" s="290">
        <f t="shared" si="48"/>
        <v>352.48391973611876</v>
      </c>
      <c r="V97" s="290">
        <f t="shared" si="48"/>
        <v>385.62092876654759</v>
      </c>
      <c r="W97" s="290">
        <f t="shared" si="48"/>
        <v>372.66922555881689</v>
      </c>
      <c r="X97" s="290">
        <f t="shared" si="48"/>
        <v>377.38982035928143</v>
      </c>
      <c r="Y97" s="290">
        <f t="shared" si="48"/>
        <v>486.34482758620686</v>
      </c>
      <c r="Z97" s="290">
        <f t="shared" si="48"/>
        <v>495.59999999999997</v>
      </c>
      <c r="AA97" s="252">
        <f t="shared" si="48"/>
        <v>516.74360996898974</v>
      </c>
      <c r="AB97" s="252">
        <f t="shared" si="48"/>
        <v>504.20230944023922</v>
      </c>
      <c r="AC97" s="252">
        <f t="shared" si="48"/>
        <v>513.75701838325631</v>
      </c>
    </row>
    <row r="98" spans="1:29">
      <c r="A98" s="240" t="s">
        <v>241</v>
      </c>
      <c r="B98" s="290">
        <f t="shared" si="48"/>
        <v>111.10646259456905</v>
      </c>
      <c r="C98" s="290">
        <f t="shared" si="48"/>
        <v>79.870507302358092</v>
      </c>
      <c r="D98" s="290">
        <f t="shared" si="48"/>
        <v>106.63821018545778</v>
      </c>
      <c r="E98" s="290">
        <f t="shared" si="48"/>
        <v>82.961058205670199</v>
      </c>
      <c r="F98" s="290">
        <f t="shared" si="48"/>
        <v>95.789459281961499</v>
      </c>
      <c r="G98" s="290">
        <f t="shared" si="48"/>
        <v>84.602275049383536</v>
      </c>
      <c r="H98" s="290">
        <f t="shared" si="48"/>
        <v>93.222178113007814</v>
      </c>
      <c r="I98" s="290">
        <f t="shared" si="48"/>
        <v>122.0941317580844</v>
      </c>
      <c r="J98" s="290">
        <f t="shared" si="48"/>
        <v>101.9910190822431</v>
      </c>
      <c r="K98" s="290">
        <f t="shared" si="48"/>
        <v>132.70740772754775</v>
      </c>
      <c r="L98" s="290">
        <f t="shared" si="48"/>
        <v>125.3712121212121</v>
      </c>
      <c r="M98" s="290">
        <f t="shared" si="48"/>
        <v>114.03162055335969</v>
      </c>
      <c r="N98" s="290">
        <f t="shared" si="48"/>
        <v>158.89662337662335</v>
      </c>
      <c r="O98" s="290">
        <f t="shared" si="48"/>
        <v>180.96585365853659</v>
      </c>
      <c r="P98" s="290">
        <f t="shared" si="48"/>
        <v>185.07977715877439</v>
      </c>
      <c r="Q98" s="290">
        <f t="shared" si="48"/>
        <v>208.61269479285443</v>
      </c>
      <c r="R98" s="290">
        <f t="shared" si="48"/>
        <v>266.53450704225355</v>
      </c>
      <c r="S98" s="290">
        <f t="shared" si="48"/>
        <v>293.32917541229386</v>
      </c>
      <c r="T98" s="290">
        <f t="shared" si="48"/>
        <v>339.62474849094576</v>
      </c>
      <c r="U98" s="290">
        <f t="shared" si="48"/>
        <v>330.05222649807587</v>
      </c>
      <c r="V98" s="290">
        <f t="shared" si="48"/>
        <v>370.58659382223158</v>
      </c>
      <c r="W98" s="290">
        <f t="shared" si="48"/>
        <v>381.3136148114699</v>
      </c>
      <c r="X98" s="290">
        <f t="shared" si="48"/>
        <v>345.70059880239518</v>
      </c>
      <c r="Y98" s="290">
        <f t="shared" si="48"/>
        <v>498.59770114942529</v>
      </c>
      <c r="Z98" s="290">
        <f t="shared" si="48"/>
        <v>508.08604651162784</v>
      </c>
      <c r="AA98" s="252">
        <f t="shared" si="48"/>
        <v>504.20310347997383</v>
      </c>
      <c r="AB98" s="252">
        <f t="shared" si="48"/>
        <v>501.05178748347276</v>
      </c>
      <c r="AC98" s="252">
        <f t="shared" si="48"/>
        <v>511.3239220087799</v>
      </c>
    </row>
    <row r="99" spans="1:29">
      <c r="A99" s="240" t="s">
        <v>231</v>
      </c>
      <c r="B99" s="290">
        <f t="shared" si="48"/>
        <v>105.56903751405731</v>
      </c>
      <c r="C99" s="290">
        <f t="shared" si="48"/>
        <v>75.297060662914319</v>
      </c>
      <c r="D99" s="290">
        <f t="shared" si="48"/>
        <v>116.03988813659113</v>
      </c>
      <c r="E99" s="290">
        <f t="shared" si="48"/>
        <v>69.899104360522102</v>
      </c>
      <c r="F99" s="290">
        <f t="shared" si="48"/>
        <v>72.605469727295485</v>
      </c>
      <c r="G99" s="290">
        <f t="shared" si="48"/>
        <v>80.449288195626991</v>
      </c>
      <c r="H99" s="290">
        <f t="shared" si="48"/>
        <v>99.880905121079792</v>
      </c>
      <c r="I99" s="290">
        <f t="shared" si="48"/>
        <v>115.10292792772724</v>
      </c>
      <c r="J99" s="290">
        <f t="shared" si="48"/>
        <v>96.150934935671515</v>
      </c>
      <c r="K99" s="290">
        <f t="shared" si="48"/>
        <v>125.10847955743797</v>
      </c>
      <c r="L99" s="290">
        <f t="shared" si="48"/>
        <v>131.67424242424241</v>
      </c>
      <c r="M99" s="290">
        <f t="shared" si="48"/>
        <v>109.58498023715414</v>
      </c>
      <c r="N99" s="290">
        <f t="shared" si="48"/>
        <v>163.97506493506492</v>
      </c>
      <c r="O99" s="290">
        <f t="shared" si="48"/>
        <v>187.6829268292683</v>
      </c>
      <c r="P99" s="290">
        <f t="shared" si="48"/>
        <v>196.51175487465181</v>
      </c>
      <c r="Q99" s="290">
        <f t="shared" si="48"/>
        <v>229.9581908019764</v>
      </c>
      <c r="R99" s="290">
        <f t="shared" si="48"/>
        <v>278.9866197183099</v>
      </c>
      <c r="S99" s="290">
        <f t="shared" si="48"/>
        <v>300.44497751124442</v>
      </c>
      <c r="T99" s="290">
        <f t="shared" si="48"/>
        <v>363.14939637826967</v>
      </c>
      <c r="U99" s="290">
        <f t="shared" si="48"/>
        <v>341.02102803738319</v>
      </c>
      <c r="V99" s="290">
        <f t="shared" si="48"/>
        <v>386.10905652447991</v>
      </c>
      <c r="W99" s="290">
        <f t="shared" si="48"/>
        <v>364.98532400090318</v>
      </c>
      <c r="X99" s="290">
        <f t="shared" si="48"/>
        <v>348.58143712574849</v>
      </c>
      <c r="Y99" s="290">
        <f t="shared" si="48"/>
        <v>524.9885057471264</v>
      </c>
      <c r="Z99" s="290">
        <f t="shared" si="48"/>
        <v>534.97906976744184</v>
      </c>
      <c r="AA99" s="252">
        <f t="shared" si="48"/>
        <v>514.54316459323968</v>
      </c>
      <c r="AB99" s="252">
        <f t="shared" si="48"/>
        <v>514.256465116968</v>
      </c>
      <c r="AC99" s="252">
        <f t="shared" si="48"/>
        <v>522.81592693209711</v>
      </c>
    </row>
    <row r="100" spans="1:29">
      <c r="A100" s="240" t="s">
        <v>232</v>
      </c>
      <c r="B100" s="290">
        <f t="shared" si="48"/>
        <v>77.083647760510416</v>
      </c>
      <c r="C100" s="290">
        <f t="shared" si="48"/>
        <v>54.283927454659164</v>
      </c>
      <c r="D100" s="290">
        <f t="shared" si="48"/>
        <v>89.766705916985615</v>
      </c>
      <c r="E100" s="290">
        <f t="shared" si="48"/>
        <v>40.643437284499271</v>
      </c>
      <c r="F100" s="290">
        <f t="shared" si="48"/>
        <v>56.643476277372272</v>
      </c>
      <c r="G100" s="290">
        <f t="shared" si="48"/>
        <v>57.511726773346076</v>
      </c>
      <c r="H100" s="290">
        <f t="shared" si="48"/>
        <v>74.807395453269706</v>
      </c>
      <c r="I100" s="290">
        <f t="shared" si="48"/>
        <v>109.48297407060295</v>
      </c>
      <c r="J100" s="290">
        <f t="shared" si="48"/>
        <v>86.79018210609658</v>
      </c>
      <c r="K100" s="290">
        <f t="shared" si="48"/>
        <v>124.90000000000002</v>
      </c>
      <c r="L100" s="290">
        <f t="shared" si="48"/>
        <v>121.0378787878788</v>
      </c>
      <c r="M100" s="290">
        <f t="shared" si="48"/>
        <v>111.36363636363636</v>
      </c>
      <c r="N100" s="290">
        <f t="shared" si="48"/>
        <v>165.63532467532465</v>
      </c>
      <c r="O100" s="290">
        <f t="shared" si="48"/>
        <v>198.94390243902441</v>
      </c>
      <c r="P100" s="290">
        <f t="shared" si="48"/>
        <v>208.53504178272979</v>
      </c>
      <c r="Q100" s="290">
        <f t="shared" si="48"/>
        <v>234.20752565564425</v>
      </c>
      <c r="R100" s="290">
        <f t="shared" si="48"/>
        <v>266.13920187793428</v>
      </c>
      <c r="S100" s="290">
        <f t="shared" si="48"/>
        <v>307.16545727136435</v>
      </c>
      <c r="T100" s="290">
        <f t="shared" si="48"/>
        <v>332.70573440643869</v>
      </c>
      <c r="U100" s="290">
        <f t="shared" si="48"/>
        <v>337.46357888949973</v>
      </c>
      <c r="V100" s="290">
        <f t="shared" si="48"/>
        <v>353.40449674301323</v>
      </c>
      <c r="W100" s="290">
        <f t="shared" si="48"/>
        <v>319.84240234815985</v>
      </c>
      <c r="X100" s="290">
        <f t="shared" si="48"/>
        <v>302.48802395209577</v>
      </c>
      <c r="Y100" s="290">
        <f t="shared" si="48"/>
        <v>455.24137931034483</v>
      </c>
      <c r="Z100" s="290">
        <f t="shared" si="48"/>
        <v>463.90465116279063</v>
      </c>
      <c r="AA100" s="252">
        <f t="shared" si="48"/>
        <v>462.78236492079162</v>
      </c>
      <c r="AB100" s="252">
        <f t="shared" si="48"/>
        <v>451.20171305083483</v>
      </c>
      <c r="AC100" s="252">
        <f t="shared" si="48"/>
        <v>457.93132646372635</v>
      </c>
    </row>
    <row r="101" spans="1:29">
      <c r="A101" s="240" t="s">
        <v>233</v>
      </c>
      <c r="B101" s="290">
        <f t="shared" si="48"/>
        <v>70.51391023622962</v>
      </c>
      <c r="C101" s="290">
        <f t="shared" si="48"/>
        <v>50.040098591031168</v>
      </c>
      <c r="D101" s="290">
        <f t="shared" si="48"/>
        <v>76.243744480423928</v>
      </c>
      <c r="E101" s="290">
        <f t="shared" si="48"/>
        <v>46.839083212014408</v>
      </c>
      <c r="F101" s="290">
        <f t="shared" si="48"/>
        <v>39.072438738269028</v>
      </c>
      <c r="G101" s="290">
        <f t="shared" si="48"/>
        <v>49.531024599952246</v>
      </c>
      <c r="H101" s="290">
        <f t="shared" si="48"/>
        <v>81.996094115445771</v>
      </c>
      <c r="I101" s="290">
        <f t="shared" si="48"/>
        <v>100.92377382068105</v>
      </c>
      <c r="J101" s="290">
        <f t="shared" si="48"/>
        <v>80.005067300079176</v>
      </c>
      <c r="K101" s="290">
        <f t="shared" si="48"/>
        <v>108.59999999999998</v>
      </c>
      <c r="L101" s="290">
        <f t="shared" si="48"/>
        <v>112.56818181818181</v>
      </c>
      <c r="M101" s="290">
        <f t="shared" si="48"/>
        <v>96.837944664031625</v>
      </c>
      <c r="N101" s="290">
        <f t="shared" si="48"/>
        <v>158.11532467532467</v>
      </c>
      <c r="O101" s="290">
        <f t="shared" si="48"/>
        <v>173.85365853658539</v>
      </c>
      <c r="P101" s="290">
        <f t="shared" si="48"/>
        <v>168.12891364902507</v>
      </c>
      <c r="Q101" s="290">
        <f t="shared" si="48"/>
        <v>213.45496009122007</v>
      </c>
      <c r="R101" s="290">
        <f t="shared" si="48"/>
        <v>240.14788732394371</v>
      </c>
      <c r="S101" s="290">
        <f t="shared" si="48"/>
        <v>279.29523238380813</v>
      </c>
      <c r="T101" s="290">
        <f t="shared" si="48"/>
        <v>295.93611670020118</v>
      </c>
      <c r="U101" s="290">
        <f t="shared" si="48"/>
        <v>309.99216602528861</v>
      </c>
      <c r="V101" s="290">
        <f t="shared" si="48"/>
        <v>332.90313090985495</v>
      </c>
      <c r="W101" s="290">
        <f t="shared" si="48"/>
        <v>302.55362384285394</v>
      </c>
      <c r="X101" s="290">
        <f t="shared" si="48"/>
        <v>358.18423153692612</v>
      </c>
      <c r="Y101" s="290">
        <f t="shared" si="48"/>
        <v>422.25287356321837</v>
      </c>
      <c r="Z101" s="290">
        <f t="shared" si="48"/>
        <v>430.28837209302327</v>
      </c>
      <c r="AA101" s="252">
        <f t="shared" si="48"/>
        <v>451.66656315057548</v>
      </c>
      <c r="AB101" s="252">
        <f t="shared" si="48"/>
        <v>439.57005206575582</v>
      </c>
      <c r="AC101" s="252">
        <f t="shared" si="48"/>
        <v>448.91452613588939</v>
      </c>
    </row>
    <row r="102" spans="1:29">
      <c r="A102" s="240" t="s">
        <v>234</v>
      </c>
      <c r="B102" s="290">
        <f t="shared" si="48"/>
        <v>64.403053337623561</v>
      </c>
      <c r="C102" s="290">
        <f t="shared" si="48"/>
        <v>45.240039730714052</v>
      </c>
      <c r="D102" s="290">
        <f t="shared" si="48"/>
        <v>85.259052104798386</v>
      </c>
      <c r="E102" s="290">
        <f t="shared" si="48"/>
        <v>35.439094705386559</v>
      </c>
      <c r="F102" s="290">
        <f t="shared" si="48"/>
        <v>30.980513555787287</v>
      </c>
      <c r="G102" s="290">
        <f t="shared" si="48"/>
        <v>43.070456173871513</v>
      </c>
      <c r="H102" s="290">
        <f t="shared" si="48"/>
        <v>71.886986621760684</v>
      </c>
      <c r="I102" s="290">
        <f t="shared" si="48"/>
        <v>91.242736644798526</v>
      </c>
      <c r="J102" s="290">
        <f t="shared" si="48"/>
        <v>72.330641330166259</v>
      </c>
      <c r="K102" s="290">
        <f t="shared" si="48"/>
        <v>127.09999999999998</v>
      </c>
      <c r="L102" s="290">
        <f t="shared" si="48"/>
        <v>118.87121212121212</v>
      </c>
      <c r="M102" s="290">
        <f t="shared" si="48"/>
        <v>110.7707509881423</v>
      </c>
      <c r="N102" s="290">
        <f t="shared" si="48"/>
        <v>176.76883116883116</v>
      </c>
      <c r="O102" s="290">
        <f t="shared" si="48"/>
        <v>192.52317073170735</v>
      </c>
      <c r="P102" s="290">
        <f t="shared" si="48"/>
        <v>167.04484679665737</v>
      </c>
      <c r="Q102" s="290">
        <f t="shared" si="48"/>
        <v>240.43329532497154</v>
      </c>
      <c r="R102" s="290">
        <f t="shared" si="48"/>
        <v>262.087323943662</v>
      </c>
      <c r="S102" s="290">
        <f t="shared" si="48"/>
        <v>298.36953523238378</v>
      </c>
      <c r="T102" s="290">
        <f t="shared" si="48"/>
        <v>323.4144869215292</v>
      </c>
      <c r="U102" s="290">
        <f t="shared" si="48"/>
        <v>303.76663001649257</v>
      </c>
      <c r="V102" s="290">
        <f t="shared" si="48"/>
        <v>395.38348392519435</v>
      </c>
      <c r="W102" s="290">
        <f t="shared" si="48"/>
        <v>335.21020546398734</v>
      </c>
      <c r="X102" s="290">
        <f t="shared" si="48"/>
        <v>350.50199600798402</v>
      </c>
      <c r="Y102" s="290">
        <f t="shared" si="48"/>
        <v>487.28735632183901</v>
      </c>
      <c r="Z102" s="252">
        <f t="shared" si="48"/>
        <v>496.56046511627903</v>
      </c>
      <c r="AA102" s="252">
        <f t="shared" si="48"/>
        <v>490.10171158973901</v>
      </c>
      <c r="AB102" s="252">
        <f t="shared" si="48"/>
        <v>491.68169458209348</v>
      </c>
      <c r="AC102" s="252">
        <f t="shared" si="48"/>
        <v>493.45084813944919</v>
      </c>
    </row>
    <row r="103" spans="1:29">
      <c r="A103" s="240" t="s">
        <v>46</v>
      </c>
      <c r="B103" s="290">
        <f t="shared" si="48"/>
        <v>59.327903945406284</v>
      </c>
      <c r="C103" s="290">
        <f t="shared" si="48"/>
        <v>41.222823087959391</v>
      </c>
      <c r="D103" s="290">
        <f t="shared" si="48"/>
        <v>77.016485133941728</v>
      </c>
      <c r="E103" s="290">
        <f t="shared" si="48"/>
        <v>28.454099061731952</v>
      </c>
      <c r="F103" s="290">
        <f t="shared" si="48"/>
        <v>24.033919123204839</v>
      </c>
      <c r="G103" s="290">
        <f t="shared" si="48"/>
        <v>38.912695874640235</v>
      </c>
      <c r="H103" s="290">
        <f t="shared" si="48"/>
        <v>77.282175032175033</v>
      </c>
      <c r="I103" s="290">
        <f t="shared" si="48"/>
        <v>69.399973255732505</v>
      </c>
      <c r="J103" s="290">
        <f t="shared" si="48"/>
        <v>77.34706183547803</v>
      </c>
      <c r="K103" s="290">
        <f t="shared" si="48"/>
        <v>117.8</v>
      </c>
      <c r="L103" s="290">
        <f t="shared" si="48"/>
        <v>115.62121212121212</v>
      </c>
      <c r="M103" s="290">
        <f t="shared" si="48"/>
        <v>110.57312252964428</v>
      </c>
      <c r="N103" s="290">
        <f t="shared" si="48"/>
        <v>173.74129870129869</v>
      </c>
      <c r="O103" s="290">
        <f t="shared" si="48"/>
        <v>189.85609756097563</v>
      </c>
      <c r="P103" s="290">
        <f t="shared" si="48"/>
        <v>123.0908635097493</v>
      </c>
      <c r="Q103" s="290">
        <f t="shared" si="48"/>
        <v>235.7886735081718</v>
      </c>
      <c r="R103" s="290">
        <f t="shared" si="48"/>
        <v>258.13427230046949</v>
      </c>
      <c r="S103" s="290">
        <f t="shared" si="48"/>
        <v>269.11568215892055</v>
      </c>
      <c r="T103" s="290">
        <f t="shared" si="48"/>
        <v>308.78571428571428</v>
      </c>
      <c r="U103" s="290">
        <f t="shared" si="48"/>
        <v>240.02899945024737</v>
      </c>
      <c r="V103" s="290">
        <f t="shared" si="48"/>
        <v>372.92960706030681</v>
      </c>
      <c r="W103" s="290">
        <f t="shared" si="48"/>
        <v>288.14630842176564</v>
      </c>
      <c r="X103" s="290">
        <f t="shared" si="48"/>
        <v>369.70758483033933</v>
      </c>
      <c r="Y103" s="290">
        <f t="shared" si="48"/>
        <v>428.85057471264361</v>
      </c>
      <c r="Z103" s="252">
        <f t="shared" si="48"/>
        <v>439.02831963691727</v>
      </c>
      <c r="AA103" s="252">
        <f t="shared" si="48"/>
        <v>445.03529945768969</v>
      </c>
      <c r="AB103" s="252">
        <f t="shared" si="48"/>
        <v>452.05655815996647</v>
      </c>
      <c r="AC103" s="252">
        <f t="shared" si="48"/>
        <v>450.2707836234016</v>
      </c>
    </row>
    <row r="104" spans="1:29">
      <c r="A104" s="240" t="s">
        <v>235</v>
      </c>
      <c r="B104" s="290">
        <f t="shared" si="48"/>
        <v>47.652188222382136</v>
      </c>
      <c r="C104" s="290">
        <f t="shared" si="48"/>
        <v>33.105985358496113</v>
      </c>
      <c r="D104" s="290">
        <f t="shared" si="48"/>
        <v>73.410362084191959</v>
      </c>
      <c r="E104" s="290">
        <f t="shared" si="48"/>
        <v>17.373416254038258</v>
      </c>
      <c r="F104" s="290">
        <f t="shared" si="48"/>
        <v>16.888699924414212</v>
      </c>
      <c r="G104" s="290">
        <f t="shared" si="48"/>
        <v>23.347617524784141</v>
      </c>
      <c r="H104" s="290">
        <f t="shared" si="48"/>
        <v>65.308880308880305</v>
      </c>
      <c r="I104" s="290">
        <f t="shared" si="48"/>
        <v>55.735011005478327</v>
      </c>
      <c r="J104" s="290">
        <f t="shared" si="48"/>
        <v>62.117305532040575</v>
      </c>
      <c r="K104" s="290">
        <f t="shared" si="48"/>
        <v>117.99999999999999</v>
      </c>
      <c r="L104" s="290">
        <f t="shared" si="48"/>
        <v>124.78030303030303</v>
      </c>
      <c r="M104" s="290">
        <f t="shared" si="48"/>
        <v>98.122529644268766</v>
      </c>
      <c r="N104" s="290">
        <f t="shared" si="48"/>
        <v>177.94077922077921</v>
      </c>
      <c r="O104" s="290">
        <f t="shared" si="48"/>
        <v>205.1670731707317</v>
      </c>
      <c r="P104" s="290">
        <f t="shared" si="48"/>
        <v>109.5893036211699</v>
      </c>
      <c r="Q104" s="290">
        <f t="shared" si="48"/>
        <v>239.84036488027368</v>
      </c>
      <c r="R104" s="290">
        <f t="shared" si="48"/>
        <v>260.50610328638498</v>
      </c>
      <c r="S104" s="290">
        <f t="shared" si="48"/>
        <v>270.69697151424282</v>
      </c>
      <c r="T104" s="290">
        <f t="shared" si="48"/>
        <v>317.38506036217308</v>
      </c>
      <c r="U104" s="290">
        <f t="shared" si="48"/>
        <v>208.40722924683894</v>
      </c>
      <c r="V104" s="290">
        <f t="shared" si="48"/>
        <v>388.54969531414156</v>
      </c>
      <c r="W104" s="290">
        <f t="shared" si="48"/>
        <v>268.93655452698124</v>
      </c>
      <c r="X104" s="290">
        <f t="shared" si="48"/>
        <v>343.78003992015965</v>
      </c>
      <c r="Y104" s="290">
        <f t="shared" si="48"/>
        <v>370.41379310344826</v>
      </c>
      <c r="Z104" s="252">
        <f t="shared" si="48"/>
        <v>424.44097677884554</v>
      </c>
      <c r="AA104" s="252">
        <f t="shared" si="48"/>
        <v>413.71869191261942</v>
      </c>
      <c r="AB104" s="252">
        <f t="shared" si="48"/>
        <v>427.58126705552678</v>
      </c>
      <c r="AC104" s="252">
        <f t="shared" si="48"/>
        <v>416.07037797440029</v>
      </c>
    </row>
    <row r="105" spans="1:29">
      <c r="A105" s="240" t="s">
        <v>236</v>
      </c>
      <c r="B105" s="290">
        <f t="shared" si="48"/>
        <v>36.526375795025992</v>
      </c>
      <c r="C105" s="290">
        <f t="shared" si="48"/>
        <v>25.73078762461833</v>
      </c>
      <c r="D105" s="290">
        <f t="shared" si="48"/>
        <v>52.803944657050351</v>
      </c>
      <c r="E105" s="290">
        <f t="shared" ref="E105:AE107" si="49">E$124*E89</f>
        <v>17.236617700856854</v>
      </c>
      <c r="F105" s="290">
        <f t="shared" si="49"/>
        <v>8.184523809523812</v>
      </c>
      <c r="G105" s="290">
        <f t="shared" si="49"/>
        <v>14.267988487368086</v>
      </c>
      <c r="H105" s="290">
        <f t="shared" si="49"/>
        <v>58.777992277992269</v>
      </c>
      <c r="I105" s="290">
        <f t="shared" si="49"/>
        <v>43.318623986211847</v>
      </c>
      <c r="J105" s="290">
        <f t="shared" si="49"/>
        <v>48.279100565973046</v>
      </c>
      <c r="K105" s="290">
        <f t="shared" si="49"/>
        <v>103.4</v>
      </c>
      <c r="L105" s="290">
        <f t="shared" si="49"/>
        <v>130</v>
      </c>
      <c r="M105" s="290">
        <f t="shared" si="49"/>
        <v>82.806324110671937</v>
      </c>
      <c r="N105" s="290">
        <f t="shared" si="49"/>
        <v>162.1194805194805</v>
      </c>
      <c r="O105" s="290">
        <f t="shared" si="49"/>
        <v>182.34878048780487</v>
      </c>
      <c r="P105" s="290">
        <f t="shared" si="49"/>
        <v>89.484791086350967</v>
      </c>
      <c r="Q105" s="290">
        <f t="shared" si="49"/>
        <v>217.01254275940707</v>
      </c>
      <c r="R105" s="290">
        <f t="shared" si="49"/>
        <v>256.55305164319253</v>
      </c>
      <c r="S105" s="290">
        <f t="shared" si="49"/>
        <v>211.6951124437781</v>
      </c>
      <c r="T105" s="290">
        <f t="shared" si="49"/>
        <v>306.71001006036221</v>
      </c>
      <c r="U105" s="290">
        <f t="shared" si="49"/>
        <v>162.45684442001098</v>
      </c>
      <c r="V105" s="290">
        <f t="shared" si="49"/>
        <v>372.92960706030681</v>
      </c>
      <c r="W105" s="290">
        <f t="shared" si="49"/>
        <v>240.1219236848047</v>
      </c>
      <c r="X105" s="290">
        <f t="shared" si="49"/>
        <v>303.44830339321356</v>
      </c>
      <c r="Y105" s="290">
        <f t="shared" si="49"/>
        <v>311.97701149425291</v>
      </c>
      <c r="Z105" s="252">
        <f t="shared" si="49"/>
        <v>385.16754151646973</v>
      </c>
      <c r="AA105" s="252">
        <f t="shared" si="49"/>
        <v>364.231573697432</v>
      </c>
      <c r="AB105" s="252">
        <f t="shared" si="49"/>
        <v>384.10521635329502</v>
      </c>
      <c r="AC105" s="252">
        <f t="shared" si="49"/>
        <v>366.62362653934395</v>
      </c>
    </row>
    <row r="106" spans="1:29">
      <c r="A106" s="240" t="s">
        <v>237</v>
      </c>
      <c r="B106" s="290">
        <f t="shared" ref="B106:Q107" si="50">B$124*B90</f>
        <v>31.684441768124476</v>
      </c>
      <c r="C106" s="290">
        <f t="shared" si="50"/>
        <v>23.032042085126733</v>
      </c>
      <c r="D106" s="290">
        <f t="shared" si="50"/>
        <v>40.955254636443939</v>
      </c>
      <c r="E106" s="290">
        <f t="shared" si="50"/>
        <v>10.1187648456057</v>
      </c>
      <c r="F106" s="290">
        <f t="shared" si="50"/>
        <v>7.4157303370786529</v>
      </c>
      <c r="G106" s="290">
        <f t="shared" si="50"/>
        <v>8.8709075993735578</v>
      </c>
      <c r="H106" s="290">
        <f t="shared" si="50"/>
        <v>64.139720077220076</v>
      </c>
      <c r="I106" s="290">
        <f t="shared" si="50"/>
        <v>38.825738703866939</v>
      </c>
      <c r="J106" s="290">
        <f t="shared" si="50"/>
        <v>44.542697948767753</v>
      </c>
      <c r="K106" s="290">
        <f t="shared" si="50"/>
        <v>83.7</v>
      </c>
      <c r="L106" s="290">
        <f t="shared" si="50"/>
        <v>106.16666666666666</v>
      </c>
      <c r="M106" s="290">
        <f t="shared" si="50"/>
        <v>67.588932806324124</v>
      </c>
      <c r="N106" s="290">
        <f t="shared" si="50"/>
        <v>166.80727272727273</v>
      </c>
      <c r="O106" s="290">
        <f t="shared" si="50"/>
        <v>164.07439024390246</v>
      </c>
      <c r="P106" s="290">
        <f t="shared" si="50"/>
        <v>112.94005571030638</v>
      </c>
      <c r="Q106" s="290">
        <f t="shared" si="50"/>
        <v>206.93272519954391</v>
      </c>
      <c r="R106" s="290">
        <f t="shared" si="49"/>
        <v>223.74272300469485</v>
      </c>
      <c r="S106" s="290">
        <f t="shared" si="49"/>
        <v>162.77397301349325</v>
      </c>
      <c r="T106" s="290">
        <f t="shared" si="49"/>
        <v>279.92354124748493</v>
      </c>
      <c r="U106" s="290">
        <f t="shared" si="49"/>
        <v>152.87149532710279</v>
      </c>
      <c r="V106" s="290">
        <f t="shared" si="49"/>
        <v>314.35427610842612</v>
      </c>
      <c r="W106" s="290">
        <f t="shared" si="49"/>
        <v>203.62339128471439</v>
      </c>
      <c r="X106" s="290">
        <f t="shared" si="49"/>
        <v>205.49980039920158</v>
      </c>
      <c r="Y106" s="290">
        <f t="shared" si="49"/>
        <v>253.54022988505747</v>
      </c>
      <c r="Z106" s="252">
        <f t="shared" si="49"/>
        <v>321.26316553651293</v>
      </c>
      <c r="AA106" s="252">
        <f t="shared" si="49"/>
        <v>295.80770824290084</v>
      </c>
      <c r="AB106" s="252">
        <f t="shared" si="49"/>
        <v>309.04106511470263</v>
      </c>
      <c r="AC106" s="252">
        <f t="shared" si="49"/>
        <v>292.33007474731625</v>
      </c>
    </row>
    <row r="107" spans="1:29">
      <c r="A107" s="240" t="s">
        <v>238</v>
      </c>
      <c r="B107" s="290">
        <f t="shared" si="50"/>
        <v>14.011510394145891</v>
      </c>
      <c r="C107" s="290">
        <f t="shared" si="50"/>
        <v>10.238752161277271</v>
      </c>
      <c r="D107" s="290">
        <f t="shared" si="50"/>
        <v>10.174418604651166</v>
      </c>
      <c r="E107" s="290">
        <f t="shared" si="50"/>
        <v>11.401425178147266</v>
      </c>
      <c r="F107" s="290">
        <f t="shared" si="50"/>
        <v>7.0681179775280896</v>
      </c>
      <c r="G107" s="290">
        <f t="shared" si="50"/>
        <v>4.3763144156909553</v>
      </c>
      <c r="H107" s="290">
        <f t="shared" si="50"/>
        <v>26.090733590733588</v>
      </c>
      <c r="I107" s="290">
        <f t="shared" si="50"/>
        <v>17.259742518624211</v>
      </c>
      <c r="J107" s="290">
        <f t="shared" si="50"/>
        <v>19.801181467386026</v>
      </c>
      <c r="K107" s="290">
        <f t="shared" si="50"/>
        <v>27.3</v>
      </c>
      <c r="L107" s="290">
        <f t="shared" si="50"/>
        <v>59.090909090909086</v>
      </c>
      <c r="M107" s="290">
        <f t="shared" si="50"/>
        <v>51.383399209486164</v>
      </c>
      <c r="N107" s="290">
        <f t="shared" si="50"/>
        <v>110.94441558441558</v>
      </c>
      <c r="O107" s="290">
        <f t="shared" si="50"/>
        <v>105.00365853658536</v>
      </c>
      <c r="P107" s="290">
        <f t="shared" si="50"/>
        <v>75.884679665738162</v>
      </c>
      <c r="Q107" s="290">
        <f t="shared" si="50"/>
        <v>142.69859369061194</v>
      </c>
      <c r="R107" s="290">
        <f t="shared" si="49"/>
        <v>95.367370892018783</v>
      </c>
      <c r="S107" s="290">
        <f t="shared" si="49"/>
        <v>70.466206896551725</v>
      </c>
      <c r="T107" s="290">
        <f t="shared" si="49"/>
        <v>111.69265593561369</v>
      </c>
      <c r="U107" s="290">
        <f t="shared" si="49"/>
        <v>68.184442001099498</v>
      </c>
      <c r="V107" s="290">
        <f t="shared" si="49"/>
        <v>173.77348182391259</v>
      </c>
      <c r="W107" s="290">
        <f t="shared" si="49"/>
        <v>58.013456762248815</v>
      </c>
      <c r="X107" s="290">
        <f t="shared" si="49"/>
        <v>68.467924151696607</v>
      </c>
      <c r="Y107" s="290">
        <f t="shared" si="49"/>
        <v>195.10344827586206</v>
      </c>
      <c r="Z107" s="252">
        <f t="shared" si="49"/>
        <v>319.01472521342492</v>
      </c>
      <c r="AA107" s="252">
        <f t="shared" si="49"/>
        <v>147.69338099930252</v>
      </c>
      <c r="AB107" s="252">
        <f t="shared" si="49"/>
        <v>193.91375562617733</v>
      </c>
      <c r="AC107" s="252">
        <f t="shared" si="49"/>
        <v>180.20701776088455</v>
      </c>
    </row>
    <row r="108" spans="1:29" ht="15.75" thickBot="1">
      <c r="A108" s="240" t="s">
        <v>242</v>
      </c>
      <c r="B108" s="290">
        <f>SUM(B96:B107)</f>
        <v>835.04526759358589</v>
      </c>
      <c r="C108" s="290">
        <f t="shared" ref="C108:Z108" si="51">SUM(C96:C107)</f>
        <v>570.58011572462715</v>
      </c>
      <c r="D108" s="290">
        <f t="shared" si="51"/>
        <v>875.81363854629421</v>
      </c>
      <c r="E108" s="290">
        <f t="shared" si="51"/>
        <v>480.91249907103179</v>
      </c>
      <c r="F108" s="290">
        <f t="shared" si="51"/>
        <v>467.66200935915742</v>
      </c>
      <c r="G108" s="290">
        <f t="shared" si="51"/>
        <v>549.87861643948679</v>
      </c>
      <c r="H108" s="290">
        <f t="shared" si="51"/>
        <v>866.97040533509971</v>
      </c>
      <c r="I108" s="290">
        <f t="shared" si="51"/>
        <v>961.69822094221172</v>
      </c>
      <c r="J108" s="290">
        <f t="shared" si="51"/>
        <v>860.39168089803798</v>
      </c>
      <c r="K108" s="290">
        <f t="shared" si="51"/>
        <v>1282.9386388657922</v>
      </c>
      <c r="L108" s="290">
        <f t="shared" si="51"/>
        <v>1348.4699604743082</v>
      </c>
      <c r="M108" s="290">
        <f t="shared" si="51"/>
        <v>1110.6540266798418</v>
      </c>
      <c r="N108" s="290">
        <f t="shared" si="51"/>
        <v>1839.8052521391651</v>
      </c>
      <c r="O108" s="290">
        <f t="shared" si="51"/>
        <v>2020.04286545224</v>
      </c>
      <c r="P108" s="290">
        <f t="shared" si="51"/>
        <v>1736.8774083003354</v>
      </c>
      <c r="Q108" s="290">
        <f t="shared" si="51"/>
        <v>2468.3823545132495</v>
      </c>
      <c r="R108" s="290">
        <f t="shared" si="51"/>
        <v>2818.1267013856027</v>
      </c>
      <c r="S108" s="290">
        <f t="shared" si="51"/>
        <v>2917.9637368205913</v>
      </c>
      <c r="T108" s="290">
        <f t="shared" si="51"/>
        <v>3543.8330786072142</v>
      </c>
      <c r="U108" s="290">
        <f t="shared" si="51"/>
        <v>3075.1465910926386</v>
      </c>
      <c r="V108" s="290">
        <f t="shared" si="51"/>
        <v>4134.2461556272865</v>
      </c>
      <c r="W108" s="290">
        <f t="shared" si="51"/>
        <v>3420.5046823570278</v>
      </c>
      <c r="X108" s="290">
        <f t="shared" si="51"/>
        <v>3662.8227218524321</v>
      </c>
      <c r="Y108" s="290">
        <f t="shared" si="51"/>
        <v>4815.9549865785675</v>
      </c>
      <c r="Z108" s="252">
        <f t="shared" si="51"/>
        <v>4955.9999999999991</v>
      </c>
      <c r="AA108" s="253">
        <f>SUM(AA96:AA107)</f>
        <v>5002.1559625749996</v>
      </c>
      <c r="AB108" s="253">
        <f>SUM(AB96:AB107)</f>
        <v>4997.5613237646103</v>
      </c>
      <c r="AC108" s="253">
        <f>SUM(AC96:AC107)</f>
        <v>4993.8224440326376</v>
      </c>
    </row>
    <row r="109" spans="1:29">
      <c r="A109" s="248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48"/>
      <c r="AA109" s="248"/>
      <c r="AB109" s="248"/>
      <c r="AC109" s="254"/>
    </row>
    <row r="110" spans="1:29" ht="15.75" thickBot="1">
      <c r="A110" s="240" t="s">
        <v>254</v>
      </c>
    </row>
    <row r="111" spans="1:29" ht="15.75" thickBot="1">
      <c r="A111" s="236"/>
      <c r="B111" s="237" t="str">
        <f>B$2</f>
        <v xml:space="preserve">93/94 </v>
      </c>
      <c r="C111" s="237" t="str">
        <f t="shared" ref="C111:AC111" si="52">C$2</f>
        <v xml:space="preserve">94/95 </v>
      </c>
      <c r="D111" s="237" t="str">
        <f t="shared" si="52"/>
        <v xml:space="preserve">95/96 </v>
      </c>
      <c r="E111" s="237" t="str">
        <f t="shared" si="52"/>
        <v xml:space="preserve">96/97 </v>
      </c>
      <c r="F111" s="237" t="str">
        <f t="shared" si="52"/>
        <v xml:space="preserve">97/98 </v>
      </c>
      <c r="G111" s="237" t="str">
        <f t="shared" si="52"/>
        <v xml:space="preserve">98/99 </v>
      </c>
      <c r="H111" s="237" t="str">
        <f t="shared" si="52"/>
        <v xml:space="preserve">99/00 </v>
      </c>
      <c r="I111" s="237" t="str">
        <f t="shared" si="52"/>
        <v xml:space="preserve">00/01 </v>
      </c>
      <c r="J111" s="237" t="str">
        <f t="shared" si="52"/>
        <v xml:space="preserve">01/02 </v>
      </c>
      <c r="K111" s="237" t="str">
        <f t="shared" si="52"/>
        <v xml:space="preserve">02/03 </v>
      </c>
      <c r="L111" s="237" t="str">
        <f t="shared" si="52"/>
        <v xml:space="preserve">03/04 </v>
      </c>
      <c r="M111" s="237" t="str">
        <f t="shared" si="52"/>
        <v xml:space="preserve">04/05 </v>
      </c>
      <c r="N111" s="237" t="str">
        <f t="shared" si="52"/>
        <v xml:space="preserve">05/06 </v>
      </c>
      <c r="O111" s="237" t="str">
        <f t="shared" si="52"/>
        <v xml:space="preserve">06/07 </v>
      </c>
      <c r="P111" s="237" t="str">
        <f t="shared" si="52"/>
        <v xml:space="preserve">07/08 </v>
      </c>
      <c r="Q111" s="237" t="str">
        <f t="shared" si="52"/>
        <v xml:space="preserve">08/09 </v>
      </c>
      <c r="R111" s="237" t="str">
        <f t="shared" si="52"/>
        <v xml:space="preserve">09/10 </v>
      </c>
      <c r="S111" s="237" t="str">
        <f t="shared" si="52"/>
        <v xml:space="preserve">10/11 </v>
      </c>
      <c r="T111" s="237" t="str">
        <f t="shared" si="52"/>
        <v xml:space="preserve">11/12 </v>
      </c>
      <c r="U111" s="237" t="str">
        <f t="shared" si="52"/>
        <v xml:space="preserve">12/13 </v>
      </c>
      <c r="V111" s="237" t="str">
        <f t="shared" si="52"/>
        <v xml:space="preserve">13/14 </v>
      </c>
      <c r="W111" s="237" t="str">
        <f t="shared" si="52"/>
        <v xml:space="preserve">14/15 </v>
      </c>
      <c r="X111" s="237" t="str">
        <f t="shared" si="52"/>
        <v xml:space="preserve">15/16 </v>
      </c>
      <c r="Y111" s="237" t="str">
        <f t="shared" si="52"/>
        <v xml:space="preserve">16/17 </v>
      </c>
      <c r="Z111" s="237" t="str">
        <f t="shared" si="52"/>
        <v xml:space="preserve">17/18 </v>
      </c>
      <c r="AA111" s="237" t="str">
        <f t="shared" si="52"/>
        <v xml:space="preserve">18/19 </v>
      </c>
      <c r="AB111" s="237" t="str">
        <f t="shared" si="52"/>
        <v xml:space="preserve">19/20 </v>
      </c>
      <c r="AC111" s="237" t="str">
        <f t="shared" si="52"/>
        <v xml:space="preserve">20/21 </v>
      </c>
    </row>
    <row r="112" spans="1:29">
      <c r="A112" s="240" t="s">
        <v>239</v>
      </c>
      <c r="B112" s="298">
        <f t="shared" ref="B112:AC121" si="53">B96/B80</f>
        <v>0.43123287671232879</v>
      </c>
      <c r="C112" s="298">
        <f t="shared" si="53"/>
        <v>0.4</v>
      </c>
      <c r="D112" s="298">
        <f t="shared" si="53"/>
        <v>0.38043478260869568</v>
      </c>
      <c r="E112" s="298">
        <f t="shared" si="53"/>
        <v>0.44865403788634095</v>
      </c>
      <c r="F112" s="298">
        <f t="shared" si="53"/>
        <v>0.40293040293040294</v>
      </c>
      <c r="G112" s="298">
        <f t="shared" si="53"/>
        <v>0.4</v>
      </c>
      <c r="H112" s="298">
        <f t="shared" si="53"/>
        <v>0.40476190476190477</v>
      </c>
      <c r="I112" s="298">
        <f t="shared" si="53"/>
        <v>0.40772532188841204</v>
      </c>
      <c r="J112" s="298">
        <f t="shared" si="53"/>
        <v>0.40447253281477885</v>
      </c>
      <c r="K112" s="298">
        <f t="shared" si="53"/>
        <v>0.4107142857142857</v>
      </c>
      <c r="L112" s="298">
        <f t="shared" si="53"/>
        <v>0.41269841269841268</v>
      </c>
      <c r="M112" s="298">
        <f t="shared" si="53"/>
        <v>0.41666666666666669</v>
      </c>
      <c r="N112" s="298">
        <f t="shared" si="53"/>
        <v>0.41318681318681311</v>
      </c>
      <c r="O112" s="298">
        <f t="shared" si="53"/>
        <v>0.41778419641015063</v>
      </c>
      <c r="P112" s="298">
        <f t="shared" si="53"/>
        <v>0.41721698113207545</v>
      </c>
      <c r="Q112" s="298">
        <f t="shared" si="53"/>
        <v>0.41800643086816719</v>
      </c>
      <c r="R112" s="298">
        <f t="shared" si="53"/>
        <v>0.41801418439716315</v>
      </c>
      <c r="S112" s="298">
        <f t="shared" si="53"/>
        <v>0.41800887761572614</v>
      </c>
      <c r="T112" s="298">
        <f t="shared" si="53"/>
        <v>0.41808510638297874</v>
      </c>
      <c r="U112" s="298">
        <f t="shared" si="53"/>
        <v>0.4180232558139535</v>
      </c>
      <c r="V112" s="298">
        <f t="shared" si="53"/>
        <v>0.41297777777777783</v>
      </c>
      <c r="W112" s="298">
        <f t="shared" si="53"/>
        <v>0.41300970873786408</v>
      </c>
      <c r="X112" s="298">
        <f t="shared" si="53"/>
        <v>0.41296137339055794</v>
      </c>
      <c r="Y112" s="298">
        <f t="shared" si="53"/>
        <v>0.41</v>
      </c>
      <c r="Z112" s="298">
        <f t="shared" si="53"/>
        <v>0.41299999999999998</v>
      </c>
      <c r="AA112" s="259">
        <f t="shared" si="53"/>
        <v>0.41684633021458339</v>
      </c>
      <c r="AB112" s="259">
        <f t="shared" si="53"/>
        <v>0.4164634436470509</v>
      </c>
      <c r="AC112" s="259">
        <f t="shared" si="53"/>
        <v>0.41615187033605316</v>
      </c>
    </row>
    <row r="113" spans="1:29">
      <c r="A113" s="240" t="s">
        <v>240</v>
      </c>
      <c r="B113" s="298">
        <f t="shared" si="53"/>
        <v>0.43123287671232879</v>
      </c>
      <c r="C113" s="298">
        <f t="shared" si="53"/>
        <v>0.4</v>
      </c>
      <c r="D113" s="298">
        <f t="shared" si="53"/>
        <v>0.38043478260869568</v>
      </c>
      <c r="E113" s="298">
        <f t="shared" si="53"/>
        <v>0.4486540378863409</v>
      </c>
      <c r="F113" s="298">
        <f t="shared" si="53"/>
        <v>0.40293040293040294</v>
      </c>
      <c r="G113" s="298">
        <f t="shared" si="53"/>
        <v>0.4</v>
      </c>
      <c r="H113" s="298">
        <f t="shared" si="53"/>
        <v>0.40476190476190477</v>
      </c>
      <c r="I113" s="298">
        <f t="shared" si="53"/>
        <v>0.40772532188841204</v>
      </c>
      <c r="J113" s="298">
        <f t="shared" si="53"/>
        <v>0.4044725328147788</v>
      </c>
      <c r="K113" s="298">
        <f t="shared" si="53"/>
        <v>0.4107142857142857</v>
      </c>
      <c r="L113" s="298">
        <f t="shared" si="53"/>
        <v>0.41269841269841268</v>
      </c>
      <c r="M113" s="298">
        <f t="shared" si="53"/>
        <v>0.41666666666666669</v>
      </c>
      <c r="N113" s="298">
        <f t="shared" si="53"/>
        <v>0.41318681318681316</v>
      </c>
      <c r="O113" s="298">
        <f t="shared" si="53"/>
        <v>0.41778419641015063</v>
      </c>
      <c r="P113" s="298">
        <f t="shared" si="53"/>
        <v>0.41721698113207539</v>
      </c>
      <c r="Q113" s="298">
        <f t="shared" si="53"/>
        <v>0.41800643086816724</v>
      </c>
      <c r="R113" s="298">
        <f t="shared" si="53"/>
        <v>0.4180141843971632</v>
      </c>
      <c r="S113" s="298">
        <f t="shared" si="53"/>
        <v>0.41800887761572614</v>
      </c>
      <c r="T113" s="298">
        <f t="shared" si="53"/>
        <v>0.41808510638297874</v>
      </c>
      <c r="U113" s="298">
        <f t="shared" si="53"/>
        <v>0.41802325581395355</v>
      </c>
      <c r="V113" s="298">
        <f t="shared" si="53"/>
        <v>0.41297777777777778</v>
      </c>
      <c r="W113" s="298">
        <f t="shared" si="53"/>
        <v>0.41300970873786408</v>
      </c>
      <c r="X113" s="298">
        <f t="shared" si="53"/>
        <v>0.41296137339055794</v>
      </c>
      <c r="Y113" s="298">
        <f t="shared" si="53"/>
        <v>0.41</v>
      </c>
      <c r="Z113" s="298">
        <f t="shared" si="53"/>
        <v>0.41299999999999998</v>
      </c>
      <c r="AA113" s="259">
        <f t="shared" si="53"/>
        <v>0.41684633021458334</v>
      </c>
      <c r="AB113" s="259">
        <f t="shared" si="53"/>
        <v>0.4164634436470509</v>
      </c>
      <c r="AC113" s="259">
        <f t="shared" si="53"/>
        <v>0.41615187033605316</v>
      </c>
    </row>
    <row r="114" spans="1:29">
      <c r="A114" s="240" t="s">
        <v>241</v>
      </c>
      <c r="B114" s="298">
        <f t="shared" si="53"/>
        <v>0.43123287671232879</v>
      </c>
      <c r="C114" s="298">
        <f t="shared" si="53"/>
        <v>0.4</v>
      </c>
      <c r="D114" s="298">
        <f t="shared" si="53"/>
        <v>0.38043478260869568</v>
      </c>
      <c r="E114" s="298">
        <f t="shared" si="53"/>
        <v>0.44865403788634095</v>
      </c>
      <c r="F114" s="298">
        <f t="shared" si="53"/>
        <v>0.40293040293040294</v>
      </c>
      <c r="G114" s="298">
        <f t="shared" si="53"/>
        <v>0.4</v>
      </c>
      <c r="H114" s="298">
        <f t="shared" si="53"/>
        <v>0.40476190476190477</v>
      </c>
      <c r="I114" s="298">
        <f t="shared" si="53"/>
        <v>0.40772532188841204</v>
      </c>
      <c r="J114" s="298">
        <f t="shared" si="53"/>
        <v>0.4044725328147788</v>
      </c>
      <c r="K114" s="298">
        <f t="shared" si="53"/>
        <v>0.41071428571428564</v>
      </c>
      <c r="L114" s="298">
        <f t="shared" si="53"/>
        <v>0.41269841269841268</v>
      </c>
      <c r="M114" s="298">
        <f t="shared" si="53"/>
        <v>0.41666666666666669</v>
      </c>
      <c r="N114" s="298">
        <f t="shared" si="53"/>
        <v>0.41318681318681311</v>
      </c>
      <c r="O114" s="298">
        <f t="shared" si="53"/>
        <v>0.41778419641015063</v>
      </c>
      <c r="P114" s="298">
        <f t="shared" si="53"/>
        <v>0.4172169811320755</v>
      </c>
      <c r="Q114" s="298">
        <f t="shared" si="53"/>
        <v>0.41800643086816719</v>
      </c>
      <c r="R114" s="298">
        <f t="shared" si="53"/>
        <v>0.41801418439716315</v>
      </c>
      <c r="S114" s="298">
        <f t="shared" si="53"/>
        <v>0.41800887761572608</v>
      </c>
      <c r="T114" s="298">
        <f t="shared" si="53"/>
        <v>0.4180851063829788</v>
      </c>
      <c r="U114" s="298">
        <f t="shared" si="53"/>
        <v>0.4180232558139535</v>
      </c>
      <c r="V114" s="298">
        <f t="shared" si="53"/>
        <v>0.41297777777777778</v>
      </c>
      <c r="W114" s="298">
        <f t="shared" si="53"/>
        <v>0.41300970873786408</v>
      </c>
      <c r="X114" s="298">
        <f t="shared" si="53"/>
        <v>0.41296137339055794</v>
      </c>
      <c r="Y114" s="298">
        <f t="shared" si="53"/>
        <v>0.41</v>
      </c>
      <c r="Z114" s="298">
        <f t="shared" si="53"/>
        <v>0.41299999999999998</v>
      </c>
      <c r="AA114" s="259">
        <f t="shared" si="53"/>
        <v>0.41684633021458339</v>
      </c>
      <c r="AB114" s="259">
        <f t="shared" si="53"/>
        <v>0.4164634436470509</v>
      </c>
      <c r="AC114" s="259">
        <f t="shared" si="53"/>
        <v>0.41615187033605316</v>
      </c>
    </row>
    <row r="115" spans="1:29">
      <c r="A115" s="240" t="s">
        <v>231</v>
      </c>
      <c r="B115" s="298">
        <f t="shared" si="53"/>
        <v>0.43123287671232879</v>
      </c>
      <c r="C115" s="298">
        <f t="shared" si="53"/>
        <v>0.4</v>
      </c>
      <c r="D115" s="298">
        <f t="shared" si="53"/>
        <v>0.38043478260869568</v>
      </c>
      <c r="E115" s="298">
        <f t="shared" si="53"/>
        <v>0.44865403788634095</v>
      </c>
      <c r="F115" s="298">
        <f t="shared" si="53"/>
        <v>0.40293040293040294</v>
      </c>
      <c r="G115" s="298">
        <f t="shared" si="53"/>
        <v>0.4</v>
      </c>
      <c r="H115" s="298">
        <f t="shared" si="53"/>
        <v>0.40476190476190477</v>
      </c>
      <c r="I115" s="298">
        <f t="shared" si="53"/>
        <v>0.40772532188841204</v>
      </c>
      <c r="J115" s="298">
        <f t="shared" si="53"/>
        <v>0.4044725328147788</v>
      </c>
      <c r="K115" s="298">
        <f t="shared" si="53"/>
        <v>0.4107142857142857</v>
      </c>
      <c r="L115" s="298">
        <f t="shared" si="53"/>
        <v>0.41269841269841273</v>
      </c>
      <c r="M115" s="298">
        <f t="shared" si="53"/>
        <v>0.41666666666666669</v>
      </c>
      <c r="N115" s="298">
        <f t="shared" si="53"/>
        <v>0.41318681318681311</v>
      </c>
      <c r="O115" s="298">
        <f t="shared" si="53"/>
        <v>0.41778419641015063</v>
      </c>
      <c r="P115" s="298">
        <f t="shared" si="53"/>
        <v>0.41721698113207545</v>
      </c>
      <c r="Q115" s="298">
        <f t="shared" si="53"/>
        <v>0.41800643086816719</v>
      </c>
      <c r="R115" s="298">
        <f t="shared" si="53"/>
        <v>0.41801418439716315</v>
      </c>
      <c r="S115" s="298">
        <f t="shared" si="53"/>
        <v>0.41800887761572608</v>
      </c>
      <c r="T115" s="298">
        <f t="shared" si="53"/>
        <v>0.41808510638297874</v>
      </c>
      <c r="U115" s="298">
        <f t="shared" si="53"/>
        <v>0.4180232558139535</v>
      </c>
      <c r="V115" s="298">
        <f t="shared" si="53"/>
        <v>0.41297777777777778</v>
      </c>
      <c r="W115" s="298">
        <f t="shared" si="53"/>
        <v>0.41300970873786408</v>
      </c>
      <c r="X115" s="298">
        <f t="shared" si="53"/>
        <v>0.41296137339055794</v>
      </c>
      <c r="Y115" s="298">
        <f t="shared" si="53"/>
        <v>0.41</v>
      </c>
      <c r="Z115" s="298">
        <f t="shared" si="53"/>
        <v>0.41300000000000003</v>
      </c>
      <c r="AA115" s="259">
        <f t="shared" si="53"/>
        <v>0.41684633021458334</v>
      </c>
      <c r="AB115" s="259">
        <f t="shared" si="53"/>
        <v>0.4164634436470509</v>
      </c>
      <c r="AC115" s="259">
        <f t="shared" si="53"/>
        <v>0.41615187033605316</v>
      </c>
    </row>
    <row r="116" spans="1:29">
      <c r="A116" s="240" t="s">
        <v>232</v>
      </c>
      <c r="B116" s="298">
        <f t="shared" si="53"/>
        <v>0.43123287671232879</v>
      </c>
      <c r="C116" s="298">
        <f t="shared" si="53"/>
        <v>0.4</v>
      </c>
      <c r="D116" s="298">
        <f t="shared" si="53"/>
        <v>0.38043478260869568</v>
      </c>
      <c r="E116" s="298">
        <f t="shared" si="53"/>
        <v>0.44865403788634101</v>
      </c>
      <c r="F116" s="298">
        <f t="shared" si="53"/>
        <v>0.40293040293040294</v>
      </c>
      <c r="G116" s="298">
        <f t="shared" si="53"/>
        <v>0.4</v>
      </c>
      <c r="H116" s="298">
        <f t="shared" si="53"/>
        <v>0.40476190476190477</v>
      </c>
      <c r="I116" s="298">
        <f t="shared" si="53"/>
        <v>0.40772532188841204</v>
      </c>
      <c r="J116" s="298">
        <f t="shared" si="53"/>
        <v>0.4044725328147788</v>
      </c>
      <c r="K116" s="298">
        <f t="shared" si="53"/>
        <v>0.4107142857142857</v>
      </c>
      <c r="L116" s="298">
        <f t="shared" si="53"/>
        <v>0.41269841269841268</v>
      </c>
      <c r="M116" s="298">
        <f t="shared" si="53"/>
        <v>0.41666666666666669</v>
      </c>
      <c r="N116" s="298">
        <f t="shared" si="53"/>
        <v>0.41318681318681311</v>
      </c>
      <c r="O116" s="298">
        <f t="shared" si="53"/>
        <v>0.41778419641015063</v>
      </c>
      <c r="P116" s="298">
        <f t="shared" si="53"/>
        <v>0.41721698113207545</v>
      </c>
      <c r="Q116" s="298">
        <f t="shared" si="53"/>
        <v>0.41800643086816719</v>
      </c>
      <c r="R116" s="298">
        <f t="shared" si="53"/>
        <v>0.41801418439716315</v>
      </c>
      <c r="S116" s="298">
        <f t="shared" si="53"/>
        <v>0.41800887761572608</v>
      </c>
      <c r="T116" s="298">
        <f t="shared" si="53"/>
        <v>0.41808510638297874</v>
      </c>
      <c r="U116" s="298">
        <f t="shared" si="53"/>
        <v>0.4180232558139535</v>
      </c>
      <c r="V116" s="298">
        <f t="shared" si="53"/>
        <v>0.41297777777777778</v>
      </c>
      <c r="W116" s="298">
        <f t="shared" si="53"/>
        <v>0.41300970873786408</v>
      </c>
      <c r="X116" s="298">
        <f t="shared" si="53"/>
        <v>0.41296137339055794</v>
      </c>
      <c r="Y116" s="298">
        <f t="shared" si="53"/>
        <v>0.41</v>
      </c>
      <c r="Z116" s="298">
        <f t="shared" si="53"/>
        <v>0.41299999999999998</v>
      </c>
      <c r="AA116" s="259">
        <f t="shared" si="53"/>
        <v>0.41684633021458339</v>
      </c>
      <c r="AB116" s="259">
        <f t="shared" si="53"/>
        <v>0.4164634436470509</v>
      </c>
      <c r="AC116" s="259">
        <f t="shared" si="53"/>
        <v>0.41615187033605316</v>
      </c>
    </row>
    <row r="117" spans="1:29">
      <c r="A117" s="240" t="s">
        <v>233</v>
      </c>
      <c r="B117" s="298">
        <f t="shared" si="53"/>
        <v>0.43123287671232879</v>
      </c>
      <c r="C117" s="298">
        <f t="shared" si="53"/>
        <v>0.4</v>
      </c>
      <c r="D117" s="298">
        <f t="shared" si="53"/>
        <v>0.38043478260869568</v>
      </c>
      <c r="E117" s="298">
        <f t="shared" si="53"/>
        <v>0.44865403788634095</v>
      </c>
      <c r="F117" s="298">
        <f t="shared" si="53"/>
        <v>0.40293040293040289</v>
      </c>
      <c r="G117" s="298">
        <f t="shared" si="53"/>
        <v>0.4</v>
      </c>
      <c r="H117" s="298">
        <f t="shared" si="53"/>
        <v>0.40476190476190477</v>
      </c>
      <c r="I117" s="298">
        <f t="shared" si="53"/>
        <v>0.40772532188841204</v>
      </c>
      <c r="J117" s="298">
        <f t="shared" si="53"/>
        <v>0.4044725328147788</v>
      </c>
      <c r="K117" s="298">
        <f t="shared" si="53"/>
        <v>0.4107142857142857</v>
      </c>
      <c r="L117" s="298">
        <f t="shared" si="53"/>
        <v>0.41269841269841268</v>
      </c>
      <c r="M117" s="298">
        <f t="shared" si="53"/>
        <v>0.41666666666666669</v>
      </c>
      <c r="N117" s="298">
        <f t="shared" si="53"/>
        <v>0.41318681318681316</v>
      </c>
      <c r="O117" s="298">
        <f t="shared" si="53"/>
        <v>0.41778419641015069</v>
      </c>
      <c r="P117" s="298">
        <f t="shared" si="53"/>
        <v>0.41721698113207545</v>
      </c>
      <c r="Q117" s="298">
        <f t="shared" si="53"/>
        <v>0.41800643086816719</v>
      </c>
      <c r="R117" s="298">
        <f t="shared" si="53"/>
        <v>0.41801418439716315</v>
      </c>
      <c r="S117" s="298">
        <f t="shared" si="53"/>
        <v>0.41800887761572608</v>
      </c>
      <c r="T117" s="298">
        <f t="shared" si="53"/>
        <v>0.41808510638297874</v>
      </c>
      <c r="U117" s="298">
        <f t="shared" si="53"/>
        <v>0.4180232558139535</v>
      </c>
      <c r="V117" s="298">
        <f t="shared" si="53"/>
        <v>0.41297777777777772</v>
      </c>
      <c r="W117" s="298">
        <f t="shared" si="53"/>
        <v>0.41300970873786413</v>
      </c>
      <c r="X117" s="298">
        <f t="shared" si="53"/>
        <v>0.41296137339055794</v>
      </c>
      <c r="Y117" s="298">
        <f t="shared" si="53"/>
        <v>0.41</v>
      </c>
      <c r="Z117" s="298">
        <f t="shared" si="53"/>
        <v>0.41299999999999998</v>
      </c>
      <c r="AA117" s="259">
        <f t="shared" si="53"/>
        <v>0.41684633021458339</v>
      </c>
      <c r="AB117" s="259">
        <f t="shared" si="53"/>
        <v>0.4164634436470509</v>
      </c>
      <c r="AC117" s="259">
        <f t="shared" si="53"/>
        <v>0.41615187033605316</v>
      </c>
    </row>
    <row r="118" spans="1:29">
      <c r="A118" s="240" t="s">
        <v>234</v>
      </c>
      <c r="B118" s="298">
        <f t="shared" si="53"/>
        <v>0.43123287671232885</v>
      </c>
      <c r="C118" s="298">
        <f t="shared" si="53"/>
        <v>0.4</v>
      </c>
      <c r="D118" s="298">
        <f t="shared" si="53"/>
        <v>0.38043478260869568</v>
      </c>
      <c r="E118" s="298">
        <f t="shared" si="53"/>
        <v>0.44865403788634095</v>
      </c>
      <c r="F118" s="298">
        <f t="shared" si="53"/>
        <v>0.40293040293040294</v>
      </c>
      <c r="G118" s="298">
        <f t="shared" si="53"/>
        <v>0.4</v>
      </c>
      <c r="H118" s="298">
        <f t="shared" si="53"/>
        <v>0.40476190476190477</v>
      </c>
      <c r="I118" s="298">
        <f t="shared" si="53"/>
        <v>0.40772532188841204</v>
      </c>
      <c r="J118" s="298">
        <f t="shared" si="53"/>
        <v>0.4044725328147788</v>
      </c>
      <c r="K118" s="298">
        <f t="shared" si="53"/>
        <v>0.4107142857142857</v>
      </c>
      <c r="L118" s="298">
        <f t="shared" si="53"/>
        <v>0.41269841269841268</v>
      </c>
      <c r="M118" s="298">
        <f t="shared" si="53"/>
        <v>0.41666666666666669</v>
      </c>
      <c r="N118" s="298">
        <f t="shared" si="53"/>
        <v>0.41318681318681316</v>
      </c>
      <c r="O118" s="298">
        <f t="shared" si="53"/>
        <v>0.41778419641015069</v>
      </c>
      <c r="P118" s="298">
        <f t="shared" si="53"/>
        <v>0.41721698113207545</v>
      </c>
      <c r="Q118" s="298">
        <f t="shared" si="53"/>
        <v>0.41800643086816719</v>
      </c>
      <c r="R118" s="298">
        <f t="shared" si="53"/>
        <v>0.41801418439716315</v>
      </c>
      <c r="S118" s="298">
        <f t="shared" si="53"/>
        <v>0.41800887761572608</v>
      </c>
      <c r="T118" s="298">
        <f t="shared" si="53"/>
        <v>0.41808510638297874</v>
      </c>
      <c r="U118" s="298">
        <f t="shared" si="53"/>
        <v>0.4180232558139535</v>
      </c>
      <c r="V118" s="298">
        <f t="shared" si="53"/>
        <v>0.41297777777777778</v>
      </c>
      <c r="W118" s="298">
        <f t="shared" si="53"/>
        <v>0.41300970873786408</v>
      </c>
      <c r="X118" s="298">
        <f t="shared" si="53"/>
        <v>0.41296137339055794</v>
      </c>
      <c r="Y118" s="298">
        <f t="shared" si="53"/>
        <v>0.41</v>
      </c>
      <c r="Z118" s="259">
        <f t="shared" si="53"/>
        <v>0.41299999999999998</v>
      </c>
      <c r="AA118" s="259">
        <f t="shared" si="53"/>
        <v>0.41684633021458339</v>
      </c>
      <c r="AB118" s="259">
        <f t="shared" si="53"/>
        <v>0.4164634436470509</v>
      </c>
      <c r="AC118" s="259">
        <f t="shared" si="53"/>
        <v>0.41615187033605316</v>
      </c>
    </row>
    <row r="119" spans="1:29">
      <c r="A119" s="240" t="s">
        <v>46</v>
      </c>
      <c r="B119" s="298">
        <f t="shared" si="53"/>
        <v>0.43123287671232879</v>
      </c>
      <c r="C119" s="298">
        <f t="shared" si="53"/>
        <v>0.4</v>
      </c>
      <c r="D119" s="298">
        <f t="shared" si="53"/>
        <v>0.38043478260869568</v>
      </c>
      <c r="E119" s="298">
        <f t="shared" si="53"/>
        <v>0.44865403788634095</v>
      </c>
      <c r="F119" s="298">
        <f t="shared" si="53"/>
        <v>0.40293040293040294</v>
      </c>
      <c r="G119" s="298">
        <f t="shared" si="53"/>
        <v>0.40000000000000008</v>
      </c>
      <c r="H119" s="298">
        <f t="shared" si="53"/>
        <v>0.40476190476190477</v>
      </c>
      <c r="I119" s="298">
        <f t="shared" si="53"/>
        <v>0.40772532188841204</v>
      </c>
      <c r="J119" s="298">
        <f t="shared" si="53"/>
        <v>0.40447253281477874</v>
      </c>
      <c r="K119" s="298">
        <f t="shared" si="53"/>
        <v>0.4107142857142857</v>
      </c>
      <c r="L119" s="298">
        <f t="shared" si="53"/>
        <v>0.41269841269841268</v>
      </c>
      <c r="M119" s="298">
        <f t="shared" si="53"/>
        <v>0.41666666666666669</v>
      </c>
      <c r="N119" s="298">
        <f t="shared" si="53"/>
        <v>0.41318681318681316</v>
      </c>
      <c r="O119" s="298">
        <f t="shared" si="53"/>
        <v>0.41778419641015063</v>
      </c>
      <c r="P119" s="298">
        <f t="shared" si="53"/>
        <v>0.41721698113207545</v>
      </c>
      <c r="Q119" s="298">
        <f t="shared" si="53"/>
        <v>0.41800643086816719</v>
      </c>
      <c r="R119" s="298">
        <f t="shared" si="53"/>
        <v>0.41801418439716315</v>
      </c>
      <c r="S119" s="298">
        <f t="shared" si="53"/>
        <v>0.41800887761572603</v>
      </c>
      <c r="T119" s="298">
        <f t="shared" si="53"/>
        <v>0.41808510638297874</v>
      </c>
      <c r="U119" s="298">
        <f t="shared" si="53"/>
        <v>0.4180232558139535</v>
      </c>
      <c r="V119" s="298">
        <f t="shared" si="53"/>
        <v>0.41297777777777778</v>
      </c>
      <c r="W119" s="298">
        <f t="shared" si="53"/>
        <v>0.41300970873786408</v>
      </c>
      <c r="X119" s="298">
        <f t="shared" si="53"/>
        <v>0.41296137339055794</v>
      </c>
      <c r="Y119" s="298">
        <f t="shared" si="53"/>
        <v>0.41</v>
      </c>
      <c r="Z119" s="259">
        <f t="shared" si="53"/>
        <v>0.41299999999999998</v>
      </c>
      <c r="AA119" s="259">
        <f t="shared" si="53"/>
        <v>0.41684633021458339</v>
      </c>
      <c r="AB119" s="259">
        <f t="shared" si="53"/>
        <v>0.4164634436470509</v>
      </c>
      <c r="AC119" s="259">
        <f t="shared" si="53"/>
        <v>0.41615187033605316</v>
      </c>
    </row>
    <row r="120" spans="1:29">
      <c r="A120" s="240" t="s">
        <v>235</v>
      </c>
      <c r="B120" s="298">
        <f t="shared" si="53"/>
        <v>0.43123287671232879</v>
      </c>
      <c r="C120" s="298">
        <f t="shared" si="53"/>
        <v>0.4</v>
      </c>
      <c r="D120" s="298">
        <f t="shared" si="53"/>
        <v>0.38043478260869568</v>
      </c>
      <c r="E120" s="298">
        <f t="shared" si="53"/>
        <v>0.44865403788634095</v>
      </c>
      <c r="F120" s="298">
        <f t="shared" si="53"/>
        <v>0.40293040293040294</v>
      </c>
      <c r="G120" s="298">
        <f t="shared" si="53"/>
        <v>0.4</v>
      </c>
      <c r="H120" s="298">
        <f t="shared" si="53"/>
        <v>0.40476190476190471</v>
      </c>
      <c r="I120" s="298">
        <f t="shared" si="53"/>
        <v>0.40772532188841204</v>
      </c>
      <c r="J120" s="298">
        <f t="shared" si="53"/>
        <v>0.4044725328147788</v>
      </c>
      <c r="K120" s="298">
        <f t="shared" si="53"/>
        <v>0.4107142857142857</v>
      </c>
      <c r="L120" s="298">
        <f t="shared" si="53"/>
        <v>0.41269841269841268</v>
      </c>
      <c r="M120" s="298">
        <f t="shared" si="53"/>
        <v>0.41666666666666669</v>
      </c>
      <c r="N120" s="298">
        <f t="shared" si="53"/>
        <v>0.41318681318681316</v>
      </c>
      <c r="O120" s="298">
        <f t="shared" si="53"/>
        <v>0.41778419641015063</v>
      </c>
      <c r="P120" s="298">
        <f t="shared" si="53"/>
        <v>0.41721698113207545</v>
      </c>
      <c r="Q120" s="298">
        <f t="shared" si="53"/>
        <v>0.41800643086816719</v>
      </c>
      <c r="R120" s="298">
        <f t="shared" si="53"/>
        <v>0.41801418439716309</v>
      </c>
      <c r="S120" s="298">
        <f t="shared" si="53"/>
        <v>0.41800887761572603</v>
      </c>
      <c r="T120" s="298">
        <f t="shared" si="53"/>
        <v>0.41808510638297869</v>
      </c>
      <c r="U120" s="298">
        <f t="shared" si="53"/>
        <v>0.4180232558139535</v>
      </c>
      <c r="V120" s="298">
        <f t="shared" si="53"/>
        <v>0.41297777777777772</v>
      </c>
      <c r="W120" s="298">
        <f t="shared" si="53"/>
        <v>0.41300970873786408</v>
      </c>
      <c r="X120" s="298">
        <f t="shared" si="53"/>
        <v>0.41296137339055794</v>
      </c>
      <c r="Y120" s="298">
        <f t="shared" si="53"/>
        <v>0.41</v>
      </c>
      <c r="Z120" s="259">
        <f t="shared" si="53"/>
        <v>0.41299999999999998</v>
      </c>
      <c r="AA120" s="259">
        <f t="shared" si="53"/>
        <v>0.41684633021458339</v>
      </c>
      <c r="AB120" s="259">
        <f t="shared" si="53"/>
        <v>0.4164634436470509</v>
      </c>
      <c r="AC120" s="259">
        <f t="shared" si="53"/>
        <v>0.41615187033605316</v>
      </c>
    </row>
    <row r="121" spans="1:29">
      <c r="A121" s="240" t="s">
        <v>236</v>
      </c>
      <c r="B121" s="298">
        <f t="shared" si="53"/>
        <v>0.43123287671232879</v>
      </c>
      <c r="C121" s="298">
        <f t="shared" si="53"/>
        <v>0.4</v>
      </c>
      <c r="D121" s="298">
        <f t="shared" si="53"/>
        <v>0.38043478260869568</v>
      </c>
      <c r="E121" s="298">
        <f t="shared" ref="E121:AE123" si="54">E105/E89</f>
        <v>0.44865403788634095</v>
      </c>
      <c r="F121" s="298">
        <f t="shared" si="54"/>
        <v>0.402930402930403</v>
      </c>
      <c r="G121" s="298">
        <f t="shared" si="54"/>
        <v>0.4</v>
      </c>
      <c r="H121" s="298">
        <f t="shared" si="54"/>
        <v>0.40476190476190477</v>
      </c>
      <c r="I121" s="298">
        <f t="shared" si="54"/>
        <v>0.40772532188841204</v>
      </c>
      <c r="J121" s="298">
        <f t="shared" si="54"/>
        <v>0.4044725328147788</v>
      </c>
      <c r="K121" s="298">
        <f t="shared" si="54"/>
        <v>0.4107142857142857</v>
      </c>
      <c r="L121" s="298">
        <f t="shared" si="54"/>
        <v>0.41269841269841268</v>
      </c>
      <c r="M121" s="298">
        <f t="shared" si="54"/>
        <v>0.41666666666666674</v>
      </c>
      <c r="N121" s="298">
        <f t="shared" si="54"/>
        <v>0.41318681318681316</v>
      </c>
      <c r="O121" s="298">
        <f t="shared" si="54"/>
        <v>0.41778419641015058</v>
      </c>
      <c r="P121" s="298">
        <f t="shared" si="54"/>
        <v>0.41721698113207545</v>
      </c>
      <c r="Q121" s="298">
        <f t="shared" si="54"/>
        <v>0.41800643086816719</v>
      </c>
      <c r="R121" s="298">
        <f t="shared" si="54"/>
        <v>0.41801418439716315</v>
      </c>
      <c r="S121" s="298">
        <f t="shared" si="54"/>
        <v>0.41800887761572608</v>
      </c>
      <c r="T121" s="298">
        <f t="shared" si="54"/>
        <v>0.41808510638297874</v>
      </c>
      <c r="U121" s="298">
        <f t="shared" si="54"/>
        <v>0.41802325581395344</v>
      </c>
      <c r="V121" s="298">
        <f t="shared" si="54"/>
        <v>0.41297777777777778</v>
      </c>
      <c r="W121" s="298">
        <f t="shared" si="54"/>
        <v>0.41300970873786408</v>
      </c>
      <c r="X121" s="298">
        <f t="shared" si="54"/>
        <v>0.41296137339055794</v>
      </c>
      <c r="Y121" s="298">
        <f t="shared" si="54"/>
        <v>0.41000000000000003</v>
      </c>
      <c r="Z121" s="259">
        <f t="shared" si="54"/>
        <v>0.41299999999999998</v>
      </c>
      <c r="AA121" s="259">
        <f t="shared" si="54"/>
        <v>0.41684633021458339</v>
      </c>
      <c r="AB121" s="259">
        <f t="shared" si="54"/>
        <v>0.4164634436470509</v>
      </c>
      <c r="AC121" s="259">
        <f t="shared" si="54"/>
        <v>0.41615187033605322</v>
      </c>
    </row>
    <row r="122" spans="1:29">
      <c r="A122" s="240" t="s">
        <v>237</v>
      </c>
      <c r="B122" s="298">
        <f t="shared" ref="B122:Q123" si="55">B106/B90</f>
        <v>0.43123287671232879</v>
      </c>
      <c r="C122" s="298">
        <f t="shared" si="55"/>
        <v>0.4</v>
      </c>
      <c r="D122" s="298">
        <f t="shared" si="55"/>
        <v>0.38043478260869568</v>
      </c>
      <c r="E122" s="298">
        <f t="shared" si="55"/>
        <v>0.44865403788634095</v>
      </c>
      <c r="F122" s="298">
        <f t="shared" si="55"/>
        <v>0.40293040293040294</v>
      </c>
      <c r="G122" s="298">
        <f t="shared" si="55"/>
        <v>0.4</v>
      </c>
      <c r="H122" s="298">
        <f t="shared" si="55"/>
        <v>0.40476190476190477</v>
      </c>
      <c r="I122" s="298">
        <f t="shared" si="55"/>
        <v>0.40772532188841204</v>
      </c>
      <c r="J122" s="298">
        <f t="shared" si="55"/>
        <v>0.40447253281477885</v>
      </c>
      <c r="K122" s="298">
        <f t="shared" si="55"/>
        <v>0.4107142857142857</v>
      </c>
      <c r="L122" s="298">
        <f t="shared" si="55"/>
        <v>0.41269841269841268</v>
      </c>
      <c r="M122" s="298">
        <f t="shared" si="55"/>
        <v>0.41666666666666674</v>
      </c>
      <c r="N122" s="298">
        <f t="shared" si="55"/>
        <v>0.41318681318681316</v>
      </c>
      <c r="O122" s="298">
        <f t="shared" si="55"/>
        <v>0.41778419641015069</v>
      </c>
      <c r="P122" s="298">
        <f t="shared" si="55"/>
        <v>0.41721698113207545</v>
      </c>
      <c r="Q122" s="298">
        <f t="shared" si="55"/>
        <v>0.41800643086816719</v>
      </c>
      <c r="R122" s="298">
        <f t="shared" si="54"/>
        <v>0.41801418439716315</v>
      </c>
      <c r="S122" s="298">
        <f t="shared" si="54"/>
        <v>0.41800887761572608</v>
      </c>
      <c r="T122" s="298">
        <f t="shared" si="54"/>
        <v>0.4180851063829788</v>
      </c>
      <c r="U122" s="298">
        <f t="shared" si="54"/>
        <v>0.4180232558139535</v>
      </c>
      <c r="V122" s="298">
        <f t="shared" si="54"/>
        <v>0.41297777777777778</v>
      </c>
      <c r="W122" s="298">
        <f t="shared" si="54"/>
        <v>0.41300970873786408</v>
      </c>
      <c r="X122" s="298">
        <f t="shared" si="54"/>
        <v>0.41296137339055794</v>
      </c>
      <c r="Y122" s="298">
        <f t="shared" si="54"/>
        <v>0.41</v>
      </c>
      <c r="Z122" s="259">
        <f t="shared" si="54"/>
        <v>0.41299999999999998</v>
      </c>
      <c r="AA122" s="259">
        <f t="shared" si="54"/>
        <v>0.41684633021458339</v>
      </c>
      <c r="AB122" s="259">
        <f t="shared" si="54"/>
        <v>0.4164634436470509</v>
      </c>
      <c r="AC122" s="259">
        <f t="shared" si="54"/>
        <v>0.41615187033605316</v>
      </c>
    </row>
    <row r="123" spans="1:29">
      <c r="A123" s="240" t="s">
        <v>238</v>
      </c>
      <c r="B123" s="298">
        <f t="shared" si="55"/>
        <v>0.43123287671232879</v>
      </c>
      <c r="C123" s="298">
        <f t="shared" si="55"/>
        <v>0.4</v>
      </c>
      <c r="D123" s="298">
        <f t="shared" si="55"/>
        <v>0.38043478260869562</v>
      </c>
      <c r="E123" s="298">
        <f t="shared" si="55"/>
        <v>0.4486540378863409</v>
      </c>
      <c r="F123" s="298">
        <f t="shared" si="55"/>
        <v>0.40293040293040294</v>
      </c>
      <c r="G123" s="298">
        <f t="shared" si="55"/>
        <v>0.4</v>
      </c>
      <c r="H123" s="298">
        <f t="shared" si="55"/>
        <v>0.40476190476190477</v>
      </c>
      <c r="I123" s="298">
        <f t="shared" si="55"/>
        <v>0.40772532188841204</v>
      </c>
      <c r="J123" s="298">
        <f t="shared" si="55"/>
        <v>0.4044725328147788</v>
      </c>
      <c r="K123" s="298">
        <f t="shared" si="55"/>
        <v>0.4107142857142857</v>
      </c>
      <c r="L123" s="298">
        <f t="shared" si="55"/>
        <v>0.41269841269841268</v>
      </c>
      <c r="M123" s="298">
        <f t="shared" si="55"/>
        <v>0.41666666666666663</v>
      </c>
      <c r="N123" s="298">
        <f t="shared" si="55"/>
        <v>0.41318681318681316</v>
      </c>
      <c r="O123" s="298">
        <f t="shared" si="55"/>
        <v>0.41778419641015063</v>
      </c>
      <c r="P123" s="298">
        <f t="shared" si="55"/>
        <v>0.4172169811320755</v>
      </c>
      <c r="Q123" s="298">
        <f t="shared" si="55"/>
        <v>0.41800643086816719</v>
      </c>
      <c r="R123" s="298">
        <f t="shared" si="54"/>
        <v>0.41801418439716309</v>
      </c>
      <c r="S123" s="298">
        <f t="shared" si="54"/>
        <v>0.41800887761572608</v>
      </c>
      <c r="T123" s="298">
        <f t="shared" si="54"/>
        <v>0.41808510638297874</v>
      </c>
      <c r="U123" s="298">
        <f t="shared" si="54"/>
        <v>0.4180232558139535</v>
      </c>
      <c r="V123" s="298">
        <f t="shared" si="54"/>
        <v>0.41297777777777783</v>
      </c>
      <c r="W123" s="298">
        <f t="shared" si="54"/>
        <v>0.41300970873786408</v>
      </c>
      <c r="X123" s="298">
        <f t="shared" si="54"/>
        <v>0.412961373390558</v>
      </c>
      <c r="Y123" s="298">
        <f t="shared" si="54"/>
        <v>0.41</v>
      </c>
      <c r="Z123" s="259">
        <f t="shared" si="54"/>
        <v>0.41299999999999998</v>
      </c>
      <c r="AA123" s="259">
        <f t="shared" si="54"/>
        <v>0.41684633021458339</v>
      </c>
      <c r="AB123" s="259">
        <f t="shared" si="54"/>
        <v>0.4164634436470509</v>
      </c>
      <c r="AC123" s="259">
        <f t="shared" si="54"/>
        <v>0.41615187033605316</v>
      </c>
    </row>
    <row r="124" spans="1:29" ht="15.75" thickBot="1">
      <c r="A124" s="240" t="s">
        <v>255</v>
      </c>
      <c r="B124" s="258">
        <v>0.43123287671232879</v>
      </c>
      <c r="C124" s="258">
        <v>0.4</v>
      </c>
      <c r="D124" s="258">
        <v>0.38043478260869568</v>
      </c>
      <c r="E124" s="258">
        <v>0.44865403788634095</v>
      </c>
      <c r="F124" s="258">
        <v>0.40293040293040294</v>
      </c>
      <c r="G124" s="258">
        <v>0.4</v>
      </c>
      <c r="H124" s="258">
        <v>0.40476190476190477</v>
      </c>
      <c r="I124" s="258">
        <v>0.40772532188841204</v>
      </c>
      <c r="J124" s="258">
        <v>0.4044725328147788</v>
      </c>
      <c r="K124" s="258">
        <v>0.4107142857142857</v>
      </c>
      <c r="L124" s="258">
        <v>0.41269841269841268</v>
      </c>
      <c r="M124" s="258">
        <v>0.41666666666666669</v>
      </c>
      <c r="N124" s="258">
        <v>0.41318681318681316</v>
      </c>
      <c r="O124" s="258">
        <v>0.41778419641015063</v>
      </c>
      <c r="P124" s="258">
        <v>0.41721698113207545</v>
      </c>
      <c r="Q124" s="258">
        <v>0.41800643086816719</v>
      </c>
      <c r="R124" s="258">
        <v>0.41801418439716315</v>
      </c>
      <c r="S124" s="258">
        <v>0.41800887761572608</v>
      </c>
      <c r="T124" s="258">
        <v>0.41808510638297874</v>
      </c>
      <c r="U124" s="258">
        <v>0.4180232558139535</v>
      </c>
      <c r="V124" s="258">
        <v>0.41297777777777778</v>
      </c>
      <c r="W124" s="258">
        <v>0.41300970873786408</v>
      </c>
      <c r="X124" s="258">
        <v>0.41296137339055794</v>
      </c>
      <c r="Y124" s="258">
        <v>0.41</v>
      </c>
      <c r="Z124" s="258">
        <v>0.41299999999999998</v>
      </c>
      <c r="AA124" s="259">
        <f>FORECAST(AA45,H124:Z124,H45:Z45)</f>
        <v>0.41684633021458339</v>
      </c>
      <c r="AB124" s="259">
        <f>FORECAST(AB45,I124:AA124,I45:AA45)</f>
        <v>0.4164634436470509</v>
      </c>
      <c r="AC124" s="259">
        <f>FORECAST(AC45,J124:AB124,J45:AB45)</f>
        <v>0.41615187033605316</v>
      </c>
    </row>
    <row r="125" spans="1:29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</row>
    <row r="126" spans="1:29" ht="15.75" thickBot="1">
      <c r="A126" s="240" t="s">
        <v>256</v>
      </c>
    </row>
    <row r="127" spans="1:29" ht="15.75" thickBot="1">
      <c r="A127" s="236"/>
      <c r="B127" s="237" t="str">
        <f>B$2</f>
        <v xml:space="preserve">93/94 </v>
      </c>
      <c r="C127" s="237" t="str">
        <f t="shared" ref="C127:AC127" si="56">C$2</f>
        <v xml:space="preserve">94/95 </v>
      </c>
      <c r="D127" s="237" t="str">
        <f t="shared" si="56"/>
        <v xml:space="preserve">95/96 </v>
      </c>
      <c r="E127" s="237" t="str">
        <f t="shared" si="56"/>
        <v xml:space="preserve">96/97 </v>
      </c>
      <c r="F127" s="237" t="str">
        <f t="shared" si="56"/>
        <v xml:space="preserve">97/98 </v>
      </c>
      <c r="G127" s="237" t="str">
        <f t="shared" si="56"/>
        <v xml:space="preserve">98/99 </v>
      </c>
      <c r="H127" s="237" t="str">
        <f t="shared" si="56"/>
        <v xml:space="preserve">99/00 </v>
      </c>
      <c r="I127" s="237" t="str">
        <f t="shared" si="56"/>
        <v xml:space="preserve">00/01 </v>
      </c>
      <c r="J127" s="237" t="str">
        <f t="shared" si="56"/>
        <v xml:space="preserve">01/02 </v>
      </c>
      <c r="K127" s="237" t="str">
        <f t="shared" si="56"/>
        <v xml:space="preserve">02/03 </v>
      </c>
      <c r="L127" s="237" t="str">
        <f t="shared" si="56"/>
        <v xml:space="preserve">03/04 </v>
      </c>
      <c r="M127" s="237" t="str">
        <f t="shared" si="56"/>
        <v xml:space="preserve">04/05 </v>
      </c>
      <c r="N127" s="237" t="str">
        <f t="shared" si="56"/>
        <v xml:space="preserve">05/06 </v>
      </c>
      <c r="O127" s="237" t="str">
        <f t="shared" si="56"/>
        <v xml:space="preserve">06/07 </v>
      </c>
      <c r="P127" s="237" t="str">
        <f t="shared" si="56"/>
        <v xml:space="preserve">07/08 </v>
      </c>
      <c r="Q127" s="237" t="str">
        <f t="shared" si="56"/>
        <v xml:space="preserve">08/09 </v>
      </c>
      <c r="R127" s="237" t="str">
        <f t="shared" si="56"/>
        <v xml:space="preserve">09/10 </v>
      </c>
      <c r="S127" s="237" t="str">
        <f t="shared" si="56"/>
        <v xml:space="preserve">10/11 </v>
      </c>
      <c r="T127" s="237" t="str">
        <f t="shared" si="56"/>
        <v xml:space="preserve">11/12 </v>
      </c>
      <c r="U127" s="237" t="str">
        <f t="shared" si="56"/>
        <v xml:space="preserve">12/13 </v>
      </c>
      <c r="V127" s="237" t="str">
        <f t="shared" si="56"/>
        <v xml:space="preserve">13/14 </v>
      </c>
      <c r="W127" s="237" t="str">
        <f t="shared" si="56"/>
        <v xml:space="preserve">14/15 </v>
      </c>
      <c r="X127" s="237" t="str">
        <f t="shared" si="56"/>
        <v xml:space="preserve">15/16 </v>
      </c>
      <c r="Y127" s="237" t="str">
        <f t="shared" si="56"/>
        <v xml:space="preserve">16/17 </v>
      </c>
      <c r="Z127" s="237" t="str">
        <f t="shared" si="56"/>
        <v xml:space="preserve">17/18 </v>
      </c>
      <c r="AA127" s="237" t="str">
        <f t="shared" si="56"/>
        <v xml:space="preserve">18/19 </v>
      </c>
      <c r="AB127" s="237" t="str">
        <f t="shared" si="56"/>
        <v xml:space="preserve">19/20 </v>
      </c>
      <c r="AC127" s="237" t="str">
        <f t="shared" si="56"/>
        <v xml:space="preserve">20/21 </v>
      </c>
    </row>
    <row r="128" spans="1:29">
      <c r="A128" s="240" t="s">
        <v>239</v>
      </c>
      <c r="B128" s="241">
        <f>(SUM(T128:X128)/SUM(T$140:X$140))*B$140</f>
        <v>0</v>
      </c>
      <c r="C128" s="241">
        <f t="shared" ref="C128:C139" si="57">(SUM(L128:P128)/SUM(L$140:P$140))*C$140</f>
        <v>0</v>
      </c>
      <c r="D128" s="241">
        <v>0</v>
      </c>
      <c r="E128" s="242">
        <f>'[5]Indonesia Copra Meal Imports'!BL$290</f>
        <v>0</v>
      </c>
      <c r="F128" s="242">
        <f>'[5]Indonesia Copra Meal Imports'!BX$290</f>
        <v>0</v>
      </c>
      <c r="G128" s="242">
        <f>'[5]Indonesia Copra Meal Imports'!CJ$290</f>
        <v>0</v>
      </c>
      <c r="H128" s="242">
        <f>'[5]Indonesia Copra Meal Imports'!CV$290</f>
        <v>0</v>
      </c>
      <c r="I128" s="242">
        <v>1.4</v>
      </c>
      <c r="J128" s="242">
        <v>0</v>
      </c>
      <c r="K128" s="242">
        <v>0</v>
      </c>
      <c r="L128" s="242">
        <v>0.91900000000000004</v>
      </c>
      <c r="M128" s="242">
        <v>0</v>
      </c>
      <c r="N128" s="242">
        <v>0</v>
      </c>
      <c r="O128" s="242">
        <v>0</v>
      </c>
      <c r="P128" s="242">
        <v>0</v>
      </c>
      <c r="Q128" s="242">
        <v>4.8000000000000001E-2</v>
      </c>
      <c r="R128" s="242">
        <v>0</v>
      </c>
      <c r="S128" s="242">
        <v>0</v>
      </c>
      <c r="T128" s="242">
        <v>0.41699999999999998</v>
      </c>
      <c r="U128" s="242">
        <v>0.83099999999999996</v>
      </c>
      <c r="V128" s="242">
        <v>0</v>
      </c>
      <c r="W128" s="242">
        <v>0</v>
      </c>
      <c r="X128" s="242">
        <v>8.8999999999999996E-2</v>
      </c>
      <c r="Y128" s="242">
        <v>0</v>
      </c>
      <c r="Z128" s="242">
        <v>1.5149999999999999</v>
      </c>
      <c r="AA128" s="243">
        <f t="shared" ref="AA128:AC138" si="58">(SUM(U128:Y128)/SUM(U$140:Y$140))*AA$140</f>
        <v>0.15035955545870558</v>
      </c>
      <c r="AB128" s="243">
        <f t="shared" si="58"/>
        <v>0.16649366825825201</v>
      </c>
      <c r="AC128" s="243">
        <f t="shared" si="58"/>
        <v>0.16545358900899454</v>
      </c>
    </row>
    <row r="129" spans="1:29">
      <c r="A129" s="240" t="s">
        <v>240</v>
      </c>
      <c r="B129" s="241">
        <f t="shared" ref="B129:B139" si="59">(SUM(T129:X129)/SUM(T$140:X$140))*B$140</f>
        <v>0</v>
      </c>
      <c r="C129" s="241">
        <f t="shared" si="57"/>
        <v>0</v>
      </c>
      <c r="D129" s="241">
        <v>0</v>
      </c>
      <c r="E129" s="242">
        <f>'[5]Indonesia Copra Meal Imports'!BM$290</f>
        <v>0</v>
      </c>
      <c r="F129" s="242">
        <f>'[5]Indonesia Copra Meal Imports'!BY$290</f>
        <v>0</v>
      </c>
      <c r="G129" s="242">
        <f>'[5]Indonesia Copra Meal Imports'!CK$290</f>
        <v>0</v>
      </c>
      <c r="H129" s="242">
        <f>'[5]Indonesia Copra Meal Imports'!CW$290</f>
        <v>0</v>
      </c>
      <c r="I129" s="242">
        <v>0.8</v>
      </c>
      <c r="J129" s="242">
        <v>0</v>
      </c>
      <c r="K129" s="242">
        <v>0</v>
      </c>
      <c r="L129" s="242">
        <v>0</v>
      </c>
      <c r="M129" s="242">
        <v>0</v>
      </c>
      <c r="N129" s="242">
        <v>0</v>
      </c>
      <c r="O129" s="242">
        <v>0</v>
      </c>
      <c r="P129" s="242">
        <v>0</v>
      </c>
      <c r="Q129" s="242">
        <v>0</v>
      </c>
      <c r="R129" s="242">
        <v>0.33</v>
      </c>
      <c r="S129" s="242">
        <v>0</v>
      </c>
      <c r="T129" s="242">
        <v>0</v>
      </c>
      <c r="U129" s="242">
        <v>0.70899999999999996</v>
      </c>
      <c r="V129" s="242">
        <v>0</v>
      </c>
      <c r="W129" s="242">
        <v>0</v>
      </c>
      <c r="X129" s="242">
        <v>0</v>
      </c>
      <c r="Y129" s="242">
        <v>0.115</v>
      </c>
      <c r="Z129" s="242">
        <v>1.649</v>
      </c>
      <c r="AA129" s="243">
        <f t="shared" si="58"/>
        <v>0.13466986271518849</v>
      </c>
      <c r="AB129" s="243">
        <f t="shared" si="58"/>
        <v>0.18310151546605771</v>
      </c>
      <c r="AC129" s="243">
        <f t="shared" si="58"/>
        <v>0.17906348909605679</v>
      </c>
    </row>
    <row r="130" spans="1:29">
      <c r="A130" s="240" t="s">
        <v>241</v>
      </c>
      <c r="B130" s="241">
        <f t="shared" si="59"/>
        <v>0</v>
      </c>
      <c r="C130" s="241">
        <f t="shared" si="57"/>
        <v>0</v>
      </c>
      <c r="D130" s="241">
        <v>0</v>
      </c>
      <c r="E130" s="242">
        <f>'[5]Indonesia Copra Meal Imports'!BN$290</f>
        <v>0</v>
      </c>
      <c r="F130" s="242">
        <f>'[5]Indonesia Copra Meal Imports'!BZ$290</f>
        <v>0</v>
      </c>
      <c r="G130" s="242">
        <f>'[5]Indonesia Copra Meal Imports'!CL$290</f>
        <v>0</v>
      </c>
      <c r="H130" s="242">
        <f>'[5]Indonesia Copra Meal Imports'!CX$290</f>
        <v>0</v>
      </c>
      <c r="I130" s="242">
        <v>0.2</v>
      </c>
      <c r="J130" s="242">
        <v>0</v>
      </c>
      <c r="K130" s="242">
        <v>0</v>
      </c>
      <c r="L130" s="242">
        <v>0</v>
      </c>
      <c r="M130" s="242">
        <v>0</v>
      </c>
      <c r="N130" s="242">
        <v>0</v>
      </c>
      <c r="O130" s="242">
        <v>0</v>
      </c>
      <c r="P130" s="242">
        <v>0</v>
      </c>
      <c r="Q130" s="242">
        <v>0</v>
      </c>
      <c r="R130" s="242">
        <v>2.1000000000000001E-2</v>
      </c>
      <c r="S130" s="242">
        <v>0</v>
      </c>
      <c r="T130" s="242">
        <v>0</v>
      </c>
      <c r="U130" s="242">
        <v>0</v>
      </c>
      <c r="V130" s="242">
        <v>4.5999999999999999E-2</v>
      </c>
      <c r="W130" s="242">
        <v>0</v>
      </c>
      <c r="X130" s="242">
        <v>0.313</v>
      </c>
      <c r="Y130" s="242">
        <v>0</v>
      </c>
      <c r="Z130" s="242">
        <v>0.29499999999999998</v>
      </c>
      <c r="AA130" s="243">
        <f t="shared" si="58"/>
        <v>5.8672913488777505E-2</v>
      </c>
      <c r="AB130" s="243">
        <f t="shared" si="58"/>
        <v>6.7884575461905738E-2</v>
      </c>
      <c r="AC130" s="243">
        <f t="shared" si="58"/>
        <v>6.2873899417363488E-2</v>
      </c>
    </row>
    <row r="131" spans="1:29">
      <c r="A131" s="240" t="s">
        <v>231</v>
      </c>
      <c r="B131" s="241">
        <f t="shared" si="59"/>
        <v>0</v>
      </c>
      <c r="C131" s="241">
        <f t="shared" si="57"/>
        <v>0</v>
      </c>
      <c r="D131" s="242">
        <f>'[5]Indonesia Copra Meal Imports'!BC$290</f>
        <v>0</v>
      </c>
      <c r="E131" s="242">
        <f>'[5]Indonesia Copra Meal Imports'!BO$290</f>
        <v>0</v>
      </c>
      <c r="F131" s="242">
        <f>'[5]Indonesia Copra Meal Imports'!CA$290</f>
        <v>0</v>
      </c>
      <c r="G131" s="242">
        <f>'[5]Indonesia Copra Meal Imports'!CM$290</f>
        <v>0</v>
      </c>
      <c r="H131" s="242">
        <v>0.50068000000000001</v>
      </c>
      <c r="I131" s="242">
        <v>2.4</v>
      </c>
      <c r="J131" s="242">
        <v>0</v>
      </c>
      <c r="K131" s="242">
        <v>0</v>
      </c>
      <c r="L131" s="242">
        <v>0</v>
      </c>
      <c r="M131" s="242">
        <v>0.05</v>
      </c>
      <c r="N131" s="242">
        <v>0</v>
      </c>
      <c r="O131" s="242">
        <v>0</v>
      </c>
      <c r="P131" s="242">
        <v>0</v>
      </c>
      <c r="Q131" s="242">
        <v>0</v>
      </c>
      <c r="R131" s="242">
        <v>0</v>
      </c>
      <c r="S131" s="242">
        <v>0</v>
      </c>
      <c r="T131" s="242">
        <v>0</v>
      </c>
      <c r="U131" s="242">
        <v>0</v>
      </c>
      <c r="V131" s="242">
        <v>0</v>
      </c>
      <c r="W131" s="242">
        <v>0.14399999999999999</v>
      </c>
      <c r="X131" s="242">
        <v>0</v>
      </c>
      <c r="Y131" s="242">
        <v>0</v>
      </c>
      <c r="Z131" s="242">
        <v>0.57599999999999996</v>
      </c>
      <c r="AA131" s="243">
        <f t="shared" si="58"/>
        <v>2.3534539115275657E-2</v>
      </c>
      <c r="AB131" s="243">
        <f t="shared" si="58"/>
        <v>7.4735312435125587E-2</v>
      </c>
      <c r="AC131" s="243">
        <f t="shared" si="58"/>
        <v>7.0122716672298871E-2</v>
      </c>
    </row>
    <row r="132" spans="1:29">
      <c r="A132" s="240" t="s">
        <v>232</v>
      </c>
      <c r="B132" s="241">
        <f t="shared" si="59"/>
        <v>0</v>
      </c>
      <c r="C132" s="241">
        <f t="shared" si="57"/>
        <v>0</v>
      </c>
      <c r="D132" s="242">
        <f>'[5]Indonesia Copra Meal Imports'!BD$290</f>
        <v>0</v>
      </c>
      <c r="E132" s="242">
        <f>'[5]Indonesia Copra Meal Imports'!BP$290</f>
        <v>0</v>
      </c>
      <c r="F132" s="242">
        <f>'[5]Indonesia Copra Meal Imports'!CB$290</f>
        <v>0</v>
      </c>
      <c r="G132" s="242">
        <f>'[5]Indonesia Copra Meal Imports'!CN$290</f>
        <v>0</v>
      </c>
      <c r="H132" s="242">
        <v>0</v>
      </c>
      <c r="I132" s="242">
        <v>2.8</v>
      </c>
      <c r="J132" s="242">
        <v>0</v>
      </c>
      <c r="K132" s="242">
        <v>0</v>
      </c>
      <c r="L132" s="242">
        <v>0</v>
      </c>
      <c r="M132" s="242">
        <v>0</v>
      </c>
      <c r="N132" s="242">
        <v>0</v>
      </c>
      <c r="O132" s="242">
        <v>0</v>
      </c>
      <c r="P132" s="242">
        <v>5.3999999999999999E-2</v>
      </c>
      <c r="Q132" s="242">
        <v>0</v>
      </c>
      <c r="R132" s="242">
        <v>0</v>
      </c>
      <c r="S132" s="242">
        <v>0</v>
      </c>
      <c r="T132" s="242">
        <v>0.08</v>
      </c>
      <c r="U132" s="242">
        <v>0</v>
      </c>
      <c r="V132" s="242">
        <v>0</v>
      </c>
      <c r="W132" s="242">
        <v>0</v>
      </c>
      <c r="X132" s="242">
        <v>0</v>
      </c>
      <c r="Y132" s="242">
        <v>0</v>
      </c>
      <c r="Z132" s="242">
        <v>0.129</v>
      </c>
      <c r="AA132" s="243">
        <f t="shared" si="58"/>
        <v>0</v>
      </c>
      <c r="AB132" s="243">
        <f t="shared" si="58"/>
        <v>1.3390076811293335E-2</v>
      </c>
      <c r="AC132" s="243">
        <f t="shared" si="58"/>
        <v>1.2165985539138635E-2</v>
      </c>
    </row>
    <row r="133" spans="1:29">
      <c r="A133" s="240" t="s">
        <v>233</v>
      </c>
      <c r="B133" s="241">
        <f t="shared" si="59"/>
        <v>0</v>
      </c>
      <c r="C133" s="241">
        <f t="shared" si="57"/>
        <v>0</v>
      </c>
      <c r="D133" s="242">
        <f>'[5]Indonesia Copra Meal Imports'!BE$290</f>
        <v>0</v>
      </c>
      <c r="E133" s="242">
        <f>'[5]Indonesia Copra Meal Imports'!BQ$290</f>
        <v>0</v>
      </c>
      <c r="F133" s="242">
        <f>'[5]Indonesia Copra Meal Imports'!CC$290</f>
        <v>0</v>
      </c>
      <c r="G133" s="242">
        <f>'[5]Indonesia Copra Meal Imports'!CO$290</f>
        <v>0</v>
      </c>
      <c r="H133" s="242">
        <v>1.88419</v>
      </c>
      <c r="I133" s="242">
        <v>5.0999999999999996</v>
      </c>
      <c r="J133" s="242">
        <v>0</v>
      </c>
      <c r="K133" s="242">
        <v>0</v>
      </c>
      <c r="L133" s="242">
        <v>0</v>
      </c>
      <c r="M133" s="242">
        <v>0</v>
      </c>
      <c r="N133" s="242">
        <v>0</v>
      </c>
      <c r="O133" s="242">
        <v>0</v>
      </c>
      <c r="P133" s="242">
        <v>0</v>
      </c>
      <c r="Q133" s="242">
        <v>0</v>
      </c>
      <c r="R133" s="242">
        <v>0</v>
      </c>
      <c r="S133" s="242">
        <v>0</v>
      </c>
      <c r="T133" s="242">
        <v>0</v>
      </c>
      <c r="U133" s="242">
        <v>0</v>
      </c>
      <c r="V133" s="242">
        <v>0</v>
      </c>
      <c r="W133" s="242">
        <v>0</v>
      </c>
      <c r="X133" s="242">
        <v>0.35299999999999998</v>
      </c>
      <c r="Y133" s="242">
        <v>0</v>
      </c>
      <c r="Z133" s="243">
        <f t="shared" ref="Z133:Z138" si="60">(SUM(T133:X133)/SUM(T$140:X$140))*Z$140</f>
        <v>0.27449455676516332</v>
      </c>
      <c r="AA133" s="243">
        <f t="shared" si="58"/>
        <v>5.7692307692307682E-2</v>
      </c>
      <c r="AB133" s="243">
        <f t="shared" si="58"/>
        <v>6.5133335765534914E-2</v>
      </c>
      <c r="AC133" s="243">
        <f t="shared" si="58"/>
        <v>6.4619949493002621E-2</v>
      </c>
    </row>
    <row r="134" spans="1:29">
      <c r="A134" s="240" t="s">
        <v>234</v>
      </c>
      <c r="B134" s="241">
        <f t="shared" si="59"/>
        <v>0</v>
      </c>
      <c r="C134" s="241">
        <f t="shared" si="57"/>
        <v>0</v>
      </c>
      <c r="D134" s="242">
        <f>'[5]Indonesia Copra Meal Imports'!BF$290</f>
        <v>0</v>
      </c>
      <c r="E134" s="242">
        <f>'[5]Indonesia Copra Meal Imports'!BR$290</f>
        <v>0</v>
      </c>
      <c r="F134" s="242">
        <f>'[5]Indonesia Copra Meal Imports'!CD$290</f>
        <v>0</v>
      </c>
      <c r="G134" s="242">
        <f>'[5]Indonesia Copra Meal Imports'!CP$290</f>
        <v>0</v>
      </c>
      <c r="H134" s="242">
        <v>0.39002999999999999</v>
      </c>
      <c r="I134" s="242">
        <v>4.2</v>
      </c>
      <c r="J134" s="242">
        <v>0</v>
      </c>
      <c r="K134" s="242">
        <v>0</v>
      </c>
      <c r="L134" s="242">
        <v>0</v>
      </c>
      <c r="M134" s="242">
        <v>0</v>
      </c>
      <c r="N134" s="242">
        <v>0</v>
      </c>
      <c r="O134" s="242">
        <v>0</v>
      </c>
      <c r="P134" s="242">
        <v>0.73899999999999999</v>
      </c>
      <c r="Q134" s="242">
        <v>0</v>
      </c>
      <c r="R134" s="242">
        <v>0</v>
      </c>
      <c r="S134" s="242">
        <v>0</v>
      </c>
      <c r="T134" s="242">
        <v>0</v>
      </c>
      <c r="U134" s="242">
        <v>0</v>
      </c>
      <c r="V134" s="242">
        <v>0</v>
      </c>
      <c r="W134" s="242">
        <v>5.5</v>
      </c>
      <c r="X134" s="242">
        <v>0</v>
      </c>
      <c r="Y134" s="242">
        <v>0</v>
      </c>
      <c r="Z134" s="243">
        <f>(SUM(T134:X134)/SUM(T$140:X$140))*Z$140-2.2</f>
        <v>2.0768273716951784</v>
      </c>
      <c r="AA134" s="243">
        <f t="shared" si="58"/>
        <v>0.89888864676400071</v>
      </c>
      <c r="AB134" s="243">
        <f t="shared" si="58"/>
        <v>0.78646744568145932</v>
      </c>
      <c r="AC134" s="243">
        <f t="shared" si="58"/>
        <v>0.79934448460790752</v>
      </c>
    </row>
    <row r="135" spans="1:29">
      <c r="A135" s="240" t="s">
        <v>46</v>
      </c>
      <c r="B135" s="241">
        <f t="shared" si="59"/>
        <v>0</v>
      </c>
      <c r="C135" s="241">
        <f t="shared" si="57"/>
        <v>0</v>
      </c>
      <c r="D135" s="242">
        <f>'[5]Indonesia Copra Meal Imports'!BG$290</f>
        <v>0</v>
      </c>
      <c r="E135" s="242">
        <f>'[5]Indonesia Copra Meal Imports'!BS$290</f>
        <v>0</v>
      </c>
      <c r="F135" s="242">
        <f>'[5]Indonesia Copra Meal Imports'!CE$290</f>
        <v>0</v>
      </c>
      <c r="G135" s="242">
        <f>'[5]Indonesia Copra Meal Imports'!CQ$290</f>
        <v>0</v>
      </c>
      <c r="H135" s="242">
        <v>0.12594</v>
      </c>
      <c r="I135" s="242">
        <v>0</v>
      </c>
      <c r="J135" s="242">
        <v>0.34599999999999997</v>
      </c>
      <c r="K135" s="242">
        <v>0</v>
      </c>
      <c r="L135" s="242">
        <v>0</v>
      </c>
      <c r="M135" s="242">
        <v>0</v>
      </c>
      <c r="N135" s="242">
        <v>0</v>
      </c>
      <c r="O135" s="242">
        <v>0</v>
      </c>
      <c r="P135" s="242">
        <v>0</v>
      </c>
      <c r="Q135" s="242">
        <v>0</v>
      </c>
      <c r="R135" s="242">
        <v>0</v>
      </c>
      <c r="S135" s="242">
        <v>0</v>
      </c>
      <c r="T135" s="242">
        <v>0</v>
      </c>
      <c r="U135" s="242">
        <v>0</v>
      </c>
      <c r="V135" s="242">
        <v>0</v>
      </c>
      <c r="W135" s="242">
        <v>0</v>
      </c>
      <c r="X135" s="242">
        <v>0</v>
      </c>
      <c r="Y135" s="242">
        <v>0</v>
      </c>
      <c r="Z135" s="243">
        <f t="shared" si="60"/>
        <v>0</v>
      </c>
      <c r="AA135" s="243">
        <f t="shared" si="58"/>
        <v>0</v>
      </c>
      <c r="AB135" s="243">
        <f t="shared" si="58"/>
        <v>0</v>
      </c>
      <c r="AC135" s="243">
        <f t="shared" si="58"/>
        <v>0</v>
      </c>
    </row>
    <row r="136" spans="1:29">
      <c r="A136" s="240" t="s">
        <v>235</v>
      </c>
      <c r="B136" s="241">
        <f t="shared" si="59"/>
        <v>0</v>
      </c>
      <c r="C136" s="241">
        <f t="shared" si="57"/>
        <v>0</v>
      </c>
      <c r="D136" s="242">
        <f>'[5]Indonesia Copra Meal Imports'!BH$290</f>
        <v>0</v>
      </c>
      <c r="E136" s="242">
        <f>'[5]Indonesia Copra Meal Imports'!BT$290</f>
        <v>0</v>
      </c>
      <c r="F136" s="242">
        <f>'[5]Indonesia Copra Meal Imports'!CF$290</f>
        <v>0</v>
      </c>
      <c r="G136" s="242">
        <f>'[5]Indonesia Copra Meal Imports'!CR$290</f>
        <v>0</v>
      </c>
      <c r="H136" s="242">
        <v>4.7479999999999994E-2</v>
      </c>
      <c r="I136" s="242">
        <v>0</v>
      </c>
      <c r="J136" s="242">
        <v>0</v>
      </c>
      <c r="K136" s="242">
        <v>0</v>
      </c>
      <c r="L136" s="242">
        <v>0</v>
      </c>
      <c r="M136" s="242">
        <v>0</v>
      </c>
      <c r="N136" s="242">
        <v>0</v>
      </c>
      <c r="O136" s="242">
        <v>0</v>
      </c>
      <c r="P136" s="242">
        <v>0.27300000000000002</v>
      </c>
      <c r="Q136" s="242">
        <v>0</v>
      </c>
      <c r="R136" s="242">
        <v>0</v>
      </c>
      <c r="S136" s="242">
        <v>0</v>
      </c>
      <c r="T136" s="242">
        <v>0</v>
      </c>
      <c r="U136" s="242">
        <v>0</v>
      </c>
      <c r="V136" s="242">
        <v>0</v>
      </c>
      <c r="W136" s="242">
        <v>0.11899999999999999</v>
      </c>
      <c r="X136" s="242">
        <v>6.6000000000000003E-2</v>
      </c>
      <c r="Y136" s="242">
        <v>0.314</v>
      </c>
      <c r="Z136" s="243">
        <f t="shared" si="60"/>
        <v>0.1438569206842924</v>
      </c>
      <c r="AA136" s="243">
        <f t="shared" si="58"/>
        <v>8.1553715406406616E-2</v>
      </c>
      <c r="AB136" s="243">
        <f t="shared" si="58"/>
        <v>6.6727934470032418E-2</v>
      </c>
      <c r="AC136" s="243">
        <f t="shared" si="58"/>
        <v>6.8319142039361763E-2</v>
      </c>
    </row>
    <row r="137" spans="1:29">
      <c r="A137" s="240" t="s">
        <v>236</v>
      </c>
      <c r="B137" s="241">
        <f t="shared" si="59"/>
        <v>0</v>
      </c>
      <c r="C137" s="241">
        <f t="shared" si="57"/>
        <v>0</v>
      </c>
      <c r="D137" s="242">
        <f>'[5]Indonesia Copra Meal Imports'!BI$290</f>
        <v>0</v>
      </c>
      <c r="E137" s="242">
        <f>'[5]Indonesia Copra Meal Imports'!BU$290</f>
        <v>0</v>
      </c>
      <c r="F137" s="242">
        <f>'[5]Indonesia Copra Meal Imports'!CG$290</f>
        <v>0</v>
      </c>
      <c r="G137" s="242">
        <f>'[5]Indonesia Copra Meal Imports'!CS$290</f>
        <v>0</v>
      </c>
      <c r="H137" s="242">
        <v>0.73968</v>
      </c>
      <c r="I137" s="242">
        <v>0.6</v>
      </c>
      <c r="J137" s="242">
        <v>0</v>
      </c>
      <c r="K137" s="242">
        <v>0</v>
      </c>
      <c r="L137" s="242">
        <v>0</v>
      </c>
      <c r="M137" s="242">
        <v>0</v>
      </c>
      <c r="N137" s="242">
        <v>0</v>
      </c>
      <c r="O137" s="242">
        <v>0</v>
      </c>
      <c r="P137" s="242">
        <v>0.02</v>
      </c>
      <c r="Q137" s="242">
        <v>0</v>
      </c>
      <c r="R137" s="242">
        <v>0</v>
      </c>
      <c r="S137" s="242">
        <v>0</v>
      </c>
      <c r="T137" s="242">
        <v>4.3999999999999997E-2</v>
      </c>
      <c r="U137" s="242">
        <v>0.187</v>
      </c>
      <c r="V137" s="242">
        <v>0</v>
      </c>
      <c r="W137" s="242">
        <v>0.05</v>
      </c>
      <c r="X137" s="242">
        <v>0</v>
      </c>
      <c r="Y137" s="242">
        <v>0.13900000000000001</v>
      </c>
      <c r="Z137" s="243">
        <f t="shared" si="60"/>
        <v>0.21850699844479005</v>
      </c>
      <c r="AA137" s="243">
        <f t="shared" si="58"/>
        <v>6.1451296578775322E-2</v>
      </c>
      <c r="AB137" s="243">
        <f t="shared" si="58"/>
        <v>4.2298837289266145E-2</v>
      </c>
      <c r="AC137" s="243">
        <f t="shared" si="58"/>
        <v>4.4227440586944236E-2</v>
      </c>
    </row>
    <row r="138" spans="1:29">
      <c r="A138" s="240" t="s">
        <v>237</v>
      </c>
      <c r="B138" s="241">
        <f t="shared" si="59"/>
        <v>0</v>
      </c>
      <c r="C138" s="241">
        <f t="shared" si="57"/>
        <v>0</v>
      </c>
      <c r="D138" s="242">
        <f>'[5]Indonesia Copra Meal Imports'!BJ$290</f>
        <v>0</v>
      </c>
      <c r="E138" s="242">
        <f>'[5]Indonesia Copra Meal Imports'!BV$290</f>
        <v>0</v>
      </c>
      <c r="F138" s="242">
        <f>'[5]Indonesia Copra Meal Imports'!CH$290</f>
        <v>0</v>
      </c>
      <c r="G138" s="242">
        <f>'[5]Indonesia Copra Meal Imports'!CT$290</f>
        <v>0</v>
      </c>
      <c r="H138" s="242">
        <v>1.4</v>
      </c>
      <c r="I138" s="242">
        <v>0</v>
      </c>
      <c r="J138" s="242">
        <v>0</v>
      </c>
      <c r="K138" s="242">
        <v>0</v>
      </c>
      <c r="L138" s="242">
        <v>0</v>
      </c>
      <c r="M138" s="242">
        <v>0</v>
      </c>
      <c r="N138" s="242">
        <v>0</v>
      </c>
      <c r="O138" s="242">
        <v>0</v>
      </c>
      <c r="P138" s="242">
        <v>0</v>
      </c>
      <c r="Q138" s="242">
        <v>0</v>
      </c>
      <c r="R138" s="242">
        <v>0</v>
      </c>
      <c r="S138" s="242">
        <v>0.50900000000000001</v>
      </c>
      <c r="T138" s="242">
        <v>5.3999999999999999E-2</v>
      </c>
      <c r="U138" s="242">
        <v>0</v>
      </c>
      <c r="V138" s="242">
        <v>0</v>
      </c>
      <c r="W138" s="242">
        <v>0</v>
      </c>
      <c r="X138" s="242">
        <v>0</v>
      </c>
      <c r="Y138" s="242">
        <v>0.14699999999999999</v>
      </c>
      <c r="Z138" s="243">
        <f t="shared" si="60"/>
        <v>4.1990668740279943E-2</v>
      </c>
      <c r="AA138" s="243">
        <f t="shared" si="58"/>
        <v>2.4024842013510565E-2</v>
      </c>
      <c r="AB138" s="243">
        <f t="shared" si="58"/>
        <v>1.9617050938372422E-2</v>
      </c>
      <c r="AC138" s="243">
        <f t="shared" si="58"/>
        <v>2.0089485453045314E-2</v>
      </c>
    </row>
    <row r="139" spans="1:29">
      <c r="A139" s="240" t="s">
        <v>238</v>
      </c>
      <c r="B139" s="241">
        <f t="shared" si="59"/>
        <v>0</v>
      </c>
      <c r="C139" s="241">
        <f t="shared" si="57"/>
        <v>0</v>
      </c>
      <c r="D139" s="242">
        <f>'[5]Indonesia Copra Meal Imports'!BK$290</f>
        <v>0</v>
      </c>
      <c r="E139" s="242">
        <f>'[5]Indonesia Copra Meal Imports'!BW$290</f>
        <v>0</v>
      </c>
      <c r="F139" s="242">
        <f>'[5]Indonesia Copra Meal Imports'!CI$290</f>
        <v>0</v>
      </c>
      <c r="G139" s="242">
        <f>'[5]Indonesia Copra Meal Imports'!CU$290</f>
        <v>0</v>
      </c>
      <c r="H139" s="242">
        <v>1.4</v>
      </c>
      <c r="I139" s="242">
        <v>0</v>
      </c>
      <c r="J139" s="242">
        <v>0</v>
      </c>
      <c r="K139" s="242">
        <v>0</v>
      </c>
      <c r="L139" s="242">
        <v>0</v>
      </c>
      <c r="M139" s="242">
        <v>0</v>
      </c>
      <c r="N139" s="242">
        <v>0</v>
      </c>
      <c r="O139" s="242">
        <v>0</v>
      </c>
      <c r="P139" s="242">
        <v>0</v>
      </c>
      <c r="Q139" s="242">
        <v>0.14299999999999999</v>
      </c>
      <c r="R139" s="242">
        <v>0</v>
      </c>
      <c r="S139" s="242">
        <v>0</v>
      </c>
      <c r="T139" s="242">
        <v>0</v>
      </c>
      <c r="U139" s="242">
        <v>0</v>
      </c>
      <c r="V139" s="242">
        <v>0</v>
      </c>
      <c r="W139" s="242">
        <v>0</v>
      </c>
      <c r="X139" s="242">
        <v>0</v>
      </c>
      <c r="Y139" s="242">
        <v>5.6000000000000001E-2</v>
      </c>
      <c r="Z139" s="243">
        <f>Z140-SUM(Z128:Z138)</f>
        <v>8.0323483670295737E-2</v>
      </c>
      <c r="AA139" s="243">
        <f>AA140-SUM(AA128:AA138)</f>
        <v>9.1523207670520801E-3</v>
      </c>
      <c r="AB139" s="243">
        <f>AB140-SUM(AB128:AB138)</f>
        <v>1.4150247422700435E-2</v>
      </c>
      <c r="AC139" s="243">
        <f>AC140-SUM(AC128:AC138)</f>
        <v>1.371981808588596E-2</v>
      </c>
    </row>
    <row r="140" spans="1:29" ht="15.75" thickBot="1">
      <c r="A140" s="240" t="s">
        <v>242</v>
      </c>
      <c r="B140" s="242">
        <f>B24</f>
        <v>0</v>
      </c>
      <c r="C140" s="242">
        <f>C24</f>
        <v>0</v>
      </c>
      <c r="D140" s="242">
        <f>D24</f>
        <v>0</v>
      </c>
      <c r="E140" s="242">
        <f t="shared" ref="E140:Y140" si="61">SUM(E128:E139)</f>
        <v>0</v>
      </c>
      <c r="F140" s="242">
        <f t="shared" si="61"/>
        <v>0</v>
      </c>
      <c r="G140" s="242">
        <f t="shared" si="61"/>
        <v>0</v>
      </c>
      <c r="H140" s="242">
        <f t="shared" si="61"/>
        <v>6.4879999999999995</v>
      </c>
      <c r="I140" s="242">
        <f t="shared" si="61"/>
        <v>17.5</v>
      </c>
      <c r="J140" s="242">
        <f t="shared" si="61"/>
        <v>0.34599999999999997</v>
      </c>
      <c r="K140" s="242">
        <f t="shared" si="61"/>
        <v>0</v>
      </c>
      <c r="L140" s="242">
        <f t="shared" si="61"/>
        <v>0.91900000000000004</v>
      </c>
      <c r="M140" s="242">
        <f t="shared" si="61"/>
        <v>0.05</v>
      </c>
      <c r="N140" s="242">
        <f t="shared" si="61"/>
        <v>0</v>
      </c>
      <c r="O140" s="242">
        <f t="shared" si="61"/>
        <v>0</v>
      </c>
      <c r="P140" s="242">
        <f t="shared" si="61"/>
        <v>1.0860000000000001</v>
      </c>
      <c r="Q140" s="242">
        <f t="shared" si="61"/>
        <v>0.191</v>
      </c>
      <c r="R140" s="242">
        <f t="shared" si="61"/>
        <v>0.35100000000000003</v>
      </c>
      <c r="S140" s="242">
        <f t="shared" si="61"/>
        <v>0.50900000000000001</v>
      </c>
      <c r="T140" s="242">
        <f t="shared" si="61"/>
        <v>0.59500000000000008</v>
      </c>
      <c r="U140" s="242">
        <f t="shared" si="61"/>
        <v>1.7270000000000001</v>
      </c>
      <c r="V140" s="242">
        <f t="shared" si="61"/>
        <v>4.5999999999999999E-2</v>
      </c>
      <c r="W140" s="242">
        <f t="shared" si="61"/>
        <v>5.8129999999999997</v>
      </c>
      <c r="X140" s="242">
        <f t="shared" si="61"/>
        <v>0.82099999999999995</v>
      </c>
      <c r="Y140" s="242">
        <f t="shared" si="61"/>
        <v>0.77100000000000013</v>
      </c>
      <c r="Z140" s="243">
        <f>Z24</f>
        <v>7</v>
      </c>
      <c r="AA140" s="243">
        <f>AA24</f>
        <v>1.5</v>
      </c>
      <c r="AB140" s="243">
        <f>AB24</f>
        <v>1.5</v>
      </c>
      <c r="AC140" s="243">
        <f>AC24</f>
        <v>1.5</v>
      </c>
    </row>
    <row r="141" spans="1:29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</row>
    <row r="142" spans="1:29" ht="15.75" thickBot="1">
      <c r="A142" s="240" t="s">
        <v>257</v>
      </c>
    </row>
    <row r="143" spans="1:29" ht="15.75" thickBot="1">
      <c r="A143" s="236"/>
      <c r="B143" s="237" t="str">
        <f>B$2</f>
        <v xml:space="preserve">93/94 </v>
      </c>
      <c r="C143" s="237" t="str">
        <f t="shared" ref="C143:AC143" si="62">C$2</f>
        <v xml:space="preserve">94/95 </v>
      </c>
      <c r="D143" s="237" t="str">
        <f t="shared" si="62"/>
        <v xml:space="preserve">95/96 </v>
      </c>
      <c r="E143" s="237" t="str">
        <f t="shared" si="62"/>
        <v xml:space="preserve">96/97 </v>
      </c>
      <c r="F143" s="237" t="str">
        <f t="shared" si="62"/>
        <v xml:space="preserve">97/98 </v>
      </c>
      <c r="G143" s="237" t="str">
        <f t="shared" si="62"/>
        <v xml:space="preserve">98/99 </v>
      </c>
      <c r="H143" s="237" t="str">
        <f t="shared" si="62"/>
        <v xml:space="preserve">99/00 </v>
      </c>
      <c r="I143" s="237" t="str">
        <f t="shared" si="62"/>
        <v xml:space="preserve">00/01 </v>
      </c>
      <c r="J143" s="237" t="str">
        <f t="shared" si="62"/>
        <v xml:space="preserve">01/02 </v>
      </c>
      <c r="K143" s="237" t="str">
        <f t="shared" si="62"/>
        <v xml:space="preserve">02/03 </v>
      </c>
      <c r="L143" s="237" t="str">
        <f t="shared" si="62"/>
        <v xml:space="preserve">03/04 </v>
      </c>
      <c r="M143" s="237" t="str">
        <f t="shared" si="62"/>
        <v xml:space="preserve">04/05 </v>
      </c>
      <c r="N143" s="237" t="str">
        <f t="shared" si="62"/>
        <v xml:space="preserve">05/06 </v>
      </c>
      <c r="O143" s="237" t="str">
        <f t="shared" si="62"/>
        <v xml:space="preserve">06/07 </v>
      </c>
      <c r="P143" s="237" t="str">
        <f t="shared" si="62"/>
        <v xml:space="preserve">07/08 </v>
      </c>
      <c r="Q143" s="237" t="str">
        <f t="shared" si="62"/>
        <v xml:space="preserve">08/09 </v>
      </c>
      <c r="R143" s="237" t="str">
        <f t="shared" si="62"/>
        <v xml:space="preserve">09/10 </v>
      </c>
      <c r="S143" s="237" t="str">
        <f t="shared" si="62"/>
        <v xml:space="preserve">10/11 </v>
      </c>
      <c r="T143" s="237" t="str">
        <f t="shared" si="62"/>
        <v xml:space="preserve">11/12 </v>
      </c>
      <c r="U143" s="237" t="str">
        <f t="shared" si="62"/>
        <v xml:space="preserve">12/13 </v>
      </c>
      <c r="V143" s="237" t="str">
        <f t="shared" si="62"/>
        <v xml:space="preserve">13/14 </v>
      </c>
      <c r="W143" s="237" t="str">
        <f t="shared" si="62"/>
        <v xml:space="preserve">14/15 </v>
      </c>
      <c r="X143" s="237" t="str">
        <f t="shared" si="62"/>
        <v xml:space="preserve">15/16 </v>
      </c>
      <c r="Y143" s="237" t="str">
        <f t="shared" si="62"/>
        <v xml:space="preserve">16/17 </v>
      </c>
      <c r="Z143" s="237" t="str">
        <f t="shared" si="62"/>
        <v xml:space="preserve">17/18 </v>
      </c>
      <c r="AA143" s="237" t="str">
        <f t="shared" si="62"/>
        <v xml:space="preserve">18/19 </v>
      </c>
      <c r="AB143" s="237" t="str">
        <f t="shared" si="62"/>
        <v xml:space="preserve">19/20 </v>
      </c>
      <c r="AC143" s="237" t="str">
        <f t="shared" si="62"/>
        <v xml:space="preserve">20/21 </v>
      </c>
    </row>
    <row r="144" spans="1:29">
      <c r="A144" s="240" t="s">
        <v>239</v>
      </c>
      <c r="B144" s="290">
        <f t="shared" ref="B144:B155" si="63">(SUM(T144:X144)/SUM(T$156:X$156))*B$156</f>
        <v>0</v>
      </c>
      <c r="C144" s="290">
        <f t="shared" ref="C144:G155" si="64">(SUM(L144:P144)/SUM(L$156:P$156))*C$156</f>
        <v>0</v>
      </c>
      <c r="D144" s="290">
        <f t="shared" si="64"/>
        <v>0</v>
      </c>
      <c r="E144" s="290">
        <f t="shared" si="64"/>
        <v>0.75595644655513483</v>
      </c>
      <c r="F144" s="290">
        <f t="shared" si="64"/>
        <v>11.576686741724963</v>
      </c>
      <c r="G144" s="290">
        <f t="shared" si="64"/>
        <v>14.361465126130602</v>
      </c>
      <c r="H144" s="146">
        <f>'[2]Ukraine Sun Meal Exports'!DA$290</f>
        <v>41.308477000000025</v>
      </c>
      <c r="I144" s="146">
        <f>'[2]Ukraine Sun Meal Exports'!DM$290</f>
        <v>38.5</v>
      </c>
      <c r="J144" s="146">
        <f>'[2]Ukraine Sun Meal Exports'!DY$290</f>
        <v>64.900000000000006</v>
      </c>
      <c r="K144" s="146">
        <f>'[2]Ukraine Sun Meal Exports'!EK$290</f>
        <v>80.094999999999999</v>
      </c>
      <c r="L144" s="146">
        <f>'[2]Ukraine Sun Meal Exports'!EW$290</f>
        <v>93.688999999999993</v>
      </c>
      <c r="M144" s="146">
        <f>'[2]Ukraine Sun Meal Exports'!FI$290</f>
        <v>71.594999999999999</v>
      </c>
      <c r="N144" s="146">
        <f>'[2]Ukraine Sun Meal Exports'!FU$290</f>
        <v>99.289000000000001</v>
      </c>
      <c r="O144" s="146">
        <f>'[2]Ukraine Sun Meal Exports'!GG$290</f>
        <v>122.80200000000001</v>
      </c>
      <c r="P144" s="146">
        <f>'[2]Ukraine Sun Meal Exports'!GS$290</f>
        <v>111.518</v>
      </c>
      <c r="Q144" s="146">
        <f>'[2]Ukraine Sun Meal Exports'!HE$290</f>
        <v>142.434</v>
      </c>
      <c r="R144" s="146">
        <f>'[2]Ukraine Sun Meal Exports'!HQ$290</f>
        <v>195.221</v>
      </c>
      <c r="S144" s="146">
        <f>'[2]Ukraine Sun Meal Exports'!IC$290</f>
        <v>238.977</v>
      </c>
      <c r="T144" s="146">
        <f>'[2]Ukraine Sun Meal Exports'!IO$290</f>
        <v>288.58699999999999</v>
      </c>
      <c r="U144" s="146">
        <f>'[2]Ukraine Sun Meal Exports'!JA$290</f>
        <v>383.065</v>
      </c>
      <c r="V144" s="146">
        <f>'[2]Ukraine Sun Meal Exports'!JM$290</f>
        <v>288.18099999999998</v>
      </c>
      <c r="W144" s="146">
        <f>'[2]Ukraine Sun Meal Exports'!JY$290</f>
        <v>294.57600000000002</v>
      </c>
      <c r="X144" s="146">
        <f>'[2]Ukraine Sun Meal Exports'!KK$290</f>
        <v>359.68</v>
      </c>
      <c r="Y144" s="146">
        <f>'[2]Ukraine Sun Meal Exports'!KW$290</f>
        <v>353.87</v>
      </c>
      <c r="Z144" s="146">
        <f>'[2]Ukraine Sun Meal Exports'!LI$290</f>
        <v>369.88799999999998</v>
      </c>
      <c r="AA144" s="253">
        <f t="shared" ref="AA144:AC154" si="65">(SUM(U144:Y144)/SUM(U$283:Y$283))*AA$283</f>
        <v>375.59926446060098</v>
      </c>
      <c r="AB144" s="253">
        <f t="shared" si="65"/>
        <v>341.48960739479548</v>
      </c>
      <c r="AC144" s="253">
        <f t="shared" si="65"/>
        <v>349.78852065727045</v>
      </c>
    </row>
    <row r="145" spans="1:29">
      <c r="A145" s="240" t="s">
        <v>240</v>
      </c>
      <c r="B145" s="290">
        <f t="shared" si="63"/>
        <v>0</v>
      </c>
      <c r="C145" s="290">
        <f t="shared" si="64"/>
        <v>0</v>
      </c>
      <c r="D145" s="290">
        <f t="shared" si="64"/>
        <v>0</v>
      </c>
      <c r="E145" s="290">
        <f t="shared" si="64"/>
        <v>0.97701433556333483</v>
      </c>
      <c r="F145" s="290">
        <f t="shared" si="64"/>
        <v>15.337291243281271</v>
      </c>
      <c r="G145" s="290">
        <f t="shared" si="64"/>
        <v>18.505885506685374</v>
      </c>
      <c r="H145" s="146">
        <f>'[2]Ukraine Sun Meal Exports'!DB$290</f>
        <v>34.590372999999985</v>
      </c>
      <c r="I145" s="146">
        <f>'[2]Ukraine Sun Meal Exports'!DN$290</f>
        <v>50</v>
      </c>
      <c r="J145" s="146">
        <f>'[2]Ukraine Sun Meal Exports'!DZ$290</f>
        <v>80.7</v>
      </c>
      <c r="K145" s="146">
        <f>'[2]Ukraine Sun Meal Exports'!EL$290</f>
        <v>72.256</v>
      </c>
      <c r="L145" s="146">
        <f>'[2]Ukraine Sun Meal Exports'!EX$290</f>
        <v>98.819000000000003</v>
      </c>
      <c r="M145" s="146">
        <f>'[2]Ukraine Sun Meal Exports'!FJ$290</f>
        <v>95.685000000000002</v>
      </c>
      <c r="N145" s="146">
        <f>'[2]Ukraine Sun Meal Exports'!FV$290</f>
        <v>118.006</v>
      </c>
      <c r="O145" s="146">
        <f>'[2]Ukraine Sun Meal Exports'!GH$290</f>
        <v>139.35</v>
      </c>
      <c r="P145" s="146">
        <f>'[2]Ukraine Sun Meal Exports'!GT$290</f>
        <v>182.636</v>
      </c>
      <c r="Q145" s="146">
        <f>'[2]Ukraine Sun Meal Exports'!HF$290</f>
        <v>171.18299999999999</v>
      </c>
      <c r="R145" s="146">
        <f>'[2]Ukraine Sun Meal Exports'!HR$290</f>
        <v>256.38099999999997</v>
      </c>
      <c r="S145" s="146">
        <f>'[2]Ukraine Sun Meal Exports'!ID$290</f>
        <v>324.834</v>
      </c>
      <c r="T145" s="146">
        <f>'[2]Ukraine Sun Meal Exports'!IP$290</f>
        <v>323.56900000000002</v>
      </c>
      <c r="U145" s="146">
        <f>'[2]Ukraine Sun Meal Exports'!JB$290</f>
        <v>373.536</v>
      </c>
      <c r="V145" s="146">
        <f>'[2]Ukraine Sun Meal Exports'!JN$290</f>
        <v>306.40100000000001</v>
      </c>
      <c r="W145" s="146">
        <f>'[2]Ukraine Sun Meal Exports'!JZ$290</f>
        <v>334.06200000000001</v>
      </c>
      <c r="X145" s="146">
        <f>'[2]Ukraine Sun Meal Exports'!KL$290</f>
        <v>386.79500000000002</v>
      </c>
      <c r="Y145" s="146">
        <f>'[2]Ukraine Sun Meal Exports'!KX$290</f>
        <v>514.78200000000004</v>
      </c>
      <c r="Z145" s="146">
        <f>'[2]Ukraine Sun Meal Exports'!LJ$290</f>
        <v>527.93700000000001</v>
      </c>
      <c r="AA145" s="253">
        <f t="shared" si="65"/>
        <v>428.4273744104226</v>
      </c>
      <c r="AB145" s="253">
        <f t="shared" si="65"/>
        <v>424.2454412876383</v>
      </c>
      <c r="AC145" s="253">
        <f t="shared" si="65"/>
        <v>437.23301662331437</v>
      </c>
    </row>
    <row r="146" spans="1:29">
      <c r="A146" s="240" t="s">
        <v>241</v>
      </c>
      <c r="B146" s="290">
        <f t="shared" si="63"/>
        <v>0</v>
      </c>
      <c r="C146" s="290">
        <f t="shared" si="64"/>
        <v>0</v>
      </c>
      <c r="D146" s="290">
        <f t="shared" si="64"/>
        <v>0</v>
      </c>
      <c r="E146" s="290">
        <f t="shared" si="64"/>
        <v>0.93221422204553894</v>
      </c>
      <c r="F146" s="290">
        <f t="shared" si="64"/>
        <v>13.95707150447592</v>
      </c>
      <c r="G146" s="290">
        <f t="shared" si="64"/>
        <v>17.360070149686404</v>
      </c>
      <c r="H146" s="146">
        <f>'[2]Ukraine Sun Meal Exports'!DC$290</f>
        <v>40.042587000000005</v>
      </c>
      <c r="I146" s="146">
        <f>'[2]Ukraine Sun Meal Exports'!DO$290</f>
        <v>50.9</v>
      </c>
      <c r="J146" s="146">
        <f>'[2]Ukraine Sun Meal Exports'!EA$290</f>
        <v>73.2</v>
      </c>
      <c r="K146" s="146">
        <f>'[2]Ukraine Sun Meal Exports'!EM$290</f>
        <v>82.638999999999996</v>
      </c>
      <c r="L146" s="146">
        <f>'[2]Ukraine Sun Meal Exports'!EY$290</f>
        <v>116.747</v>
      </c>
      <c r="M146" s="146">
        <f>'[2]Ukraine Sun Meal Exports'!FK$290</f>
        <v>91.024000000000001</v>
      </c>
      <c r="N146" s="146">
        <f>'[2]Ukraine Sun Meal Exports'!FW$290</f>
        <v>119.764</v>
      </c>
      <c r="O146" s="146">
        <f>'[2]Ukraine Sun Meal Exports'!GI$290</f>
        <v>133.578</v>
      </c>
      <c r="P146" s="146">
        <f>'[2]Ukraine Sun Meal Exports'!GU$290</f>
        <v>147.23500000000001</v>
      </c>
      <c r="Q146" s="146">
        <f>'[2]Ukraine Sun Meal Exports'!HG$290</f>
        <v>178.923</v>
      </c>
      <c r="R146" s="146">
        <f>'[2]Ukraine Sun Meal Exports'!HS$290</f>
        <v>248.27500000000001</v>
      </c>
      <c r="S146" s="146">
        <f>'[2]Ukraine Sun Meal Exports'!IE$290</f>
        <v>269.68799999999999</v>
      </c>
      <c r="T146" s="146">
        <f>'[2]Ukraine Sun Meal Exports'!IQ$290</f>
        <v>336.55399999999997</v>
      </c>
      <c r="U146" s="146">
        <f>'[2]Ukraine Sun Meal Exports'!JC$290</f>
        <v>365.339</v>
      </c>
      <c r="V146" s="146">
        <f>'[2]Ukraine Sun Meal Exports'!JO$290</f>
        <v>354.20600000000002</v>
      </c>
      <c r="W146" s="146">
        <f>'[2]Ukraine Sun Meal Exports'!KA$290</f>
        <v>423.58600000000001</v>
      </c>
      <c r="X146" s="146">
        <f>'[2]Ukraine Sun Meal Exports'!KM$290</f>
        <v>450.33600000000001</v>
      </c>
      <c r="Y146" s="146">
        <f>'[2]Ukraine Sun Meal Exports'!KY$290</f>
        <v>466.69099999999997</v>
      </c>
      <c r="Z146" s="146">
        <f>'[2]Ukraine Sun Meal Exports'!LK$290</f>
        <v>413.44400000000002</v>
      </c>
      <c r="AA146" s="253">
        <f t="shared" si="65"/>
        <v>460.76380306008605</v>
      </c>
      <c r="AB146" s="253">
        <f t="shared" si="65"/>
        <v>432.09222459254397</v>
      </c>
      <c r="AC146" s="253">
        <f t="shared" si="65"/>
        <v>441.78434773737484</v>
      </c>
    </row>
    <row r="147" spans="1:29">
      <c r="A147" s="240" t="s">
        <v>231</v>
      </c>
      <c r="B147" s="290">
        <f t="shared" si="63"/>
        <v>0</v>
      </c>
      <c r="C147" s="290">
        <f t="shared" si="64"/>
        <v>0</v>
      </c>
      <c r="D147" s="290">
        <f t="shared" si="64"/>
        <v>0</v>
      </c>
      <c r="E147" s="290">
        <f t="shared" si="64"/>
        <v>0.89540089631759767</v>
      </c>
      <c r="F147" s="290">
        <f t="shared" si="64"/>
        <v>14.039826159550177</v>
      </c>
      <c r="G147" s="290">
        <f t="shared" si="64"/>
        <v>17.487520199918247</v>
      </c>
      <c r="H147" s="146">
        <f>'[2]Ukraine Sun Meal Exports'!DD$290</f>
        <v>26.3</v>
      </c>
      <c r="I147" s="146">
        <f>'[2]Ukraine Sun Meal Exports'!DP$290</f>
        <v>51.7</v>
      </c>
      <c r="J147" s="146">
        <f>'[2]Ukraine Sun Meal Exports'!EB$290</f>
        <v>68.162000000000006</v>
      </c>
      <c r="K147" s="146">
        <f>'[2]Ukraine Sun Meal Exports'!EN$290</f>
        <v>91.063999999999993</v>
      </c>
      <c r="L147" s="146">
        <f>'[2]Ukraine Sun Meal Exports'!EZ$290</f>
        <v>98.156000000000006</v>
      </c>
      <c r="M147" s="146">
        <f>'[2]Ukraine Sun Meal Exports'!FL$290</f>
        <v>85.308999999999997</v>
      </c>
      <c r="N147" s="146">
        <f>'[2]Ukraine Sun Meal Exports'!FX$290</f>
        <v>100.313</v>
      </c>
      <c r="O147" s="146">
        <f>'[2]Ukraine Sun Meal Exports'!GJ$290</f>
        <v>155.35499999999999</v>
      </c>
      <c r="P147" s="146">
        <f>'[2]Ukraine Sun Meal Exports'!GV$290</f>
        <v>149.78899999999999</v>
      </c>
      <c r="Q147" s="146">
        <f>'[2]Ukraine Sun Meal Exports'!HH$290</f>
        <v>192.24</v>
      </c>
      <c r="R147" s="146">
        <f>'[2]Ukraine Sun Meal Exports'!HT$290</f>
        <v>197.38900000000001</v>
      </c>
      <c r="S147" s="146">
        <f>'[2]Ukraine Sun Meal Exports'!IF$290</f>
        <v>288.72300000000001</v>
      </c>
      <c r="T147" s="146">
        <f>'[2]Ukraine Sun Meal Exports'!IR$290</f>
        <v>361.202</v>
      </c>
      <c r="U147" s="146">
        <f>'[2]Ukraine Sun Meal Exports'!JD$290</f>
        <v>370.613</v>
      </c>
      <c r="V147" s="146">
        <f>'[2]Ukraine Sun Meal Exports'!JP$290</f>
        <v>330.30900000000003</v>
      </c>
      <c r="W147" s="146">
        <f>'[2]Ukraine Sun Meal Exports'!KB$290</f>
        <v>302.50200000000001</v>
      </c>
      <c r="X147" s="146">
        <f>'[2]Ukraine Sun Meal Exports'!KN$290</f>
        <v>213.512</v>
      </c>
      <c r="Y147" s="146">
        <f>'[2]Ukraine Sun Meal Exports'!KZ$290</f>
        <v>434.13</v>
      </c>
      <c r="Z147" s="146">
        <f>'[2]Ukraine Sun Meal Exports'!LL$290</f>
        <v>478.041</v>
      </c>
      <c r="AA147" s="253">
        <f t="shared" si="65"/>
        <v>369.26849749543675</v>
      </c>
      <c r="AB147" s="253">
        <f t="shared" si="65"/>
        <v>360.40645042513239</v>
      </c>
      <c r="AC147" s="253">
        <f t="shared" si="65"/>
        <v>358.53321401087709</v>
      </c>
    </row>
    <row r="148" spans="1:29">
      <c r="A148" s="240" t="s">
        <v>232</v>
      </c>
      <c r="B148" s="290">
        <f t="shared" si="63"/>
        <v>0</v>
      </c>
      <c r="C148" s="290">
        <f t="shared" si="64"/>
        <v>0</v>
      </c>
      <c r="D148" s="290">
        <f t="shared" si="64"/>
        <v>0</v>
      </c>
      <c r="E148" s="290">
        <f t="shared" si="64"/>
        <v>0.89290755901264296</v>
      </c>
      <c r="F148" s="290">
        <f t="shared" si="64"/>
        <v>14.196784488434334</v>
      </c>
      <c r="G148" s="290">
        <f t="shared" si="64"/>
        <v>17.532924647901169</v>
      </c>
      <c r="H148" s="146">
        <f>'[2]Ukraine Sun Meal Exports'!DE$290</f>
        <v>30.4</v>
      </c>
      <c r="I148" s="146">
        <f>'[2]Ukraine Sun Meal Exports'!DQ$290</f>
        <v>36.299999999999997</v>
      </c>
      <c r="J148" s="146">
        <f>'[2]Ukraine Sun Meal Exports'!EC$290</f>
        <v>63.256999999999998</v>
      </c>
      <c r="K148" s="146">
        <f>'[2]Ukraine Sun Meal Exports'!EO$290</f>
        <v>92.346000000000004</v>
      </c>
      <c r="L148" s="146">
        <f>'[2]Ukraine Sun Meal Exports'!FA$290</f>
        <v>86.289000000000001</v>
      </c>
      <c r="M148" s="146">
        <f>'[2]Ukraine Sun Meal Exports'!FM$290</f>
        <v>71.010999999999996</v>
      </c>
      <c r="N148" s="146">
        <f>'[2]Ukraine Sun Meal Exports'!FY$290</f>
        <v>111.749</v>
      </c>
      <c r="O148" s="146">
        <f>'[2]Ukraine Sun Meal Exports'!GK$290</f>
        <v>130.96199999999999</v>
      </c>
      <c r="P148" s="146">
        <f>'[2]Ukraine Sun Meal Exports'!GW$290</f>
        <v>150.673</v>
      </c>
      <c r="Q148" s="146">
        <f>'[2]Ukraine Sun Meal Exports'!HI$290</f>
        <v>199.19499999999999</v>
      </c>
      <c r="R148" s="146">
        <f>'[2]Ukraine Sun Meal Exports'!HU$290</f>
        <v>200.29300000000001</v>
      </c>
      <c r="S148" s="146">
        <f>'[2]Ukraine Sun Meal Exports'!IG$290</f>
        <v>313.36799999999999</v>
      </c>
      <c r="T148" s="146">
        <f>'[2]Ukraine Sun Meal Exports'!IS$290</f>
        <v>328.90199999999999</v>
      </c>
      <c r="U148" s="146">
        <f>'[2]Ukraine Sun Meal Exports'!JE$290</f>
        <v>318.49</v>
      </c>
      <c r="V148" s="146">
        <f>'[2]Ukraine Sun Meal Exports'!JQ$290</f>
        <v>271.41199999999998</v>
      </c>
      <c r="W148" s="146">
        <f>'[2]Ukraine Sun Meal Exports'!KC$290</f>
        <v>335.04899999999998</v>
      </c>
      <c r="X148" s="146">
        <f>'[2]Ukraine Sun Meal Exports'!KO$290</f>
        <v>376.226</v>
      </c>
      <c r="Y148" s="146">
        <f>'[2]Ukraine Sun Meal Exports'!LA$290</f>
        <v>451.51499999999999</v>
      </c>
      <c r="Z148" s="146">
        <f>'[2]Ukraine Sun Meal Exports'!LM$290</f>
        <v>385.17200000000003</v>
      </c>
      <c r="AA148" s="253">
        <f t="shared" si="65"/>
        <v>391.99761936365485</v>
      </c>
      <c r="AB148" s="253">
        <f t="shared" si="65"/>
        <v>372.88391392622026</v>
      </c>
      <c r="AC148" s="253">
        <f t="shared" si="65"/>
        <v>386.95852679968135</v>
      </c>
    </row>
    <row r="149" spans="1:29">
      <c r="A149" s="240" t="s">
        <v>233</v>
      </c>
      <c r="B149" s="290">
        <f t="shared" si="63"/>
        <v>0</v>
      </c>
      <c r="C149" s="290">
        <f t="shared" si="64"/>
        <v>0</v>
      </c>
      <c r="D149" s="290">
        <f t="shared" si="64"/>
        <v>0</v>
      </c>
      <c r="E149" s="290">
        <f t="shared" si="64"/>
        <v>0.99865253925683017</v>
      </c>
      <c r="F149" s="290">
        <f t="shared" si="64"/>
        <v>15.345585266844864</v>
      </c>
      <c r="G149" s="290">
        <f t="shared" si="64"/>
        <v>18.996438809164037</v>
      </c>
      <c r="H149" s="146">
        <f>'[2]Ukraine Sun Meal Exports'!DF$290</f>
        <v>34.4</v>
      </c>
      <c r="I149" s="146">
        <f>'[2]Ukraine Sun Meal Exports'!DR$290</f>
        <v>45.8</v>
      </c>
      <c r="J149" s="146">
        <f>'[2]Ukraine Sun Meal Exports'!ED$290</f>
        <v>47.122</v>
      </c>
      <c r="K149" s="146">
        <f>'[2]Ukraine Sun Meal Exports'!EP$290</f>
        <v>100.86799999999999</v>
      </c>
      <c r="L149" s="146">
        <f>'[2]Ukraine Sun Meal Exports'!FB$290</f>
        <v>101.762</v>
      </c>
      <c r="M149" s="146">
        <f>'[2]Ukraine Sun Meal Exports'!FN$290</f>
        <v>98.76</v>
      </c>
      <c r="N149" s="146">
        <f>'[2]Ukraine Sun Meal Exports'!FZ$290</f>
        <v>133.36099999999999</v>
      </c>
      <c r="O149" s="146">
        <f>'[2]Ukraine Sun Meal Exports'!GL$290</f>
        <v>143.76499999999999</v>
      </c>
      <c r="P149" s="146">
        <f>'[2]Ukraine Sun Meal Exports'!GX$290</f>
        <v>111.381</v>
      </c>
      <c r="Q149" s="146">
        <f>'[2]Ukraine Sun Meal Exports'!HJ$290</f>
        <v>230.494</v>
      </c>
      <c r="R149" s="146">
        <f>'[2]Ukraine Sun Meal Exports'!HV$290</f>
        <v>267.76900000000001</v>
      </c>
      <c r="S149" s="146">
        <f>'[2]Ukraine Sun Meal Exports'!IH$290</f>
        <v>321.55599999999998</v>
      </c>
      <c r="T149" s="146">
        <f>'[2]Ukraine Sun Meal Exports'!IT$290</f>
        <v>360.76600000000002</v>
      </c>
      <c r="U149" s="146">
        <f>'[2]Ukraine Sun Meal Exports'!JF$290</f>
        <v>270.64400000000001</v>
      </c>
      <c r="V149" s="146">
        <f>'[2]Ukraine Sun Meal Exports'!JR$290</f>
        <v>359.142</v>
      </c>
      <c r="W149" s="146">
        <f>'[2]Ukraine Sun Meal Exports'!KD$290</f>
        <v>306.25099999999998</v>
      </c>
      <c r="X149" s="146">
        <f>'[2]Ukraine Sun Meal Exports'!KP$290</f>
        <v>384.88200000000001</v>
      </c>
      <c r="Y149" s="146">
        <f>'[2]Ukraine Sun Meal Exports'!LB$290</f>
        <v>484.81</v>
      </c>
      <c r="Z149" s="253">
        <f t="shared" ref="Z149:Z154" si="66">(SUM(T149:X149)/SUM(T$283:X$283))*Z$283</f>
        <v>446.38084289256864</v>
      </c>
      <c r="AA149" s="253">
        <f t="shared" si="65"/>
        <v>403.85958811697265</v>
      </c>
      <c r="AB149" s="253">
        <f t="shared" si="65"/>
        <v>406.1049233466556</v>
      </c>
      <c r="AC149" s="253">
        <f t="shared" si="65"/>
        <v>404.15735856737035</v>
      </c>
    </row>
    <row r="150" spans="1:29">
      <c r="A150" s="240" t="s">
        <v>234</v>
      </c>
      <c r="B150" s="290">
        <f t="shared" si="63"/>
        <v>0</v>
      </c>
      <c r="C150" s="290">
        <f t="shared" si="64"/>
        <v>0</v>
      </c>
      <c r="D150" s="290">
        <f t="shared" si="64"/>
        <v>0</v>
      </c>
      <c r="E150" s="290">
        <f t="shared" si="64"/>
        <v>0.9282838935928327</v>
      </c>
      <c r="F150" s="290">
        <f t="shared" si="64"/>
        <v>13.893702880381625</v>
      </c>
      <c r="G150" s="290">
        <f t="shared" si="64"/>
        <v>17.88100090991529</v>
      </c>
      <c r="H150" s="146">
        <f>'[2]Ukraine Sun Meal Exports'!DG$290</f>
        <v>25.9</v>
      </c>
      <c r="I150" s="146">
        <f>'[2]Ukraine Sun Meal Exports'!DS$290</f>
        <v>31.6</v>
      </c>
      <c r="J150" s="146">
        <f>'[2]Ukraine Sun Meal Exports'!EE$290</f>
        <v>49.427999999999997</v>
      </c>
      <c r="K150" s="146">
        <f>'[2]Ukraine Sun Meal Exports'!EQ$290</f>
        <v>71.984999999999999</v>
      </c>
      <c r="L150" s="146">
        <f>'[2]Ukraine Sun Meal Exports'!FC$290</f>
        <v>97.906000000000006</v>
      </c>
      <c r="M150" s="146">
        <f>'[2]Ukraine Sun Meal Exports'!FO$290</f>
        <v>86.582999999999998</v>
      </c>
      <c r="N150" s="146">
        <f>'[2]Ukraine Sun Meal Exports'!GA$290</f>
        <v>135.47900000000001</v>
      </c>
      <c r="O150" s="146">
        <f>'[2]Ukraine Sun Meal Exports'!GM$290</f>
        <v>138.78100000000001</v>
      </c>
      <c r="P150" s="146">
        <f>'[2]Ukraine Sun Meal Exports'!GY$290</f>
        <v>97.730999999999995</v>
      </c>
      <c r="Q150" s="146">
        <f>'[2]Ukraine Sun Meal Exports'!HK$290</f>
        <v>234.072</v>
      </c>
      <c r="R150" s="146">
        <f>'[2]Ukraine Sun Meal Exports'!HW$290</f>
        <v>218.22200000000001</v>
      </c>
      <c r="S150" s="146">
        <f>'[2]Ukraine Sun Meal Exports'!II$290</f>
        <v>284.45400000000001</v>
      </c>
      <c r="T150" s="146">
        <f>'[2]Ukraine Sun Meal Exports'!IU$290</f>
        <v>381.625</v>
      </c>
      <c r="U150" s="146">
        <f>'[2]Ukraine Sun Meal Exports'!JG$290</f>
        <v>276.77</v>
      </c>
      <c r="V150" s="146">
        <f>'[2]Ukraine Sun Meal Exports'!JS$290</f>
        <v>374.16399999999999</v>
      </c>
      <c r="W150" s="146">
        <f>'[2]Ukraine Sun Meal Exports'!KE$290</f>
        <v>328.11399999999998</v>
      </c>
      <c r="X150" s="146">
        <f>'[2]Ukraine Sun Meal Exports'!KQ$290</f>
        <v>328.69299999999998</v>
      </c>
      <c r="Y150" s="146">
        <f>'[2]Ukraine Sun Meal Exports'!LC$290</f>
        <v>470.21699999999998</v>
      </c>
      <c r="Z150" s="253">
        <f t="shared" si="66"/>
        <v>448.41966184752022</v>
      </c>
      <c r="AA150" s="253">
        <f t="shared" si="65"/>
        <v>397.64847636011638</v>
      </c>
      <c r="AB150" s="253">
        <f t="shared" si="65"/>
        <v>399.57553288672386</v>
      </c>
      <c r="AC150" s="253">
        <f t="shared" si="65"/>
        <v>393.56738120729801</v>
      </c>
    </row>
    <row r="151" spans="1:29">
      <c r="A151" s="240" t="s">
        <v>46</v>
      </c>
      <c r="B151" s="290">
        <f t="shared" si="63"/>
        <v>0</v>
      </c>
      <c r="C151" s="290">
        <f t="shared" si="64"/>
        <v>0</v>
      </c>
      <c r="D151" s="290">
        <f t="shared" si="64"/>
        <v>0</v>
      </c>
      <c r="E151" s="290">
        <f t="shared" si="64"/>
        <v>0.93619297574852212</v>
      </c>
      <c r="F151" s="290">
        <f t="shared" si="64"/>
        <v>13.411650233745856</v>
      </c>
      <c r="G151" s="290">
        <f t="shared" si="64"/>
        <v>17.569771651348439</v>
      </c>
      <c r="H151" s="146">
        <f>'[2]Ukraine Sun Meal Exports'!DH$290</f>
        <v>26.2</v>
      </c>
      <c r="I151" s="146">
        <f>'[2]Ukraine Sun Meal Exports'!DT$290</f>
        <v>23.6</v>
      </c>
      <c r="J151" s="146">
        <f>'[2]Ukraine Sun Meal Exports'!EF$290</f>
        <v>45.718000000000004</v>
      </c>
      <c r="K151" s="146">
        <f>'[2]Ukraine Sun Meal Exports'!ER$290</f>
        <v>69.784000000000006</v>
      </c>
      <c r="L151" s="146">
        <f>'[2]Ukraine Sun Meal Exports'!FD$290</f>
        <v>111.67700000000001</v>
      </c>
      <c r="M151" s="146">
        <f>'[2]Ukraine Sun Meal Exports'!FP$290</f>
        <v>76.334000000000003</v>
      </c>
      <c r="N151" s="146">
        <f>'[2]Ukraine Sun Meal Exports'!GB$290</f>
        <v>140.01900000000001</v>
      </c>
      <c r="O151" s="146">
        <f>'[2]Ukraine Sun Meal Exports'!GN$290</f>
        <v>161.99199999999999</v>
      </c>
      <c r="P151" s="146">
        <f>'[2]Ukraine Sun Meal Exports'!GZ$290</f>
        <v>73.02</v>
      </c>
      <c r="Q151" s="146">
        <f>'[2]Ukraine Sun Meal Exports'!HL$290</f>
        <v>225.62899999999999</v>
      </c>
      <c r="R151" s="146">
        <f>'[2]Ukraine Sun Meal Exports'!HX$290</f>
        <v>230.648</v>
      </c>
      <c r="S151" s="146">
        <f>'[2]Ukraine Sun Meal Exports'!IJ$290</f>
        <v>248.203</v>
      </c>
      <c r="T151" s="146">
        <f>'[2]Ukraine Sun Meal Exports'!IV$290</f>
        <v>417.43700000000001</v>
      </c>
      <c r="U151" s="146">
        <f>'[2]Ukraine Sun Meal Exports'!JH$290</f>
        <v>170.297</v>
      </c>
      <c r="V151" s="146">
        <f>'[2]Ukraine Sun Meal Exports'!JT$290</f>
        <v>331.90499999999997</v>
      </c>
      <c r="W151" s="146">
        <f>'[2]Ukraine Sun Meal Exports'!KF$290</f>
        <v>269.48099999999999</v>
      </c>
      <c r="X151" s="146">
        <f>'[2]Ukraine Sun Meal Exports'!KR$290</f>
        <v>418.36200000000002</v>
      </c>
      <c r="Y151" s="146">
        <f>'[2]Ukraine Sun Meal Exports'!LD$290</f>
        <v>460.78500000000003</v>
      </c>
      <c r="Z151" s="253">
        <f t="shared" si="66"/>
        <v>426.68464670531756</v>
      </c>
      <c r="AA151" s="253">
        <f t="shared" si="65"/>
        <v>369.21571501102437</v>
      </c>
      <c r="AB151" s="253">
        <f t="shared" si="65"/>
        <v>390.88762443160897</v>
      </c>
      <c r="AC151" s="253">
        <f t="shared" si="65"/>
        <v>387.86984154689407</v>
      </c>
    </row>
    <row r="152" spans="1:29">
      <c r="A152" s="240" t="s">
        <v>235</v>
      </c>
      <c r="B152" s="290">
        <f t="shared" si="63"/>
        <v>0</v>
      </c>
      <c r="C152" s="290">
        <f t="shared" si="64"/>
        <v>0</v>
      </c>
      <c r="D152" s="290">
        <f t="shared" si="64"/>
        <v>0</v>
      </c>
      <c r="E152" s="290">
        <f t="shared" si="64"/>
        <v>0.85213462444810706</v>
      </c>
      <c r="F152" s="290">
        <f t="shared" si="64"/>
        <v>12.414468774214695</v>
      </c>
      <c r="G152" s="290">
        <f t="shared" si="64"/>
        <v>16.083687597710647</v>
      </c>
      <c r="H152" s="146">
        <f>'[2]Ukraine Sun Meal Exports'!DI$290</f>
        <v>25.3</v>
      </c>
      <c r="I152" s="146">
        <f>'[2]Ukraine Sun Meal Exports'!DU$290</f>
        <v>34.299999999999997</v>
      </c>
      <c r="J152" s="146">
        <f>'[2]Ukraine Sun Meal Exports'!EG$290</f>
        <v>34.298999999999999</v>
      </c>
      <c r="K152" s="146">
        <f>'[2]Ukraine Sun Meal Exports'!ES$290</f>
        <v>77.114999999999995</v>
      </c>
      <c r="L152" s="146">
        <f>'[2]Ukraine Sun Meal Exports'!FE$290</f>
        <v>110.794</v>
      </c>
      <c r="M152" s="146">
        <f>'[2]Ukraine Sun Meal Exports'!FQ$290</f>
        <v>72.322000000000003</v>
      </c>
      <c r="N152" s="146">
        <f>'[2]Ukraine Sun Meal Exports'!GC$290</f>
        <v>122.73</v>
      </c>
      <c r="O152" s="146">
        <f>'[2]Ukraine Sun Meal Exports'!GO$290</f>
        <v>112.628</v>
      </c>
      <c r="P152" s="146">
        <f>'[2]Ukraine Sun Meal Exports'!HA$290</f>
        <v>56.366999999999997</v>
      </c>
      <c r="Q152" s="146">
        <f>'[2]Ukraine Sun Meal Exports'!HM$290</f>
        <v>224.05600000000001</v>
      </c>
      <c r="R152" s="146">
        <f>'[2]Ukraine Sun Meal Exports'!HY$290</f>
        <v>240.886</v>
      </c>
      <c r="S152" s="146">
        <f>'[2]Ukraine Sun Meal Exports'!IK$290</f>
        <v>235.702</v>
      </c>
      <c r="T152" s="146">
        <f>'[2]Ukraine Sun Meal Exports'!IW$290</f>
        <v>336.85599999999999</v>
      </c>
      <c r="U152" s="146">
        <f>'[2]Ukraine Sun Meal Exports'!JI$290</f>
        <v>127.88</v>
      </c>
      <c r="V152" s="146">
        <f>'[2]Ukraine Sun Meal Exports'!JU$290</f>
        <v>312.42500000000001</v>
      </c>
      <c r="W152" s="146">
        <f>'[2]Ukraine Sun Meal Exports'!KG$290</f>
        <v>265.31900000000002</v>
      </c>
      <c r="X152" s="146">
        <f>'[2]Ukraine Sun Meal Exports'!KS$290</f>
        <v>382.44400000000002</v>
      </c>
      <c r="Y152" s="146">
        <f>'[2]Ukraine Sun Meal Exports'!LE$290</f>
        <v>392.00200000000001</v>
      </c>
      <c r="Z152" s="253">
        <f t="shared" si="66"/>
        <v>378.22706165414473</v>
      </c>
      <c r="AA152" s="253">
        <f t="shared" si="65"/>
        <v>331.02445637428855</v>
      </c>
      <c r="AB152" s="253">
        <f t="shared" si="65"/>
        <v>354.65203233326798</v>
      </c>
      <c r="AC152" s="253">
        <f t="shared" si="65"/>
        <v>348.87162001165456</v>
      </c>
    </row>
    <row r="153" spans="1:29">
      <c r="A153" s="240" t="s">
        <v>236</v>
      </c>
      <c r="B153" s="290">
        <f t="shared" si="63"/>
        <v>0</v>
      </c>
      <c r="C153" s="290">
        <f t="shared" si="64"/>
        <v>0</v>
      </c>
      <c r="D153" s="290">
        <f t="shared" si="64"/>
        <v>0</v>
      </c>
      <c r="E153" s="290">
        <f t="shared" si="64"/>
        <v>0.82582957803025225</v>
      </c>
      <c r="F153" s="290">
        <f t="shared" si="64"/>
        <v>11.280728572154578</v>
      </c>
      <c r="G153" s="290">
        <f t="shared" si="64"/>
        <v>15.327868218140077</v>
      </c>
      <c r="H153" s="146">
        <f>'[2]Ukraine Sun Meal Exports'!DJ$290</f>
        <v>25.8</v>
      </c>
      <c r="I153" s="146">
        <f>'[2]Ukraine Sun Meal Exports'!DV$290</f>
        <v>34.4</v>
      </c>
      <c r="J153" s="146">
        <f>'[2]Ukraine Sun Meal Exports'!EH$290</f>
        <v>34.624000000000002</v>
      </c>
      <c r="K153" s="146">
        <f>'[2]Ukraine Sun Meal Exports'!ET$290</f>
        <v>49.280999999999999</v>
      </c>
      <c r="L153" s="146">
        <f>'[2]Ukraine Sun Meal Exports'!FF$290</f>
        <v>82.754000000000005</v>
      </c>
      <c r="M153" s="146">
        <f>'[2]Ukraine Sun Meal Exports'!FR$290</f>
        <v>48.423000000000002</v>
      </c>
      <c r="N153" s="146">
        <f>'[2]Ukraine Sun Meal Exports'!GD$290</f>
        <v>119.35</v>
      </c>
      <c r="O153" s="146">
        <f>'[2]Ukraine Sun Meal Exports'!GP$290</f>
        <v>107.43600000000001</v>
      </c>
      <c r="P153" s="146">
        <f>'[2]Ukraine Sun Meal Exports'!HB$290</f>
        <v>82.691999999999993</v>
      </c>
      <c r="Q153" s="146">
        <f>'[2]Ukraine Sun Meal Exports'!HN$290</f>
        <v>198.75899999999999</v>
      </c>
      <c r="R153" s="146">
        <f>'[2]Ukraine Sun Meal Exports'!HZ$290</f>
        <v>225.072</v>
      </c>
      <c r="S153" s="146">
        <f>'[2]Ukraine Sun Meal Exports'!IL$290</f>
        <v>176.261</v>
      </c>
      <c r="T153" s="146">
        <f>'[2]Ukraine Sun Meal Exports'!IX$290</f>
        <v>359.67899999999997</v>
      </c>
      <c r="U153" s="146">
        <f>'[2]Ukraine Sun Meal Exports'!JJ$290</f>
        <v>133.761</v>
      </c>
      <c r="V153" s="146">
        <f>'[2]Ukraine Sun Meal Exports'!JV$290</f>
        <v>393.72199999999998</v>
      </c>
      <c r="W153" s="146">
        <f>'[2]Ukraine Sun Meal Exports'!KH$290</f>
        <v>245.35900000000001</v>
      </c>
      <c r="X153" s="146">
        <f>'[2]Ukraine Sun Meal Exports'!KT$290</f>
        <v>274.42399999999998</v>
      </c>
      <c r="Y153" s="146">
        <f>'[2]Ukraine Sun Meal Exports'!LF$290</f>
        <v>385.94200000000001</v>
      </c>
      <c r="Z153" s="253">
        <f t="shared" si="66"/>
        <v>373.45477601541597</v>
      </c>
      <c r="AA153" s="253">
        <f t="shared" si="65"/>
        <v>320.54355474489813</v>
      </c>
      <c r="AB153" s="253">
        <f t="shared" si="65"/>
        <v>342.86417298189019</v>
      </c>
      <c r="AC153" s="253">
        <f t="shared" si="65"/>
        <v>319.09250954467984</v>
      </c>
    </row>
    <row r="154" spans="1:29">
      <c r="A154" s="240" t="s">
        <v>237</v>
      </c>
      <c r="B154" s="290">
        <f t="shared" si="63"/>
        <v>0</v>
      </c>
      <c r="C154" s="290">
        <f t="shared" si="64"/>
        <v>0</v>
      </c>
      <c r="D154" s="290">
        <f t="shared" si="64"/>
        <v>0</v>
      </c>
      <c r="E154" s="290">
        <f t="shared" si="64"/>
        <v>0.59918814504826479</v>
      </c>
      <c r="F154" s="290">
        <f t="shared" si="64"/>
        <v>7.9767521802860912</v>
      </c>
      <c r="G154" s="290">
        <f t="shared" si="64"/>
        <v>9.7786889140619913</v>
      </c>
      <c r="H154" s="146">
        <f>'[2]Ukraine Sun Meal Exports'!DK$290</f>
        <v>10.9</v>
      </c>
      <c r="I154" s="146">
        <f>'[2]Ukraine Sun Meal Exports'!DW$290</f>
        <v>20.6</v>
      </c>
      <c r="J154" s="146">
        <f>'[2]Ukraine Sun Meal Exports'!EI$290</f>
        <v>6.585</v>
      </c>
      <c r="K154" s="146">
        <f>'[2]Ukraine Sun Meal Exports'!EU$290</f>
        <v>26.995999999999999</v>
      </c>
      <c r="L154" s="146">
        <f>'[2]Ukraine Sun Meal Exports'!FG$290</f>
        <v>59.771999999999998</v>
      </c>
      <c r="M154" s="146">
        <f>'[2]Ukraine Sun Meal Exports'!FS$290</f>
        <v>32.003999999999998</v>
      </c>
      <c r="N154" s="146">
        <f>'[2]Ukraine Sun Meal Exports'!GE$290</f>
        <v>97.216999999999999</v>
      </c>
      <c r="O154" s="146">
        <f>'[2]Ukraine Sun Meal Exports'!GQ$290</f>
        <v>92.174999999999997</v>
      </c>
      <c r="P154" s="146">
        <f>'[2]Ukraine Sun Meal Exports'!HC$290</f>
        <v>38.953000000000003</v>
      </c>
      <c r="Q154" s="146">
        <f>'[2]Ukraine Sun Meal Exports'!HO$290</f>
        <v>169.81</v>
      </c>
      <c r="R154" s="146">
        <f>'[2]Ukraine Sun Meal Exports'!IA$290</f>
        <v>133.904</v>
      </c>
      <c r="S154" s="146">
        <f>'[2]Ukraine Sun Meal Exports'!IM$290</f>
        <v>123.93300000000001</v>
      </c>
      <c r="T154" s="146">
        <f>'[2]Ukraine Sun Meal Exports'!IY$290</f>
        <v>198.458</v>
      </c>
      <c r="U154" s="146">
        <f>'[2]Ukraine Sun Meal Exports'!JK$290</f>
        <v>31.529</v>
      </c>
      <c r="V154" s="146">
        <f>'[2]Ukraine Sun Meal Exports'!JW$290</f>
        <v>176.90199999999999</v>
      </c>
      <c r="W154" s="146">
        <f>'[2]Ukraine Sun Meal Exports'!KI$290</f>
        <v>100.443</v>
      </c>
      <c r="X154" s="146">
        <f>'[2]Ukraine Sun Meal Exports'!KU$290</f>
        <v>94.998999999999995</v>
      </c>
      <c r="Y154" s="146">
        <f>'[2]Ukraine Sun Meal Exports'!LG$290</f>
        <v>217.245</v>
      </c>
      <c r="Z154" s="253">
        <f t="shared" si="66"/>
        <v>159.88072646204478</v>
      </c>
      <c r="AA154" s="253">
        <f t="shared" si="65"/>
        <v>138.91589471733454</v>
      </c>
      <c r="AB154" s="253">
        <f t="shared" si="65"/>
        <v>153.60514384199234</v>
      </c>
      <c r="AC154" s="253">
        <f t="shared" si="65"/>
        <v>141.91772403179394</v>
      </c>
    </row>
    <row r="155" spans="1:29">
      <c r="A155" s="240" t="s">
        <v>238</v>
      </c>
      <c r="B155" s="290">
        <f t="shared" si="63"/>
        <v>0</v>
      </c>
      <c r="C155" s="290">
        <f t="shared" si="64"/>
        <v>0</v>
      </c>
      <c r="D155" s="290">
        <f t="shared" si="64"/>
        <v>0</v>
      </c>
      <c r="E155" s="290">
        <f t="shared" si="64"/>
        <v>0.40622478438094234</v>
      </c>
      <c r="F155" s="290">
        <f t="shared" si="64"/>
        <v>6.5694519549056372</v>
      </c>
      <c r="G155" s="290">
        <f t="shared" si="64"/>
        <v>9.1146782693377109</v>
      </c>
      <c r="H155" s="146">
        <f>'[2]Ukraine Sun Meal Exports'!DL$290</f>
        <v>25.8</v>
      </c>
      <c r="I155" s="146">
        <f>'[2]Ukraine Sun Meal Exports'!DX$290</f>
        <v>17</v>
      </c>
      <c r="J155" s="146">
        <f>'[2]Ukraine Sun Meal Exports'!EJ$290</f>
        <v>33.945999999999998</v>
      </c>
      <c r="K155" s="146">
        <f>'[2]Ukraine Sun Meal Exports'!EV$290</f>
        <v>30.8</v>
      </c>
      <c r="L155" s="146">
        <f>'[2]Ukraine Sun Meal Exports'!FH$290</f>
        <v>32.457999999999998</v>
      </c>
      <c r="M155" s="146">
        <f>'[2]Ukraine Sun Meal Exports'!FT$290</f>
        <v>39.463000000000001</v>
      </c>
      <c r="N155" s="146">
        <f>'[2]Ukraine Sun Meal Exports'!GF$290</f>
        <v>44.353999999999999</v>
      </c>
      <c r="O155" s="146">
        <f>'[2]Ukraine Sun Meal Exports'!GR$290</f>
        <v>70.811999999999998</v>
      </c>
      <c r="P155" s="146">
        <f>'[2]Ukraine Sun Meal Exports'!HD$290</f>
        <v>42.469000000000001</v>
      </c>
      <c r="Q155" s="146">
        <f>'[2]Ukraine Sun Meal Exports'!HP$290</f>
        <v>101.43899999999999</v>
      </c>
      <c r="R155" s="146">
        <f>'[2]Ukraine Sun Meal Exports'!IB$290</f>
        <v>101.64</v>
      </c>
      <c r="S155" s="146">
        <f>'[2]Ukraine Sun Meal Exports'!IN$290</f>
        <v>143.833</v>
      </c>
      <c r="T155" s="146">
        <f>'[2]Ukraine Sun Meal Exports'!IZ$290</f>
        <v>230.517</v>
      </c>
      <c r="U155" s="146">
        <f>'[2]Ukraine Sun Meal Exports'!JL$290</f>
        <v>149.22999999999999</v>
      </c>
      <c r="V155" s="146">
        <f>'[2]Ukraine Sun Meal Exports'!JX$290</f>
        <v>189.21</v>
      </c>
      <c r="W155" s="146">
        <f>'[2]Ukraine Sun Meal Exports'!KJ$290</f>
        <v>146.95099999999999</v>
      </c>
      <c r="X155" s="146">
        <f>'[2]Ukraine Sun Meal Exports'!KV$290</f>
        <v>175.172</v>
      </c>
      <c r="Y155" s="146">
        <f>'[2]Ukraine Sun Meal Exports'!LH$290</f>
        <v>194.803</v>
      </c>
      <c r="Z155" s="253">
        <f>Z156-SUM(Z144:Z154)</f>
        <v>692.4702844229887</v>
      </c>
      <c r="AA155" s="253">
        <f>AA156-SUM(AA144:AA154)</f>
        <v>912.7357558851636</v>
      </c>
      <c r="AB155" s="253">
        <f>AB156-SUM(AB144:AB154)</f>
        <v>921.19293255153116</v>
      </c>
      <c r="AC155" s="253">
        <f>AC156-SUM(AC144:AC154)</f>
        <v>930.2259392617907</v>
      </c>
    </row>
    <row r="156" spans="1:29" ht="15.75" thickBot="1">
      <c r="A156" s="240" t="s">
        <v>242</v>
      </c>
      <c r="B156" s="146">
        <f t="shared" ref="B156:G156" si="67">B27</f>
        <v>0</v>
      </c>
      <c r="C156" s="146">
        <f t="shared" si="67"/>
        <v>0</v>
      </c>
      <c r="D156" s="146">
        <f t="shared" si="67"/>
        <v>0</v>
      </c>
      <c r="E156" s="146">
        <f t="shared" si="67"/>
        <v>10</v>
      </c>
      <c r="F156" s="146">
        <f t="shared" si="67"/>
        <v>150</v>
      </c>
      <c r="G156" s="146">
        <f t="shared" si="67"/>
        <v>190</v>
      </c>
      <c r="H156" s="242">
        <f t="shared" ref="H156:Y156" si="68">SUM(H144:H155)</f>
        <v>346.94143700000006</v>
      </c>
      <c r="I156" s="242">
        <f t="shared" si="68"/>
        <v>434.7000000000001</v>
      </c>
      <c r="J156" s="242">
        <f t="shared" si="68"/>
        <v>601.94100000000014</v>
      </c>
      <c r="K156" s="242">
        <f t="shared" si="68"/>
        <v>845.22899999999993</v>
      </c>
      <c r="L156" s="242">
        <f t="shared" si="68"/>
        <v>1090.8230000000001</v>
      </c>
      <c r="M156" s="242">
        <f t="shared" si="68"/>
        <v>868.51299999999992</v>
      </c>
      <c r="N156" s="242">
        <f t="shared" si="68"/>
        <v>1341.6310000000001</v>
      </c>
      <c r="O156" s="242">
        <f t="shared" si="68"/>
        <v>1509.6359999999997</v>
      </c>
      <c r="P156" s="242">
        <f t="shared" si="68"/>
        <v>1244.4639999999999</v>
      </c>
      <c r="Q156" s="242">
        <f t="shared" si="68"/>
        <v>2268.2339999999995</v>
      </c>
      <c r="R156" s="242">
        <f t="shared" si="68"/>
        <v>2515.6999999999998</v>
      </c>
      <c r="S156" s="242">
        <f t="shared" si="68"/>
        <v>2969.5320000000002</v>
      </c>
      <c r="T156" s="242">
        <f t="shared" si="68"/>
        <v>3924.1519999999996</v>
      </c>
      <c r="U156" s="242">
        <f t="shared" si="68"/>
        <v>2971.154</v>
      </c>
      <c r="V156" s="242">
        <f t="shared" si="68"/>
        <v>3687.9790000000003</v>
      </c>
      <c r="W156" s="242">
        <f t="shared" si="68"/>
        <v>3351.6930000000002</v>
      </c>
      <c r="X156" s="242">
        <f t="shared" si="68"/>
        <v>3845.5249999999996</v>
      </c>
      <c r="Y156" s="242">
        <f t="shared" si="68"/>
        <v>4826.7919999999995</v>
      </c>
      <c r="Z156" s="243">
        <f>Z27</f>
        <v>5100</v>
      </c>
      <c r="AA156" s="243">
        <f>AA27</f>
        <v>4900</v>
      </c>
      <c r="AB156" s="243">
        <f>AB27</f>
        <v>4900</v>
      </c>
      <c r="AC156" s="243">
        <f>AC27</f>
        <v>4900</v>
      </c>
    </row>
    <row r="157" spans="1:29">
      <c r="A157" s="248"/>
      <c r="B157" s="248"/>
      <c r="C157" s="248"/>
      <c r="D157" s="248"/>
      <c r="E157" s="248"/>
      <c r="F157" s="263"/>
      <c r="G157" s="263"/>
      <c r="H157" s="263"/>
      <c r="I157" s="263"/>
      <c r="J157" s="263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</row>
    <row r="158" spans="1:29" ht="15.75" thickBot="1">
      <c r="A158" s="240" t="s">
        <v>258</v>
      </c>
      <c r="D158" s="264"/>
      <c r="E158" s="264"/>
      <c r="F158" s="264"/>
      <c r="G158" s="264"/>
      <c r="H158" s="264"/>
      <c r="I158" s="264"/>
      <c r="J158" s="264"/>
    </row>
    <row r="159" spans="1:29" ht="15.75" thickBot="1">
      <c r="A159" s="236"/>
      <c r="B159" s="237" t="str">
        <f>B$2</f>
        <v xml:space="preserve">93/94 </v>
      </c>
      <c r="C159" s="237" t="str">
        <f t="shared" ref="C159:AC159" si="69">C$2</f>
        <v xml:space="preserve">94/95 </v>
      </c>
      <c r="D159" s="237" t="str">
        <f t="shared" si="69"/>
        <v xml:space="preserve">95/96 </v>
      </c>
      <c r="E159" s="237" t="str">
        <f t="shared" si="69"/>
        <v xml:space="preserve">96/97 </v>
      </c>
      <c r="F159" s="237" t="str">
        <f t="shared" si="69"/>
        <v xml:space="preserve">97/98 </v>
      </c>
      <c r="G159" s="237" t="str">
        <f t="shared" si="69"/>
        <v xml:space="preserve">98/99 </v>
      </c>
      <c r="H159" s="237" t="str">
        <f t="shared" si="69"/>
        <v xml:space="preserve">99/00 </v>
      </c>
      <c r="I159" s="237" t="str">
        <f t="shared" si="69"/>
        <v xml:space="preserve">00/01 </v>
      </c>
      <c r="J159" s="237" t="str">
        <f t="shared" si="69"/>
        <v xml:space="preserve">01/02 </v>
      </c>
      <c r="K159" s="237" t="str">
        <f t="shared" si="69"/>
        <v xml:space="preserve">02/03 </v>
      </c>
      <c r="L159" s="237" t="str">
        <f t="shared" si="69"/>
        <v xml:space="preserve">03/04 </v>
      </c>
      <c r="M159" s="237" t="str">
        <f t="shared" si="69"/>
        <v xml:space="preserve">04/05 </v>
      </c>
      <c r="N159" s="237" t="str">
        <f t="shared" si="69"/>
        <v xml:space="preserve">05/06 </v>
      </c>
      <c r="O159" s="237" t="str">
        <f t="shared" si="69"/>
        <v xml:space="preserve">06/07 </v>
      </c>
      <c r="P159" s="237" t="str">
        <f t="shared" si="69"/>
        <v xml:space="preserve">07/08 </v>
      </c>
      <c r="Q159" s="237" t="str">
        <f t="shared" si="69"/>
        <v xml:space="preserve">08/09 </v>
      </c>
      <c r="R159" s="237" t="str">
        <f t="shared" si="69"/>
        <v xml:space="preserve">09/10 </v>
      </c>
      <c r="S159" s="237" t="str">
        <f t="shared" si="69"/>
        <v xml:space="preserve">10/11 </v>
      </c>
      <c r="T159" s="237" t="str">
        <f t="shared" si="69"/>
        <v xml:space="preserve">11/12 </v>
      </c>
      <c r="U159" s="237" t="str">
        <f t="shared" si="69"/>
        <v xml:space="preserve">12/13 </v>
      </c>
      <c r="V159" s="237" t="str">
        <f t="shared" si="69"/>
        <v xml:space="preserve">13/14 </v>
      </c>
      <c r="W159" s="237" t="str">
        <f t="shared" si="69"/>
        <v xml:space="preserve">14/15 </v>
      </c>
      <c r="X159" s="237" t="str">
        <f t="shared" si="69"/>
        <v xml:space="preserve">15/16 </v>
      </c>
      <c r="Y159" s="237" t="str">
        <f t="shared" si="69"/>
        <v xml:space="preserve">16/17 </v>
      </c>
      <c r="Z159" s="237" t="str">
        <f t="shared" si="69"/>
        <v xml:space="preserve">17/18 </v>
      </c>
      <c r="AA159" s="237" t="str">
        <f t="shared" si="69"/>
        <v xml:space="preserve">18/19 </v>
      </c>
      <c r="AB159" s="237" t="str">
        <f t="shared" si="69"/>
        <v xml:space="preserve">19/20 </v>
      </c>
      <c r="AC159" s="237" t="str">
        <f t="shared" si="69"/>
        <v xml:space="preserve">20/21 </v>
      </c>
    </row>
    <row r="160" spans="1:29">
      <c r="A160" s="240" t="s">
        <v>239</v>
      </c>
      <c r="B160" s="290">
        <f t="shared" ref="B160:Y160" si="70">B22+B96+B131-B144-B176</f>
        <v>101.25014019372412</v>
      </c>
      <c r="C160" s="290">
        <f t="shared" si="70"/>
        <v>49.351406604956793</v>
      </c>
      <c r="D160" s="290">
        <f t="shared" si="70"/>
        <v>36.874869043791755</v>
      </c>
      <c r="E160" s="290">
        <f t="shared" si="70"/>
        <v>41.771744524714173</v>
      </c>
      <c r="F160" s="290">
        <f t="shared" si="70"/>
        <v>7.494331445682775</v>
      </c>
      <c r="G160" s="290">
        <f t="shared" si="70"/>
        <v>32.685023637914341</v>
      </c>
      <c r="H160" s="290">
        <f t="shared" si="70"/>
        <v>6.1949751799665895</v>
      </c>
      <c r="I160" s="290">
        <f t="shared" si="70"/>
        <v>35.079750028998959</v>
      </c>
      <c r="J160" s="290">
        <f t="shared" si="70"/>
        <v>-6.3599943293965566E-2</v>
      </c>
      <c r="K160" s="290">
        <f t="shared" si="70"/>
        <v>-4.1102072880540774</v>
      </c>
      <c r="L160" s="290">
        <f t="shared" si="70"/>
        <v>-18.705053511705682</v>
      </c>
      <c r="M160" s="290">
        <f t="shared" si="70"/>
        <v>-26.701250000000002</v>
      </c>
      <c r="N160" s="290">
        <f t="shared" si="70"/>
        <v>-28.051020588107562</v>
      </c>
      <c r="O160" s="290">
        <f t="shared" si="70"/>
        <v>-66.021329669711349</v>
      </c>
      <c r="P160" s="290">
        <f t="shared" si="70"/>
        <v>-4.3680954493964448</v>
      </c>
      <c r="Q160" s="290">
        <f t="shared" si="70"/>
        <v>-44.282648615131073</v>
      </c>
      <c r="R160" s="290">
        <f t="shared" si="70"/>
        <v>-61.93424083180458</v>
      </c>
      <c r="S160" s="290">
        <f t="shared" si="70"/>
        <v>-73.741539041477751</v>
      </c>
      <c r="T160" s="290">
        <f t="shared" si="70"/>
        <v>-48.972831004301426</v>
      </c>
      <c r="U160" s="290">
        <f t="shared" si="70"/>
        <v>-115.03158394013448</v>
      </c>
      <c r="V160" s="290">
        <f t="shared" si="70"/>
        <v>-23.402279354205138</v>
      </c>
      <c r="W160" s="290">
        <f t="shared" si="70"/>
        <v>-14.420271426600948</v>
      </c>
      <c r="X160" s="290">
        <f t="shared" si="70"/>
        <v>-77.914730934301701</v>
      </c>
      <c r="Y160" s="290">
        <f t="shared" si="70"/>
        <v>25.179593121449386</v>
      </c>
      <c r="Z160" s="253">
        <f>Y187+Z96+Z128-Z144-Z176</f>
        <v>-213.39864102564104</v>
      </c>
      <c r="AA160" s="253">
        <f>AA22+AA96+AA128-AA144-AA176</f>
        <v>19.795270271988386</v>
      </c>
      <c r="AB160" s="253">
        <f>AB22+AB96+AB128-AB144-AB176</f>
        <v>-12.423674010959303</v>
      </c>
      <c r="AC160" s="253">
        <f>AC22+AC96+AC128-AC144-AC176</f>
        <v>-9.4960717441684324</v>
      </c>
    </row>
    <row r="161" spans="1:29">
      <c r="A161" s="240" t="s">
        <v>240</v>
      </c>
      <c r="B161" s="290">
        <f t="shared" ref="B161:Y168" si="71">B176+B97+B132-B145-B177</f>
        <v>115.91659583178696</v>
      </c>
      <c r="C161" s="290">
        <f t="shared" si="71"/>
        <v>83.166685060515761</v>
      </c>
      <c r="D161" s="290">
        <f t="shared" si="71"/>
        <v>110.6307035619665</v>
      </c>
      <c r="E161" s="290">
        <f t="shared" si="71"/>
        <v>77.041682955726486</v>
      </c>
      <c r="F161" s="290">
        <f t="shared" si="71"/>
        <v>74.571351176033232</v>
      </c>
      <c r="G161" s="290">
        <f t="shared" si="71"/>
        <v>79.38594747471916</v>
      </c>
      <c r="H161" s="290">
        <f t="shared" si="71"/>
        <v>71.676507135875781</v>
      </c>
      <c r="I161" s="290">
        <f t="shared" si="71"/>
        <v>79.932837221404895</v>
      </c>
      <c r="J161" s="290">
        <f t="shared" si="71"/>
        <v>25.500088737429778</v>
      </c>
      <c r="K161" s="290">
        <f t="shared" si="71"/>
        <v>65.774266561168091</v>
      </c>
      <c r="L161" s="290">
        <f t="shared" si="71"/>
        <v>29.33134965034963</v>
      </c>
      <c r="M161" s="290">
        <f t="shared" si="71"/>
        <v>17.062035573122529</v>
      </c>
      <c r="N161" s="290">
        <f t="shared" si="71"/>
        <v>35.616857142857128</v>
      </c>
      <c r="O161" s="290">
        <f t="shared" si="71"/>
        <v>43.492682926829275</v>
      </c>
      <c r="P161" s="290">
        <f t="shared" si="71"/>
        <v>9.3170143561174061</v>
      </c>
      <c r="Q161" s="290">
        <f t="shared" si="71"/>
        <v>23.800744116013234</v>
      </c>
      <c r="R161" s="290">
        <f t="shared" si="71"/>
        <v>9.3368042614662698</v>
      </c>
      <c r="S161" s="290">
        <f t="shared" si="71"/>
        <v>-35.458047976011983</v>
      </c>
      <c r="T161" s="290">
        <f t="shared" si="71"/>
        <v>20.787060207398241</v>
      </c>
      <c r="U161" s="290">
        <f t="shared" si="71"/>
        <v>-21.436695648496649</v>
      </c>
      <c r="V161" s="290">
        <f t="shared" si="71"/>
        <v>56.296851843470641</v>
      </c>
      <c r="W161" s="290">
        <f t="shared" si="71"/>
        <v>33.530302481893727</v>
      </c>
      <c r="X161" s="290">
        <f t="shared" si="71"/>
        <v>-16.71287194841085</v>
      </c>
      <c r="Y161" s="290">
        <f t="shared" si="71"/>
        <v>-30.744864721485555</v>
      </c>
      <c r="Z161" s="253">
        <f t="shared" ref="Z161:AC171" si="72">Z176+Z97+Z129-Z145-Z177</f>
        <v>-13.380307692307724</v>
      </c>
      <c r="AA161" s="253">
        <f t="shared" si="72"/>
        <v>88.066290036666999</v>
      </c>
      <c r="AB161" s="253">
        <f t="shared" si="72"/>
        <v>80.13996966806701</v>
      </c>
      <c r="AC161" s="253">
        <f t="shared" si="72"/>
        <v>76.703065249037991</v>
      </c>
    </row>
    <row r="162" spans="1:29">
      <c r="A162" s="240" t="s">
        <v>241</v>
      </c>
      <c r="B162" s="290">
        <f t="shared" si="71"/>
        <v>111.10646259456905</v>
      </c>
      <c r="C162" s="290">
        <f t="shared" si="71"/>
        <v>79.870507302358092</v>
      </c>
      <c r="D162" s="290">
        <f t="shared" si="71"/>
        <v>106.63821018545778</v>
      </c>
      <c r="E162" s="290">
        <f t="shared" si="71"/>
        <v>82.028843983624654</v>
      </c>
      <c r="F162" s="290">
        <f t="shared" si="71"/>
        <v>81.832387777485579</v>
      </c>
      <c r="G162" s="290">
        <f t="shared" si="71"/>
        <v>67.242204899697128</v>
      </c>
      <c r="H162" s="290">
        <f t="shared" si="71"/>
        <v>54.90993495916166</v>
      </c>
      <c r="I162" s="290">
        <f t="shared" si="71"/>
        <v>76.294131758084404</v>
      </c>
      <c r="J162" s="290">
        <f t="shared" si="71"/>
        <v>28.791019082243096</v>
      </c>
      <c r="K162" s="290">
        <f t="shared" si="71"/>
        <v>49.914561573701612</v>
      </c>
      <c r="L162" s="290">
        <f t="shared" si="71"/>
        <v>8.5472890442890268</v>
      </c>
      <c r="M162" s="290">
        <f t="shared" si="71"/>
        <v>23.007620553359686</v>
      </c>
      <c r="N162" s="290">
        <f t="shared" si="71"/>
        <v>39.132623376623357</v>
      </c>
      <c r="O162" s="290">
        <f t="shared" si="71"/>
        <v>47.387853658536585</v>
      </c>
      <c r="P162" s="290">
        <f t="shared" si="71"/>
        <v>37.075546389543618</v>
      </c>
      <c r="Q162" s="290">
        <f t="shared" si="71"/>
        <v>26.535848639008286</v>
      </c>
      <c r="R162" s="290">
        <f t="shared" si="71"/>
        <v>12.797968580715064</v>
      </c>
      <c r="S162" s="290">
        <f t="shared" si="71"/>
        <v>23.641175412293876</v>
      </c>
      <c r="T162" s="290">
        <f t="shared" si="71"/>
        <v>12.763056183253511</v>
      </c>
      <c r="U162" s="290">
        <f t="shared" si="71"/>
        <v>-35.671388886539511</v>
      </c>
      <c r="V162" s="290">
        <f t="shared" si="71"/>
        <v>-6.5424831008453452</v>
      </c>
      <c r="W162" s="290">
        <f t="shared" si="71"/>
        <v>-47.349308265453146</v>
      </c>
      <c r="X162" s="290">
        <f t="shared" si="71"/>
        <v>-111.59009350529726</v>
      </c>
      <c r="Y162" s="290">
        <f t="shared" si="71"/>
        <v>29.599008841732939</v>
      </c>
      <c r="Z162" s="253">
        <f t="shared" si="72"/>
        <v>112.24473881932005</v>
      </c>
      <c r="AA162" s="253">
        <f t="shared" si="72"/>
        <v>43.113357948761177</v>
      </c>
      <c r="AB162" s="253">
        <f t="shared" si="72"/>
        <v>69.02744746639064</v>
      </c>
      <c r="AC162" s="253">
        <f t="shared" si="72"/>
        <v>69.602448170822356</v>
      </c>
    </row>
    <row r="163" spans="1:29">
      <c r="A163" s="240" t="s">
        <v>231</v>
      </c>
      <c r="B163" s="290">
        <f t="shared" si="71"/>
        <v>105.56903751405731</v>
      </c>
      <c r="C163" s="290">
        <f t="shared" si="71"/>
        <v>75.297060662914319</v>
      </c>
      <c r="D163" s="290">
        <f t="shared" si="71"/>
        <v>116.03988813659113</v>
      </c>
      <c r="E163" s="290">
        <f t="shared" si="71"/>
        <v>69.003703464204506</v>
      </c>
      <c r="F163" s="290">
        <f t="shared" si="71"/>
        <v>58.565643567745312</v>
      </c>
      <c r="G163" s="290">
        <f t="shared" si="71"/>
        <v>62.96176799570874</v>
      </c>
      <c r="H163" s="290">
        <f t="shared" si="71"/>
        <v>73.817088967233644</v>
      </c>
      <c r="I163" s="290">
        <f t="shared" si="71"/>
        <v>67.602927927727237</v>
      </c>
      <c r="J163" s="290">
        <f t="shared" si="71"/>
        <v>27.988934935671509</v>
      </c>
      <c r="K163" s="290">
        <f t="shared" si="71"/>
        <v>33.890633403591835</v>
      </c>
      <c r="L163" s="290">
        <f t="shared" si="71"/>
        <v>33.441319347319322</v>
      </c>
      <c r="M163" s="290">
        <f t="shared" si="71"/>
        <v>24.275980237154144</v>
      </c>
      <c r="N163" s="290">
        <f t="shared" si="71"/>
        <v>63.662064935064919</v>
      </c>
      <c r="O163" s="290">
        <f t="shared" si="71"/>
        <v>32.327926829268307</v>
      </c>
      <c r="P163" s="290">
        <f t="shared" si="71"/>
        <v>46.692524105421072</v>
      </c>
      <c r="Q163" s="290">
        <f t="shared" si="71"/>
        <v>34.564344648130231</v>
      </c>
      <c r="R163" s="290">
        <f t="shared" si="71"/>
        <v>76.136081256771448</v>
      </c>
      <c r="S163" s="290">
        <f t="shared" si="71"/>
        <v>11.721977511244404</v>
      </c>
      <c r="T163" s="290">
        <f t="shared" si="71"/>
        <v>11.639704070577352</v>
      </c>
      <c r="U163" s="290">
        <f t="shared" si="71"/>
        <v>-29.976587347232218</v>
      </c>
      <c r="V163" s="290">
        <f t="shared" si="71"/>
        <v>32.876979601402965</v>
      </c>
      <c r="W163" s="290">
        <f t="shared" si="71"/>
        <v>62.906400923980016</v>
      </c>
      <c r="X163" s="290">
        <f t="shared" si="71"/>
        <v>127.76174481805629</v>
      </c>
      <c r="Y163" s="290">
        <f t="shared" si="71"/>
        <v>88.550813439434137</v>
      </c>
      <c r="Z163" s="253">
        <f t="shared" si="72"/>
        <v>74.821762075134245</v>
      </c>
      <c r="AA163" s="253">
        <f t="shared" si="72"/>
        <v>144.91358625230288</v>
      </c>
      <c r="AB163" s="253">
        <f t="shared" si="72"/>
        <v>153.92475000427072</v>
      </c>
      <c r="AC163" s="253">
        <f t="shared" si="72"/>
        <v>164.35283563789227</v>
      </c>
    </row>
    <row r="164" spans="1:29">
      <c r="A164" s="240" t="s">
        <v>232</v>
      </c>
      <c r="B164" s="290">
        <f t="shared" si="71"/>
        <v>77.083647760510416</v>
      </c>
      <c r="C164" s="290">
        <f t="shared" si="71"/>
        <v>54.283927454659164</v>
      </c>
      <c r="D164" s="290">
        <f t="shared" si="71"/>
        <v>89.766705916985615</v>
      </c>
      <c r="E164" s="290">
        <f t="shared" si="71"/>
        <v>39.750529725486629</v>
      </c>
      <c r="F164" s="290">
        <f t="shared" si="71"/>
        <v>42.44669178893794</v>
      </c>
      <c r="G164" s="290">
        <f t="shared" si="71"/>
        <v>39.978802125444908</v>
      </c>
      <c r="H164" s="290">
        <f t="shared" si="71"/>
        <v>44.379489299423554</v>
      </c>
      <c r="I164" s="290">
        <f t="shared" si="71"/>
        <v>73.182974070602953</v>
      </c>
      <c r="J164" s="290">
        <f t="shared" si="71"/>
        <v>23.879182106096586</v>
      </c>
      <c r="K164" s="290">
        <f t="shared" si="71"/>
        <v>32.400153846153863</v>
      </c>
      <c r="L164" s="290">
        <f t="shared" si="71"/>
        <v>34.671955710955714</v>
      </c>
      <c r="M164" s="290">
        <f t="shared" si="71"/>
        <v>40.352636363636364</v>
      </c>
      <c r="N164" s="290">
        <f t="shared" si="71"/>
        <v>53.886324675324659</v>
      </c>
      <c r="O164" s="290">
        <f t="shared" si="71"/>
        <v>67.981902439024424</v>
      </c>
      <c r="P164" s="290">
        <f t="shared" si="71"/>
        <v>57.092811013499009</v>
      </c>
      <c r="Q164" s="290">
        <f t="shared" si="71"/>
        <v>31.858679501798072</v>
      </c>
      <c r="R164" s="290">
        <f t="shared" si="71"/>
        <v>60.384663416395824</v>
      </c>
      <c r="S164" s="290">
        <f t="shared" si="71"/>
        <v>-6.2025427286356489</v>
      </c>
      <c r="T164" s="290">
        <f t="shared" si="71"/>
        <v>13.4960420987464</v>
      </c>
      <c r="U164" s="290">
        <f t="shared" si="71"/>
        <v>18.588963504884344</v>
      </c>
      <c r="V164" s="290">
        <f t="shared" si="71"/>
        <v>59.069419819936314</v>
      </c>
      <c r="W164" s="290">
        <f t="shared" si="71"/>
        <v>-20.283520728763278</v>
      </c>
      <c r="X164" s="290">
        <f t="shared" si="71"/>
        <v>-81.045668355596547</v>
      </c>
      <c r="Y164" s="290">
        <f t="shared" si="71"/>
        <v>1.4186870026525753</v>
      </c>
      <c r="Z164" s="253">
        <f t="shared" si="72"/>
        <v>96.169343470482943</v>
      </c>
      <c r="AA164" s="253">
        <f t="shared" si="72"/>
        <v>70.400130172521472</v>
      </c>
      <c r="AB164" s="253">
        <f t="shared" si="72"/>
        <v>78.331189201425843</v>
      </c>
      <c r="AC164" s="253">
        <f t="shared" si="72"/>
        <v>70.984965649584126</v>
      </c>
    </row>
    <row r="165" spans="1:29">
      <c r="A165" s="240" t="s">
        <v>233</v>
      </c>
      <c r="B165" s="290">
        <f t="shared" si="71"/>
        <v>70.51391023622962</v>
      </c>
      <c r="C165" s="290">
        <f t="shared" si="71"/>
        <v>50.040098591031168</v>
      </c>
      <c r="D165" s="290">
        <f t="shared" si="71"/>
        <v>76.243744480423928</v>
      </c>
      <c r="E165" s="290">
        <f t="shared" si="71"/>
        <v>45.840430672757577</v>
      </c>
      <c r="F165" s="290">
        <f t="shared" si="71"/>
        <v>23.726853471424164</v>
      </c>
      <c r="G165" s="290">
        <f t="shared" si="71"/>
        <v>30.53458579078821</v>
      </c>
      <c r="H165" s="290">
        <f t="shared" si="71"/>
        <v>47.48972796159962</v>
      </c>
      <c r="I165" s="290">
        <f t="shared" si="71"/>
        <v>55.123773820681052</v>
      </c>
      <c r="J165" s="290">
        <f t="shared" si="71"/>
        <v>32.883067300079176</v>
      </c>
      <c r="K165" s="290">
        <f t="shared" si="71"/>
        <v>7.5781538461538362</v>
      </c>
      <c r="L165" s="290">
        <f t="shared" si="71"/>
        <v>10.729258741258739</v>
      </c>
      <c r="M165" s="290">
        <f t="shared" si="71"/>
        <v>-1.9220553359683805</v>
      </c>
      <c r="N165" s="290">
        <f t="shared" si="71"/>
        <v>24.754324675324682</v>
      </c>
      <c r="O165" s="290">
        <f t="shared" si="71"/>
        <v>30.088658536585399</v>
      </c>
      <c r="P165" s="290">
        <f t="shared" si="71"/>
        <v>56.251682879794288</v>
      </c>
      <c r="Q165" s="290">
        <f t="shared" si="71"/>
        <v>-20.192886062626073</v>
      </c>
      <c r="R165" s="290">
        <f t="shared" si="71"/>
        <v>-33.082651137594738</v>
      </c>
      <c r="S165" s="290">
        <f t="shared" si="71"/>
        <v>-42.260767616191856</v>
      </c>
      <c r="T165" s="290">
        <f t="shared" si="71"/>
        <v>-55.137575607491129</v>
      </c>
      <c r="U165" s="290">
        <f t="shared" si="71"/>
        <v>38.963550640673205</v>
      </c>
      <c r="V165" s="290">
        <f t="shared" si="71"/>
        <v>-49.161946013222007</v>
      </c>
      <c r="W165" s="290">
        <f t="shared" si="71"/>
        <v>-8.655299234069048</v>
      </c>
      <c r="X165" s="290">
        <f t="shared" si="71"/>
        <v>-33.939460770766175</v>
      </c>
      <c r="Y165" s="290">
        <f t="shared" si="71"/>
        <v>-64.550818744473929</v>
      </c>
      <c r="Z165" s="253">
        <f t="shared" si="72"/>
        <v>1.489716064912102</v>
      </c>
      <c r="AA165" s="253">
        <f t="shared" si="72"/>
        <v>47.480051956679745</v>
      </c>
      <c r="AB165" s="253">
        <f t="shared" si="72"/>
        <v>33.530262054865716</v>
      </c>
      <c r="AC165" s="253">
        <f t="shared" si="72"/>
        <v>44.821787518012115</v>
      </c>
    </row>
    <row r="166" spans="1:29">
      <c r="A166" s="240" t="s">
        <v>234</v>
      </c>
      <c r="B166" s="290">
        <f t="shared" si="71"/>
        <v>64.403053337623561</v>
      </c>
      <c r="C166" s="290">
        <f t="shared" si="71"/>
        <v>45.240039730714052</v>
      </c>
      <c r="D166" s="290">
        <f t="shared" si="71"/>
        <v>85.259052104798386</v>
      </c>
      <c r="E166" s="290">
        <f t="shared" si="71"/>
        <v>34.510810811793725</v>
      </c>
      <c r="F166" s="290">
        <f t="shared" si="71"/>
        <v>17.086810675405662</v>
      </c>
      <c r="G166" s="290">
        <f t="shared" si="71"/>
        <v>25.189455263956223</v>
      </c>
      <c r="H166" s="290">
        <f t="shared" si="71"/>
        <v>46.572820467914532</v>
      </c>
      <c r="I166" s="290">
        <f t="shared" si="71"/>
        <v>60.242736644798519</v>
      </c>
      <c r="J166" s="290">
        <f t="shared" si="71"/>
        <v>22.902641330166261</v>
      </c>
      <c r="K166" s="290">
        <f t="shared" si="71"/>
        <v>54.961153846153827</v>
      </c>
      <c r="L166" s="290">
        <f t="shared" si="71"/>
        <v>20.888289044289035</v>
      </c>
      <c r="M166" s="290">
        <f t="shared" si="71"/>
        <v>24.187750988142298</v>
      </c>
      <c r="N166" s="290">
        <f t="shared" si="71"/>
        <v>41.289831168831142</v>
      </c>
      <c r="O166" s="290">
        <f t="shared" si="71"/>
        <v>53.742170731707347</v>
      </c>
      <c r="P166" s="290">
        <f t="shared" si="71"/>
        <v>68.564616027426609</v>
      </c>
      <c r="Q166" s="290">
        <f t="shared" si="71"/>
        <v>3.2074491711253685</v>
      </c>
      <c r="R166" s="290">
        <f t="shared" si="71"/>
        <v>38.40378548212351</v>
      </c>
      <c r="S166" s="290">
        <f t="shared" si="71"/>
        <v>13.915535232383775</v>
      </c>
      <c r="T166" s="290">
        <f t="shared" si="71"/>
        <v>-48.474205386163092</v>
      </c>
      <c r="U166" s="290">
        <f t="shared" si="71"/>
        <v>26.799014631877228</v>
      </c>
      <c r="V166" s="290">
        <f t="shared" si="71"/>
        <v>-1.7035929978825664</v>
      </c>
      <c r="W166" s="290">
        <f t="shared" si="71"/>
        <v>2.0692823870642201</v>
      </c>
      <c r="X166" s="290">
        <f t="shared" si="71"/>
        <v>14.501303700291771</v>
      </c>
      <c r="Y166" s="290">
        <f t="shared" si="71"/>
        <v>14.901664014146661</v>
      </c>
      <c r="Z166" s="253">
        <f t="shared" si="72"/>
        <v>67.525322948146368</v>
      </c>
      <c r="AA166" s="253">
        <f t="shared" si="72"/>
        <v>92.967508491771298</v>
      </c>
      <c r="AB166" s="253">
        <f t="shared" si="72"/>
        <v>92.892629141051088</v>
      </c>
      <c r="AC166" s="253">
        <f t="shared" si="72"/>
        <v>100.68281141675902</v>
      </c>
    </row>
    <row r="167" spans="1:29">
      <c r="A167" s="240" t="s">
        <v>46</v>
      </c>
      <c r="B167" s="290">
        <f t="shared" si="71"/>
        <v>59.327903945406284</v>
      </c>
      <c r="C167" s="290">
        <f t="shared" si="71"/>
        <v>41.222823087959391</v>
      </c>
      <c r="D167" s="290">
        <f t="shared" si="71"/>
        <v>77.016485133941728</v>
      </c>
      <c r="E167" s="290">
        <f t="shared" si="71"/>
        <v>27.51790608598343</v>
      </c>
      <c r="F167" s="290">
        <f t="shared" si="71"/>
        <v>10.622268889458983</v>
      </c>
      <c r="G167" s="290">
        <f t="shared" si="71"/>
        <v>21.342924223291796</v>
      </c>
      <c r="H167" s="290">
        <f t="shared" si="71"/>
        <v>52.328328878328882</v>
      </c>
      <c r="I167" s="290">
        <f t="shared" si="71"/>
        <v>45.799973255732503</v>
      </c>
      <c r="J167" s="290">
        <f t="shared" si="71"/>
        <v>31.629061835478026</v>
      </c>
      <c r="K167" s="290">
        <f t="shared" si="71"/>
        <v>47.862153846153845</v>
      </c>
      <c r="L167" s="290">
        <f t="shared" si="71"/>
        <v>3.8672890442890377</v>
      </c>
      <c r="M167" s="290">
        <f t="shared" si="71"/>
        <v>34.239122529644277</v>
      </c>
      <c r="N167" s="290">
        <f t="shared" si="71"/>
        <v>33.722298701298683</v>
      </c>
      <c r="O167" s="290">
        <f t="shared" si="71"/>
        <v>27.864097560975637</v>
      </c>
      <c r="P167" s="290">
        <f t="shared" si="71"/>
        <v>49.301632740518542</v>
      </c>
      <c r="Q167" s="290">
        <f t="shared" si="71"/>
        <v>7.0058273543256462</v>
      </c>
      <c r="R167" s="290">
        <f t="shared" si="71"/>
        <v>22.024733838930999</v>
      </c>
      <c r="S167" s="290">
        <f t="shared" si="71"/>
        <v>21.421682158920561</v>
      </c>
      <c r="T167" s="290">
        <f t="shared" si="71"/>
        <v>-98.904978021978081</v>
      </c>
      <c r="U167" s="290">
        <f t="shared" si="71"/>
        <v>69.347384065631971</v>
      </c>
      <c r="V167" s="290">
        <f t="shared" si="71"/>
        <v>18.101530137229872</v>
      </c>
      <c r="W167" s="290">
        <f t="shared" si="71"/>
        <v>13.58838534484255</v>
      </c>
      <c r="X167" s="290">
        <f t="shared" si="71"/>
        <v>-55.962107477353072</v>
      </c>
      <c r="Y167" s="290">
        <f t="shared" si="71"/>
        <v>-34.095117595048634</v>
      </c>
      <c r="Z167" s="253">
        <f t="shared" si="72"/>
        <v>29.651365239292033</v>
      </c>
      <c r="AA167" s="253">
        <f t="shared" si="72"/>
        <v>75.434969062049959</v>
      </c>
      <c r="AB167" s="253">
        <f t="shared" si="72"/>
        <v>61.168933728357501</v>
      </c>
      <c r="AC167" s="253">
        <f t="shared" si="72"/>
        <v>62.400942076507533</v>
      </c>
    </row>
    <row r="168" spans="1:29">
      <c r="A168" s="240" t="s">
        <v>235</v>
      </c>
      <c r="B168" s="290">
        <f t="shared" si="71"/>
        <v>47.652188222382136</v>
      </c>
      <c r="C168" s="290">
        <f t="shared" si="71"/>
        <v>33.105985358496113</v>
      </c>
      <c r="D168" s="290">
        <f t="shared" si="71"/>
        <v>73.410362084191959</v>
      </c>
      <c r="E168" s="290">
        <f t="shared" si="71"/>
        <v>16.521281629590149</v>
      </c>
      <c r="F168" s="290">
        <f t="shared" si="71"/>
        <v>4.4742311501995164</v>
      </c>
      <c r="G168" s="290">
        <f t="shared" si="71"/>
        <v>7.2639299270734945</v>
      </c>
      <c r="H168" s="290">
        <f t="shared" si="71"/>
        <v>41.255034155034153</v>
      </c>
      <c r="I168" s="290">
        <f t="shared" si="71"/>
        <v>21.43501100547833</v>
      </c>
      <c r="J168" s="290">
        <f t="shared" si="71"/>
        <v>27.818305532040576</v>
      </c>
      <c r="K168" s="290">
        <f t="shared" si="71"/>
        <v>40.731153846153831</v>
      </c>
      <c r="L168" s="290">
        <f t="shared" si="71"/>
        <v>13.909379953379958</v>
      </c>
      <c r="M168" s="290">
        <f t="shared" si="71"/>
        <v>25.800529644268764</v>
      </c>
      <c r="N168" s="290">
        <f t="shared" si="71"/>
        <v>55.210779220779202</v>
      </c>
      <c r="O168" s="290">
        <f t="shared" si="71"/>
        <v>92.539073170731697</v>
      </c>
      <c r="P168" s="290">
        <f t="shared" si="71"/>
        <v>52.453072851939147</v>
      </c>
      <c r="Q168" s="290">
        <f t="shared" si="71"/>
        <v>12.77351872642749</v>
      </c>
      <c r="R168" s="290">
        <f t="shared" si="71"/>
        <v>14.158564824846536</v>
      </c>
      <c r="S168" s="290">
        <f t="shared" si="71"/>
        <v>34.99497151424282</v>
      </c>
      <c r="T168" s="290">
        <f t="shared" si="71"/>
        <v>-9.7786319455192228</v>
      </c>
      <c r="U168" s="290">
        <f t="shared" si="71"/>
        <v>80.142613862223541</v>
      </c>
      <c r="V168" s="290">
        <f t="shared" si="71"/>
        <v>53.201618391064557</v>
      </c>
      <c r="W168" s="290">
        <f t="shared" si="71"/>
        <v>-1.4593685499418712</v>
      </c>
      <c r="X168" s="290">
        <f t="shared" si="71"/>
        <v>-45.971652387532686</v>
      </c>
      <c r="Y168" s="290">
        <f t="shared" si="71"/>
        <v>-23.839899204244034</v>
      </c>
      <c r="Z168" s="253">
        <f t="shared" si="72"/>
        <v>63.665464353077368</v>
      </c>
      <c r="AA168" s="253">
        <f t="shared" si="72"/>
        <v>82.391173869121872</v>
      </c>
      <c r="AB168" s="253">
        <f t="shared" si="72"/>
        <v>72.99596265672875</v>
      </c>
      <c r="AC168" s="253">
        <f t="shared" si="72"/>
        <v>67.267077104785187</v>
      </c>
    </row>
    <row r="169" spans="1:29">
      <c r="A169" s="240" t="s">
        <v>236</v>
      </c>
      <c r="B169" s="290">
        <f t="shared" ref="B169:Y171" si="73">B184+B105+C128-B153-B185</f>
        <v>36.526375795025992</v>
      </c>
      <c r="C169" s="290">
        <f t="shared" si="73"/>
        <v>25.73078762461833</v>
      </c>
      <c r="D169" s="290">
        <f t="shared" si="73"/>
        <v>52.803944657050351</v>
      </c>
      <c r="E169" s="290">
        <f t="shared" si="73"/>
        <v>16.410788122826602</v>
      </c>
      <c r="F169" s="290">
        <f t="shared" si="73"/>
        <v>-3.0962047626307658</v>
      </c>
      <c r="G169" s="290">
        <f t="shared" si="73"/>
        <v>-1.0598797307719909</v>
      </c>
      <c r="H169" s="290">
        <f t="shared" si="73"/>
        <v>34.22414612414611</v>
      </c>
      <c r="I169" s="290">
        <f t="shared" si="73"/>
        <v>8.9186239862118484</v>
      </c>
      <c r="J169" s="290">
        <f t="shared" si="73"/>
        <v>13.655100565973044</v>
      </c>
      <c r="K169" s="290">
        <f t="shared" si="73"/>
        <v>54.884153846153851</v>
      </c>
      <c r="L169" s="290">
        <f t="shared" si="73"/>
        <v>47.169076923076908</v>
      </c>
      <c r="M169" s="290">
        <f t="shared" si="73"/>
        <v>34.383324110671936</v>
      </c>
      <c r="N169" s="290">
        <f t="shared" si="73"/>
        <v>42.76948051948051</v>
      </c>
      <c r="O169" s="290">
        <f t="shared" si="73"/>
        <v>74.912780487804866</v>
      </c>
      <c r="P169" s="290">
        <f t="shared" si="73"/>
        <v>6.0715603171201984</v>
      </c>
      <c r="Q169" s="290">
        <f t="shared" si="73"/>
        <v>15.099696605560936</v>
      </c>
      <c r="R169" s="290">
        <f t="shared" si="73"/>
        <v>26.019513181654062</v>
      </c>
      <c r="S169" s="290">
        <f t="shared" si="73"/>
        <v>35.851112443778078</v>
      </c>
      <c r="T169" s="290">
        <f t="shared" si="73"/>
        <v>-42.445682247330041</v>
      </c>
      <c r="U169" s="290">
        <f t="shared" si="73"/>
        <v>28.311229035395591</v>
      </c>
      <c r="V169" s="290">
        <f t="shared" si="73"/>
        <v>-43.715469862770078</v>
      </c>
      <c r="W169" s="290">
        <f t="shared" si="73"/>
        <v>-10.224999392118434</v>
      </c>
      <c r="X169" s="290">
        <f t="shared" si="73"/>
        <v>21.716611085521322</v>
      </c>
      <c r="Y169" s="290">
        <f t="shared" si="73"/>
        <v>-74.757680813439492</v>
      </c>
      <c r="Z169" s="253">
        <f t="shared" si="72"/>
        <v>29.238964807190882</v>
      </c>
      <c r="AA169" s="253">
        <f t="shared" si="72"/>
        <v>43.364854864497318</v>
      </c>
      <c r="AB169" s="253">
        <f t="shared" si="72"/>
        <v>41.28334220869408</v>
      </c>
      <c r="AC169" s="253">
        <f t="shared" si="72"/>
        <v>47.575344435251054</v>
      </c>
    </row>
    <row r="170" spans="1:29">
      <c r="A170" s="240" t="s">
        <v>237</v>
      </c>
      <c r="B170" s="290">
        <f t="shared" si="73"/>
        <v>31.684441768124476</v>
      </c>
      <c r="C170" s="290">
        <f t="shared" si="73"/>
        <v>23.032042085126733</v>
      </c>
      <c r="D170" s="290">
        <f t="shared" si="73"/>
        <v>40.955254636443939</v>
      </c>
      <c r="E170" s="290">
        <f t="shared" si="73"/>
        <v>9.519576700557435</v>
      </c>
      <c r="F170" s="290">
        <f t="shared" si="73"/>
        <v>-0.56102184320743831</v>
      </c>
      <c r="G170" s="290">
        <f t="shared" si="73"/>
        <v>-0.90778131468843348</v>
      </c>
      <c r="H170" s="290">
        <f t="shared" si="73"/>
        <v>53.885873923373914</v>
      </c>
      <c r="I170" s="290">
        <f t="shared" si="73"/>
        <v>18.225738703866938</v>
      </c>
      <c r="J170" s="290">
        <f t="shared" si="73"/>
        <v>37.957697948767752</v>
      </c>
      <c r="K170" s="290">
        <f t="shared" si="73"/>
        <v>56.550153846153847</v>
      </c>
      <c r="L170" s="290">
        <f t="shared" si="73"/>
        <v>46.317743589743586</v>
      </c>
      <c r="M170" s="290">
        <f t="shared" si="73"/>
        <v>35.584932806324126</v>
      </c>
      <c r="N170" s="290">
        <f t="shared" si="73"/>
        <v>69.590272727272733</v>
      </c>
      <c r="O170" s="290">
        <f t="shared" si="73"/>
        <v>71.899390243902459</v>
      </c>
      <c r="P170" s="290">
        <f t="shared" si="73"/>
        <v>73.217824941075605</v>
      </c>
      <c r="Q170" s="290">
        <f t="shared" si="73"/>
        <v>34.298879045697753</v>
      </c>
      <c r="R170" s="290">
        <f t="shared" si="73"/>
        <v>84.377184543156403</v>
      </c>
      <c r="S170" s="290">
        <f t="shared" si="73"/>
        <v>38.840973013493226</v>
      </c>
      <c r="T170" s="290">
        <f t="shared" si="73"/>
        <v>91.866848939792604</v>
      </c>
      <c r="U170" s="290">
        <f t="shared" si="73"/>
        <v>120.95787994248741</v>
      </c>
      <c r="V170" s="290">
        <f t="shared" si="73"/>
        <v>114.52919918534923</v>
      </c>
      <c r="W170" s="290">
        <f t="shared" si="73"/>
        <v>98.103468207791366</v>
      </c>
      <c r="X170" s="290">
        <f t="shared" si="73"/>
        <v>103.30810809150927</v>
      </c>
      <c r="Y170" s="290">
        <f t="shared" si="73"/>
        <v>35.636537577365118</v>
      </c>
      <c r="Z170" s="253">
        <f>Z185+Z106+Z138-Z154-Z186</f>
        <v>178.73212205090073</v>
      </c>
      <c r="AA170" s="253">
        <f t="shared" si="72"/>
        <v>156.53122298296449</v>
      </c>
      <c r="AB170" s="253">
        <f t="shared" si="72"/>
        <v>155.45553832364863</v>
      </c>
      <c r="AC170" s="253">
        <f t="shared" si="72"/>
        <v>150.43244020097541</v>
      </c>
    </row>
    <row r="171" spans="1:29">
      <c r="A171" s="240" t="s">
        <v>238</v>
      </c>
      <c r="B171" s="290">
        <f t="shared" si="73"/>
        <v>14.011510394145891</v>
      </c>
      <c r="C171" s="290">
        <f t="shared" si="73"/>
        <v>10.238752161277271</v>
      </c>
      <c r="D171" s="290">
        <f t="shared" si="73"/>
        <v>10.174418604651166</v>
      </c>
      <c r="E171" s="290">
        <f t="shared" si="73"/>
        <v>10.995200393766323</v>
      </c>
      <c r="F171" s="290">
        <f t="shared" si="73"/>
        <v>0.49866602262245241</v>
      </c>
      <c r="G171" s="290">
        <f t="shared" si="73"/>
        <v>-4.7383638536467556</v>
      </c>
      <c r="H171" s="290">
        <f t="shared" si="73"/>
        <v>0.18304128304128042</v>
      </c>
      <c r="I171" s="290">
        <f t="shared" si="73"/>
        <v>0.25974251862421127</v>
      </c>
      <c r="J171" s="290">
        <f t="shared" si="73"/>
        <v>-14.144818532613971</v>
      </c>
      <c r="K171" s="290">
        <f t="shared" si="73"/>
        <v>-3.8076923076923102</v>
      </c>
      <c r="L171" s="290">
        <f t="shared" si="73"/>
        <v>26.479062937062935</v>
      </c>
      <c r="M171" s="290">
        <f t="shared" si="73"/>
        <v>11.920399209486163</v>
      </c>
      <c r="N171" s="290">
        <f t="shared" si="73"/>
        <v>66.590415584415581</v>
      </c>
      <c r="O171" s="290">
        <f t="shared" si="73"/>
        <v>34.191658536585365</v>
      </c>
      <c r="P171" s="290">
        <f t="shared" si="73"/>
        <v>31.877218127276628</v>
      </c>
      <c r="Q171" s="290">
        <f t="shared" si="73"/>
        <v>34.972901382919616</v>
      </c>
      <c r="R171" s="290">
        <f t="shared" si="73"/>
        <v>-17.195706031058094</v>
      </c>
      <c r="S171" s="290">
        <f t="shared" si="73"/>
        <v>-73.366793103448259</v>
      </c>
      <c r="T171" s="290">
        <f t="shared" si="73"/>
        <v>-99.439728679770951</v>
      </c>
      <c r="U171" s="290">
        <f t="shared" si="73"/>
        <v>-81.768788768131259</v>
      </c>
      <c r="V171" s="290">
        <f t="shared" si="73"/>
        <v>-61.282672022241258</v>
      </c>
      <c r="W171" s="290">
        <f t="shared" si="73"/>
        <v>-98.778389391597102</v>
      </c>
      <c r="X171" s="290">
        <f t="shared" si="73"/>
        <v>-121.31946046368785</v>
      </c>
      <c r="Y171" s="290">
        <f t="shared" si="73"/>
        <v>-4.0199363395224736</v>
      </c>
      <c r="Z171" s="253">
        <f>Z186+Z107+Z139-Z155-Z187</f>
        <v>-338.75985111050898</v>
      </c>
      <c r="AA171" s="253">
        <f t="shared" si="72"/>
        <v>-765.80245333432504</v>
      </c>
      <c r="AB171" s="253">
        <f t="shared" si="72"/>
        <v>-727.26502667793102</v>
      </c>
      <c r="AC171" s="253">
        <f t="shared" si="72"/>
        <v>-750.00520168282026</v>
      </c>
    </row>
    <row r="172" spans="1:29" ht="15.75" thickBot="1">
      <c r="A172" s="240" t="s">
        <v>242</v>
      </c>
      <c r="B172" s="146">
        <f>SUM(B160:B171)</f>
        <v>835.04526759358589</v>
      </c>
      <c r="C172" s="146">
        <f t="shared" ref="C172:AC172" si="74">SUM(C160:C171)</f>
        <v>570.58011572462715</v>
      </c>
      <c r="D172" s="146">
        <f t="shared" si="74"/>
        <v>875.81363854629421</v>
      </c>
      <c r="E172" s="146">
        <f t="shared" si="74"/>
        <v>470.91249907103162</v>
      </c>
      <c r="F172" s="146">
        <f t="shared" si="74"/>
        <v>317.66200935915742</v>
      </c>
      <c r="G172" s="146">
        <f t="shared" si="74"/>
        <v>359.87861643948685</v>
      </c>
      <c r="H172" s="146">
        <f t="shared" si="74"/>
        <v>526.91696833509968</v>
      </c>
      <c r="I172" s="146">
        <f t="shared" si="74"/>
        <v>542.09822094221181</v>
      </c>
      <c r="J172" s="146">
        <f t="shared" si="74"/>
        <v>258.79668089803783</v>
      </c>
      <c r="K172" s="146">
        <f t="shared" si="74"/>
        <v>436.62863886579208</v>
      </c>
      <c r="L172" s="146">
        <f t="shared" si="74"/>
        <v>256.64696047430823</v>
      </c>
      <c r="M172" s="146">
        <f t="shared" si="74"/>
        <v>242.19102667984188</v>
      </c>
      <c r="N172" s="146">
        <f t="shared" si="74"/>
        <v>498.17425213916511</v>
      </c>
      <c r="O172" s="146">
        <f t="shared" si="74"/>
        <v>510.40686545224003</v>
      </c>
      <c r="P172" s="146">
        <f t="shared" si="74"/>
        <v>483.54740830033575</v>
      </c>
      <c r="Q172" s="146">
        <f t="shared" si="74"/>
        <v>159.6423545132495</v>
      </c>
      <c r="R172" s="146">
        <f t="shared" si="74"/>
        <v>231.42670138560271</v>
      </c>
      <c r="S172" s="146">
        <f t="shared" si="74"/>
        <v>-50.642263179408758</v>
      </c>
      <c r="T172" s="146">
        <f t="shared" si="74"/>
        <v>-252.60092139278584</v>
      </c>
      <c r="U172" s="146">
        <f t="shared" si="74"/>
        <v>99.225591092639149</v>
      </c>
      <c r="V172" s="146">
        <f t="shared" si="74"/>
        <v>148.26715562728717</v>
      </c>
      <c r="W172" s="146">
        <f t="shared" si="74"/>
        <v>9.0266823570280508</v>
      </c>
      <c r="X172" s="146">
        <f t="shared" si="74"/>
        <v>-277.16827814756749</v>
      </c>
      <c r="Y172" s="146">
        <f t="shared" si="74"/>
        <v>-36.722013421433303</v>
      </c>
      <c r="Z172" s="253">
        <f t="shared" si="74"/>
        <v>87.999999999998977</v>
      </c>
      <c r="AA172" s="253">
        <f t="shared" si="74"/>
        <v>98.655962575000558</v>
      </c>
      <c r="AB172" s="253">
        <f t="shared" si="74"/>
        <v>99.06132376460971</v>
      </c>
      <c r="AC172" s="253">
        <f t="shared" si="74"/>
        <v>95.322444032638373</v>
      </c>
    </row>
    <row r="173" spans="1:29">
      <c r="A173" s="248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</row>
    <row r="174" spans="1:29" ht="15.75" thickBot="1">
      <c r="A174" s="240" t="s">
        <v>259</v>
      </c>
      <c r="Y174" s="146"/>
    </row>
    <row r="175" spans="1:29" ht="15.75" thickBot="1">
      <c r="A175" s="236"/>
      <c r="B175" s="237" t="str">
        <f>B$2</f>
        <v xml:space="preserve">93/94 </v>
      </c>
      <c r="C175" s="237" t="str">
        <f t="shared" ref="C175:AC175" si="75">C$2</f>
        <v xml:space="preserve">94/95 </v>
      </c>
      <c r="D175" s="237" t="str">
        <f t="shared" si="75"/>
        <v xml:space="preserve">95/96 </v>
      </c>
      <c r="E175" s="237" t="str">
        <f t="shared" si="75"/>
        <v xml:space="preserve">96/97 </v>
      </c>
      <c r="F175" s="237" t="str">
        <f t="shared" si="75"/>
        <v xml:space="preserve">97/98 </v>
      </c>
      <c r="G175" s="237" t="str">
        <f t="shared" si="75"/>
        <v xml:space="preserve">98/99 </v>
      </c>
      <c r="H175" s="237" t="str">
        <f t="shared" si="75"/>
        <v xml:space="preserve">99/00 </v>
      </c>
      <c r="I175" s="237" t="str">
        <f t="shared" si="75"/>
        <v xml:space="preserve">00/01 </v>
      </c>
      <c r="J175" s="237" t="str">
        <f t="shared" si="75"/>
        <v xml:space="preserve">01/02 </v>
      </c>
      <c r="K175" s="237" t="str">
        <f t="shared" si="75"/>
        <v xml:space="preserve">02/03 </v>
      </c>
      <c r="L175" s="237" t="str">
        <f t="shared" si="75"/>
        <v xml:space="preserve">03/04 </v>
      </c>
      <c r="M175" s="237" t="str">
        <f t="shared" si="75"/>
        <v xml:space="preserve">04/05 </v>
      </c>
      <c r="N175" s="237" t="str">
        <f t="shared" si="75"/>
        <v xml:space="preserve">05/06 </v>
      </c>
      <c r="O175" s="237" t="str">
        <f t="shared" si="75"/>
        <v xml:space="preserve">06/07 </v>
      </c>
      <c r="P175" s="237" t="str">
        <f t="shared" si="75"/>
        <v xml:space="preserve">07/08 </v>
      </c>
      <c r="Q175" s="237" t="str">
        <f t="shared" si="75"/>
        <v xml:space="preserve">08/09 </v>
      </c>
      <c r="R175" s="237" t="str">
        <f t="shared" si="75"/>
        <v xml:space="preserve">09/10 </v>
      </c>
      <c r="S175" s="237" t="str">
        <f t="shared" si="75"/>
        <v xml:space="preserve">10/11 </v>
      </c>
      <c r="T175" s="237" t="str">
        <f t="shared" si="75"/>
        <v xml:space="preserve">11/12 </v>
      </c>
      <c r="U175" s="237" t="str">
        <f t="shared" si="75"/>
        <v xml:space="preserve">12/13 </v>
      </c>
      <c r="V175" s="237" t="str">
        <f t="shared" si="75"/>
        <v xml:space="preserve">13/14 </v>
      </c>
      <c r="W175" s="237" t="str">
        <f t="shared" si="75"/>
        <v xml:space="preserve">14/15 </v>
      </c>
      <c r="X175" s="237" t="str">
        <f t="shared" si="75"/>
        <v xml:space="preserve">15/16 </v>
      </c>
      <c r="Y175" s="237" t="str">
        <f t="shared" si="75"/>
        <v xml:space="preserve">16/17 </v>
      </c>
      <c r="Z175" s="237" t="str">
        <f t="shared" si="75"/>
        <v xml:space="preserve">17/18 </v>
      </c>
      <c r="AA175" s="237" t="str">
        <f t="shared" si="75"/>
        <v xml:space="preserve">18/19 </v>
      </c>
      <c r="AB175" s="237" t="str">
        <f t="shared" si="75"/>
        <v xml:space="preserve">19/20 </v>
      </c>
      <c r="AC175" s="237" t="str">
        <f t="shared" si="75"/>
        <v xml:space="preserve">20/21 </v>
      </c>
    </row>
    <row r="176" spans="1:29">
      <c r="A176" s="240" t="s">
        <v>239</v>
      </c>
      <c r="B176" s="290">
        <f>(B$187-B$22)/13+B22</f>
        <v>0</v>
      </c>
      <c r="C176" s="290">
        <f>(C$187-B$187)/13+B187</f>
        <v>0</v>
      </c>
      <c r="D176" s="290">
        <f t="shared" ref="D176:AC176" si="76">(D$187-C$187)/13+C187</f>
        <v>0</v>
      </c>
      <c r="E176" s="290">
        <f t="shared" si="76"/>
        <v>0</v>
      </c>
      <c r="F176" s="290">
        <f t="shared" si="76"/>
        <v>0</v>
      </c>
      <c r="G176" s="290">
        <f t="shared" si="76"/>
        <v>0</v>
      </c>
      <c r="H176" s="290">
        <f t="shared" si="76"/>
        <v>0.15384615384615385</v>
      </c>
      <c r="I176" s="290">
        <f t="shared" si="76"/>
        <v>2</v>
      </c>
      <c r="J176" s="290">
        <f t="shared" si="76"/>
        <v>2</v>
      </c>
      <c r="K176" s="290">
        <f t="shared" si="76"/>
        <v>2.1538461538461537</v>
      </c>
      <c r="L176" s="290">
        <f t="shared" si="76"/>
        <v>4.0769230769230766</v>
      </c>
      <c r="M176" s="290">
        <f t="shared" si="76"/>
        <v>5</v>
      </c>
      <c r="N176" s="290">
        <f t="shared" si="76"/>
        <v>5</v>
      </c>
      <c r="O176" s="290">
        <f t="shared" si="76"/>
        <v>5</v>
      </c>
      <c r="P176" s="290">
        <f t="shared" si="76"/>
        <v>5.7692307692307692</v>
      </c>
      <c r="Q176" s="290">
        <f t="shared" si="76"/>
        <v>18.153846153846153</v>
      </c>
      <c r="R176" s="290">
        <f t="shared" si="76"/>
        <v>61.46153846153846</v>
      </c>
      <c r="S176" s="290">
        <f t="shared" si="76"/>
        <v>127</v>
      </c>
      <c r="T176" s="290">
        <f t="shared" si="76"/>
        <v>117.30769230769231</v>
      </c>
      <c r="U176" s="290">
        <f t="shared" si="76"/>
        <v>1.3846153846153846</v>
      </c>
      <c r="V176" s="290">
        <f t="shared" si="76"/>
        <v>28.923076923076923</v>
      </c>
      <c r="W176" s="290">
        <f t="shared" si="76"/>
        <v>309.07692307692309</v>
      </c>
      <c r="X176" s="290">
        <f t="shared" si="76"/>
        <v>377.30769230769232</v>
      </c>
      <c r="Y176" s="290">
        <f t="shared" si="76"/>
        <v>467.30769230769232</v>
      </c>
      <c r="Z176" s="252">
        <f t="shared" si="76"/>
        <v>477.69230769230768</v>
      </c>
      <c r="AA176" s="252">
        <f t="shared" si="76"/>
        <v>270.38461538461536</v>
      </c>
      <c r="AB176" s="252">
        <f t="shared" si="76"/>
        <v>275</v>
      </c>
      <c r="AC176" s="252">
        <f t="shared" si="76"/>
        <v>275</v>
      </c>
    </row>
    <row r="177" spans="1:29">
      <c r="A177" s="240" t="s">
        <v>240</v>
      </c>
      <c r="B177" s="290">
        <f>(B$187-B$22)/13+B176</f>
        <v>0</v>
      </c>
      <c r="C177" s="290">
        <f>(C$187-B$187)/13+C176</f>
        <v>0</v>
      </c>
      <c r="D177" s="290">
        <f t="shared" ref="D177:AC186" si="77">(D$187-C$187)/13+D176</f>
        <v>0</v>
      </c>
      <c r="E177" s="290">
        <f t="shared" si="77"/>
        <v>0</v>
      </c>
      <c r="F177" s="290">
        <f t="shared" si="77"/>
        <v>0</v>
      </c>
      <c r="G177" s="290">
        <f t="shared" si="77"/>
        <v>0</v>
      </c>
      <c r="H177" s="290">
        <f t="shared" si="77"/>
        <v>0.30769230769230771</v>
      </c>
      <c r="I177" s="290">
        <f t="shared" si="77"/>
        <v>2</v>
      </c>
      <c r="J177" s="290">
        <f t="shared" si="77"/>
        <v>2</v>
      </c>
      <c r="K177" s="290">
        <f t="shared" si="77"/>
        <v>2.3076923076923075</v>
      </c>
      <c r="L177" s="290">
        <f t="shared" si="77"/>
        <v>4.1538461538461533</v>
      </c>
      <c r="M177" s="290">
        <f t="shared" si="77"/>
        <v>5</v>
      </c>
      <c r="N177" s="290">
        <f t="shared" si="77"/>
        <v>5</v>
      </c>
      <c r="O177" s="290">
        <f t="shared" si="77"/>
        <v>5</v>
      </c>
      <c r="P177" s="290">
        <f t="shared" si="77"/>
        <v>6.5384615384615383</v>
      </c>
      <c r="Q177" s="290">
        <f t="shared" si="77"/>
        <v>21.307692307692307</v>
      </c>
      <c r="R177" s="290">
        <f t="shared" si="77"/>
        <v>66.92307692307692</v>
      </c>
      <c r="S177" s="290">
        <f t="shared" si="77"/>
        <v>127</v>
      </c>
      <c r="T177" s="290">
        <f t="shared" si="77"/>
        <v>107.61538461538461</v>
      </c>
      <c r="U177" s="290">
        <f t="shared" si="77"/>
        <v>1.7692307692307692</v>
      </c>
      <c r="V177" s="290">
        <f t="shared" si="77"/>
        <v>51.846153846153847</v>
      </c>
      <c r="W177" s="290">
        <f t="shared" si="77"/>
        <v>314.15384615384619</v>
      </c>
      <c r="X177" s="290">
        <f t="shared" si="77"/>
        <v>384.61538461538464</v>
      </c>
      <c r="Y177" s="290">
        <f t="shared" si="77"/>
        <v>469.61538461538464</v>
      </c>
      <c r="Z177" s="252">
        <f t="shared" si="77"/>
        <v>460.38461538461536</v>
      </c>
      <c r="AA177" s="252">
        <f t="shared" si="77"/>
        <v>270.76923076923072</v>
      </c>
      <c r="AB177" s="252">
        <f t="shared" si="77"/>
        <v>275</v>
      </c>
      <c r="AC177" s="252">
        <f t="shared" si="77"/>
        <v>275</v>
      </c>
    </row>
    <row r="178" spans="1:29">
      <c r="A178" s="240" t="s">
        <v>241</v>
      </c>
      <c r="B178" s="290">
        <f t="shared" ref="B178:B186" si="78">(B$187-B$22)/13+B177</f>
        <v>0</v>
      </c>
      <c r="C178" s="290">
        <f t="shared" ref="C178:C186" si="79">(C$187-B$187)/13+C177</f>
        <v>0</v>
      </c>
      <c r="D178" s="290">
        <f t="shared" si="77"/>
        <v>0</v>
      </c>
      <c r="E178" s="290">
        <f t="shared" si="77"/>
        <v>0</v>
      </c>
      <c r="F178" s="290">
        <f t="shared" si="77"/>
        <v>0</v>
      </c>
      <c r="G178" s="290">
        <f t="shared" si="77"/>
        <v>0</v>
      </c>
      <c r="H178" s="290">
        <f t="shared" si="77"/>
        <v>0.46153846153846156</v>
      </c>
      <c r="I178" s="290">
        <f t="shared" si="77"/>
        <v>2</v>
      </c>
      <c r="J178" s="290">
        <f t="shared" si="77"/>
        <v>2</v>
      </c>
      <c r="K178" s="290">
        <f t="shared" si="77"/>
        <v>2.4615384615384612</v>
      </c>
      <c r="L178" s="290">
        <f t="shared" si="77"/>
        <v>4.2307692307692299</v>
      </c>
      <c r="M178" s="290">
        <f t="shared" si="77"/>
        <v>5</v>
      </c>
      <c r="N178" s="290">
        <f t="shared" si="77"/>
        <v>5</v>
      </c>
      <c r="O178" s="290">
        <f t="shared" si="77"/>
        <v>5</v>
      </c>
      <c r="P178" s="290">
        <f t="shared" si="77"/>
        <v>7.3076923076923075</v>
      </c>
      <c r="Q178" s="290">
        <f t="shared" si="77"/>
        <v>24.46153846153846</v>
      </c>
      <c r="R178" s="290">
        <f t="shared" si="77"/>
        <v>72.384615384615387</v>
      </c>
      <c r="S178" s="290">
        <f t="shared" si="77"/>
        <v>127</v>
      </c>
      <c r="T178" s="290">
        <f t="shared" si="77"/>
        <v>97.92307692307692</v>
      </c>
      <c r="U178" s="290">
        <f t="shared" si="77"/>
        <v>2.1538461538461537</v>
      </c>
      <c r="V178" s="290">
        <f t="shared" si="77"/>
        <v>74.769230769230774</v>
      </c>
      <c r="W178" s="290">
        <f t="shared" si="77"/>
        <v>319.23076923076928</v>
      </c>
      <c r="X178" s="290">
        <f t="shared" si="77"/>
        <v>391.92307692307696</v>
      </c>
      <c r="Y178" s="290">
        <f t="shared" si="77"/>
        <v>471.92307692307696</v>
      </c>
      <c r="Z178" s="252">
        <f t="shared" si="77"/>
        <v>443.07692307692304</v>
      </c>
      <c r="AA178" s="252">
        <f t="shared" si="77"/>
        <v>271.15384615384608</v>
      </c>
      <c r="AB178" s="252">
        <f t="shared" si="77"/>
        <v>275</v>
      </c>
      <c r="AC178" s="252">
        <f t="shared" si="77"/>
        <v>275</v>
      </c>
    </row>
    <row r="179" spans="1:29">
      <c r="A179" s="240" t="s">
        <v>231</v>
      </c>
      <c r="B179" s="290">
        <f t="shared" si="78"/>
        <v>0</v>
      </c>
      <c r="C179" s="290">
        <f t="shared" si="79"/>
        <v>0</v>
      </c>
      <c r="D179" s="290">
        <f t="shared" si="77"/>
        <v>0</v>
      </c>
      <c r="E179" s="290">
        <f t="shared" si="77"/>
        <v>0</v>
      </c>
      <c r="F179" s="290">
        <f t="shared" si="77"/>
        <v>0</v>
      </c>
      <c r="G179" s="290">
        <f t="shared" si="77"/>
        <v>0</v>
      </c>
      <c r="H179" s="290">
        <f t="shared" si="77"/>
        <v>0.61538461538461542</v>
      </c>
      <c r="I179" s="290">
        <f t="shared" si="77"/>
        <v>2</v>
      </c>
      <c r="J179" s="290">
        <f t="shared" si="77"/>
        <v>2</v>
      </c>
      <c r="K179" s="290">
        <f t="shared" si="77"/>
        <v>2.615384615384615</v>
      </c>
      <c r="L179" s="290">
        <f t="shared" si="77"/>
        <v>4.3076923076923066</v>
      </c>
      <c r="M179" s="290">
        <f t="shared" si="77"/>
        <v>5</v>
      </c>
      <c r="N179" s="290">
        <f t="shared" si="77"/>
        <v>5</v>
      </c>
      <c r="O179" s="290">
        <f t="shared" si="77"/>
        <v>5</v>
      </c>
      <c r="P179" s="290">
        <f t="shared" si="77"/>
        <v>8.0769230769230766</v>
      </c>
      <c r="Q179" s="290">
        <f t="shared" si="77"/>
        <v>27.615384615384613</v>
      </c>
      <c r="R179" s="290">
        <f t="shared" si="77"/>
        <v>77.846153846153854</v>
      </c>
      <c r="S179" s="290">
        <f t="shared" si="77"/>
        <v>127</v>
      </c>
      <c r="T179" s="290">
        <f t="shared" si="77"/>
        <v>88.230769230769226</v>
      </c>
      <c r="U179" s="290">
        <f t="shared" si="77"/>
        <v>2.5384615384615383</v>
      </c>
      <c r="V179" s="290">
        <f t="shared" si="77"/>
        <v>97.692307692307693</v>
      </c>
      <c r="W179" s="290">
        <f t="shared" si="77"/>
        <v>324.30769230769238</v>
      </c>
      <c r="X179" s="290">
        <f t="shared" si="77"/>
        <v>399.23076923076928</v>
      </c>
      <c r="Y179" s="290">
        <f t="shared" si="77"/>
        <v>474.23076923076928</v>
      </c>
      <c r="Z179" s="252">
        <f t="shared" si="77"/>
        <v>425.76923076923072</v>
      </c>
      <c r="AA179" s="252">
        <f t="shared" si="77"/>
        <v>271.53846153846143</v>
      </c>
      <c r="AB179" s="252">
        <f t="shared" si="77"/>
        <v>275</v>
      </c>
      <c r="AC179" s="252">
        <f t="shared" si="77"/>
        <v>275</v>
      </c>
    </row>
    <row r="180" spans="1:29">
      <c r="A180" s="240" t="s">
        <v>232</v>
      </c>
      <c r="B180" s="290">
        <f t="shared" si="78"/>
        <v>0</v>
      </c>
      <c r="C180" s="290">
        <f t="shared" si="79"/>
        <v>0</v>
      </c>
      <c r="D180" s="290">
        <f t="shared" si="77"/>
        <v>0</v>
      </c>
      <c r="E180" s="290">
        <f t="shared" si="77"/>
        <v>0</v>
      </c>
      <c r="F180" s="290">
        <f t="shared" si="77"/>
        <v>0</v>
      </c>
      <c r="G180" s="290">
        <f t="shared" si="77"/>
        <v>0</v>
      </c>
      <c r="H180" s="290">
        <f t="shared" si="77"/>
        <v>0.76923076923076927</v>
      </c>
      <c r="I180" s="290">
        <f t="shared" si="77"/>
        <v>2</v>
      </c>
      <c r="J180" s="290">
        <f t="shared" si="77"/>
        <v>2</v>
      </c>
      <c r="K180" s="290">
        <f t="shared" si="77"/>
        <v>2.7692307692307687</v>
      </c>
      <c r="L180" s="290">
        <f t="shared" si="77"/>
        <v>4.3846153846153832</v>
      </c>
      <c r="M180" s="290">
        <f t="shared" si="77"/>
        <v>5</v>
      </c>
      <c r="N180" s="290">
        <f t="shared" si="77"/>
        <v>5</v>
      </c>
      <c r="O180" s="290">
        <f t="shared" si="77"/>
        <v>5</v>
      </c>
      <c r="P180" s="290">
        <f t="shared" si="77"/>
        <v>8.8461538461538467</v>
      </c>
      <c r="Q180" s="290">
        <f t="shared" si="77"/>
        <v>30.769230769230766</v>
      </c>
      <c r="R180" s="290">
        <f t="shared" si="77"/>
        <v>83.307692307692321</v>
      </c>
      <c r="S180" s="290">
        <f t="shared" si="77"/>
        <v>127</v>
      </c>
      <c r="T180" s="290">
        <f t="shared" si="77"/>
        <v>78.538461538461533</v>
      </c>
      <c r="U180" s="290">
        <f t="shared" si="77"/>
        <v>2.9230769230769229</v>
      </c>
      <c r="V180" s="290">
        <f t="shared" si="77"/>
        <v>120.61538461538461</v>
      </c>
      <c r="W180" s="290">
        <f t="shared" si="77"/>
        <v>329.38461538461547</v>
      </c>
      <c r="X180" s="290">
        <f t="shared" si="77"/>
        <v>406.5384615384616</v>
      </c>
      <c r="Y180" s="290">
        <f t="shared" si="77"/>
        <v>476.5384615384616</v>
      </c>
      <c r="Z180" s="252">
        <f t="shared" si="77"/>
        <v>408.4615384615384</v>
      </c>
      <c r="AA180" s="252">
        <f t="shared" si="77"/>
        <v>271.92307692307679</v>
      </c>
      <c r="AB180" s="252">
        <f t="shared" si="77"/>
        <v>275</v>
      </c>
      <c r="AC180" s="252">
        <f t="shared" si="77"/>
        <v>275</v>
      </c>
    </row>
    <row r="181" spans="1:29">
      <c r="A181" s="240" t="s">
        <v>233</v>
      </c>
      <c r="B181" s="290">
        <f t="shared" si="78"/>
        <v>0</v>
      </c>
      <c r="C181" s="290">
        <f t="shared" si="79"/>
        <v>0</v>
      </c>
      <c r="D181" s="290">
        <f t="shared" si="77"/>
        <v>0</v>
      </c>
      <c r="E181" s="290">
        <f t="shared" si="77"/>
        <v>0</v>
      </c>
      <c r="F181" s="290">
        <f t="shared" si="77"/>
        <v>0</v>
      </c>
      <c r="G181" s="290">
        <f t="shared" si="77"/>
        <v>0</v>
      </c>
      <c r="H181" s="290">
        <f t="shared" si="77"/>
        <v>0.92307692307692313</v>
      </c>
      <c r="I181" s="290">
        <f t="shared" si="77"/>
        <v>2</v>
      </c>
      <c r="J181" s="290">
        <f t="shared" si="77"/>
        <v>2</v>
      </c>
      <c r="K181" s="290">
        <f t="shared" si="77"/>
        <v>2.9230769230769225</v>
      </c>
      <c r="L181" s="290">
        <f t="shared" si="77"/>
        <v>4.4615384615384599</v>
      </c>
      <c r="M181" s="290">
        <f t="shared" si="77"/>
        <v>5</v>
      </c>
      <c r="N181" s="290">
        <f t="shared" si="77"/>
        <v>5</v>
      </c>
      <c r="O181" s="290">
        <f t="shared" si="77"/>
        <v>5</v>
      </c>
      <c r="P181" s="290">
        <f t="shared" si="77"/>
        <v>9.6153846153846168</v>
      </c>
      <c r="Q181" s="290">
        <f t="shared" si="77"/>
        <v>33.92307692307692</v>
      </c>
      <c r="R181" s="290">
        <f t="shared" si="77"/>
        <v>88.769230769230788</v>
      </c>
      <c r="S181" s="290">
        <f t="shared" si="77"/>
        <v>127</v>
      </c>
      <c r="T181" s="290">
        <f t="shared" si="77"/>
        <v>68.84615384615384</v>
      </c>
      <c r="U181" s="290">
        <f t="shared" si="77"/>
        <v>3.3076923076923075</v>
      </c>
      <c r="V181" s="290">
        <f t="shared" si="77"/>
        <v>143.53846153846155</v>
      </c>
      <c r="W181" s="290">
        <f t="shared" si="77"/>
        <v>334.46153846153857</v>
      </c>
      <c r="X181" s="290">
        <f t="shared" si="77"/>
        <v>413.84615384615392</v>
      </c>
      <c r="Y181" s="290">
        <f t="shared" si="77"/>
        <v>478.84615384615392</v>
      </c>
      <c r="Z181" s="252">
        <f t="shared" si="77"/>
        <v>391.15384615384608</v>
      </c>
      <c r="AA181" s="252">
        <f t="shared" si="77"/>
        <v>272.30769230769215</v>
      </c>
      <c r="AB181" s="252">
        <f t="shared" si="77"/>
        <v>275</v>
      </c>
      <c r="AC181" s="252">
        <f t="shared" si="77"/>
        <v>275</v>
      </c>
    </row>
    <row r="182" spans="1:29">
      <c r="A182" s="240" t="s">
        <v>234</v>
      </c>
      <c r="B182" s="290">
        <f t="shared" si="78"/>
        <v>0</v>
      </c>
      <c r="C182" s="290">
        <f t="shared" si="79"/>
        <v>0</v>
      </c>
      <c r="D182" s="290">
        <f t="shared" si="77"/>
        <v>0</v>
      </c>
      <c r="E182" s="290">
        <f t="shared" si="77"/>
        <v>0</v>
      </c>
      <c r="F182" s="290">
        <f t="shared" si="77"/>
        <v>0</v>
      </c>
      <c r="G182" s="290">
        <f t="shared" si="77"/>
        <v>0</v>
      </c>
      <c r="H182" s="290">
        <f t="shared" si="77"/>
        <v>1.0769230769230771</v>
      </c>
      <c r="I182" s="290">
        <f t="shared" si="77"/>
        <v>2</v>
      </c>
      <c r="J182" s="290">
        <f t="shared" si="77"/>
        <v>2</v>
      </c>
      <c r="K182" s="290">
        <f t="shared" si="77"/>
        <v>3.0769230769230762</v>
      </c>
      <c r="L182" s="290">
        <f t="shared" si="77"/>
        <v>4.5384615384615365</v>
      </c>
      <c r="M182" s="290">
        <f t="shared" si="77"/>
        <v>5</v>
      </c>
      <c r="N182" s="290">
        <f t="shared" si="77"/>
        <v>5</v>
      </c>
      <c r="O182" s="290">
        <f t="shared" si="77"/>
        <v>5</v>
      </c>
      <c r="P182" s="290">
        <f t="shared" si="77"/>
        <v>10.384615384615387</v>
      </c>
      <c r="Q182" s="290">
        <f t="shared" si="77"/>
        <v>37.076923076923073</v>
      </c>
      <c r="R182" s="290">
        <f t="shared" si="77"/>
        <v>94.230769230769255</v>
      </c>
      <c r="S182" s="290">
        <f t="shared" si="77"/>
        <v>127</v>
      </c>
      <c r="T182" s="290">
        <f t="shared" si="77"/>
        <v>59.153846153846146</v>
      </c>
      <c r="U182" s="290">
        <f t="shared" si="77"/>
        <v>3.6923076923076921</v>
      </c>
      <c r="V182" s="290">
        <f t="shared" si="77"/>
        <v>166.46153846153848</v>
      </c>
      <c r="W182" s="290">
        <f t="shared" si="77"/>
        <v>339.53846153846166</v>
      </c>
      <c r="X182" s="290">
        <f t="shared" si="77"/>
        <v>421.15384615384625</v>
      </c>
      <c r="Y182" s="290">
        <f t="shared" si="77"/>
        <v>481.15384615384625</v>
      </c>
      <c r="Z182" s="252">
        <f t="shared" si="77"/>
        <v>373.84615384615375</v>
      </c>
      <c r="AA182" s="252">
        <f t="shared" si="77"/>
        <v>272.69230769230751</v>
      </c>
      <c r="AB182" s="252">
        <f t="shared" si="77"/>
        <v>275</v>
      </c>
      <c r="AC182" s="252">
        <f t="shared" si="77"/>
        <v>275</v>
      </c>
    </row>
    <row r="183" spans="1:29">
      <c r="A183" s="240" t="s">
        <v>46</v>
      </c>
      <c r="B183" s="290">
        <f t="shared" si="78"/>
        <v>0</v>
      </c>
      <c r="C183" s="290">
        <f t="shared" si="79"/>
        <v>0</v>
      </c>
      <c r="D183" s="290">
        <f t="shared" si="77"/>
        <v>0</v>
      </c>
      <c r="E183" s="290">
        <f t="shared" si="77"/>
        <v>0</v>
      </c>
      <c r="F183" s="290">
        <f t="shared" si="77"/>
        <v>0</v>
      </c>
      <c r="G183" s="290">
        <f t="shared" si="77"/>
        <v>0</v>
      </c>
      <c r="H183" s="290">
        <f t="shared" si="77"/>
        <v>1.2307692307692308</v>
      </c>
      <c r="I183" s="290">
        <f t="shared" si="77"/>
        <v>2</v>
      </c>
      <c r="J183" s="290">
        <f t="shared" si="77"/>
        <v>2</v>
      </c>
      <c r="K183" s="290">
        <f t="shared" si="77"/>
        <v>3.2307692307692299</v>
      </c>
      <c r="L183" s="290">
        <f t="shared" si="77"/>
        <v>4.6153846153846132</v>
      </c>
      <c r="M183" s="290">
        <f t="shared" si="77"/>
        <v>5</v>
      </c>
      <c r="N183" s="290">
        <f t="shared" si="77"/>
        <v>5</v>
      </c>
      <c r="O183" s="290">
        <f t="shared" si="77"/>
        <v>5</v>
      </c>
      <c r="P183" s="290">
        <f t="shared" si="77"/>
        <v>11.153846153846157</v>
      </c>
      <c r="Q183" s="290">
        <f t="shared" si="77"/>
        <v>40.230769230769226</v>
      </c>
      <c r="R183" s="290">
        <f t="shared" si="77"/>
        <v>99.692307692307722</v>
      </c>
      <c r="S183" s="290">
        <f t="shared" si="77"/>
        <v>127</v>
      </c>
      <c r="T183" s="290">
        <f t="shared" si="77"/>
        <v>49.461538461538453</v>
      </c>
      <c r="U183" s="290">
        <f t="shared" si="77"/>
        <v>4.0769230769230766</v>
      </c>
      <c r="V183" s="290">
        <f t="shared" si="77"/>
        <v>189.38461538461542</v>
      </c>
      <c r="W183" s="290">
        <f t="shared" si="77"/>
        <v>344.61538461538476</v>
      </c>
      <c r="X183" s="290">
        <f t="shared" si="77"/>
        <v>428.46153846153857</v>
      </c>
      <c r="Y183" s="290">
        <f t="shared" si="77"/>
        <v>483.46153846153857</v>
      </c>
      <c r="Z183" s="252">
        <f t="shared" si="77"/>
        <v>356.53846153846143</v>
      </c>
      <c r="AA183" s="252">
        <f t="shared" si="77"/>
        <v>273.07692307692287</v>
      </c>
      <c r="AB183" s="252">
        <f t="shared" si="77"/>
        <v>275</v>
      </c>
      <c r="AC183" s="252">
        <f t="shared" si="77"/>
        <v>275</v>
      </c>
    </row>
    <row r="184" spans="1:29">
      <c r="A184" s="240" t="s">
        <v>235</v>
      </c>
      <c r="B184" s="290">
        <f t="shared" si="78"/>
        <v>0</v>
      </c>
      <c r="C184" s="290">
        <f t="shared" si="79"/>
        <v>0</v>
      </c>
      <c r="D184" s="290">
        <f t="shared" si="77"/>
        <v>0</v>
      </c>
      <c r="E184" s="290">
        <f t="shared" si="77"/>
        <v>0</v>
      </c>
      <c r="F184" s="290">
        <f t="shared" si="77"/>
        <v>0</v>
      </c>
      <c r="G184" s="290">
        <f t="shared" si="77"/>
        <v>0</v>
      </c>
      <c r="H184" s="290">
        <f t="shared" si="77"/>
        <v>1.3846153846153846</v>
      </c>
      <c r="I184" s="290">
        <f t="shared" si="77"/>
        <v>2</v>
      </c>
      <c r="J184" s="290">
        <f t="shared" si="77"/>
        <v>2</v>
      </c>
      <c r="K184" s="290">
        <f t="shared" si="77"/>
        <v>3.3846153846153837</v>
      </c>
      <c r="L184" s="290">
        <f t="shared" si="77"/>
        <v>4.6923076923076898</v>
      </c>
      <c r="M184" s="290">
        <f t="shared" si="77"/>
        <v>5</v>
      </c>
      <c r="N184" s="290">
        <f t="shared" si="77"/>
        <v>5</v>
      </c>
      <c r="O184" s="290">
        <f t="shared" si="77"/>
        <v>5</v>
      </c>
      <c r="P184" s="290">
        <f t="shared" si="77"/>
        <v>11.923076923076927</v>
      </c>
      <c r="Q184" s="290">
        <f t="shared" si="77"/>
        <v>43.38461538461538</v>
      </c>
      <c r="R184" s="290">
        <f t="shared" si="77"/>
        <v>105.15384615384619</v>
      </c>
      <c r="S184" s="290">
        <f t="shared" si="77"/>
        <v>127</v>
      </c>
      <c r="T184" s="290">
        <f t="shared" si="77"/>
        <v>39.769230769230759</v>
      </c>
      <c r="U184" s="290">
        <f t="shared" si="77"/>
        <v>4.4615384615384617</v>
      </c>
      <c r="V184" s="290">
        <f t="shared" si="77"/>
        <v>212.30769230769235</v>
      </c>
      <c r="W184" s="290">
        <f t="shared" si="77"/>
        <v>349.69230769230785</v>
      </c>
      <c r="X184" s="290">
        <f t="shared" si="77"/>
        <v>435.76923076923089</v>
      </c>
      <c r="Y184" s="290">
        <f t="shared" si="77"/>
        <v>485.76923076923089</v>
      </c>
      <c r="Z184" s="252">
        <f t="shared" si="77"/>
        <v>339.23076923076911</v>
      </c>
      <c r="AA184" s="252">
        <f t="shared" si="77"/>
        <v>273.46153846153823</v>
      </c>
      <c r="AB184" s="252">
        <f t="shared" si="77"/>
        <v>275</v>
      </c>
      <c r="AC184" s="252">
        <f t="shared" si="77"/>
        <v>275</v>
      </c>
    </row>
    <row r="185" spans="1:29">
      <c r="A185" s="240" t="s">
        <v>236</v>
      </c>
      <c r="B185" s="290">
        <f t="shared" si="78"/>
        <v>0</v>
      </c>
      <c r="C185" s="290">
        <f t="shared" si="79"/>
        <v>0</v>
      </c>
      <c r="D185" s="290">
        <f t="shared" si="77"/>
        <v>0</v>
      </c>
      <c r="E185" s="290">
        <f t="shared" si="77"/>
        <v>0</v>
      </c>
      <c r="F185" s="290">
        <f t="shared" si="77"/>
        <v>0</v>
      </c>
      <c r="G185" s="290">
        <f t="shared" si="77"/>
        <v>0</v>
      </c>
      <c r="H185" s="290">
        <f t="shared" si="77"/>
        <v>1.5384615384615383</v>
      </c>
      <c r="I185" s="290">
        <f t="shared" si="77"/>
        <v>2</v>
      </c>
      <c r="J185" s="290">
        <f t="shared" si="77"/>
        <v>2</v>
      </c>
      <c r="K185" s="290">
        <f t="shared" si="77"/>
        <v>3.5384615384615374</v>
      </c>
      <c r="L185" s="290">
        <f t="shared" si="77"/>
        <v>4.7692307692307665</v>
      </c>
      <c r="M185" s="290">
        <f t="shared" si="77"/>
        <v>5</v>
      </c>
      <c r="N185" s="290">
        <f t="shared" si="77"/>
        <v>5</v>
      </c>
      <c r="O185" s="290">
        <f t="shared" si="77"/>
        <v>5</v>
      </c>
      <c r="P185" s="290">
        <f t="shared" si="77"/>
        <v>12.692307692307697</v>
      </c>
      <c r="Q185" s="290">
        <f t="shared" si="77"/>
        <v>46.538461538461533</v>
      </c>
      <c r="R185" s="290">
        <f t="shared" si="77"/>
        <v>110.61538461538466</v>
      </c>
      <c r="S185" s="290">
        <f t="shared" si="77"/>
        <v>127</v>
      </c>
      <c r="T185" s="290">
        <f t="shared" si="77"/>
        <v>30.076923076923066</v>
      </c>
      <c r="U185" s="290">
        <f t="shared" si="77"/>
        <v>4.8461538461538467</v>
      </c>
      <c r="V185" s="290">
        <f t="shared" si="77"/>
        <v>235.23076923076928</v>
      </c>
      <c r="W185" s="290">
        <f t="shared" si="77"/>
        <v>354.76923076923094</v>
      </c>
      <c r="X185" s="290">
        <f t="shared" si="77"/>
        <v>443.07692307692321</v>
      </c>
      <c r="Y185" s="290">
        <f t="shared" si="77"/>
        <v>488.07692307692321</v>
      </c>
      <c r="Z185" s="252">
        <f t="shared" si="77"/>
        <v>321.92307692307679</v>
      </c>
      <c r="AA185" s="252">
        <f t="shared" si="77"/>
        <v>273.84615384615358</v>
      </c>
      <c r="AB185" s="252">
        <f t="shared" si="77"/>
        <v>275</v>
      </c>
      <c r="AC185" s="252">
        <f t="shared" si="77"/>
        <v>275</v>
      </c>
    </row>
    <row r="186" spans="1:29">
      <c r="A186" s="240" t="s">
        <v>237</v>
      </c>
      <c r="B186" s="290">
        <f t="shared" si="78"/>
        <v>0</v>
      </c>
      <c r="C186" s="290">
        <f t="shared" si="79"/>
        <v>0</v>
      </c>
      <c r="D186" s="290">
        <f t="shared" si="77"/>
        <v>0</v>
      </c>
      <c r="E186" s="290">
        <f t="shared" si="77"/>
        <v>0</v>
      </c>
      <c r="F186" s="290">
        <f t="shared" si="77"/>
        <v>0</v>
      </c>
      <c r="G186" s="290">
        <f t="shared" si="77"/>
        <v>0</v>
      </c>
      <c r="H186" s="290">
        <f t="shared" si="77"/>
        <v>1.6923076923076921</v>
      </c>
      <c r="I186" s="290">
        <f t="shared" si="77"/>
        <v>2</v>
      </c>
      <c r="J186" s="290">
        <f t="shared" si="77"/>
        <v>2</v>
      </c>
      <c r="K186" s="290">
        <f t="shared" si="77"/>
        <v>3.6923076923076912</v>
      </c>
      <c r="L186" s="290">
        <f t="shared" si="77"/>
        <v>4.8461538461538431</v>
      </c>
      <c r="M186" s="290">
        <f t="shared" si="77"/>
        <v>5</v>
      </c>
      <c r="N186" s="290">
        <f t="shared" si="77"/>
        <v>5</v>
      </c>
      <c r="O186" s="290">
        <f t="shared" si="77"/>
        <v>5</v>
      </c>
      <c r="P186" s="290">
        <f t="shared" si="77"/>
        <v>13.461538461538467</v>
      </c>
      <c r="Q186" s="290">
        <f t="shared" si="77"/>
        <v>49.692307692307686</v>
      </c>
      <c r="R186" s="290">
        <f t="shared" si="77"/>
        <v>116.07692307692312</v>
      </c>
      <c r="S186" s="290">
        <f t="shared" si="77"/>
        <v>127</v>
      </c>
      <c r="T186" s="290">
        <f t="shared" si="77"/>
        <v>20.384615384615373</v>
      </c>
      <c r="U186" s="290">
        <f t="shared" si="77"/>
        <v>5.2307692307692317</v>
      </c>
      <c r="V186" s="290">
        <f t="shared" si="77"/>
        <v>258.15384615384619</v>
      </c>
      <c r="W186" s="290">
        <f t="shared" si="77"/>
        <v>359.84615384615404</v>
      </c>
      <c r="X186" s="290">
        <f t="shared" si="77"/>
        <v>450.38461538461553</v>
      </c>
      <c r="Y186" s="290">
        <f>(Y$187-X$187)/13+Y185</f>
        <v>490.38461538461553</v>
      </c>
      <c r="Z186" s="252">
        <f>(Z$187-Y$187)/13+Z185</f>
        <v>304.61538461538447</v>
      </c>
      <c r="AA186" s="252">
        <f>(AA$187-Z$187)/13+AA185</f>
        <v>274.23076923076894</v>
      </c>
      <c r="AB186" s="252">
        <f>(AB$187-AA$187)/13+AB185</f>
        <v>275</v>
      </c>
      <c r="AC186" s="252">
        <f>(AC$187-AB$187)/13+AC185</f>
        <v>275</v>
      </c>
    </row>
    <row r="187" spans="1:29" ht="15.75" thickBot="1">
      <c r="A187" s="240" t="s">
        <v>238</v>
      </c>
      <c r="B187" s="267">
        <f>B29</f>
        <v>0</v>
      </c>
      <c r="C187" s="267">
        <f t="shared" ref="C187:AC187" si="80">C29</f>
        <v>0</v>
      </c>
      <c r="D187" s="267">
        <f t="shared" si="80"/>
        <v>0</v>
      </c>
      <c r="E187" s="267">
        <f t="shared" si="80"/>
        <v>0</v>
      </c>
      <c r="F187" s="267">
        <f t="shared" si="80"/>
        <v>0</v>
      </c>
      <c r="G187" s="267">
        <f t="shared" si="80"/>
        <v>0</v>
      </c>
      <c r="H187" s="267">
        <f t="shared" si="80"/>
        <v>2</v>
      </c>
      <c r="I187" s="267">
        <f t="shared" si="80"/>
        <v>2</v>
      </c>
      <c r="J187" s="267">
        <f t="shared" si="80"/>
        <v>2</v>
      </c>
      <c r="K187" s="267">
        <f t="shared" si="80"/>
        <v>4</v>
      </c>
      <c r="L187" s="267">
        <f t="shared" si="80"/>
        <v>5</v>
      </c>
      <c r="M187" s="267">
        <f t="shared" si="80"/>
        <v>5</v>
      </c>
      <c r="N187" s="267">
        <f t="shared" si="80"/>
        <v>5</v>
      </c>
      <c r="O187" s="267">
        <f t="shared" si="80"/>
        <v>5</v>
      </c>
      <c r="P187" s="267">
        <f t="shared" si="80"/>
        <v>15</v>
      </c>
      <c r="Q187" s="267">
        <f t="shared" si="80"/>
        <v>56</v>
      </c>
      <c r="R187" s="267">
        <f t="shared" si="80"/>
        <v>127</v>
      </c>
      <c r="S187" s="267">
        <f t="shared" si="80"/>
        <v>127</v>
      </c>
      <c r="T187" s="267">
        <f t="shared" si="80"/>
        <v>1</v>
      </c>
      <c r="U187" s="267">
        <f t="shared" si="80"/>
        <v>6</v>
      </c>
      <c r="V187" s="267">
        <f t="shared" si="80"/>
        <v>304</v>
      </c>
      <c r="W187" s="267">
        <f t="shared" si="80"/>
        <v>370</v>
      </c>
      <c r="X187" s="267">
        <f t="shared" si="80"/>
        <v>465</v>
      </c>
      <c r="Y187" s="267">
        <f t="shared" si="80"/>
        <v>495</v>
      </c>
      <c r="Z187" s="268">
        <f t="shared" si="80"/>
        <v>270</v>
      </c>
      <c r="AA187" s="268">
        <f t="shared" si="80"/>
        <v>275</v>
      </c>
      <c r="AB187" s="268">
        <f t="shared" si="80"/>
        <v>275</v>
      </c>
      <c r="AC187" s="268">
        <f t="shared" si="80"/>
        <v>275</v>
      </c>
    </row>
    <row r="188" spans="1:29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</row>
    <row r="189" spans="1:29" ht="15.75" thickBot="1">
      <c r="A189" s="240" t="s">
        <v>261</v>
      </c>
    </row>
    <row r="190" spans="1:29" ht="15.75" thickBot="1">
      <c r="A190" s="236"/>
      <c r="B190" s="237" t="str">
        <f>B$2</f>
        <v xml:space="preserve">93/94 </v>
      </c>
      <c r="C190" s="237" t="str">
        <f t="shared" ref="C190:AC190" si="81">C$2</f>
        <v xml:space="preserve">94/95 </v>
      </c>
      <c r="D190" s="237" t="str">
        <f t="shared" si="81"/>
        <v xml:space="preserve">95/96 </v>
      </c>
      <c r="E190" s="237" t="str">
        <f t="shared" si="81"/>
        <v xml:space="preserve">96/97 </v>
      </c>
      <c r="F190" s="237" t="str">
        <f t="shared" si="81"/>
        <v xml:space="preserve">97/98 </v>
      </c>
      <c r="G190" s="237" t="str">
        <f t="shared" si="81"/>
        <v xml:space="preserve">98/99 </v>
      </c>
      <c r="H190" s="237" t="str">
        <f t="shared" si="81"/>
        <v xml:space="preserve">99/00 </v>
      </c>
      <c r="I190" s="237" t="str">
        <f t="shared" si="81"/>
        <v xml:space="preserve">00/01 </v>
      </c>
      <c r="J190" s="237" t="str">
        <f t="shared" si="81"/>
        <v xml:space="preserve">01/02 </v>
      </c>
      <c r="K190" s="237" t="str">
        <f t="shared" si="81"/>
        <v xml:space="preserve">02/03 </v>
      </c>
      <c r="L190" s="237" t="str">
        <f t="shared" si="81"/>
        <v xml:space="preserve">03/04 </v>
      </c>
      <c r="M190" s="237" t="str">
        <f t="shared" si="81"/>
        <v xml:space="preserve">04/05 </v>
      </c>
      <c r="N190" s="237" t="str">
        <f t="shared" si="81"/>
        <v xml:space="preserve">05/06 </v>
      </c>
      <c r="O190" s="237" t="str">
        <f t="shared" si="81"/>
        <v xml:space="preserve">06/07 </v>
      </c>
      <c r="P190" s="237" t="str">
        <f t="shared" si="81"/>
        <v xml:space="preserve">07/08 </v>
      </c>
      <c r="Q190" s="237" t="str">
        <f t="shared" si="81"/>
        <v xml:space="preserve">08/09 </v>
      </c>
      <c r="R190" s="237" t="str">
        <f t="shared" si="81"/>
        <v xml:space="preserve">09/10 </v>
      </c>
      <c r="S190" s="237" t="str">
        <f t="shared" si="81"/>
        <v xml:space="preserve">10/11 </v>
      </c>
      <c r="T190" s="237" t="str">
        <f t="shared" si="81"/>
        <v xml:space="preserve">11/12 </v>
      </c>
      <c r="U190" s="237" t="str">
        <f t="shared" si="81"/>
        <v xml:space="preserve">12/13 </v>
      </c>
      <c r="V190" s="237" t="str">
        <f t="shared" si="81"/>
        <v xml:space="preserve">13/14 </v>
      </c>
      <c r="W190" s="237" t="str">
        <f t="shared" si="81"/>
        <v xml:space="preserve">14/15 </v>
      </c>
      <c r="X190" s="237" t="str">
        <f t="shared" si="81"/>
        <v xml:space="preserve">15/16 </v>
      </c>
      <c r="Y190" s="237" t="str">
        <f t="shared" si="81"/>
        <v xml:space="preserve">16/17 </v>
      </c>
      <c r="Z190" s="237" t="str">
        <f t="shared" si="81"/>
        <v xml:space="preserve">17/18 </v>
      </c>
      <c r="AA190" s="237" t="str">
        <f t="shared" si="81"/>
        <v xml:space="preserve">18/19 </v>
      </c>
      <c r="AB190" s="237" t="str">
        <f t="shared" si="81"/>
        <v xml:space="preserve">19/20 </v>
      </c>
      <c r="AC190" s="237" t="str">
        <f t="shared" si="81"/>
        <v xml:space="preserve">20/21 </v>
      </c>
    </row>
    <row r="191" spans="1:29">
      <c r="A191" s="240" t="s">
        <v>239</v>
      </c>
    </row>
    <row r="192" spans="1:29">
      <c r="A192" s="240" t="s">
        <v>240</v>
      </c>
    </row>
    <row r="193" spans="1:33">
      <c r="A193" s="240" t="s">
        <v>241</v>
      </c>
    </row>
    <row r="194" spans="1:33">
      <c r="A194" s="240" t="s">
        <v>231</v>
      </c>
    </row>
    <row r="195" spans="1:33">
      <c r="A195" s="240" t="s">
        <v>232</v>
      </c>
    </row>
    <row r="196" spans="1:33">
      <c r="A196" s="240" t="s">
        <v>233</v>
      </c>
    </row>
    <row r="197" spans="1:33">
      <c r="A197" s="240" t="s">
        <v>234</v>
      </c>
    </row>
    <row r="198" spans="1:33">
      <c r="A198" s="240" t="s">
        <v>46</v>
      </c>
      <c r="AG198" s="363"/>
    </row>
    <row r="199" spans="1:33">
      <c r="A199" s="240" t="s">
        <v>235</v>
      </c>
      <c r="AG199" s="364"/>
    </row>
    <row r="200" spans="1:33">
      <c r="A200" s="240" t="s">
        <v>236</v>
      </c>
      <c r="AG200" s="363"/>
    </row>
    <row r="201" spans="1:33">
      <c r="A201" s="240" t="s">
        <v>237</v>
      </c>
      <c r="AG201" s="363"/>
    </row>
    <row r="202" spans="1:33">
      <c r="A202" s="240" t="s">
        <v>238</v>
      </c>
      <c r="AG202" s="300"/>
    </row>
    <row r="203" spans="1:33" ht="15.75" thickBot="1">
      <c r="A203" s="240" t="s">
        <v>255</v>
      </c>
      <c r="AG203" s="300"/>
    </row>
    <row r="204" spans="1:33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  <c r="AG204" s="365"/>
    </row>
    <row r="205" spans="1:33" ht="15.75" thickBot="1">
      <c r="A205" s="240" t="s">
        <v>262</v>
      </c>
    </row>
    <row r="206" spans="1:33" ht="15.75" thickBot="1">
      <c r="A206" s="236"/>
      <c r="B206" s="237" t="str">
        <f>B$2</f>
        <v xml:space="preserve">93/94 </v>
      </c>
      <c r="C206" s="237" t="str">
        <f t="shared" ref="C206:AC206" si="82">C$2</f>
        <v xml:space="preserve">94/95 </v>
      </c>
      <c r="D206" s="237" t="str">
        <f t="shared" si="82"/>
        <v xml:space="preserve">95/96 </v>
      </c>
      <c r="E206" s="237" t="str">
        <f t="shared" si="82"/>
        <v xml:space="preserve">96/97 </v>
      </c>
      <c r="F206" s="237" t="str">
        <f t="shared" si="82"/>
        <v xml:space="preserve">97/98 </v>
      </c>
      <c r="G206" s="237" t="str">
        <f t="shared" si="82"/>
        <v xml:space="preserve">98/99 </v>
      </c>
      <c r="H206" s="237" t="str">
        <f t="shared" si="82"/>
        <v xml:space="preserve">99/00 </v>
      </c>
      <c r="I206" s="237" t="str">
        <f t="shared" si="82"/>
        <v xml:space="preserve">00/01 </v>
      </c>
      <c r="J206" s="237" t="str">
        <f t="shared" si="82"/>
        <v xml:space="preserve">01/02 </v>
      </c>
      <c r="K206" s="237" t="str">
        <f t="shared" si="82"/>
        <v xml:space="preserve">02/03 </v>
      </c>
      <c r="L206" s="237" t="str">
        <f t="shared" si="82"/>
        <v xml:space="preserve">03/04 </v>
      </c>
      <c r="M206" s="237" t="str">
        <f t="shared" si="82"/>
        <v xml:space="preserve">04/05 </v>
      </c>
      <c r="N206" s="237" t="str">
        <f t="shared" si="82"/>
        <v xml:space="preserve">05/06 </v>
      </c>
      <c r="O206" s="237" t="str">
        <f t="shared" si="82"/>
        <v xml:space="preserve">06/07 </v>
      </c>
      <c r="P206" s="237" t="str">
        <f t="shared" si="82"/>
        <v xml:space="preserve">07/08 </v>
      </c>
      <c r="Q206" s="237" t="str">
        <f t="shared" si="82"/>
        <v xml:space="preserve">08/09 </v>
      </c>
      <c r="R206" s="237" t="str">
        <f t="shared" si="82"/>
        <v xml:space="preserve">09/10 </v>
      </c>
      <c r="S206" s="237" t="str">
        <f t="shared" si="82"/>
        <v xml:space="preserve">10/11 </v>
      </c>
      <c r="T206" s="237" t="str">
        <f t="shared" si="82"/>
        <v xml:space="preserve">11/12 </v>
      </c>
      <c r="U206" s="237" t="str">
        <f t="shared" si="82"/>
        <v xml:space="preserve">12/13 </v>
      </c>
      <c r="V206" s="237" t="str">
        <f t="shared" si="82"/>
        <v xml:space="preserve">13/14 </v>
      </c>
      <c r="W206" s="237" t="str">
        <f t="shared" si="82"/>
        <v xml:space="preserve">14/15 </v>
      </c>
      <c r="X206" s="237" t="str">
        <f t="shared" si="82"/>
        <v xml:space="preserve">15/16 </v>
      </c>
      <c r="Y206" s="237" t="str">
        <f t="shared" si="82"/>
        <v xml:space="preserve">16/17 </v>
      </c>
      <c r="Z206" s="237" t="str">
        <f t="shared" si="82"/>
        <v xml:space="preserve">17/18 </v>
      </c>
      <c r="AA206" s="237" t="str">
        <f t="shared" si="82"/>
        <v xml:space="preserve">18/19 </v>
      </c>
      <c r="AB206" s="237" t="str">
        <f t="shared" si="82"/>
        <v xml:space="preserve">19/20 </v>
      </c>
      <c r="AC206" s="237" t="str">
        <f t="shared" si="82"/>
        <v xml:space="preserve">20/21 </v>
      </c>
    </row>
    <row r="207" spans="1:33">
      <c r="A207" s="240" t="s">
        <v>239</v>
      </c>
      <c r="B207" s="290">
        <f>(SUM(D207:H207)/SUM(D$219:H$219))*B$219</f>
        <v>112.97081194787879</v>
      </c>
      <c r="C207" s="251">
        <v>87.325019313541546</v>
      </c>
      <c r="D207" s="251">
        <v>119.22828966735359</v>
      </c>
      <c r="E207" s="251">
        <v>72.990825688073386</v>
      </c>
      <c r="F207" s="251">
        <v>91.543345008756575</v>
      </c>
      <c r="G207" s="251">
        <v>99.774368231046921</v>
      </c>
      <c r="H207" s="251">
        <v>105.16871774513696</v>
      </c>
      <c r="I207" s="251">
        <v>129.80931800501338</v>
      </c>
      <c r="J207" s="251">
        <v>107.47653211167774</v>
      </c>
      <c r="K207" s="251">
        <v>138.18411271501424</v>
      </c>
      <c r="L207" s="251">
        <v>130.19999999999999</v>
      </c>
      <c r="M207" s="251">
        <v>114.1</v>
      </c>
      <c r="N207" s="251">
        <v>157.30000000000001</v>
      </c>
      <c r="O207" s="251">
        <v>185.1</v>
      </c>
      <c r="P207" s="251">
        <v>195.5</v>
      </c>
      <c r="Q207" s="251">
        <v>200.5</v>
      </c>
      <c r="R207" s="251">
        <v>274.39999999999998</v>
      </c>
      <c r="S207" s="251">
        <v>292.8</v>
      </c>
      <c r="T207" s="251">
        <v>338.5</v>
      </c>
      <c r="U207" s="251">
        <v>356.7</v>
      </c>
      <c r="V207" s="251">
        <v>395</v>
      </c>
      <c r="W207" s="251">
        <v>388</v>
      </c>
      <c r="X207" s="251">
        <v>393</v>
      </c>
      <c r="Y207" s="251">
        <v>516</v>
      </c>
      <c r="Z207" s="251">
        <v>516</v>
      </c>
      <c r="AA207" s="252">
        <f>AA303-Z314+AA271-AA255+AA287</f>
        <v>478.75443619494877</v>
      </c>
      <c r="AB207" s="252">
        <f>AB303-AA314+AB271-AB255+AB287</f>
        <v>474.22566613566369</v>
      </c>
      <c r="AC207" s="252">
        <f>AC303-AB314+AC271-AC255+AC287</f>
        <v>475.79830758651622</v>
      </c>
      <c r="AE207" s="252"/>
      <c r="AF207" s="240"/>
    </row>
    <row r="208" spans="1:33">
      <c r="A208" s="240" t="s">
        <v>240</v>
      </c>
      <c r="B208" s="290">
        <f t="shared" ref="B208:B218" si="83">(SUM(D208:H208)/SUM(D$219:H$219))*B$219</f>
        <v>108.28291843714672</v>
      </c>
      <c r="C208" s="251">
        <v>83.864032667475996</v>
      </c>
      <c r="D208" s="251">
        <v>114.92552251987048</v>
      </c>
      <c r="E208" s="251">
        <v>77.614678899082563</v>
      </c>
      <c r="F208" s="251">
        <v>97.531085814360793</v>
      </c>
      <c r="G208" s="251">
        <v>86.2292418772563</v>
      </c>
      <c r="H208" s="251">
        <v>92.125446605795958</v>
      </c>
      <c r="I208" s="251">
        <v>124.66453453193881</v>
      </c>
      <c r="J208" s="251">
        <v>103.21687267698159</v>
      </c>
      <c r="K208" s="251">
        <v>132.70740772754775</v>
      </c>
      <c r="L208" s="251">
        <v>127.3</v>
      </c>
      <c r="M208" s="251">
        <v>115.4</v>
      </c>
      <c r="N208" s="251">
        <v>162.69999999999999</v>
      </c>
      <c r="O208" s="251">
        <v>183.2</v>
      </c>
      <c r="P208" s="251">
        <v>187.8</v>
      </c>
      <c r="Q208" s="251">
        <v>211.1</v>
      </c>
      <c r="R208" s="251">
        <v>269.7</v>
      </c>
      <c r="S208" s="251">
        <v>296.8</v>
      </c>
      <c r="T208" s="251">
        <v>343.6</v>
      </c>
      <c r="U208" s="251">
        <v>334</v>
      </c>
      <c r="V208" s="251">
        <v>379.6</v>
      </c>
      <c r="W208" s="251">
        <v>397</v>
      </c>
      <c r="X208" s="251">
        <v>360</v>
      </c>
      <c r="Y208" s="251">
        <v>529</v>
      </c>
      <c r="Z208" s="251">
        <v>529</v>
      </c>
      <c r="AA208" s="252">
        <f t="shared" ref="AA208:AC218" si="84">AA304-AA303+AA272-AA256+AA288</f>
        <v>466.50093087957708</v>
      </c>
      <c r="AB208" s="252">
        <f t="shared" si="84"/>
        <v>462.97592910609183</v>
      </c>
      <c r="AC208" s="252">
        <f t="shared" si="84"/>
        <v>470.13959195798321</v>
      </c>
      <c r="AE208" s="252"/>
      <c r="AF208" s="240"/>
    </row>
    <row r="209" spans="1:32">
      <c r="A209" s="240" t="s">
        <v>241</v>
      </c>
      <c r="B209" s="290">
        <f t="shared" si="83"/>
        <v>102.88621572208635</v>
      </c>
      <c r="C209" s="251">
        <v>79.061913696060031</v>
      </c>
      <c r="D209" s="251">
        <v>125.05784515749191</v>
      </c>
      <c r="E209" s="251">
        <v>65.394495412844023</v>
      </c>
      <c r="F209" s="251">
        <v>73.925569176882675</v>
      </c>
      <c r="G209" s="251">
        <v>81.996389891696737</v>
      </c>
      <c r="H209" s="251">
        <v>98.705835649067083</v>
      </c>
      <c r="I209" s="251">
        <v>117.52614746304779</v>
      </c>
      <c r="J209" s="251">
        <v>97.30659521134065</v>
      </c>
      <c r="K209" s="251">
        <v>125.10847955743797</v>
      </c>
      <c r="L209" s="251">
        <v>133.69999999999999</v>
      </c>
      <c r="M209" s="251">
        <v>110.9</v>
      </c>
      <c r="N209" s="251">
        <v>167.9</v>
      </c>
      <c r="O209" s="251">
        <v>190</v>
      </c>
      <c r="P209" s="251">
        <v>199.4</v>
      </c>
      <c r="Q209" s="251">
        <v>232.7</v>
      </c>
      <c r="R209" s="251">
        <v>282.3</v>
      </c>
      <c r="S209" s="251">
        <v>304</v>
      </c>
      <c r="T209" s="251">
        <v>367.4</v>
      </c>
      <c r="U209" s="251">
        <v>345.1</v>
      </c>
      <c r="V209" s="251">
        <v>395.5</v>
      </c>
      <c r="W209" s="251">
        <v>380</v>
      </c>
      <c r="X209" s="251">
        <v>363</v>
      </c>
      <c r="Y209" s="251">
        <v>557</v>
      </c>
      <c r="Z209" s="251">
        <v>557</v>
      </c>
      <c r="AA209" s="252">
        <f>AA305-AA304+AA273-AA257+AA289</f>
        <v>489.84792931851325</v>
      </c>
      <c r="AB209" s="252">
        <f t="shared" si="84"/>
        <v>472.44807510617051</v>
      </c>
      <c r="AC209" s="252">
        <f t="shared" si="84"/>
        <v>486.84147554196687</v>
      </c>
      <c r="AE209" s="252"/>
      <c r="AF209" s="240"/>
    </row>
    <row r="210" spans="1:32">
      <c r="A210" s="240" t="s">
        <v>231</v>
      </c>
      <c r="B210" s="290">
        <f t="shared" si="83"/>
        <v>75.124724056304302</v>
      </c>
      <c r="C210" s="251">
        <v>56.998123827392114</v>
      </c>
      <c r="D210" s="251">
        <v>96.742861348248482</v>
      </c>
      <c r="E210" s="251">
        <v>38.024193548387096</v>
      </c>
      <c r="F210" s="251">
        <v>57.673357664233578</v>
      </c>
      <c r="G210" s="251">
        <v>58.617721518987338</v>
      </c>
      <c r="H210" s="251">
        <v>73.927308447937122</v>
      </c>
      <c r="I210" s="251">
        <v>111.78787878787878</v>
      </c>
      <c r="J210" s="251">
        <v>87.833333333333329</v>
      </c>
      <c r="K210" s="251">
        <v>124.9</v>
      </c>
      <c r="L210" s="251">
        <v>122.9</v>
      </c>
      <c r="M210" s="251">
        <v>112.7</v>
      </c>
      <c r="N210" s="251">
        <v>169.6</v>
      </c>
      <c r="O210" s="251">
        <v>201.4</v>
      </c>
      <c r="P210" s="251">
        <v>211.6</v>
      </c>
      <c r="Q210" s="251">
        <v>237</v>
      </c>
      <c r="R210" s="251">
        <v>269.3</v>
      </c>
      <c r="S210" s="251">
        <v>310.8</v>
      </c>
      <c r="T210" s="251">
        <v>336.6</v>
      </c>
      <c r="U210" s="251">
        <v>341.5</v>
      </c>
      <c r="V210" s="251">
        <v>362</v>
      </c>
      <c r="W210" s="251">
        <v>333</v>
      </c>
      <c r="X210" s="251">
        <v>315</v>
      </c>
      <c r="Y210" s="251">
        <v>483</v>
      </c>
      <c r="Z210" s="251">
        <v>483</v>
      </c>
      <c r="AA210" s="252">
        <f t="shared" ref="Z210:AB218" si="85">AA306-AA305+AA274-AA258+AA290</f>
        <v>413.28651847741071</v>
      </c>
      <c r="AB210" s="252">
        <f t="shared" si="84"/>
        <v>410.53503653372661</v>
      </c>
      <c r="AC210" s="252">
        <f t="shared" si="84"/>
        <v>419.70640825882481</v>
      </c>
      <c r="AE210" s="252"/>
      <c r="AF210" s="240"/>
    </row>
    <row r="211" spans="1:32">
      <c r="A211" s="240" t="s">
        <v>232</v>
      </c>
      <c r="B211" s="290">
        <f t="shared" si="83"/>
        <v>68.721943012945516</v>
      </c>
      <c r="C211" s="251">
        <v>52.542103520582721</v>
      </c>
      <c r="D211" s="251">
        <v>82.168972622902587</v>
      </c>
      <c r="E211" s="251">
        <v>43.820564516129039</v>
      </c>
      <c r="F211" s="251">
        <v>39.782846715328468</v>
      </c>
      <c r="G211" s="251">
        <v>50.483544303797473</v>
      </c>
      <c r="H211" s="251">
        <v>81.031434184675831</v>
      </c>
      <c r="I211" s="251">
        <v>103.04848484848485</v>
      </c>
      <c r="J211" s="251">
        <v>80.966666666666669</v>
      </c>
      <c r="K211" s="251">
        <v>108.6</v>
      </c>
      <c r="L211" s="251">
        <v>114.3</v>
      </c>
      <c r="M211" s="251">
        <v>98</v>
      </c>
      <c r="N211" s="251">
        <v>161.9</v>
      </c>
      <c r="O211" s="251">
        <v>176</v>
      </c>
      <c r="P211" s="251">
        <v>170.6</v>
      </c>
      <c r="Q211" s="251">
        <v>216</v>
      </c>
      <c r="R211" s="251">
        <v>243</v>
      </c>
      <c r="S211" s="251">
        <v>282.60000000000002</v>
      </c>
      <c r="T211" s="251">
        <v>299.39999999999998</v>
      </c>
      <c r="U211" s="251">
        <v>313.7</v>
      </c>
      <c r="V211" s="251">
        <v>341</v>
      </c>
      <c r="W211" s="251">
        <v>315</v>
      </c>
      <c r="X211" s="251">
        <v>373</v>
      </c>
      <c r="Y211" s="251">
        <v>448</v>
      </c>
      <c r="Z211" s="251">
        <v>448</v>
      </c>
      <c r="AA211" s="252">
        <f t="shared" si="85"/>
        <v>413.19775756734185</v>
      </c>
      <c r="AB211" s="252">
        <f t="shared" si="84"/>
        <v>411.95522337463029</v>
      </c>
      <c r="AC211" s="252">
        <f t="shared" si="84"/>
        <v>426.53206386009782</v>
      </c>
      <c r="AE211" s="252"/>
      <c r="AF211" s="240"/>
    </row>
    <row r="212" spans="1:32">
      <c r="A212" s="240" t="s">
        <v>233</v>
      </c>
      <c r="B212" s="290">
        <f t="shared" si="83"/>
        <v>62.76638107999652</v>
      </c>
      <c r="C212" s="251">
        <v>47.502041717249753</v>
      </c>
      <c r="D212" s="251">
        <v>91.884898439799855</v>
      </c>
      <c r="E212" s="251">
        <v>33.155241935483872</v>
      </c>
      <c r="F212" s="251">
        <v>31.543795620437962</v>
      </c>
      <c r="G212" s="251">
        <v>43.898734177215189</v>
      </c>
      <c r="H212" s="251">
        <v>71.041257367387033</v>
      </c>
      <c r="I212" s="251">
        <v>93.163636363636371</v>
      </c>
      <c r="J212" s="251">
        <v>73.2</v>
      </c>
      <c r="K212" s="251">
        <v>127.1</v>
      </c>
      <c r="L212" s="251">
        <v>120.7</v>
      </c>
      <c r="M212" s="251">
        <v>112.1</v>
      </c>
      <c r="N212" s="251">
        <v>181</v>
      </c>
      <c r="O212" s="251">
        <v>194.9</v>
      </c>
      <c r="P212" s="251">
        <v>169.5</v>
      </c>
      <c r="Q212" s="251">
        <v>243.3</v>
      </c>
      <c r="R212" s="251">
        <v>265.2</v>
      </c>
      <c r="S212" s="251">
        <v>301.89999999999998</v>
      </c>
      <c r="T212" s="251">
        <v>327.2</v>
      </c>
      <c r="U212" s="251">
        <v>307.39999999999998</v>
      </c>
      <c r="V212" s="251">
        <v>405</v>
      </c>
      <c r="W212" s="251">
        <v>349</v>
      </c>
      <c r="X212" s="251">
        <v>365</v>
      </c>
      <c r="Y212" s="251">
        <v>517</v>
      </c>
      <c r="Z212" s="251">
        <v>517</v>
      </c>
      <c r="AA212" s="252">
        <f t="shared" si="85"/>
        <v>508.39898098925568</v>
      </c>
      <c r="AB212" s="252">
        <f t="shared" si="84"/>
        <v>515.06275257658967</v>
      </c>
      <c r="AC212" s="252">
        <f t="shared" si="84"/>
        <v>523.60238151216709</v>
      </c>
      <c r="AE212" s="252"/>
      <c r="AF212" s="240"/>
    </row>
    <row r="213" spans="1:32">
      <c r="A213" s="240" t="s">
        <v>234</v>
      </c>
      <c r="B213" s="290">
        <f t="shared" si="83"/>
        <v>57.820206259373094</v>
      </c>
      <c r="C213" s="251">
        <v>43.283964242357357</v>
      </c>
      <c r="D213" s="251">
        <v>83.001766264350906</v>
      </c>
      <c r="E213" s="251">
        <v>26.620390455531453</v>
      </c>
      <c r="F213" s="251">
        <v>24.470899470899472</v>
      </c>
      <c r="G213" s="251">
        <v>39.66101694915254</v>
      </c>
      <c r="H213" s="251">
        <v>76.372972972972974</v>
      </c>
      <c r="I213" s="251">
        <v>70.861025324274237</v>
      </c>
      <c r="J213" s="251">
        <v>78.276714021000615</v>
      </c>
      <c r="K213" s="251">
        <v>117.8</v>
      </c>
      <c r="L213" s="251">
        <v>117.4</v>
      </c>
      <c r="M213" s="251">
        <v>111.9</v>
      </c>
      <c r="N213" s="251">
        <v>177.9</v>
      </c>
      <c r="O213" s="251">
        <v>192.2</v>
      </c>
      <c r="P213" s="251">
        <v>124.9</v>
      </c>
      <c r="Q213" s="251">
        <v>238.6</v>
      </c>
      <c r="R213" s="251">
        <v>261.2</v>
      </c>
      <c r="S213" s="251">
        <v>272.3</v>
      </c>
      <c r="T213" s="251">
        <v>312.39999999999998</v>
      </c>
      <c r="U213" s="251">
        <v>242.9</v>
      </c>
      <c r="V213" s="251">
        <v>382</v>
      </c>
      <c r="W213" s="251">
        <v>300</v>
      </c>
      <c r="X213" s="251">
        <v>385</v>
      </c>
      <c r="Y213" s="251">
        <v>455</v>
      </c>
      <c r="Z213" s="252">
        <f t="shared" si="85"/>
        <v>483.43696644434681</v>
      </c>
      <c r="AA213" s="252">
        <f t="shared" si="85"/>
        <v>482.72644314664865</v>
      </c>
      <c r="AB213" s="252">
        <f t="shared" si="84"/>
        <v>499.3949152723884</v>
      </c>
      <c r="AC213" s="252">
        <f t="shared" si="84"/>
        <v>482.25900608862446</v>
      </c>
      <c r="AE213" s="252"/>
      <c r="AF213" s="240"/>
    </row>
    <row r="214" spans="1:32">
      <c r="A214" s="240" t="s">
        <v>46</v>
      </c>
      <c r="B214" s="290">
        <f t="shared" si="83"/>
        <v>46.441205040110667</v>
      </c>
      <c r="C214" s="251">
        <v>34.761284626420917</v>
      </c>
      <c r="D214" s="251">
        <v>79.115395937592012</v>
      </c>
      <c r="E214" s="251">
        <v>16.253796095444685</v>
      </c>
      <c r="F214" s="251">
        <v>17.195767195767196</v>
      </c>
      <c r="G214" s="251">
        <v>23.796610169491526</v>
      </c>
      <c r="H214" s="251">
        <v>64.540540540540547</v>
      </c>
      <c r="I214" s="251">
        <v>56.908379658225229</v>
      </c>
      <c r="J214" s="251">
        <v>62.863907761992984</v>
      </c>
      <c r="K214" s="251">
        <v>118</v>
      </c>
      <c r="L214" s="251">
        <v>126.7</v>
      </c>
      <c r="M214" s="251">
        <v>99.3</v>
      </c>
      <c r="N214" s="251">
        <v>182.2</v>
      </c>
      <c r="O214" s="251">
        <v>207.7</v>
      </c>
      <c r="P214" s="251">
        <v>111.2</v>
      </c>
      <c r="Q214" s="251">
        <v>242.7</v>
      </c>
      <c r="R214" s="251">
        <v>263.60000000000002</v>
      </c>
      <c r="S214" s="251">
        <v>273.89999999999998</v>
      </c>
      <c r="T214" s="251">
        <v>321.10000000000002</v>
      </c>
      <c r="U214" s="251">
        <v>210.9</v>
      </c>
      <c r="V214" s="251">
        <v>398</v>
      </c>
      <c r="W214" s="251">
        <v>280</v>
      </c>
      <c r="X214" s="251">
        <v>358</v>
      </c>
      <c r="Y214" s="251">
        <v>393</v>
      </c>
      <c r="Z214" s="252">
        <f t="shared" si="85"/>
        <v>491.76990947345718</v>
      </c>
      <c r="AA214" s="252">
        <f t="shared" si="85"/>
        <v>465.64039617035905</v>
      </c>
      <c r="AB214" s="252">
        <f t="shared" si="84"/>
        <v>466.3371996814185</v>
      </c>
      <c r="AC214" s="252">
        <f t="shared" si="84"/>
        <v>441.19122435363244</v>
      </c>
      <c r="AE214" s="252"/>
      <c r="AF214" s="240"/>
    </row>
    <row r="215" spans="1:32">
      <c r="A215" s="240" t="s">
        <v>235</v>
      </c>
      <c r="B215" s="290">
        <f t="shared" si="83"/>
        <v>35.59813244572419</v>
      </c>
      <c r="C215" s="251">
        <v>27.017327005849243</v>
      </c>
      <c r="D215" s="251">
        <v>56.907565498969689</v>
      </c>
      <c r="E215" s="251">
        <v>16.125813449023859</v>
      </c>
      <c r="F215" s="251">
        <v>8.3333333333333339</v>
      </c>
      <c r="G215" s="251">
        <v>14.542372881355933</v>
      </c>
      <c r="H215" s="251">
        <v>58.086486486486486</v>
      </c>
      <c r="I215" s="251">
        <v>44.230595017500512</v>
      </c>
      <c r="J215" s="251">
        <v>48.85937821700638</v>
      </c>
      <c r="K215" s="251">
        <v>103.4</v>
      </c>
      <c r="L215" s="251">
        <v>132</v>
      </c>
      <c r="M215" s="251">
        <v>83.8</v>
      </c>
      <c r="N215" s="251">
        <v>166</v>
      </c>
      <c r="O215" s="251">
        <v>184.6</v>
      </c>
      <c r="P215" s="251">
        <v>90.8</v>
      </c>
      <c r="Q215" s="251">
        <v>219.6</v>
      </c>
      <c r="R215" s="251">
        <v>259.60000000000002</v>
      </c>
      <c r="S215" s="251">
        <v>214.2</v>
      </c>
      <c r="T215" s="251">
        <v>310.3</v>
      </c>
      <c r="U215" s="251">
        <v>164.4</v>
      </c>
      <c r="V215" s="251">
        <v>382</v>
      </c>
      <c r="W215" s="251">
        <v>250</v>
      </c>
      <c r="X215" s="251">
        <v>316</v>
      </c>
      <c r="Y215" s="251">
        <v>331</v>
      </c>
      <c r="Z215" s="252">
        <f t="shared" si="85"/>
        <v>474.50099859434772</v>
      </c>
      <c r="AA215" s="252">
        <f t="shared" si="85"/>
        <v>473.27549291403307</v>
      </c>
      <c r="AB215" s="252">
        <f t="shared" si="84"/>
        <v>472.7562671275918</v>
      </c>
      <c r="AC215" s="252">
        <f t="shared" si="84"/>
        <v>475.01998331731227</v>
      </c>
      <c r="AE215" s="252"/>
      <c r="AF215" s="240"/>
    </row>
    <row r="216" spans="1:32">
      <c r="A216" s="240" t="s">
        <v>236</v>
      </c>
      <c r="B216" s="290">
        <f t="shared" si="83"/>
        <v>30.879246297524109</v>
      </c>
      <c r="C216" s="251">
        <v>24.183644189383067</v>
      </c>
      <c r="D216" s="251">
        <v>44.13806299676186</v>
      </c>
      <c r="E216" s="251">
        <v>9.4666666666666668</v>
      </c>
      <c r="F216" s="251">
        <v>7.5505617977528097</v>
      </c>
      <c r="G216" s="251">
        <v>9.0415019762845859</v>
      </c>
      <c r="H216" s="251">
        <v>63.385135135135137</v>
      </c>
      <c r="I216" s="251">
        <v>39.643122676579921</v>
      </c>
      <c r="J216" s="251">
        <v>45.078066914498137</v>
      </c>
      <c r="K216" s="251">
        <v>83.7</v>
      </c>
      <c r="L216" s="251">
        <v>107.8</v>
      </c>
      <c r="M216" s="251">
        <v>68.400000000000006</v>
      </c>
      <c r="N216" s="251">
        <v>170.8</v>
      </c>
      <c r="O216" s="251">
        <v>166.1</v>
      </c>
      <c r="P216" s="251">
        <v>114.6</v>
      </c>
      <c r="Q216" s="251">
        <v>209.4</v>
      </c>
      <c r="R216" s="251">
        <v>226.4</v>
      </c>
      <c r="S216" s="251">
        <v>164.7</v>
      </c>
      <c r="T216" s="251">
        <v>283.2</v>
      </c>
      <c r="U216" s="251">
        <v>154.69999999999999</v>
      </c>
      <c r="V216" s="251">
        <v>322</v>
      </c>
      <c r="W216" s="251">
        <v>212</v>
      </c>
      <c r="X216" s="251">
        <v>214</v>
      </c>
      <c r="Y216" s="251">
        <v>269</v>
      </c>
      <c r="Z216" s="252">
        <f t="shared" si="85"/>
        <v>385.70959181089802</v>
      </c>
      <c r="AA216" s="252">
        <f t="shared" si="85"/>
        <v>409.09856228428021</v>
      </c>
      <c r="AB216" s="252">
        <f t="shared" si="84"/>
        <v>416.91342836136255</v>
      </c>
      <c r="AC216" s="252">
        <f t="shared" si="84"/>
        <v>417.0889008618542</v>
      </c>
      <c r="AE216" s="252"/>
      <c r="AF216" s="240"/>
    </row>
    <row r="217" spans="1:32">
      <c r="A217" s="240" t="s">
        <v>237</v>
      </c>
      <c r="B217" s="290">
        <f t="shared" si="83"/>
        <v>13.655436432414101</v>
      </c>
      <c r="C217" s="251">
        <v>10.750689769341133</v>
      </c>
      <c r="D217" s="251">
        <v>10.96511627906977</v>
      </c>
      <c r="E217" s="251">
        <v>10.666666666666666</v>
      </c>
      <c r="F217" s="251">
        <v>7.1966292134831455</v>
      </c>
      <c r="G217" s="251">
        <v>4.4604743083003964</v>
      </c>
      <c r="H217" s="251">
        <v>25.783783783783782</v>
      </c>
      <c r="I217" s="251">
        <v>17.623105519016299</v>
      </c>
      <c r="J217" s="251">
        <v>20.039176436945958</v>
      </c>
      <c r="K217" s="251">
        <v>27.3</v>
      </c>
      <c r="L217" s="251">
        <v>60</v>
      </c>
      <c r="M217" s="251">
        <v>52</v>
      </c>
      <c r="N217" s="251">
        <v>113.6</v>
      </c>
      <c r="O217" s="251">
        <v>106.3</v>
      </c>
      <c r="P217" s="251">
        <v>77</v>
      </c>
      <c r="Q217" s="251">
        <v>144.4</v>
      </c>
      <c r="R217" s="251">
        <v>96.5</v>
      </c>
      <c r="S217" s="251">
        <v>71.3</v>
      </c>
      <c r="T217" s="251">
        <v>113</v>
      </c>
      <c r="U217" s="251">
        <v>69</v>
      </c>
      <c r="V217" s="251">
        <v>178</v>
      </c>
      <c r="W217" s="251">
        <v>60.4</v>
      </c>
      <c r="X217" s="251">
        <v>71.3</v>
      </c>
      <c r="Y217" s="251">
        <v>207</v>
      </c>
      <c r="Z217" s="252">
        <f t="shared" si="85"/>
        <v>372.19280862340179</v>
      </c>
      <c r="AA217" s="252">
        <f t="shared" si="85"/>
        <v>348.64149403764424</v>
      </c>
      <c r="AB217" s="252">
        <f t="shared" si="84"/>
        <v>350.35667529131638</v>
      </c>
      <c r="AC217" s="252">
        <f t="shared" si="84"/>
        <v>345.30194602913934</v>
      </c>
      <c r="AE217" s="252"/>
      <c r="AF217" s="240"/>
    </row>
    <row r="218" spans="1:32">
      <c r="A218" s="240" t="s">
        <v>238</v>
      </c>
      <c r="B218" s="290">
        <f t="shared" si="83"/>
        <v>51.852779268495695</v>
      </c>
      <c r="C218" s="251">
        <v>40.709855424346095</v>
      </c>
      <c r="D218" s="251">
        <v>38.863703267589059</v>
      </c>
      <c r="E218" s="251">
        <v>19.866666666666667</v>
      </c>
      <c r="F218" s="251">
        <v>48.252808988764045</v>
      </c>
      <c r="G218" s="251">
        <v>47.49802371541503</v>
      </c>
      <c r="H218" s="251">
        <v>69.831081081081081</v>
      </c>
      <c r="I218" s="251">
        <v>66.733771804403773</v>
      </c>
      <c r="J218" s="251">
        <v>75.882756648555898</v>
      </c>
      <c r="K218" s="251">
        <v>74.7</v>
      </c>
      <c r="L218" s="251">
        <v>45.1</v>
      </c>
      <c r="M218" s="251">
        <v>72.7</v>
      </c>
      <c r="N218" s="251">
        <v>57.5</v>
      </c>
      <c r="O218" s="251">
        <v>109.4</v>
      </c>
      <c r="P218" s="251">
        <v>102.6</v>
      </c>
      <c r="Q218" s="251">
        <v>140.4</v>
      </c>
      <c r="R218" s="251">
        <v>167.2</v>
      </c>
      <c r="S218" s="251">
        <v>232.6</v>
      </c>
      <c r="T218" s="251">
        <v>271.60000000000002</v>
      </c>
      <c r="U218" s="251">
        <v>294.7</v>
      </c>
      <c r="V218" s="251">
        <v>292</v>
      </c>
      <c r="W218" s="251">
        <v>301</v>
      </c>
      <c r="X218" s="251">
        <v>400</v>
      </c>
      <c r="Y218" s="251">
        <v>145</v>
      </c>
      <c r="Z218" s="252">
        <f t="shared" si="85"/>
        <v>255.95245081155366</v>
      </c>
      <c r="AA218" s="252">
        <f t="shared" si="85"/>
        <v>300.63105801998705</v>
      </c>
      <c r="AB218" s="252">
        <f t="shared" si="84"/>
        <v>297.03883143304904</v>
      </c>
      <c r="AC218" s="252">
        <f t="shared" si="84"/>
        <v>286.51871063188162</v>
      </c>
      <c r="AE218" s="252"/>
      <c r="AF218" s="240"/>
    </row>
    <row r="219" spans="1:32" ht="15.75" thickBot="1">
      <c r="A219" s="240" t="s">
        <v>242</v>
      </c>
      <c r="B219" s="146">
        <f>B33</f>
        <v>767</v>
      </c>
      <c r="C219" s="146">
        <f t="shared" ref="C219:AC219" si="86">SUM(C207:C218)</f>
        <v>587.99999999999977</v>
      </c>
      <c r="D219" s="146">
        <f t="shared" si="86"/>
        <v>943.00000000000011</v>
      </c>
      <c r="E219" s="146">
        <f t="shared" si="86"/>
        <v>429.99999999999994</v>
      </c>
      <c r="F219" s="146">
        <f t="shared" si="86"/>
        <v>505.00000000000011</v>
      </c>
      <c r="G219" s="146">
        <f t="shared" si="86"/>
        <v>560</v>
      </c>
      <c r="H219" s="146">
        <f t="shared" si="86"/>
        <v>879.99999999999989</v>
      </c>
      <c r="I219" s="146">
        <f t="shared" si="86"/>
        <v>975.99999999999989</v>
      </c>
      <c r="J219" s="146">
        <f t="shared" si="86"/>
        <v>880.99999999999989</v>
      </c>
      <c r="K219" s="146">
        <f t="shared" si="86"/>
        <v>1281.5</v>
      </c>
      <c r="L219" s="146">
        <f t="shared" si="86"/>
        <v>1338.1</v>
      </c>
      <c r="M219" s="146">
        <f t="shared" si="86"/>
        <v>1151.3</v>
      </c>
      <c r="N219" s="146">
        <f t="shared" si="86"/>
        <v>1868.3999999999999</v>
      </c>
      <c r="O219" s="146">
        <f t="shared" si="86"/>
        <v>2096.8999999999996</v>
      </c>
      <c r="P219" s="146">
        <f t="shared" si="86"/>
        <v>1755.5</v>
      </c>
      <c r="Q219" s="146">
        <f t="shared" si="86"/>
        <v>2535.6999999999998</v>
      </c>
      <c r="R219" s="146">
        <f t="shared" si="86"/>
        <v>2878.3999999999996</v>
      </c>
      <c r="S219" s="146">
        <f t="shared" si="86"/>
        <v>3017.9</v>
      </c>
      <c r="T219" s="146">
        <f t="shared" si="86"/>
        <v>3624.2999999999997</v>
      </c>
      <c r="U219" s="146">
        <f t="shared" si="86"/>
        <v>3135</v>
      </c>
      <c r="V219" s="146">
        <f t="shared" si="86"/>
        <v>4232.1000000000004</v>
      </c>
      <c r="W219" s="146">
        <f t="shared" si="86"/>
        <v>3565.4</v>
      </c>
      <c r="X219" s="146">
        <f t="shared" si="86"/>
        <v>3913.3</v>
      </c>
      <c r="Y219" s="146">
        <f t="shared" si="86"/>
        <v>4850</v>
      </c>
      <c r="Z219" s="253">
        <f t="shared" si="86"/>
        <v>5513.5627257580054</v>
      </c>
      <c r="AA219" s="253">
        <f t="shared" si="86"/>
        <v>5249.9999999999991</v>
      </c>
      <c r="AB219" s="253">
        <f t="shared" si="86"/>
        <v>5250</v>
      </c>
      <c r="AC219" s="253">
        <f t="shared" si="86"/>
        <v>5250.0000000000009</v>
      </c>
      <c r="AF219" s="240"/>
    </row>
    <row r="220" spans="1:32">
      <c r="A220" s="248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</row>
    <row r="221" spans="1:32" ht="15.75" thickBot="1">
      <c r="A221" s="240" t="s">
        <v>263</v>
      </c>
    </row>
    <row r="222" spans="1:32" ht="15.75" thickBot="1">
      <c r="A222" s="236"/>
      <c r="B222" s="237" t="str">
        <f>B$2</f>
        <v xml:space="preserve">93/94 </v>
      </c>
      <c r="C222" s="237" t="str">
        <f t="shared" ref="C222:AC222" si="87">C$2</f>
        <v xml:space="preserve">94/95 </v>
      </c>
      <c r="D222" s="237" t="str">
        <f t="shared" si="87"/>
        <v xml:space="preserve">95/96 </v>
      </c>
      <c r="E222" s="237" t="str">
        <f t="shared" si="87"/>
        <v xml:space="preserve">96/97 </v>
      </c>
      <c r="F222" s="237" t="str">
        <f t="shared" si="87"/>
        <v xml:space="preserve">97/98 </v>
      </c>
      <c r="G222" s="237" t="str">
        <f t="shared" si="87"/>
        <v xml:space="preserve">98/99 </v>
      </c>
      <c r="H222" s="237" t="str">
        <f t="shared" si="87"/>
        <v xml:space="preserve">99/00 </v>
      </c>
      <c r="I222" s="237" t="str">
        <f t="shared" si="87"/>
        <v xml:space="preserve">00/01 </v>
      </c>
      <c r="J222" s="237" t="str">
        <f t="shared" si="87"/>
        <v xml:space="preserve">01/02 </v>
      </c>
      <c r="K222" s="237" t="str">
        <f t="shared" si="87"/>
        <v xml:space="preserve">02/03 </v>
      </c>
      <c r="L222" s="237" t="str">
        <f t="shared" si="87"/>
        <v xml:space="preserve">03/04 </v>
      </c>
      <c r="M222" s="237" t="str">
        <f t="shared" si="87"/>
        <v xml:space="preserve">04/05 </v>
      </c>
      <c r="N222" s="237" t="str">
        <f t="shared" si="87"/>
        <v xml:space="preserve">05/06 </v>
      </c>
      <c r="O222" s="237" t="str">
        <f t="shared" si="87"/>
        <v xml:space="preserve">06/07 </v>
      </c>
      <c r="P222" s="237" t="str">
        <f t="shared" si="87"/>
        <v xml:space="preserve">07/08 </v>
      </c>
      <c r="Q222" s="237" t="str">
        <f t="shared" si="87"/>
        <v xml:space="preserve">08/09 </v>
      </c>
      <c r="R222" s="237" t="str">
        <f t="shared" si="87"/>
        <v xml:space="preserve">09/10 </v>
      </c>
      <c r="S222" s="237" t="str">
        <f t="shared" si="87"/>
        <v xml:space="preserve">10/11 </v>
      </c>
      <c r="T222" s="237" t="str">
        <f t="shared" si="87"/>
        <v xml:space="preserve">11/12 </v>
      </c>
      <c r="U222" s="237" t="str">
        <f t="shared" si="87"/>
        <v xml:space="preserve">12/13 </v>
      </c>
      <c r="V222" s="237" t="str">
        <f t="shared" si="87"/>
        <v xml:space="preserve">13/14 </v>
      </c>
      <c r="W222" s="237" t="str">
        <f t="shared" si="87"/>
        <v xml:space="preserve">14/15 </v>
      </c>
      <c r="X222" s="237" t="str">
        <f t="shared" si="87"/>
        <v xml:space="preserve">15/16 </v>
      </c>
      <c r="Y222" s="237" t="str">
        <f t="shared" si="87"/>
        <v xml:space="preserve">16/17 </v>
      </c>
      <c r="Z222" s="237" t="str">
        <f t="shared" si="87"/>
        <v xml:space="preserve">17/18 </v>
      </c>
      <c r="AA222" s="237" t="str">
        <f t="shared" si="87"/>
        <v xml:space="preserve">18/19 </v>
      </c>
      <c r="AB222" s="237" t="str">
        <f t="shared" si="87"/>
        <v xml:space="preserve">19/20 </v>
      </c>
      <c r="AC222" s="237" t="str">
        <f t="shared" si="87"/>
        <v xml:space="preserve">20/21 </v>
      </c>
    </row>
    <row r="223" spans="1:32">
      <c r="A223" s="240" t="s">
        <v>239</v>
      </c>
      <c r="B223" s="298">
        <f t="shared" ref="B223:AC232" si="88">B207/B81</f>
        <v>0.42027397260273974</v>
      </c>
      <c r="C223" s="298">
        <f t="shared" si="88"/>
        <v>0.42</v>
      </c>
      <c r="D223" s="298">
        <f t="shared" si="88"/>
        <v>0.41</v>
      </c>
      <c r="E223" s="298">
        <f t="shared" si="88"/>
        <v>0.41974077766699902</v>
      </c>
      <c r="F223" s="298">
        <f t="shared" si="88"/>
        <v>0.41025641025641024</v>
      </c>
      <c r="G223" s="298">
        <f t="shared" si="88"/>
        <v>0.40769230769230769</v>
      </c>
      <c r="H223" s="298">
        <f t="shared" si="88"/>
        <v>0.4</v>
      </c>
      <c r="I223" s="298">
        <f t="shared" si="88"/>
        <v>0.41630901287553645</v>
      </c>
      <c r="J223" s="298">
        <f t="shared" si="88"/>
        <v>0.40933398152649486</v>
      </c>
      <c r="K223" s="298">
        <f t="shared" si="88"/>
        <v>0.4107142857142857</v>
      </c>
      <c r="L223" s="298">
        <f t="shared" si="88"/>
        <v>0.41904761904761906</v>
      </c>
      <c r="M223" s="298">
        <f t="shared" si="88"/>
        <v>0.42166666666666663</v>
      </c>
      <c r="N223" s="298">
        <f t="shared" si="88"/>
        <v>0.42307692307692307</v>
      </c>
      <c r="O223" s="298">
        <f t="shared" si="88"/>
        <v>0.4229420259954611</v>
      </c>
      <c r="P223" s="298">
        <f t="shared" si="88"/>
        <v>0.42334905660377359</v>
      </c>
      <c r="Q223" s="298">
        <f t="shared" si="88"/>
        <v>0.42299035369774918</v>
      </c>
      <c r="R223" s="298">
        <f t="shared" si="88"/>
        <v>0.4229787234042553</v>
      </c>
      <c r="S223" s="298">
        <f t="shared" si="88"/>
        <v>0.42295497780596075</v>
      </c>
      <c r="T223" s="298">
        <f t="shared" si="88"/>
        <v>0.4229787234042553</v>
      </c>
      <c r="U223" s="298">
        <f t="shared" si="88"/>
        <v>0.4230232558139535</v>
      </c>
      <c r="V223" s="298">
        <f t="shared" si="88"/>
        <v>0.42302222222222224</v>
      </c>
      <c r="W223" s="298">
        <f t="shared" si="88"/>
        <v>0.43</v>
      </c>
      <c r="X223" s="298">
        <f t="shared" si="88"/>
        <v>0.43004291845493564</v>
      </c>
      <c r="Y223" s="298">
        <f t="shared" si="88"/>
        <v>0.435</v>
      </c>
      <c r="Z223" s="298">
        <f t="shared" si="88"/>
        <v>0.43</v>
      </c>
      <c r="AA223" s="298">
        <f t="shared" si="88"/>
        <v>0.38620125329424487</v>
      </c>
      <c r="AB223" s="298">
        <f t="shared" si="88"/>
        <v>0.39170319192693748</v>
      </c>
      <c r="AC223" s="298">
        <f t="shared" si="88"/>
        <v>0.38540467287037367</v>
      </c>
      <c r="AF223" s="240"/>
    </row>
    <row r="224" spans="1:32">
      <c r="A224" s="240" t="s">
        <v>240</v>
      </c>
      <c r="B224" s="298">
        <f t="shared" si="88"/>
        <v>0.42027397260273974</v>
      </c>
      <c r="C224" s="298">
        <f t="shared" si="88"/>
        <v>0.42</v>
      </c>
      <c r="D224" s="298">
        <f t="shared" si="88"/>
        <v>0.41</v>
      </c>
      <c r="E224" s="298">
        <f t="shared" si="88"/>
        <v>0.41974077766699897</v>
      </c>
      <c r="F224" s="298">
        <f t="shared" si="88"/>
        <v>0.41025641025641024</v>
      </c>
      <c r="G224" s="298">
        <f t="shared" si="88"/>
        <v>0.40769230769230769</v>
      </c>
      <c r="H224" s="298">
        <f t="shared" si="88"/>
        <v>0.4</v>
      </c>
      <c r="I224" s="298">
        <f t="shared" si="88"/>
        <v>0.41630901287553651</v>
      </c>
      <c r="J224" s="298">
        <f t="shared" si="88"/>
        <v>0.40933398152649492</v>
      </c>
      <c r="K224" s="298">
        <f t="shared" si="88"/>
        <v>0.41071428571428564</v>
      </c>
      <c r="L224" s="298">
        <f t="shared" si="88"/>
        <v>0.41904761904761906</v>
      </c>
      <c r="M224" s="298">
        <f t="shared" si="88"/>
        <v>0.42166666666666669</v>
      </c>
      <c r="N224" s="298">
        <f t="shared" si="88"/>
        <v>0.42307692307692307</v>
      </c>
      <c r="O224" s="298">
        <f t="shared" si="88"/>
        <v>0.4229420259954611</v>
      </c>
      <c r="P224" s="298">
        <f t="shared" si="88"/>
        <v>0.42334905660377359</v>
      </c>
      <c r="Q224" s="298">
        <f t="shared" si="88"/>
        <v>0.42299035369774918</v>
      </c>
      <c r="R224" s="298">
        <f t="shared" si="88"/>
        <v>0.4229787234042553</v>
      </c>
      <c r="S224" s="298">
        <f t="shared" si="88"/>
        <v>0.4229549778059607</v>
      </c>
      <c r="T224" s="298">
        <f t="shared" si="88"/>
        <v>0.4229787234042553</v>
      </c>
      <c r="U224" s="298">
        <f t="shared" si="88"/>
        <v>0.4230232558139535</v>
      </c>
      <c r="V224" s="298">
        <f t="shared" si="88"/>
        <v>0.42302222222222224</v>
      </c>
      <c r="W224" s="298">
        <f t="shared" si="88"/>
        <v>0.43</v>
      </c>
      <c r="X224" s="298">
        <f t="shared" si="88"/>
        <v>0.43004291845493564</v>
      </c>
      <c r="Y224" s="298">
        <f t="shared" si="88"/>
        <v>0.43499999999999994</v>
      </c>
      <c r="Z224" s="298">
        <f t="shared" si="88"/>
        <v>0.43</v>
      </c>
      <c r="AA224" s="298">
        <f t="shared" si="88"/>
        <v>0.38567632713225125</v>
      </c>
      <c r="AB224" s="298">
        <f t="shared" si="88"/>
        <v>0.38481561103616629</v>
      </c>
      <c r="AC224" s="298">
        <f t="shared" si="88"/>
        <v>0.38263312567837199</v>
      </c>
      <c r="AF224" s="240"/>
    </row>
    <row r="225" spans="1:32">
      <c r="A225" s="240" t="s">
        <v>241</v>
      </c>
      <c r="B225" s="298">
        <f t="shared" si="88"/>
        <v>0.42027397260273974</v>
      </c>
      <c r="C225" s="298">
        <f t="shared" si="88"/>
        <v>0.42</v>
      </c>
      <c r="D225" s="298">
        <f t="shared" si="88"/>
        <v>0.41</v>
      </c>
      <c r="E225" s="298">
        <f t="shared" si="88"/>
        <v>0.41974077766699908</v>
      </c>
      <c r="F225" s="298">
        <f t="shared" si="88"/>
        <v>0.41025641025641024</v>
      </c>
      <c r="G225" s="298">
        <f t="shared" si="88"/>
        <v>0.40769230769230769</v>
      </c>
      <c r="H225" s="298">
        <f t="shared" si="88"/>
        <v>0.4</v>
      </c>
      <c r="I225" s="298">
        <f t="shared" si="88"/>
        <v>0.4163090128755364</v>
      </c>
      <c r="J225" s="298">
        <f t="shared" si="88"/>
        <v>0.40933398152649492</v>
      </c>
      <c r="K225" s="298">
        <f t="shared" si="88"/>
        <v>0.4107142857142857</v>
      </c>
      <c r="L225" s="298">
        <f t="shared" si="88"/>
        <v>0.41904761904761906</v>
      </c>
      <c r="M225" s="298">
        <f t="shared" si="88"/>
        <v>0.42166666666666675</v>
      </c>
      <c r="N225" s="298">
        <f t="shared" si="88"/>
        <v>0.42307692307692307</v>
      </c>
      <c r="O225" s="298">
        <f t="shared" si="88"/>
        <v>0.4229420259954611</v>
      </c>
      <c r="P225" s="298">
        <f t="shared" si="88"/>
        <v>0.42334905660377359</v>
      </c>
      <c r="Q225" s="298">
        <f t="shared" si="88"/>
        <v>0.42299035369774923</v>
      </c>
      <c r="R225" s="298">
        <f t="shared" si="88"/>
        <v>0.4229787234042553</v>
      </c>
      <c r="S225" s="298">
        <f t="shared" si="88"/>
        <v>0.42295497780596064</v>
      </c>
      <c r="T225" s="298">
        <f t="shared" si="88"/>
        <v>0.4229787234042553</v>
      </c>
      <c r="U225" s="298">
        <f t="shared" si="88"/>
        <v>0.4230232558139535</v>
      </c>
      <c r="V225" s="298">
        <f t="shared" si="88"/>
        <v>0.42302222222222224</v>
      </c>
      <c r="W225" s="298">
        <f t="shared" si="88"/>
        <v>0.43</v>
      </c>
      <c r="X225" s="298">
        <f t="shared" si="88"/>
        <v>0.43004291845493564</v>
      </c>
      <c r="Y225" s="298">
        <f t="shared" si="88"/>
        <v>0.435</v>
      </c>
      <c r="Z225" s="298">
        <f t="shared" si="88"/>
        <v>0.43000000000000005</v>
      </c>
      <c r="AA225" s="298">
        <f t="shared" si="88"/>
        <v>0.39684000439701422</v>
      </c>
      <c r="AB225" s="298">
        <f t="shared" si="88"/>
        <v>0.38260550065886623</v>
      </c>
      <c r="AC225" s="298">
        <f t="shared" si="88"/>
        <v>0.3875168681122963</v>
      </c>
      <c r="AF225" s="240"/>
    </row>
    <row r="226" spans="1:32">
      <c r="A226" s="240" t="s">
        <v>231</v>
      </c>
      <c r="B226" s="298">
        <f t="shared" si="88"/>
        <v>0.42027397260273974</v>
      </c>
      <c r="C226" s="298">
        <f t="shared" si="88"/>
        <v>0.42</v>
      </c>
      <c r="D226" s="298">
        <f t="shared" si="88"/>
        <v>0.41</v>
      </c>
      <c r="E226" s="298">
        <f t="shared" si="88"/>
        <v>0.41974077766699902</v>
      </c>
      <c r="F226" s="298">
        <f t="shared" si="88"/>
        <v>0.41025641025641024</v>
      </c>
      <c r="G226" s="298">
        <f t="shared" si="88"/>
        <v>0.40769230769230763</v>
      </c>
      <c r="H226" s="298">
        <f t="shared" si="88"/>
        <v>0.4</v>
      </c>
      <c r="I226" s="298">
        <f t="shared" si="88"/>
        <v>0.4163090128755364</v>
      </c>
      <c r="J226" s="298">
        <f t="shared" si="88"/>
        <v>0.40933398152649492</v>
      </c>
      <c r="K226" s="298">
        <f t="shared" si="88"/>
        <v>0.41071428571428564</v>
      </c>
      <c r="L226" s="298">
        <f t="shared" si="88"/>
        <v>0.41904761904761906</v>
      </c>
      <c r="M226" s="298">
        <f t="shared" si="88"/>
        <v>0.42166666666666669</v>
      </c>
      <c r="N226" s="298">
        <f t="shared" si="88"/>
        <v>0.42307692307692307</v>
      </c>
      <c r="O226" s="298">
        <f t="shared" si="88"/>
        <v>0.4229420259954611</v>
      </c>
      <c r="P226" s="298">
        <f t="shared" si="88"/>
        <v>0.42334905660377359</v>
      </c>
      <c r="Q226" s="298">
        <f t="shared" si="88"/>
        <v>0.42299035369774918</v>
      </c>
      <c r="R226" s="298">
        <f t="shared" si="88"/>
        <v>0.42297872340425535</v>
      </c>
      <c r="S226" s="298">
        <f t="shared" si="88"/>
        <v>0.4229549778059607</v>
      </c>
      <c r="T226" s="298">
        <f t="shared" si="88"/>
        <v>0.4229787234042553</v>
      </c>
      <c r="U226" s="298">
        <f t="shared" si="88"/>
        <v>0.4230232558139535</v>
      </c>
      <c r="V226" s="298">
        <f t="shared" si="88"/>
        <v>0.42302222222222224</v>
      </c>
      <c r="W226" s="298">
        <f t="shared" si="88"/>
        <v>0.43</v>
      </c>
      <c r="X226" s="298">
        <f t="shared" si="88"/>
        <v>0.43004291845493564</v>
      </c>
      <c r="Y226" s="298">
        <f t="shared" si="88"/>
        <v>0.43499999999999994</v>
      </c>
      <c r="Z226" s="298">
        <f t="shared" si="88"/>
        <v>0.43000000000000005</v>
      </c>
      <c r="AA226" s="298">
        <f t="shared" si="88"/>
        <v>0.37226346899358764</v>
      </c>
      <c r="AB226" s="298">
        <f t="shared" si="88"/>
        <v>0.37892771704379791</v>
      </c>
      <c r="AC226" s="298">
        <f t="shared" si="88"/>
        <v>0.38141441018617961</v>
      </c>
      <c r="AF226" s="240"/>
    </row>
    <row r="227" spans="1:32">
      <c r="A227" s="240" t="s">
        <v>232</v>
      </c>
      <c r="B227" s="298">
        <f t="shared" si="88"/>
        <v>0.42027397260273974</v>
      </c>
      <c r="C227" s="298">
        <f t="shared" si="88"/>
        <v>0.42</v>
      </c>
      <c r="D227" s="298">
        <f t="shared" si="88"/>
        <v>0.41</v>
      </c>
      <c r="E227" s="298">
        <f t="shared" si="88"/>
        <v>0.41974077766699902</v>
      </c>
      <c r="F227" s="298">
        <f t="shared" si="88"/>
        <v>0.41025641025641024</v>
      </c>
      <c r="G227" s="298">
        <f t="shared" si="88"/>
        <v>0.40769230769230769</v>
      </c>
      <c r="H227" s="298">
        <f t="shared" si="88"/>
        <v>0.4</v>
      </c>
      <c r="I227" s="298">
        <f t="shared" si="88"/>
        <v>0.41630901287553645</v>
      </c>
      <c r="J227" s="298">
        <f t="shared" si="88"/>
        <v>0.40933398152649492</v>
      </c>
      <c r="K227" s="298">
        <f t="shared" si="88"/>
        <v>0.41071428571428575</v>
      </c>
      <c r="L227" s="298">
        <f t="shared" si="88"/>
        <v>0.41904761904761906</v>
      </c>
      <c r="M227" s="298">
        <f t="shared" si="88"/>
        <v>0.42166666666666669</v>
      </c>
      <c r="N227" s="298">
        <f t="shared" si="88"/>
        <v>0.42307692307692307</v>
      </c>
      <c r="O227" s="298">
        <f t="shared" si="88"/>
        <v>0.4229420259954611</v>
      </c>
      <c r="P227" s="298">
        <f t="shared" si="88"/>
        <v>0.42334905660377359</v>
      </c>
      <c r="Q227" s="298">
        <f t="shared" si="88"/>
        <v>0.42299035369774918</v>
      </c>
      <c r="R227" s="298">
        <f t="shared" si="88"/>
        <v>0.4229787234042553</v>
      </c>
      <c r="S227" s="298">
        <f t="shared" si="88"/>
        <v>0.4229549778059607</v>
      </c>
      <c r="T227" s="298">
        <f t="shared" si="88"/>
        <v>0.4229787234042553</v>
      </c>
      <c r="U227" s="298">
        <f t="shared" si="88"/>
        <v>0.4230232558139535</v>
      </c>
      <c r="V227" s="298">
        <f t="shared" si="88"/>
        <v>0.42302222222222224</v>
      </c>
      <c r="W227" s="298">
        <f t="shared" si="88"/>
        <v>0.43</v>
      </c>
      <c r="X227" s="298">
        <f t="shared" si="88"/>
        <v>0.43004291845493564</v>
      </c>
      <c r="Y227" s="298">
        <f t="shared" si="88"/>
        <v>0.435</v>
      </c>
      <c r="Z227" s="298">
        <f t="shared" si="88"/>
        <v>0.43</v>
      </c>
      <c r="AA227" s="298">
        <f t="shared" si="88"/>
        <v>0.38134319196309563</v>
      </c>
      <c r="AB227" s="298">
        <f t="shared" si="88"/>
        <v>0.39030022666176561</v>
      </c>
      <c r="AC227" s="298">
        <f t="shared" si="88"/>
        <v>0.39540292371814567</v>
      </c>
      <c r="AF227" s="240"/>
    </row>
    <row r="228" spans="1:32">
      <c r="A228" s="240" t="s">
        <v>233</v>
      </c>
      <c r="B228" s="298">
        <f t="shared" si="88"/>
        <v>0.42027397260273969</v>
      </c>
      <c r="C228" s="298">
        <f t="shared" si="88"/>
        <v>0.42</v>
      </c>
      <c r="D228" s="298">
        <f t="shared" si="88"/>
        <v>0.41</v>
      </c>
      <c r="E228" s="298">
        <f t="shared" si="88"/>
        <v>0.41974077766699902</v>
      </c>
      <c r="F228" s="298">
        <f t="shared" si="88"/>
        <v>0.41025641025641024</v>
      </c>
      <c r="G228" s="298">
        <f t="shared" si="88"/>
        <v>0.40769230769230769</v>
      </c>
      <c r="H228" s="298">
        <f t="shared" si="88"/>
        <v>0.4</v>
      </c>
      <c r="I228" s="298">
        <f t="shared" si="88"/>
        <v>0.41630901287553645</v>
      </c>
      <c r="J228" s="298">
        <f t="shared" si="88"/>
        <v>0.40933398152649497</v>
      </c>
      <c r="K228" s="298">
        <f t="shared" si="88"/>
        <v>0.41071428571428575</v>
      </c>
      <c r="L228" s="298">
        <f t="shared" si="88"/>
        <v>0.419047619047619</v>
      </c>
      <c r="M228" s="298">
        <f t="shared" si="88"/>
        <v>0.42166666666666663</v>
      </c>
      <c r="N228" s="298">
        <f t="shared" si="88"/>
        <v>0.42307692307692307</v>
      </c>
      <c r="O228" s="298">
        <f t="shared" si="88"/>
        <v>0.4229420259954611</v>
      </c>
      <c r="P228" s="298">
        <f t="shared" si="88"/>
        <v>0.42334905660377359</v>
      </c>
      <c r="Q228" s="298">
        <f t="shared" si="88"/>
        <v>0.42299035369774912</v>
      </c>
      <c r="R228" s="298">
        <f t="shared" si="88"/>
        <v>0.4229787234042553</v>
      </c>
      <c r="S228" s="298">
        <f t="shared" si="88"/>
        <v>0.4229549778059607</v>
      </c>
      <c r="T228" s="298">
        <f t="shared" si="88"/>
        <v>0.4229787234042553</v>
      </c>
      <c r="U228" s="298">
        <f t="shared" si="88"/>
        <v>0.4230232558139535</v>
      </c>
      <c r="V228" s="298">
        <f t="shared" si="88"/>
        <v>0.42302222222222224</v>
      </c>
      <c r="W228" s="298">
        <f t="shared" si="88"/>
        <v>0.43</v>
      </c>
      <c r="X228" s="298">
        <f t="shared" si="88"/>
        <v>0.43004291845493564</v>
      </c>
      <c r="Y228" s="298">
        <f t="shared" si="88"/>
        <v>0.435</v>
      </c>
      <c r="Z228" s="298">
        <f t="shared" si="88"/>
        <v>0.43000000000000005</v>
      </c>
      <c r="AA228" s="298">
        <f t="shared" si="88"/>
        <v>0.43240871129135211</v>
      </c>
      <c r="AB228" s="298">
        <f t="shared" si="88"/>
        <v>0.4362676300460902</v>
      </c>
      <c r="AC228" s="298">
        <f t="shared" si="88"/>
        <v>0.44158017196704058</v>
      </c>
      <c r="AF228" s="240"/>
    </row>
    <row r="229" spans="1:32">
      <c r="A229" s="240" t="s">
        <v>234</v>
      </c>
      <c r="B229" s="298">
        <f t="shared" si="88"/>
        <v>0.4202739726027398</v>
      </c>
      <c r="C229" s="298">
        <f t="shared" si="88"/>
        <v>0.42</v>
      </c>
      <c r="D229" s="298">
        <f t="shared" si="88"/>
        <v>0.41</v>
      </c>
      <c r="E229" s="298">
        <f t="shared" si="88"/>
        <v>0.41974077766699902</v>
      </c>
      <c r="F229" s="298">
        <f t="shared" si="88"/>
        <v>0.41025641025641024</v>
      </c>
      <c r="G229" s="298">
        <f t="shared" si="88"/>
        <v>0.40769230769230769</v>
      </c>
      <c r="H229" s="298">
        <f t="shared" si="88"/>
        <v>0.4</v>
      </c>
      <c r="I229" s="298">
        <f t="shared" si="88"/>
        <v>0.41630901287553645</v>
      </c>
      <c r="J229" s="298">
        <f t="shared" si="88"/>
        <v>0.40933398152649492</v>
      </c>
      <c r="K229" s="298">
        <f t="shared" si="88"/>
        <v>0.4107142857142857</v>
      </c>
      <c r="L229" s="298">
        <f t="shared" si="88"/>
        <v>0.419047619047619</v>
      </c>
      <c r="M229" s="298">
        <f t="shared" si="88"/>
        <v>0.42166666666666669</v>
      </c>
      <c r="N229" s="298">
        <f t="shared" si="88"/>
        <v>0.42307692307692307</v>
      </c>
      <c r="O229" s="298">
        <f t="shared" si="88"/>
        <v>0.4229420259954611</v>
      </c>
      <c r="P229" s="298">
        <f t="shared" si="88"/>
        <v>0.42334905660377359</v>
      </c>
      <c r="Q229" s="298">
        <f t="shared" si="88"/>
        <v>0.42299035369774918</v>
      </c>
      <c r="R229" s="298">
        <f t="shared" si="88"/>
        <v>0.4229787234042553</v>
      </c>
      <c r="S229" s="298">
        <f t="shared" si="88"/>
        <v>0.42295497780596064</v>
      </c>
      <c r="T229" s="298">
        <f t="shared" si="88"/>
        <v>0.4229787234042553</v>
      </c>
      <c r="U229" s="298">
        <f t="shared" si="88"/>
        <v>0.4230232558139535</v>
      </c>
      <c r="V229" s="298">
        <f t="shared" si="88"/>
        <v>0.42302222222222224</v>
      </c>
      <c r="W229" s="298">
        <f t="shared" si="88"/>
        <v>0.43000000000000005</v>
      </c>
      <c r="X229" s="298">
        <f t="shared" si="88"/>
        <v>0.43004291845493564</v>
      </c>
      <c r="Y229" s="298">
        <f t="shared" si="88"/>
        <v>0.43500000000000005</v>
      </c>
      <c r="Z229" s="298">
        <f t="shared" si="88"/>
        <v>0.45477582700504715</v>
      </c>
      <c r="AA229" s="298">
        <f t="shared" si="88"/>
        <v>0.45215008015864105</v>
      </c>
      <c r="AB229" s="298">
        <f t="shared" si="88"/>
        <v>0.460074568989152</v>
      </c>
      <c r="AC229" s="298">
        <f t="shared" si="88"/>
        <v>0.44571621048822729</v>
      </c>
      <c r="AF229" s="240"/>
    </row>
    <row r="230" spans="1:32">
      <c r="A230" s="240" t="s">
        <v>46</v>
      </c>
      <c r="B230" s="298">
        <f t="shared" si="88"/>
        <v>0.42027397260273974</v>
      </c>
      <c r="C230" s="298">
        <f t="shared" si="88"/>
        <v>0.42</v>
      </c>
      <c r="D230" s="298">
        <f t="shared" si="88"/>
        <v>0.41</v>
      </c>
      <c r="E230" s="298">
        <f t="shared" si="88"/>
        <v>0.41974077766699908</v>
      </c>
      <c r="F230" s="298">
        <f t="shared" si="88"/>
        <v>0.41025641025641024</v>
      </c>
      <c r="G230" s="298">
        <f t="shared" si="88"/>
        <v>0.40769230769230769</v>
      </c>
      <c r="H230" s="298">
        <f t="shared" si="88"/>
        <v>0.4</v>
      </c>
      <c r="I230" s="298">
        <f t="shared" si="88"/>
        <v>0.41630901287553645</v>
      </c>
      <c r="J230" s="298">
        <f t="shared" si="88"/>
        <v>0.40933398152649492</v>
      </c>
      <c r="K230" s="298">
        <f t="shared" si="88"/>
        <v>0.41071428571428575</v>
      </c>
      <c r="L230" s="298">
        <f t="shared" si="88"/>
        <v>0.419047619047619</v>
      </c>
      <c r="M230" s="298">
        <f t="shared" si="88"/>
        <v>0.42166666666666669</v>
      </c>
      <c r="N230" s="298">
        <f t="shared" si="88"/>
        <v>0.42307692307692307</v>
      </c>
      <c r="O230" s="298">
        <f t="shared" si="88"/>
        <v>0.4229420259954611</v>
      </c>
      <c r="P230" s="298">
        <f t="shared" si="88"/>
        <v>0.42334905660377359</v>
      </c>
      <c r="Q230" s="298">
        <f t="shared" si="88"/>
        <v>0.42299035369774912</v>
      </c>
      <c r="R230" s="298">
        <f t="shared" si="88"/>
        <v>0.42297872340425535</v>
      </c>
      <c r="S230" s="298">
        <f t="shared" si="88"/>
        <v>0.4229549778059607</v>
      </c>
      <c r="T230" s="298">
        <f t="shared" si="88"/>
        <v>0.4229787234042553</v>
      </c>
      <c r="U230" s="298">
        <f t="shared" si="88"/>
        <v>0.4230232558139535</v>
      </c>
      <c r="V230" s="298">
        <f t="shared" si="88"/>
        <v>0.42302222222222224</v>
      </c>
      <c r="W230" s="298">
        <f t="shared" si="88"/>
        <v>0.43000000000000005</v>
      </c>
      <c r="X230" s="298">
        <f t="shared" si="88"/>
        <v>0.43004291845493564</v>
      </c>
      <c r="Y230" s="298">
        <f t="shared" si="88"/>
        <v>0.435</v>
      </c>
      <c r="Z230" s="298">
        <f t="shared" si="88"/>
        <v>0.47851405430716298</v>
      </c>
      <c r="AA230" s="298">
        <f t="shared" si="88"/>
        <v>0.46916055314289362</v>
      </c>
      <c r="AB230" s="298">
        <f t="shared" si="88"/>
        <v>0.45421165762817445</v>
      </c>
      <c r="AC230" s="298">
        <f t="shared" si="88"/>
        <v>0.44127763693361027</v>
      </c>
      <c r="AF230" s="240"/>
    </row>
    <row r="231" spans="1:32">
      <c r="A231" s="240" t="s">
        <v>235</v>
      </c>
      <c r="B231" s="298">
        <f t="shared" si="88"/>
        <v>0.42027397260273974</v>
      </c>
      <c r="C231" s="298">
        <f t="shared" si="88"/>
        <v>0.41999999999999993</v>
      </c>
      <c r="D231" s="298">
        <f t="shared" si="88"/>
        <v>0.41</v>
      </c>
      <c r="E231" s="298">
        <f t="shared" si="88"/>
        <v>0.41974077766699902</v>
      </c>
      <c r="F231" s="298">
        <f t="shared" si="88"/>
        <v>0.41025641025641019</v>
      </c>
      <c r="G231" s="298">
        <f t="shared" si="88"/>
        <v>0.40769230769230763</v>
      </c>
      <c r="H231" s="298">
        <f t="shared" si="88"/>
        <v>0.4</v>
      </c>
      <c r="I231" s="298">
        <f t="shared" si="88"/>
        <v>0.41630901287553645</v>
      </c>
      <c r="J231" s="298">
        <f t="shared" si="88"/>
        <v>0.40933398152649492</v>
      </c>
      <c r="K231" s="298">
        <f t="shared" si="88"/>
        <v>0.4107142857142857</v>
      </c>
      <c r="L231" s="298">
        <f t="shared" si="88"/>
        <v>0.41904761904761906</v>
      </c>
      <c r="M231" s="298">
        <f t="shared" si="88"/>
        <v>0.42166666666666669</v>
      </c>
      <c r="N231" s="298">
        <f t="shared" si="88"/>
        <v>0.42307692307692307</v>
      </c>
      <c r="O231" s="298">
        <f t="shared" si="88"/>
        <v>0.4229420259954611</v>
      </c>
      <c r="P231" s="298">
        <f t="shared" si="88"/>
        <v>0.42334905660377359</v>
      </c>
      <c r="Q231" s="298">
        <f t="shared" si="88"/>
        <v>0.42299035369774918</v>
      </c>
      <c r="R231" s="298">
        <f t="shared" si="88"/>
        <v>0.42297872340425535</v>
      </c>
      <c r="S231" s="298">
        <f t="shared" si="88"/>
        <v>0.4229549778059607</v>
      </c>
      <c r="T231" s="298">
        <f t="shared" si="88"/>
        <v>0.4229787234042553</v>
      </c>
      <c r="U231" s="298">
        <f t="shared" si="88"/>
        <v>0.4230232558139535</v>
      </c>
      <c r="V231" s="298">
        <f t="shared" si="88"/>
        <v>0.42302222222222224</v>
      </c>
      <c r="W231" s="298">
        <f t="shared" si="88"/>
        <v>0.43</v>
      </c>
      <c r="X231" s="298">
        <f t="shared" si="88"/>
        <v>0.43004291845493564</v>
      </c>
      <c r="Y231" s="298">
        <f t="shared" si="88"/>
        <v>0.43499999999999994</v>
      </c>
      <c r="Z231" s="298">
        <f t="shared" si="88"/>
        <v>0.50878875111828703</v>
      </c>
      <c r="AA231" s="298">
        <f t="shared" si="88"/>
        <v>0.5416420943385768</v>
      </c>
      <c r="AB231" s="298">
        <f t="shared" si="88"/>
        <v>0.51258273678998678</v>
      </c>
      <c r="AC231" s="298">
        <f t="shared" si="88"/>
        <v>0.53919180378650899</v>
      </c>
      <c r="AF231" s="240"/>
    </row>
    <row r="232" spans="1:32">
      <c r="A232" s="240" t="s">
        <v>236</v>
      </c>
      <c r="B232" s="298">
        <f t="shared" si="88"/>
        <v>0.42027397260273974</v>
      </c>
      <c r="C232" s="298">
        <f t="shared" si="88"/>
        <v>0.42</v>
      </c>
      <c r="D232" s="298">
        <f t="shared" si="88"/>
        <v>0.41</v>
      </c>
      <c r="E232" s="298">
        <f t="shared" ref="E232:AE233" si="89">E216/E90</f>
        <v>0.41974077766699902</v>
      </c>
      <c r="F232" s="298">
        <f t="shared" si="89"/>
        <v>0.41025641025641024</v>
      </c>
      <c r="G232" s="298">
        <f t="shared" si="89"/>
        <v>0.40769230769230763</v>
      </c>
      <c r="H232" s="298">
        <f t="shared" si="89"/>
        <v>0.4</v>
      </c>
      <c r="I232" s="298">
        <f t="shared" si="89"/>
        <v>0.41630901287553645</v>
      </c>
      <c r="J232" s="298">
        <f t="shared" si="89"/>
        <v>0.40933398152649492</v>
      </c>
      <c r="K232" s="298">
        <f t="shared" si="89"/>
        <v>0.4107142857142857</v>
      </c>
      <c r="L232" s="298">
        <f t="shared" si="89"/>
        <v>0.41904761904761906</v>
      </c>
      <c r="M232" s="298">
        <f t="shared" si="89"/>
        <v>0.42166666666666669</v>
      </c>
      <c r="N232" s="298">
        <f t="shared" si="89"/>
        <v>0.42307692307692307</v>
      </c>
      <c r="O232" s="298">
        <f t="shared" si="89"/>
        <v>0.4229420259954611</v>
      </c>
      <c r="P232" s="298">
        <f t="shared" si="89"/>
        <v>0.42334905660377364</v>
      </c>
      <c r="Q232" s="298">
        <f t="shared" si="89"/>
        <v>0.42299035369774918</v>
      </c>
      <c r="R232" s="298">
        <f t="shared" si="89"/>
        <v>0.4229787234042553</v>
      </c>
      <c r="S232" s="298">
        <f t="shared" si="89"/>
        <v>0.42295497780596064</v>
      </c>
      <c r="T232" s="298">
        <f t="shared" si="89"/>
        <v>0.4229787234042553</v>
      </c>
      <c r="U232" s="298">
        <f t="shared" si="89"/>
        <v>0.4230232558139535</v>
      </c>
      <c r="V232" s="298">
        <f t="shared" si="89"/>
        <v>0.42302222222222224</v>
      </c>
      <c r="W232" s="298">
        <f t="shared" si="89"/>
        <v>0.43</v>
      </c>
      <c r="X232" s="298">
        <f t="shared" si="89"/>
        <v>0.43004291845493564</v>
      </c>
      <c r="Y232" s="298">
        <f t="shared" si="89"/>
        <v>0.435</v>
      </c>
      <c r="Z232" s="298">
        <f t="shared" si="89"/>
        <v>0.4958491308889128</v>
      </c>
      <c r="AA232" s="298">
        <f t="shared" si="89"/>
        <v>0.57649354507095407</v>
      </c>
      <c r="AB232" s="298">
        <f t="shared" si="89"/>
        <v>0.5618321371421221</v>
      </c>
      <c r="AC232" s="298">
        <f t="shared" si="89"/>
        <v>0.59375459859920821</v>
      </c>
      <c r="AF232" s="240"/>
    </row>
    <row r="233" spans="1:32">
      <c r="A233" s="240" t="s">
        <v>237</v>
      </c>
      <c r="B233" s="298">
        <f t="shared" ref="B233:Q233" si="90">B217/B91</f>
        <v>0.42027397260273974</v>
      </c>
      <c r="C233" s="298">
        <f t="shared" si="90"/>
        <v>0.41999999999999993</v>
      </c>
      <c r="D233" s="298">
        <f t="shared" si="90"/>
        <v>0.41</v>
      </c>
      <c r="E233" s="298">
        <f t="shared" si="90"/>
        <v>0.41974077766699902</v>
      </c>
      <c r="F233" s="298">
        <f t="shared" si="90"/>
        <v>0.41025641025641024</v>
      </c>
      <c r="G233" s="298">
        <f t="shared" si="90"/>
        <v>0.40769230769230769</v>
      </c>
      <c r="H233" s="298">
        <f t="shared" si="90"/>
        <v>0.4</v>
      </c>
      <c r="I233" s="298">
        <f t="shared" si="90"/>
        <v>0.41630901287553651</v>
      </c>
      <c r="J233" s="298">
        <f t="shared" si="90"/>
        <v>0.40933398152649492</v>
      </c>
      <c r="K233" s="298">
        <f t="shared" si="90"/>
        <v>0.4107142857142857</v>
      </c>
      <c r="L233" s="298">
        <f t="shared" si="90"/>
        <v>0.41904761904761906</v>
      </c>
      <c r="M233" s="298">
        <f t="shared" si="90"/>
        <v>0.42166666666666669</v>
      </c>
      <c r="N233" s="298">
        <f t="shared" si="90"/>
        <v>0.42307692307692307</v>
      </c>
      <c r="O233" s="298">
        <f t="shared" si="90"/>
        <v>0.4229420259954611</v>
      </c>
      <c r="P233" s="298">
        <f t="shared" si="90"/>
        <v>0.42334905660377359</v>
      </c>
      <c r="Q233" s="298">
        <f t="shared" si="90"/>
        <v>0.42299035369774918</v>
      </c>
      <c r="R233" s="298">
        <f t="shared" si="89"/>
        <v>0.4229787234042553</v>
      </c>
      <c r="S233" s="298">
        <f t="shared" si="89"/>
        <v>0.4229549778059607</v>
      </c>
      <c r="T233" s="298">
        <f t="shared" si="89"/>
        <v>0.4229787234042553</v>
      </c>
      <c r="U233" s="298">
        <f t="shared" si="89"/>
        <v>0.4230232558139535</v>
      </c>
      <c r="V233" s="298">
        <f t="shared" si="89"/>
        <v>0.42302222222222224</v>
      </c>
      <c r="W233" s="298">
        <f t="shared" si="89"/>
        <v>0.43</v>
      </c>
      <c r="X233" s="298">
        <f t="shared" si="89"/>
        <v>0.43004291845493564</v>
      </c>
      <c r="Y233" s="298">
        <f t="shared" si="89"/>
        <v>0.435</v>
      </c>
      <c r="Z233" s="298">
        <f t="shared" si="89"/>
        <v>0.48184493633836878</v>
      </c>
      <c r="AA233" s="298">
        <f t="shared" si="89"/>
        <v>0.98399756554295337</v>
      </c>
      <c r="AB233" s="298">
        <f t="shared" si="89"/>
        <v>0.75245176406070324</v>
      </c>
      <c r="AC233" s="298">
        <f t="shared" si="89"/>
        <v>0.79740540882473943</v>
      </c>
      <c r="AF233" s="240"/>
    </row>
    <row r="234" spans="1:32">
      <c r="A234" s="240" t="s">
        <v>238</v>
      </c>
      <c r="B234" s="298">
        <f>B218/C80</f>
        <v>0.42027397260273974</v>
      </c>
      <c r="C234" s="298">
        <f t="shared" ref="C234:Y234" si="91">C218/D80</f>
        <v>0.42</v>
      </c>
      <c r="D234" s="298">
        <f t="shared" si="91"/>
        <v>0.41</v>
      </c>
      <c r="E234" s="298">
        <f t="shared" si="91"/>
        <v>0.41974077766699897</v>
      </c>
      <c r="F234" s="298">
        <f t="shared" si="91"/>
        <v>0.41025641025641024</v>
      </c>
      <c r="G234" s="298">
        <f t="shared" si="91"/>
        <v>0.40769230769230769</v>
      </c>
      <c r="H234" s="298">
        <f t="shared" si="91"/>
        <v>0.4</v>
      </c>
      <c r="I234" s="298">
        <f t="shared" si="91"/>
        <v>0.41630901287553645</v>
      </c>
      <c r="J234" s="298">
        <f t="shared" si="91"/>
        <v>0.40933398152649492</v>
      </c>
      <c r="K234" s="298">
        <f t="shared" si="91"/>
        <v>0.4107142857142857</v>
      </c>
      <c r="L234" s="298">
        <f t="shared" si="91"/>
        <v>0.41904761904761906</v>
      </c>
      <c r="M234" s="298">
        <f t="shared" si="91"/>
        <v>0.42166666666666669</v>
      </c>
      <c r="N234" s="298">
        <f t="shared" si="91"/>
        <v>0.42307692307692307</v>
      </c>
      <c r="O234" s="298">
        <f t="shared" si="91"/>
        <v>0.42294202599546116</v>
      </c>
      <c r="P234" s="298">
        <f t="shared" si="91"/>
        <v>0.42334905660377359</v>
      </c>
      <c r="Q234" s="298">
        <f t="shared" si="91"/>
        <v>0.42299035369774918</v>
      </c>
      <c r="R234" s="298">
        <f t="shared" si="91"/>
        <v>0.4229787234042553</v>
      </c>
      <c r="S234" s="298">
        <f t="shared" si="91"/>
        <v>0.42295497780596064</v>
      </c>
      <c r="T234" s="298">
        <f t="shared" si="91"/>
        <v>0.42297872340425524</v>
      </c>
      <c r="U234" s="298">
        <f t="shared" si="91"/>
        <v>0.42302325581395356</v>
      </c>
      <c r="V234" s="298">
        <f t="shared" si="91"/>
        <v>0.42302222222222224</v>
      </c>
      <c r="W234" s="298">
        <f t="shared" si="91"/>
        <v>0.43</v>
      </c>
      <c r="X234" s="298">
        <f t="shared" si="91"/>
        <v>0.43004291845493564</v>
      </c>
      <c r="Y234" s="298">
        <f t="shared" si="91"/>
        <v>0.435</v>
      </c>
      <c r="Z234" s="298">
        <f>Z218/AA80</f>
        <v>0.26967915979707546</v>
      </c>
      <c r="AA234" s="298">
        <f>AA218/AB80</f>
        <v>0.38066907562545815</v>
      </c>
      <c r="AB234" s="298">
        <f>AB218/AC80</f>
        <v>0.36343267944819535</v>
      </c>
      <c r="AC234" s="298" t="e">
        <f>AC218/AD80</f>
        <v>#DIV/0!</v>
      </c>
      <c r="AF234" s="240"/>
    </row>
    <row r="235" spans="1:32" ht="15.75" thickBot="1">
      <c r="A235" s="240" t="s">
        <v>255</v>
      </c>
      <c r="B235" s="258">
        <v>0.42027397260273974</v>
      </c>
      <c r="C235" s="258">
        <v>0.42</v>
      </c>
      <c r="D235" s="258">
        <v>0.41</v>
      </c>
      <c r="E235" s="258">
        <v>0.41974077766699902</v>
      </c>
      <c r="F235" s="258">
        <v>0.41025641025641024</v>
      </c>
      <c r="G235" s="258">
        <v>0.40769230769230769</v>
      </c>
      <c r="H235" s="258">
        <v>0.4</v>
      </c>
      <c r="I235" s="258">
        <v>0.41630901287553645</v>
      </c>
      <c r="J235" s="258">
        <v>0.40933398152649492</v>
      </c>
      <c r="K235" s="258">
        <v>0.4107142857142857</v>
      </c>
      <c r="L235" s="258">
        <v>0.41904761904761906</v>
      </c>
      <c r="M235" s="258">
        <v>0.42166666666666669</v>
      </c>
      <c r="N235" s="258">
        <v>0.42307692307692307</v>
      </c>
      <c r="O235" s="258">
        <v>0.4229420259954611</v>
      </c>
      <c r="P235" s="258">
        <v>0.42334905660377359</v>
      </c>
      <c r="Q235" s="258">
        <v>0.42299035369774918</v>
      </c>
      <c r="R235" s="258">
        <v>0.4229787234042553</v>
      </c>
      <c r="S235" s="258">
        <v>0.4229549778059607</v>
      </c>
      <c r="T235" s="258">
        <v>0.4229787234042553</v>
      </c>
      <c r="U235" s="258">
        <v>0.4230232558139535</v>
      </c>
      <c r="V235" s="258">
        <v>0.42302222222222224</v>
      </c>
      <c r="W235" s="258">
        <v>0.43</v>
      </c>
      <c r="X235" s="258">
        <v>0.43004291845493564</v>
      </c>
      <c r="Y235" s="258">
        <v>0.435</v>
      </c>
      <c r="Z235" s="259">
        <v>0.43</v>
      </c>
      <c r="AA235" s="259">
        <f>FORECAST(AA45,H235:Z235,H45:Z45)</f>
        <v>0.43391504077201715</v>
      </c>
      <c r="AB235" s="259">
        <f>FORECAST(AB45,I235:AA235,I45:AA45)</f>
        <v>0.4338720538062999</v>
      </c>
      <c r="AC235" s="259">
        <f>FORECAST(AC45,J235:AB235,J45:AB45)</f>
        <v>0.43522787746809399</v>
      </c>
    </row>
    <row r="236" spans="1:32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</row>
    <row r="237" spans="1:32" ht="15.75" thickBot="1">
      <c r="A237" s="240" t="s">
        <v>264</v>
      </c>
    </row>
    <row r="238" spans="1:32" ht="15.75" thickBot="1">
      <c r="A238" s="236"/>
      <c r="B238" s="237" t="str">
        <f>B$2</f>
        <v xml:space="preserve">93/94 </v>
      </c>
      <c r="C238" s="237" t="str">
        <f t="shared" ref="C238:AC238" si="92">C$2</f>
        <v xml:space="preserve">94/95 </v>
      </c>
      <c r="D238" s="237" t="str">
        <f t="shared" si="92"/>
        <v xml:space="preserve">95/96 </v>
      </c>
      <c r="E238" s="237" t="str">
        <f t="shared" si="92"/>
        <v xml:space="preserve">96/97 </v>
      </c>
      <c r="F238" s="237" t="str">
        <f t="shared" si="92"/>
        <v xml:space="preserve">97/98 </v>
      </c>
      <c r="G238" s="237" t="str">
        <f t="shared" si="92"/>
        <v xml:space="preserve">98/99 </v>
      </c>
      <c r="H238" s="237" t="str">
        <f t="shared" si="92"/>
        <v xml:space="preserve">99/00 </v>
      </c>
      <c r="I238" s="237" t="str">
        <f t="shared" si="92"/>
        <v xml:space="preserve">00/01 </v>
      </c>
      <c r="J238" s="237" t="str">
        <f t="shared" si="92"/>
        <v xml:space="preserve">01/02 </v>
      </c>
      <c r="K238" s="237" t="str">
        <f t="shared" si="92"/>
        <v xml:space="preserve">02/03 </v>
      </c>
      <c r="L238" s="237" t="str">
        <f t="shared" si="92"/>
        <v xml:space="preserve">03/04 </v>
      </c>
      <c r="M238" s="237" t="str">
        <f t="shared" si="92"/>
        <v xml:space="preserve">04/05 </v>
      </c>
      <c r="N238" s="237" t="str">
        <f t="shared" si="92"/>
        <v xml:space="preserve">05/06 </v>
      </c>
      <c r="O238" s="237" t="str">
        <f t="shared" si="92"/>
        <v xml:space="preserve">06/07 </v>
      </c>
      <c r="P238" s="237" t="str">
        <f t="shared" si="92"/>
        <v xml:space="preserve">07/08 </v>
      </c>
      <c r="Q238" s="237" t="str">
        <f t="shared" si="92"/>
        <v xml:space="preserve">08/09 </v>
      </c>
      <c r="R238" s="237" t="str">
        <f t="shared" si="92"/>
        <v xml:space="preserve">09/10 </v>
      </c>
      <c r="S238" s="237" t="str">
        <f t="shared" si="92"/>
        <v xml:space="preserve">10/11 </v>
      </c>
      <c r="T238" s="237" t="str">
        <f t="shared" si="92"/>
        <v xml:space="preserve">11/12 </v>
      </c>
      <c r="U238" s="237" t="str">
        <f t="shared" si="92"/>
        <v xml:space="preserve">12/13 </v>
      </c>
      <c r="V238" s="237" t="str">
        <f t="shared" si="92"/>
        <v xml:space="preserve">13/14 </v>
      </c>
      <c r="W238" s="237" t="str">
        <f t="shared" si="92"/>
        <v xml:space="preserve">14/15 </v>
      </c>
      <c r="X238" s="237" t="str">
        <f t="shared" si="92"/>
        <v xml:space="preserve">15/16 </v>
      </c>
      <c r="Y238" s="237" t="str">
        <f t="shared" si="92"/>
        <v xml:space="preserve">16/17 </v>
      </c>
      <c r="Z238" s="237" t="str">
        <f t="shared" si="92"/>
        <v xml:space="preserve">17/18 </v>
      </c>
      <c r="AA238" s="237" t="str">
        <f t="shared" si="92"/>
        <v xml:space="preserve">18/19 </v>
      </c>
      <c r="AB238" s="237" t="str">
        <f t="shared" si="92"/>
        <v xml:space="preserve">19/20 </v>
      </c>
      <c r="AC238" s="237" t="str">
        <f t="shared" si="92"/>
        <v xml:space="preserve">20/21 </v>
      </c>
    </row>
    <row r="239" spans="1:32">
      <c r="A239" s="240" t="s">
        <v>239</v>
      </c>
      <c r="B239" s="298">
        <f t="shared" ref="B239:AC248" si="93">B223+B112</f>
        <v>0.85150684931506859</v>
      </c>
      <c r="C239" s="298">
        <f t="shared" si="93"/>
        <v>0.82000000000000006</v>
      </c>
      <c r="D239" s="298">
        <f t="shared" si="93"/>
        <v>0.79043478260869571</v>
      </c>
      <c r="E239" s="298">
        <f t="shared" si="93"/>
        <v>0.86839481555333997</v>
      </c>
      <c r="F239" s="298">
        <f t="shared" si="93"/>
        <v>0.81318681318681318</v>
      </c>
      <c r="G239" s="298">
        <f t="shared" si="93"/>
        <v>0.80769230769230771</v>
      </c>
      <c r="H239" s="298">
        <f t="shared" si="93"/>
        <v>0.80476190476190479</v>
      </c>
      <c r="I239" s="298">
        <f t="shared" si="93"/>
        <v>0.82403433476394849</v>
      </c>
      <c r="J239" s="298">
        <f t="shared" si="93"/>
        <v>0.81380651434127371</v>
      </c>
      <c r="K239" s="298">
        <f t="shared" si="93"/>
        <v>0.8214285714285714</v>
      </c>
      <c r="L239" s="298">
        <f t="shared" si="93"/>
        <v>0.83174603174603168</v>
      </c>
      <c r="M239" s="298">
        <f t="shared" si="93"/>
        <v>0.83833333333333337</v>
      </c>
      <c r="N239" s="298">
        <f t="shared" si="93"/>
        <v>0.83626373626373618</v>
      </c>
      <c r="O239" s="298">
        <f t="shared" si="93"/>
        <v>0.84072622240561179</v>
      </c>
      <c r="P239" s="298">
        <f t="shared" si="93"/>
        <v>0.84056603773584904</v>
      </c>
      <c r="Q239" s="298">
        <f t="shared" si="93"/>
        <v>0.84099678456591631</v>
      </c>
      <c r="R239" s="298">
        <f t="shared" si="93"/>
        <v>0.84099290780141844</v>
      </c>
      <c r="S239" s="298">
        <f t="shared" si="93"/>
        <v>0.84096385542168695</v>
      </c>
      <c r="T239" s="298">
        <f t="shared" si="93"/>
        <v>0.84106382978723404</v>
      </c>
      <c r="U239" s="298">
        <f t="shared" si="93"/>
        <v>0.841046511627907</v>
      </c>
      <c r="V239" s="298">
        <f t="shared" si="93"/>
        <v>0.83600000000000008</v>
      </c>
      <c r="W239" s="298">
        <f t="shared" si="93"/>
        <v>0.84300970873786407</v>
      </c>
      <c r="X239" s="298">
        <f t="shared" si="93"/>
        <v>0.84300429184549364</v>
      </c>
      <c r="Y239" s="298">
        <f t="shared" si="93"/>
        <v>0.84499999999999997</v>
      </c>
      <c r="Z239" s="298">
        <f t="shared" si="93"/>
        <v>0.84299999999999997</v>
      </c>
      <c r="AA239" s="259">
        <f t="shared" si="93"/>
        <v>0.80304758350882821</v>
      </c>
      <c r="AB239" s="259">
        <f t="shared" si="93"/>
        <v>0.80816663557398838</v>
      </c>
      <c r="AC239" s="259">
        <f t="shared" si="93"/>
        <v>0.80155654320642689</v>
      </c>
    </row>
    <row r="240" spans="1:32">
      <c r="A240" s="240" t="s">
        <v>240</v>
      </c>
      <c r="B240" s="298">
        <f t="shared" si="93"/>
        <v>0.85150684931506859</v>
      </c>
      <c r="C240" s="298">
        <f t="shared" si="93"/>
        <v>0.82000000000000006</v>
      </c>
      <c r="D240" s="298">
        <f t="shared" si="93"/>
        <v>0.79043478260869571</v>
      </c>
      <c r="E240" s="298">
        <f t="shared" si="93"/>
        <v>0.86839481555333986</v>
      </c>
      <c r="F240" s="298">
        <f t="shared" si="93"/>
        <v>0.81318681318681318</v>
      </c>
      <c r="G240" s="298">
        <f t="shared" si="93"/>
        <v>0.80769230769230771</v>
      </c>
      <c r="H240" s="298">
        <f t="shared" si="93"/>
        <v>0.80476190476190479</v>
      </c>
      <c r="I240" s="298">
        <f t="shared" si="93"/>
        <v>0.82403433476394849</v>
      </c>
      <c r="J240" s="298">
        <f t="shared" si="93"/>
        <v>0.81380651434127371</v>
      </c>
      <c r="K240" s="298">
        <f t="shared" si="93"/>
        <v>0.8214285714285714</v>
      </c>
      <c r="L240" s="298">
        <f t="shared" si="93"/>
        <v>0.83174603174603168</v>
      </c>
      <c r="M240" s="298">
        <f t="shared" si="93"/>
        <v>0.83833333333333337</v>
      </c>
      <c r="N240" s="298">
        <f t="shared" si="93"/>
        <v>0.83626373626373618</v>
      </c>
      <c r="O240" s="298">
        <f t="shared" si="93"/>
        <v>0.84072622240561179</v>
      </c>
      <c r="P240" s="298">
        <f t="shared" si="93"/>
        <v>0.84056603773584904</v>
      </c>
      <c r="Q240" s="298">
        <f t="shared" si="93"/>
        <v>0.84099678456591642</v>
      </c>
      <c r="R240" s="298">
        <f t="shared" si="93"/>
        <v>0.84099290780141844</v>
      </c>
      <c r="S240" s="298">
        <f t="shared" si="93"/>
        <v>0.84096385542168683</v>
      </c>
      <c r="T240" s="298">
        <f t="shared" si="93"/>
        <v>0.84106382978723404</v>
      </c>
      <c r="U240" s="298">
        <f t="shared" si="93"/>
        <v>0.84104651162790711</v>
      </c>
      <c r="V240" s="298">
        <f t="shared" si="93"/>
        <v>0.83600000000000008</v>
      </c>
      <c r="W240" s="298">
        <f t="shared" si="93"/>
        <v>0.84300970873786407</v>
      </c>
      <c r="X240" s="298">
        <f t="shared" si="93"/>
        <v>0.84300429184549364</v>
      </c>
      <c r="Y240" s="298">
        <f t="shared" si="93"/>
        <v>0.84499999999999997</v>
      </c>
      <c r="Z240" s="298">
        <f t="shared" si="93"/>
        <v>0.84299999999999997</v>
      </c>
      <c r="AA240" s="259">
        <f t="shared" si="93"/>
        <v>0.80252265734683459</v>
      </c>
      <c r="AB240" s="259">
        <f t="shared" si="93"/>
        <v>0.80127905468321714</v>
      </c>
      <c r="AC240" s="259">
        <f t="shared" si="93"/>
        <v>0.7987849960144251</v>
      </c>
    </row>
    <row r="241" spans="1:30">
      <c r="A241" s="240" t="s">
        <v>241</v>
      </c>
      <c r="B241" s="298">
        <f t="shared" si="93"/>
        <v>0.85150684931506859</v>
      </c>
      <c r="C241" s="298">
        <f t="shared" si="93"/>
        <v>0.82000000000000006</v>
      </c>
      <c r="D241" s="298">
        <f t="shared" si="93"/>
        <v>0.79043478260869571</v>
      </c>
      <c r="E241" s="298">
        <f t="shared" si="93"/>
        <v>0.86839481555334008</v>
      </c>
      <c r="F241" s="298">
        <f t="shared" si="93"/>
        <v>0.81318681318681318</v>
      </c>
      <c r="G241" s="298">
        <f t="shared" si="93"/>
        <v>0.80769230769230771</v>
      </c>
      <c r="H241" s="298">
        <f t="shared" si="93"/>
        <v>0.80476190476190479</v>
      </c>
      <c r="I241" s="298">
        <f t="shared" si="93"/>
        <v>0.82403433476394849</v>
      </c>
      <c r="J241" s="298">
        <f t="shared" si="93"/>
        <v>0.81380651434127371</v>
      </c>
      <c r="K241" s="298">
        <f t="shared" si="93"/>
        <v>0.8214285714285714</v>
      </c>
      <c r="L241" s="298">
        <f t="shared" si="93"/>
        <v>0.83174603174603168</v>
      </c>
      <c r="M241" s="298">
        <f t="shared" si="93"/>
        <v>0.83833333333333337</v>
      </c>
      <c r="N241" s="298">
        <f t="shared" si="93"/>
        <v>0.83626373626373618</v>
      </c>
      <c r="O241" s="298">
        <f t="shared" si="93"/>
        <v>0.84072622240561179</v>
      </c>
      <c r="P241" s="298">
        <f t="shared" si="93"/>
        <v>0.84056603773584904</v>
      </c>
      <c r="Q241" s="298">
        <f t="shared" si="93"/>
        <v>0.84099678456591642</v>
      </c>
      <c r="R241" s="298">
        <f t="shared" si="93"/>
        <v>0.84099290780141844</v>
      </c>
      <c r="S241" s="298">
        <f t="shared" si="93"/>
        <v>0.84096385542168672</v>
      </c>
      <c r="T241" s="298">
        <f t="shared" si="93"/>
        <v>0.84106382978723415</v>
      </c>
      <c r="U241" s="298">
        <f t="shared" si="93"/>
        <v>0.841046511627907</v>
      </c>
      <c r="V241" s="298">
        <f t="shared" si="93"/>
        <v>0.83600000000000008</v>
      </c>
      <c r="W241" s="298">
        <f t="shared" si="93"/>
        <v>0.84300970873786407</v>
      </c>
      <c r="X241" s="298">
        <f t="shared" si="93"/>
        <v>0.84300429184549364</v>
      </c>
      <c r="Y241" s="298">
        <f t="shared" si="93"/>
        <v>0.84499999999999997</v>
      </c>
      <c r="Z241" s="298">
        <f t="shared" si="93"/>
        <v>0.84299999999999997</v>
      </c>
      <c r="AA241" s="259">
        <f t="shared" si="93"/>
        <v>0.81368633461159767</v>
      </c>
      <c r="AB241" s="259">
        <f t="shared" si="93"/>
        <v>0.79906894430591713</v>
      </c>
      <c r="AC241" s="259">
        <f t="shared" si="93"/>
        <v>0.80366873844834941</v>
      </c>
    </row>
    <row r="242" spans="1:30">
      <c r="A242" s="240" t="s">
        <v>231</v>
      </c>
      <c r="B242" s="298">
        <f t="shared" si="93"/>
        <v>0.85150684931506859</v>
      </c>
      <c r="C242" s="298">
        <f t="shared" si="93"/>
        <v>0.82000000000000006</v>
      </c>
      <c r="D242" s="298">
        <f t="shared" si="93"/>
        <v>0.79043478260869571</v>
      </c>
      <c r="E242" s="298">
        <f t="shared" si="93"/>
        <v>0.86839481555333997</v>
      </c>
      <c r="F242" s="298">
        <f t="shared" si="93"/>
        <v>0.81318681318681318</v>
      </c>
      <c r="G242" s="298">
        <f t="shared" si="93"/>
        <v>0.80769230769230771</v>
      </c>
      <c r="H242" s="298">
        <f t="shared" si="93"/>
        <v>0.80476190476190479</v>
      </c>
      <c r="I242" s="298">
        <f t="shared" si="93"/>
        <v>0.82403433476394849</v>
      </c>
      <c r="J242" s="298">
        <f t="shared" si="93"/>
        <v>0.81380651434127371</v>
      </c>
      <c r="K242" s="298">
        <f t="shared" si="93"/>
        <v>0.8214285714285714</v>
      </c>
      <c r="L242" s="298">
        <f t="shared" si="93"/>
        <v>0.83174603174603179</v>
      </c>
      <c r="M242" s="298">
        <f t="shared" si="93"/>
        <v>0.83833333333333337</v>
      </c>
      <c r="N242" s="298">
        <f t="shared" si="93"/>
        <v>0.83626373626373618</v>
      </c>
      <c r="O242" s="298">
        <f t="shared" si="93"/>
        <v>0.84072622240561179</v>
      </c>
      <c r="P242" s="298">
        <f t="shared" si="93"/>
        <v>0.84056603773584904</v>
      </c>
      <c r="Q242" s="298">
        <f t="shared" si="93"/>
        <v>0.84099678456591631</v>
      </c>
      <c r="R242" s="298">
        <f t="shared" si="93"/>
        <v>0.84099290780141844</v>
      </c>
      <c r="S242" s="298">
        <f t="shared" si="93"/>
        <v>0.84096385542168672</v>
      </c>
      <c r="T242" s="298">
        <f t="shared" si="93"/>
        <v>0.84106382978723404</v>
      </c>
      <c r="U242" s="298">
        <f t="shared" si="93"/>
        <v>0.841046511627907</v>
      </c>
      <c r="V242" s="298">
        <f t="shared" si="93"/>
        <v>0.83600000000000008</v>
      </c>
      <c r="W242" s="298">
        <f t="shared" si="93"/>
        <v>0.84300970873786407</v>
      </c>
      <c r="X242" s="298">
        <f t="shared" si="93"/>
        <v>0.84300429184549364</v>
      </c>
      <c r="Y242" s="298">
        <f t="shared" si="93"/>
        <v>0.84499999999999997</v>
      </c>
      <c r="Z242" s="298">
        <f t="shared" si="93"/>
        <v>0.84300000000000008</v>
      </c>
      <c r="AA242" s="259">
        <f t="shared" si="93"/>
        <v>0.78910979920817104</v>
      </c>
      <c r="AB242" s="259">
        <f t="shared" si="93"/>
        <v>0.79539116069084881</v>
      </c>
      <c r="AC242" s="259">
        <f t="shared" si="93"/>
        <v>0.79756628052223277</v>
      </c>
    </row>
    <row r="243" spans="1:30">
      <c r="A243" s="240" t="s">
        <v>232</v>
      </c>
      <c r="B243" s="298">
        <f t="shared" si="93"/>
        <v>0.85150684931506859</v>
      </c>
      <c r="C243" s="298">
        <f t="shared" si="93"/>
        <v>0.82000000000000006</v>
      </c>
      <c r="D243" s="298">
        <f t="shared" si="93"/>
        <v>0.79043478260869571</v>
      </c>
      <c r="E243" s="298">
        <f t="shared" si="93"/>
        <v>0.86839481555334008</v>
      </c>
      <c r="F243" s="298">
        <f t="shared" si="93"/>
        <v>0.81318681318681318</v>
      </c>
      <c r="G243" s="298">
        <f t="shared" si="93"/>
        <v>0.80769230769230771</v>
      </c>
      <c r="H243" s="298">
        <f t="shared" si="93"/>
        <v>0.80476190476190479</v>
      </c>
      <c r="I243" s="298">
        <f t="shared" si="93"/>
        <v>0.82403433476394849</v>
      </c>
      <c r="J243" s="298">
        <f t="shared" si="93"/>
        <v>0.81380651434127371</v>
      </c>
      <c r="K243" s="298">
        <f t="shared" si="93"/>
        <v>0.8214285714285714</v>
      </c>
      <c r="L243" s="298">
        <f t="shared" si="93"/>
        <v>0.83174603174603168</v>
      </c>
      <c r="M243" s="298">
        <f t="shared" si="93"/>
        <v>0.83833333333333337</v>
      </c>
      <c r="N243" s="298">
        <f t="shared" si="93"/>
        <v>0.83626373626373618</v>
      </c>
      <c r="O243" s="298">
        <f t="shared" si="93"/>
        <v>0.84072622240561179</v>
      </c>
      <c r="P243" s="298">
        <f t="shared" si="93"/>
        <v>0.84056603773584904</v>
      </c>
      <c r="Q243" s="298">
        <f t="shared" si="93"/>
        <v>0.84099678456591631</v>
      </c>
      <c r="R243" s="298">
        <f t="shared" si="93"/>
        <v>0.84099290780141844</v>
      </c>
      <c r="S243" s="298">
        <f t="shared" si="93"/>
        <v>0.84096385542168672</v>
      </c>
      <c r="T243" s="298">
        <f t="shared" si="93"/>
        <v>0.84106382978723404</v>
      </c>
      <c r="U243" s="298">
        <f t="shared" si="93"/>
        <v>0.841046511627907</v>
      </c>
      <c r="V243" s="298">
        <f t="shared" si="93"/>
        <v>0.83600000000000008</v>
      </c>
      <c r="W243" s="298">
        <f t="shared" si="93"/>
        <v>0.84300970873786407</v>
      </c>
      <c r="X243" s="298">
        <f t="shared" si="93"/>
        <v>0.84300429184549364</v>
      </c>
      <c r="Y243" s="298">
        <f t="shared" si="93"/>
        <v>0.84499999999999997</v>
      </c>
      <c r="Z243" s="298">
        <f t="shared" si="93"/>
        <v>0.84299999999999997</v>
      </c>
      <c r="AA243" s="259">
        <f t="shared" si="93"/>
        <v>0.79818952217767902</v>
      </c>
      <c r="AB243" s="259">
        <f t="shared" si="93"/>
        <v>0.80676367030881657</v>
      </c>
      <c r="AC243" s="259">
        <f t="shared" si="93"/>
        <v>0.81155479405419884</v>
      </c>
    </row>
    <row r="244" spans="1:30">
      <c r="A244" s="240" t="s">
        <v>233</v>
      </c>
      <c r="B244" s="298">
        <f t="shared" si="93"/>
        <v>0.85150684931506848</v>
      </c>
      <c r="C244" s="298">
        <f t="shared" si="93"/>
        <v>0.82000000000000006</v>
      </c>
      <c r="D244" s="298">
        <f t="shared" si="93"/>
        <v>0.79043478260869571</v>
      </c>
      <c r="E244" s="298">
        <f t="shared" si="93"/>
        <v>0.86839481555333997</v>
      </c>
      <c r="F244" s="298">
        <f t="shared" si="93"/>
        <v>0.81318681318681318</v>
      </c>
      <c r="G244" s="298">
        <f t="shared" si="93"/>
        <v>0.80769230769230771</v>
      </c>
      <c r="H244" s="298">
        <f t="shared" si="93"/>
        <v>0.80476190476190479</v>
      </c>
      <c r="I244" s="298">
        <f t="shared" si="93"/>
        <v>0.82403433476394849</v>
      </c>
      <c r="J244" s="298">
        <f t="shared" si="93"/>
        <v>0.81380651434127382</v>
      </c>
      <c r="K244" s="298">
        <f t="shared" si="93"/>
        <v>0.8214285714285714</v>
      </c>
      <c r="L244" s="298">
        <f t="shared" si="93"/>
        <v>0.83174603174603168</v>
      </c>
      <c r="M244" s="298">
        <f t="shared" si="93"/>
        <v>0.83833333333333337</v>
      </c>
      <c r="N244" s="298">
        <f t="shared" si="93"/>
        <v>0.83626373626373618</v>
      </c>
      <c r="O244" s="298">
        <f t="shared" si="93"/>
        <v>0.84072622240561179</v>
      </c>
      <c r="P244" s="298">
        <f t="shared" si="93"/>
        <v>0.84056603773584904</v>
      </c>
      <c r="Q244" s="298">
        <f t="shared" si="93"/>
        <v>0.84099678456591631</v>
      </c>
      <c r="R244" s="298">
        <f t="shared" si="93"/>
        <v>0.84099290780141844</v>
      </c>
      <c r="S244" s="298">
        <f t="shared" si="93"/>
        <v>0.84096385542168672</v>
      </c>
      <c r="T244" s="298">
        <f t="shared" si="93"/>
        <v>0.84106382978723404</v>
      </c>
      <c r="U244" s="298">
        <f t="shared" si="93"/>
        <v>0.841046511627907</v>
      </c>
      <c r="V244" s="298">
        <f t="shared" si="93"/>
        <v>0.83599999999999997</v>
      </c>
      <c r="W244" s="298">
        <f t="shared" si="93"/>
        <v>0.84300970873786407</v>
      </c>
      <c r="X244" s="298">
        <f t="shared" si="93"/>
        <v>0.84300429184549364</v>
      </c>
      <c r="Y244" s="298">
        <f t="shared" si="93"/>
        <v>0.84499999999999997</v>
      </c>
      <c r="Z244" s="298">
        <f t="shared" si="93"/>
        <v>0.84299999999999997</v>
      </c>
      <c r="AA244" s="259">
        <f t="shared" si="93"/>
        <v>0.84925504150593545</v>
      </c>
      <c r="AB244" s="259">
        <f t="shared" si="93"/>
        <v>0.85273107369314105</v>
      </c>
      <c r="AC244" s="259">
        <f t="shared" si="93"/>
        <v>0.85773204230309374</v>
      </c>
    </row>
    <row r="245" spans="1:30">
      <c r="A245" s="240" t="s">
        <v>234</v>
      </c>
      <c r="B245" s="298">
        <f t="shared" si="93"/>
        <v>0.85150684931506859</v>
      </c>
      <c r="C245" s="298">
        <f t="shared" si="93"/>
        <v>0.82000000000000006</v>
      </c>
      <c r="D245" s="298">
        <f t="shared" si="93"/>
        <v>0.79043478260869571</v>
      </c>
      <c r="E245" s="298">
        <f t="shared" si="93"/>
        <v>0.86839481555333997</v>
      </c>
      <c r="F245" s="298">
        <f t="shared" si="93"/>
        <v>0.81318681318681318</v>
      </c>
      <c r="G245" s="298">
        <f t="shared" si="93"/>
        <v>0.80769230769230771</v>
      </c>
      <c r="H245" s="298">
        <f t="shared" si="93"/>
        <v>0.80476190476190479</v>
      </c>
      <c r="I245" s="298">
        <f t="shared" si="93"/>
        <v>0.82403433476394849</v>
      </c>
      <c r="J245" s="298">
        <f t="shared" si="93"/>
        <v>0.81380651434127371</v>
      </c>
      <c r="K245" s="298">
        <f t="shared" si="93"/>
        <v>0.8214285714285714</v>
      </c>
      <c r="L245" s="298">
        <f t="shared" si="93"/>
        <v>0.83174603174603168</v>
      </c>
      <c r="M245" s="298">
        <f t="shared" si="93"/>
        <v>0.83833333333333337</v>
      </c>
      <c r="N245" s="298">
        <f t="shared" si="93"/>
        <v>0.83626373626373618</v>
      </c>
      <c r="O245" s="298">
        <f t="shared" si="93"/>
        <v>0.84072622240561179</v>
      </c>
      <c r="P245" s="298">
        <f t="shared" si="93"/>
        <v>0.84056603773584904</v>
      </c>
      <c r="Q245" s="298">
        <f t="shared" si="93"/>
        <v>0.84099678456591631</v>
      </c>
      <c r="R245" s="298">
        <f t="shared" si="93"/>
        <v>0.84099290780141844</v>
      </c>
      <c r="S245" s="298">
        <f t="shared" si="93"/>
        <v>0.84096385542168672</v>
      </c>
      <c r="T245" s="298">
        <f t="shared" si="93"/>
        <v>0.84106382978723404</v>
      </c>
      <c r="U245" s="298">
        <f t="shared" si="93"/>
        <v>0.841046511627907</v>
      </c>
      <c r="V245" s="298">
        <f t="shared" si="93"/>
        <v>0.83600000000000008</v>
      </c>
      <c r="W245" s="298">
        <f t="shared" si="93"/>
        <v>0.84300970873786407</v>
      </c>
      <c r="X245" s="298">
        <f t="shared" si="93"/>
        <v>0.84300429184549364</v>
      </c>
      <c r="Y245" s="298">
        <f t="shared" si="93"/>
        <v>0.84499999999999997</v>
      </c>
      <c r="Z245" s="259">
        <f t="shared" si="93"/>
        <v>0.86777582700504707</v>
      </c>
      <c r="AA245" s="259">
        <f t="shared" si="93"/>
        <v>0.86899641037322439</v>
      </c>
      <c r="AB245" s="259">
        <f t="shared" si="93"/>
        <v>0.8765380126362029</v>
      </c>
      <c r="AC245" s="259">
        <f t="shared" si="93"/>
        <v>0.86186808082428046</v>
      </c>
    </row>
    <row r="246" spans="1:30">
      <c r="A246" s="240" t="s">
        <v>46</v>
      </c>
      <c r="B246" s="298">
        <f t="shared" si="93"/>
        <v>0.85150684931506859</v>
      </c>
      <c r="C246" s="298">
        <f t="shared" si="93"/>
        <v>0.82000000000000006</v>
      </c>
      <c r="D246" s="298">
        <f t="shared" si="93"/>
        <v>0.79043478260869571</v>
      </c>
      <c r="E246" s="298">
        <f t="shared" si="93"/>
        <v>0.86839481555334008</v>
      </c>
      <c r="F246" s="298">
        <f t="shared" si="93"/>
        <v>0.81318681318681318</v>
      </c>
      <c r="G246" s="298">
        <f t="shared" si="93"/>
        <v>0.80769230769230771</v>
      </c>
      <c r="H246" s="298">
        <f t="shared" si="93"/>
        <v>0.80476190476190479</v>
      </c>
      <c r="I246" s="298">
        <f t="shared" si="93"/>
        <v>0.82403433476394849</v>
      </c>
      <c r="J246" s="298">
        <f t="shared" si="93"/>
        <v>0.8138065143412736</v>
      </c>
      <c r="K246" s="298">
        <f t="shared" si="93"/>
        <v>0.8214285714285714</v>
      </c>
      <c r="L246" s="298">
        <f t="shared" si="93"/>
        <v>0.83174603174603168</v>
      </c>
      <c r="M246" s="298">
        <f t="shared" si="93"/>
        <v>0.83833333333333337</v>
      </c>
      <c r="N246" s="298">
        <f t="shared" si="93"/>
        <v>0.83626373626373618</v>
      </c>
      <c r="O246" s="298">
        <f t="shared" si="93"/>
        <v>0.84072622240561179</v>
      </c>
      <c r="P246" s="298">
        <f t="shared" si="93"/>
        <v>0.84056603773584904</v>
      </c>
      <c r="Q246" s="298">
        <f t="shared" si="93"/>
        <v>0.84099678456591631</v>
      </c>
      <c r="R246" s="298">
        <f t="shared" si="93"/>
        <v>0.84099290780141844</v>
      </c>
      <c r="S246" s="298">
        <f t="shared" si="93"/>
        <v>0.84096385542168672</v>
      </c>
      <c r="T246" s="298">
        <f t="shared" si="93"/>
        <v>0.84106382978723404</v>
      </c>
      <c r="U246" s="298">
        <f t="shared" si="93"/>
        <v>0.841046511627907</v>
      </c>
      <c r="V246" s="298">
        <f t="shared" si="93"/>
        <v>0.83600000000000008</v>
      </c>
      <c r="W246" s="298">
        <f t="shared" si="93"/>
        <v>0.84300970873786407</v>
      </c>
      <c r="X246" s="298">
        <f t="shared" si="93"/>
        <v>0.84300429184549364</v>
      </c>
      <c r="Y246" s="298">
        <f t="shared" si="93"/>
        <v>0.84499999999999997</v>
      </c>
      <c r="Z246" s="259">
        <f t="shared" si="93"/>
        <v>0.89151405430716291</v>
      </c>
      <c r="AA246" s="259">
        <f t="shared" si="93"/>
        <v>0.88600688335747702</v>
      </c>
      <c r="AB246" s="259">
        <f t="shared" si="93"/>
        <v>0.8706751012752254</v>
      </c>
      <c r="AC246" s="259">
        <f t="shared" si="93"/>
        <v>0.85742950726966338</v>
      </c>
    </row>
    <row r="247" spans="1:30">
      <c r="A247" s="240" t="s">
        <v>235</v>
      </c>
      <c r="B247" s="298">
        <f t="shared" si="93"/>
        <v>0.85150684931506859</v>
      </c>
      <c r="C247" s="298">
        <f t="shared" si="93"/>
        <v>0.82</v>
      </c>
      <c r="D247" s="298">
        <f t="shared" si="93"/>
        <v>0.79043478260869571</v>
      </c>
      <c r="E247" s="298">
        <f t="shared" si="93"/>
        <v>0.86839481555333997</v>
      </c>
      <c r="F247" s="298">
        <f t="shared" si="93"/>
        <v>0.81318681318681318</v>
      </c>
      <c r="G247" s="298">
        <f t="shared" si="93"/>
        <v>0.80769230769230771</v>
      </c>
      <c r="H247" s="298">
        <f t="shared" si="93"/>
        <v>0.80476190476190479</v>
      </c>
      <c r="I247" s="298">
        <f t="shared" si="93"/>
        <v>0.82403433476394849</v>
      </c>
      <c r="J247" s="298">
        <f t="shared" si="93"/>
        <v>0.81380651434127371</v>
      </c>
      <c r="K247" s="298">
        <f t="shared" si="93"/>
        <v>0.8214285714285714</v>
      </c>
      <c r="L247" s="298">
        <f t="shared" si="93"/>
        <v>0.83174603174603168</v>
      </c>
      <c r="M247" s="298">
        <f t="shared" si="93"/>
        <v>0.83833333333333337</v>
      </c>
      <c r="N247" s="298">
        <f t="shared" si="93"/>
        <v>0.83626373626373618</v>
      </c>
      <c r="O247" s="298">
        <f t="shared" si="93"/>
        <v>0.84072622240561179</v>
      </c>
      <c r="P247" s="298">
        <f t="shared" si="93"/>
        <v>0.84056603773584904</v>
      </c>
      <c r="Q247" s="298">
        <f t="shared" si="93"/>
        <v>0.84099678456591631</v>
      </c>
      <c r="R247" s="298">
        <f t="shared" si="93"/>
        <v>0.84099290780141844</v>
      </c>
      <c r="S247" s="298">
        <f t="shared" si="93"/>
        <v>0.84096385542168672</v>
      </c>
      <c r="T247" s="298">
        <f t="shared" si="93"/>
        <v>0.84106382978723393</v>
      </c>
      <c r="U247" s="298">
        <f t="shared" si="93"/>
        <v>0.841046511627907</v>
      </c>
      <c r="V247" s="298">
        <f t="shared" si="93"/>
        <v>0.83599999999999997</v>
      </c>
      <c r="W247" s="298">
        <f t="shared" si="93"/>
        <v>0.84300970873786407</v>
      </c>
      <c r="X247" s="298">
        <f t="shared" si="93"/>
        <v>0.84300429184549364</v>
      </c>
      <c r="Y247" s="298">
        <f t="shared" si="93"/>
        <v>0.84499999999999997</v>
      </c>
      <c r="Z247" s="259">
        <f t="shared" si="93"/>
        <v>0.92178875111828695</v>
      </c>
      <c r="AA247" s="259">
        <f t="shared" si="93"/>
        <v>0.95848842455316019</v>
      </c>
      <c r="AB247" s="259">
        <f t="shared" si="93"/>
        <v>0.92904618043703768</v>
      </c>
      <c r="AC247" s="259">
        <f t="shared" si="93"/>
        <v>0.95534367412256216</v>
      </c>
    </row>
    <row r="248" spans="1:30">
      <c r="A248" s="240" t="s">
        <v>236</v>
      </c>
      <c r="B248" s="298">
        <f t="shared" si="93"/>
        <v>0.85150684931506859</v>
      </c>
      <c r="C248" s="298">
        <f t="shared" si="93"/>
        <v>0.82000000000000006</v>
      </c>
      <c r="D248" s="298">
        <f t="shared" si="93"/>
        <v>0.79043478260869571</v>
      </c>
      <c r="E248" s="298">
        <f t="shared" ref="E248:AC248" si="94">E232+E121</f>
        <v>0.86839481555333997</v>
      </c>
      <c r="F248" s="298">
        <f t="shared" si="94"/>
        <v>0.81318681318681318</v>
      </c>
      <c r="G248" s="298">
        <f t="shared" si="94"/>
        <v>0.80769230769230771</v>
      </c>
      <c r="H248" s="298">
        <f t="shared" si="94"/>
        <v>0.80476190476190479</v>
      </c>
      <c r="I248" s="298">
        <f t="shared" si="94"/>
        <v>0.82403433476394849</v>
      </c>
      <c r="J248" s="298">
        <f t="shared" si="94"/>
        <v>0.81380651434127371</v>
      </c>
      <c r="K248" s="298">
        <f t="shared" si="94"/>
        <v>0.8214285714285714</v>
      </c>
      <c r="L248" s="298">
        <f t="shared" si="94"/>
        <v>0.83174603174603168</v>
      </c>
      <c r="M248" s="298">
        <f t="shared" si="94"/>
        <v>0.83833333333333337</v>
      </c>
      <c r="N248" s="298">
        <f t="shared" si="94"/>
        <v>0.83626373626373618</v>
      </c>
      <c r="O248" s="298">
        <f t="shared" si="94"/>
        <v>0.84072622240561168</v>
      </c>
      <c r="P248" s="298">
        <f t="shared" si="94"/>
        <v>0.84056603773584904</v>
      </c>
      <c r="Q248" s="298">
        <f t="shared" si="94"/>
        <v>0.84099678456591631</v>
      </c>
      <c r="R248" s="298">
        <f t="shared" si="94"/>
        <v>0.84099290780141844</v>
      </c>
      <c r="S248" s="298">
        <f t="shared" si="94"/>
        <v>0.84096385542168672</v>
      </c>
      <c r="T248" s="298">
        <f t="shared" si="94"/>
        <v>0.84106382978723404</v>
      </c>
      <c r="U248" s="298">
        <f t="shared" si="94"/>
        <v>0.84104651162790689</v>
      </c>
      <c r="V248" s="298">
        <f t="shared" si="94"/>
        <v>0.83600000000000008</v>
      </c>
      <c r="W248" s="298">
        <f t="shared" si="94"/>
        <v>0.84300970873786407</v>
      </c>
      <c r="X248" s="298">
        <f t="shared" si="94"/>
        <v>0.84300429184549364</v>
      </c>
      <c r="Y248" s="298">
        <f t="shared" si="94"/>
        <v>0.84499999999999997</v>
      </c>
      <c r="Z248" s="259">
        <f t="shared" si="94"/>
        <v>0.90884913088891284</v>
      </c>
      <c r="AA248" s="259">
        <f t="shared" si="94"/>
        <v>0.99333987528553747</v>
      </c>
      <c r="AB248" s="259">
        <f t="shared" si="94"/>
        <v>0.978295580789173</v>
      </c>
      <c r="AC248" s="259">
        <f t="shared" si="94"/>
        <v>1.0099064689352615</v>
      </c>
    </row>
    <row r="249" spans="1:30">
      <c r="A249" s="240" t="s">
        <v>237</v>
      </c>
      <c r="B249" s="298">
        <f t="shared" ref="B249:AC251" si="95">B233+B122</f>
        <v>0.85150684931506859</v>
      </c>
      <c r="C249" s="298">
        <f t="shared" si="95"/>
        <v>0.82</v>
      </c>
      <c r="D249" s="298">
        <f t="shared" si="95"/>
        <v>0.79043478260869571</v>
      </c>
      <c r="E249" s="298">
        <f t="shared" si="95"/>
        <v>0.86839481555333997</v>
      </c>
      <c r="F249" s="298">
        <f t="shared" si="95"/>
        <v>0.81318681318681318</v>
      </c>
      <c r="G249" s="298">
        <f t="shared" si="95"/>
        <v>0.80769230769230771</v>
      </c>
      <c r="H249" s="298">
        <f t="shared" si="95"/>
        <v>0.80476190476190479</v>
      </c>
      <c r="I249" s="298">
        <f t="shared" si="95"/>
        <v>0.82403433476394849</v>
      </c>
      <c r="J249" s="298">
        <f t="shared" si="95"/>
        <v>0.81380651434127382</v>
      </c>
      <c r="K249" s="298">
        <f t="shared" si="95"/>
        <v>0.8214285714285714</v>
      </c>
      <c r="L249" s="298">
        <f t="shared" si="95"/>
        <v>0.83174603174603168</v>
      </c>
      <c r="M249" s="298">
        <f t="shared" si="95"/>
        <v>0.83833333333333337</v>
      </c>
      <c r="N249" s="298">
        <f t="shared" si="95"/>
        <v>0.83626373626373618</v>
      </c>
      <c r="O249" s="298">
        <f t="shared" si="95"/>
        <v>0.84072622240561179</v>
      </c>
      <c r="P249" s="298">
        <f t="shared" si="95"/>
        <v>0.84056603773584904</v>
      </c>
      <c r="Q249" s="298">
        <f t="shared" si="95"/>
        <v>0.84099678456591631</v>
      </c>
      <c r="R249" s="298">
        <f t="shared" si="95"/>
        <v>0.84099290780141844</v>
      </c>
      <c r="S249" s="298">
        <f t="shared" si="95"/>
        <v>0.84096385542168672</v>
      </c>
      <c r="T249" s="298">
        <f t="shared" si="95"/>
        <v>0.84106382978723415</v>
      </c>
      <c r="U249" s="298">
        <f t="shared" si="95"/>
        <v>0.841046511627907</v>
      </c>
      <c r="V249" s="298">
        <f t="shared" si="95"/>
        <v>0.83600000000000008</v>
      </c>
      <c r="W249" s="298">
        <f t="shared" si="95"/>
        <v>0.84300970873786407</v>
      </c>
      <c r="X249" s="298">
        <f t="shared" si="95"/>
        <v>0.84300429184549364</v>
      </c>
      <c r="Y249" s="298">
        <f t="shared" si="95"/>
        <v>0.84499999999999997</v>
      </c>
      <c r="Z249" s="259">
        <f t="shared" si="95"/>
        <v>0.89484493633836881</v>
      </c>
      <c r="AA249" s="259">
        <f t="shared" si="95"/>
        <v>1.4008438957575367</v>
      </c>
      <c r="AB249" s="259">
        <f t="shared" si="95"/>
        <v>1.1689152077077543</v>
      </c>
      <c r="AC249" s="259">
        <f t="shared" si="95"/>
        <v>1.2135572791607925</v>
      </c>
    </row>
    <row r="250" spans="1:30">
      <c r="A250" s="240" t="s">
        <v>238</v>
      </c>
      <c r="B250" s="298">
        <f t="shared" si="95"/>
        <v>0.85150684931506859</v>
      </c>
      <c r="C250" s="298">
        <f t="shared" si="95"/>
        <v>0.82000000000000006</v>
      </c>
      <c r="D250" s="298">
        <f t="shared" si="95"/>
        <v>0.7904347826086956</v>
      </c>
      <c r="E250" s="298">
        <f t="shared" si="95"/>
        <v>0.86839481555333986</v>
      </c>
      <c r="F250" s="298">
        <f t="shared" si="95"/>
        <v>0.81318681318681318</v>
      </c>
      <c r="G250" s="298">
        <f t="shared" si="95"/>
        <v>0.80769230769230771</v>
      </c>
      <c r="H250" s="298">
        <f t="shared" si="95"/>
        <v>0.80476190476190479</v>
      </c>
      <c r="I250" s="298">
        <f t="shared" si="95"/>
        <v>0.82403433476394849</v>
      </c>
      <c r="J250" s="298">
        <f t="shared" si="95"/>
        <v>0.81380651434127371</v>
      </c>
      <c r="K250" s="298">
        <f t="shared" si="95"/>
        <v>0.8214285714285714</v>
      </c>
      <c r="L250" s="298">
        <f t="shared" si="95"/>
        <v>0.83174603174603168</v>
      </c>
      <c r="M250" s="298">
        <f t="shared" si="95"/>
        <v>0.83833333333333337</v>
      </c>
      <c r="N250" s="298">
        <f t="shared" si="95"/>
        <v>0.83626373626373618</v>
      </c>
      <c r="O250" s="298">
        <f t="shared" si="95"/>
        <v>0.84072622240561179</v>
      </c>
      <c r="P250" s="298">
        <f t="shared" si="95"/>
        <v>0.84056603773584904</v>
      </c>
      <c r="Q250" s="298">
        <f t="shared" si="95"/>
        <v>0.84099678456591631</v>
      </c>
      <c r="R250" s="298">
        <f t="shared" si="95"/>
        <v>0.84099290780141844</v>
      </c>
      <c r="S250" s="298">
        <f t="shared" si="95"/>
        <v>0.84096385542168672</v>
      </c>
      <c r="T250" s="298">
        <f t="shared" si="95"/>
        <v>0.84106382978723393</v>
      </c>
      <c r="U250" s="298">
        <f t="shared" si="95"/>
        <v>0.84104651162790711</v>
      </c>
      <c r="V250" s="298">
        <f t="shared" si="95"/>
        <v>0.83600000000000008</v>
      </c>
      <c r="W250" s="298">
        <f t="shared" si="95"/>
        <v>0.84300970873786407</v>
      </c>
      <c r="X250" s="298">
        <f t="shared" si="95"/>
        <v>0.84300429184549364</v>
      </c>
      <c r="Y250" s="298">
        <f t="shared" si="95"/>
        <v>0.84499999999999997</v>
      </c>
      <c r="Z250" s="259">
        <f t="shared" si="95"/>
        <v>0.68267915979707539</v>
      </c>
      <c r="AA250" s="259">
        <f t="shared" si="95"/>
        <v>0.79751540584004155</v>
      </c>
      <c r="AB250" s="259">
        <f t="shared" si="95"/>
        <v>0.77989612309524625</v>
      </c>
      <c r="AC250" s="259" t="e">
        <f t="shared" si="95"/>
        <v>#DIV/0!</v>
      </c>
    </row>
    <row r="251" spans="1:30" ht="15.75" thickBot="1">
      <c r="A251" s="240" t="s">
        <v>255</v>
      </c>
      <c r="B251" s="258">
        <f>B235+B124</f>
        <v>0.85150684931506859</v>
      </c>
      <c r="C251" s="258">
        <f t="shared" si="95"/>
        <v>0.82000000000000006</v>
      </c>
      <c r="D251" s="258">
        <f t="shared" si="95"/>
        <v>0.79043478260869571</v>
      </c>
      <c r="E251" s="258">
        <f t="shared" si="95"/>
        <v>0.86839481555333997</v>
      </c>
      <c r="F251" s="258">
        <f t="shared" si="95"/>
        <v>0.81318681318681318</v>
      </c>
      <c r="G251" s="258">
        <f t="shared" si="95"/>
        <v>0.80769230769230771</v>
      </c>
      <c r="H251" s="258">
        <f t="shared" si="95"/>
        <v>0.80476190476190479</v>
      </c>
      <c r="I251" s="258">
        <f t="shared" si="95"/>
        <v>0.82403433476394849</v>
      </c>
      <c r="J251" s="258">
        <f t="shared" si="95"/>
        <v>0.81380651434127371</v>
      </c>
      <c r="K251" s="258">
        <f t="shared" si="95"/>
        <v>0.8214285714285714</v>
      </c>
      <c r="L251" s="258">
        <f t="shared" si="95"/>
        <v>0.83174603174603168</v>
      </c>
      <c r="M251" s="258">
        <f t="shared" si="95"/>
        <v>0.83833333333333337</v>
      </c>
      <c r="N251" s="258">
        <f t="shared" si="95"/>
        <v>0.83626373626373618</v>
      </c>
      <c r="O251" s="258">
        <f t="shared" si="95"/>
        <v>0.84072622240561179</v>
      </c>
      <c r="P251" s="258">
        <f t="shared" si="95"/>
        <v>0.84056603773584904</v>
      </c>
      <c r="Q251" s="258">
        <f t="shared" si="95"/>
        <v>0.84099678456591631</v>
      </c>
      <c r="R251" s="258">
        <f t="shared" si="95"/>
        <v>0.84099290780141844</v>
      </c>
      <c r="S251" s="258">
        <f t="shared" si="95"/>
        <v>0.84096385542168672</v>
      </c>
      <c r="T251" s="258">
        <f t="shared" si="95"/>
        <v>0.84106382978723404</v>
      </c>
      <c r="U251" s="258">
        <f t="shared" si="95"/>
        <v>0.841046511627907</v>
      </c>
      <c r="V251" s="258">
        <f t="shared" si="95"/>
        <v>0.83600000000000008</v>
      </c>
      <c r="W251" s="258">
        <f t="shared" si="95"/>
        <v>0.84300970873786407</v>
      </c>
      <c r="X251" s="258">
        <f t="shared" si="95"/>
        <v>0.84300429184549364</v>
      </c>
      <c r="Y251" s="258">
        <f t="shared" si="95"/>
        <v>0.84499999999999997</v>
      </c>
      <c r="Z251" s="259">
        <f t="shared" si="95"/>
        <v>0.84299999999999997</v>
      </c>
      <c r="AA251" s="259">
        <f t="shared" si="95"/>
        <v>0.85076137098660054</v>
      </c>
      <c r="AB251" s="259">
        <f t="shared" si="95"/>
        <v>0.8503354974533508</v>
      </c>
      <c r="AC251" s="259">
        <f t="shared" si="95"/>
        <v>0.85137974780414716</v>
      </c>
    </row>
    <row r="252" spans="1:30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</row>
    <row r="253" spans="1:30" ht="15.75" thickBot="1">
      <c r="A253" s="240" t="s">
        <v>265</v>
      </c>
    </row>
    <row r="254" spans="1:30" ht="15.75" thickBot="1">
      <c r="A254" s="236"/>
      <c r="B254" s="237" t="str">
        <f>B$2</f>
        <v xml:space="preserve">93/94 </v>
      </c>
      <c r="C254" s="237" t="str">
        <f t="shared" ref="C254:AC254" si="96">C$2</f>
        <v xml:space="preserve">94/95 </v>
      </c>
      <c r="D254" s="237" t="str">
        <f t="shared" si="96"/>
        <v xml:space="preserve">95/96 </v>
      </c>
      <c r="E254" s="237" t="str">
        <f t="shared" si="96"/>
        <v xml:space="preserve">96/97 </v>
      </c>
      <c r="F254" s="237" t="str">
        <f t="shared" si="96"/>
        <v xml:space="preserve">97/98 </v>
      </c>
      <c r="G254" s="237" t="str">
        <f t="shared" si="96"/>
        <v xml:space="preserve">98/99 </v>
      </c>
      <c r="H254" s="237" t="str">
        <f t="shared" si="96"/>
        <v xml:space="preserve">99/00 </v>
      </c>
      <c r="I254" s="237" t="str">
        <f t="shared" si="96"/>
        <v xml:space="preserve">00/01 </v>
      </c>
      <c r="J254" s="237" t="str">
        <f t="shared" si="96"/>
        <v xml:space="preserve">01/02 </v>
      </c>
      <c r="K254" s="237" t="str">
        <f t="shared" si="96"/>
        <v xml:space="preserve">02/03 </v>
      </c>
      <c r="L254" s="237" t="str">
        <f t="shared" si="96"/>
        <v xml:space="preserve">03/04 </v>
      </c>
      <c r="M254" s="237" t="str">
        <f t="shared" si="96"/>
        <v xml:space="preserve">04/05 </v>
      </c>
      <c r="N254" s="237" t="str">
        <f t="shared" si="96"/>
        <v xml:space="preserve">05/06 </v>
      </c>
      <c r="O254" s="237" t="str">
        <f t="shared" si="96"/>
        <v xml:space="preserve">06/07 </v>
      </c>
      <c r="P254" s="237" t="str">
        <f t="shared" si="96"/>
        <v xml:space="preserve">07/08 </v>
      </c>
      <c r="Q254" s="237" t="str">
        <f t="shared" si="96"/>
        <v xml:space="preserve">08/09 </v>
      </c>
      <c r="R254" s="237" t="str">
        <f t="shared" si="96"/>
        <v xml:space="preserve">09/10 </v>
      </c>
      <c r="S254" s="237" t="str">
        <f t="shared" si="96"/>
        <v xml:space="preserve">10/11 </v>
      </c>
      <c r="T254" s="237" t="str">
        <f t="shared" si="96"/>
        <v xml:space="preserve">11/12 </v>
      </c>
      <c r="U254" s="237" t="str">
        <f t="shared" si="96"/>
        <v xml:space="preserve">12/13 </v>
      </c>
      <c r="V254" s="237" t="str">
        <f t="shared" si="96"/>
        <v xml:space="preserve">13/14 </v>
      </c>
      <c r="W254" s="237" t="str">
        <f t="shared" si="96"/>
        <v xml:space="preserve">14/15 </v>
      </c>
      <c r="X254" s="237" t="str">
        <f t="shared" si="96"/>
        <v xml:space="preserve">15/16 </v>
      </c>
      <c r="Y254" s="237" t="str">
        <f t="shared" si="96"/>
        <v xml:space="preserve">16/17 </v>
      </c>
      <c r="Z254" s="237" t="str">
        <f t="shared" si="96"/>
        <v xml:space="preserve">17/18 </v>
      </c>
      <c r="AA254" s="237" t="str">
        <f t="shared" si="96"/>
        <v xml:space="preserve">18/19 </v>
      </c>
      <c r="AB254" s="237" t="str">
        <f t="shared" si="96"/>
        <v xml:space="preserve">19/20 </v>
      </c>
      <c r="AC254" s="237" t="str">
        <f t="shared" si="96"/>
        <v xml:space="preserve">20/21 </v>
      </c>
      <c r="AD254" s="269"/>
    </row>
    <row r="255" spans="1:30">
      <c r="A255" s="240" t="s">
        <v>239</v>
      </c>
      <c r="B255" s="241">
        <f>(SUM(K255:O255)/SUM(K$267:O$267))*B$267</f>
        <v>0</v>
      </c>
      <c r="C255" s="241">
        <f>(SUM(L255:P255)/SUM(L$267:P$267))*C$267</f>
        <v>1.0135135135135136</v>
      </c>
      <c r="D255" s="241">
        <f t="shared" ref="D255:I255" si="97">(SUM(M255:Q255)/SUM(M$267:Q$267))*D$267</f>
        <v>0</v>
      </c>
      <c r="E255" s="241">
        <f t="shared" si="97"/>
        <v>0.85956844711708524</v>
      </c>
      <c r="F255" s="241">
        <f t="shared" si="97"/>
        <v>0.4511278195488721</v>
      </c>
      <c r="G255" s="241">
        <f t="shared" si="97"/>
        <v>1.1379516869634656</v>
      </c>
      <c r="H255" s="241">
        <f t="shared" si="97"/>
        <v>0</v>
      </c>
      <c r="I255" s="241">
        <f t="shared" si="97"/>
        <v>0</v>
      </c>
      <c r="J255" s="242">
        <f>'[5]Indonesia Coconut Oil Imports'!DT$290</f>
        <v>0</v>
      </c>
      <c r="K255" s="242">
        <v>0.01</v>
      </c>
      <c r="L255" s="242">
        <v>0</v>
      </c>
      <c r="M255" s="242">
        <v>0.72599999999999998</v>
      </c>
      <c r="N255" s="242">
        <v>3.0000000000000001E-3</v>
      </c>
      <c r="O255" s="242">
        <v>2E-3</v>
      </c>
      <c r="P255" s="242">
        <v>1.9E-2</v>
      </c>
      <c r="Q255" s="242">
        <v>1E-3</v>
      </c>
      <c r="R255" s="242">
        <v>5.6000000000000001E-2</v>
      </c>
      <c r="S255" s="242">
        <v>3.7999999999999999E-2</v>
      </c>
      <c r="T255" s="242">
        <v>7.5999999999999998E-2</v>
      </c>
      <c r="U255" s="242">
        <v>0.121</v>
      </c>
      <c r="V255" s="242">
        <v>0.121</v>
      </c>
      <c r="W255" s="242">
        <v>9.5000000000000001E-2</v>
      </c>
      <c r="X255" s="242">
        <v>0.114</v>
      </c>
      <c r="Y255" s="242">
        <v>1.9E-2</v>
      </c>
      <c r="Z255" s="242">
        <v>1E-3</v>
      </c>
      <c r="AA255" s="243">
        <f>(SUM(U255:Y255)/SUM(U$267:Y$267))*AA$267</f>
        <v>8.0286983259309885E-2</v>
      </c>
      <c r="AB255" s="243">
        <f t="shared" ref="AB255:AB265" si="98">(SUM(V255:Z255)/SUM(V$267:Z$267))*AB$267</f>
        <v>6.5494011976047914E-2</v>
      </c>
      <c r="AC255" s="243">
        <f t="shared" ref="AC255:AC265" si="99">(SUM(W255:AA255)/SUM(W$267:AA$267))*AC$267</f>
        <v>6.3404465612814667E-2</v>
      </c>
    </row>
    <row r="256" spans="1:30">
      <c r="A256" s="240" t="s">
        <v>240</v>
      </c>
      <c r="B256" s="241">
        <f t="shared" ref="B256:I266" si="100">(SUM(K256:O256)/SUM(K$267:O$267))*B$267</f>
        <v>0</v>
      </c>
      <c r="C256" s="241">
        <f t="shared" si="100"/>
        <v>0.7108108108108111</v>
      </c>
      <c r="D256" s="241">
        <f t="shared" si="100"/>
        <v>0</v>
      </c>
      <c r="E256" s="241">
        <f t="shared" si="100"/>
        <v>0.54120976299964618</v>
      </c>
      <c r="F256" s="241">
        <f t="shared" si="100"/>
        <v>0.56390977443609014</v>
      </c>
      <c r="G256" s="241">
        <f t="shared" si="100"/>
        <v>1.4733479736474344</v>
      </c>
      <c r="H256" s="241">
        <f t="shared" si="100"/>
        <v>0</v>
      </c>
      <c r="I256" s="241">
        <f t="shared" si="100"/>
        <v>0</v>
      </c>
      <c r="J256" s="242">
        <f>'[5]Indonesia Coconut Oil Imports'!DU$290</f>
        <v>0</v>
      </c>
      <c r="K256" s="242">
        <v>3.0000000000000001E-3</v>
      </c>
      <c r="L256" s="242">
        <v>7.0000000000000001E-3</v>
      </c>
      <c r="M256" s="242">
        <v>0.50600000000000001</v>
      </c>
      <c r="N256" s="242">
        <v>0</v>
      </c>
      <c r="O256" s="242">
        <v>1.0999999999999999E-2</v>
      </c>
      <c r="P256" s="242">
        <v>2E-3</v>
      </c>
      <c r="Q256" s="242">
        <v>0</v>
      </c>
      <c r="R256" s="242">
        <v>3.7999999999999999E-2</v>
      </c>
      <c r="S256" s="242">
        <v>9.4E-2</v>
      </c>
      <c r="T256" s="242">
        <v>0.112</v>
      </c>
      <c r="U256" s="242">
        <v>0.114</v>
      </c>
      <c r="V256" s="242">
        <v>0.113</v>
      </c>
      <c r="W256" s="242">
        <v>9.5000000000000001E-2</v>
      </c>
      <c r="X256" s="242">
        <v>0.13200000000000001</v>
      </c>
      <c r="Y256" s="242">
        <v>0.17499999999999999</v>
      </c>
      <c r="Z256" s="242">
        <v>4.5999999999999999E-2</v>
      </c>
      <c r="AA256" s="243">
        <f>(SUM(U256:Y256)/SUM(U$267:Y$267))*AA$267</f>
        <v>0.10744789887256578</v>
      </c>
      <c r="AB256" s="243">
        <f t="shared" si="98"/>
        <v>0.10497754491017966</v>
      </c>
      <c r="AC256" s="243">
        <f t="shared" si="99"/>
        <v>0.11386795794845546</v>
      </c>
    </row>
    <row r="257" spans="1:30">
      <c r="A257" s="240" t="s">
        <v>241</v>
      </c>
      <c r="B257" s="241">
        <f t="shared" si="100"/>
        <v>0</v>
      </c>
      <c r="C257" s="241">
        <f t="shared" si="100"/>
        <v>0.11756756756756759</v>
      </c>
      <c r="D257" s="241">
        <f t="shared" si="100"/>
        <v>0</v>
      </c>
      <c r="E257" s="241">
        <f t="shared" si="100"/>
        <v>2.759108595684471</v>
      </c>
      <c r="F257" s="241">
        <f t="shared" si="100"/>
        <v>1.462276380606689</v>
      </c>
      <c r="G257" s="241">
        <f t="shared" si="100"/>
        <v>3.2162108205230577</v>
      </c>
      <c r="H257" s="241">
        <f t="shared" si="100"/>
        <v>0</v>
      </c>
      <c r="I257" s="241">
        <f t="shared" si="100"/>
        <v>0</v>
      </c>
      <c r="J257" s="242">
        <f>'[5]Indonesia Coconut Oil Imports'!DV$290</f>
        <v>0</v>
      </c>
      <c r="K257" s="242">
        <v>1.4999999999999999E-2</v>
      </c>
      <c r="L257" s="242">
        <v>1.2999999999999999E-2</v>
      </c>
      <c r="M257" s="242">
        <v>1.4E-2</v>
      </c>
      <c r="N257" s="242">
        <v>3.4000000000000002E-2</v>
      </c>
      <c r="O257" s="242">
        <v>1.6E-2</v>
      </c>
      <c r="P257" s="242">
        <v>0.01</v>
      </c>
      <c r="Q257" s="242">
        <v>0</v>
      </c>
      <c r="R257" s="242">
        <v>0.2</v>
      </c>
      <c r="S257" s="242">
        <v>0.15</v>
      </c>
      <c r="T257" s="242">
        <v>0.17699999999999999</v>
      </c>
      <c r="U257" s="242">
        <v>0.19600000000000001</v>
      </c>
      <c r="V257" s="242">
        <v>0.155</v>
      </c>
      <c r="W257" s="242">
        <v>0.16</v>
      </c>
      <c r="X257" s="242">
        <v>0.20399999999999999</v>
      </c>
      <c r="Y257" s="242">
        <v>3.1E-2</v>
      </c>
      <c r="Z257" s="242">
        <v>3.4000000000000002E-2</v>
      </c>
      <c r="AA257" s="243">
        <f>(SUM(U257:Y257)/SUM(U$267:Y$267))*AA$267</f>
        <v>0.12743423300307483</v>
      </c>
      <c r="AB257" s="243">
        <f t="shared" si="98"/>
        <v>0.10928143712574853</v>
      </c>
      <c r="AC257" s="243">
        <f t="shared" si="99"/>
        <v>0.11407015846721504</v>
      </c>
    </row>
    <row r="258" spans="1:30">
      <c r="A258" s="240" t="s">
        <v>231</v>
      </c>
      <c r="B258" s="241">
        <f t="shared" si="100"/>
        <v>0</v>
      </c>
      <c r="C258" s="241">
        <f t="shared" si="100"/>
        <v>5.2702702702702713E-2</v>
      </c>
      <c r="D258" s="241">
        <f t="shared" si="100"/>
        <v>0</v>
      </c>
      <c r="E258" s="241">
        <f t="shared" si="100"/>
        <v>0.29713477184294307</v>
      </c>
      <c r="F258" s="241">
        <f t="shared" si="100"/>
        <v>0.29556650246305416</v>
      </c>
      <c r="G258" s="241">
        <f t="shared" si="100"/>
        <v>0.80854461968456781</v>
      </c>
      <c r="H258" s="241">
        <f t="shared" si="100"/>
        <v>0</v>
      </c>
      <c r="I258" s="241">
        <f t="shared" si="100"/>
        <v>0</v>
      </c>
      <c r="J258" s="242">
        <v>1.2999999999999999E-2</v>
      </c>
      <c r="K258" s="242">
        <v>0.26800000000000002</v>
      </c>
      <c r="L258" s="242">
        <v>2.1000000000000001E-2</v>
      </c>
      <c r="M258" s="242">
        <v>8.9999999999999993E-3</v>
      </c>
      <c r="N258" s="242">
        <v>7.0000000000000001E-3</v>
      </c>
      <c r="O258" s="242">
        <v>2E-3</v>
      </c>
      <c r="P258" s="242">
        <v>0</v>
      </c>
      <c r="Q258" s="242">
        <v>0</v>
      </c>
      <c r="R258" s="242">
        <v>1.9E-2</v>
      </c>
      <c r="S258" s="242">
        <v>5.5E-2</v>
      </c>
      <c r="T258" s="242">
        <v>6.0999999999999999E-2</v>
      </c>
      <c r="U258" s="242">
        <v>7.1999999999999995E-2</v>
      </c>
      <c r="V258" s="242">
        <v>3.9E-2</v>
      </c>
      <c r="W258" s="242">
        <v>0.111</v>
      </c>
      <c r="X258" s="242">
        <v>0.18</v>
      </c>
      <c r="Y258" s="242">
        <v>4.3999999999999997E-2</v>
      </c>
      <c r="Z258" s="242">
        <v>0.24199999999999999</v>
      </c>
      <c r="AA258" s="243">
        <f>(SUM(U258:Y258)/SUM(U$267:Y$267))*AA$267</f>
        <v>7.6187222412025968E-2</v>
      </c>
      <c r="AB258" s="243">
        <f t="shared" si="98"/>
        <v>0.1152694610778443</v>
      </c>
      <c r="AC258" s="243">
        <f t="shared" si="99"/>
        <v>0.13390471964166173</v>
      </c>
    </row>
    <row r="259" spans="1:30">
      <c r="A259" s="240" t="s">
        <v>232</v>
      </c>
      <c r="B259" s="241">
        <f t="shared" si="100"/>
        <v>0</v>
      </c>
      <c r="C259" s="241">
        <f t="shared" si="100"/>
        <v>4.8648648648648665E-2</v>
      </c>
      <c r="D259" s="241">
        <f t="shared" si="100"/>
        <v>0</v>
      </c>
      <c r="E259" s="241">
        <f t="shared" si="100"/>
        <v>0.75344888574460567</v>
      </c>
      <c r="F259" s="241">
        <f t="shared" si="100"/>
        <v>0.65335753176043554</v>
      </c>
      <c r="G259" s="241">
        <f t="shared" si="100"/>
        <v>1.5452186065082849</v>
      </c>
      <c r="H259" s="241">
        <f t="shared" si="100"/>
        <v>0</v>
      </c>
      <c r="I259" s="241">
        <f t="shared" si="100"/>
        <v>0</v>
      </c>
      <c r="J259" s="242">
        <v>8.9999999999999993E-3</v>
      </c>
      <c r="K259" s="242">
        <v>0.25700000000000001</v>
      </c>
      <c r="L259" s="242">
        <v>1.9E-2</v>
      </c>
      <c r="M259" s="242">
        <v>2E-3</v>
      </c>
      <c r="N259" s="242">
        <v>1E-3</v>
      </c>
      <c r="O259" s="242">
        <v>1.2E-2</v>
      </c>
      <c r="P259" s="242">
        <v>2E-3</v>
      </c>
      <c r="Q259" s="242">
        <v>0</v>
      </c>
      <c r="R259" s="242">
        <v>5.6000000000000001E-2</v>
      </c>
      <c r="S259" s="242">
        <v>9.8000000000000004E-2</v>
      </c>
      <c r="T259" s="242">
        <v>0.10199999999999999</v>
      </c>
      <c r="U259" s="242">
        <v>0.11600000000000001</v>
      </c>
      <c r="V259" s="242">
        <v>9.6000000000000002E-2</v>
      </c>
      <c r="W259" s="242">
        <v>0.12</v>
      </c>
      <c r="X259" s="242">
        <v>6.5000000000000002E-2</v>
      </c>
      <c r="Y259" s="242">
        <v>3.0000000000000001E-3</v>
      </c>
      <c r="Z259" s="242">
        <v>0.114</v>
      </c>
      <c r="AA259" s="243">
        <f>(SUM(U259:Y259)/SUM(U$267:Y$267))*AA$267</f>
        <v>6.832934745473182E-2</v>
      </c>
      <c r="AB259" s="243">
        <f t="shared" si="98"/>
        <v>7.4476047904191628E-2</v>
      </c>
      <c r="AC259" s="243">
        <f t="shared" si="99"/>
        <v>7.5918275410974123E-2</v>
      </c>
    </row>
    <row r="260" spans="1:30">
      <c r="A260" s="240" t="s">
        <v>233</v>
      </c>
      <c r="B260" s="241">
        <f t="shared" si="100"/>
        <v>0</v>
      </c>
      <c r="C260" s="241">
        <f t="shared" si="100"/>
        <v>4.8648648648648665E-2</v>
      </c>
      <c r="D260" s="241">
        <f t="shared" si="100"/>
        <v>0</v>
      </c>
      <c r="E260" s="241">
        <f t="shared" si="100"/>
        <v>1.1991510435090202</v>
      </c>
      <c r="F260" s="241">
        <f t="shared" si="100"/>
        <v>0.76225045372050815</v>
      </c>
      <c r="G260" s="241">
        <f t="shared" si="100"/>
        <v>1.7248951886604114</v>
      </c>
      <c r="H260" s="241">
        <f t="shared" si="100"/>
        <v>0</v>
      </c>
      <c r="I260" s="241">
        <f t="shared" si="100"/>
        <v>0</v>
      </c>
      <c r="J260" s="242">
        <v>8.9999999999999993E-3</v>
      </c>
      <c r="K260" s="242">
        <v>0.35199999999999998</v>
      </c>
      <c r="L260" s="242">
        <v>1.2999999999999999E-2</v>
      </c>
      <c r="M260" s="242">
        <v>0.02</v>
      </c>
      <c r="N260" s="242">
        <v>0</v>
      </c>
      <c r="O260" s="242">
        <v>3.0000000000000001E-3</v>
      </c>
      <c r="P260" s="242">
        <v>0</v>
      </c>
      <c r="Q260" s="242">
        <v>0</v>
      </c>
      <c r="R260" s="242">
        <v>0.11</v>
      </c>
      <c r="S260" s="242">
        <v>8.3000000000000004E-2</v>
      </c>
      <c r="T260" s="242">
        <v>9.5000000000000001E-2</v>
      </c>
      <c r="U260" s="242">
        <v>9.2999999999999999E-2</v>
      </c>
      <c r="V260" s="242">
        <v>0.17399999999999999</v>
      </c>
      <c r="W260" s="242">
        <v>0.14000000000000001</v>
      </c>
      <c r="X260" s="242">
        <v>5.5E-2</v>
      </c>
      <c r="Y260" s="242">
        <v>5.0000000000000001E-3</v>
      </c>
      <c r="Z260" s="242">
        <v>0</v>
      </c>
      <c r="AA260" s="243">
        <f t="shared" ref="Z260:AA265" si="101">(SUM(U260:Y260)/SUM(U$267:Y$267))*AA$267</f>
        <v>7.9774513153399396E-2</v>
      </c>
      <c r="AB260" s="243">
        <f t="shared" si="98"/>
        <v>6.9985029940119764E-2</v>
      </c>
      <c r="AC260" s="243">
        <f t="shared" si="99"/>
        <v>5.7354348739934273E-2</v>
      </c>
    </row>
    <row r="261" spans="1:30">
      <c r="A261" s="240" t="s">
        <v>234</v>
      </c>
      <c r="B261" s="241">
        <f t="shared" si="100"/>
        <v>0</v>
      </c>
      <c r="C261" s="241">
        <f t="shared" si="100"/>
        <v>8.2432432432432437E-2</v>
      </c>
      <c r="D261" s="241">
        <f t="shared" si="100"/>
        <v>0</v>
      </c>
      <c r="E261" s="241">
        <f t="shared" si="100"/>
        <v>1.5917934205871949</v>
      </c>
      <c r="F261" s="241">
        <f t="shared" si="100"/>
        <v>0.9722582317863625</v>
      </c>
      <c r="G261" s="241">
        <f t="shared" si="100"/>
        <v>2.4076662008384906</v>
      </c>
      <c r="H261" s="241">
        <f t="shared" si="100"/>
        <v>0</v>
      </c>
      <c r="I261" s="241">
        <f t="shared" si="100"/>
        <v>0</v>
      </c>
      <c r="J261" s="242">
        <v>8.0000000000000002E-3</v>
      </c>
      <c r="K261" s="242">
        <v>0.35899999999999999</v>
      </c>
      <c r="L261" s="242">
        <v>2.4E-2</v>
      </c>
      <c r="M261" s="242">
        <v>0.02</v>
      </c>
      <c r="N261" s="242">
        <v>1.2999999999999999E-2</v>
      </c>
      <c r="O261" s="242">
        <v>1E-3</v>
      </c>
      <c r="P261" s="242">
        <v>3.0000000000000001E-3</v>
      </c>
      <c r="Q261" s="242">
        <v>0</v>
      </c>
      <c r="R261" s="242">
        <v>0.13300000000000001</v>
      </c>
      <c r="S261" s="242">
        <v>0.113</v>
      </c>
      <c r="T261" s="242">
        <v>0.153</v>
      </c>
      <c r="U261" s="242">
        <v>0.17100000000000001</v>
      </c>
      <c r="V261" s="242">
        <v>0.112</v>
      </c>
      <c r="W261" s="242">
        <v>0.114</v>
      </c>
      <c r="X261" s="242">
        <v>5.5E-2</v>
      </c>
      <c r="Y261" s="242">
        <v>0</v>
      </c>
      <c r="Z261" s="243">
        <f t="shared" si="101"/>
        <v>8.6713487172137033E-2</v>
      </c>
      <c r="AA261" s="243">
        <f t="shared" si="101"/>
        <v>7.7212162623846961E-2</v>
      </c>
      <c r="AB261" s="243">
        <f t="shared" si="98"/>
        <v>6.8808661521732234E-2</v>
      </c>
      <c r="AC261" s="243">
        <f t="shared" si="99"/>
        <v>6.8250440712583849E-2</v>
      </c>
    </row>
    <row r="262" spans="1:30">
      <c r="A262" s="240" t="s">
        <v>46</v>
      </c>
      <c r="B262" s="241">
        <f t="shared" si="100"/>
        <v>0</v>
      </c>
      <c r="C262" s="241">
        <f t="shared" si="100"/>
        <v>1.0810810810810813E-2</v>
      </c>
      <c r="D262" s="241">
        <f t="shared" si="100"/>
        <v>0</v>
      </c>
      <c r="E262" s="241">
        <f t="shared" si="100"/>
        <v>1.804032543332154</v>
      </c>
      <c r="F262" s="241">
        <f t="shared" si="100"/>
        <v>0.96448016593207142</v>
      </c>
      <c r="G262" s="241">
        <f t="shared" si="100"/>
        <v>2.4735476142942701</v>
      </c>
      <c r="H262" s="241">
        <f t="shared" si="100"/>
        <v>0</v>
      </c>
      <c r="I262" s="241">
        <f t="shared" si="100"/>
        <v>0</v>
      </c>
      <c r="J262" s="242">
        <v>2E-3</v>
      </c>
      <c r="K262" s="242">
        <v>3.0000000000000001E-3</v>
      </c>
      <c r="L262" s="242">
        <v>2E-3</v>
      </c>
      <c r="M262" s="242">
        <v>5.0000000000000001E-3</v>
      </c>
      <c r="N262" s="242">
        <v>0</v>
      </c>
      <c r="O262" s="242">
        <v>0</v>
      </c>
      <c r="P262" s="242">
        <v>1E-3</v>
      </c>
      <c r="Q262" s="242">
        <v>9.4E-2</v>
      </c>
      <c r="R262" s="242">
        <v>7.4999999999999997E-2</v>
      </c>
      <c r="S262" s="242">
        <v>7.8E-2</v>
      </c>
      <c r="T262" s="242">
        <v>0.16500000000000001</v>
      </c>
      <c r="U262" s="242">
        <v>7.8E-2</v>
      </c>
      <c r="V262" s="242">
        <v>0.121</v>
      </c>
      <c r="W262" s="242">
        <v>0.15</v>
      </c>
      <c r="X262" s="242">
        <v>7.0000000000000007E-2</v>
      </c>
      <c r="Y262" s="242">
        <v>0</v>
      </c>
      <c r="Z262" s="243">
        <f t="shared" si="101"/>
        <v>8.3703597534757063E-2</v>
      </c>
      <c r="AA262" s="243">
        <f t="shared" si="101"/>
        <v>7.1574991458831574E-2</v>
      </c>
      <c r="AB262" s="243">
        <f t="shared" si="98"/>
        <v>7.9472978580605744E-2</v>
      </c>
      <c r="AC262" s="243">
        <f t="shared" si="99"/>
        <v>7.6932880072486387E-2</v>
      </c>
    </row>
    <row r="263" spans="1:30">
      <c r="A263" s="240" t="s">
        <v>235</v>
      </c>
      <c r="B263" s="241">
        <f t="shared" si="100"/>
        <v>0</v>
      </c>
      <c r="C263" s="241">
        <f t="shared" si="100"/>
        <v>1.5959459459459464</v>
      </c>
      <c r="D263" s="241">
        <f t="shared" si="100"/>
        <v>0</v>
      </c>
      <c r="E263" s="241">
        <f t="shared" si="100"/>
        <v>3.5868411743898125</v>
      </c>
      <c r="F263" s="241">
        <f t="shared" si="100"/>
        <v>1.7578428830697432</v>
      </c>
      <c r="G263" s="241">
        <f t="shared" si="100"/>
        <v>2.1800758634457971</v>
      </c>
      <c r="H263" s="241">
        <f t="shared" si="100"/>
        <v>0</v>
      </c>
      <c r="I263" s="241">
        <f t="shared" si="100"/>
        <v>0</v>
      </c>
      <c r="J263" s="242">
        <v>1.0999999999999999E-2</v>
      </c>
      <c r="K263" s="242">
        <v>6.0000000000000001E-3</v>
      </c>
      <c r="L263" s="242">
        <v>2E-3</v>
      </c>
      <c r="M263" s="242">
        <v>0.98399999999999999</v>
      </c>
      <c r="N263" s="242">
        <v>0</v>
      </c>
      <c r="O263" s="242">
        <v>0.19500000000000001</v>
      </c>
      <c r="P263" s="242">
        <v>0</v>
      </c>
      <c r="Q263" s="242">
        <v>6.8000000000000005E-2</v>
      </c>
      <c r="R263" s="242">
        <v>7.4999999999999997E-2</v>
      </c>
      <c r="S263" s="242">
        <v>0.114</v>
      </c>
      <c r="T263" s="242">
        <v>0.107</v>
      </c>
      <c r="U263" s="242">
        <v>0.112</v>
      </c>
      <c r="V263" s="242">
        <v>0.11600000000000001</v>
      </c>
      <c r="W263" s="242">
        <v>0.16500000000000001</v>
      </c>
      <c r="X263" s="242">
        <v>5.8999999999999997E-2</v>
      </c>
      <c r="Y263" s="242">
        <v>6.0000000000000001E-3</v>
      </c>
      <c r="Z263" s="243">
        <f t="shared" si="101"/>
        <v>8.0120395585495191E-2</v>
      </c>
      <c r="AA263" s="243">
        <f t="shared" si="101"/>
        <v>7.8237102835667927E-2</v>
      </c>
      <c r="AB263" s="243">
        <f t="shared" si="98"/>
        <v>7.9738097976327707E-2</v>
      </c>
      <c r="AC263" s="243">
        <f t="shared" si="99"/>
        <v>7.9614083317171611E-2</v>
      </c>
    </row>
    <row r="264" spans="1:30">
      <c r="A264" s="240" t="s">
        <v>236</v>
      </c>
      <c r="B264" s="241">
        <f t="shared" si="100"/>
        <v>0</v>
      </c>
      <c r="C264" s="241">
        <f t="shared" si="100"/>
        <v>0.74864864864864888</v>
      </c>
      <c r="D264" s="241">
        <f t="shared" si="100"/>
        <v>0</v>
      </c>
      <c r="E264" s="241">
        <f t="shared" si="100"/>
        <v>7.576936681995047</v>
      </c>
      <c r="F264" s="241">
        <f t="shared" si="100"/>
        <v>3.1540057039149594</v>
      </c>
      <c r="G264" s="241">
        <f t="shared" si="100"/>
        <v>5.7197045318426829</v>
      </c>
      <c r="H264" s="241">
        <f t="shared" si="100"/>
        <v>0</v>
      </c>
      <c r="I264" s="241">
        <f t="shared" si="100"/>
        <v>0</v>
      </c>
      <c r="J264" s="242">
        <v>7.0000000000000001E-3</v>
      </c>
      <c r="K264" s="242">
        <v>2.4E-2</v>
      </c>
      <c r="L264" s="242">
        <v>0.02</v>
      </c>
      <c r="M264" s="242">
        <v>4.0000000000000001E-3</v>
      </c>
      <c r="N264" s="242">
        <v>0</v>
      </c>
      <c r="O264" s="242">
        <v>1E-3</v>
      </c>
      <c r="P264" s="242">
        <v>0.52900000000000003</v>
      </c>
      <c r="Q264" s="242">
        <v>0.09</v>
      </c>
      <c r="R264" s="242">
        <v>9.4E-2</v>
      </c>
      <c r="S264" s="242">
        <v>9.7000000000000003E-2</v>
      </c>
      <c r="T264" s="242">
        <v>0.14499999999999999</v>
      </c>
      <c r="U264" s="242">
        <v>0.14399999999999999</v>
      </c>
      <c r="V264" s="242">
        <v>0.112</v>
      </c>
      <c r="W264" s="242">
        <v>0.155</v>
      </c>
      <c r="X264" s="242">
        <v>2.1000000000000001E-2</v>
      </c>
      <c r="Y264" s="242">
        <v>0.01</v>
      </c>
      <c r="Z264" s="243">
        <f t="shared" si="101"/>
        <v>8.2700300988963735E-2</v>
      </c>
      <c r="AA264" s="243">
        <f t="shared" si="101"/>
        <v>7.5503928937478662E-2</v>
      </c>
      <c r="AB264" s="243">
        <f t="shared" si="98"/>
        <v>7.1238828777874963E-2</v>
      </c>
      <c r="AC264" s="243">
        <f t="shared" si="99"/>
        <v>7.0562572760648298E-2</v>
      </c>
    </row>
    <row r="265" spans="1:30">
      <c r="A265" s="240" t="s">
        <v>237</v>
      </c>
      <c r="B265" s="241">
        <f t="shared" si="100"/>
        <v>0</v>
      </c>
      <c r="C265" s="241">
        <f t="shared" si="100"/>
        <v>0.46081081081081088</v>
      </c>
      <c r="D265" s="241">
        <f t="shared" si="100"/>
        <v>0</v>
      </c>
      <c r="E265" s="241">
        <f t="shared" si="100"/>
        <v>5.4014856738592147</v>
      </c>
      <c r="F265" s="241">
        <f t="shared" si="100"/>
        <v>2.4112004148301787</v>
      </c>
      <c r="G265" s="241">
        <f t="shared" si="100"/>
        <v>4.4799361149930128</v>
      </c>
      <c r="H265" s="241">
        <f t="shared" si="100"/>
        <v>0</v>
      </c>
      <c r="I265" s="241">
        <f t="shared" si="100"/>
        <v>0</v>
      </c>
      <c r="J265" s="242">
        <v>0</v>
      </c>
      <c r="K265" s="242">
        <v>3.0000000000000001E-3</v>
      </c>
      <c r="L265" s="242">
        <v>0.01</v>
      </c>
      <c r="M265" s="242">
        <v>1.7999999999999999E-2</v>
      </c>
      <c r="N265" s="242">
        <v>3.0000000000000001E-3</v>
      </c>
      <c r="O265" s="242">
        <v>3.0000000000000001E-3</v>
      </c>
      <c r="P265" s="242">
        <v>0.307</v>
      </c>
      <c r="Q265" s="242">
        <v>0.107</v>
      </c>
      <c r="R265" s="242">
        <v>8.8999999999999996E-2</v>
      </c>
      <c r="S265" s="242">
        <v>0.114</v>
      </c>
      <c r="T265" s="242">
        <v>0.13100000000000001</v>
      </c>
      <c r="U265" s="242">
        <v>0.152</v>
      </c>
      <c r="V265" s="242">
        <v>0.13800000000000001</v>
      </c>
      <c r="W265" s="242">
        <v>0.13900000000000001</v>
      </c>
      <c r="X265" s="242">
        <v>0</v>
      </c>
      <c r="Y265" s="242">
        <v>2E-3</v>
      </c>
      <c r="Z265" s="243">
        <f t="shared" si="101"/>
        <v>8.026372366346568E-2</v>
      </c>
      <c r="AA265" s="243">
        <f t="shared" si="101"/>
        <v>7.3624871882473547E-2</v>
      </c>
      <c r="AB265" s="243">
        <f t="shared" si="98"/>
        <v>6.7227493200498825E-2</v>
      </c>
      <c r="AC265" s="243">
        <f t="shared" si="99"/>
        <v>6.0452766614583694E-2</v>
      </c>
    </row>
    <row r="266" spans="1:30">
      <c r="A266" s="240" t="s">
        <v>238</v>
      </c>
      <c r="B266" s="241">
        <f t="shared" si="100"/>
        <v>0</v>
      </c>
      <c r="C266" s="241">
        <f t="shared" si="100"/>
        <v>0.10945945945945948</v>
      </c>
      <c r="D266" s="241">
        <f t="shared" si="100"/>
        <v>0</v>
      </c>
      <c r="E266" s="241">
        <f t="shared" si="100"/>
        <v>3.6292889989388044</v>
      </c>
      <c r="F266" s="241">
        <f t="shared" si="100"/>
        <v>1.5517241379310345</v>
      </c>
      <c r="G266" s="241">
        <f t="shared" si="100"/>
        <v>2.8329007785985225</v>
      </c>
      <c r="H266" s="241">
        <f t="shared" si="100"/>
        <v>0</v>
      </c>
      <c r="I266" s="241">
        <f t="shared" si="100"/>
        <v>0</v>
      </c>
      <c r="J266" s="242">
        <v>8.0000000000000002E-3</v>
      </c>
      <c r="K266" s="242">
        <v>4.0000000000000001E-3</v>
      </c>
      <c r="L266" s="242">
        <v>0</v>
      </c>
      <c r="M266" s="242">
        <v>5.0000000000000001E-3</v>
      </c>
      <c r="N266" s="242">
        <v>5.6000000000000001E-2</v>
      </c>
      <c r="O266" s="242">
        <v>0.02</v>
      </c>
      <c r="P266" s="242">
        <v>0</v>
      </c>
      <c r="Q266" s="242">
        <v>0.13500000000000001</v>
      </c>
      <c r="R266" s="242">
        <v>0.13100000000000001</v>
      </c>
      <c r="S266" s="242">
        <v>0.113</v>
      </c>
      <c r="T266" s="242">
        <v>9.4E-2</v>
      </c>
      <c r="U266" s="242">
        <v>0.14099999999999999</v>
      </c>
      <c r="V266" s="242">
        <v>0.16900000000000001</v>
      </c>
      <c r="W266" s="242">
        <v>0.16700000000000001</v>
      </c>
      <c r="X266" s="242">
        <v>1.7000000000000001E-2</v>
      </c>
      <c r="Y266" s="242">
        <v>0</v>
      </c>
      <c r="Z266" s="243">
        <f>Z267-SUM(Z255:Z265)</f>
        <v>0.1494984950551812</v>
      </c>
      <c r="AA266" s="243">
        <f>AA267-SUM(AA255:AA265)</f>
        <v>8.4386744106593525E-2</v>
      </c>
      <c r="AB266" s="243">
        <f>AB267-SUM(AB255:AB265)</f>
        <v>9.4030407008828698E-2</v>
      </c>
      <c r="AC266" s="243">
        <f>AC267-SUM(AC255:AC265)</f>
        <v>8.5667330701471034E-2</v>
      </c>
    </row>
    <row r="267" spans="1:30" ht="15.75" thickBot="1">
      <c r="A267" s="240" t="s">
        <v>242</v>
      </c>
      <c r="B267" s="245">
        <f t="shared" ref="B267:I267" si="102">B34</f>
        <v>0</v>
      </c>
      <c r="C267" s="245">
        <f t="shared" si="102"/>
        <v>5</v>
      </c>
      <c r="D267" s="245">
        <f t="shared" si="102"/>
        <v>0</v>
      </c>
      <c r="E267" s="245">
        <f t="shared" si="102"/>
        <v>30</v>
      </c>
      <c r="F267" s="245">
        <f t="shared" si="102"/>
        <v>15</v>
      </c>
      <c r="G267" s="245">
        <f t="shared" si="102"/>
        <v>30</v>
      </c>
      <c r="H267" s="245">
        <f t="shared" si="102"/>
        <v>0</v>
      </c>
      <c r="I267" s="245">
        <f t="shared" si="102"/>
        <v>0</v>
      </c>
      <c r="J267" s="245">
        <f t="shared" ref="J267:Y267" si="103">SUM(J255:J266)</f>
        <v>6.7000000000000004E-2</v>
      </c>
      <c r="K267" s="245">
        <f t="shared" si="103"/>
        <v>1.3039999999999998</v>
      </c>
      <c r="L267" s="245">
        <f t="shared" si="103"/>
        <v>0.13100000000000001</v>
      </c>
      <c r="M267" s="245">
        <f t="shared" si="103"/>
        <v>2.3129999999999993</v>
      </c>
      <c r="N267" s="245">
        <f t="shared" si="103"/>
        <v>0.11700000000000001</v>
      </c>
      <c r="O267" s="245">
        <f t="shared" si="103"/>
        <v>0.26600000000000001</v>
      </c>
      <c r="P267" s="245">
        <f t="shared" si="103"/>
        <v>0.873</v>
      </c>
      <c r="Q267" s="245">
        <f t="shared" si="103"/>
        <v>0.495</v>
      </c>
      <c r="R267" s="245">
        <f t="shared" si="103"/>
        <v>1.0760000000000001</v>
      </c>
      <c r="S267" s="245">
        <f t="shared" si="103"/>
        <v>1.147</v>
      </c>
      <c r="T267" s="245">
        <f t="shared" si="103"/>
        <v>1.4180000000000001</v>
      </c>
      <c r="U267" s="245">
        <f t="shared" si="103"/>
        <v>1.5099999999999998</v>
      </c>
      <c r="V267" s="245">
        <f t="shared" si="103"/>
        <v>1.4660000000000002</v>
      </c>
      <c r="W267" s="245">
        <f t="shared" si="103"/>
        <v>1.611</v>
      </c>
      <c r="X267" s="245">
        <f t="shared" si="103"/>
        <v>0.97199999999999998</v>
      </c>
      <c r="Y267" s="245">
        <f t="shared" si="103"/>
        <v>0.29499999999999998</v>
      </c>
      <c r="Z267" s="243">
        <f>Z34</f>
        <v>1</v>
      </c>
      <c r="AA267" s="243">
        <f>AA34</f>
        <v>1</v>
      </c>
      <c r="AB267" s="243">
        <f>AB34</f>
        <v>1</v>
      </c>
      <c r="AC267" s="243">
        <f>AC34</f>
        <v>1</v>
      </c>
    </row>
    <row r="268" spans="1:30">
      <c r="A268" s="248"/>
      <c r="B268" s="248"/>
      <c r="C268" s="248"/>
      <c r="E268" s="248"/>
      <c r="F268" s="248"/>
      <c r="G268" s="248"/>
      <c r="H268" s="248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</row>
    <row r="269" spans="1:30" ht="15.75" thickBot="1">
      <c r="A269" s="240" t="s">
        <v>267</v>
      </c>
      <c r="D269" s="271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</row>
    <row r="270" spans="1:30" ht="15.75" thickBot="1">
      <c r="A270" s="236"/>
      <c r="B270" s="237" t="str">
        <f>B$2</f>
        <v xml:space="preserve">93/94 </v>
      </c>
      <c r="C270" s="237" t="str">
        <f t="shared" ref="C270:AC270" si="104">C$2</f>
        <v xml:space="preserve">94/95 </v>
      </c>
      <c r="D270" s="237" t="str">
        <f t="shared" si="104"/>
        <v xml:space="preserve">95/96 </v>
      </c>
      <c r="E270" s="237" t="str">
        <f t="shared" si="104"/>
        <v xml:space="preserve">96/97 </v>
      </c>
      <c r="F270" s="237" t="str">
        <f t="shared" si="104"/>
        <v xml:space="preserve">97/98 </v>
      </c>
      <c r="G270" s="237" t="str">
        <f t="shared" si="104"/>
        <v xml:space="preserve">98/99 </v>
      </c>
      <c r="H270" s="237" t="str">
        <f t="shared" si="104"/>
        <v xml:space="preserve">99/00 </v>
      </c>
      <c r="I270" s="237" t="str">
        <f t="shared" si="104"/>
        <v xml:space="preserve">00/01 </v>
      </c>
      <c r="J270" s="237" t="str">
        <f t="shared" si="104"/>
        <v xml:space="preserve">01/02 </v>
      </c>
      <c r="K270" s="237" t="str">
        <f t="shared" si="104"/>
        <v xml:space="preserve">02/03 </v>
      </c>
      <c r="L270" s="237" t="str">
        <f t="shared" si="104"/>
        <v xml:space="preserve">03/04 </v>
      </c>
      <c r="M270" s="237" t="str">
        <f t="shared" si="104"/>
        <v xml:space="preserve">04/05 </v>
      </c>
      <c r="N270" s="237" t="str">
        <f t="shared" si="104"/>
        <v xml:space="preserve">05/06 </v>
      </c>
      <c r="O270" s="237" t="str">
        <f t="shared" si="104"/>
        <v xml:space="preserve">06/07 </v>
      </c>
      <c r="P270" s="237" t="str">
        <f t="shared" si="104"/>
        <v xml:space="preserve">07/08 </v>
      </c>
      <c r="Q270" s="237" t="str">
        <f t="shared" si="104"/>
        <v xml:space="preserve">08/09 </v>
      </c>
      <c r="R270" s="237" t="str">
        <f t="shared" si="104"/>
        <v xml:space="preserve">09/10 </v>
      </c>
      <c r="S270" s="237" t="str">
        <f t="shared" si="104"/>
        <v xml:space="preserve">10/11 </v>
      </c>
      <c r="T270" s="237" t="str">
        <f t="shared" si="104"/>
        <v xml:space="preserve">11/12 </v>
      </c>
      <c r="U270" s="237" t="str">
        <f t="shared" si="104"/>
        <v xml:space="preserve">12/13 </v>
      </c>
      <c r="V270" s="237" t="str">
        <f t="shared" si="104"/>
        <v xml:space="preserve">13/14 </v>
      </c>
      <c r="W270" s="237" t="str">
        <f t="shared" si="104"/>
        <v xml:space="preserve">14/15 </v>
      </c>
      <c r="X270" s="237" t="str">
        <f t="shared" si="104"/>
        <v xml:space="preserve">15/16 </v>
      </c>
      <c r="Y270" s="237" t="str">
        <f t="shared" si="104"/>
        <v xml:space="preserve">16/17 </v>
      </c>
      <c r="Z270" s="237" t="str">
        <f t="shared" si="104"/>
        <v xml:space="preserve">17/18 </v>
      </c>
      <c r="AA270" s="237" t="str">
        <f t="shared" si="104"/>
        <v xml:space="preserve">18/19 </v>
      </c>
      <c r="AB270" s="237" t="str">
        <f t="shared" si="104"/>
        <v xml:space="preserve">19/20 </v>
      </c>
      <c r="AC270" s="237" t="str">
        <f t="shared" si="104"/>
        <v xml:space="preserve">20/21 </v>
      </c>
      <c r="AD270" s="269"/>
    </row>
    <row r="271" spans="1:30">
      <c r="A271" s="240" t="s">
        <v>239</v>
      </c>
      <c r="B271" s="251">
        <f>'[2]Ukraine Sun Oil Exports'!AG$290</f>
        <v>10.6</v>
      </c>
      <c r="C271" s="251">
        <f>'[2]Ukraine Sun Oil Exports'!AS$290</f>
        <v>17.7</v>
      </c>
      <c r="D271" s="251">
        <f>'[2]Ukraine Sun Oil Exports'!BF$290</f>
        <v>29.2</v>
      </c>
      <c r="E271" s="251">
        <f>'[2]Ukraine Sun Oil Exports'!BR$290</f>
        <v>26.4</v>
      </c>
      <c r="F271" s="146">
        <f>'[2]Ukraine Sun Oil Exports'!CC$290</f>
        <v>17.5</v>
      </c>
      <c r="G271" s="146">
        <f>'[2]Ukraine Sun Oil Exports'!CO$290</f>
        <v>15</v>
      </c>
      <c r="H271" s="146">
        <f>'[2]Ukraine Sun Oil Exports'!DA$290</f>
        <v>18.831002499999997</v>
      </c>
      <c r="I271" s="146">
        <f>'[2]Ukraine Sun Oil Exports'!DM$290</f>
        <v>56</v>
      </c>
      <c r="J271" s="146">
        <f>'[2]Ukraine Sun Oil Exports'!DY$290</f>
        <v>50.3</v>
      </c>
      <c r="K271" s="146">
        <f>'[2]Ukraine Sun Oil Exports'!EK$290</f>
        <v>85.304000000000002</v>
      </c>
      <c r="L271" s="146">
        <f>'[2]Ukraine Sun Oil Exports'!EW$290</f>
        <v>94.885000000000005</v>
      </c>
      <c r="M271" s="146">
        <f>'[2]Ukraine Sun Oil Exports'!FI$290</f>
        <v>54.412999999999997</v>
      </c>
      <c r="N271" s="146">
        <f>'[2]Ukraine Sun Oil Exports'!FU$290</f>
        <v>106.84399999999999</v>
      </c>
      <c r="O271" s="146">
        <f>'[2]Ukraine Sun Oil Exports'!GG$290</f>
        <v>114.271</v>
      </c>
      <c r="P271" s="146">
        <f>'[2]Ukraine Sun Oil Exports'!GS$290</f>
        <v>137.30500000000001</v>
      </c>
      <c r="Q271" s="146">
        <f>'[2]Ukraine Sun Oil Exports'!HE$290</f>
        <v>141.13999999999999</v>
      </c>
      <c r="R271" s="146">
        <f>'[2]Ukraine Sun Oil Exports'!HQ$290</f>
        <v>194.083</v>
      </c>
      <c r="S271" s="146">
        <f>'[2]Ukraine Sun Oil Exports'!IC$290</f>
        <v>219.69800000000001</v>
      </c>
      <c r="T271" s="146">
        <f>'[2]Ukraine Sun Oil Exports'!IO$290</f>
        <v>269.363</v>
      </c>
      <c r="U271" s="146">
        <f>'[2]Ukraine Sun Oil Exports'!JA$290</f>
        <v>376.88799999999998</v>
      </c>
      <c r="V271" s="146">
        <f>'[2]Ukraine Sun Oil Exports'!JM$290</f>
        <v>388.91500000000002</v>
      </c>
      <c r="W271" s="146">
        <f>'[2]Ukraine Sun Oil Exports'!JY$290</f>
        <v>383.82</v>
      </c>
      <c r="X271" s="146">
        <f>'[2]Ukraine Sun Oil Exports'!KK$290</f>
        <v>408.01799999999997</v>
      </c>
      <c r="Y271" s="146">
        <f>'[2]Ukraine Sun Oil Exports'!KW$290</f>
        <v>434.27600000000001</v>
      </c>
      <c r="Z271" s="146">
        <f>'[2]Ukraine Sun Oil Exports'!LI$290</f>
        <v>536.49101800000005</v>
      </c>
      <c r="AA271" s="253">
        <f t="shared" ref="AA271:AC281" si="105">(SUM(U271:Y271)/SUM(U$283:Y$283))*AA$283</f>
        <v>445.50138984487478</v>
      </c>
      <c r="AB271" s="253">
        <f t="shared" si="105"/>
        <v>440.95782681430643</v>
      </c>
      <c r="AC271" s="253">
        <f t="shared" si="105"/>
        <v>440.44504538546232</v>
      </c>
      <c r="AD271" s="146"/>
    </row>
    <row r="272" spans="1:30">
      <c r="A272" s="240" t="s">
        <v>240</v>
      </c>
      <c r="B272" s="251">
        <f>'[2]Ukraine Sun Oil Exports'!AH$290</f>
        <v>7.5</v>
      </c>
      <c r="C272" s="251">
        <f>'[2]Ukraine Sun Oil Exports'!AT$290</f>
        <v>24.1</v>
      </c>
      <c r="D272" s="251">
        <f>'[2]Ukraine Sun Oil Exports'!BG$290</f>
        <v>25.8</v>
      </c>
      <c r="E272" s="251">
        <f>'[2]Ukraine Sun Oil Exports'!BS$290</f>
        <v>28.1</v>
      </c>
      <c r="F272" s="146">
        <f>'[2]Ukraine Sun Oil Exports'!CD$290</f>
        <v>33.6</v>
      </c>
      <c r="G272" s="146">
        <f>'[2]Ukraine Sun Oil Exports'!CP$290</f>
        <v>15</v>
      </c>
      <c r="H272" s="146">
        <f>'[2]Ukraine Sun Oil Exports'!DB$290</f>
        <v>38.272650999999996</v>
      </c>
      <c r="I272" s="146">
        <f>'[2]Ukraine Sun Oil Exports'!DN$290</f>
        <v>75.099999999999994</v>
      </c>
      <c r="J272" s="146">
        <f>'[2]Ukraine Sun Oil Exports'!DZ$290</f>
        <v>47.669477000000001</v>
      </c>
      <c r="K272" s="146">
        <f>'[2]Ukraine Sun Oil Exports'!EL$290</f>
        <v>75.3</v>
      </c>
      <c r="L272" s="146">
        <f>'[2]Ukraine Sun Oil Exports'!EX$290</f>
        <v>82.816000000000003</v>
      </c>
      <c r="M272" s="146">
        <f>'[2]Ukraine Sun Oil Exports'!FJ$290</f>
        <v>47.856000000000002</v>
      </c>
      <c r="N272" s="146">
        <f>'[2]Ukraine Sun Oil Exports'!FV$290</f>
        <v>122.02</v>
      </c>
      <c r="O272" s="146">
        <f>'[2]Ukraine Sun Oil Exports'!GH$290</f>
        <v>149.25700000000001</v>
      </c>
      <c r="P272" s="146">
        <f>'[2]Ukraine Sun Oil Exports'!GT$290</f>
        <v>170.81399999999999</v>
      </c>
      <c r="Q272" s="146">
        <f>'[2]Ukraine Sun Oil Exports'!HF$290</f>
        <v>163.18100000000001</v>
      </c>
      <c r="R272" s="146">
        <f>'[2]Ukraine Sun Oil Exports'!HR$290</f>
        <v>181.01300000000001</v>
      </c>
      <c r="S272" s="146">
        <f>'[2]Ukraine Sun Oil Exports'!ID$290</f>
        <v>257.85700000000003</v>
      </c>
      <c r="T272" s="146">
        <f>'[2]Ukraine Sun Oil Exports'!IP$290</f>
        <v>295.84399999999999</v>
      </c>
      <c r="U272" s="146">
        <f>'[2]Ukraine Sun Oil Exports'!JB$290</f>
        <v>294.96800000000002</v>
      </c>
      <c r="V272" s="146">
        <f>'[2]Ukraine Sun Oil Exports'!JN$290</f>
        <v>349.87700000000001</v>
      </c>
      <c r="W272" s="146">
        <f>'[2]Ukraine Sun Oil Exports'!JZ$290</f>
        <v>383.24099999999999</v>
      </c>
      <c r="X272" s="146">
        <f>'[2]Ukraine Sun Oil Exports'!KL$290</f>
        <v>372.56599999999997</v>
      </c>
      <c r="Y272" s="146">
        <f>'[2]Ukraine Sun Oil Exports'!KX$290</f>
        <v>535.56700000000001</v>
      </c>
      <c r="Z272" s="146">
        <f>'[2]Ukraine Sun Oil Exports'!LJ$290</f>
        <v>455.57198499999998</v>
      </c>
      <c r="AA272" s="253">
        <f t="shared" si="105"/>
        <v>433.04427621434712</v>
      </c>
      <c r="AB272" s="253">
        <f t="shared" si="105"/>
        <v>429.7475733176687</v>
      </c>
      <c r="AC272" s="253">
        <f t="shared" si="105"/>
        <v>434.83679324926499</v>
      </c>
      <c r="AD272" s="146"/>
    </row>
    <row r="273" spans="1:30">
      <c r="A273" s="240" t="s">
        <v>241</v>
      </c>
      <c r="B273" s="251">
        <f>'[2]Ukraine Sun Oil Exports'!AI$290</f>
        <v>13.7</v>
      </c>
      <c r="C273" s="251">
        <f>'[2]Ukraine Sun Oil Exports'!AU$290</f>
        <v>16.7</v>
      </c>
      <c r="D273" s="251">
        <f>'[2]Ukraine Sun Oil Exports'!BH$290</f>
        <v>29</v>
      </c>
      <c r="E273" s="251">
        <f>'[2]Ukraine Sun Oil Exports'!BT$290</f>
        <v>17.100000000000001</v>
      </c>
      <c r="F273" s="146">
        <f>'[2]Ukraine Sun Oil Exports'!CE$290</f>
        <v>43.6</v>
      </c>
      <c r="G273" s="146">
        <f>'[2]Ukraine Sun Oil Exports'!CQ$290</f>
        <v>46</v>
      </c>
      <c r="H273" s="146">
        <f>'[2]Ukraine Sun Oil Exports'!DC$290</f>
        <v>30.701353509999997</v>
      </c>
      <c r="I273" s="146">
        <f>'[2]Ukraine Sun Oil Exports'!DO$290</f>
        <v>90.4</v>
      </c>
      <c r="J273" s="146">
        <f>'[2]Ukraine Sun Oil Exports'!EA$290</f>
        <v>35.5119872</v>
      </c>
      <c r="K273" s="146">
        <f>'[2]Ukraine Sun Oil Exports'!EM$290</f>
        <v>93.031999999999996</v>
      </c>
      <c r="L273" s="146">
        <f>'[2]Ukraine Sun Oil Exports'!EY$290</f>
        <v>92.948999999999998</v>
      </c>
      <c r="M273" s="146">
        <f>'[2]Ukraine Sun Oil Exports'!FK$290</f>
        <v>65.724999999999994</v>
      </c>
      <c r="N273" s="146">
        <f>'[2]Ukraine Sun Oil Exports'!FW$290</f>
        <v>134.60400000000001</v>
      </c>
      <c r="O273" s="146">
        <f>'[2]Ukraine Sun Oil Exports'!GI$290</f>
        <v>142.53399999999999</v>
      </c>
      <c r="P273" s="146">
        <f>'[2]Ukraine Sun Oil Exports'!GU$290</f>
        <v>194.78100000000001</v>
      </c>
      <c r="Q273" s="146">
        <f>'[2]Ukraine Sun Oil Exports'!HG$290</f>
        <v>201.27</v>
      </c>
      <c r="R273" s="146">
        <f>'[2]Ukraine Sun Oil Exports'!HS$290</f>
        <v>269.11700000000002</v>
      </c>
      <c r="S273" s="146">
        <f>'[2]Ukraine Sun Oil Exports'!IE$290</f>
        <v>317.69400000000002</v>
      </c>
      <c r="T273" s="146">
        <f>'[2]Ukraine Sun Oil Exports'!IQ$290</f>
        <v>262.17200000000003</v>
      </c>
      <c r="U273" s="146">
        <f>'[2]Ukraine Sun Oil Exports'!JC$290</f>
        <v>309.56099999999998</v>
      </c>
      <c r="V273" s="146">
        <f>'[2]Ukraine Sun Oil Exports'!JO$290</f>
        <v>335.74799999999999</v>
      </c>
      <c r="W273" s="146">
        <f>'[2]Ukraine Sun Oil Exports'!KA$290</f>
        <v>327.02499999999998</v>
      </c>
      <c r="X273" s="146">
        <f>'[2]Ukraine Sun Oil Exports'!KM$290</f>
        <v>511.60300000000001</v>
      </c>
      <c r="Y273" s="146">
        <f>'[2]Ukraine Sun Oil Exports'!KY$290</f>
        <v>556.76</v>
      </c>
      <c r="Z273" s="146">
        <f>'[2]Ukraine Sun Oil Exports'!LK$290</f>
        <v>411.92444899999998</v>
      </c>
      <c r="AA273" s="253">
        <f t="shared" si="105"/>
        <v>456.41126098741381</v>
      </c>
      <c r="AB273" s="253">
        <f t="shared" si="105"/>
        <v>439.22402320996292</v>
      </c>
      <c r="AC273" s="253">
        <f t="shared" si="105"/>
        <v>451.53887903376739</v>
      </c>
      <c r="AD273" s="146"/>
    </row>
    <row r="274" spans="1:30">
      <c r="A274" s="240" t="s">
        <v>231</v>
      </c>
      <c r="B274" s="251">
        <f>'[2]Ukraine Sun Oil Exports'!AJ$290</f>
        <v>28.9</v>
      </c>
      <c r="C274" s="251">
        <f>'[2]Ukraine Sun Oil Exports'!AV$290</f>
        <v>10.9</v>
      </c>
      <c r="D274" s="251">
        <f>'[2]Ukraine Sun Oil Exports'!BI$290</f>
        <v>29</v>
      </c>
      <c r="E274" s="146">
        <f>'[2]Ukraine Sun Oil Exports'!BT$290</f>
        <v>17.100000000000001</v>
      </c>
      <c r="F274" s="146">
        <f>'[2]Ukraine Sun Oil Exports'!CF$290</f>
        <v>26</v>
      </c>
      <c r="G274" s="146">
        <f>'[2]Ukraine Sun Oil Exports'!CR$290</f>
        <v>15</v>
      </c>
      <c r="H274" s="146">
        <f>'[2]Ukraine Sun Oil Exports'!DD$290</f>
        <v>29.4</v>
      </c>
      <c r="I274" s="146">
        <f>'[2]Ukraine Sun Oil Exports'!DP$290</f>
        <v>61.1</v>
      </c>
      <c r="J274" s="146">
        <f>'[2]Ukraine Sun Oil Exports'!EB$290</f>
        <v>35.562013499999999</v>
      </c>
      <c r="K274" s="146">
        <f>'[2]Ukraine Sun Oil Exports'!EN$290</f>
        <v>76.394999999999996</v>
      </c>
      <c r="L274" s="146">
        <f>'[2]Ukraine Sun Oil Exports'!EZ$290</f>
        <v>67.051000000000002</v>
      </c>
      <c r="M274" s="146">
        <f>'[2]Ukraine Sun Oil Exports'!FL$290</f>
        <v>74.537000000000006</v>
      </c>
      <c r="N274" s="146">
        <f>'[2]Ukraine Sun Oil Exports'!FX$290</f>
        <v>125.322</v>
      </c>
      <c r="O274" s="146">
        <f>'[2]Ukraine Sun Oil Exports'!GJ$290</f>
        <v>147.88200000000001</v>
      </c>
      <c r="P274" s="146">
        <f>'[2]Ukraine Sun Oil Exports'!GV$290</f>
        <v>115.402</v>
      </c>
      <c r="Q274" s="146">
        <f>'[2]Ukraine Sun Oil Exports'!HH$290</f>
        <v>193.81200000000001</v>
      </c>
      <c r="R274" s="146">
        <f>'[2]Ukraine Sun Oil Exports'!HT$290</f>
        <v>156.26300000000001</v>
      </c>
      <c r="S274" s="146">
        <f>'[2]Ukraine Sun Oil Exports'!IF$290</f>
        <v>265.88900000000001</v>
      </c>
      <c r="T274" s="146">
        <f>'[2]Ukraine Sun Oil Exports'!IR$290</f>
        <v>249.78200000000001</v>
      </c>
      <c r="U274" s="146">
        <f>'[2]Ukraine Sun Oil Exports'!JD$290</f>
        <v>277.13200000000001</v>
      </c>
      <c r="V274" s="146">
        <f>'[2]Ukraine Sun Oil Exports'!JP$290</f>
        <v>293.55099999999999</v>
      </c>
      <c r="W274" s="146">
        <f>'[2]Ukraine Sun Oil Exports'!KB$290</f>
        <v>314.255</v>
      </c>
      <c r="X274" s="146">
        <f>'[2]Ukraine Sun Oil Exports'!KN$290</f>
        <v>348.10500000000002</v>
      </c>
      <c r="Y274" s="146">
        <f>'[2]Ukraine Sun Oil Exports'!KZ$290</f>
        <v>465.10500000000002</v>
      </c>
      <c r="Z274" s="146">
        <f>'[2]Ukraine Sun Oil Exports'!LL$290</f>
        <v>419.98776600000002</v>
      </c>
      <c r="AA274" s="253">
        <f t="shared" si="105"/>
        <v>379.79860313572021</v>
      </c>
      <c r="AB274" s="253">
        <f t="shared" si="105"/>
        <v>377.31697266147114</v>
      </c>
      <c r="AC274" s="253">
        <f t="shared" si="105"/>
        <v>384.42364631179976</v>
      </c>
      <c r="AD274" s="146"/>
    </row>
    <row r="275" spans="1:30">
      <c r="A275" s="240" t="s">
        <v>232</v>
      </c>
      <c r="B275" s="251">
        <f>'[2]Ukraine Sun Oil Exports'!AK$290</f>
        <v>12.2</v>
      </c>
      <c r="C275" s="251">
        <f>'[2]Ukraine Sun Oil Exports'!AW$290</f>
        <v>10.7</v>
      </c>
      <c r="D275" s="251">
        <f>'[2]Ukraine Sun Oil Exports'!BJ$290</f>
        <v>26</v>
      </c>
      <c r="E275" s="146">
        <f>'[2]Ukraine Sun Oil Exports'!BU$290</f>
        <v>23.9</v>
      </c>
      <c r="F275" s="146">
        <f>'[2]Ukraine Sun Oil Exports'!CG$290</f>
        <v>18.2</v>
      </c>
      <c r="G275" s="146">
        <f>'[2]Ukraine Sun Oil Exports'!CS$290</f>
        <v>15</v>
      </c>
      <c r="H275" s="146">
        <f>'[2]Ukraine Sun Oil Exports'!DE$290</f>
        <v>50.3</v>
      </c>
      <c r="I275" s="146">
        <f>'[2]Ukraine Sun Oil Exports'!DQ$290</f>
        <v>63.5</v>
      </c>
      <c r="J275" s="146">
        <f>'[2]Ukraine Sun Oil Exports'!EC$290</f>
        <v>27.251011500000001</v>
      </c>
      <c r="K275" s="146">
        <f>'[2]Ukraine Sun Oil Exports'!EO$290</f>
        <v>69.561999999999998</v>
      </c>
      <c r="L275" s="146">
        <f>'[2]Ukraine Sun Oil Exports'!FA$290</f>
        <v>67.221999999999994</v>
      </c>
      <c r="M275" s="146">
        <f>'[2]Ukraine Sun Oil Exports'!FM$290</f>
        <v>46.591000000000001</v>
      </c>
      <c r="N275" s="146">
        <f>'[2]Ukraine Sun Oil Exports'!FY$290</f>
        <v>132.30000000000001</v>
      </c>
      <c r="O275" s="146">
        <f>'[2]Ukraine Sun Oil Exports'!GK$290</f>
        <v>170.99299999999999</v>
      </c>
      <c r="P275" s="146">
        <f>'[2]Ukraine Sun Oil Exports'!GW$290</f>
        <v>177.71600000000001</v>
      </c>
      <c r="Q275" s="146">
        <f>'[2]Ukraine Sun Oil Exports'!HI$290</f>
        <v>159.38200000000001</v>
      </c>
      <c r="R275" s="146">
        <f>'[2]Ukraine Sun Oil Exports'!HU$290</f>
        <v>216.43100000000001</v>
      </c>
      <c r="S275" s="146">
        <f>'[2]Ukraine Sun Oil Exports'!IG$290</f>
        <v>199.3</v>
      </c>
      <c r="T275" s="146">
        <f>'[2]Ukraine Sun Oil Exports'!IS$290</f>
        <v>258.50700000000001</v>
      </c>
      <c r="U275" s="146">
        <f>'[2]Ukraine Sun Oil Exports'!JE$290</f>
        <v>281.84100000000001</v>
      </c>
      <c r="V275" s="146">
        <f>'[2]Ukraine Sun Oil Exports'!JQ$290</f>
        <v>266.25599999999997</v>
      </c>
      <c r="W275" s="146">
        <f>'[2]Ukraine Sun Oil Exports'!KC$290</f>
        <v>315.12400000000002</v>
      </c>
      <c r="X275" s="146">
        <f>'[2]Ukraine Sun Oil Exports'!KO$290</f>
        <v>392.84</v>
      </c>
      <c r="Y275" s="146">
        <f>'[2]Ukraine Sun Oil Exports'!LA$290</f>
        <v>441.65499999999997</v>
      </c>
      <c r="Z275" s="146">
        <f>'[2]Ukraine Sun Oil Exports'!LM$290</f>
        <v>431.85909800000002</v>
      </c>
      <c r="AA275" s="253">
        <f t="shared" ref="AA275:AA281" si="106">(SUM(U275:Y275)/SUM(U$283:Y$283))*AA$283</f>
        <v>379.70198435069403</v>
      </c>
      <c r="AB275" s="253">
        <f t="shared" si="105"/>
        <v>378.69636608920115</v>
      </c>
      <c r="AC275" s="253">
        <f t="shared" si="105"/>
        <v>391.19131546884211</v>
      </c>
      <c r="AD275" s="146"/>
    </row>
    <row r="276" spans="1:30">
      <c r="A276" s="240" t="s">
        <v>233</v>
      </c>
      <c r="B276" s="251">
        <f>'[2]Ukraine Sun Oil Exports'!AL$290</f>
        <v>17.2</v>
      </c>
      <c r="C276" s="251">
        <f>'[2]Ukraine Sun Oil Exports'!AX$290</f>
        <v>17.399999999999999</v>
      </c>
      <c r="D276" s="251">
        <f>'[2]Ukraine Sun Oil Exports'!BK$290</f>
        <v>19</v>
      </c>
      <c r="E276" s="146">
        <f>'[2]Ukraine Sun Oil Exports'!BV$290</f>
        <v>14.9</v>
      </c>
      <c r="F276" s="146">
        <f>'[2]Ukraine Sun Oil Exports'!CH$290</f>
        <v>13.4</v>
      </c>
      <c r="G276" s="146">
        <f>'[2]Ukraine Sun Oil Exports'!CT$290</f>
        <v>15</v>
      </c>
      <c r="H276" s="146">
        <f>'[2]Ukraine Sun Oil Exports'!DF$290</f>
        <v>36.200000000000003</v>
      </c>
      <c r="I276" s="146">
        <f>'[2]Ukraine Sun Oil Exports'!DR$290</f>
        <v>51.4</v>
      </c>
      <c r="J276" s="146">
        <f>'[2]Ukraine Sun Oil Exports'!ED$290</f>
        <v>49.874612649999996</v>
      </c>
      <c r="K276" s="146">
        <f>'[2]Ukraine Sun Oil Exports'!EP$290</f>
        <v>97.436000000000007</v>
      </c>
      <c r="L276" s="146">
        <f>'[2]Ukraine Sun Oil Exports'!FB$290</f>
        <v>105.078</v>
      </c>
      <c r="M276" s="146">
        <f>'[2]Ukraine Sun Oil Exports'!FN$290</f>
        <v>60.488</v>
      </c>
      <c r="N276" s="146">
        <f>'[2]Ukraine Sun Oil Exports'!FZ$290</f>
        <v>163.93299999999999</v>
      </c>
      <c r="O276" s="146">
        <f>'[2]Ukraine Sun Oil Exports'!GL$290</f>
        <v>192.965</v>
      </c>
      <c r="P276" s="146">
        <f>'[2]Ukraine Sun Oil Exports'!GX$290</f>
        <v>115.15900000000001</v>
      </c>
      <c r="Q276" s="146">
        <f>'[2]Ukraine Sun Oil Exports'!HJ$290</f>
        <v>202.91</v>
      </c>
      <c r="R276" s="146">
        <f>'[2]Ukraine Sun Oil Exports'!HV$290</f>
        <v>198.571</v>
      </c>
      <c r="S276" s="146">
        <f>'[2]Ukraine Sun Oil Exports'!IH$290</f>
        <v>310.226</v>
      </c>
      <c r="T276" s="146">
        <f>'[2]Ukraine Sun Oil Exports'!IT$290</f>
        <v>283.44400000000002</v>
      </c>
      <c r="U276" s="146">
        <f>'[2]Ukraine Sun Oil Exports'!JF$290</f>
        <v>230.02099999999999</v>
      </c>
      <c r="V276" s="146">
        <f>'[2]Ukraine Sun Oil Exports'!JR$290</f>
        <v>377.97399999999999</v>
      </c>
      <c r="W276" s="146">
        <f>'[2]Ukraine Sun Oil Exports'!KD$290</f>
        <v>402.29</v>
      </c>
      <c r="X276" s="146">
        <f>'[2]Ukraine Sun Oil Exports'!KP$290</f>
        <v>429.41699999999997</v>
      </c>
      <c r="Y276" s="146">
        <f>'[2]Ukraine Sun Oil Exports'!LB$290</f>
        <v>683.72699999999998</v>
      </c>
      <c r="Z276" s="253">
        <f t="shared" ref="Z276:Z281" si="107">(SUM(T276:X276)/SUM(T$283:X$283))*Z$283</f>
        <v>457.38611208814842</v>
      </c>
      <c r="AA276" s="253">
        <f t="shared" si="106"/>
        <v>474.91465293830652</v>
      </c>
      <c r="AB276" s="253">
        <f t="shared" si="105"/>
        <v>481.79940427319644</v>
      </c>
      <c r="AC276" s="253">
        <f t="shared" si="105"/>
        <v>488.24306919424032</v>
      </c>
      <c r="AD276" s="146"/>
    </row>
    <row r="277" spans="1:30">
      <c r="A277" s="240" t="s">
        <v>234</v>
      </c>
      <c r="B277" s="251">
        <f>'[2]Ukraine Sun Oil Exports'!AM$290</f>
        <v>24.3</v>
      </c>
      <c r="C277" s="251">
        <f>'[2]Ukraine Sun Oil Exports'!AY$290</f>
        <v>8</v>
      </c>
      <c r="D277" s="251">
        <f>'[2]Ukraine Sun Oil Exports'!BL$290</f>
        <v>20.7</v>
      </c>
      <c r="E277" s="146">
        <f>'[2]Ukraine Sun Oil Exports'!BW$290</f>
        <v>14.4</v>
      </c>
      <c r="F277" s="146">
        <f>'[2]Ukraine Sun Oil Exports'!CI$290</f>
        <v>2.2999999999999998</v>
      </c>
      <c r="G277" s="146">
        <f>'[2]Ukraine Sun Oil Exports'!CU$290</f>
        <v>15</v>
      </c>
      <c r="H277" s="146">
        <f>'[2]Ukraine Sun Oil Exports'!DG$290</f>
        <v>30.6</v>
      </c>
      <c r="I277" s="146">
        <f>'[2]Ukraine Sun Oil Exports'!DS$290</f>
        <v>28.1</v>
      </c>
      <c r="J277" s="146">
        <f>'[2]Ukraine Sun Oil Exports'!EE$290</f>
        <v>41.326000000000001</v>
      </c>
      <c r="K277" s="146">
        <f>'[2]Ukraine Sun Oil Exports'!EQ$290</f>
        <v>100.86</v>
      </c>
      <c r="L277" s="146">
        <f>'[2]Ukraine Sun Oil Exports'!FC$290</f>
        <v>102.76900000000001</v>
      </c>
      <c r="M277" s="146">
        <f>'[2]Ukraine Sun Oil Exports'!FO$290</f>
        <v>61.981999999999999</v>
      </c>
      <c r="N277" s="146">
        <f>'[2]Ukraine Sun Oil Exports'!GA$290</f>
        <v>139.684</v>
      </c>
      <c r="O277" s="146">
        <f>'[2]Ukraine Sun Oil Exports'!GM$290</f>
        <v>186.655</v>
      </c>
      <c r="P277" s="146">
        <f>'[2]Ukraine Sun Oil Exports'!GY$290</f>
        <v>14.031000000000001</v>
      </c>
      <c r="Q277" s="146">
        <f>'[2]Ukraine Sun Oil Exports'!HK$290</f>
        <v>178.48099999999999</v>
      </c>
      <c r="R277" s="146">
        <f>'[2]Ukraine Sun Oil Exports'!HW$290</f>
        <v>263.15199999999999</v>
      </c>
      <c r="S277" s="146">
        <f>'[2]Ukraine Sun Oil Exports'!II$290</f>
        <v>205.798</v>
      </c>
      <c r="T277" s="146">
        <f>'[2]Ukraine Sun Oil Exports'!IU$290</f>
        <v>342.995</v>
      </c>
      <c r="U277" s="146">
        <f>'[2]Ukraine Sun Oil Exports'!JG$290</f>
        <v>205.83199999999999</v>
      </c>
      <c r="V277" s="146">
        <f>'[2]Ukraine Sun Oil Exports'!JS$290</f>
        <v>483.06099999999998</v>
      </c>
      <c r="W277" s="146">
        <f>'[2]Ukraine Sun Oil Exports'!KE$290</f>
        <v>326.58499999999998</v>
      </c>
      <c r="X277" s="146">
        <f>'[2]Ukraine Sun Oil Exports'!KQ$290</f>
        <v>418.00700000000001</v>
      </c>
      <c r="Y277" s="146">
        <f>'[2]Ukraine Sun Oil Exports'!LC$290</f>
        <v>575.14599999999996</v>
      </c>
      <c r="Z277" s="253">
        <f t="shared" si="107"/>
        <v>471.5429107007497</v>
      </c>
      <c r="AA277" s="253">
        <f t="shared" si="106"/>
        <v>449.23955274516993</v>
      </c>
      <c r="AB277" s="253">
        <f t="shared" si="105"/>
        <v>466.13039060057685</v>
      </c>
      <c r="AC277" s="253">
        <f t="shared" si="105"/>
        <v>446.91058986267035</v>
      </c>
      <c r="AD277" s="146"/>
    </row>
    <row r="278" spans="1:30">
      <c r="A278" s="240" t="s">
        <v>46</v>
      </c>
      <c r="B278" s="251">
        <f>'[2]Ukraine Sun Oil Exports'!AN$290</f>
        <v>18.600000000000001</v>
      </c>
      <c r="C278" s="251">
        <f>'[2]Ukraine Sun Oil Exports'!AZ$290</f>
        <v>15.1</v>
      </c>
      <c r="D278" s="251">
        <f>'[2]Ukraine Sun Oil Exports'!BM$290</f>
        <v>24.7</v>
      </c>
      <c r="E278" s="146">
        <f>'[2]Ukraine Sun Oil Exports'!BX$290</f>
        <v>10.7</v>
      </c>
      <c r="F278" s="146">
        <f>'[2]Ukraine Sun Oil Exports'!CJ$290</f>
        <v>2.9</v>
      </c>
      <c r="G278" s="146">
        <f>'[2]Ukraine Sun Oil Exports'!CV$290</f>
        <v>8</v>
      </c>
      <c r="H278" s="146">
        <f>'[2]Ukraine Sun Oil Exports'!DH$290</f>
        <v>28.5</v>
      </c>
      <c r="I278" s="146">
        <f>'[2]Ukraine Sun Oil Exports'!DT$290</f>
        <v>22.1</v>
      </c>
      <c r="J278" s="146">
        <f>'[2]Ukraine Sun Oil Exports'!EF$290</f>
        <v>33.131</v>
      </c>
      <c r="K278" s="146">
        <f>'[2]Ukraine Sun Oil Exports'!ER$290</f>
        <v>94.347999999999999</v>
      </c>
      <c r="L278" s="146">
        <f>'[2]Ukraine Sun Oil Exports'!FD$290</f>
        <v>69.835999999999999</v>
      </c>
      <c r="M278" s="146">
        <f>'[2]Ukraine Sun Oil Exports'!FP$290</f>
        <v>50.91</v>
      </c>
      <c r="N278" s="146">
        <f>'[2]Ukraine Sun Oil Exports'!GB$290</f>
        <v>166.666</v>
      </c>
      <c r="O278" s="146">
        <f>'[2]Ukraine Sun Oil Exports'!GN$290</f>
        <v>197.642</v>
      </c>
      <c r="P278" s="146">
        <f>'[2]Ukraine Sun Oil Exports'!GZ$290</f>
        <v>56.164999999999999</v>
      </c>
      <c r="Q278" s="146">
        <f>'[2]Ukraine Sun Oil Exports'!HL$290</f>
        <v>228.85300000000001</v>
      </c>
      <c r="R278" s="146">
        <f>'[2]Ukraine Sun Oil Exports'!HX$290</f>
        <v>235.53399999999999</v>
      </c>
      <c r="S278" s="146">
        <f>'[2]Ukraine Sun Oil Exports'!IJ$290</f>
        <v>273.73399999999998</v>
      </c>
      <c r="T278" s="146">
        <f>'[2]Ukraine Sun Oil Exports'!IV$290</f>
        <v>349.202</v>
      </c>
      <c r="U278" s="146">
        <f>'[2]Ukraine Sun Oil Exports'!JH$290</f>
        <v>298.98500000000001</v>
      </c>
      <c r="V278" s="146">
        <f>'[2]Ukraine Sun Oil Exports'!JT$290</f>
        <v>510.57</v>
      </c>
      <c r="W278" s="146">
        <f>'[2]Ukraine Sun Oil Exports'!KF$290</f>
        <v>265.036</v>
      </c>
      <c r="X278" s="146">
        <f>'[2]Ukraine Sun Oil Exports'!KR$290</f>
        <v>384.06900000000002</v>
      </c>
      <c r="Y278" s="146">
        <f>'[2]Ukraine Sun Oil Exports'!LD$290</f>
        <v>473.55099999999999</v>
      </c>
      <c r="Z278" s="253">
        <f t="shared" si="107"/>
        <v>479.87284384022269</v>
      </c>
      <c r="AA278" s="253">
        <f t="shared" si="106"/>
        <v>432.14786859771533</v>
      </c>
      <c r="AB278" s="253">
        <f t="shared" si="105"/>
        <v>433.08333932666579</v>
      </c>
      <c r="AC278" s="253">
        <f t="shared" si="105"/>
        <v>405.85149056703824</v>
      </c>
      <c r="AD278" s="146"/>
    </row>
    <row r="279" spans="1:30">
      <c r="A279" s="240" t="s">
        <v>235</v>
      </c>
      <c r="B279" s="251">
        <f>'[2]Ukraine Sun Oil Exports'!AO$290</f>
        <v>17.8</v>
      </c>
      <c r="C279" s="251">
        <f>'[2]Ukraine Sun Oil Exports'!BA$290</f>
        <v>12.9</v>
      </c>
      <c r="D279" s="251">
        <f>'[2]Ukraine Sun Oil Exports'!BN$290</f>
        <v>10.7</v>
      </c>
      <c r="E279" s="146">
        <f>'[2]Ukraine Sun Oil Exports'!BY$290</f>
        <v>5.9</v>
      </c>
      <c r="F279" s="146">
        <f>'[2]Ukraine Sun Oil Exports'!CK$290</f>
        <v>2.5</v>
      </c>
      <c r="G279" s="146">
        <f>'[2]Ukraine Sun Oil Exports'!CW$290</f>
        <v>15</v>
      </c>
      <c r="H279" s="146">
        <f>'[2]Ukraine Sun Oil Exports'!DI$290</f>
        <v>51.3</v>
      </c>
      <c r="I279" s="146">
        <f>'[2]Ukraine Sun Oil Exports'!DU$290</f>
        <v>37.799999999999997</v>
      </c>
      <c r="J279" s="146">
        <f>'[2]Ukraine Sun Oil Exports'!EG$290</f>
        <v>29.664999999999999</v>
      </c>
      <c r="K279" s="146">
        <f>'[2]Ukraine Sun Oil Exports'!ES$290</f>
        <v>76.277000000000001</v>
      </c>
      <c r="L279" s="146">
        <f>'[2]Ukraine Sun Oil Exports'!FE$290</f>
        <v>106.31</v>
      </c>
      <c r="M279" s="146">
        <f>'[2]Ukraine Sun Oil Exports'!FQ$290</f>
        <v>68.117000000000004</v>
      </c>
      <c r="N279" s="146">
        <f>'[2]Ukraine Sun Oil Exports'!GC$290</f>
        <v>163.964</v>
      </c>
      <c r="O279" s="146">
        <f>'[2]Ukraine Sun Oil Exports'!GO$290</f>
        <v>199.5</v>
      </c>
      <c r="P279" s="146">
        <f>'[2]Ukraine Sun Oil Exports'!HA$290</f>
        <v>95.971999999999994</v>
      </c>
      <c r="Q279" s="146">
        <f>'[2]Ukraine Sun Oil Exports'!HM$290</f>
        <v>208.54499999999999</v>
      </c>
      <c r="R279" s="146">
        <f>'[2]Ukraine Sun Oil Exports'!HY$290</f>
        <v>277.29300000000001</v>
      </c>
      <c r="S279" s="146">
        <f>'[2]Ukraine Sun Oil Exports'!IK$290</f>
        <v>216.61500000000001</v>
      </c>
      <c r="T279" s="146">
        <f>'[2]Ukraine Sun Oil Exports'!IW$290</f>
        <v>285.435</v>
      </c>
      <c r="U279" s="146">
        <f>'[2]Ukraine Sun Oil Exports'!JI$290</f>
        <v>284.55900000000003</v>
      </c>
      <c r="V279" s="146">
        <f>'[2]Ukraine Sun Oil Exports'!JU$290</f>
        <v>379.92399999999998</v>
      </c>
      <c r="W279" s="146">
        <f>'[2]Ukraine Sun Oil Exports'!KG$290</f>
        <v>348.43299999999999</v>
      </c>
      <c r="X279" s="146">
        <f>'[2]Ukraine Sun Oil Exports'!KS$290</f>
        <v>444.43900000000002</v>
      </c>
      <c r="Y279" s="146">
        <f>'[2]Ukraine Sun Oil Exports'!LE$290</f>
        <v>509.02368100000001</v>
      </c>
      <c r="Z279" s="253">
        <f t="shared" si="107"/>
        <v>462.60034975916398</v>
      </c>
      <c r="AA279" s="253">
        <f t="shared" si="106"/>
        <v>439.78962745276618</v>
      </c>
      <c r="AB279" s="253">
        <f t="shared" si="105"/>
        <v>439.50267189223479</v>
      </c>
      <c r="AC279" s="253">
        <f t="shared" si="105"/>
        <v>439.68293073396273</v>
      </c>
      <c r="AD279" s="146"/>
    </row>
    <row r="280" spans="1:30">
      <c r="A280" s="240" t="s">
        <v>236</v>
      </c>
      <c r="B280" s="251">
        <f>'[2]Ukraine Sun Oil Exports'!AP$290</f>
        <v>17.100000000000001</v>
      </c>
      <c r="C280" s="251">
        <f>'[2]Ukraine Sun Oil Exports'!BB$290</f>
        <v>13.5</v>
      </c>
      <c r="D280" s="251">
        <f>'[2]Ukraine Sun Oil Exports'!BO$290</f>
        <v>22.8</v>
      </c>
      <c r="E280" s="146">
        <f>'[2]Ukraine Sun Oil Exports'!BZ$290</f>
        <v>1.9</v>
      </c>
      <c r="F280" s="146">
        <f>'[2]Ukraine Sun Oil Exports'!CL$290</f>
        <v>6.4</v>
      </c>
      <c r="G280" s="146">
        <f>'[2]Ukraine Sun Oil Exports'!CX$290</f>
        <v>15</v>
      </c>
      <c r="H280" s="146">
        <f>'[2]Ukraine Sun Oil Exports'!DJ$290</f>
        <v>52.6</v>
      </c>
      <c r="I280" s="146">
        <f>'[2]Ukraine Sun Oil Exports'!DV$290</f>
        <v>35.299999999999997</v>
      </c>
      <c r="J280" s="146">
        <f>'[2]Ukraine Sun Oil Exports'!EH$290</f>
        <v>36.664000000000001</v>
      </c>
      <c r="K280" s="146">
        <f>'[2]Ukraine Sun Oil Exports'!ET$290</f>
        <v>64.959000000000003</v>
      </c>
      <c r="L280" s="146">
        <f>'[2]Ukraine Sun Oil Exports'!FF$290</f>
        <v>79.394999999999996</v>
      </c>
      <c r="M280" s="146">
        <f>'[2]Ukraine Sun Oil Exports'!FR$290</f>
        <v>44.56</v>
      </c>
      <c r="N280" s="146">
        <f>'[2]Ukraine Sun Oil Exports'!GD$290</f>
        <v>109.245</v>
      </c>
      <c r="O280" s="146">
        <f>'[2]Ukraine Sun Oil Exports'!GP$290</f>
        <v>153.71799999999999</v>
      </c>
      <c r="P280" s="146">
        <f>'[2]Ukraine Sun Oil Exports'!HB$290</f>
        <v>94.212000000000003</v>
      </c>
      <c r="Q280" s="146">
        <f>'[2]Ukraine Sun Oil Exports'!HN$290</f>
        <v>188.488</v>
      </c>
      <c r="R280" s="146">
        <f>'[2]Ukraine Sun Oil Exports'!HZ$290</f>
        <v>262.702</v>
      </c>
      <c r="S280" s="146">
        <f>'[2]Ukraine Sun Oil Exports'!IL$290</f>
        <v>146.33099999999999</v>
      </c>
      <c r="T280" s="146">
        <f>'[2]Ukraine Sun Oil Exports'!IX$290</f>
        <v>238.61</v>
      </c>
      <c r="U280" s="146">
        <f>'[2]Ukraine Sun Oil Exports'!JJ$290</f>
        <v>181.321</v>
      </c>
      <c r="V280" s="146">
        <f>'[2]Ukraine Sun Oil Exports'!JV$290</f>
        <v>333.709</v>
      </c>
      <c r="W280" s="146">
        <f>'[2]Ukraine Sun Oil Exports'!KH$290</f>
        <v>288.08800000000002</v>
      </c>
      <c r="X280" s="146">
        <f>'[2]Ukraine Sun Oil Exports'!KT$290</f>
        <v>366.56099999999998</v>
      </c>
      <c r="Y280" s="146">
        <f>'[2]Ukraine Sun Oil Exports'!LF$290</f>
        <v>509.740838</v>
      </c>
      <c r="Z280" s="253">
        <f t="shared" si="107"/>
        <v>373.81152288111775</v>
      </c>
      <c r="AA280" s="253">
        <f t="shared" si="106"/>
        <v>375.60996364911512</v>
      </c>
      <c r="AB280" s="253">
        <f t="shared" si="105"/>
        <v>383.65133385680713</v>
      </c>
      <c r="AC280" s="253">
        <f t="shared" si="105"/>
        <v>381.74279676794816</v>
      </c>
      <c r="AD280" s="146"/>
    </row>
    <row r="281" spans="1:30">
      <c r="A281" s="240" t="s">
        <v>237</v>
      </c>
      <c r="B281" s="251">
        <f>'[2]Ukraine Sun Oil Exports'!AQ$290</f>
        <v>22.8</v>
      </c>
      <c r="C281" s="251">
        <f>'[2]Ukraine Sun Oil Exports'!BC$290</f>
        <v>23.9</v>
      </c>
      <c r="D281" s="251">
        <f>'[2]Ukraine Sun Oil Exports'!BP$290</f>
        <v>15.7</v>
      </c>
      <c r="E281" s="146">
        <f>'[2]Ukraine Sun Oil Exports'!CA$290</f>
        <v>2.2000000000000002</v>
      </c>
      <c r="F281" s="146">
        <f>'[2]Ukraine Sun Oil Exports'!CM$290</f>
        <v>6.4</v>
      </c>
      <c r="G281" s="146">
        <f>'[2]Ukraine Sun Oil Exports'!CY$290</f>
        <v>15</v>
      </c>
      <c r="H281" s="146">
        <f>'[2]Ukraine Sun Oil Exports'!DK$290</f>
        <v>40.200000000000003</v>
      </c>
      <c r="I281" s="146">
        <f>'[2]Ukraine Sun Oil Exports'!DW$290</f>
        <v>24.1</v>
      </c>
      <c r="J281" s="146">
        <f>'[2]Ukraine Sun Oil Exports'!EI$290</f>
        <v>22.021999999999998</v>
      </c>
      <c r="K281" s="146">
        <f>'[2]Ukraine Sun Oil Exports'!EU$290</f>
        <v>40.981999999999999</v>
      </c>
      <c r="L281" s="146">
        <f>'[2]Ukraine Sun Oil Exports'!FG$290</f>
        <v>77.554000000000002</v>
      </c>
      <c r="M281" s="146">
        <f>'[2]Ukraine Sun Oil Exports'!FS$290</f>
        <v>40.557000000000002</v>
      </c>
      <c r="N281" s="146">
        <f>'[2]Ukraine Sun Oil Exports'!GE$290</f>
        <v>108.705</v>
      </c>
      <c r="O281" s="146">
        <f>'[2]Ukraine Sun Oil Exports'!GQ$290</f>
        <v>98.667000000000002</v>
      </c>
      <c r="P281" s="146">
        <f>'[2]Ukraine Sun Oil Exports'!HC$290</f>
        <v>81.866</v>
      </c>
      <c r="Q281" s="146">
        <f>'[2]Ukraine Sun Oil Exports'!HO$290</f>
        <v>148.876</v>
      </c>
      <c r="R281" s="146">
        <f>'[2]Ukraine Sun Oil Exports'!IA$290</f>
        <v>210.33199999999999</v>
      </c>
      <c r="S281" s="146">
        <f>'[2]Ukraine Sun Oil Exports'!IM$290</f>
        <v>153.001</v>
      </c>
      <c r="T281" s="146">
        <f>'[2]Ukraine Sun Oil Exports'!IY$290</f>
        <v>342.57799999999997</v>
      </c>
      <c r="U281" s="146">
        <f>'[2]Ukraine Sun Oil Exports'!JK$290</f>
        <v>222.24199999999999</v>
      </c>
      <c r="V281" s="146">
        <f>'[2]Ukraine Sun Oil Exports'!JW$290</f>
        <v>308.43099999999998</v>
      </c>
      <c r="W281" s="146">
        <f>'[2]Ukraine Sun Oil Exports'!KI$290</f>
        <v>223.21299999999999</v>
      </c>
      <c r="X281" s="146">
        <f>'[2]Ukraine Sun Oil Exports'!KU$290</f>
        <v>260.89299999999997</v>
      </c>
      <c r="Y281" s="146">
        <f>'[2]Ukraine Sun Oil Exports'!LG$290</f>
        <v>394.31798900000001</v>
      </c>
      <c r="Z281" s="253">
        <f t="shared" si="107"/>
        <v>360.29230311629601</v>
      </c>
      <c r="AA281" s="253">
        <f t="shared" si="106"/>
        <v>315.15101634542418</v>
      </c>
      <c r="AB281" s="253">
        <f t="shared" si="105"/>
        <v>317.09056945118357</v>
      </c>
      <c r="AC281" s="253">
        <f t="shared" si="105"/>
        <v>309.94573212908722</v>
      </c>
      <c r="AD281" s="146"/>
    </row>
    <row r="282" spans="1:30">
      <c r="A282" s="240" t="s">
        <v>238</v>
      </c>
      <c r="B282" s="251">
        <f>'[2]Ukraine Sun Oil Exports'!AR$290</f>
        <v>28.1</v>
      </c>
      <c r="C282" s="251">
        <f>'[2]Ukraine Sun Oil Exports'!BD$290</f>
        <v>12.3</v>
      </c>
      <c r="D282" s="251">
        <f>'[2]Ukraine Sun Oil Exports'!BQ$290</f>
        <v>17.600000000000001</v>
      </c>
      <c r="E282" s="146">
        <f>'[2]Ukraine Sun Oil Exports'!CB$290</f>
        <v>1.5</v>
      </c>
      <c r="F282" s="146">
        <f>'[2]Ukraine Sun Oil Exports'!CN$290</f>
        <v>6.4</v>
      </c>
      <c r="G282" s="146">
        <f>'[2]Ukraine Sun Oil Exports'!CZ$290</f>
        <v>21</v>
      </c>
      <c r="H282" s="146">
        <f>'[2]Ukraine Sun Oil Exports'!DL$290</f>
        <v>42.8</v>
      </c>
      <c r="I282" s="146">
        <f>'[2]Ukraine Sun Oil Exports'!DX$290</f>
        <v>16.399999999999999</v>
      </c>
      <c r="J282" s="146">
        <f>'[2]Ukraine Sun Oil Exports'!EJ$290</f>
        <v>37.023000000000003</v>
      </c>
      <c r="K282" s="146">
        <f>'[2]Ukraine Sun Oil Exports'!EV$290</f>
        <v>32.715000000000003</v>
      </c>
      <c r="L282" s="146">
        <f>'[2]Ukraine Sun Oil Exports'!FH$290</f>
        <v>26.024999999999999</v>
      </c>
      <c r="M282" s="146">
        <f>'[2]Ukraine Sun Oil Exports'!FT$290</f>
        <v>40.924999999999997</v>
      </c>
      <c r="N282" s="146">
        <f>'[2]Ukraine Sun Oil Exports'!GF$290</f>
        <v>112.93899999999999</v>
      </c>
      <c r="O282" s="146">
        <f>'[2]Ukraine Sun Oil Exports'!GR$290</f>
        <v>72.317999999999998</v>
      </c>
      <c r="P282" s="146">
        <f>'[2]Ukraine Sun Oil Exports'!HD$290</f>
        <v>83.444000000000003</v>
      </c>
      <c r="Q282" s="146">
        <f>'[2]Ukraine Sun Oil Exports'!HP$290</f>
        <v>180.28200000000001</v>
      </c>
      <c r="R282" s="146">
        <f>'[2]Ukraine Sun Oil Exports'!IB$290</f>
        <v>85.932000000000002</v>
      </c>
      <c r="S282" s="146">
        <f>'[2]Ukraine Sun Oil Exports'!IN$290</f>
        <v>85.07</v>
      </c>
      <c r="T282" s="146">
        <f>'[2]Ukraine Sun Oil Exports'!IZ$290</f>
        <v>282.05</v>
      </c>
      <c r="U282" s="146">
        <f>'[2]Ukraine Sun Oil Exports'!JL$290</f>
        <v>152.94800000000001</v>
      </c>
      <c r="V282" s="146">
        <f>'[2]Ukraine Sun Oil Exports'!JX$290</f>
        <v>294.52699999999999</v>
      </c>
      <c r="W282" s="146">
        <f>'[2]Ukraine Sun Oil Exports'!KJ$290</f>
        <v>163.363</v>
      </c>
      <c r="X282" s="146">
        <f>'[2]Ukraine Sun Oil Exports'!KV$290</f>
        <v>271.71600000000001</v>
      </c>
      <c r="Y282" s="146">
        <f>'[2]Ukraine Sun Oil Exports'!LH$290</f>
        <v>309.86417399999999</v>
      </c>
      <c r="Z282" s="253">
        <f>Z283-SUM(Z271:Z281)</f>
        <v>247.65964161430111</v>
      </c>
      <c r="AA282" s="253">
        <f>AA283-SUM(AA271:AA281)</f>
        <v>266.68980373845261</v>
      </c>
      <c r="AB282" s="253">
        <f>AB283-SUM(AB271:AB281)</f>
        <v>263.79952850672453</v>
      </c>
      <c r="AC282" s="253">
        <f>AC283-SUM(AC271:AC281)</f>
        <v>251.18771129591642</v>
      </c>
      <c r="AD282" s="146"/>
    </row>
    <row r="283" spans="1:30" ht="15.75" thickBot="1">
      <c r="A283" s="240" t="s">
        <v>242</v>
      </c>
      <c r="B283" s="146">
        <f t="shared" ref="B283:W283" si="108">SUM(B271:B282)</f>
        <v>218.8</v>
      </c>
      <c r="C283" s="146">
        <f t="shared" si="108"/>
        <v>183.20000000000002</v>
      </c>
      <c r="D283" s="146">
        <f t="shared" si="108"/>
        <v>270.2</v>
      </c>
      <c r="E283" s="146">
        <f t="shared" si="108"/>
        <v>164.1</v>
      </c>
      <c r="F283" s="146">
        <f t="shared" si="108"/>
        <v>179.20000000000005</v>
      </c>
      <c r="G283" s="146">
        <f t="shared" si="108"/>
        <v>210</v>
      </c>
      <c r="H283" s="146">
        <f t="shared" si="108"/>
        <v>449.70500700999997</v>
      </c>
      <c r="I283" s="146">
        <f t="shared" si="108"/>
        <v>561.30000000000007</v>
      </c>
      <c r="J283" s="146">
        <f t="shared" si="108"/>
        <v>446.00010185000008</v>
      </c>
      <c r="K283" s="146">
        <f t="shared" si="108"/>
        <v>907.17</v>
      </c>
      <c r="L283" s="146">
        <f t="shared" si="108"/>
        <v>971.88999999999987</v>
      </c>
      <c r="M283" s="146">
        <f t="shared" si="108"/>
        <v>656.66099999999983</v>
      </c>
      <c r="N283" s="146">
        <f t="shared" si="108"/>
        <v>1586.2259999999999</v>
      </c>
      <c r="O283" s="146">
        <f t="shared" si="108"/>
        <v>1826.402</v>
      </c>
      <c r="P283" s="146">
        <f t="shared" si="108"/>
        <v>1336.867</v>
      </c>
      <c r="Q283" s="146">
        <f t="shared" si="108"/>
        <v>2195.2200000000003</v>
      </c>
      <c r="R283" s="146">
        <f t="shared" si="108"/>
        <v>2550.4230000000002</v>
      </c>
      <c r="S283" s="146">
        <f t="shared" si="108"/>
        <v>2651.2130000000002</v>
      </c>
      <c r="T283" s="146">
        <f t="shared" si="108"/>
        <v>3459.9820000000004</v>
      </c>
      <c r="U283" s="146">
        <f t="shared" si="108"/>
        <v>3116.2980000000002</v>
      </c>
      <c r="V283" s="146">
        <f t="shared" si="108"/>
        <v>4322.5429999999997</v>
      </c>
      <c r="W283" s="146">
        <f t="shared" si="108"/>
        <v>3740.4730000000004</v>
      </c>
      <c r="X283" s="146">
        <f>SUM(X271:X282)</f>
        <v>4608.2340000000004</v>
      </c>
      <c r="Y283" s="146">
        <f>SUM(Y271:Y282)</f>
        <v>5888.733682</v>
      </c>
      <c r="Z283" s="253">
        <f>Z40</f>
        <v>5109</v>
      </c>
      <c r="AA283" s="253">
        <f>AA40</f>
        <v>4848</v>
      </c>
      <c r="AB283" s="253">
        <f>AB40</f>
        <v>4851</v>
      </c>
      <c r="AC283" s="253">
        <f>AC40</f>
        <v>4826</v>
      </c>
      <c r="AD283" s="146"/>
    </row>
    <row r="284" spans="1:30">
      <c r="A284" s="248"/>
      <c r="B284" s="248"/>
      <c r="C284" s="248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</row>
    <row r="285" spans="1:30" ht="15.75" thickBot="1">
      <c r="A285" s="240" t="s">
        <v>268</v>
      </c>
      <c r="D285" s="264">
        <v>99.860000000000014</v>
      </c>
      <c r="E285" s="264">
        <v>118.67699999999999</v>
      </c>
      <c r="F285" s="264">
        <v>160.22399999999999</v>
      </c>
      <c r="G285" s="264">
        <v>62.062999999999995</v>
      </c>
      <c r="H285" s="264">
        <v>94.578000000000003</v>
      </c>
      <c r="I285" s="264">
        <v>142.18700000000001</v>
      </c>
    </row>
    <row r="286" spans="1:30" ht="15.75" thickBot="1">
      <c r="A286" s="236"/>
      <c r="B286" s="237" t="str">
        <f>B$2</f>
        <v xml:space="preserve">93/94 </v>
      </c>
      <c r="C286" s="237" t="str">
        <f t="shared" ref="C286:AC286" si="109">C$2</f>
        <v xml:space="preserve">94/95 </v>
      </c>
      <c r="D286" s="237" t="str">
        <f t="shared" si="109"/>
        <v xml:space="preserve">95/96 </v>
      </c>
      <c r="E286" s="237" t="str">
        <f t="shared" si="109"/>
        <v xml:space="preserve">96/97 </v>
      </c>
      <c r="F286" s="237" t="str">
        <f t="shared" si="109"/>
        <v xml:space="preserve">97/98 </v>
      </c>
      <c r="G286" s="237" t="str">
        <f t="shared" si="109"/>
        <v xml:space="preserve">98/99 </v>
      </c>
      <c r="H286" s="237" t="str">
        <f t="shared" si="109"/>
        <v xml:space="preserve">99/00 </v>
      </c>
      <c r="I286" s="237" t="str">
        <f t="shared" si="109"/>
        <v xml:space="preserve">00/01 </v>
      </c>
      <c r="J286" s="237" t="str">
        <f t="shared" si="109"/>
        <v xml:space="preserve">01/02 </v>
      </c>
      <c r="K286" s="237" t="str">
        <f t="shared" si="109"/>
        <v xml:space="preserve">02/03 </v>
      </c>
      <c r="L286" s="237" t="str">
        <f t="shared" si="109"/>
        <v xml:space="preserve">03/04 </v>
      </c>
      <c r="M286" s="237" t="str">
        <f t="shared" si="109"/>
        <v xml:space="preserve">04/05 </v>
      </c>
      <c r="N286" s="237" t="str">
        <f t="shared" si="109"/>
        <v xml:space="preserve">05/06 </v>
      </c>
      <c r="O286" s="237" t="str">
        <f t="shared" si="109"/>
        <v xml:space="preserve">06/07 </v>
      </c>
      <c r="P286" s="237" t="str">
        <f t="shared" si="109"/>
        <v xml:space="preserve">07/08 </v>
      </c>
      <c r="Q286" s="237" t="str">
        <f t="shared" si="109"/>
        <v xml:space="preserve">08/09 </v>
      </c>
      <c r="R286" s="237" t="str">
        <f t="shared" si="109"/>
        <v xml:space="preserve">09/10 </v>
      </c>
      <c r="S286" s="237" t="str">
        <f t="shared" si="109"/>
        <v xml:space="preserve">10/11 </v>
      </c>
      <c r="T286" s="237" t="str">
        <f t="shared" si="109"/>
        <v xml:space="preserve">11/12 </v>
      </c>
      <c r="U286" s="237" t="str">
        <f t="shared" si="109"/>
        <v xml:space="preserve">12/13 </v>
      </c>
      <c r="V286" s="237" t="str">
        <f t="shared" si="109"/>
        <v xml:space="preserve">13/14 </v>
      </c>
      <c r="W286" s="237" t="str">
        <f t="shared" si="109"/>
        <v xml:space="preserve">14/15 </v>
      </c>
      <c r="X286" s="237" t="str">
        <f t="shared" si="109"/>
        <v xml:space="preserve">15/16 </v>
      </c>
      <c r="Y286" s="237" t="str">
        <f t="shared" si="109"/>
        <v xml:space="preserve">16/17 </v>
      </c>
      <c r="Z286" s="237" t="str">
        <f t="shared" si="109"/>
        <v xml:space="preserve">17/18 </v>
      </c>
      <c r="AA286" s="237" t="str">
        <f t="shared" si="109"/>
        <v xml:space="preserve">18/19 </v>
      </c>
      <c r="AB286" s="237" t="str">
        <f t="shared" si="109"/>
        <v xml:space="preserve">19/20 </v>
      </c>
      <c r="AC286" s="237" t="str">
        <f t="shared" si="109"/>
        <v xml:space="preserve">20/21 </v>
      </c>
      <c r="AD286" s="269"/>
    </row>
    <row r="287" spans="1:30">
      <c r="A287" s="240" t="s">
        <v>239</v>
      </c>
      <c r="B287" s="290">
        <f t="shared" ref="B287:Q298" si="110">B$299/12</f>
        <v>32</v>
      </c>
      <c r="C287" s="290">
        <f t="shared" si="110"/>
        <v>44.499999999999979</v>
      </c>
      <c r="D287" s="290">
        <f t="shared" si="110"/>
        <v>45</v>
      </c>
      <c r="E287" s="290">
        <f t="shared" si="110"/>
        <v>35.074999999999996</v>
      </c>
      <c r="F287" s="290">
        <f t="shared" si="110"/>
        <v>29.733333333333338</v>
      </c>
      <c r="G287" s="290">
        <f t="shared" si="110"/>
        <v>31.833333333333332</v>
      </c>
      <c r="H287" s="290">
        <f t="shared" si="110"/>
        <v>35.441249415833326</v>
      </c>
      <c r="I287" s="290">
        <f t="shared" si="110"/>
        <v>34.308333333333316</v>
      </c>
      <c r="J287" s="290">
        <f t="shared" si="110"/>
        <v>34.588908179166651</v>
      </c>
      <c r="K287" s="290">
        <f t="shared" si="110"/>
        <v>33.469500000000011</v>
      </c>
      <c r="L287" s="290">
        <f t="shared" si="110"/>
        <v>27.278416666666676</v>
      </c>
      <c r="M287" s="290">
        <f t="shared" si="110"/>
        <v>20.99600000000002</v>
      </c>
      <c r="N287" s="290">
        <f t="shared" si="110"/>
        <v>24.024249999999995</v>
      </c>
      <c r="O287" s="290">
        <f t="shared" si="110"/>
        <v>38.980333333333306</v>
      </c>
      <c r="P287" s="290">
        <f t="shared" si="110"/>
        <v>30.125500000000006</v>
      </c>
      <c r="Q287" s="290">
        <f t="shared" si="110"/>
        <v>18.581249999999955</v>
      </c>
      <c r="R287" s="290">
        <f t="shared" ref="R287:AN298" si="111">R$299/12</f>
        <v>37.58774999999995</v>
      </c>
      <c r="S287" s="290">
        <f t="shared" si="111"/>
        <v>17.819499999999987</v>
      </c>
      <c r="T287" s="290">
        <f t="shared" si="111"/>
        <v>0.14466666666661845</v>
      </c>
      <c r="U287" s="290">
        <f t="shared" si="111"/>
        <v>14.684333333333333</v>
      </c>
      <c r="V287" s="290">
        <f t="shared" si="111"/>
        <v>-9.8314166666665788</v>
      </c>
      <c r="W287" s="290">
        <f t="shared" si="111"/>
        <v>-11.038500000000036</v>
      </c>
      <c r="X287" s="290">
        <f t="shared" si="111"/>
        <v>-51.24683333333337</v>
      </c>
      <c r="Y287" s="290">
        <f t="shared" si="111"/>
        <v>-78.619890166666664</v>
      </c>
      <c r="Z287" s="252">
        <f t="shared" si="111"/>
        <v>13.75</v>
      </c>
      <c r="AA287" s="252">
        <f t="shared" si="111"/>
        <v>33.333333333333336</v>
      </c>
      <c r="AB287" s="252">
        <f t="shared" si="111"/>
        <v>33.333333333333336</v>
      </c>
      <c r="AC287" s="252">
        <f t="shared" si="111"/>
        <v>35.416666666666664</v>
      </c>
      <c r="AD287" s="146"/>
    </row>
    <row r="288" spans="1:30">
      <c r="A288" s="240" t="s">
        <v>240</v>
      </c>
      <c r="B288" s="290">
        <f t="shared" si="110"/>
        <v>32</v>
      </c>
      <c r="C288" s="290">
        <f t="shared" si="110"/>
        <v>44.499999999999979</v>
      </c>
      <c r="D288" s="290">
        <f t="shared" si="110"/>
        <v>45</v>
      </c>
      <c r="E288" s="290">
        <f t="shared" si="110"/>
        <v>35.074999999999996</v>
      </c>
      <c r="F288" s="290">
        <f t="shared" si="110"/>
        <v>29.733333333333338</v>
      </c>
      <c r="G288" s="290">
        <f t="shared" si="110"/>
        <v>31.833333333333332</v>
      </c>
      <c r="H288" s="290">
        <f t="shared" si="110"/>
        <v>35.441249415833326</v>
      </c>
      <c r="I288" s="290">
        <f t="shared" si="110"/>
        <v>34.308333333333316</v>
      </c>
      <c r="J288" s="290">
        <f t="shared" si="110"/>
        <v>34.588908179166651</v>
      </c>
      <c r="K288" s="290">
        <f t="shared" si="110"/>
        <v>33.469500000000011</v>
      </c>
      <c r="L288" s="290">
        <f t="shared" si="110"/>
        <v>27.278416666666676</v>
      </c>
      <c r="M288" s="290">
        <f t="shared" si="110"/>
        <v>20.99600000000002</v>
      </c>
      <c r="N288" s="290">
        <f t="shared" si="110"/>
        <v>24.024249999999995</v>
      </c>
      <c r="O288" s="290">
        <f t="shared" si="110"/>
        <v>38.980333333333306</v>
      </c>
      <c r="P288" s="290">
        <f t="shared" si="110"/>
        <v>30.125500000000006</v>
      </c>
      <c r="Q288" s="290">
        <f t="shared" si="110"/>
        <v>18.581249999999955</v>
      </c>
      <c r="R288" s="290">
        <f t="shared" si="111"/>
        <v>37.58774999999995</v>
      </c>
      <c r="S288" s="290">
        <f t="shared" si="111"/>
        <v>17.819499999999987</v>
      </c>
      <c r="T288" s="290">
        <f t="shared" si="111"/>
        <v>0.14466666666661845</v>
      </c>
      <c r="U288" s="290">
        <f t="shared" si="111"/>
        <v>14.684333333333333</v>
      </c>
      <c r="V288" s="290">
        <f t="shared" si="111"/>
        <v>-9.8314166666665788</v>
      </c>
      <c r="W288" s="290">
        <f t="shared" si="111"/>
        <v>-11.038500000000036</v>
      </c>
      <c r="X288" s="290">
        <f t="shared" si="111"/>
        <v>-51.24683333333337</v>
      </c>
      <c r="Y288" s="290">
        <f t="shared" si="111"/>
        <v>-78.619890166666664</v>
      </c>
      <c r="Z288" s="252">
        <f t="shared" si="111"/>
        <v>13.75</v>
      </c>
      <c r="AA288" s="252">
        <f>AA$299/12</f>
        <v>33.333333333333336</v>
      </c>
      <c r="AB288" s="252">
        <f>AB$299/12</f>
        <v>33.333333333333336</v>
      </c>
      <c r="AC288" s="252">
        <f>AC$299/12</f>
        <v>35.416666666666664</v>
      </c>
      <c r="AD288" s="146"/>
    </row>
    <row r="289" spans="1:30">
      <c r="A289" s="240" t="s">
        <v>241</v>
      </c>
      <c r="B289" s="290">
        <f t="shared" si="110"/>
        <v>32</v>
      </c>
      <c r="C289" s="290">
        <f t="shared" si="110"/>
        <v>44.499999999999979</v>
      </c>
      <c r="D289" s="290">
        <f t="shared" si="110"/>
        <v>45</v>
      </c>
      <c r="E289" s="290">
        <f t="shared" si="110"/>
        <v>35.074999999999996</v>
      </c>
      <c r="F289" s="290">
        <f t="shared" si="110"/>
        <v>29.733333333333338</v>
      </c>
      <c r="G289" s="290">
        <f t="shared" si="110"/>
        <v>31.833333333333332</v>
      </c>
      <c r="H289" s="290">
        <f t="shared" si="110"/>
        <v>35.441249415833326</v>
      </c>
      <c r="I289" s="290">
        <f t="shared" si="110"/>
        <v>34.308333333333316</v>
      </c>
      <c r="J289" s="290">
        <f t="shared" si="110"/>
        <v>34.588908179166651</v>
      </c>
      <c r="K289" s="290">
        <f t="shared" si="110"/>
        <v>33.469500000000011</v>
      </c>
      <c r="L289" s="290">
        <f t="shared" si="110"/>
        <v>27.278416666666676</v>
      </c>
      <c r="M289" s="290">
        <f t="shared" si="110"/>
        <v>20.99600000000002</v>
      </c>
      <c r="N289" s="290">
        <f t="shared" si="110"/>
        <v>24.024249999999995</v>
      </c>
      <c r="O289" s="290">
        <f t="shared" si="110"/>
        <v>38.980333333333306</v>
      </c>
      <c r="P289" s="290">
        <f t="shared" si="110"/>
        <v>30.125500000000006</v>
      </c>
      <c r="Q289" s="290">
        <f t="shared" si="110"/>
        <v>18.581249999999955</v>
      </c>
      <c r="R289" s="290">
        <f t="shared" si="111"/>
        <v>37.58774999999995</v>
      </c>
      <c r="S289" s="290">
        <f t="shared" si="111"/>
        <v>17.819499999999987</v>
      </c>
      <c r="T289" s="290">
        <f t="shared" si="111"/>
        <v>0.14466666666661845</v>
      </c>
      <c r="U289" s="290">
        <f t="shared" si="111"/>
        <v>14.684333333333333</v>
      </c>
      <c r="V289" s="290">
        <f t="shared" si="111"/>
        <v>-9.8314166666665788</v>
      </c>
      <c r="W289" s="290">
        <f t="shared" si="111"/>
        <v>-11.038500000000036</v>
      </c>
      <c r="X289" s="290">
        <f t="shared" si="111"/>
        <v>-51.24683333333337</v>
      </c>
      <c r="Y289" s="290">
        <f t="shared" si="111"/>
        <v>-78.619890166666664</v>
      </c>
      <c r="Z289" s="252">
        <f t="shared" si="111"/>
        <v>13.75</v>
      </c>
      <c r="AA289" s="252">
        <f t="shared" si="111"/>
        <v>33.333333333333336</v>
      </c>
      <c r="AB289" s="252">
        <f t="shared" si="111"/>
        <v>33.333333333333336</v>
      </c>
      <c r="AC289" s="252">
        <f t="shared" si="111"/>
        <v>35.416666666666664</v>
      </c>
      <c r="AD289" s="146"/>
    </row>
    <row r="290" spans="1:30">
      <c r="A290" s="240" t="s">
        <v>231</v>
      </c>
      <c r="B290" s="290">
        <f t="shared" si="110"/>
        <v>32</v>
      </c>
      <c r="C290" s="290">
        <f t="shared" si="110"/>
        <v>44.499999999999979</v>
      </c>
      <c r="D290" s="290">
        <f t="shared" si="110"/>
        <v>45</v>
      </c>
      <c r="E290" s="290">
        <f t="shared" si="110"/>
        <v>35.074999999999996</v>
      </c>
      <c r="F290" s="290">
        <f t="shared" si="110"/>
        <v>29.733333333333338</v>
      </c>
      <c r="G290" s="290">
        <f t="shared" si="110"/>
        <v>31.833333333333332</v>
      </c>
      <c r="H290" s="290">
        <f t="shared" si="110"/>
        <v>35.441249415833326</v>
      </c>
      <c r="I290" s="290">
        <f t="shared" si="110"/>
        <v>34.308333333333316</v>
      </c>
      <c r="J290" s="290">
        <f t="shared" si="110"/>
        <v>34.588908179166651</v>
      </c>
      <c r="K290" s="290">
        <f t="shared" si="110"/>
        <v>33.469500000000011</v>
      </c>
      <c r="L290" s="290">
        <f t="shared" si="110"/>
        <v>27.278416666666676</v>
      </c>
      <c r="M290" s="290">
        <f t="shared" si="110"/>
        <v>20.99600000000002</v>
      </c>
      <c r="N290" s="290">
        <f t="shared" si="110"/>
        <v>24.024249999999995</v>
      </c>
      <c r="O290" s="290">
        <f t="shared" si="110"/>
        <v>38.980333333333306</v>
      </c>
      <c r="P290" s="290">
        <f t="shared" si="110"/>
        <v>30.125500000000006</v>
      </c>
      <c r="Q290" s="290">
        <f t="shared" si="110"/>
        <v>18.581249999999955</v>
      </c>
      <c r="R290" s="290">
        <f t="shared" si="111"/>
        <v>37.58774999999995</v>
      </c>
      <c r="S290" s="290">
        <f t="shared" si="111"/>
        <v>17.819499999999987</v>
      </c>
      <c r="T290" s="290">
        <f t="shared" si="111"/>
        <v>0.14466666666661845</v>
      </c>
      <c r="U290" s="290">
        <f t="shared" si="111"/>
        <v>14.684333333333333</v>
      </c>
      <c r="V290" s="290">
        <f t="shared" si="111"/>
        <v>-9.8314166666665788</v>
      </c>
      <c r="W290" s="290">
        <f t="shared" si="111"/>
        <v>-11.038500000000036</v>
      </c>
      <c r="X290" s="290">
        <f t="shared" si="111"/>
        <v>-51.24683333333337</v>
      </c>
      <c r="Y290" s="290">
        <f t="shared" si="111"/>
        <v>-78.619890166666664</v>
      </c>
      <c r="Z290" s="252">
        <f t="shared" si="111"/>
        <v>13.75</v>
      </c>
      <c r="AA290" s="252">
        <f t="shared" si="111"/>
        <v>33.333333333333336</v>
      </c>
      <c r="AB290" s="252">
        <f t="shared" si="111"/>
        <v>33.333333333333336</v>
      </c>
      <c r="AC290" s="252">
        <f t="shared" si="111"/>
        <v>35.416666666666664</v>
      </c>
      <c r="AD290" s="146"/>
    </row>
    <row r="291" spans="1:30">
      <c r="A291" s="240" t="s">
        <v>232</v>
      </c>
      <c r="B291" s="290">
        <f t="shared" si="110"/>
        <v>32</v>
      </c>
      <c r="C291" s="290">
        <f t="shared" si="110"/>
        <v>44.499999999999979</v>
      </c>
      <c r="D291" s="290">
        <f t="shared" si="110"/>
        <v>45</v>
      </c>
      <c r="E291" s="290">
        <f t="shared" si="110"/>
        <v>35.074999999999996</v>
      </c>
      <c r="F291" s="290">
        <f t="shared" si="110"/>
        <v>29.733333333333338</v>
      </c>
      <c r="G291" s="290">
        <f t="shared" si="110"/>
        <v>31.833333333333332</v>
      </c>
      <c r="H291" s="290">
        <f t="shared" si="110"/>
        <v>35.441249415833326</v>
      </c>
      <c r="I291" s="290">
        <f t="shared" si="110"/>
        <v>34.308333333333316</v>
      </c>
      <c r="J291" s="290">
        <f t="shared" si="110"/>
        <v>34.588908179166651</v>
      </c>
      <c r="K291" s="290">
        <f t="shared" si="110"/>
        <v>33.469500000000011</v>
      </c>
      <c r="L291" s="290">
        <f t="shared" si="110"/>
        <v>27.278416666666676</v>
      </c>
      <c r="M291" s="290">
        <f t="shared" si="110"/>
        <v>20.99600000000002</v>
      </c>
      <c r="N291" s="290">
        <f t="shared" si="110"/>
        <v>24.024249999999995</v>
      </c>
      <c r="O291" s="290">
        <f t="shared" si="110"/>
        <v>38.980333333333306</v>
      </c>
      <c r="P291" s="290">
        <f t="shared" si="110"/>
        <v>30.125500000000006</v>
      </c>
      <c r="Q291" s="290">
        <f t="shared" si="110"/>
        <v>18.581249999999955</v>
      </c>
      <c r="R291" s="290">
        <f t="shared" si="111"/>
        <v>37.58774999999995</v>
      </c>
      <c r="S291" s="290">
        <f t="shared" si="111"/>
        <v>17.819499999999987</v>
      </c>
      <c r="T291" s="290">
        <f t="shared" si="111"/>
        <v>0.14466666666661845</v>
      </c>
      <c r="U291" s="290">
        <f t="shared" si="111"/>
        <v>14.684333333333333</v>
      </c>
      <c r="V291" s="290">
        <f t="shared" si="111"/>
        <v>-9.8314166666665788</v>
      </c>
      <c r="W291" s="290">
        <f t="shared" si="111"/>
        <v>-11.038500000000036</v>
      </c>
      <c r="X291" s="290">
        <f t="shared" si="111"/>
        <v>-51.24683333333337</v>
      </c>
      <c r="Y291" s="290">
        <f t="shared" si="111"/>
        <v>-78.619890166666664</v>
      </c>
      <c r="Z291" s="252">
        <f t="shared" si="111"/>
        <v>13.75</v>
      </c>
      <c r="AA291" s="252">
        <f t="shared" si="111"/>
        <v>33.333333333333336</v>
      </c>
      <c r="AB291" s="252">
        <f t="shared" si="111"/>
        <v>33.333333333333336</v>
      </c>
      <c r="AC291" s="252">
        <f t="shared" si="111"/>
        <v>35.416666666666664</v>
      </c>
      <c r="AD291" s="146"/>
    </row>
    <row r="292" spans="1:30">
      <c r="A292" s="240" t="s">
        <v>233</v>
      </c>
      <c r="B292" s="290">
        <f t="shared" si="110"/>
        <v>32</v>
      </c>
      <c r="C292" s="290">
        <f t="shared" si="110"/>
        <v>44.499999999999979</v>
      </c>
      <c r="D292" s="290">
        <f t="shared" si="110"/>
        <v>45</v>
      </c>
      <c r="E292" s="290">
        <f t="shared" si="110"/>
        <v>35.074999999999996</v>
      </c>
      <c r="F292" s="290">
        <f t="shared" si="110"/>
        <v>29.733333333333338</v>
      </c>
      <c r="G292" s="290">
        <f t="shared" si="110"/>
        <v>31.833333333333332</v>
      </c>
      <c r="H292" s="290">
        <f t="shared" si="110"/>
        <v>35.441249415833326</v>
      </c>
      <c r="I292" s="290">
        <f t="shared" si="110"/>
        <v>34.308333333333316</v>
      </c>
      <c r="J292" s="290">
        <f t="shared" si="110"/>
        <v>34.588908179166651</v>
      </c>
      <c r="K292" s="290">
        <f t="shared" si="110"/>
        <v>33.469500000000011</v>
      </c>
      <c r="L292" s="290">
        <f t="shared" si="110"/>
        <v>27.278416666666676</v>
      </c>
      <c r="M292" s="290">
        <f t="shared" si="110"/>
        <v>20.99600000000002</v>
      </c>
      <c r="N292" s="290">
        <f t="shared" si="110"/>
        <v>24.024249999999995</v>
      </c>
      <c r="O292" s="290">
        <f t="shared" si="110"/>
        <v>38.980333333333306</v>
      </c>
      <c r="P292" s="290">
        <f t="shared" si="110"/>
        <v>30.125500000000006</v>
      </c>
      <c r="Q292" s="290">
        <f t="shared" si="110"/>
        <v>18.581249999999955</v>
      </c>
      <c r="R292" s="290">
        <f t="shared" si="111"/>
        <v>37.58774999999995</v>
      </c>
      <c r="S292" s="290">
        <f t="shared" si="111"/>
        <v>17.819499999999987</v>
      </c>
      <c r="T292" s="290">
        <f t="shared" si="111"/>
        <v>0.14466666666661845</v>
      </c>
      <c r="U292" s="290">
        <f t="shared" si="111"/>
        <v>14.684333333333333</v>
      </c>
      <c r="V292" s="290">
        <f t="shared" si="111"/>
        <v>-9.8314166666665788</v>
      </c>
      <c r="W292" s="290">
        <f t="shared" si="111"/>
        <v>-11.038500000000036</v>
      </c>
      <c r="X292" s="290">
        <f t="shared" si="111"/>
        <v>-51.24683333333337</v>
      </c>
      <c r="Y292" s="290">
        <f t="shared" si="111"/>
        <v>-78.619890166666664</v>
      </c>
      <c r="Z292" s="252">
        <f t="shared" si="111"/>
        <v>13.75</v>
      </c>
      <c r="AA292" s="252">
        <f t="shared" si="111"/>
        <v>33.333333333333336</v>
      </c>
      <c r="AB292" s="252">
        <f t="shared" si="111"/>
        <v>33.333333333333336</v>
      </c>
      <c r="AC292" s="252">
        <f t="shared" si="111"/>
        <v>35.416666666666664</v>
      </c>
      <c r="AD292" s="146"/>
    </row>
    <row r="293" spans="1:30">
      <c r="A293" s="240" t="s">
        <v>234</v>
      </c>
      <c r="B293" s="290">
        <f t="shared" si="110"/>
        <v>32</v>
      </c>
      <c r="C293" s="290">
        <f t="shared" si="110"/>
        <v>44.499999999999979</v>
      </c>
      <c r="D293" s="290">
        <f t="shared" si="110"/>
        <v>45</v>
      </c>
      <c r="E293" s="290">
        <f t="shared" si="110"/>
        <v>35.074999999999996</v>
      </c>
      <c r="F293" s="290">
        <f t="shared" si="110"/>
        <v>29.733333333333338</v>
      </c>
      <c r="G293" s="290">
        <f t="shared" si="110"/>
        <v>31.833333333333332</v>
      </c>
      <c r="H293" s="290">
        <f t="shared" si="110"/>
        <v>35.441249415833326</v>
      </c>
      <c r="I293" s="290">
        <f t="shared" si="110"/>
        <v>34.308333333333316</v>
      </c>
      <c r="J293" s="290">
        <f t="shared" si="110"/>
        <v>34.588908179166651</v>
      </c>
      <c r="K293" s="290">
        <f t="shared" si="110"/>
        <v>33.469500000000011</v>
      </c>
      <c r="L293" s="290">
        <f t="shared" si="110"/>
        <v>27.278416666666676</v>
      </c>
      <c r="M293" s="290">
        <f t="shared" si="110"/>
        <v>20.99600000000002</v>
      </c>
      <c r="N293" s="290">
        <f t="shared" si="110"/>
        <v>24.024249999999995</v>
      </c>
      <c r="O293" s="290">
        <f t="shared" si="110"/>
        <v>38.980333333333306</v>
      </c>
      <c r="P293" s="290">
        <f t="shared" si="110"/>
        <v>30.125500000000006</v>
      </c>
      <c r="Q293" s="290">
        <f t="shared" si="110"/>
        <v>18.581249999999955</v>
      </c>
      <c r="R293" s="290">
        <f t="shared" si="111"/>
        <v>37.58774999999995</v>
      </c>
      <c r="S293" s="290">
        <f t="shared" si="111"/>
        <v>17.819499999999987</v>
      </c>
      <c r="T293" s="290">
        <f t="shared" si="111"/>
        <v>0.14466666666661845</v>
      </c>
      <c r="U293" s="290">
        <f t="shared" si="111"/>
        <v>14.684333333333333</v>
      </c>
      <c r="V293" s="290">
        <f t="shared" si="111"/>
        <v>-9.8314166666665788</v>
      </c>
      <c r="W293" s="290">
        <f t="shared" si="111"/>
        <v>-11.038500000000036</v>
      </c>
      <c r="X293" s="290">
        <f t="shared" si="111"/>
        <v>-51.24683333333337</v>
      </c>
      <c r="Y293" s="290">
        <f t="shared" si="111"/>
        <v>-78.619890166666664</v>
      </c>
      <c r="Z293" s="252">
        <f t="shared" si="111"/>
        <v>13.75</v>
      </c>
      <c r="AA293" s="252">
        <f t="shared" si="111"/>
        <v>33.333333333333336</v>
      </c>
      <c r="AB293" s="252">
        <f t="shared" si="111"/>
        <v>33.333333333333336</v>
      </c>
      <c r="AC293" s="252">
        <f t="shared" si="111"/>
        <v>35.416666666666664</v>
      </c>
      <c r="AD293" s="146"/>
    </row>
    <row r="294" spans="1:30">
      <c r="A294" s="240" t="s">
        <v>46</v>
      </c>
      <c r="B294" s="290">
        <f t="shared" si="110"/>
        <v>32</v>
      </c>
      <c r="C294" s="290">
        <f t="shared" si="110"/>
        <v>44.499999999999979</v>
      </c>
      <c r="D294" s="290">
        <f t="shared" si="110"/>
        <v>45</v>
      </c>
      <c r="E294" s="290">
        <f t="shared" si="110"/>
        <v>35.074999999999996</v>
      </c>
      <c r="F294" s="290">
        <f t="shared" si="110"/>
        <v>29.733333333333338</v>
      </c>
      <c r="G294" s="290">
        <f t="shared" si="110"/>
        <v>31.833333333333332</v>
      </c>
      <c r="H294" s="290">
        <f t="shared" si="110"/>
        <v>35.441249415833326</v>
      </c>
      <c r="I294" s="290">
        <f t="shared" si="110"/>
        <v>34.308333333333316</v>
      </c>
      <c r="J294" s="290">
        <f t="shared" si="110"/>
        <v>34.588908179166651</v>
      </c>
      <c r="K294" s="290">
        <f t="shared" si="110"/>
        <v>33.469500000000011</v>
      </c>
      <c r="L294" s="290">
        <f t="shared" si="110"/>
        <v>27.278416666666676</v>
      </c>
      <c r="M294" s="290">
        <f t="shared" si="110"/>
        <v>20.99600000000002</v>
      </c>
      <c r="N294" s="290">
        <f t="shared" si="110"/>
        <v>24.024249999999995</v>
      </c>
      <c r="O294" s="290">
        <f t="shared" si="110"/>
        <v>38.980333333333306</v>
      </c>
      <c r="P294" s="290">
        <f t="shared" si="110"/>
        <v>30.125500000000006</v>
      </c>
      <c r="Q294" s="290">
        <f t="shared" si="110"/>
        <v>18.581249999999955</v>
      </c>
      <c r="R294" s="290">
        <f t="shared" si="111"/>
        <v>37.58774999999995</v>
      </c>
      <c r="S294" s="290">
        <f t="shared" si="111"/>
        <v>17.819499999999987</v>
      </c>
      <c r="T294" s="290">
        <f t="shared" si="111"/>
        <v>0.14466666666661845</v>
      </c>
      <c r="U294" s="290">
        <f t="shared" si="111"/>
        <v>14.684333333333333</v>
      </c>
      <c r="V294" s="290">
        <f t="shared" si="111"/>
        <v>-9.8314166666665788</v>
      </c>
      <c r="W294" s="290">
        <f t="shared" si="111"/>
        <v>-11.038500000000036</v>
      </c>
      <c r="X294" s="290">
        <f t="shared" si="111"/>
        <v>-51.24683333333337</v>
      </c>
      <c r="Y294" s="290">
        <f t="shared" si="111"/>
        <v>-78.619890166666664</v>
      </c>
      <c r="Z294" s="252">
        <f t="shared" si="111"/>
        <v>13.75</v>
      </c>
      <c r="AA294" s="252">
        <f t="shared" si="111"/>
        <v>33.333333333333336</v>
      </c>
      <c r="AB294" s="252">
        <f t="shared" si="111"/>
        <v>33.333333333333336</v>
      </c>
      <c r="AC294" s="252">
        <f t="shared" si="111"/>
        <v>35.416666666666664</v>
      </c>
      <c r="AD294" s="146"/>
    </row>
    <row r="295" spans="1:30">
      <c r="A295" s="240" t="s">
        <v>235</v>
      </c>
      <c r="B295" s="290">
        <f t="shared" si="110"/>
        <v>32</v>
      </c>
      <c r="C295" s="290">
        <f t="shared" si="110"/>
        <v>44.499999999999979</v>
      </c>
      <c r="D295" s="290">
        <f t="shared" si="110"/>
        <v>45</v>
      </c>
      <c r="E295" s="290">
        <f t="shared" si="110"/>
        <v>35.074999999999996</v>
      </c>
      <c r="F295" s="290">
        <f t="shared" si="110"/>
        <v>29.733333333333338</v>
      </c>
      <c r="G295" s="290">
        <f t="shared" si="110"/>
        <v>31.833333333333332</v>
      </c>
      <c r="H295" s="290">
        <f t="shared" si="110"/>
        <v>35.441249415833326</v>
      </c>
      <c r="I295" s="290">
        <f t="shared" si="110"/>
        <v>34.308333333333316</v>
      </c>
      <c r="J295" s="290">
        <f t="shared" si="110"/>
        <v>34.588908179166651</v>
      </c>
      <c r="K295" s="290">
        <f t="shared" si="110"/>
        <v>33.469500000000011</v>
      </c>
      <c r="L295" s="290">
        <f t="shared" si="110"/>
        <v>27.278416666666676</v>
      </c>
      <c r="M295" s="290">
        <f t="shared" si="110"/>
        <v>20.99600000000002</v>
      </c>
      <c r="N295" s="290">
        <f t="shared" si="110"/>
        <v>24.024249999999995</v>
      </c>
      <c r="O295" s="290">
        <f t="shared" si="110"/>
        <v>38.980333333333306</v>
      </c>
      <c r="P295" s="290">
        <f t="shared" si="110"/>
        <v>30.125500000000006</v>
      </c>
      <c r="Q295" s="290">
        <f t="shared" si="110"/>
        <v>18.581249999999955</v>
      </c>
      <c r="R295" s="290">
        <f t="shared" si="111"/>
        <v>37.58774999999995</v>
      </c>
      <c r="S295" s="290">
        <f t="shared" si="111"/>
        <v>17.819499999999987</v>
      </c>
      <c r="T295" s="290">
        <f t="shared" si="111"/>
        <v>0.14466666666661845</v>
      </c>
      <c r="U295" s="290">
        <f t="shared" si="111"/>
        <v>14.684333333333333</v>
      </c>
      <c r="V295" s="290">
        <f t="shared" si="111"/>
        <v>-9.8314166666665788</v>
      </c>
      <c r="W295" s="290">
        <f t="shared" si="111"/>
        <v>-11.038500000000036</v>
      </c>
      <c r="X295" s="290">
        <f t="shared" si="111"/>
        <v>-51.24683333333337</v>
      </c>
      <c r="Y295" s="290">
        <f t="shared" si="111"/>
        <v>-78.619890166666664</v>
      </c>
      <c r="Z295" s="252">
        <f t="shared" si="111"/>
        <v>13.75</v>
      </c>
      <c r="AA295" s="252">
        <f t="shared" si="111"/>
        <v>33.333333333333336</v>
      </c>
      <c r="AB295" s="252">
        <f t="shared" si="111"/>
        <v>33.333333333333336</v>
      </c>
      <c r="AC295" s="252">
        <f t="shared" si="111"/>
        <v>35.416666666666664</v>
      </c>
      <c r="AD295" s="146"/>
    </row>
    <row r="296" spans="1:30">
      <c r="A296" s="240" t="s">
        <v>236</v>
      </c>
      <c r="B296" s="290">
        <f t="shared" si="110"/>
        <v>32</v>
      </c>
      <c r="C296" s="290">
        <f t="shared" si="110"/>
        <v>44.499999999999979</v>
      </c>
      <c r="D296" s="290">
        <f t="shared" si="110"/>
        <v>45</v>
      </c>
      <c r="E296" s="290">
        <f t="shared" si="110"/>
        <v>35.074999999999996</v>
      </c>
      <c r="F296" s="290">
        <f t="shared" si="110"/>
        <v>29.733333333333338</v>
      </c>
      <c r="G296" s="290">
        <f t="shared" si="110"/>
        <v>31.833333333333332</v>
      </c>
      <c r="H296" s="290">
        <f t="shared" si="110"/>
        <v>35.441249415833326</v>
      </c>
      <c r="I296" s="290">
        <f t="shared" si="110"/>
        <v>34.308333333333316</v>
      </c>
      <c r="J296" s="290">
        <f t="shared" si="110"/>
        <v>34.588908179166651</v>
      </c>
      <c r="K296" s="290">
        <f t="shared" si="110"/>
        <v>33.469500000000011</v>
      </c>
      <c r="L296" s="290">
        <f t="shared" si="110"/>
        <v>27.278416666666676</v>
      </c>
      <c r="M296" s="290">
        <f t="shared" si="110"/>
        <v>20.99600000000002</v>
      </c>
      <c r="N296" s="290">
        <f t="shared" si="110"/>
        <v>24.024249999999995</v>
      </c>
      <c r="O296" s="290">
        <f t="shared" si="110"/>
        <v>38.980333333333306</v>
      </c>
      <c r="P296" s="290">
        <f t="shared" si="110"/>
        <v>30.125500000000006</v>
      </c>
      <c r="Q296" s="290">
        <f t="shared" si="110"/>
        <v>18.581249999999955</v>
      </c>
      <c r="R296" s="290">
        <f t="shared" si="111"/>
        <v>37.58774999999995</v>
      </c>
      <c r="S296" s="290">
        <f t="shared" si="111"/>
        <v>17.819499999999987</v>
      </c>
      <c r="T296" s="290">
        <f t="shared" si="111"/>
        <v>0.14466666666661845</v>
      </c>
      <c r="U296" s="290">
        <f t="shared" si="111"/>
        <v>14.684333333333333</v>
      </c>
      <c r="V296" s="290">
        <f t="shared" si="111"/>
        <v>-9.8314166666665788</v>
      </c>
      <c r="W296" s="290">
        <f t="shared" si="111"/>
        <v>-11.038500000000036</v>
      </c>
      <c r="X296" s="290">
        <f t="shared" si="111"/>
        <v>-51.24683333333337</v>
      </c>
      <c r="Y296" s="290">
        <f t="shared" si="111"/>
        <v>-78.619890166666664</v>
      </c>
      <c r="Z296" s="252">
        <f t="shared" si="111"/>
        <v>13.75</v>
      </c>
      <c r="AA296" s="252">
        <f t="shared" si="111"/>
        <v>33.333333333333336</v>
      </c>
      <c r="AB296" s="252">
        <f t="shared" si="111"/>
        <v>33.333333333333336</v>
      </c>
      <c r="AC296" s="252">
        <f t="shared" si="111"/>
        <v>35.416666666666664</v>
      </c>
      <c r="AD296" s="146"/>
    </row>
    <row r="297" spans="1:30">
      <c r="A297" s="240" t="s">
        <v>237</v>
      </c>
      <c r="B297" s="290">
        <f t="shared" si="110"/>
        <v>32</v>
      </c>
      <c r="C297" s="290">
        <f t="shared" si="110"/>
        <v>44.499999999999979</v>
      </c>
      <c r="D297" s="290">
        <f t="shared" si="110"/>
        <v>45</v>
      </c>
      <c r="E297" s="290">
        <f t="shared" si="110"/>
        <v>35.074999999999996</v>
      </c>
      <c r="F297" s="290">
        <f t="shared" si="110"/>
        <v>29.733333333333338</v>
      </c>
      <c r="G297" s="290">
        <f t="shared" si="110"/>
        <v>31.833333333333332</v>
      </c>
      <c r="H297" s="290">
        <f t="shared" si="110"/>
        <v>35.441249415833326</v>
      </c>
      <c r="I297" s="290">
        <f t="shared" si="110"/>
        <v>34.308333333333316</v>
      </c>
      <c r="J297" s="290">
        <f t="shared" si="110"/>
        <v>34.588908179166651</v>
      </c>
      <c r="K297" s="290">
        <f t="shared" si="110"/>
        <v>33.469500000000011</v>
      </c>
      <c r="L297" s="290">
        <f t="shared" si="110"/>
        <v>27.278416666666676</v>
      </c>
      <c r="M297" s="290">
        <f t="shared" si="110"/>
        <v>20.99600000000002</v>
      </c>
      <c r="N297" s="290">
        <f t="shared" si="110"/>
        <v>24.024249999999995</v>
      </c>
      <c r="O297" s="290">
        <f t="shared" si="110"/>
        <v>38.980333333333306</v>
      </c>
      <c r="P297" s="290">
        <f t="shared" si="110"/>
        <v>30.125500000000006</v>
      </c>
      <c r="Q297" s="290">
        <f t="shared" si="110"/>
        <v>18.581249999999955</v>
      </c>
      <c r="R297" s="290">
        <f t="shared" si="111"/>
        <v>37.58774999999995</v>
      </c>
      <c r="S297" s="290">
        <f t="shared" si="111"/>
        <v>17.819499999999987</v>
      </c>
      <c r="T297" s="290">
        <f t="shared" si="111"/>
        <v>0.14466666666661845</v>
      </c>
      <c r="U297" s="290">
        <f t="shared" si="111"/>
        <v>14.684333333333333</v>
      </c>
      <c r="V297" s="290">
        <f t="shared" si="111"/>
        <v>-9.8314166666665788</v>
      </c>
      <c r="W297" s="290">
        <f t="shared" si="111"/>
        <v>-11.038500000000036</v>
      </c>
      <c r="X297" s="290">
        <f t="shared" si="111"/>
        <v>-51.24683333333337</v>
      </c>
      <c r="Y297" s="290">
        <f t="shared" si="111"/>
        <v>-78.619890166666664</v>
      </c>
      <c r="Z297" s="252">
        <f t="shared" si="111"/>
        <v>13.75</v>
      </c>
      <c r="AA297" s="252">
        <f t="shared" si="111"/>
        <v>33.333333333333336</v>
      </c>
      <c r="AB297" s="252">
        <f t="shared" si="111"/>
        <v>33.333333333333336</v>
      </c>
      <c r="AC297" s="252">
        <f t="shared" si="111"/>
        <v>35.416666666666664</v>
      </c>
      <c r="AD297" s="146"/>
    </row>
    <row r="298" spans="1:30">
      <c r="A298" s="240" t="s">
        <v>238</v>
      </c>
      <c r="B298" s="290">
        <f t="shared" si="110"/>
        <v>32</v>
      </c>
      <c r="C298" s="290">
        <f t="shared" si="110"/>
        <v>44.499999999999979</v>
      </c>
      <c r="D298" s="290">
        <f t="shared" si="110"/>
        <v>45</v>
      </c>
      <c r="E298" s="290">
        <f t="shared" si="110"/>
        <v>35.074999999999996</v>
      </c>
      <c r="F298" s="290">
        <f t="shared" si="110"/>
        <v>29.733333333333338</v>
      </c>
      <c r="G298" s="290">
        <f t="shared" si="110"/>
        <v>31.833333333333332</v>
      </c>
      <c r="H298" s="290">
        <f t="shared" si="110"/>
        <v>35.441249415833326</v>
      </c>
      <c r="I298" s="290">
        <f t="shared" si="110"/>
        <v>34.308333333333316</v>
      </c>
      <c r="J298" s="290">
        <f t="shared" si="110"/>
        <v>34.588908179166651</v>
      </c>
      <c r="K298" s="290">
        <f t="shared" si="110"/>
        <v>33.469500000000011</v>
      </c>
      <c r="L298" s="290">
        <f t="shared" si="110"/>
        <v>27.278416666666676</v>
      </c>
      <c r="M298" s="290">
        <f t="shared" si="110"/>
        <v>20.99600000000002</v>
      </c>
      <c r="N298" s="290">
        <f t="shared" si="110"/>
        <v>24.024249999999995</v>
      </c>
      <c r="O298" s="290">
        <f t="shared" si="110"/>
        <v>38.980333333333306</v>
      </c>
      <c r="P298" s="290">
        <f t="shared" si="110"/>
        <v>30.125500000000006</v>
      </c>
      <c r="Q298" s="290">
        <f t="shared" si="110"/>
        <v>18.581249999999955</v>
      </c>
      <c r="R298" s="290">
        <f t="shared" si="111"/>
        <v>37.58774999999995</v>
      </c>
      <c r="S298" s="290">
        <f t="shared" si="111"/>
        <v>17.819499999999987</v>
      </c>
      <c r="T298" s="290">
        <f t="shared" si="111"/>
        <v>0.14466666666661845</v>
      </c>
      <c r="U298" s="290">
        <f t="shared" si="111"/>
        <v>14.684333333333333</v>
      </c>
      <c r="V298" s="290">
        <f t="shared" si="111"/>
        <v>-9.8314166666665788</v>
      </c>
      <c r="W298" s="290">
        <f t="shared" si="111"/>
        <v>-11.038500000000036</v>
      </c>
      <c r="X298" s="290">
        <f t="shared" si="111"/>
        <v>-51.24683333333337</v>
      </c>
      <c r="Y298" s="290">
        <f t="shared" si="111"/>
        <v>-78.619890166666664</v>
      </c>
      <c r="Z298" s="252">
        <f t="shared" si="111"/>
        <v>13.75</v>
      </c>
      <c r="AA298" s="252">
        <f t="shared" si="111"/>
        <v>33.333333333333336</v>
      </c>
      <c r="AB298" s="252">
        <f t="shared" si="111"/>
        <v>33.333333333333336</v>
      </c>
      <c r="AC298" s="252">
        <f t="shared" si="111"/>
        <v>35.416666666666664</v>
      </c>
      <c r="AD298" s="146"/>
    </row>
    <row r="299" spans="1:30" ht="15.75" thickBot="1">
      <c r="A299" s="240" t="s">
        <v>242</v>
      </c>
      <c r="B299" s="146">
        <f>B36</f>
        <v>384</v>
      </c>
      <c r="C299" s="146">
        <f t="shared" ref="C299:Y299" si="112">C36</f>
        <v>533.99999999999977</v>
      </c>
      <c r="D299" s="146">
        <f t="shared" si="112"/>
        <v>540</v>
      </c>
      <c r="E299" s="146">
        <f t="shared" si="112"/>
        <v>420.9</v>
      </c>
      <c r="F299" s="146">
        <f t="shared" si="112"/>
        <v>356.80000000000007</v>
      </c>
      <c r="G299" s="146">
        <f t="shared" si="112"/>
        <v>382</v>
      </c>
      <c r="H299" s="146">
        <f t="shared" si="112"/>
        <v>425.29499298999991</v>
      </c>
      <c r="I299" s="146">
        <f t="shared" si="112"/>
        <v>411.69999999999982</v>
      </c>
      <c r="J299" s="146">
        <f t="shared" si="112"/>
        <v>415.06689814999982</v>
      </c>
      <c r="K299" s="146">
        <f t="shared" si="112"/>
        <v>401.63400000000013</v>
      </c>
      <c r="L299" s="146">
        <f t="shared" si="112"/>
        <v>327.34100000000012</v>
      </c>
      <c r="M299" s="146">
        <f t="shared" si="112"/>
        <v>251.95200000000023</v>
      </c>
      <c r="N299" s="146">
        <f t="shared" si="112"/>
        <v>288.29099999999994</v>
      </c>
      <c r="O299" s="146">
        <f t="shared" si="112"/>
        <v>467.76399999999967</v>
      </c>
      <c r="P299" s="146">
        <f t="shared" si="112"/>
        <v>361.50600000000009</v>
      </c>
      <c r="Q299" s="146">
        <f t="shared" si="112"/>
        <v>222.97499999999945</v>
      </c>
      <c r="R299" s="146">
        <f t="shared" si="112"/>
        <v>451.05299999999943</v>
      </c>
      <c r="S299" s="146">
        <f t="shared" si="112"/>
        <v>213.83399999999983</v>
      </c>
      <c r="T299" s="146">
        <f t="shared" si="112"/>
        <v>1.7359999999994216</v>
      </c>
      <c r="U299" s="146">
        <f t="shared" si="112"/>
        <v>176.21199999999999</v>
      </c>
      <c r="V299" s="146">
        <f t="shared" si="112"/>
        <v>-117.97699999999895</v>
      </c>
      <c r="W299" s="146">
        <f t="shared" si="112"/>
        <v>-132.46200000000044</v>
      </c>
      <c r="X299" s="146">
        <f t="shared" si="112"/>
        <v>-614.96200000000044</v>
      </c>
      <c r="Y299" s="146">
        <f t="shared" si="112"/>
        <v>-943.43868199999997</v>
      </c>
      <c r="Z299" s="253">
        <f>Z36</f>
        <v>165</v>
      </c>
      <c r="AA299" s="253">
        <f>AA36</f>
        <v>400</v>
      </c>
      <c r="AB299" s="253">
        <f>AB36</f>
        <v>400</v>
      </c>
      <c r="AC299" s="253">
        <f>AC36</f>
        <v>425</v>
      </c>
      <c r="AD299" s="146"/>
    </row>
    <row r="300" spans="1:30">
      <c r="A300" s="248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</row>
    <row r="301" spans="1:30" ht="15.75" thickBot="1">
      <c r="A301" s="240" t="s">
        <v>269</v>
      </c>
    </row>
    <row r="302" spans="1:30" ht="15.75" thickBot="1">
      <c r="A302" s="236"/>
      <c r="B302" s="237" t="str">
        <f>B$2</f>
        <v xml:space="preserve">93/94 </v>
      </c>
      <c r="C302" s="237" t="str">
        <f t="shared" ref="C302:AC302" si="113">C$2</f>
        <v xml:space="preserve">94/95 </v>
      </c>
      <c r="D302" s="237" t="str">
        <f t="shared" si="113"/>
        <v xml:space="preserve">95/96 </v>
      </c>
      <c r="E302" s="237" t="str">
        <f t="shared" si="113"/>
        <v xml:space="preserve">96/97 </v>
      </c>
      <c r="F302" s="237" t="str">
        <f t="shared" si="113"/>
        <v xml:space="preserve">97/98 </v>
      </c>
      <c r="G302" s="237" t="str">
        <f t="shared" si="113"/>
        <v xml:space="preserve">98/99 </v>
      </c>
      <c r="H302" s="237" t="str">
        <f t="shared" si="113"/>
        <v xml:space="preserve">99/00 </v>
      </c>
      <c r="I302" s="237" t="str">
        <f t="shared" si="113"/>
        <v xml:space="preserve">00/01 </v>
      </c>
      <c r="J302" s="237" t="str">
        <f t="shared" si="113"/>
        <v xml:space="preserve">01/02 </v>
      </c>
      <c r="K302" s="237" t="str">
        <f t="shared" si="113"/>
        <v xml:space="preserve">02/03 </v>
      </c>
      <c r="L302" s="237" t="str">
        <f t="shared" si="113"/>
        <v xml:space="preserve">03/04 </v>
      </c>
      <c r="M302" s="237" t="str">
        <f t="shared" si="113"/>
        <v xml:space="preserve">04/05 </v>
      </c>
      <c r="N302" s="237" t="str">
        <f t="shared" si="113"/>
        <v xml:space="preserve">05/06 </v>
      </c>
      <c r="O302" s="237" t="str">
        <f t="shared" si="113"/>
        <v xml:space="preserve">06/07 </v>
      </c>
      <c r="P302" s="237" t="str">
        <f t="shared" si="113"/>
        <v xml:space="preserve">07/08 </v>
      </c>
      <c r="Q302" s="237" t="str">
        <f t="shared" si="113"/>
        <v xml:space="preserve">08/09 </v>
      </c>
      <c r="R302" s="237" t="str">
        <f t="shared" si="113"/>
        <v xml:space="preserve">09/10 </v>
      </c>
      <c r="S302" s="237" t="str">
        <f t="shared" si="113"/>
        <v xml:space="preserve">10/11 </v>
      </c>
      <c r="T302" s="237" t="str">
        <f t="shared" si="113"/>
        <v xml:space="preserve">11/12 </v>
      </c>
      <c r="U302" s="237" t="str">
        <f t="shared" si="113"/>
        <v xml:space="preserve">12/13 </v>
      </c>
      <c r="V302" s="237" t="str">
        <f t="shared" si="113"/>
        <v xml:space="preserve">13/14 </v>
      </c>
      <c r="W302" s="237" t="str">
        <f t="shared" si="113"/>
        <v xml:space="preserve">14/15 </v>
      </c>
      <c r="X302" s="237" t="str">
        <f t="shared" si="113"/>
        <v xml:space="preserve">15/16 </v>
      </c>
      <c r="Y302" s="237" t="str">
        <f t="shared" si="113"/>
        <v xml:space="preserve">16/17 </v>
      </c>
      <c r="Z302" s="237" t="str">
        <f t="shared" si="113"/>
        <v xml:space="preserve">17/18 </v>
      </c>
      <c r="AA302" s="237" t="str">
        <f t="shared" si="113"/>
        <v xml:space="preserve">18/19 </v>
      </c>
      <c r="AB302" s="237" t="str">
        <f t="shared" si="113"/>
        <v xml:space="preserve">19/20 </v>
      </c>
      <c r="AC302" s="237" t="str">
        <f t="shared" si="113"/>
        <v xml:space="preserve">20/21 </v>
      </c>
      <c r="AD302" s="269"/>
    </row>
    <row r="303" spans="1:30">
      <c r="A303" s="240" t="s">
        <v>239</v>
      </c>
      <c r="B303" s="290">
        <f>(B$314-B$32)/13+B32</f>
        <v>205.23076923076923</v>
      </c>
      <c r="C303" s="290">
        <f>(C$314-B$314)/13+B314</f>
        <v>189.15384615384616</v>
      </c>
      <c r="D303" s="290">
        <f t="shared" ref="D303:Y303" si="114">(D$314-C$314)/13+C314</f>
        <v>110.30769230769231</v>
      </c>
      <c r="E303" s="290">
        <f t="shared" si="114"/>
        <v>140.38461538461539</v>
      </c>
      <c r="F303" s="290">
        <f t="shared" si="114"/>
        <v>23.76923076923077</v>
      </c>
      <c r="G303" s="290">
        <f t="shared" si="114"/>
        <v>8.8461538461538467</v>
      </c>
      <c r="H303" s="290">
        <f t="shared" si="114"/>
        <v>7.384615384615385</v>
      </c>
      <c r="I303" s="290">
        <f t="shared" si="114"/>
        <v>12.23076923076923</v>
      </c>
      <c r="J303" s="290">
        <f t="shared" si="114"/>
        <v>16.53846153846154</v>
      </c>
      <c r="K303" s="290">
        <f t="shared" si="114"/>
        <v>33</v>
      </c>
      <c r="L303" s="290">
        <f t="shared" si="114"/>
        <v>12</v>
      </c>
      <c r="M303" s="290">
        <f t="shared" si="114"/>
        <v>66.84615384615384</v>
      </c>
      <c r="N303" s="290">
        <f t="shared" si="114"/>
        <v>292.53846153846155</v>
      </c>
      <c r="O303" s="290">
        <f t="shared" si="114"/>
        <v>271.84615384615387</v>
      </c>
      <c r="P303" s="290">
        <f t="shared" si="114"/>
        <v>94.461538461538467</v>
      </c>
      <c r="Q303" s="290">
        <f t="shared" si="114"/>
        <v>157.07692307692307</v>
      </c>
      <c r="R303" s="290">
        <f t="shared" si="114"/>
        <v>256.61538461538464</v>
      </c>
      <c r="S303" s="290">
        <f t="shared" si="114"/>
        <v>155.84615384615384</v>
      </c>
      <c r="T303" s="290">
        <f t="shared" si="114"/>
        <v>310.61538461538464</v>
      </c>
      <c r="U303" s="290">
        <f t="shared" si="114"/>
        <v>450</v>
      </c>
      <c r="V303" s="290">
        <f t="shared" si="114"/>
        <v>308.23076923076923</v>
      </c>
      <c r="W303" s="290">
        <f t="shared" si="114"/>
        <v>331.84615384615387</v>
      </c>
      <c r="X303" s="290">
        <f t="shared" si="114"/>
        <v>287.92307692307691</v>
      </c>
      <c r="Y303" s="290">
        <f t="shared" si="114"/>
        <v>207.69230769230768</v>
      </c>
      <c r="Z303" s="252">
        <f>(Z$314-Z$314)/13+Y314</f>
        <v>120</v>
      </c>
      <c r="AA303" s="252">
        <f>(AA$314-AA$314)/13+Z314</f>
        <v>97</v>
      </c>
      <c r="AB303" s="252">
        <f>(AB$314-AB$314)/13+AA314</f>
        <v>100</v>
      </c>
      <c r="AC303" s="252">
        <f>(AC$314-AC$314)/13+AB314</f>
        <v>100</v>
      </c>
    </row>
    <row r="304" spans="1:30">
      <c r="A304" s="240" t="s">
        <v>240</v>
      </c>
      <c r="B304" s="290">
        <f t="shared" ref="B304:B313" si="115">(B$314-B$32)/13+B303</f>
        <v>204.46153846153845</v>
      </c>
      <c r="C304" s="290">
        <f>(C$314-B$314)/13+C303</f>
        <v>182.30769230769232</v>
      </c>
      <c r="D304" s="290">
        <f t="shared" ref="D304:Y313" si="116">(D$314-C$314)/13+D303</f>
        <v>113.61538461538461</v>
      </c>
      <c r="E304" s="290">
        <f t="shared" si="116"/>
        <v>130.76923076923077</v>
      </c>
      <c r="F304" s="290">
        <f t="shared" si="116"/>
        <v>22.53846153846154</v>
      </c>
      <c r="G304" s="290">
        <f t="shared" si="116"/>
        <v>8.6923076923076934</v>
      </c>
      <c r="H304" s="290">
        <f t="shared" si="116"/>
        <v>7.7692307692307701</v>
      </c>
      <c r="I304" s="290">
        <f t="shared" si="116"/>
        <v>12.46153846153846</v>
      </c>
      <c r="J304" s="290">
        <f t="shared" si="116"/>
        <v>18.07692307692308</v>
      </c>
      <c r="K304" s="290">
        <f t="shared" si="116"/>
        <v>31</v>
      </c>
      <c r="L304" s="290">
        <f t="shared" si="116"/>
        <v>15</v>
      </c>
      <c r="M304" s="290">
        <f t="shared" si="116"/>
        <v>85.692307692307679</v>
      </c>
      <c r="N304" s="290">
        <f t="shared" si="116"/>
        <v>292.07692307692309</v>
      </c>
      <c r="O304" s="290">
        <f t="shared" si="116"/>
        <v>256.69230769230774</v>
      </c>
      <c r="P304" s="290">
        <f t="shared" si="116"/>
        <v>98.923076923076934</v>
      </c>
      <c r="Q304" s="290">
        <f t="shared" si="116"/>
        <v>166.15384615384613</v>
      </c>
      <c r="R304" s="290">
        <f t="shared" si="116"/>
        <v>247.23076923076925</v>
      </c>
      <c r="S304" s="290">
        <f t="shared" si="116"/>
        <v>167.69230769230768</v>
      </c>
      <c r="T304" s="290">
        <f t="shared" si="116"/>
        <v>323.23076923076928</v>
      </c>
      <c r="U304" s="290">
        <f t="shared" si="116"/>
        <v>438</v>
      </c>
      <c r="V304" s="290">
        <f t="shared" si="116"/>
        <v>310.46153846153845</v>
      </c>
      <c r="W304" s="290">
        <f t="shared" si="116"/>
        <v>328.69230769230774</v>
      </c>
      <c r="X304" s="290">
        <f t="shared" si="116"/>
        <v>281.84615384615381</v>
      </c>
      <c r="Y304" s="290">
        <f t="shared" si="116"/>
        <v>200.38461538461536</v>
      </c>
      <c r="Z304" s="252">
        <f t="shared" ref="Z304:AC313" si="117">(Z$314-Z$32)/13+Z303</f>
        <v>118.23076923076923</v>
      </c>
      <c r="AA304" s="252">
        <f t="shared" si="117"/>
        <v>97.230769230769226</v>
      </c>
      <c r="AB304" s="252">
        <f t="shared" si="117"/>
        <v>100</v>
      </c>
      <c r="AC304" s="252">
        <f t="shared" si="117"/>
        <v>100</v>
      </c>
    </row>
    <row r="305" spans="1:30">
      <c r="A305" s="240" t="s">
        <v>241</v>
      </c>
      <c r="B305" s="290">
        <f t="shared" si="115"/>
        <v>203.69230769230768</v>
      </c>
      <c r="C305" s="290">
        <f t="shared" ref="C305:C313" si="118">(C$314-B$314)/13+C304</f>
        <v>175.46153846153848</v>
      </c>
      <c r="D305" s="290">
        <f t="shared" si="116"/>
        <v>116.92307692307692</v>
      </c>
      <c r="E305" s="290">
        <f t="shared" si="116"/>
        <v>121.15384615384616</v>
      </c>
      <c r="F305" s="290">
        <f t="shared" si="116"/>
        <v>21.30769230769231</v>
      </c>
      <c r="G305" s="290">
        <f t="shared" si="116"/>
        <v>8.5384615384615401</v>
      </c>
      <c r="H305" s="290">
        <f t="shared" si="116"/>
        <v>8.1538461538461551</v>
      </c>
      <c r="I305" s="290">
        <f t="shared" si="116"/>
        <v>12.69230769230769</v>
      </c>
      <c r="J305" s="290">
        <f t="shared" si="116"/>
        <v>19.61538461538462</v>
      </c>
      <c r="K305" s="290">
        <f t="shared" si="116"/>
        <v>29</v>
      </c>
      <c r="L305" s="290">
        <f t="shared" si="116"/>
        <v>18</v>
      </c>
      <c r="M305" s="290">
        <f t="shared" si="116"/>
        <v>104.53846153846152</v>
      </c>
      <c r="N305" s="290">
        <f t="shared" si="116"/>
        <v>291.61538461538464</v>
      </c>
      <c r="O305" s="290">
        <f t="shared" si="116"/>
        <v>241.53846153846158</v>
      </c>
      <c r="P305" s="290">
        <f t="shared" si="116"/>
        <v>103.3846153846154</v>
      </c>
      <c r="Q305" s="290">
        <f t="shared" si="116"/>
        <v>175.2307692307692</v>
      </c>
      <c r="R305" s="290">
        <f t="shared" si="116"/>
        <v>237.84615384615387</v>
      </c>
      <c r="S305" s="290">
        <f t="shared" si="116"/>
        <v>179.53846153846152</v>
      </c>
      <c r="T305" s="290">
        <f t="shared" si="116"/>
        <v>335.84615384615392</v>
      </c>
      <c r="U305" s="290">
        <f t="shared" si="116"/>
        <v>426</v>
      </c>
      <c r="V305" s="290">
        <f t="shared" si="116"/>
        <v>312.69230769230768</v>
      </c>
      <c r="W305" s="290">
        <f t="shared" si="116"/>
        <v>325.5384615384616</v>
      </c>
      <c r="X305" s="290">
        <f t="shared" si="116"/>
        <v>275.76923076923072</v>
      </c>
      <c r="Y305" s="290">
        <f t="shared" si="116"/>
        <v>193.07692307692304</v>
      </c>
      <c r="Z305" s="252">
        <f t="shared" si="117"/>
        <v>116.46153846153845</v>
      </c>
      <c r="AA305" s="252">
        <f t="shared" si="117"/>
        <v>97.461538461538453</v>
      </c>
      <c r="AB305" s="252">
        <f t="shared" si="117"/>
        <v>100</v>
      </c>
      <c r="AC305" s="252">
        <f t="shared" si="117"/>
        <v>100</v>
      </c>
    </row>
    <row r="306" spans="1:30">
      <c r="A306" s="240" t="s">
        <v>231</v>
      </c>
      <c r="B306" s="290">
        <f t="shared" si="115"/>
        <v>202.92307692307691</v>
      </c>
      <c r="C306" s="290">
        <f t="shared" si="118"/>
        <v>168.61538461538464</v>
      </c>
      <c r="D306" s="290">
        <f t="shared" si="116"/>
        <v>120.23076923076923</v>
      </c>
      <c r="E306" s="290">
        <f t="shared" si="116"/>
        <v>111.53846153846155</v>
      </c>
      <c r="F306" s="290">
        <f t="shared" si="116"/>
        <v>20.07692307692308</v>
      </c>
      <c r="G306" s="290">
        <f t="shared" si="116"/>
        <v>8.3846153846153868</v>
      </c>
      <c r="H306" s="290">
        <f t="shared" si="116"/>
        <v>8.5384615384615401</v>
      </c>
      <c r="I306" s="290">
        <f t="shared" si="116"/>
        <v>12.92307692307692</v>
      </c>
      <c r="J306" s="290">
        <f t="shared" si="116"/>
        <v>21.15384615384616</v>
      </c>
      <c r="K306" s="290">
        <f t="shared" si="116"/>
        <v>27</v>
      </c>
      <c r="L306" s="290">
        <f t="shared" si="116"/>
        <v>21</v>
      </c>
      <c r="M306" s="290">
        <f t="shared" si="116"/>
        <v>123.38461538461536</v>
      </c>
      <c r="N306" s="290">
        <f t="shared" si="116"/>
        <v>291.15384615384619</v>
      </c>
      <c r="O306" s="290">
        <f t="shared" si="116"/>
        <v>226.38461538461542</v>
      </c>
      <c r="P306" s="290">
        <f t="shared" si="116"/>
        <v>107.84615384615387</v>
      </c>
      <c r="Q306" s="290">
        <f t="shared" si="116"/>
        <v>184.30769230769226</v>
      </c>
      <c r="R306" s="290">
        <f t="shared" si="116"/>
        <v>228.46153846153848</v>
      </c>
      <c r="S306" s="290">
        <f t="shared" si="116"/>
        <v>191.38461538461536</v>
      </c>
      <c r="T306" s="290">
        <f t="shared" si="116"/>
        <v>348.46153846153857</v>
      </c>
      <c r="U306" s="290">
        <f t="shared" si="116"/>
        <v>414</v>
      </c>
      <c r="V306" s="290">
        <f t="shared" si="116"/>
        <v>314.92307692307691</v>
      </c>
      <c r="W306" s="290">
        <f t="shared" si="116"/>
        <v>322.38461538461547</v>
      </c>
      <c r="X306" s="290">
        <f t="shared" si="116"/>
        <v>269.69230769230762</v>
      </c>
      <c r="Y306" s="290">
        <f t="shared" si="116"/>
        <v>185.76923076923072</v>
      </c>
      <c r="Z306" s="252">
        <f t="shared" si="117"/>
        <v>114.69230769230768</v>
      </c>
      <c r="AA306" s="252">
        <f t="shared" si="117"/>
        <v>97.692307692307679</v>
      </c>
      <c r="AB306" s="252">
        <f t="shared" si="117"/>
        <v>100</v>
      </c>
      <c r="AC306" s="252">
        <f t="shared" si="117"/>
        <v>100</v>
      </c>
    </row>
    <row r="307" spans="1:30">
      <c r="A307" s="240" t="s">
        <v>232</v>
      </c>
      <c r="B307" s="290">
        <f t="shared" si="115"/>
        <v>202.15384615384613</v>
      </c>
      <c r="C307" s="290">
        <f t="shared" si="118"/>
        <v>161.7692307692308</v>
      </c>
      <c r="D307" s="290">
        <f t="shared" si="116"/>
        <v>123.53846153846153</v>
      </c>
      <c r="E307" s="290">
        <f t="shared" si="116"/>
        <v>101.92307692307693</v>
      </c>
      <c r="F307" s="290">
        <f t="shared" si="116"/>
        <v>18.84615384615385</v>
      </c>
      <c r="G307" s="290">
        <f t="shared" si="116"/>
        <v>8.2307692307692335</v>
      </c>
      <c r="H307" s="290">
        <f t="shared" si="116"/>
        <v>8.9230769230769251</v>
      </c>
      <c r="I307" s="290">
        <f t="shared" si="116"/>
        <v>13.15384615384615</v>
      </c>
      <c r="J307" s="290">
        <f t="shared" si="116"/>
        <v>22.692307692307701</v>
      </c>
      <c r="K307" s="290">
        <f t="shared" si="116"/>
        <v>25</v>
      </c>
      <c r="L307" s="290">
        <f t="shared" si="116"/>
        <v>24</v>
      </c>
      <c r="M307" s="290">
        <f t="shared" si="116"/>
        <v>142.2307692307692</v>
      </c>
      <c r="N307" s="290">
        <f t="shared" si="116"/>
        <v>290.69230769230774</v>
      </c>
      <c r="O307" s="290">
        <f t="shared" si="116"/>
        <v>211.23076923076925</v>
      </c>
      <c r="P307" s="290">
        <f t="shared" si="116"/>
        <v>112.30769230769234</v>
      </c>
      <c r="Q307" s="290">
        <f t="shared" si="116"/>
        <v>193.38461538461533</v>
      </c>
      <c r="R307" s="290">
        <f t="shared" si="116"/>
        <v>219.07692307692309</v>
      </c>
      <c r="S307" s="290">
        <f t="shared" si="116"/>
        <v>203.2307692307692</v>
      </c>
      <c r="T307" s="290">
        <f t="shared" si="116"/>
        <v>361.07692307692321</v>
      </c>
      <c r="U307" s="290">
        <f t="shared" si="116"/>
        <v>402</v>
      </c>
      <c r="V307" s="290">
        <f t="shared" si="116"/>
        <v>317.15384615384613</v>
      </c>
      <c r="W307" s="290">
        <f t="shared" si="116"/>
        <v>319.23076923076934</v>
      </c>
      <c r="X307" s="290">
        <f t="shared" si="116"/>
        <v>263.61538461538453</v>
      </c>
      <c r="Y307" s="290">
        <f t="shared" si="116"/>
        <v>178.4615384615384</v>
      </c>
      <c r="Z307" s="252">
        <f t="shared" si="117"/>
        <v>112.92307692307691</v>
      </c>
      <c r="AA307" s="252">
        <f t="shared" si="117"/>
        <v>97.923076923076906</v>
      </c>
      <c r="AB307" s="252">
        <f t="shared" si="117"/>
        <v>100</v>
      </c>
      <c r="AC307" s="252">
        <f t="shared" si="117"/>
        <v>100</v>
      </c>
    </row>
    <row r="308" spans="1:30">
      <c r="A308" s="240" t="s">
        <v>233</v>
      </c>
      <c r="B308" s="290">
        <f t="shared" si="115"/>
        <v>201.38461538461536</v>
      </c>
      <c r="C308" s="290">
        <f t="shared" si="118"/>
        <v>154.92307692307696</v>
      </c>
      <c r="D308" s="290">
        <f t="shared" si="116"/>
        <v>126.84615384615384</v>
      </c>
      <c r="E308" s="290">
        <f t="shared" si="116"/>
        <v>92.307692307692321</v>
      </c>
      <c r="F308" s="290">
        <f t="shared" si="116"/>
        <v>17.61538461538462</v>
      </c>
      <c r="G308" s="290">
        <f t="shared" si="116"/>
        <v>8.0769230769230802</v>
      </c>
      <c r="H308" s="290">
        <f t="shared" si="116"/>
        <v>9.3076923076923102</v>
      </c>
      <c r="I308" s="290">
        <f t="shared" si="116"/>
        <v>13.38461538461538</v>
      </c>
      <c r="J308" s="290">
        <f t="shared" si="116"/>
        <v>24.230769230769241</v>
      </c>
      <c r="K308" s="290">
        <f t="shared" si="116"/>
        <v>23</v>
      </c>
      <c r="L308" s="290">
        <f t="shared" si="116"/>
        <v>27</v>
      </c>
      <c r="M308" s="290">
        <f t="shared" si="116"/>
        <v>161.07692307692304</v>
      </c>
      <c r="N308" s="290">
        <f t="shared" si="116"/>
        <v>290.23076923076928</v>
      </c>
      <c r="O308" s="290">
        <f t="shared" si="116"/>
        <v>196.07692307692309</v>
      </c>
      <c r="P308" s="290">
        <f t="shared" si="116"/>
        <v>116.7692307692308</v>
      </c>
      <c r="Q308" s="290">
        <f t="shared" si="116"/>
        <v>202.4615384615384</v>
      </c>
      <c r="R308" s="290">
        <f t="shared" si="116"/>
        <v>209.69230769230771</v>
      </c>
      <c r="S308" s="290">
        <f t="shared" si="116"/>
        <v>215.07692307692304</v>
      </c>
      <c r="T308" s="290">
        <f t="shared" si="116"/>
        <v>373.69230769230785</v>
      </c>
      <c r="U308" s="290">
        <f t="shared" si="116"/>
        <v>390</v>
      </c>
      <c r="V308" s="290">
        <f t="shared" si="116"/>
        <v>319.38461538461536</v>
      </c>
      <c r="W308" s="290">
        <f t="shared" si="116"/>
        <v>316.07692307692321</v>
      </c>
      <c r="X308" s="290">
        <f t="shared" si="116"/>
        <v>257.53846153846143</v>
      </c>
      <c r="Y308" s="290">
        <f t="shared" si="116"/>
        <v>171.15384615384608</v>
      </c>
      <c r="Z308" s="252">
        <f t="shared" si="117"/>
        <v>111.15384615384613</v>
      </c>
      <c r="AA308" s="252">
        <f t="shared" si="117"/>
        <v>98.153846153846132</v>
      </c>
      <c r="AB308" s="252">
        <f t="shared" si="117"/>
        <v>100</v>
      </c>
      <c r="AC308" s="252">
        <f t="shared" si="117"/>
        <v>100</v>
      </c>
    </row>
    <row r="309" spans="1:30">
      <c r="A309" s="240" t="s">
        <v>234</v>
      </c>
      <c r="B309" s="290">
        <f t="shared" si="115"/>
        <v>200.61538461538458</v>
      </c>
      <c r="C309" s="290">
        <f t="shared" si="118"/>
        <v>148.07692307692312</v>
      </c>
      <c r="D309" s="290">
        <f t="shared" si="116"/>
        <v>130.15384615384616</v>
      </c>
      <c r="E309" s="290">
        <f t="shared" si="116"/>
        <v>82.692307692307708</v>
      </c>
      <c r="F309" s="290">
        <f t="shared" si="116"/>
        <v>16.38461538461539</v>
      </c>
      <c r="G309" s="290">
        <f t="shared" si="116"/>
        <v>7.923076923076926</v>
      </c>
      <c r="H309" s="290">
        <f t="shared" si="116"/>
        <v>9.6923076923076952</v>
      </c>
      <c r="I309" s="290">
        <f t="shared" si="116"/>
        <v>13.61538461538461</v>
      </c>
      <c r="J309" s="290">
        <f t="shared" si="116"/>
        <v>25.769230769230781</v>
      </c>
      <c r="K309" s="290">
        <f t="shared" si="116"/>
        <v>21</v>
      </c>
      <c r="L309" s="290">
        <f t="shared" si="116"/>
        <v>30</v>
      </c>
      <c r="M309" s="290">
        <f t="shared" si="116"/>
        <v>179.92307692307688</v>
      </c>
      <c r="N309" s="290">
        <f t="shared" si="116"/>
        <v>289.76923076923083</v>
      </c>
      <c r="O309" s="290">
        <f t="shared" si="116"/>
        <v>180.92307692307693</v>
      </c>
      <c r="P309" s="290">
        <f t="shared" si="116"/>
        <v>121.23076923076927</v>
      </c>
      <c r="Q309" s="290">
        <f t="shared" si="116"/>
        <v>211.53846153846146</v>
      </c>
      <c r="R309" s="290">
        <f t="shared" si="116"/>
        <v>200.30769230769232</v>
      </c>
      <c r="S309" s="290">
        <f t="shared" si="116"/>
        <v>226.92307692307688</v>
      </c>
      <c r="T309" s="290">
        <f t="shared" si="116"/>
        <v>386.30769230769249</v>
      </c>
      <c r="U309" s="290">
        <f t="shared" si="116"/>
        <v>378</v>
      </c>
      <c r="V309" s="290">
        <f t="shared" si="116"/>
        <v>321.61538461538458</v>
      </c>
      <c r="W309" s="290">
        <f t="shared" si="116"/>
        <v>312.92307692307708</v>
      </c>
      <c r="X309" s="290">
        <f t="shared" si="116"/>
        <v>251.46153846153837</v>
      </c>
      <c r="Y309" s="290">
        <f t="shared" si="116"/>
        <v>163.84615384615375</v>
      </c>
      <c r="Z309" s="252">
        <f t="shared" si="117"/>
        <v>109.38461538461536</v>
      </c>
      <c r="AA309" s="252">
        <f t="shared" si="117"/>
        <v>98.384615384615358</v>
      </c>
      <c r="AB309" s="252">
        <f t="shared" si="117"/>
        <v>100</v>
      </c>
      <c r="AC309" s="252">
        <f t="shared" si="117"/>
        <v>100</v>
      </c>
    </row>
    <row r="310" spans="1:30">
      <c r="A310" s="240" t="s">
        <v>46</v>
      </c>
      <c r="B310" s="290">
        <f t="shared" si="115"/>
        <v>199.84615384615381</v>
      </c>
      <c r="C310" s="290">
        <f t="shared" si="118"/>
        <v>141.23076923076928</v>
      </c>
      <c r="D310" s="290">
        <f t="shared" si="116"/>
        <v>133.46153846153848</v>
      </c>
      <c r="E310" s="290">
        <f t="shared" si="116"/>
        <v>73.076923076923094</v>
      </c>
      <c r="F310" s="290">
        <f t="shared" si="116"/>
        <v>15.15384615384616</v>
      </c>
      <c r="G310" s="290">
        <f t="shared" si="116"/>
        <v>7.7692307692307718</v>
      </c>
      <c r="H310" s="290">
        <f t="shared" si="116"/>
        <v>10.07692307692308</v>
      </c>
      <c r="I310" s="290">
        <f t="shared" si="116"/>
        <v>13.84615384615384</v>
      </c>
      <c r="J310" s="290">
        <f t="shared" si="116"/>
        <v>27.307692307692321</v>
      </c>
      <c r="K310" s="290">
        <f t="shared" si="116"/>
        <v>19</v>
      </c>
      <c r="L310" s="290">
        <f t="shared" si="116"/>
        <v>33</v>
      </c>
      <c r="M310" s="290">
        <f t="shared" si="116"/>
        <v>198.76923076923072</v>
      </c>
      <c r="N310" s="290">
        <f t="shared" si="116"/>
        <v>289.30769230769238</v>
      </c>
      <c r="O310" s="290">
        <f t="shared" si="116"/>
        <v>165.76923076923077</v>
      </c>
      <c r="P310" s="290">
        <f t="shared" si="116"/>
        <v>125.69230769230774</v>
      </c>
      <c r="Q310" s="290">
        <f t="shared" si="116"/>
        <v>220.61538461538453</v>
      </c>
      <c r="R310" s="290">
        <f t="shared" si="116"/>
        <v>190.92307692307693</v>
      </c>
      <c r="S310" s="290">
        <f t="shared" si="116"/>
        <v>238.76923076923072</v>
      </c>
      <c r="T310" s="290">
        <f t="shared" si="116"/>
        <v>398.92307692307713</v>
      </c>
      <c r="U310" s="290">
        <f t="shared" si="116"/>
        <v>366</v>
      </c>
      <c r="V310" s="290">
        <f t="shared" si="116"/>
        <v>323.84615384615381</v>
      </c>
      <c r="W310" s="290">
        <f t="shared" si="116"/>
        <v>309.76923076923094</v>
      </c>
      <c r="X310" s="290">
        <f t="shared" si="116"/>
        <v>245.3846153846153</v>
      </c>
      <c r="Y310" s="290">
        <f t="shared" si="116"/>
        <v>156.53846153846143</v>
      </c>
      <c r="Z310" s="252">
        <f t="shared" si="117"/>
        <v>107.61538461538458</v>
      </c>
      <c r="AA310" s="252">
        <f t="shared" si="117"/>
        <v>98.615384615384585</v>
      </c>
      <c r="AB310" s="252">
        <f t="shared" si="117"/>
        <v>100</v>
      </c>
      <c r="AC310" s="252">
        <f t="shared" si="117"/>
        <v>100</v>
      </c>
    </row>
    <row r="311" spans="1:30">
      <c r="A311" s="240" t="s">
        <v>235</v>
      </c>
      <c r="B311" s="290">
        <f t="shared" si="115"/>
        <v>199.07692307692304</v>
      </c>
      <c r="C311" s="290">
        <f t="shared" si="118"/>
        <v>134.38461538461544</v>
      </c>
      <c r="D311" s="290">
        <f t="shared" si="116"/>
        <v>136.7692307692308</v>
      </c>
      <c r="E311" s="290">
        <f t="shared" si="116"/>
        <v>63.461538461538481</v>
      </c>
      <c r="F311" s="290">
        <f t="shared" si="116"/>
        <v>13.92307692307693</v>
      </c>
      <c r="G311" s="290">
        <f t="shared" si="116"/>
        <v>7.6153846153846176</v>
      </c>
      <c r="H311" s="290">
        <f t="shared" si="116"/>
        <v>10.461538461538465</v>
      </c>
      <c r="I311" s="290">
        <f t="shared" si="116"/>
        <v>14.07692307692307</v>
      </c>
      <c r="J311" s="290">
        <f t="shared" si="116"/>
        <v>28.846153846153861</v>
      </c>
      <c r="K311" s="290">
        <f t="shared" si="116"/>
        <v>17</v>
      </c>
      <c r="L311" s="290">
        <f t="shared" si="116"/>
        <v>36</v>
      </c>
      <c r="M311" s="290">
        <f t="shared" si="116"/>
        <v>217.61538461538456</v>
      </c>
      <c r="N311" s="290">
        <f t="shared" si="116"/>
        <v>288.84615384615392</v>
      </c>
      <c r="O311" s="290">
        <f t="shared" si="116"/>
        <v>150.61538461538461</v>
      </c>
      <c r="P311" s="290">
        <f t="shared" si="116"/>
        <v>130.15384615384619</v>
      </c>
      <c r="Q311" s="290">
        <f t="shared" si="116"/>
        <v>229.69230769230759</v>
      </c>
      <c r="R311" s="290">
        <f t="shared" si="116"/>
        <v>181.53846153846155</v>
      </c>
      <c r="S311" s="290">
        <f t="shared" si="116"/>
        <v>250.61538461538456</v>
      </c>
      <c r="T311" s="290">
        <f t="shared" si="116"/>
        <v>411.53846153846177</v>
      </c>
      <c r="U311" s="290">
        <f t="shared" si="116"/>
        <v>354</v>
      </c>
      <c r="V311" s="290">
        <f t="shared" si="116"/>
        <v>326.07692307692304</v>
      </c>
      <c r="W311" s="290">
        <f t="shared" si="116"/>
        <v>306.61538461538481</v>
      </c>
      <c r="X311" s="290">
        <f t="shared" si="116"/>
        <v>239.30769230769224</v>
      </c>
      <c r="Y311" s="290">
        <f t="shared" si="116"/>
        <v>149.23076923076911</v>
      </c>
      <c r="Z311" s="252">
        <f t="shared" si="117"/>
        <v>105.84615384615381</v>
      </c>
      <c r="AA311" s="252">
        <f t="shared" si="117"/>
        <v>98.846153846153811</v>
      </c>
      <c r="AB311" s="252">
        <f t="shared" si="117"/>
        <v>100</v>
      </c>
      <c r="AC311" s="252">
        <f t="shared" si="117"/>
        <v>100</v>
      </c>
    </row>
    <row r="312" spans="1:30">
      <c r="A312" s="240" t="s">
        <v>236</v>
      </c>
      <c r="B312" s="290">
        <f t="shared" si="115"/>
        <v>198.30769230769226</v>
      </c>
      <c r="C312" s="290">
        <f t="shared" si="118"/>
        <v>127.5384615384616</v>
      </c>
      <c r="D312" s="290">
        <f t="shared" si="116"/>
        <v>140.07692307692312</v>
      </c>
      <c r="E312" s="290">
        <f t="shared" si="116"/>
        <v>53.846153846153868</v>
      </c>
      <c r="F312" s="290">
        <f t="shared" si="116"/>
        <v>12.692307692307701</v>
      </c>
      <c r="G312" s="290">
        <f t="shared" si="116"/>
        <v>7.4615384615384635</v>
      </c>
      <c r="H312" s="290">
        <f t="shared" si="116"/>
        <v>10.84615384615385</v>
      </c>
      <c r="I312" s="290">
        <f t="shared" si="116"/>
        <v>14.307692307692299</v>
      </c>
      <c r="J312" s="290">
        <f t="shared" si="116"/>
        <v>30.384615384615401</v>
      </c>
      <c r="K312" s="290">
        <f t="shared" si="116"/>
        <v>15</v>
      </c>
      <c r="L312" s="290">
        <f t="shared" si="116"/>
        <v>39</v>
      </c>
      <c r="M312" s="290">
        <f t="shared" si="116"/>
        <v>236.4615384615384</v>
      </c>
      <c r="N312" s="290">
        <f t="shared" si="116"/>
        <v>288.38461538461547</v>
      </c>
      <c r="O312" s="290">
        <f t="shared" si="116"/>
        <v>135.46153846153845</v>
      </c>
      <c r="P312" s="290">
        <f t="shared" si="116"/>
        <v>134.61538461538464</v>
      </c>
      <c r="Q312" s="290">
        <f t="shared" si="116"/>
        <v>238.76923076923066</v>
      </c>
      <c r="R312" s="290">
        <f t="shared" si="116"/>
        <v>172.15384615384616</v>
      </c>
      <c r="S312" s="290">
        <f t="shared" si="116"/>
        <v>262.4615384615384</v>
      </c>
      <c r="T312" s="290">
        <f t="shared" si="116"/>
        <v>424.15384615384642</v>
      </c>
      <c r="U312" s="290">
        <f t="shared" si="116"/>
        <v>342</v>
      </c>
      <c r="V312" s="290">
        <f t="shared" si="116"/>
        <v>328.30769230769226</v>
      </c>
      <c r="W312" s="290">
        <f t="shared" si="116"/>
        <v>303.46153846153868</v>
      </c>
      <c r="X312" s="290">
        <f t="shared" si="116"/>
        <v>233.23076923076917</v>
      </c>
      <c r="Y312" s="290">
        <f t="shared" si="116"/>
        <v>141.92307692307679</v>
      </c>
      <c r="Z312" s="252">
        <f t="shared" si="117"/>
        <v>104.07692307692304</v>
      </c>
      <c r="AA312" s="252">
        <f t="shared" si="117"/>
        <v>99.076923076923038</v>
      </c>
      <c r="AB312" s="252">
        <f t="shared" si="117"/>
        <v>100</v>
      </c>
      <c r="AC312" s="252">
        <f t="shared" si="117"/>
        <v>100</v>
      </c>
    </row>
    <row r="313" spans="1:30">
      <c r="A313" s="240" t="s">
        <v>237</v>
      </c>
      <c r="B313" s="290">
        <f t="shared" si="115"/>
        <v>197.53846153846149</v>
      </c>
      <c r="C313" s="290">
        <f t="shared" si="118"/>
        <v>120.69230769230776</v>
      </c>
      <c r="D313" s="290">
        <f t="shared" si="116"/>
        <v>143.38461538461544</v>
      </c>
      <c r="E313" s="290">
        <f t="shared" si="116"/>
        <v>44.230769230769255</v>
      </c>
      <c r="F313" s="290">
        <f t="shared" si="116"/>
        <v>11.461538461538471</v>
      </c>
      <c r="G313" s="290">
        <f t="shared" si="116"/>
        <v>7.3076923076923093</v>
      </c>
      <c r="H313" s="290">
        <f t="shared" si="116"/>
        <v>11.230769230769235</v>
      </c>
      <c r="I313" s="290">
        <f t="shared" si="116"/>
        <v>14.538461538461529</v>
      </c>
      <c r="J313" s="290">
        <f t="shared" si="116"/>
        <v>31.923076923076941</v>
      </c>
      <c r="K313" s="290">
        <f t="shared" si="116"/>
        <v>13</v>
      </c>
      <c r="L313" s="290">
        <f t="shared" si="116"/>
        <v>42</v>
      </c>
      <c r="M313" s="290">
        <f t="shared" si="116"/>
        <v>255.30769230769224</v>
      </c>
      <c r="N313" s="290">
        <f t="shared" si="116"/>
        <v>287.92307692307702</v>
      </c>
      <c r="O313" s="290">
        <f t="shared" si="116"/>
        <v>120.30769230769229</v>
      </c>
      <c r="P313" s="290">
        <f t="shared" si="116"/>
        <v>139.07692307692309</v>
      </c>
      <c r="Q313" s="290">
        <f t="shared" si="116"/>
        <v>247.84615384615373</v>
      </c>
      <c r="R313" s="290">
        <f t="shared" si="116"/>
        <v>162.76923076923077</v>
      </c>
      <c r="S313" s="290">
        <f t="shared" si="116"/>
        <v>274.30769230769226</v>
      </c>
      <c r="T313" s="290">
        <f t="shared" si="116"/>
        <v>436.76923076923106</v>
      </c>
      <c r="U313" s="290">
        <f t="shared" si="116"/>
        <v>330</v>
      </c>
      <c r="V313" s="290">
        <f t="shared" si="116"/>
        <v>330.53846153846149</v>
      </c>
      <c r="W313" s="290">
        <f t="shared" si="116"/>
        <v>300.30769230769255</v>
      </c>
      <c r="X313" s="290">
        <f t="shared" si="116"/>
        <v>227.1538461538461</v>
      </c>
      <c r="Y313" s="290">
        <f t="shared" si="116"/>
        <v>134.61538461538447</v>
      </c>
      <c r="Z313" s="252">
        <f t="shared" si="117"/>
        <v>102.30769230769226</v>
      </c>
      <c r="AA313" s="252">
        <f t="shared" si="117"/>
        <v>99.307692307692264</v>
      </c>
      <c r="AB313" s="252">
        <f t="shared" si="117"/>
        <v>100</v>
      </c>
      <c r="AC313" s="252">
        <f t="shared" si="117"/>
        <v>100</v>
      </c>
    </row>
    <row r="314" spans="1:30" ht="15.75" thickBot="1">
      <c r="A314" s="240" t="s">
        <v>238</v>
      </c>
      <c r="B314" s="146">
        <f>B42</f>
        <v>196</v>
      </c>
      <c r="C314" s="146">
        <f t="shared" ref="C314:AC314" si="119">C42</f>
        <v>107</v>
      </c>
      <c r="D314" s="146">
        <f t="shared" si="119"/>
        <v>150</v>
      </c>
      <c r="E314" s="146">
        <f t="shared" si="119"/>
        <v>25</v>
      </c>
      <c r="F314" s="146">
        <f t="shared" si="119"/>
        <v>9</v>
      </c>
      <c r="G314" s="146">
        <f t="shared" si="119"/>
        <v>7</v>
      </c>
      <c r="H314" s="146">
        <f t="shared" si="119"/>
        <v>12</v>
      </c>
      <c r="I314" s="146">
        <f t="shared" si="119"/>
        <v>15</v>
      </c>
      <c r="J314" s="146">
        <f t="shared" si="119"/>
        <v>35</v>
      </c>
      <c r="K314" s="146">
        <f t="shared" si="119"/>
        <v>9</v>
      </c>
      <c r="L314" s="146">
        <f t="shared" si="119"/>
        <v>48</v>
      </c>
      <c r="M314" s="146">
        <f t="shared" si="119"/>
        <v>293</v>
      </c>
      <c r="N314" s="146">
        <f t="shared" si="119"/>
        <v>287</v>
      </c>
      <c r="O314" s="146">
        <f t="shared" si="119"/>
        <v>90</v>
      </c>
      <c r="P314" s="146">
        <f t="shared" si="119"/>
        <v>148</v>
      </c>
      <c r="Q314" s="146">
        <f t="shared" si="119"/>
        <v>266</v>
      </c>
      <c r="R314" s="146">
        <f t="shared" si="119"/>
        <v>144</v>
      </c>
      <c r="S314" s="146">
        <f t="shared" si="119"/>
        <v>298</v>
      </c>
      <c r="T314" s="146">
        <f t="shared" si="119"/>
        <v>462</v>
      </c>
      <c r="U314" s="146">
        <f t="shared" si="119"/>
        <v>306</v>
      </c>
      <c r="V314" s="146">
        <f t="shared" si="119"/>
        <v>335</v>
      </c>
      <c r="W314" s="146">
        <f t="shared" si="119"/>
        <v>294</v>
      </c>
      <c r="X314" s="146">
        <f t="shared" si="119"/>
        <v>215</v>
      </c>
      <c r="Y314" s="146">
        <f t="shared" si="119"/>
        <v>120</v>
      </c>
      <c r="Z314" s="253">
        <f t="shared" si="119"/>
        <v>97</v>
      </c>
      <c r="AA314" s="253">
        <f t="shared" si="119"/>
        <v>100</v>
      </c>
      <c r="AB314" s="253">
        <f t="shared" si="119"/>
        <v>100</v>
      </c>
      <c r="AC314" s="253">
        <f t="shared" si="119"/>
        <v>100</v>
      </c>
    </row>
    <row r="315" spans="1:30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</row>
    <row r="316" spans="1:30" ht="15.75" thickBot="1">
      <c r="A316" s="240" t="s">
        <v>270</v>
      </c>
    </row>
    <row r="317" spans="1:30" ht="15.75" thickBot="1">
      <c r="A317" s="236"/>
      <c r="B317" s="237" t="str">
        <f>B$2</f>
        <v xml:space="preserve">93/94 </v>
      </c>
      <c r="C317" s="237" t="str">
        <f t="shared" ref="C317:AC317" si="120">C$2</f>
        <v xml:space="preserve">94/95 </v>
      </c>
      <c r="D317" s="237" t="str">
        <f t="shared" si="120"/>
        <v xml:space="preserve">95/96 </v>
      </c>
      <c r="E317" s="237" t="str">
        <f t="shared" si="120"/>
        <v xml:space="preserve">96/97 </v>
      </c>
      <c r="F317" s="237" t="str">
        <f t="shared" si="120"/>
        <v xml:space="preserve">97/98 </v>
      </c>
      <c r="G317" s="237" t="str">
        <f t="shared" si="120"/>
        <v xml:space="preserve">98/99 </v>
      </c>
      <c r="H317" s="237" t="str">
        <f t="shared" si="120"/>
        <v xml:space="preserve">99/00 </v>
      </c>
      <c r="I317" s="237" t="str">
        <f t="shared" si="120"/>
        <v xml:space="preserve">00/01 </v>
      </c>
      <c r="J317" s="237" t="str">
        <f t="shared" si="120"/>
        <v xml:space="preserve">01/02 </v>
      </c>
      <c r="K317" s="237" t="str">
        <f t="shared" si="120"/>
        <v xml:space="preserve">02/03 </v>
      </c>
      <c r="L317" s="237" t="str">
        <f t="shared" si="120"/>
        <v xml:space="preserve">03/04 </v>
      </c>
      <c r="M317" s="237" t="str">
        <f t="shared" si="120"/>
        <v xml:space="preserve">04/05 </v>
      </c>
      <c r="N317" s="237" t="str">
        <f t="shared" si="120"/>
        <v xml:space="preserve">05/06 </v>
      </c>
      <c r="O317" s="237" t="str">
        <f t="shared" si="120"/>
        <v xml:space="preserve">06/07 </v>
      </c>
      <c r="P317" s="237" t="str">
        <f t="shared" si="120"/>
        <v xml:space="preserve">07/08 </v>
      </c>
      <c r="Q317" s="237" t="str">
        <f t="shared" si="120"/>
        <v xml:space="preserve">08/09 </v>
      </c>
      <c r="R317" s="237" t="str">
        <f t="shared" si="120"/>
        <v xml:space="preserve">09/10 </v>
      </c>
      <c r="S317" s="237" t="str">
        <f t="shared" si="120"/>
        <v xml:space="preserve">10/11 </v>
      </c>
      <c r="T317" s="237" t="str">
        <f t="shared" si="120"/>
        <v xml:space="preserve">11/12 </v>
      </c>
      <c r="U317" s="237" t="str">
        <f t="shared" si="120"/>
        <v xml:space="preserve">12/13 </v>
      </c>
      <c r="V317" s="237" t="str">
        <f t="shared" si="120"/>
        <v xml:space="preserve">13/14 </v>
      </c>
      <c r="W317" s="237" t="str">
        <f t="shared" si="120"/>
        <v xml:space="preserve">14/15 </v>
      </c>
      <c r="X317" s="237" t="str">
        <f t="shared" si="120"/>
        <v xml:space="preserve">15/16 </v>
      </c>
      <c r="Y317" s="237" t="str">
        <f t="shared" si="120"/>
        <v xml:space="preserve">16/17 </v>
      </c>
      <c r="Z317" s="237" t="str">
        <f t="shared" si="120"/>
        <v xml:space="preserve">17/18 </v>
      </c>
      <c r="AA317" s="237" t="str">
        <f t="shared" si="120"/>
        <v xml:space="preserve">18/19 </v>
      </c>
      <c r="AB317" s="237" t="str">
        <f t="shared" si="120"/>
        <v xml:space="preserve">19/20 </v>
      </c>
      <c r="AC317" s="237" t="str">
        <f t="shared" si="120"/>
        <v xml:space="preserve">20/21 </v>
      </c>
      <c r="AD317" s="269"/>
    </row>
    <row r="318" spans="1:30">
      <c r="A318" s="240" t="s">
        <v>239</v>
      </c>
    </row>
    <row r="319" spans="1:30">
      <c r="A319" s="240" t="s">
        <v>240</v>
      </c>
    </row>
    <row r="320" spans="1:30">
      <c r="A320" s="240" t="s">
        <v>241</v>
      </c>
    </row>
    <row r="321" spans="1:29">
      <c r="A321" s="240" t="s">
        <v>231</v>
      </c>
    </row>
    <row r="322" spans="1:29">
      <c r="A322" s="240" t="s">
        <v>232</v>
      </c>
    </row>
    <row r="323" spans="1:29">
      <c r="A323" s="240" t="s">
        <v>233</v>
      </c>
    </row>
    <row r="324" spans="1:29">
      <c r="A324" s="240" t="s">
        <v>234</v>
      </c>
    </row>
    <row r="325" spans="1:29">
      <c r="A325" s="240" t="s">
        <v>46</v>
      </c>
    </row>
    <row r="326" spans="1:29">
      <c r="A326" s="240" t="s">
        <v>235</v>
      </c>
    </row>
    <row r="327" spans="1:29">
      <c r="A327" s="240" t="s">
        <v>236</v>
      </c>
    </row>
    <row r="328" spans="1:29">
      <c r="A328" s="240" t="s">
        <v>237</v>
      </c>
    </row>
    <row r="329" spans="1:29">
      <c r="A329" s="240" t="s">
        <v>238</v>
      </c>
    </row>
    <row r="330" spans="1:29" ht="15.75" thickBot="1">
      <c r="A330" s="240" t="s">
        <v>255</v>
      </c>
    </row>
    <row r="331" spans="1:29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DBB3-4C67-4679-9BAD-C4F8E24414E6}">
  <sheetPr>
    <pageSetUpPr fitToPage="1"/>
  </sheetPr>
  <dimension ref="A1:BV362"/>
  <sheetViews>
    <sheetView zoomScale="115" zoomScaleNormal="115" workbookViewId="0">
      <pane xSplit="1" ySplit="2" topLeftCell="R21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defaultColWidth="8.85546875" defaultRowHeight="15"/>
  <cols>
    <col min="1" max="1" width="32" customWidth="1"/>
    <col min="2" max="28" width="8.85546875" customWidth="1"/>
    <col min="30" max="33" width="8.85546875" customWidth="1"/>
    <col min="34" max="34" width="11" style="226" customWidth="1"/>
    <col min="35" max="35" width="9.42578125" style="226" bestFit="1" customWidth="1"/>
    <col min="36" max="36" width="10.42578125" style="226" bestFit="1" customWidth="1"/>
    <col min="37" max="37" width="8.85546875" style="226" customWidth="1"/>
    <col min="38" max="39" width="8.85546875" customWidth="1"/>
    <col min="40" max="40" width="11" customWidth="1"/>
    <col min="41" max="41" width="8.85546875" customWidth="1"/>
    <col min="42" max="42" width="9.140625" customWidth="1"/>
    <col min="43" max="44" width="8.85546875" customWidth="1"/>
    <col min="45" max="45" width="10" customWidth="1"/>
    <col min="46" max="60" width="8.85546875" customWidth="1"/>
    <col min="65" max="88" width="8.85546875" customWidth="1"/>
    <col min="93" max="116" width="0" hidden="1" customWidth="1"/>
    <col min="121" max="144" width="0" hidden="1" customWidth="1"/>
  </cols>
  <sheetData>
    <row r="1" spans="1:74" ht="18.75" thickBot="1">
      <c r="A1" s="199" t="s">
        <v>322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440"/>
      <c r="AL1" t="s">
        <v>207</v>
      </c>
      <c r="AN1" s="300"/>
      <c r="AO1" s="301" t="s">
        <v>323</v>
      </c>
      <c r="AP1" s="300"/>
      <c r="AQ1" s="300"/>
      <c r="AR1" s="300"/>
      <c r="AS1" s="302" t="s">
        <v>324</v>
      </c>
      <c r="AU1" s="300"/>
      <c r="AV1" s="303" t="s">
        <v>325</v>
      </c>
      <c r="AX1" s="303" t="s">
        <v>326</v>
      </c>
      <c r="AY1" s="300"/>
      <c r="AZ1" s="300"/>
      <c r="BA1" s="300"/>
    </row>
    <row r="2" spans="1:74" ht="15.75" thickBot="1">
      <c r="A2" s="304"/>
      <c r="B2" s="305" t="s">
        <v>272</v>
      </c>
      <c r="C2" s="305" t="s">
        <v>273</v>
      </c>
      <c r="D2" s="305" t="s">
        <v>274</v>
      </c>
      <c r="E2" s="305" t="s">
        <v>275</v>
      </c>
      <c r="F2" s="305" t="s">
        <v>276</v>
      </c>
      <c r="G2" s="305" t="s">
        <v>277</v>
      </c>
      <c r="H2" s="305" t="s">
        <v>278</v>
      </c>
      <c r="I2" s="305" t="s">
        <v>279</v>
      </c>
      <c r="J2" s="305" t="s">
        <v>280</v>
      </c>
      <c r="K2" s="305" t="s">
        <v>281</v>
      </c>
      <c r="L2" s="305" t="s">
        <v>282</v>
      </c>
      <c r="M2" s="305" t="s">
        <v>283</v>
      </c>
      <c r="N2" s="305" t="s">
        <v>284</v>
      </c>
      <c r="O2" s="305" t="s">
        <v>285</v>
      </c>
      <c r="P2" s="305" t="s">
        <v>286</v>
      </c>
      <c r="Q2" s="305" t="s">
        <v>287</v>
      </c>
      <c r="R2" s="305" t="s">
        <v>288</v>
      </c>
      <c r="S2" s="305" t="s">
        <v>289</v>
      </c>
      <c r="T2" s="305" t="s">
        <v>290</v>
      </c>
      <c r="U2" s="305" t="s">
        <v>291</v>
      </c>
      <c r="V2" s="305" t="s">
        <v>292</v>
      </c>
      <c r="W2" s="305" t="s">
        <v>293</v>
      </c>
      <c r="X2" s="305" t="s">
        <v>294</v>
      </c>
      <c r="Y2" s="305" t="s">
        <v>295</v>
      </c>
      <c r="Z2" s="305" t="s">
        <v>296</v>
      </c>
      <c r="AA2" s="305" t="s">
        <v>297</v>
      </c>
      <c r="AB2" s="305" t="s">
        <v>298</v>
      </c>
      <c r="AC2" s="305" t="s">
        <v>299</v>
      </c>
      <c r="AD2" s="305" t="s">
        <v>300</v>
      </c>
      <c r="AE2" s="305" t="s">
        <v>301</v>
      </c>
      <c r="AF2" s="306"/>
      <c r="AH2" s="201" t="s">
        <v>327</v>
      </c>
      <c r="AI2" s="201" t="s">
        <v>328</v>
      </c>
      <c r="AJ2" s="201" t="s">
        <v>329</v>
      </c>
      <c r="AK2" s="201" t="s">
        <v>209</v>
      </c>
      <c r="AL2" s="205">
        <v>44656</v>
      </c>
      <c r="AM2" s="205"/>
      <c r="AN2" s="307">
        <v>44547</v>
      </c>
      <c r="AO2" s="308" t="s">
        <v>330</v>
      </c>
      <c r="AP2" s="302"/>
      <c r="AR2" s="302"/>
      <c r="AV2" s="302"/>
      <c r="AX2" s="302"/>
      <c r="AY2" s="302"/>
      <c r="AZ2" s="302"/>
      <c r="BA2" s="302"/>
    </row>
    <row r="3" spans="1:74" ht="17.25" thickBot="1">
      <c r="A3" s="309" t="s">
        <v>331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116"/>
      <c r="AE3" s="116"/>
      <c r="AF3" s="116"/>
      <c r="AN3" s="265"/>
      <c r="AO3" s="311">
        <v>1990</v>
      </c>
      <c r="AP3" s="311">
        <v>1991</v>
      </c>
      <c r="AQ3" s="311">
        <v>1992</v>
      </c>
      <c r="AR3" s="311">
        <v>1993</v>
      </c>
      <c r="AS3" s="311">
        <v>1994</v>
      </c>
      <c r="AT3" s="311">
        <v>1995</v>
      </c>
      <c r="AU3" s="311">
        <v>1996</v>
      </c>
      <c r="AV3" s="311">
        <v>1997</v>
      </c>
      <c r="AW3" s="311">
        <v>1998</v>
      </c>
      <c r="AX3" s="311">
        <v>1999</v>
      </c>
      <c r="AY3" s="311">
        <v>2000</v>
      </c>
      <c r="AZ3" s="311">
        <v>2001</v>
      </c>
      <c r="BA3" s="311">
        <v>2002</v>
      </c>
      <c r="BB3" s="311">
        <v>2003</v>
      </c>
      <c r="BC3" s="311">
        <v>2004</v>
      </c>
      <c r="BD3" s="311">
        <v>2005</v>
      </c>
      <c r="BE3" s="311">
        <v>2006</v>
      </c>
      <c r="BF3" s="311">
        <v>2007</v>
      </c>
      <c r="BG3" s="311">
        <v>2008</v>
      </c>
      <c r="BH3" s="311">
        <v>2009</v>
      </c>
      <c r="BI3" s="311">
        <v>2010</v>
      </c>
      <c r="BJ3" s="311">
        <v>2011</v>
      </c>
      <c r="BK3" s="311">
        <v>2012</v>
      </c>
      <c r="BL3" s="311">
        <v>2013</v>
      </c>
      <c r="BM3" s="311">
        <v>2014</v>
      </c>
      <c r="BN3" s="311">
        <v>2015</v>
      </c>
      <c r="BO3" s="311">
        <v>2016</v>
      </c>
      <c r="BP3" s="311">
        <v>2017</v>
      </c>
      <c r="BQ3" s="311">
        <v>2018</v>
      </c>
      <c r="BR3" s="311">
        <v>2019</v>
      </c>
      <c r="BS3" s="311">
        <v>2020</v>
      </c>
      <c r="BT3" s="311">
        <v>2021</v>
      </c>
      <c r="BU3" s="311">
        <v>2022</v>
      </c>
      <c r="BV3" s="311">
        <v>2023</v>
      </c>
    </row>
    <row r="4" spans="1:74" ht="15.75">
      <c r="A4" s="309" t="s">
        <v>213</v>
      </c>
      <c r="B4" s="312">
        <f>AR4</f>
        <v>1637</v>
      </c>
      <c r="C4" s="312">
        <f t="shared" ref="C4:R5" si="0">AS4</f>
        <v>1784</v>
      </c>
      <c r="D4" s="312">
        <f t="shared" si="0"/>
        <v>2020</v>
      </c>
      <c r="E4" s="312">
        <f t="shared" si="0"/>
        <v>2107</v>
      </c>
      <c r="F4" s="312">
        <f t="shared" si="0"/>
        <v>2065</v>
      </c>
      <c r="G4" s="312">
        <f t="shared" si="0"/>
        <v>2531</v>
      </c>
      <c r="H4" s="312">
        <f t="shared" si="0"/>
        <v>2889</v>
      </c>
      <c r="I4" s="312">
        <f t="shared" si="0"/>
        <v>2943</v>
      </c>
      <c r="J4" s="312">
        <f t="shared" si="0"/>
        <v>2502</v>
      </c>
      <c r="K4" s="312">
        <f t="shared" si="0"/>
        <v>2834</v>
      </c>
      <c r="L4" s="312">
        <f t="shared" si="0"/>
        <v>4001</v>
      </c>
      <c r="M4" s="312">
        <f t="shared" si="0"/>
        <v>3521</v>
      </c>
      <c r="N4" s="312">
        <f t="shared" si="0"/>
        <v>3743</v>
      </c>
      <c r="O4" s="312">
        <f t="shared" si="0"/>
        <v>3964</v>
      </c>
      <c r="P4" s="312">
        <f t="shared" si="0"/>
        <v>3604</v>
      </c>
      <c r="Q4" s="312">
        <f t="shared" si="0"/>
        <v>4306</v>
      </c>
      <c r="R4" s="312">
        <f t="shared" si="0"/>
        <v>4232</v>
      </c>
      <c r="S4" s="312">
        <f t="shared" ref="S4:AF5" si="1">BI4</f>
        <v>4572</v>
      </c>
      <c r="T4" s="312">
        <f t="shared" si="1"/>
        <v>4739</v>
      </c>
      <c r="U4" s="312">
        <f t="shared" si="1"/>
        <v>5194</v>
      </c>
      <c r="V4" s="312">
        <f t="shared" si="1"/>
        <v>5051</v>
      </c>
      <c r="W4" s="312">
        <f t="shared" si="1"/>
        <v>5257</v>
      </c>
      <c r="X4" s="313">
        <f t="shared" si="1"/>
        <v>5105</v>
      </c>
      <c r="Y4" s="313">
        <f t="shared" si="1"/>
        <v>6073</v>
      </c>
      <c r="Z4" s="313">
        <f t="shared" si="1"/>
        <v>6034</v>
      </c>
      <c r="AA4" s="313">
        <f t="shared" si="1"/>
        <v>6117</v>
      </c>
      <c r="AB4" s="313">
        <f t="shared" si="1"/>
        <v>5928</v>
      </c>
      <c r="AC4" s="313">
        <f t="shared" si="1"/>
        <v>6457</v>
      </c>
      <c r="AD4" s="314">
        <f t="shared" si="1"/>
        <v>6509.7</v>
      </c>
      <c r="AE4" s="314">
        <f>AE5/0.995</f>
        <v>4718.5929648241208</v>
      </c>
      <c r="AF4" s="314">
        <f t="shared" si="1"/>
        <v>6900</v>
      </c>
      <c r="AJ4" s="201"/>
      <c r="AK4" s="201"/>
      <c r="AN4" s="315" t="s">
        <v>213</v>
      </c>
      <c r="AO4" s="146">
        <v>1636</v>
      </c>
      <c r="AP4" s="146">
        <v>1601</v>
      </c>
      <c r="AQ4" s="146">
        <v>1641</v>
      </c>
      <c r="AR4" s="146">
        <v>1637</v>
      </c>
      <c r="AS4" s="146">
        <v>1784</v>
      </c>
      <c r="AT4" s="146">
        <v>2020</v>
      </c>
      <c r="AU4" s="146">
        <v>2107</v>
      </c>
      <c r="AV4" s="146">
        <v>2065</v>
      </c>
      <c r="AW4" s="146">
        <v>2531</v>
      </c>
      <c r="AX4" s="146">
        <v>2889</v>
      </c>
      <c r="AY4" s="146">
        <v>2943</v>
      </c>
      <c r="AZ4" s="146">
        <v>2502</v>
      </c>
      <c r="BA4" s="146">
        <v>2834</v>
      </c>
      <c r="BB4" s="146">
        <v>4001</v>
      </c>
      <c r="BC4" s="146">
        <v>3521</v>
      </c>
      <c r="BD4" s="146">
        <v>3743</v>
      </c>
      <c r="BE4" s="146">
        <v>3964</v>
      </c>
      <c r="BF4" s="146">
        <v>3604</v>
      </c>
      <c r="BG4" s="146">
        <v>4306</v>
      </c>
      <c r="BH4" s="146">
        <v>4232</v>
      </c>
      <c r="BI4" s="146">
        <v>4572</v>
      </c>
      <c r="BJ4" s="146">
        <v>4739</v>
      </c>
      <c r="BK4" s="146">
        <v>5194</v>
      </c>
      <c r="BL4" s="146">
        <v>5051</v>
      </c>
      <c r="BM4" s="146">
        <v>5257</v>
      </c>
      <c r="BN4" s="146">
        <v>5105</v>
      </c>
      <c r="BO4" s="146">
        <v>6073</v>
      </c>
      <c r="BP4" s="146">
        <v>6034</v>
      </c>
      <c r="BQ4" s="146">
        <v>6117</v>
      </c>
      <c r="BR4" s="146">
        <v>5928</v>
      </c>
      <c r="BS4" s="146">
        <v>6457</v>
      </c>
      <c r="BT4" s="146">
        <v>6509.7</v>
      </c>
      <c r="BU4" s="253">
        <f>MROUND(FORECAST(BU3,AS4:BT4,AS3:BT3),50)</f>
        <v>6700</v>
      </c>
      <c r="BV4" s="253">
        <f>MROUND(FORECAST(BV3,AT4:BU4,AT3:BU3),50)</f>
        <v>6900</v>
      </c>
    </row>
    <row r="5" spans="1:74" ht="15.75">
      <c r="A5" s="309" t="s">
        <v>2</v>
      </c>
      <c r="B5" s="312">
        <f>AR5</f>
        <v>1633.8582677165355</v>
      </c>
      <c r="C5" s="312">
        <f t="shared" si="0"/>
        <v>1724.1758241758243</v>
      </c>
      <c r="D5" s="312">
        <f t="shared" si="0"/>
        <v>2014.0845070422536</v>
      </c>
      <c r="E5" s="312">
        <f t="shared" si="0"/>
        <v>2021.9047619047619</v>
      </c>
      <c r="F5" s="312">
        <f t="shared" si="0"/>
        <v>2006.9565217391305</v>
      </c>
      <c r="G5" s="312">
        <f t="shared" si="0"/>
        <v>2436.5591397849462</v>
      </c>
      <c r="H5" s="312">
        <f t="shared" si="0"/>
        <v>2794</v>
      </c>
      <c r="I5" s="312">
        <f t="shared" si="0"/>
        <v>2833.6065573770493</v>
      </c>
      <c r="J5" s="312">
        <f t="shared" si="0"/>
        <v>2394.6808510638298</v>
      </c>
      <c r="K5" s="312">
        <f t="shared" si="0"/>
        <v>2725.8333333333335</v>
      </c>
      <c r="L5" s="312">
        <f t="shared" si="0"/>
        <v>3798.2142857142862</v>
      </c>
      <c r="M5" s="312">
        <f t="shared" si="0"/>
        <v>3426.9662921348313</v>
      </c>
      <c r="N5" s="312">
        <f t="shared" si="0"/>
        <v>3676.5625</v>
      </c>
      <c r="O5" s="312">
        <f t="shared" si="0"/>
        <v>3914.7058823529414</v>
      </c>
      <c r="P5" s="312">
        <f t="shared" si="0"/>
        <v>3421.311475409836</v>
      </c>
      <c r="Q5" s="312">
        <f t="shared" si="0"/>
        <v>4265.3594771241833</v>
      </c>
      <c r="R5" s="312">
        <f t="shared" si="0"/>
        <v>4186.8421052631575</v>
      </c>
      <c r="S5" s="312">
        <f t="shared" si="1"/>
        <v>4514.666666666667</v>
      </c>
      <c r="T5" s="312">
        <f t="shared" si="1"/>
        <v>4712.5</v>
      </c>
      <c r="U5" s="312">
        <f t="shared" si="1"/>
        <v>5083.030303030303</v>
      </c>
      <c r="V5" s="312">
        <f t="shared" si="1"/>
        <v>5092.6267281105993</v>
      </c>
      <c r="W5" s="312">
        <f t="shared" si="1"/>
        <v>5223.7113402061859</v>
      </c>
      <c r="X5" s="313">
        <f t="shared" si="1"/>
        <v>5176.3888888888887</v>
      </c>
      <c r="Y5" s="313">
        <f t="shared" si="1"/>
        <v>6083.4821428571431</v>
      </c>
      <c r="Z5" s="313">
        <f t="shared" si="1"/>
        <v>6057.4257425742571</v>
      </c>
      <c r="AA5" s="318">
        <f t="shared" si="1"/>
        <v>6158.6956521739139</v>
      </c>
      <c r="AB5" s="318">
        <f t="shared" si="1"/>
        <v>5958.59375</v>
      </c>
      <c r="AC5" s="318">
        <f>BS5</f>
        <v>6490.0990099009905</v>
      </c>
      <c r="AD5" s="318">
        <v>6665</v>
      </c>
      <c r="AE5" s="319">
        <v>4695</v>
      </c>
      <c r="AF5" s="319"/>
      <c r="AH5" s="212">
        <v>6400</v>
      </c>
      <c r="AI5" s="212">
        <v>7000</v>
      </c>
      <c r="AJ5" s="212">
        <v>7100</v>
      </c>
      <c r="AK5" s="225"/>
      <c r="AN5" s="315" t="s">
        <v>332</v>
      </c>
      <c r="AO5" s="146">
        <f>AO8/AO6</f>
        <v>1627.2151898734176</v>
      </c>
      <c r="AP5" s="146">
        <f>AP8/AP6</f>
        <v>1582.8767123287671</v>
      </c>
      <c r="AQ5" s="146">
        <f t="shared" ref="AQ5:BS5" si="2">AQ8/AQ6</f>
        <v>1636.1538461538462</v>
      </c>
      <c r="AR5" s="146">
        <f t="shared" si="2"/>
        <v>1633.8582677165355</v>
      </c>
      <c r="AS5" s="146">
        <f t="shared" si="2"/>
        <v>1724.1758241758243</v>
      </c>
      <c r="AT5" s="146">
        <f t="shared" si="2"/>
        <v>2014.0845070422536</v>
      </c>
      <c r="AU5" s="146">
        <f t="shared" si="2"/>
        <v>2021.9047619047619</v>
      </c>
      <c r="AV5" s="146">
        <f t="shared" si="2"/>
        <v>2006.9565217391305</v>
      </c>
      <c r="AW5" s="146">
        <f t="shared" si="2"/>
        <v>2436.5591397849462</v>
      </c>
      <c r="AX5" s="146">
        <f t="shared" si="2"/>
        <v>2794</v>
      </c>
      <c r="AY5" s="146">
        <f t="shared" si="2"/>
        <v>2833.6065573770493</v>
      </c>
      <c r="AZ5" s="146">
        <f t="shared" si="2"/>
        <v>2394.6808510638298</v>
      </c>
      <c r="BA5" s="146">
        <f t="shared" si="2"/>
        <v>2725.8333333333335</v>
      </c>
      <c r="BB5" s="146">
        <f t="shared" si="2"/>
        <v>3798.2142857142862</v>
      </c>
      <c r="BC5" s="146">
        <f t="shared" si="2"/>
        <v>3426.9662921348313</v>
      </c>
      <c r="BD5" s="146">
        <f t="shared" si="2"/>
        <v>3676.5625</v>
      </c>
      <c r="BE5" s="146">
        <f t="shared" si="2"/>
        <v>3914.7058823529414</v>
      </c>
      <c r="BF5" s="146">
        <f t="shared" si="2"/>
        <v>3421.311475409836</v>
      </c>
      <c r="BG5" s="146">
        <f t="shared" si="2"/>
        <v>4265.3594771241833</v>
      </c>
      <c r="BH5" s="146">
        <f t="shared" si="2"/>
        <v>4186.8421052631575</v>
      </c>
      <c r="BI5" s="146">
        <f t="shared" si="2"/>
        <v>4514.666666666667</v>
      </c>
      <c r="BJ5" s="146">
        <f t="shared" si="2"/>
        <v>4712.5</v>
      </c>
      <c r="BK5" s="146">
        <f t="shared" si="2"/>
        <v>5083.030303030303</v>
      </c>
      <c r="BL5" s="146">
        <f t="shared" si="2"/>
        <v>5092.6267281105993</v>
      </c>
      <c r="BM5" s="146">
        <f t="shared" si="2"/>
        <v>5223.7113402061859</v>
      </c>
      <c r="BN5" s="146">
        <f t="shared" si="2"/>
        <v>5176.3888888888887</v>
      </c>
      <c r="BO5" s="146">
        <f t="shared" si="2"/>
        <v>6083.4821428571431</v>
      </c>
      <c r="BP5" s="146">
        <f t="shared" si="2"/>
        <v>6057.4257425742571</v>
      </c>
      <c r="BQ5" s="146">
        <f t="shared" si="2"/>
        <v>6158.6956521739139</v>
      </c>
      <c r="BR5" s="146">
        <f t="shared" si="2"/>
        <v>5958.59375</v>
      </c>
      <c r="BS5" s="146">
        <f t="shared" si="2"/>
        <v>6490.0990099009905</v>
      </c>
      <c r="BT5" s="146">
        <f>(MROUND(SUM(BD5:BS5)/SUM(BD4:BS4)*BT4,25))</f>
        <v>6475</v>
      </c>
      <c r="BU5" s="253">
        <v>4695.6000000000004</v>
      </c>
      <c r="BV5" s="163"/>
    </row>
    <row r="6" spans="1:74" s="219" customFormat="1" ht="15.75">
      <c r="A6" s="320" t="s">
        <v>214</v>
      </c>
      <c r="B6" s="321">
        <f>B5/B4</f>
        <v>0.99808079884944134</v>
      </c>
      <c r="C6" s="321">
        <f t="shared" ref="C6:AE6" si="3">C5/C4</f>
        <v>0.96646626915685219</v>
      </c>
      <c r="D6" s="321">
        <f t="shared" si="3"/>
        <v>0.99707153813972949</v>
      </c>
      <c r="E6" s="321">
        <f t="shared" si="3"/>
        <v>0.95961308111284382</v>
      </c>
      <c r="F6" s="321">
        <f t="shared" si="3"/>
        <v>0.97189177808190341</v>
      </c>
      <c r="G6" s="321">
        <f t="shared" si="3"/>
        <v>0.96268634523308816</v>
      </c>
      <c r="H6" s="321">
        <f t="shared" si="3"/>
        <v>0.96711664935964003</v>
      </c>
      <c r="I6" s="321">
        <f t="shared" si="3"/>
        <v>0.96282927535747509</v>
      </c>
      <c r="J6" s="321">
        <f t="shared" si="3"/>
        <v>0.95710665510145077</v>
      </c>
      <c r="K6" s="321">
        <f t="shared" si="3"/>
        <v>0.96183250999764769</v>
      </c>
      <c r="L6" s="321">
        <f t="shared" si="3"/>
        <v>0.94931624236797951</v>
      </c>
      <c r="M6" s="321">
        <f t="shared" si="3"/>
        <v>0.97329346553105123</v>
      </c>
      <c r="N6" s="321">
        <f t="shared" si="3"/>
        <v>0.98225020037403155</v>
      </c>
      <c r="O6" s="321">
        <f t="shared" si="3"/>
        <v>0.98756455155220524</v>
      </c>
      <c r="P6" s="321">
        <f t="shared" si="3"/>
        <v>0.94930951038008771</v>
      </c>
      <c r="Q6" s="321">
        <f t="shared" si="3"/>
        <v>0.99056188507296405</v>
      </c>
      <c r="R6" s="321">
        <f t="shared" si="3"/>
        <v>0.989329419958213</v>
      </c>
      <c r="S6" s="321">
        <f t="shared" si="3"/>
        <v>0.98745990084572766</v>
      </c>
      <c r="T6" s="321">
        <f t="shared" si="3"/>
        <v>0.99440810297531124</v>
      </c>
      <c r="U6" s="321">
        <f t="shared" si="3"/>
        <v>0.97863502176170636</v>
      </c>
      <c r="V6" s="321">
        <f t="shared" si="3"/>
        <v>1.0082412845200157</v>
      </c>
      <c r="W6" s="321">
        <f t="shared" si="3"/>
        <v>0.99366774590188056</v>
      </c>
      <c r="X6" s="322">
        <f t="shared" si="3"/>
        <v>1.0139841114375885</v>
      </c>
      <c r="Y6" s="322">
        <f t="shared" si="3"/>
        <v>1.00172602385265</v>
      </c>
      <c r="Z6" s="322">
        <f t="shared" si="3"/>
        <v>1.0038822907812823</v>
      </c>
      <c r="AA6" s="322">
        <f t="shared" si="3"/>
        <v>1.0068163564122796</v>
      </c>
      <c r="AB6" s="322">
        <f t="shared" si="3"/>
        <v>1.0051608890013495</v>
      </c>
      <c r="AC6" s="322">
        <f t="shared" si="3"/>
        <v>1.0051260662693187</v>
      </c>
      <c r="AD6" s="323">
        <f t="shared" si="3"/>
        <v>1.0238567061462127</v>
      </c>
      <c r="AE6" s="323">
        <f t="shared" si="3"/>
        <v>0.995</v>
      </c>
      <c r="AF6" s="323"/>
      <c r="AH6" s="218"/>
      <c r="AI6" s="218"/>
      <c r="AJ6" s="201" t="s">
        <v>218</v>
      </c>
      <c r="AK6" s="201"/>
      <c r="AN6" s="324" t="s">
        <v>3</v>
      </c>
      <c r="AO6" s="325">
        <v>1.58</v>
      </c>
      <c r="AP6" s="325">
        <v>1.46</v>
      </c>
      <c r="AQ6" s="325">
        <v>1.3</v>
      </c>
      <c r="AR6" s="325">
        <v>1.27</v>
      </c>
      <c r="AS6" s="325">
        <v>0.90999999999999992</v>
      </c>
      <c r="AT6" s="325">
        <v>1.42</v>
      </c>
      <c r="AU6" s="325">
        <v>1.05</v>
      </c>
      <c r="AV6" s="325">
        <v>1.1499999999999999</v>
      </c>
      <c r="AW6" s="325">
        <v>0.93</v>
      </c>
      <c r="AX6" s="325">
        <v>1</v>
      </c>
      <c r="AY6" s="325">
        <v>1.22</v>
      </c>
      <c r="AZ6" s="325">
        <v>0.94000000000000006</v>
      </c>
      <c r="BA6" s="325">
        <v>1.2</v>
      </c>
      <c r="BB6" s="325">
        <v>1.1199999999999999</v>
      </c>
      <c r="BC6" s="325">
        <v>0.89</v>
      </c>
      <c r="BD6" s="325">
        <v>1.28</v>
      </c>
      <c r="BE6" s="325">
        <v>1.3599999999999999</v>
      </c>
      <c r="BF6" s="325">
        <v>1.22</v>
      </c>
      <c r="BG6" s="325">
        <v>1.53</v>
      </c>
      <c r="BH6" s="325">
        <v>1.52</v>
      </c>
      <c r="BI6" s="325">
        <v>1.5</v>
      </c>
      <c r="BJ6" s="325">
        <v>1.8399999999999999</v>
      </c>
      <c r="BK6" s="325">
        <v>1.65</v>
      </c>
      <c r="BL6" s="325">
        <v>2.17</v>
      </c>
      <c r="BM6" s="325">
        <v>1.94</v>
      </c>
      <c r="BN6" s="325">
        <v>2.16</v>
      </c>
      <c r="BO6" s="325">
        <v>2.2399999999999998</v>
      </c>
      <c r="BP6" s="325">
        <v>2.02</v>
      </c>
      <c r="BQ6" s="325">
        <v>2.2999999999999998</v>
      </c>
      <c r="BR6" s="325">
        <v>2.56</v>
      </c>
      <c r="BS6" s="325">
        <v>2.02</v>
      </c>
      <c r="BT6" s="325">
        <v>2.52</v>
      </c>
      <c r="BU6" s="327">
        <f>FORECAST(BU3,AS6:BT6,AS3:BT3)-0.35</f>
        <v>2.0434920634920757</v>
      </c>
    </row>
    <row r="7" spans="1:74" ht="15.75">
      <c r="A7" s="309" t="s">
        <v>215</v>
      </c>
      <c r="B7" s="328">
        <f t="shared" ref="B7:AA7" si="4">B9/B5</f>
        <v>1.27</v>
      </c>
      <c r="C7" s="328">
        <f t="shared" si="4"/>
        <v>0.90999999999999992</v>
      </c>
      <c r="D7" s="328">
        <f t="shared" si="4"/>
        <v>1.42</v>
      </c>
      <c r="E7" s="328">
        <f t="shared" si="4"/>
        <v>1.05</v>
      </c>
      <c r="F7" s="328">
        <f t="shared" si="4"/>
        <v>1.1499999999999999</v>
      </c>
      <c r="G7" s="328">
        <f t="shared" si="4"/>
        <v>0.93</v>
      </c>
      <c r="H7" s="328">
        <f t="shared" si="4"/>
        <v>1</v>
      </c>
      <c r="I7" s="328">
        <f t="shared" si="4"/>
        <v>1.22</v>
      </c>
      <c r="J7" s="328">
        <f t="shared" si="4"/>
        <v>0.94000000000000006</v>
      </c>
      <c r="K7" s="328">
        <f t="shared" si="4"/>
        <v>1.2</v>
      </c>
      <c r="L7" s="328">
        <f t="shared" si="4"/>
        <v>1.1199999999999999</v>
      </c>
      <c r="M7" s="328">
        <f t="shared" si="4"/>
        <v>0.89</v>
      </c>
      <c r="N7" s="328">
        <f t="shared" si="4"/>
        <v>1.28</v>
      </c>
      <c r="O7" s="328">
        <f t="shared" si="4"/>
        <v>1.3599999999999999</v>
      </c>
      <c r="P7" s="328">
        <f t="shared" si="4"/>
        <v>1.22</v>
      </c>
      <c r="Q7" s="328">
        <f t="shared" si="4"/>
        <v>1.5299999999999998</v>
      </c>
      <c r="R7" s="328">
        <f t="shared" si="4"/>
        <v>1.5200000000000002</v>
      </c>
      <c r="S7" s="328">
        <f t="shared" si="4"/>
        <v>1.5</v>
      </c>
      <c r="T7" s="328">
        <f t="shared" si="4"/>
        <v>1.84</v>
      </c>
      <c r="U7" s="328">
        <f t="shared" si="4"/>
        <v>1.65</v>
      </c>
      <c r="V7" s="328">
        <f t="shared" si="4"/>
        <v>2.17</v>
      </c>
      <c r="W7" s="328">
        <f t="shared" si="4"/>
        <v>1.94</v>
      </c>
      <c r="X7" s="329">
        <f t="shared" si="4"/>
        <v>2.16</v>
      </c>
      <c r="Y7" s="329">
        <f t="shared" si="4"/>
        <v>2.2399999999999998</v>
      </c>
      <c r="Z7" s="329">
        <f t="shared" si="4"/>
        <v>2.02</v>
      </c>
      <c r="AA7" s="329">
        <f t="shared" si="4"/>
        <v>2.2999999999999998</v>
      </c>
      <c r="AB7" s="329">
        <f>AB9/AB5</f>
        <v>2.56</v>
      </c>
      <c r="AC7" s="329">
        <f>AC9/AC5</f>
        <v>2.02</v>
      </c>
      <c r="AD7" s="329">
        <f>AD9/AD5</f>
        <v>2.4456114028507128</v>
      </c>
      <c r="AE7" s="329">
        <f>AE9/AE5</f>
        <v>2.3429179978700745</v>
      </c>
      <c r="AF7" s="330"/>
      <c r="AJ7" s="201" t="s">
        <v>218</v>
      </c>
      <c r="AK7" s="201"/>
      <c r="AN7" s="315"/>
    </row>
    <row r="8" spans="1:74" ht="15.75">
      <c r="A8" s="332" t="s">
        <v>333</v>
      </c>
      <c r="B8" s="333">
        <v>0</v>
      </c>
      <c r="C8" s="333">
        <f>B17</f>
        <v>0</v>
      </c>
      <c r="D8" s="333">
        <f t="shared" ref="D8:AE8" si="5">C17</f>
        <v>0</v>
      </c>
      <c r="E8" s="333">
        <f t="shared" si="5"/>
        <v>50</v>
      </c>
      <c r="F8" s="333">
        <f t="shared" si="5"/>
        <v>0</v>
      </c>
      <c r="G8" s="333">
        <f t="shared" si="5"/>
        <v>8</v>
      </c>
      <c r="H8" s="333">
        <f t="shared" si="5"/>
        <v>10</v>
      </c>
      <c r="I8" s="333">
        <f t="shared" si="5"/>
        <v>87</v>
      </c>
      <c r="J8" s="333">
        <f t="shared" si="5"/>
        <v>15</v>
      </c>
      <c r="K8" s="333">
        <f t="shared" si="5"/>
        <v>5</v>
      </c>
      <c r="L8" s="333">
        <f t="shared" si="5"/>
        <v>25</v>
      </c>
      <c r="M8" s="333">
        <f t="shared" si="5"/>
        <v>129</v>
      </c>
      <c r="N8" s="333">
        <f t="shared" si="5"/>
        <v>113</v>
      </c>
      <c r="O8" s="333">
        <f t="shared" si="5"/>
        <v>185</v>
      </c>
      <c r="P8" s="333">
        <f t="shared" si="5"/>
        <v>622</v>
      </c>
      <c r="Q8" s="333">
        <f t="shared" si="5"/>
        <v>445</v>
      </c>
      <c r="R8" s="333">
        <f t="shared" si="5"/>
        <v>384</v>
      </c>
      <c r="S8" s="333">
        <f t="shared" si="5"/>
        <v>483</v>
      </c>
      <c r="T8" s="333">
        <f t="shared" si="5"/>
        <v>146</v>
      </c>
      <c r="U8" s="333">
        <f t="shared" si="5"/>
        <v>151</v>
      </c>
      <c r="V8" s="333">
        <f t="shared" si="5"/>
        <v>314</v>
      </c>
      <c r="W8" s="333">
        <f t="shared" si="5"/>
        <v>449</v>
      </c>
      <c r="X8" s="334">
        <f t="shared" si="5"/>
        <v>149</v>
      </c>
      <c r="Y8" s="334">
        <f t="shared" si="5"/>
        <v>168</v>
      </c>
      <c r="Z8" s="334">
        <f t="shared" si="5"/>
        <v>421</v>
      </c>
      <c r="AA8" s="334">
        <f t="shared" si="5"/>
        <v>172</v>
      </c>
      <c r="AB8" s="334">
        <f t="shared" si="5"/>
        <v>141</v>
      </c>
      <c r="AC8" s="334">
        <f t="shared" si="5"/>
        <v>59</v>
      </c>
      <c r="AD8" s="334">
        <f t="shared" si="5"/>
        <v>236</v>
      </c>
      <c r="AE8" s="335">
        <f t="shared" si="5"/>
        <v>2500</v>
      </c>
      <c r="AF8" s="314"/>
      <c r="AH8" s="223">
        <v>140</v>
      </c>
      <c r="AI8" s="223">
        <v>58</v>
      </c>
      <c r="AJ8" s="223">
        <v>141</v>
      </c>
      <c r="AK8" s="201">
        <v>4551</v>
      </c>
      <c r="AN8" s="315" t="s">
        <v>5</v>
      </c>
      <c r="AO8" s="146">
        <v>2571</v>
      </c>
      <c r="AP8" s="146">
        <v>2311</v>
      </c>
      <c r="AQ8" s="146">
        <v>2127</v>
      </c>
      <c r="AR8" s="146">
        <v>2075</v>
      </c>
      <c r="AS8" s="146">
        <v>1569</v>
      </c>
      <c r="AT8" s="146">
        <v>2860</v>
      </c>
      <c r="AU8" s="146">
        <v>2123</v>
      </c>
      <c r="AV8" s="146">
        <v>2308</v>
      </c>
      <c r="AW8" s="146">
        <v>2266</v>
      </c>
      <c r="AX8" s="146">
        <v>2794</v>
      </c>
      <c r="AY8" s="146">
        <v>3457</v>
      </c>
      <c r="AZ8" s="146">
        <v>2251</v>
      </c>
      <c r="BA8" s="146">
        <v>3271</v>
      </c>
      <c r="BB8" s="146">
        <v>4254</v>
      </c>
      <c r="BC8" s="146">
        <v>3050</v>
      </c>
      <c r="BD8" s="146">
        <v>4706</v>
      </c>
      <c r="BE8" s="146">
        <v>5324</v>
      </c>
      <c r="BF8" s="146">
        <v>4174</v>
      </c>
      <c r="BG8" s="146">
        <v>6526</v>
      </c>
      <c r="BH8" s="146">
        <v>6364</v>
      </c>
      <c r="BI8" s="146">
        <v>6772</v>
      </c>
      <c r="BJ8" s="146">
        <v>8671</v>
      </c>
      <c r="BK8" s="146">
        <v>8387</v>
      </c>
      <c r="BL8" s="146">
        <v>11051</v>
      </c>
      <c r="BM8" s="146">
        <v>10134</v>
      </c>
      <c r="BN8" s="146">
        <v>11181</v>
      </c>
      <c r="BO8" s="146">
        <v>13627</v>
      </c>
      <c r="BP8" s="146">
        <v>12236</v>
      </c>
      <c r="BQ8" s="146">
        <v>14165</v>
      </c>
      <c r="BR8" s="146">
        <v>15254</v>
      </c>
      <c r="BS8" s="146">
        <v>13110</v>
      </c>
      <c r="BT8" s="146">
        <f>MROUND(BT5*BT6,50)</f>
        <v>16300</v>
      </c>
      <c r="BU8" s="146">
        <f>MROUND(BU5*BU6,50)</f>
        <v>9600</v>
      </c>
    </row>
    <row r="9" spans="1:74" ht="15.75">
      <c r="A9" s="309" t="s">
        <v>5</v>
      </c>
      <c r="B9" s="336">
        <f>AR8</f>
        <v>2075</v>
      </c>
      <c r="C9" s="336">
        <f t="shared" ref="C9:AB9" si="6">AS8</f>
        <v>1569</v>
      </c>
      <c r="D9" s="336">
        <f t="shared" si="6"/>
        <v>2860</v>
      </c>
      <c r="E9" s="336">
        <f t="shared" si="6"/>
        <v>2123</v>
      </c>
      <c r="F9" s="336">
        <f t="shared" si="6"/>
        <v>2308</v>
      </c>
      <c r="G9" s="336">
        <f t="shared" si="6"/>
        <v>2266</v>
      </c>
      <c r="H9" s="336">
        <f t="shared" si="6"/>
        <v>2794</v>
      </c>
      <c r="I9" s="336">
        <f t="shared" si="6"/>
        <v>3457</v>
      </c>
      <c r="J9" s="336">
        <f t="shared" si="6"/>
        <v>2251</v>
      </c>
      <c r="K9" s="336">
        <f t="shared" si="6"/>
        <v>3271</v>
      </c>
      <c r="L9" s="336">
        <f t="shared" si="6"/>
        <v>4254</v>
      </c>
      <c r="M9" s="336">
        <f t="shared" si="6"/>
        <v>3050</v>
      </c>
      <c r="N9" s="336">
        <f t="shared" si="6"/>
        <v>4706</v>
      </c>
      <c r="O9" s="336">
        <f t="shared" si="6"/>
        <v>5324</v>
      </c>
      <c r="P9" s="336">
        <f t="shared" si="6"/>
        <v>4174</v>
      </c>
      <c r="Q9" s="336">
        <f t="shared" si="6"/>
        <v>6526</v>
      </c>
      <c r="R9" s="336">
        <f t="shared" si="6"/>
        <v>6364</v>
      </c>
      <c r="S9" s="336">
        <f t="shared" si="6"/>
        <v>6772</v>
      </c>
      <c r="T9" s="336">
        <f t="shared" si="6"/>
        <v>8671</v>
      </c>
      <c r="U9" s="336">
        <f t="shared" si="6"/>
        <v>8387</v>
      </c>
      <c r="V9" s="336">
        <f t="shared" si="6"/>
        <v>11051</v>
      </c>
      <c r="W9" s="336">
        <f t="shared" si="6"/>
        <v>10134</v>
      </c>
      <c r="X9" s="313">
        <f t="shared" si="6"/>
        <v>11181</v>
      </c>
      <c r="Y9" s="313">
        <f t="shared" si="6"/>
        <v>13627</v>
      </c>
      <c r="Z9" s="313">
        <f t="shared" si="6"/>
        <v>12236</v>
      </c>
      <c r="AA9" s="313">
        <f t="shared" si="6"/>
        <v>14165</v>
      </c>
      <c r="AB9" s="313">
        <f t="shared" si="6"/>
        <v>15254</v>
      </c>
      <c r="AC9" s="313">
        <f>BS8</f>
        <v>13110</v>
      </c>
      <c r="AD9" s="313">
        <f>BT8</f>
        <v>16300</v>
      </c>
      <c r="AE9" s="314">
        <v>11000</v>
      </c>
      <c r="AF9" s="314"/>
      <c r="AH9" s="212">
        <v>16500</v>
      </c>
      <c r="AI9" s="212">
        <v>14100</v>
      </c>
      <c r="AJ9" s="212">
        <v>17500</v>
      </c>
      <c r="AK9" s="225">
        <v>11000</v>
      </c>
    </row>
    <row r="10" spans="1:74" ht="15.75">
      <c r="A10" s="309" t="s">
        <v>6</v>
      </c>
      <c r="B10" s="336">
        <v>0</v>
      </c>
      <c r="C10" s="336">
        <v>0</v>
      </c>
      <c r="D10" s="336">
        <v>20</v>
      </c>
      <c r="E10" s="336">
        <v>15</v>
      </c>
      <c r="F10" s="336">
        <v>15</v>
      </c>
      <c r="G10" s="336">
        <v>2</v>
      </c>
      <c r="H10" s="336">
        <v>2</v>
      </c>
      <c r="I10" s="336">
        <v>1</v>
      </c>
      <c r="J10" s="336">
        <v>1</v>
      </c>
      <c r="K10" s="336">
        <f t="shared" ref="K10:AC10" si="7">K59</f>
        <v>0.903609</v>
      </c>
      <c r="L10" s="336">
        <f t="shared" si="7"/>
        <v>1.20275</v>
      </c>
      <c r="M10" s="336">
        <f t="shared" si="7"/>
        <v>6.0459250000000004</v>
      </c>
      <c r="N10" s="336">
        <f t="shared" si="7"/>
        <v>4.5923579999999999</v>
      </c>
      <c r="O10" s="336">
        <f t="shared" si="7"/>
        <v>5.9635119999999997</v>
      </c>
      <c r="P10" s="336">
        <f t="shared" si="7"/>
        <v>7.8804470000000011</v>
      </c>
      <c r="Q10" s="336">
        <f t="shared" si="7"/>
        <v>5.6325079999999996</v>
      </c>
      <c r="R10" s="336">
        <f t="shared" si="7"/>
        <v>6.6916390000000003</v>
      </c>
      <c r="S10" s="336">
        <f t="shared" si="7"/>
        <v>12.250218000000002</v>
      </c>
      <c r="T10" s="336">
        <f t="shared" si="7"/>
        <v>16.816025</v>
      </c>
      <c r="U10" s="336">
        <f t="shared" si="7"/>
        <v>19.750192000000002</v>
      </c>
      <c r="V10" s="336">
        <f t="shared" si="7"/>
        <v>15.360949999999999</v>
      </c>
      <c r="W10" s="336">
        <f t="shared" si="7"/>
        <v>15.422088999999998</v>
      </c>
      <c r="X10" s="313">
        <f t="shared" si="7"/>
        <v>21.718747000000008</v>
      </c>
      <c r="Y10" s="313">
        <f t="shared" si="7"/>
        <v>23.513722000000005</v>
      </c>
      <c r="Z10" s="313">
        <f t="shared" si="7"/>
        <v>30.151129999999998</v>
      </c>
      <c r="AA10" s="313">
        <f t="shared" si="7"/>
        <v>22.618764999999996</v>
      </c>
      <c r="AB10" s="313">
        <f t="shared" si="7"/>
        <v>30.734186999999999</v>
      </c>
      <c r="AC10" s="313">
        <f t="shared" si="7"/>
        <v>24.305641999999995</v>
      </c>
      <c r="AD10" s="314">
        <v>10</v>
      </c>
      <c r="AE10" s="314">
        <v>10</v>
      </c>
      <c r="AF10" s="314"/>
      <c r="AH10" s="223">
        <v>31</v>
      </c>
      <c r="AI10" s="223">
        <v>24</v>
      </c>
      <c r="AJ10" s="223">
        <v>10</v>
      </c>
      <c r="AK10" s="201">
        <v>10</v>
      </c>
    </row>
    <row r="11" spans="1:74" ht="15.75">
      <c r="A11" s="332" t="s">
        <v>7</v>
      </c>
      <c r="B11" s="333">
        <f>SUM(B8:B10)</f>
        <v>2075</v>
      </c>
      <c r="C11" s="333">
        <f t="shared" ref="C11:Z11" si="8">SUM(C8:C10)</f>
        <v>1569</v>
      </c>
      <c r="D11" s="333">
        <f t="shared" si="8"/>
        <v>2880</v>
      </c>
      <c r="E11" s="333">
        <f t="shared" si="8"/>
        <v>2188</v>
      </c>
      <c r="F11" s="333">
        <f t="shared" si="8"/>
        <v>2323</v>
      </c>
      <c r="G11" s="333">
        <f t="shared" si="8"/>
        <v>2276</v>
      </c>
      <c r="H11" s="333">
        <f t="shared" si="8"/>
        <v>2806</v>
      </c>
      <c r="I11" s="333">
        <f t="shared" si="8"/>
        <v>3545</v>
      </c>
      <c r="J11" s="333">
        <f t="shared" si="8"/>
        <v>2267</v>
      </c>
      <c r="K11" s="333">
        <f t="shared" si="8"/>
        <v>3276.903609</v>
      </c>
      <c r="L11" s="333">
        <f t="shared" si="8"/>
        <v>4280.2027500000004</v>
      </c>
      <c r="M11" s="333">
        <f t="shared" si="8"/>
        <v>3185.0459249999999</v>
      </c>
      <c r="N11" s="333">
        <f t="shared" si="8"/>
        <v>4823.5923579999999</v>
      </c>
      <c r="O11" s="333">
        <f t="shared" si="8"/>
        <v>5514.9635120000003</v>
      </c>
      <c r="P11" s="333">
        <f t="shared" si="8"/>
        <v>4803.8804469999995</v>
      </c>
      <c r="Q11" s="333">
        <f t="shared" si="8"/>
        <v>6976.6325079999997</v>
      </c>
      <c r="R11" s="333">
        <f t="shared" si="8"/>
        <v>6754.6916389999997</v>
      </c>
      <c r="S11" s="333">
        <f t="shared" si="8"/>
        <v>7267.2502180000001</v>
      </c>
      <c r="T11" s="333">
        <f t="shared" si="8"/>
        <v>8833.8160250000001</v>
      </c>
      <c r="U11" s="333">
        <f t="shared" si="8"/>
        <v>8557.7501919999995</v>
      </c>
      <c r="V11" s="333">
        <f t="shared" si="8"/>
        <v>11380.36095</v>
      </c>
      <c r="W11" s="333">
        <f t="shared" si="8"/>
        <v>10598.422089</v>
      </c>
      <c r="X11" s="334">
        <f t="shared" si="8"/>
        <v>11351.718747000001</v>
      </c>
      <c r="Y11" s="334">
        <f t="shared" si="8"/>
        <v>13818.513722</v>
      </c>
      <c r="Z11" s="334">
        <f t="shared" si="8"/>
        <v>12687.15113</v>
      </c>
      <c r="AA11" s="334">
        <f>SUM(AA8:AA10)</f>
        <v>14359.618764999999</v>
      </c>
      <c r="AB11" s="334">
        <f>SUM(AB8:AB10)</f>
        <v>15425.734187</v>
      </c>
      <c r="AC11" s="334">
        <f>SUM(AC8:AC10)</f>
        <v>13193.305641999999</v>
      </c>
      <c r="AD11" s="335">
        <f>SUM(AD8:AD10)</f>
        <v>16546</v>
      </c>
      <c r="AE11" s="335">
        <f>SUM(AE8:AE10)</f>
        <v>13510</v>
      </c>
      <c r="AF11" s="314"/>
      <c r="AH11" s="212">
        <v>16425</v>
      </c>
      <c r="AI11" s="212">
        <v>13750</v>
      </c>
      <c r="AJ11" s="212">
        <v>12000</v>
      </c>
      <c r="AK11" s="225">
        <v>9750</v>
      </c>
    </row>
    <row r="12" spans="1:74" ht="15.75">
      <c r="A12" s="309" t="s">
        <v>8</v>
      </c>
      <c r="B12" s="336">
        <f>B91</f>
        <v>1936.4137399724195</v>
      </c>
      <c r="C12" s="336">
        <f t="shared" ref="C12:Y12" si="9">C91</f>
        <v>1426.450289311568</v>
      </c>
      <c r="D12" s="336">
        <f t="shared" si="9"/>
        <v>2302.1387070359733</v>
      </c>
      <c r="E12" s="336">
        <f t="shared" si="9"/>
        <v>1071.9005257072108</v>
      </c>
      <c r="F12" s="336">
        <f t="shared" si="9"/>
        <v>1160.6520777731814</v>
      </c>
      <c r="G12" s="336">
        <f t="shared" si="9"/>
        <v>1374.6965410987168</v>
      </c>
      <c r="H12" s="336">
        <f t="shared" si="9"/>
        <v>2141.9268837690702</v>
      </c>
      <c r="I12" s="336">
        <f t="shared" si="9"/>
        <v>2358.6914261003722</v>
      </c>
      <c r="J12" s="336">
        <f t="shared" si="9"/>
        <v>2127.1943360664236</v>
      </c>
      <c r="K12" s="336">
        <f t="shared" si="9"/>
        <v>3123.6766859341028</v>
      </c>
      <c r="L12" s="336">
        <f t="shared" si="9"/>
        <v>3267.4464426877466</v>
      </c>
      <c r="M12" s="336">
        <f t="shared" si="9"/>
        <v>2665.569664031621</v>
      </c>
      <c r="N12" s="336">
        <f t="shared" si="9"/>
        <v>4452.7201581027675</v>
      </c>
      <c r="O12" s="336">
        <f t="shared" si="9"/>
        <v>4835.1347006651886</v>
      </c>
      <c r="P12" s="336">
        <f t="shared" si="9"/>
        <v>4163.0074681703927</v>
      </c>
      <c r="Q12" s="336">
        <f t="shared" si="9"/>
        <v>5905.1300942586195</v>
      </c>
      <c r="R12" s="336">
        <f t="shared" si="9"/>
        <v>6741.7011349740396</v>
      </c>
      <c r="S12" s="336">
        <f t="shared" si="9"/>
        <v>6980.6262332616398</v>
      </c>
      <c r="T12" s="336">
        <f t="shared" si="9"/>
        <v>8476.3437503582227</v>
      </c>
      <c r="U12" s="336">
        <f t="shared" si="9"/>
        <v>7356.4007464246733</v>
      </c>
      <c r="V12" s="336">
        <f t="shared" si="9"/>
        <v>10010.819899011403</v>
      </c>
      <c r="W12" s="336">
        <f t="shared" si="9"/>
        <v>8281.8989723266077</v>
      </c>
      <c r="X12" s="313">
        <f t="shared" si="9"/>
        <v>8869.6497005988003</v>
      </c>
      <c r="Y12" s="313">
        <f t="shared" si="9"/>
        <v>12011.470755041641</v>
      </c>
      <c r="Z12" s="313">
        <v>13750</v>
      </c>
      <c r="AA12" s="313">
        <v>14800</v>
      </c>
      <c r="AB12" s="313">
        <v>16425</v>
      </c>
      <c r="AC12" s="313">
        <v>16950</v>
      </c>
      <c r="AD12" s="314">
        <f>16350-4350-1000</f>
        <v>11000</v>
      </c>
      <c r="AE12" s="314">
        <f>9750+950</f>
        <v>10700</v>
      </c>
      <c r="AF12" s="314"/>
      <c r="AH12" s="212">
        <v>16425</v>
      </c>
      <c r="AI12" s="212">
        <v>13750</v>
      </c>
      <c r="AJ12" s="212">
        <v>12000</v>
      </c>
      <c r="AK12" s="225">
        <v>9750</v>
      </c>
      <c r="AN12" s="265"/>
      <c r="BP12">
        <v>122355.2</v>
      </c>
      <c r="BQ12">
        <v>141651.70000000001</v>
      </c>
    </row>
    <row r="13" spans="1:74" ht="15.75">
      <c r="A13" s="309" t="s">
        <v>9</v>
      </c>
      <c r="B13" s="336">
        <v>200</v>
      </c>
      <c r="C13" s="336">
        <f t="shared" ref="C13:AC13" si="10">C75</f>
        <v>126.50000000000001</v>
      </c>
      <c r="D13" s="336">
        <f t="shared" si="10"/>
        <v>469.1</v>
      </c>
      <c r="E13" s="336">
        <f t="shared" si="10"/>
        <v>1131.2000000000003</v>
      </c>
      <c r="F13" s="336">
        <f t="shared" si="10"/>
        <v>714.40000000000009</v>
      </c>
      <c r="G13" s="336">
        <f t="shared" si="10"/>
        <v>859.5</v>
      </c>
      <c r="H13" s="336">
        <f t="shared" si="10"/>
        <v>398.20477199999999</v>
      </c>
      <c r="I13" s="336">
        <f t="shared" si="10"/>
        <v>1030.3</v>
      </c>
      <c r="J13" s="336">
        <f t="shared" si="10"/>
        <v>81.741044999999986</v>
      </c>
      <c r="K13" s="336">
        <f t="shared" si="10"/>
        <v>330.72784999999999</v>
      </c>
      <c r="L13" s="336">
        <f t="shared" si="10"/>
        <v>921.69399999999996</v>
      </c>
      <c r="M13" s="336">
        <f t="shared" si="10"/>
        <v>11.449</v>
      </c>
      <c r="N13" s="336">
        <f t="shared" si="10"/>
        <v>219.74600000000001</v>
      </c>
      <c r="O13" s="336">
        <f t="shared" si="10"/>
        <v>336.02699999999999</v>
      </c>
      <c r="P13" s="336">
        <f t="shared" si="10"/>
        <v>75.356999999999999</v>
      </c>
      <c r="Q13" s="336">
        <f t="shared" si="10"/>
        <v>747.74700000000007</v>
      </c>
      <c r="R13" s="336">
        <f t="shared" si="10"/>
        <v>352.08399999999995</v>
      </c>
      <c r="S13" s="336">
        <f t="shared" si="10"/>
        <v>442.98100000000005</v>
      </c>
      <c r="T13" s="336">
        <f t="shared" si="10"/>
        <v>279.68599999999998</v>
      </c>
      <c r="U13" s="336">
        <f t="shared" si="10"/>
        <v>126.68700000000001</v>
      </c>
      <c r="V13" s="336">
        <f t="shared" si="10"/>
        <v>69.272999999999996</v>
      </c>
      <c r="W13" s="336">
        <f t="shared" si="10"/>
        <v>44.750999999999998</v>
      </c>
      <c r="X13" s="313">
        <f t="shared" si="10"/>
        <v>81.540000000000006</v>
      </c>
      <c r="Y13" s="313">
        <f t="shared" si="10"/>
        <v>189.92956800000002</v>
      </c>
      <c r="Z13" s="313">
        <f t="shared" si="10"/>
        <v>36.913361000000002</v>
      </c>
      <c r="AA13" s="313">
        <f t="shared" si="10"/>
        <v>102.312574</v>
      </c>
      <c r="AB13" s="313">
        <f t="shared" si="10"/>
        <v>50.908830000000002</v>
      </c>
      <c r="AC13" s="313">
        <f t="shared" si="10"/>
        <v>232.430533</v>
      </c>
      <c r="AD13" s="314">
        <f>750+850</f>
        <v>1600</v>
      </c>
      <c r="AE13" s="314">
        <f>1250+1250-1500</f>
        <v>1000</v>
      </c>
      <c r="AF13" s="314"/>
      <c r="AH13" s="223">
        <v>53</v>
      </c>
      <c r="AI13" s="223">
        <v>191</v>
      </c>
      <c r="AJ13" s="223">
        <v>350</v>
      </c>
      <c r="AK13" s="225">
        <v>750</v>
      </c>
    </row>
    <row r="14" spans="1:74" ht="15.75">
      <c r="A14" s="309" t="s">
        <v>10</v>
      </c>
      <c r="B14" s="336">
        <f>ROUND(C4*0.007,0)</f>
        <v>12</v>
      </c>
      <c r="C14" s="336">
        <f t="shared" ref="C14:AE14" si="11">ROUND(D4*0.007,0)</f>
        <v>14</v>
      </c>
      <c r="D14" s="336">
        <f t="shared" si="11"/>
        <v>15</v>
      </c>
      <c r="E14" s="336">
        <f t="shared" si="11"/>
        <v>14</v>
      </c>
      <c r="F14" s="336">
        <f t="shared" si="11"/>
        <v>18</v>
      </c>
      <c r="G14" s="336">
        <f t="shared" si="11"/>
        <v>20</v>
      </c>
      <c r="H14" s="336">
        <f t="shared" si="11"/>
        <v>21</v>
      </c>
      <c r="I14" s="336">
        <f t="shared" si="11"/>
        <v>18</v>
      </c>
      <c r="J14" s="336">
        <f t="shared" si="11"/>
        <v>20</v>
      </c>
      <c r="K14" s="336">
        <f t="shared" si="11"/>
        <v>28</v>
      </c>
      <c r="L14" s="336">
        <f t="shared" si="11"/>
        <v>25</v>
      </c>
      <c r="M14" s="336">
        <f t="shared" si="11"/>
        <v>26</v>
      </c>
      <c r="N14" s="336">
        <f t="shared" si="11"/>
        <v>28</v>
      </c>
      <c r="O14" s="336">
        <f t="shared" si="11"/>
        <v>25</v>
      </c>
      <c r="P14" s="336">
        <f t="shared" si="11"/>
        <v>30</v>
      </c>
      <c r="Q14" s="336">
        <f t="shared" si="11"/>
        <v>30</v>
      </c>
      <c r="R14" s="336">
        <f t="shared" si="11"/>
        <v>32</v>
      </c>
      <c r="S14" s="336">
        <f t="shared" si="11"/>
        <v>33</v>
      </c>
      <c r="T14" s="336">
        <f t="shared" si="11"/>
        <v>36</v>
      </c>
      <c r="U14" s="336">
        <f t="shared" si="11"/>
        <v>35</v>
      </c>
      <c r="V14" s="336">
        <f t="shared" si="11"/>
        <v>37</v>
      </c>
      <c r="W14" s="336">
        <f t="shared" si="11"/>
        <v>36</v>
      </c>
      <c r="X14" s="313">
        <f t="shared" si="11"/>
        <v>43</v>
      </c>
      <c r="Y14" s="313">
        <f t="shared" si="11"/>
        <v>42</v>
      </c>
      <c r="Z14" s="313">
        <f t="shared" si="11"/>
        <v>43</v>
      </c>
      <c r="AA14" s="313">
        <f t="shared" si="11"/>
        <v>41</v>
      </c>
      <c r="AB14" s="313">
        <f t="shared" si="11"/>
        <v>45</v>
      </c>
      <c r="AC14" s="313">
        <f t="shared" si="11"/>
        <v>46</v>
      </c>
      <c r="AD14" s="314">
        <f t="shared" si="11"/>
        <v>33</v>
      </c>
      <c r="AE14" s="314">
        <f t="shared" si="11"/>
        <v>48</v>
      </c>
      <c r="AF14" s="314"/>
      <c r="AH14" s="226">
        <v>50</v>
      </c>
      <c r="AI14" s="226">
        <v>50</v>
      </c>
      <c r="AJ14" s="201">
        <v>50</v>
      </c>
      <c r="AK14" s="201">
        <v>50</v>
      </c>
    </row>
    <row r="15" spans="1:74" ht="15.75">
      <c r="A15" s="309" t="s">
        <v>11</v>
      </c>
      <c r="B15" s="336">
        <f>B16-SUM(B12:B14)</f>
        <v>-73.413739972419535</v>
      </c>
      <c r="C15" s="336">
        <f t="shared" ref="C15:Y15" si="12">C16-SUM(C12:C14)</f>
        <v>2.0497106884320146</v>
      </c>
      <c r="D15" s="336">
        <f t="shared" si="12"/>
        <v>43.761292964026779</v>
      </c>
      <c r="E15" s="336">
        <f t="shared" si="12"/>
        <v>-29.100525707211091</v>
      </c>
      <c r="F15" s="336">
        <f t="shared" si="12"/>
        <v>421.94792222681849</v>
      </c>
      <c r="G15" s="336">
        <f t="shared" si="12"/>
        <v>11.803458901283193</v>
      </c>
      <c r="H15" s="336">
        <f t="shared" si="12"/>
        <v>157.86834423092978</v>
      </c>
      <c r="I15" s="336">
        <f t="shared" si="12"/>
        <v>123.00857389962766</v>
      </c>
      <c r="J15" s="336">
        <f t="shared" si="12"/>
        <v>33.064618933576639</v>
      </c>
      <c r="K15" s="336">
        <f t="shared" si="12"/>
        <v>-230.50092693410261</v>
      </c>
      <c r="L15" s="336">
        <f t="shared" si="12"/>
        <v>-62.937692687746676</v>
      </c>
      <c r="M15" s="336">
        <f t="shared" si="12"/>
        <v>369.02726096837887</v>
      </c>
      <c r="N15" s="336">
        <f t="shared" si="12"/>
        <v>-61.873800102767746</v>
      </c>
      <c r="O15" s="336">
        <f t="shared" si="12"/>
        <v>-303.19818866518835</v>
      </c>
      <c r="P15" s="336">
        <f t="shared" si="12"/>
        <v>90.515978829606865</v>
      </c>
      <c r="Q15" s="336">
        <f t="shared" si="12"/>
        <v>-90.244586258620075</v>
      </c>
      <c r="R15" s="336">
        <f t="shared" si="12"/>
        <v>-854.0934959740398</v>
      </c>
      <c r="S15" s="336">
        <f t="shared" si="12"/>
        <v>-335.35701526163939</v>
      </c>
      <c r="T15" s="336">
        <f t="shared" si="12"/>
        <v>-109.21372535822229</v>
      </c>
      <c r="U15" s="336">
        <f t="shared" si="12"/>
        <v>725.66244557532627</v>
      </c>
      <c r="V15" s="336">
        <f t="shared" si="12"/>
        <v>814.26805098859768</v>
      </c>
      <c r="W15" s="336">
        <f t="shared" si="12"/>
        <v>2086.7721166733918</v>
      </c>
      <c r="X15" s="313">
        <f t="shared" si="12"/>
        <v>2189.5290464011996</v>
      </c>
      <c r="Y15" s="313">
        <f t="shared" si="12"/>
        <v>1154.1133989583595</v>
      </c>
      <c r="Z15" s="313">
        <f t="shared" ref="Z15:AE15" si="13">Z16-SUM(Z12:Z14)</f>
        <v>-1314.7622310000006</v>
      </c>
      <c r="AA15" s="313">
        <f t="shared" si="13"/>
        <v>-724.69380900000033</v>
      </c>
      <c r="AB15" s="313">
        <f t="shared" si="13"/>
        <v>-1154.1746430000003</v>
      </c>
      <c r="AC15" s="313">
        <f t="shared" si="13"/>
        <v>-4271.1248909999995</v>
      </c>
      <c r="AD15" s="314">
        <f t="shared" si="13"/>
        <v>1413</v>
      </c>
      <c r="AE15" s="314">
        <f t="shared" si="13"/>
        <v>512</v>
      </c>
      <c r="AF15" s="314"/>
      <c r="AH15" s="226">
        <v>85</v>
      </c>
      <c r="AI15" s="226">
        <v>50</v>
      </c>
      <c r="AJ15" s="201">
        <v>700</v>
      </c>
      <c r="AK15" s="201">
        <v>550</v>
      </c>
    </row>
    <row r="16" spans="1:74" ht="15.75">
      <c r="A16" s="332" t="s">
        <v>12</v>
      </c>
      <c r="B16" s="333">
        <f t="shared" ref="B16:AE16" si="14">B11-B17</f>
        <v>2075</v>
      </c>
      <c r="C16" s="333">
        <f t="shared" si="14"/>
        <v>1569</v>
      </c>
      <c r="D16" s="333">
        <f t="shared" si="14"/>
        <v>2830</v>
      </c>
      <c r="E16" s="333">
        <f t="shared" si="14"/>
        <v>2188</v>
      </c>
      <c r="F16" s="333">
        <f t="shared" si="14"/>
        <v>2315</v>
      </c>
      <c r="G16" s="333">
        <f t="shared" si="14"/>
        <v>2266</v>
      </c>
      <c r="H16" s="333">
        <f t="shared" si="14"/>
        <v>2719</v>
      </c>
      <c r="I16" s="333">
        <f t="shared" si="14"/>
        <v>3530</v>
      </c>
      <c r="J16" s="333">
        <f t="shared" si="14"/>
        <v>2262</v>
      </c>
      <c r="K16" s="333">
        <f t="shared" si="14"/>
        <v>3251.903609</v>
      </c>
      <c r="L16" s="333">
        <f t="shared" si="14"/>
        <v>4151.2027500000004</v>
      </c>
      <c r="M16" s="333">
        <f t="shared" si="14"/>
        <v>3072.0459249999999</v>
      </c>
      <c r="N16" s="333">
        <f t="shared" si="14"/>
        <v>4638.5923579999999</v>
      </c>
      <c r="O16" s="333">
        <f t="shared" si="14"/>
        <v>4892.9635120000003</v>
      </c>
      <c r="P16" s="333">
        <f t="shared" si="14"/>
        <v>4358.8804469999995</v>
      </c>
      <c r="Q16" s="333">
        <f t="shared" si="14"/>
        <v>6592.6325079999997</v>
      </c>
      <c r="R16" s="333">
        <f t="shared" si="14"/>
        <v>6271.6916389999997</v>
      </c>
      <c r="S16" s="333">
        <f t="shared" si="14"/>
        <v>7121.2502180000001</v>
      </c>
      <c r="T16" s="333">
        <f t="shared" si="14"/>
        <v>8682.8160250000001</v>
      </c>
      <c r="U16" s="333">
        <f t="shared" si="14"/>
        <v>8243.7501919999995</v>
      </c>
      <c r="V16" s="333">
        <f t="shared" si="14"/>
        <v>10931.36095</v>
      </c>
      <c r="W16" s="333">
        <f t="shared" si="14"/>
        <v>10449.422089</v>
      </c>
      <c r="X16" s="334">
        <f t="shared" si="14"/>
        <v>11183.718747000001</v>
      </c>
      <c r="Y16" s="334">
        <f t="shared" si="14"/>
        <v>13397.513722</v>
      </c>
      <c r="Z16" s="334">
        <f t="shared" si="14"/>
        <v>12515.15113</v>
      </c>
      <c r="AA16" s="334">
        <f t="shared" si="14"/>
        <v>14218.618764999999</v>
      </c>
      <c r="AB16" s="334">
        <f t="shared" si="14"/>
        <v>15366.734187</v>
      </c>
      <c r="AC16" s="334">
        <f t="shared" si="14"/>
        <v>12957.305641999999</v>
      </c>
      <c r="AD16" s="335">
        <f t="shared" si="14"/>
        <v>14046</v>
      </c>
      <c r="AE16" s="335">
        <f t="shared" si="14"/>
        <v>12260</v>
      </c>
      <c r="AF16" s="314"/>
      <c r="AH16" s="226">
        <v>16560</v>
      </c>
      <c r="AI16" s="226">
        <v>13850</v>
      </c>
      <c r="AJ16" s="201">
        <v>12750</v>
      </c>
      <c r="AK16" s="201">
        <v>10350</v>
      </c>
    </row>
    <row r="17" spans="1:39" ht="15.75">
      <c r="A17" s="309" t="s">
        <v>338</v>
      </c>
      <c r="B17" s="336">
        <v>0</v>
      </c>
      <c r="C17" s="336">
        <v>0</v>
      </c>
      <c r="D17" s="336">
        <v>50</v>
      </c>
      <c r="E17" s="336">
        <v>0</v>
      </c>
      <c r="F17" s="336">
        <v>8</v>
      </c>
      <c r="G17" s="336">
        <v>10</v>
      </c>
      <c r="H17" s="336">
        <v>87</v>
      </c>
      <c r="I17" s="336">
        <v>15</v>
      </c>
      <c r="J17" s="336">
        <v>5</v>
      </c>
      <c r="K17" s="336">
        <v>25</v>
      </c>
      <c r="L17" s="336">
        <v>129</v>
      </c>
      <c r="M17" s="336">
        <v>113</v>
      </c>
      <c r="N17" s="336">
        <v>185</v>
      </c>
      <c r="O17" s="336">
        <v>622</v>
      </c>
      <c r="P17" s="336">
        <v>445</v>
      </c>
      <c r="Q17" s="336">
        <v>384</v>
      </c>
      <c r="R17" s="336">
        <v>483</v>
      </c>
      <c r="S17" s="336">
        <v>146</v>
      </c>
      <c r="T17" s="336">
        <v>151</v>
      </c>
      <c r="U17" s="336">
        <v>314</v>
      </c>
      <c r="V17" s="336">
        <v>449</v>
      </c>
      <c r="W17" s="336">
        <v>149</v>
      </c>
      <c r="X17" s="313">
        <v>168</v>
      </c>
      <c r="Y17" s="313">
        <v>421</v>
      </c>
      <c r="Z17" s="313">
        <v>172</v>
      </c>
      <c r="AA17" s="313">
        <v>141</v>
      </c>
      <c r="AB17" s="313">
        <v>59</v>
      </c>
      <c r="AC17" s="313">
        <v>236</v>
      </c>
      <c r="AD17" s="314">
        <f>4000-1500</f>
        <v>2500</v>
      </c>
      <c r="AE17" s="314">
        <f>4250-3000</f>
        <v>1250</v>
      </c>
      <c r="AF17" s="314"/>
      <c r="AH17" s="223">
        <v>58</v>
      </c>
      <c r="AI17" s="223">
        <v>141</v>
      </c>
      <c r="AJ17" s="212">
        <v>4551</v>
      </c>
      <c r="AK17" s="209">
        <v>4461</v>
      </c>
    </row>
    <row r="18" spans="1:39" ht="15.75">
      <c r="A18" s="332" t="s">
        <v>221</v>
      </c>
      <c r="B18" s="338"/>
      <c r="C18" s="338"/>
      <c r="D18" s="338"/>
      <c r="E18" s="338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38"/>
      <c r="Q18" s="338"/>
      <c r="R18" s="338"/>
      <c r="S18" s="338"/>
      <c r="T18" s="338"/>
      <c r="U18" s="338"/>
      <c r="V18" s="338"/>
      <c r="W18" s="338"/>
      <c r="X18" s="339"/>
      <c r="Y18" s="339"/>
      <c r="Z18" s="339"/>
      <c r="AA18" s="339"/>
      <c r="AB18" s="339"/>
      <c r="AC18" s="339"/>
      <c r="AD18" s="340"/>
      <c r="AE18" s="340"/>
      <c r="AF18" s="341"/>
      <c r="AJ18" s="201"/>
      <c r="AK18" s="201"/>
    </row>
    <row r="19" spans="1:39" ht="16.5" thickBot="1">
      <c r="A19" s="309" t="s">
        <v>222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342"/>
      <c r="Y19" s="342"/>
      <c r="Z19" s="342"/>
      <c r="AA19" s="342"/>
      <c r="AB19" s="342"/>
      <c r="AC19" s="342"/>
      <c r="AD19" s="342"/>
      <c r="AE19" s="342"/>
      <c r="AF19" s="342"/>
      <c r="AJ19" s="201"/>
      <c r="AK19" s="201"/>
    </row>
    <row r="20" spans="1:39" ht="16.5">
      <c r="A20" s="343" t="s">
        <v>339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5"/>
      <c r="Y20" s="345"/>
      <c r="Z20" s="345"/>
      <c r="AA20" s="345"/>
      <c r="AB20" s="345"/>
      <c r="AC20" s="345"/>
      <c r="AD20" s="345"/>
      <c r="AE20" s="345"/>
      <c r="AF20" s="313"/>
    </row>
    <row r="21" spans="1:39" ht="15.75">
      <c r="A21" s="309" t="s">
        <v>224</v>
      </c>
      <c r="B21" s="336"/>
      <c r="C21" s="336"/>
      <c r="D21" s="336"/>
      <c r="E21" s="336"/>
      <c r="F21" s="336"/>
      <c r="G21" s="336"/>
      <c r="H21" s="336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13"/>
      <c r="Y21" s="313"/>
      <c r="Z21" s="313"/>
      <c r="AA21" s="313"/>
      <c r="AB21" s="313"/>
      <c r="AC21" s="314"/>
      <c r="AD21" s="314"/>
      <c r="AE21" s="314"/>
      <c r="AF21" s="314"/>
    </row>
    <row r="22" spans="1:39" ht="15.75">
      <c r="A22" s="332" t="s">
        <v>333</v>
      </c>
      <c r="B22" s="333">
        <v>0</v>
      </c>
      <c r="C22" s="333">
        <f>B29</f>
        <v>0</v>
      </c>
      <c r="D22" s="333">
        <f t="shared" ref="D22:AE22" si="15">C29</f>
        <v>0</v>
      </c>
      <c r="E22" s="333">
        <f t="shared" si="15"/>
        <v>0</v>
      </c>
      <c r="F22" s="333">
        <f t="shared" si="15"/>
        <v>0</v>
      </c>
      <c r="G22" s="333">
        <f t="shared" si="15"/>
        <v>0</v>
      </c>
      <c r="H22" s="333">
        <f t="shared" si="15"/>
        <v>0</v>
      </c>
      <c r="I22" s="333">
        <f t="shared" si="15"/>
        <v>2</v>
      </c>
      <c r="J22" s="333">
        <f t="shared" si="15"/>
        <v>2</v>
      </c>
      <c r="K22" s="333">
        <f t="shared" si="15"/>
        <v>2</v>
      </c>
      <c r="L22" s="333">
        <f t="shared" si="15"/>
        <v>4</v>
      </c>
      <c r="M22" s="333">
        <f t="shared" si="15"/>
        <v>5</v>
      </c>
      <c r="N22" s="333">
        <f t="shared" si="15"/>
        <v>5</v>
      </c>
      <c r="O22" s="333">
        <f t="shared" si="15"/>
        <v>5</v>
      </c>
      <c r="P22" s="333">
        <f t="shared" si="15"/>
        <v>5</v>
      </c>
      <c r="Q22" s="333">
        <f t="shared" si="15"/>
        <v>15</v>
      </c>
      <c r="R22" s="333">
        <f t="shared" si="15"/>
        <v>56</v>
      </c>
      <c r="S22" s="333">
        <f t="shared" si="15"/>
        <v>127</v>
      </c>
      <c r="T22" s="333">
        <f t="shared" si="15"/>
        <v>127</v>
      </c>
      <c r="U22" s="333">
        <f t="shared" si="15"/>
        <v>1</v>
      </c>
      <c r="V22" s="333">
        <f t="shared" si="15"/>
        <v>6</v>
      </c>
      <c r="W22" s="333">
        <f t="shared" si="15"/>
        <v>304</v>
      </c>
      <c r="X22" s="334">
        <f t="shared" si="15"/>
        <v>370</v>
      </c>
      <c r="Y22" s="334">
        <f t="shared" si="15"/>
        <v>465</v>
      </c>
      <c r="Z22" s="334">
        <f t="shared" si="15"/>
        <v>184</v>
      </c>
      <c r="AA22" s="334">
        <f t="shared" si="15"/>
        <v>334</v>
      </c>
      <c r="AB22" s="334">
        <f t="shared" si="15"/>
        <v>293</v>
      </c>
      <c r="AC22" s="334">
        <f t="shared" si="15"/>
        <v>227</v>
      </c>
      <c r="AD22" s="335">
        <f t="shared" si="15"/>
        <v>286</v>
      </c>
      <c r="AE22" s="335">
        <f t="shared" si="15"/>
        <v>350</v>
      </c>
      <c r="AF22" s="314"/>
      <c r="AH22" s="223">
        <v>293</v>
      </c>
      <c r="AI22" s="223">
        <v>227</v>
      </c>
      <c r="AJ22" s="223">
        <v>237</v>
      </c>
      <c r="AK22" s="201">
        <v>346</v>
      </c>
      <c r="AL22" s="163"/>
      <c r="AM22" s="163"/>
    </row>
    <row r="23" spans="1:39" ht="15.75">
      <c r="A23" s="309" t="s">
        <v>5</v>
      </c>
      <c r="B23" s="336">
        <f>B107</f>
        <v>835.04526759358589</v>
      </c>
      <c r="C23" s="336">
        <f t="shared" ref="C23:Z23" si="16">C107</f>
        <v>570.58011572462715</v>
      </c>
      <c r="D23" s="336">
        <f t="shared" si="16"/>
        <v>875.81363854629421</v>
      </c>
      <c r="E23" s="336">
        <f t="shared" si="16"/>
        <v>480.91249907103179</v>
      </c>
      <c r="F23" s="336">
        <f t="shared" si="16"/>
        <v>467.66200935915742</v>
      </c>
      <c r="G23" s="336">
        <f t="shared" si="16"/>
        <v>549.87861643948679</v>
      </c>
      <c r="H23" s="336">
        <f t="shared" si="16"/>
        <v>866.97040533509971</v>
      </c>
      <c r="I23" s="336">
        <f t="shared" si="16"/>
        <v>961.69822094221172</v>
      </c>
      <c r="J23" s="336">
        <f t="shared" si="16"/>
        <v>860.39168089803798</v>
      </c>
      <c r="K23" s="336">
        <f t="shared" si="16"/>
        <v>1282.9386388657922</v>
      </c>
      <c r="L23" s="336">
        <f t="shared" si="16"/>
        <v>1348.4699604743082</v>
      </c>
      <c r="M23" s="336">
        <f t="shared" si="16"/>
        <v>1110.6540266798418</v>
      </c>
      <c r="N23" s="336">
        <f t="shared" si="16"/>
        <v>1839.8052521391651</v>
      </c>
      <c r="O23" s="336">
        <f t="shared" si="16"/>
        <v>2020.04286545224</v>
      </c>
      <c r="P23" s="336">
        <f t="shared" si="16"/>
        <v>1736.8774083003354</v>
      </c>
      <c r="Q23" s="336">
        <f t="shared" si="16"/>
        <v>2468.3823545132495</v>
      </c>
      <c r="R23" s="336">
        <f t="shared" si="16"/>
        <v>2818.1267013856027</v>
      </c>
      <c r="S23" s="336">
        <f t="shared" si="16"/>
        <v>2917.9637368205913</v>
      </c>
      <c r="T23" s="336">
        <f t="shared" si="16"/>
        <v>3543.8330786072142</v>
      </c>
      <c r="U23" s="336">
        <f t="shared" si="16"/>
        <v>3075.1465910926386</v>
      </c>
      <c r="V23" s="336">
        <f t="shared" si="16"/>
        <v>4134.2461556272865</v>
      </c>
      <c r="W23" s="336">
        <f t="shared" si="16"/>
        <v>3420.5046823570278</v>
      </c>
      <c r="X23" s="313">
        <f t="shared" si="16"/>
        <v>3662.8227218524321</v>
      </c>
      <c r="Y23" s="313">
        <f t="shared" si="16"/>
        <v>4924.7030095670716</v>
      </c>
      <c r="Z23" s="313">
        <f t="shared" si="16"/>
        <v>5678.7500000000009</v>
      </c>
      <c r="AA23" s="313">
        <f>AA123*AA91</f>
        <v>6169.325687175834</v>
      </c>
      <c r="AB23" s="313">
        <f>AB123*AB91</f>
        <v>6840.4120619028108</v>
      </c>
      <c r="AC23" s="313">
        <v>7054</v>
      </c>
      <c r="AD23" s="314">
        <f>AD123*AD91</f>
        <v>4567.4413063095308</v>
      </c>
      <c r="AE23" s="314">
        <f>AE123*AE91</f>
        <v>4436.8390857958057</v>
      </c>
      <c r="AF23" s="314"/>
      <c r="AH23" s="212">
        <v>6455</v>
      </c>
      <c r="AI23" s="212">
        <v>5679</v>
      </c>
      <c r="AJ23" s="212">
        <v>4956</v>
      </c>
      <c r="AK23" s="225">
        <v>4027</v>
      </c>
      <c r="AL23" s="163"/>
      <c r="AM23" s="163"/>
    </row>
    <row r="24" spans="1:39" ht="15.75">
      <c r="A24" s="309" t="s">
        <v>6</v>
      </c>
      <c r="B24" s="336">
        <v>0</v>
      </c>
      <c r="C24" s="336">
        <v>0</v>
      </c>
      <c r="D24" s="336">
        <v>0</v>
      </c>
      <c r="E24" s="336">
        <v>0</v>
      </c>
      <c r="F24" s="336">
        <v>0</v>
      </c>
      <c r="G24" s="336">
        <v>0</v>
      </c>
      <c r="H24" s="336">
        <f t="shared" ref="H24:AC24" si="17">H139</f>
        <v>6.4879999999999995</v>
      </c>
      <c r="I24" s="336">
        <f t="shared" si="17"/>
        <v>17.5</v>
      </c>
      <c r="J24" s="336">
        <f t="shared" si="17"/>
        <v>0.34599999999999997</v>
      </c>
      <c r="K24" s="336">
        <f t="shared" si="17"/>
        <v>0</v>
      </c>
      <c r="L24" s="336">
        <f t="shared" si="17"/>
        <v>0.91900000000000004</v>
      </c>
      <c r="M24" s="336">
        <f t="shared" si="17"/>
        <v>0.05</v>
      </c>
      <c r="N24" s="336">
        <f t="shared" si="17"/>
        <v>0</v>
      </c>
      <c r="O24" s="336">
        <f t="shared" si="17"/>
        <v>0</v>
      </c>
      <c r="P24" s="336">
        <f t="shared" si="17"/>
        <v>1.0860000000000001</v>
      </c>
      <c r="Q24" s="336">
        <f t="shared" si="17"/>
        <v>0.191</v>
      </c>
      <c r="R24" s="336">
        <f t="shared" si="17"/>
        <v>0.35100000000000003</v>
      </c>
      <c r="S24" s="336">
        <f t="shared" si="17"/>
        <v>0.50900000000000001</v>
      </c>
      <c r="T24" s="336">
        <f t="shared" si="17"/>
        <v>0.59500000000000008</v>
      </c>
      <c r="U24" s="336">
        <f t="shared" si="17"/>
        <v>1.7270000000000001</v>
      </c>
      <c r="V24" s="336">
        <f t="shared" si="17"/>
        <v>4.5999999999999999E-2</v>
      </c>
      <c r="W24" s="336">
        <f t="shared" si="17"/>
        <v>5.8129999999999997</v>
      </c>
      <c r="X24" s="313">
        <f t="shared" si="17"/>
        <v>0.82099999999999995</v>
      </c>
      <c r="Y24" s="313">
        <f t="shared" si="17"/>
        <v>0.77100000000000013</v>
      </c>
      <c r="Z24" s="313">
        <f t="shared" si="17"/>
        <v>8.9120000000000008</v>
      </c>
      <c r="AA24" s="313">
        <f t="shared" si="17"/>
        <v>6.4240000000000004</v>
      </c>
      <c r="AB24" s="313">
        <f t="shared" si="17"/>
        <v>7.9249999999999989</v>
      </c>
      <c r="AC24" s="313">
        <f t="shared" si="17"/>
        <v>1.9440000000000002</v>
      </c>
      <c r="AD24" s="314">
        <v>2.1</v>
      </c>
      <c r="AE24" s="314">
        <v>0</v>
      </c>
      <c r="AF24" s="314"/>
      <c r="AH24" s="223">
        <v>10</v>
      </c>
      <c r="AI24" s="223">
        <v>2</v>
      </c>
      <c r="AJ24" s="223">
        <v>3</v>
      </c>
      <c r="AK24" s="201">
        <v>2</v>
      </c>
      <c r="AL24" s="163"/>
      <c r="AM24" s="163"/>
    </row>
    <row r="25" spans="1:39" ht="15.75">
      <c r="A25" s="332" t="s">
        <v>7</v>
      </c>
      <c r="B25" s="333">
        <f>SUM(B22:B24)</f>
        <v>835.04526759358589</v>
      </c>
      <c r="C25" s="333">
        <f t="shared" ref="C25:AB25" si="18">SUM(C22:C24)</f>
        <v>570.58011572462715</v>
      </c>
      <c r="D25" s="333">
        <f t="shared" si="18"/>
        <v>875.81363854629421</v>
      </c>
      <c r="E25" s="333">
        <f t="shared" si="18"/>
        <v>480.91249907103179</v>
      </c>
      <c r="F25" s="333">
        <f t="shared" si="18"/>
        <v>467.66200935915742</v>
      </c>
      <c r="G25" s="333">
        <f t="shared" si="18"/>
        <v>549.87861643948679</v>
      </c>
      <c r="H25" s="333">
        <f t="shared" si="18"/>
        <v>873.45840533509977</v>
      </c>
      <c r="I25" s="333">
        <f t="shared" si="18"/>
        <v>981.19822094221172</v>
      </c>
      <c r="J25" s="333">
        <f t="shared" si="18"/>
        <v>862.73768089803798</v>
      </c>
      <c r="K25" s="333">
        <f t="shared" si="18"/>
        <v>1284.9386388657922</v>
      </c>
      <c r="L25" s="333">
        <f t="shared" si="18"/>
        <v>1353.3889604743083</v>
      </c>
      <c r="M25" s="333">
        <f t="shared" si="18"/>
        <v>1115.7040266798417</v>
      </c>
      <c r="N25" s="333">
        <f t="shared" si="18"/>
        <v>1844.8052521391651</v>
      </c>
      <c r="O25" s="333">
        <f t="shared" si="18"/>
        <v>2025.04286545224</v>
      </c>
      <c r="P25" s="333">
        <f t="shared" si="18"/>
        <v>1742.9634083003355</v>
      </c>
      <c r="Q25" s="333">
        <f t="shared" si="18"/>
        <v>2483.5733545132493</v>
      </c>
      <c r="R25" s="333">
        <f t="shared" si="18"/>
        <v>2874.4777013856028</v>
      </c>
      <c r="S25" s="333">
        <f t="shared" si="18"/>
        <v>3045.4727368205913</v>
      </c>
      <c r="T25" s="333">
        <f t="shared" si="18"/>
        <v>3671.428078607214</v>
      </c>
      <c r="U25" s="333">
        <f t="shared" si="18"/>
        <v>3077.8735910926384</v>
      </c>
      <c r="V25" s="333">
        <f t="shared" si="18"/>
        <v>4140.2921556272868</v>
      </c>
      <c r="W25" s="333">
        <f t="shared" si="18"/>
        <v>3730.3176823570279</v>
      </c>
      <c r="X25" s="334">
        <f t="shared" si="18"/>
        <v>4033.643721852432</v>
      </c>
      <c r="Y25" s="334">
        <f t="shared" si="18"/>
        <v>5390.4740095670713</v>
      </c>
      <c r="Z25" s="334">
        <f t="shared" si="18"/>
        <v>5871.6620000000012</v>
      </c>
      <c r="AA25" s="334">
        <f t="shared" si="18"/>
        <v>6509.749687175834</v>
      </c>
      <c r="AB25" s="334">
        <f t="shared" si="18"/>
        <v>7141.337061902811</v>
      </c>
      <c r="AC25" s="334">
        <f>SUM(AC22:AC24)</f>
        <v>7282.9440000000004</v>
      </c>
      <c r="AD25" s="335">
        <f t="shared" ref="AD25:AE25" si="19">SUM(AD22:AD24)</f>
        <v>4855.5413063095311</v>
      </c>
      <c r="AE25" s="335">
        <f t="shared" si="19"/>
        <v>4786.8390857958057</v>
      </c>
      <c r="AF25" s="314"/>
      <c r="AH25" s="212">
        <v>6758</v>
      </c>
      <c r="AI25" s="212">
        <v>5908</v>
      </c>
      <c r="AJ25" s="212">
        <v>5196</v>
      </c>
      <c r="AK25" s="225">
        <v>4375</v>
      </c>
      <c r="AL25" s="163"/>
      <c r="AM25" s="163"/>
    </row>
    <row r="26" spans="1:39" ht="15.75">
      <c r="A26" s="309" t="s">
        <v>24</v>
      </c>
      <c r="B26" s="336">
        <f>B28-B27</f>
        <v>835.04526759358589</v>
      </c>
      <c r="C26" s="336">
        <f t="shared" ref="C26:AB26" si="20">C28-C27</f>
        <v>570.58011572462715</v>
      </c>
      <c r="D26" s="336">
        <f t="shared" si="20"/>
        <v>875.81363854629421</v>
      </c>
      <c r="E26" s="336">
        <f t="shared" si="20"/>
        <v>470.91249907103179</v>
      </c>
      <c r="F26" s="336">
        <f t="shared" si="20"/>
        <v>317.66200935915742</v>
      </c>
      <c r="G26" s="336">
        <f t="shared" si="20"/>
        <v>359.87861643948679</v>
      </c>
      <c r="H26" s="336">
        <f t="shared" si="20"/>
        <v>524.5169683350997</v>
      </c>
      <c r="I26" s="336">
        <f t="shared" si="20"/>
        <v>544.49822094221167</v>
      </c>
      <c r="J26" s="336">
        <f t="shared" si="20"/>
        <v>258.79668089803783</v>
      </c>
      <c r="K26" s="336">
        <f t="shared" si="20"/>
        <v>435.70963886579227</v>
      </c>
      <c r="L26" s="336">
        <f t="shared" si="20"/>
        <v>257.56596047430821</v>
      </c>
      <c r="M26" s="336">
        <f t="shared" si="20"/>
        <v>242.1910266798418</v>
      </c>
      <c r="N26" s="336">
        <f t="shared" si="20"/>
        <v>498.17425213916499</v>
      </c>
      <c r="O26" s="336">
        <f t="shared" si="20"/>
        <v>510.40686545224025</v>
      </c>
      <c r="P26" s="336">
        <f t="shared" si="20"/>
        <v>483.49940830033552</v>
      </c>
      <c r="Q26" s="336">
        <f t="shared" si="20"/>
        <v>159.33935451324987</v>
      </c>
      <c r="R26" s="336">
        <f t="shared" si="20"/>
        <v>231.777701385603</v>
      </c>
      <c r="S26" s="336">
        <f t="shared" si="20"/>
        <v>-51.059263179408845</v>
      </c>
      <c r="T26" s="336">
        <f t="shared" si="20"/>
        <v>-253.72392139278554</v>
      </c>
      <c r="U26" s="336">
        <f t="shared" si="20"/>
        <v>100.71959109263844</v>
      </c>
      <c r="V26" s="336">
        <f t="shared" si="20"/>
        <v>148.31315562728651</v>
      </c>
      <c r="W26" s="336">
        <f t="shared" si="20"/>
        <v>8.6246823570277229</v>
      </c>
      <c r="X26" s="313">
        <f t="shared" si="20"/>
        <v>-276.88127814756763</v>
      </c>
      <c r="Y26" s="313">
        <f t="shared" si="20"/>
        <v>379.68200956707187</v>
      </c>
      <c r="Z26" s="313">
        <f t="shared" si="20"/>
        <v>1361.7470000000012</v>
      </c>
      <c r="AA26" s="313">
        <f t="shared" si="20"/>
        <v>1428.843687175834</v>
      </c>
      <c r="AB26" s="313">
        <f t="shared" si="20"/>
        <v>1749.4860619028113</v>
      </c>
      <c r="AC26" s="313">
        <f>AC28-AC27</f>
        <v>2631.5099999999993</v>
      </c>
      <c r="AD26" s="314">
        <f t="shared" ref="AD26:AE26" si="21">AD28-AD27</f>
        <v>986.99230630953161</v>
      </c>
      <c r="AE26" s="314">
        <f t="shared" si="21"/>
        <v>1361.8390857958057</v>
      </c>
      <c r="AF26" s="314"/>
      <c r="AH26" s="212">
        <v>1350</v>
      </c>
      <c r="AI26" s="212">
        <v>1275</v>
      </c>
      <c r="AJ26" s="212">
        <v>1500</v>
      </c>
      <c r="AK26" s="225">
        <v>1250</v>
      </c>
      <c r="AL26" s="163"/>
      <c r="AM26" s="163"/>
    </row>
    <row r="27" spans="1:39" ht="15.75">
      <c r="A27" s="309" t="s">
        <v>9</v>
      </c>
      <c r="B27" s="336">
        <v>0</v>
      </c>
      <c r="C27" s="336">
        <v>0</v>
      </c>
      <c r="D27" s="336">
        <v>0</v>
      </c>
      <c r="E27" s="336">
        <v>10</v>
      </c>
      <c r="F27" s="336">
        <v>150</v>
      </c>
      <c r="G27" s="336">
        <v>190</v>
      </c>
      <c r="H27" s="336">
        <f t="shared" ref="H27:AD27" si="22">H155</f>
        <v>346.94143700000006</v>
      </c>
      <c r="I27" s="336">
        <f t="shared" si="22"/>
        <v>434.7000000000001</v>
      </c>
      <c r="J27" s="336">
        <f t="shared" si="22"/>
        <v>601.94100000000014</v>
      </c>
      <c r="K27" s="336">
        <f t="shared" si="22"/>
        <v>845.22899999999993</v>
      </c>
      <c r="L27" s="336">
        <f t="shared" si="22"/>
        <v>1090.8230000000001</v>
      </c>
      <c r="M27" s="336">
        <f t="shared" si="22"/>
        <v>868.51299999999992</v>
      </c>
      <c r="N27" s="336">
        <f t="shared" si="22"/>
        <v>1341.6310000000001</v>
      </c>
      <c r="O27" s="336">
        <f t="shared" si="22"/>
        <v>1509.6359999999997</v>
      </c>
      <c r="P27" s="336">
        <f t="shared" si="22"/>
        <v>1244.4639999999999</v>
      </c>
      <c r="Q27" s="336">
        <f t="shared" si="22"/>
        <v>2268.2339999999995</v>
      </c>
      <c r="R27" s="336">
        <f t="shared" si="22"/>
        <v>2515.6999999999998</v>
      </c>
      <c r="S27" s="336">
        <f t="shared" si="22"/>
        <v>2969.5320000000002</v>
      </c>
      <c r="T27" s="336">
        <f t="shared" si="22"/>
        <v>3924.1519999999996</v>
      </c>
      <c r="U27" s="336">
        <f t="shared" si="22"/>
        <v>2971.154</v>
      </c>
      <c r="V27" s="336">
        <f t="shared" si="22"/>
        <v>3687.9790000000003</v>
      </c>
      <c r="W27" s="336">
        <f t="shared" si="22"/>
        <v>3351.6930000000002</v>
      </c>
      <c r="X27" s="313">
        <f t="shared" si="22"/>
        <v>3845.5249999999996</v>
      </c>
      <c r="Y27" s="313">
        <f t="shared" si="22"/>
        <v>4826.7919999999995</v>
      </c>
      <c r="Z27" s="313">
        <f t="shared" si="22"/>
        <v>4175.915</v>
      </c>
      <c r="AA27" s="313">
        <f t="shared" si="22"/>
        <v>4787.9059999999999</v>
      </c>
      <c r="AB27" s="313">
        <f t="shared" si="22"/>
        <v>5164.8509999999997</v>
      </c>
      <c r="AC27" s="313">
        <f t="shared" si="22"/>
        <v>4365.4340000000011</v>
      </c>
      <c r="AD27" s="313">
        <f t="shared" si="22"/>
        <v>3518.5489999999995</v>
      </c>
      <c r="AE27" s="314">
        <f>2900-1500+1750</f>
        <v>3150</v>
      </c>
      <c r="AF27" s="314"/>
      <c r="AH27" s="212">
        <v>5181</v>
      </c>
      <c r="AI27" s="212">
        <v>4396</v>
      </c>
      <c r="AJ27" s="212">
        <v>3350</v>
      </c>
      <c r="AK27" s="225">
        <v>2900</v>
      </c>
      <c r="AL27" s="163"/>
      <c r="AM27" s="163"/>
    </row>
    <row r="28" spans="1:39" ht="15.75">
      <c r="A28" s="332" t="s">
        <v>12</v>
      </c>
      <c r="B28" s="333">
        <f>B25-B29</f>
        <v>835.04526759358589</v>
      </c>
      <c r="C28" s="333">
        <f t="shared" ref="C28:AB28" si="23">C25-C29</f>
        <v>570.58011572462715</v>
      </c>
      <c r="D28" s="333">
        <f t="shared" si="23"/>
        <v>875.81363854629421</v>
      </c>
      <c r="E28" s="333">
        <f t="shared" si="23"/>
        <v>480.91249907103179</v>
      </c>
      <c r="F28" s="333">
        <f t="shared" si="23"/>
        <v>467.66200935915742</v>
      </c>
      <c r="G28" s="333">
        <f t="shared" si="23"/>
        <v>549.87861643948679</v>
      </c>
      <c r="H28" s="333">
        <f t="shared" si="23"/>
        <v>871.45840533509977</v>
      </c>
      <c r="I28" s="333">
        <f t="shared" si="23"/>
        <v>979.19822094221172</v>
      </c>
      <c r="J28" s="333">
        <f t="shared" si="23"/>
        <v>860.73768089803798</v>
      </c>
      <c r="K28" s="333">
        <f t="shared" si="23"/>
        <v>1280.9386388657922</v>
      </c>
      <c r="L28" s="333">
        <f t="shared" si="23"/>
        <v>1348.3889604743083</v>
      </c>
      <c r="M28" s="333">
        <f t="shared" si="23"/>
        <v>1110.7040266798417</v>
      </c>
      <c r="N28" s="333">
        <f t="shared" si="23"/>
        <v>1839.8052521391651</v>
      </c>
      <c r="O28" s="333">
        <f t="shared" si="23"/>
        <v>2020.04286545224</v>
      </c>
      <c r="P28" s="333">
        <f t="shared" si="23"/>
        <v>1727.9634083003355</v>
      </c>
      <c r="Q28" s="333">
        <f t="shared" si="23"/>
        <v>2427.5733545132493</v>
      </c>
      <c r="R28" s="333">
        <f t="shared" si="23"/>
        <v>2747.4777013856028</v>
      </c>
      <c r="S28" s="333">
        <f t="shared" si="23"/>
        <v>2918.4727368205913</v>
      </c>
      <c r="T28" s="333">
        <f t="shared" si="23"/>
        <v>3670.428078607214</v>
      </c>
      <c r="U28" s="333">
        <f t="shared" si="23"/>
        <v>3071.8735910926384</v>
      </c>
      <c r="V28" s="333">
        <f t="shared" si="23"/>
        <v>3836.2921556272868</v>
      </c>
      <c r="W28" s="333">
        <f t="shared" si="23"/>
        <v>3360.3176823570279</v>
      </c>
      <c r="X28" s="334">
        <f t="shared" si="23"/>
        <v>3568.643721852432</v>
      </c>
      <c r="Y28" s="334">
        <f t="shared" si="23"/>
        <v>5206.4740095670713</v>
      </c>
      <c r="Z28" s="334">
        <f t="shared" si="23"/>
        <v>5537.6620000000012</v>
      </c>
      <c r="AA28" s="334">
        <f t="shared" si="23"/>
        <v>6216.749687175834</v>
      </c>
      <c r="AB28" s="334">
        <f t="shared" si="23"/>
        <v>6914.337061902811</v>
      </c>
      <c r="AC28" s="334">
        <f>AC25-AC29</f>
        <v>6996.9440000000004</v>
      </c>
      <c r="AD28" s="335">
        <f t="shared" ref="AD28:AE28" si="24">AD25-AD29</f>
        <v>4505.5413063095311</v>
      </c>
      <c r="AE28" s="335">
        <f t="shared" si="24"/>
        <v>4511.8390857958057</v>
      </c>
      <c r="AF28" s="314"/>
      <c r="AJ28" s="201" t="s">
        <v>218</v>
      </c>
      <c r="AK28" s="201"/>
      <c r="AL28" s="163"/>
      <c r="AM28" s="163"/>
    </row>
    <row r="29" spans="1:39" ht="15.75">
      <c r="A29" s="309" t="s">
        <v>338</v>
      </c>
      <c r="B29" s="336">
        <v>0</v>
      </c>
      <c r="C29" s="336">
        <v>0</v>
      </c>
      <c r="D29" s="336">
        <v>0</v>
      </c>
      <c r="E29" s="336">
        <v>0</v>
      </c>
      <c r="F29" s="336">
        <v>0</v>
      </c>
      <c r="G29" s="336">
        <v>0</v>
      </c>
      <c r="H29" s="336">
        <v>2</v>
      </c>
      <c r="I29" s="336">
        <v>2</v>
      </c>
      <c r="J29" s="336">
        <v>2</v>
      </c>
      <c r="K29" s="336">
        <v>4</v>
      </c>
      <c r="L29" s="336">
        <v>5</v>
      </c>
      <c r="M29" s="336">
        <v>5</v>
      </c>
      <c r="N29" s="336">
        <v>5</v>
      </c>
      <c r="O29" s="336">
        <v>5</v>
      </c>
      <c r="P29" s="336">
        <v>15</v>
      </c>
      <c r="Q29" s="336">
        <v>56</v>
      </c>
      <c r="R29" s="336">
        <v>127</v>
      </c>
      <c r="S29" s="336">
        <v>127</v>
      </c>
      <c r="T29" s="336">
        <v>1</v>
      </c>
      <c r="U29" s="336">
        <v>6</v>
      </c>
      <c r="V29" s="336">
        <v>304</v>
      </c>
      <c r="W29" s="336">
        <v>370</v>
      </c>
      <c r="X29" s="313">
        <v>465</v>
      </c>
      <c r="Y29" s="313">
        <v>184</v>
      </c>
      <c r="Z29" s="313">
        <v>334</v>
      </c>
      <c r="AA29" s="313">
        <v>293</v>
      </c>
      <c r="AB29" s="313">
        <v>227</v>
      </c>
      <c r="AC29" s="313">
        <v>286</v>
      </c>
      <c r="AD29" s="314">
        <v>350</v>
      </c>
      <c r="AE29" s="314">
        <v>275</v>
      </c>
      <c r="AF29" s="314"/>
      <c r="AH29" s="223">
        <v>227</v>
      </c>
      <c r="AI29" s="223">
        <v>237</v>
      </c>
      <c r="AJ29" s="223">
        <v>346</v>
      </c>
      <c r="AK29" s="201">
        <v>225</v>
      </c>
      <c r="AL29" s="163"/>
      <c r="AM29" s="163"/>
    </row>
    <row r="30" spans="1:39" ht="16.5" thickBot="1">
      <c r="A30" s="309" t="s">
        <v>225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342"/>
      <c r="Y30" s="342"/>
      <c r="Z30" s="342"/>
      <c r="AA30" s="342"/>
      <c r="AB30" s="342"/>
      <c r="AC30" s="342"/>
      <c r="AD30" s="342"/>
      <c r="AE30" s="342"/>
      <c r="AF30" s="342"/>
      <c r="AJ30" s="201" t="s">
        <v>218</v>
      </c>
      <c r="AK30" s="201"/>
      <c r="AL30" s="163"/>
      <c r="AM30" s="163"/>
    </row>
    <row r="31" spans="1:39" ht="15.75">
      <c r="A31" s="346" t="s">
        <v>340</v>
      </c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8"/>
      <c r="Y31" s="348"/>
      <c r="Z31" s="348"/>
      <c r="AA31" s="348"/>
      <c r="AB31" s="348"/>
      <c r="AC31" s="348"/>
      <c r="AD31" s="348"/>
      <c r="AE31" s="348"/>
      <c r="AF31" s="342"/>
      <c r="AJ31" s="201"/>
      <c r="AK31" s="201"/>
      <c r="AL31" s="163"/>
      <c r="AM31" s="163"/>
    </row>
    <row r="32" spans="1:39" ht="15.75">
      <c r="A32" s="332" t="s">
        <v>316</v>
      </c>
      <c r="B32" s="333">
        <v>206</v>
      </c>
      <c r="C32" s="333">
        <f>B42</f>
        <v>196</v>
      </c>
      <c r="D32" s="333">
        <f t="shared" ref="D32:AE32" si="25">C42</f>
        <v>107</v>
      </c>
      <c r="E32" s="333">
        <f t="shared" si="25"/>
        <v>150</v>
      </c>
      <c r="F32" s="333">
        <f t="shared" si="25"/>
        <v>25</v>
      </c>
      <c r="G32" s="333">
        <f t="shared" si="25"/>
        <v>9</v>
      </c>
      <c r="H32" s="333">
        <f t="shared" si="25"/>
        <v>7</v>
      </c>
      <c r="I32" s="333">
        <f t="shared" si="25"/>
        <v>12</v>
      </c>
      <c r="J32" s="333">
        <f t="shared" si="25"/>
        <v>15</v>
      </c>
      <c r="K32" s="333">
        <f t="shared" si="25"/>
        <v>35</v>
      </c>
      <c r="L32" s="333">
        <f t="shared" si="25"/>
        <v>9</v>
      </c>
      <c r="M32" s="333">
        <f t="shared" si="25"/>
        <v>48</v>
      </c>
      <c r="N32" s="333">
        <f t="shared" si="25"/>
        <v>293</v>
      </c>
      <c r="O32" s="333">
        <f t="shared" si="25"/>
        <v>287</v>
      </c>
      <c r="P32" s="333">
        <f t="shared" si="25"/>
        <v>90</v>
      </c>
      <c r="Q32" s="333">
        <f t="shared" si="25"/>
        <v>148</v>
      </c>
      <c r="R32" s="333">
        <f t="shared" si="25"/>
        <v>266</v>
      </c>
      <c r="S32" s="333">
        <f t="shared" si="25"/>
        <v>144</v>
      </c>
      <c r="T32" s="333">
        <f t="shared" si="25"/>
        <v>298</v>
      </c>
      <c r="U32" s="333">
        <f t="shared" si="25"/>
        <v>462</v>
      </c>
      <c r="V32" s="333">
        <f t="shared" si="25"/>
        <v>306</v>
      </c>
      <c r="W32" s="333">
        <f t="shared" si="25"/>
        <v>335</v>
      </c>
      <c r="X32" s="334">
        <f t="shared" si="25"/>
        <v>294</v>
      </c>
      <c r="Y32" s="334">
        <f t="shared" si="25"/>
        <v>215</v>
      </c>
      <c r="Z32" s="334">
        <f t="shared" si="25"/>
        <v>255</v>
      </c>
      <c r="AA32" s="334">
        <f t="shared" si="25"/>
        <v>279</v>
      </c>
      <c r="AB32" s="334">
        <f t="shared" si="25"/>
        <v>35</v>
      </c>
      <c r="AC32" s="334">
        <f t="shared" si="25"/>
        <v>189</v>
      </c>
      <c r="AD32" s="335">
        <f t="shared" si="25"/>
        <v>269</v>
      </c>
      <c r="AE32" s="335">
        <f t="shared" si="25"/>
        <v>450</v>
      </c>
      <c r="AF32" s="314"/>
      <c r="AH32" s="223">
        <v>35</v>
      </c>
      <c r="AI32" s="223">
        <v>189</v>
      </c>
      <c r="AJ32" s="223">
        <v>269</v>
      </c>
      <c r="AK32" s="201">
        <v>414</v>
      </c>
      <c r="AL32" s="163"/>
      <c r="AM32" s="163"/>
    </row>
    <row r="33" spans="1:39" ht="15.75">
      <c r="A33" s="309" t="s">
        <v>5</v>
      </c>
      <c r="B33" s="336">
        <v>767</v>
      </c>
      <c r="C33" s="336">
        <f>C234</f>
        <v>587.99999999999977</v>
      </c>
      <c r="D33" s="336">
        <f t="shared" ref="D33:AC33" si="26">D234</f>
        <v>943.00000000000011</v>
      </c>
      <c r="E33" s="336">
        <f t="shared" si="26"/>
        <v>429.99999999999994</v>
      </c>
      <c r="F33" s="336">
        <f t="shared" si="26"/>
        <v>505.00000000000011</v>
      </c>
      <c r="G33" s="336">
        <f t="shared" si="26"/>
        <v>560</v>
      </c>
      <c r="H33" s="336">
        <f t="shared" si="26"/>
        <v>879.99999999999989</v>
      </c>
      <c r="I33" s="336">
        <f t="shared" si="26"/>
        <v>975.99999999999989</v>
      </c>
      <c r="J33" s="336">
        <f t="shared" si="26"/>
        <v>880.99999999999989</v>
      </c>
      <c r="K33" s="336">
        <f t="shared" si="26"/>
        <v>1281.5</v>
      </c>
      <c r="L33" s="336">
        <f t="shared" si="26"/>
        <v>1338.1</v>
      </c>
      <c r="M33" s="336">
        <f t="shared" si="26"/>
        <v>1151.3</v>
      </c>
      <c r="N33" s="336">
        <f t="shared" si="26"/>
        <v>1868.3999999999999</v>
      </c>
      <c r="O33" s="336">
        <f t="shared" si="26"/>
        <v>2096.8999999999996</v>
      </c>
      <c r="P33" s="336">
        <f t="shared" si="26"/>
        <v>1755.5</v>
      </c>
      <c r="Q33" s="336">
        <f t="shared" si="26"/>
        <v>2535.6999999999998</v>
      </c>
      <c r="R33" s="336">
        <f t="shared" si="26"/>
        <v>2878.3999999999996</v>
      </c>
      <c r="S33" s="336">
        <f t="shared" si="26"/>
        <v>3017.9</v>
      </c>
      <c r="T33" s="336">
        <f t="shared" si="26"/>
        <v>3624.2999999999997</v>
      </c>
      <c r="U33" s="336">
        <f t="shared" si="26"/>
        <v>3135</v>
      </c>
      <c r="V33" s="336">
        <f t="shared" si="26"/>
        <v>4232.1000000000004</v>
      </c>
      <c r="W33" s="336">
        <f t="shared" si="26"/>
        <v>3565.4</v>
      </c>
      <c r="X33" s="313">
        <f t="shared" si="26"/>
        <v>3913.3</v>
      </c>
      <c r="Y33" s="313">
        <f t="shared" si="26"/>
        <v>6351</v>
      </c>
      <c r="Z33" s="313">
        <f t="shared" si="26"/>
        <v>5913</v>
      </c>
      <c r="AA33" s="313">
        <f t="shared" si="26"/>
        <v>6364</v>
      </c>
      <c r="AB33" s="313">
        <f t="shared" si="26"/>
        <v>7390</v>
      </c>
      <c r="AC33" s="313">
        <f t="shared" si="26"/>
        <v>5934</v>
      </c>
      <c r="AD33" s="314">
        <f>AD234</f>
        <v>4792.7487450470471</v>
      </c>
      <c r="AE33" s="314">
        <f>AE234</f>
        <v>4600.963026888031</v>
      </c>
      <c r="AF33" s="314"/>
      <c r="AH33" s="212">
        <v>7390</v>
      </c>
      <c r="AI33" s="212">
        <v>5913</v>
      </c>
      <c r="AJ33" s="212">
        <v>5160</v>
      </c>
      <c r="AK33" s="225">
        <v>4193</v>
      </c>
      <c r="AL33" s="163"/>
      <c r="AM33" s="163"/>
    </row>
    <row r="34" spans="1:39" ht="15.75">
      <c r="A34" s="309" t="s">
        <v>6</v>
      </c>
      <c r="B34" s="336">
        <v>0</v>
      </c>
      <c r="C34" s="336">
        <v>5</v>
      </c>
      <c r="D34" s="336">
        <v>0</v>
      </c>
      <c r="E34" s="336">
        <v>30</v>
      </c>
      <c r="F34" s="336">
        <v>15</v>
      </c>
      <c r="G34" s="336">
        <v>30</v>
      </c>
      <c r="H34" s="336">
        <v>0</v>
      </c>
      <c r="I34" s="336">
        <v>0</v>
      </c>
      <c r="J34" s="336">
        <f t="shared" ref="J34:AB34" si="27">J282</f>
        <v>6.7000000000000004E-2</v>
      </c>
      <c r="K34" s="336">
        <f t="shared" si="27"/>
        <v>1.3039999999999998</v>
      </c>
      <c r="L34" s="336">
        <f t="shared" si="27"/>
        <v>0.13100000000000001</v>
      </c>
      <c r="M34" s="336">
        <f t="shared" si="27"/>
        <v>2.3129999999999993</v>
      </c>
      <c r="N34" s="336">
        <f t="shared" si="27"/>
        <v>0.11700000000000001</v>
      </c>
      <c r="O34" s="336">
        <f t="shared" si="27"/>
        <v>0.26600000000000001</v>
      </c>
      <c r="P34" s="336">
        <f t="shared" si="27"/>
        <v>0.873</v>
      </c>
      <c r="Q34" s="336">
        <f t="shared" si="27"/>
        <v>0.495</v>
      </c>
      <c r="R34" s="336">
        <f t="shared" si="27"/>
        <v>1.0760000000000001</v>
      </c>
      <c r="S34" s="336">
        <f t="shared" si="27"/>
        <v>1.147</v>
      </c>
      <c r="T34" s="336">
        <f t="shared" si="27"/>
        <v>1.4180000000000001</v>
      </c>
      <c r="U34" s="336">
        <f t="shared" si="27"/>
        <v>1.5099999999999998</v>
      </c>
      <c r="V34" s="336">
        <f t="shared" si="27"/>
        <v>1.4660000000000002</v>
      </c>
      <c r="W34" s="336">
        <f t="shared" si="27"/>
        <v>1.611</v>
      </c>
      <c r="X34" s="313">
        <f t="shared" si="27"/>
        <v>0.97199999999999998</v>
      </c>
      <c r="Y34" s="313">
        <f t="shared" si="27"/>
        <v>0.29499999999999998</v>
      </c>
      <c r="Z34" s="313">
        <f t="shared" si="27"/>
        <v>0.67800000000000005</v>
      </c>
      <c r="AA34" s="313">
        <f t="shared" si="27"/>
        <v>8.6000000000000007E-2</v>
      </c>
      <c r="AB34" s="313">
        <f t="shared" si="27"/>
        <v>0.115</v>
      </c>
      <c r="AC34" s="313">
        <f>1-0.8</f>
        <v>0.19999999999999996</v>
      </c>
      <c r="AD34" s="314">
        <v>0.1</v>
      </c>
      <c r="AE34" s="314">
        <v>0</v>
      </c>
      <c r="AF34" s="314"/>
      <c r="AH34" s="223">
        <v>0</v>
      </c>
      <c r="AI34" s="223">
        <v>0</v>
      </c>
      <c r="AJ34" s="223">
        <v>0</v>
      </c>
      <c r="AK34" s="201">
        <v>0</v>
      </c>
      <c r="AL34" s="163"/>
      <c r="AM34" s="163"/>
    </row>
    <row r="35" spans="1:39" ht="15.75">
      <c r="A35" s="332" t="s">
        <v>7</v>
      </c>
      <c r="B35" s="333">
        <f>SUM(B32:B34)</f>
        <v>973</v>
      </c>
      <c r="C35" s="333">
        <f t="shared" ref="C35:AE35" si="28">SUM(C32:C34)</f>
        <v>788.99999999999977</v>
      </c>
      <c r="D35" s="333">
        <f t="shared" si="28"/>
        <v>1050</v>
      </c>
      <c r="E35" s="333">
        <f t="shared" si="28"/>
        <v>610</v>
      </c>
      <c r="F35" s="333">
        <f t="shared" si="28"/>
        <v>545.00000000000011</v>
      </c>
      <c r="G35" s="333">
        <f t="shared" si="28"/>
        <v>599</v>
      </c>
      <c r="H35" s="333">
        <f t="shared" si="28"/>
        <v>886.99999999999989</v>
      </c>
      <c r="I35" s="333">
        <f t="shared" si="28"/>
        <v>987.99999999999989</v>
      </c>
      <c r="J35" s="333">
        <f t="shared" si="28"/>
        <v>896.06699999999989</v>
      </c>
      <c r="K35" s="333">
        <f t="shared" si="28"/>
        <v>1317.8040000000001</v>
      </c>
      <c r="L35" s="333">
        <f t="shared" si="28"/>
        <v>1347.231</v>
      </c>
      <c r="M35" s="333">
        <f t="shared" si="28"/>
        <v>1201.6130000000001</v>
      </c>
      <c r="N35" s="333">
        <f t="shared" si="28"/>
        <v>2161.5169999999998</v>
      </c>
      <c r="O35" s="333">
        <f t="shared" si="28"/>
        <v>2384.1659999999997</v>
      </c>
      <c r="P35" s="333">
        <f t="shared" si="28"/>
        <v>1846.373</v>
      </c>
      <c r="Q35" s="333">
        <f t="shared" si="28"/>
        <v>2684.1949999999997</v>
      </c>
      <c r="R35" s="333">
        <f t="shared" si="28"/>
        <v>3145.4759999999997</v>
      </c>
      <c r="S35" s="333">
        <f t="shared" si="28"/>
        <v>3163.047</v>
      </c>
      <c r="T35" s="333">
        <f t="shared" si="28"/>
        <v>3923.7179999999998</v>
      </c>
      <c r="U35" s="333">
        <f t="shared" si="28"/>
        <v>3598.51</v>
      </c>
      <c r="V35" s="333">
        <f t="shared" si="28"/>
        <v>4539.5660000000007</v>
      </c>
      <c r="W35" s="333">
        <f t="shared" si="28"/>
        <v>3902.011</v>
      </c>
      <c r="X35" s="334">
        <f t="shared" si="28"/>
        <v>4208.2719999999999</v>
      </c>
      <c r="Y35" s="334">
        <f t="shared" si="28"/>
        <v>6566.2950000000001</v>
      </c>
      <c r="Z35" s="334">
        <f t="shared" si="28"/>
        <v>6168.6779999999999</v>
      </c>
      <c r="AA35" s="334">
        <f t="shared" si="28"/>
        <v>6643.0860000000002</v>
      </c>
      <c r="AB35" s="334">
        <f t="shared" si="28"/>
        <v>7425.1149999999998</v>
      </c>
      <c r="AC35" s="334">
        <f t="shared" si="28"/>
        <v>6123.2</v>
      </c>
      <c r="AD35" s="335">
        <f t="shared" si="28"/>
        <v>5061.8487450470475</v>
      </c>
      <c r="AE35" s="335">
        <f t="shared" si="28"/>
        <v>5050.963026888031</v>
      </c>
      <c r="AF35" s="314"/>
      <c r="AH35" s="212">
        <v>7425</v>
      </c>
      <c r="AI35" s="212">
        <v>6102</v>
      </c>
      <c r="AJ35" s="212">
        <v>5429</v>
      </c>
      <c r="AK35" s="225">
        <v>4607</v>
      </c>
      <c r="AL35" s="163"/>
      <c r="AM35" s="163"/>
    </row>
    <row r="36" spans="1:39" ht="15.75">
      <c r="A36" s="309" t="s">
        <v>24</v>
      </c>
      <c r="B36" s="336">
        <f>B41-B40</f>
        <v>384</v>
      </c>
      <c r="C36" s="336">
        <f t="shared" ref="C36:AB36" si="29">C41-C40</f>
        <v>533.99999999999977</v>
      </c>
      <c r="D36" s="336">
        <f t="shared" si="29"/>
        <v>540</v>
      </c>
      <c r="E36" s="336">
        <f t="shared" si="29"/>
        <v>420.9</v>
      </c>
      <c r="F36" s="336">
        <f t="shared" si="29"/>
        <v>356.80000000000007</v>
      </c>
      <c r="G36" s="336">
        <f t="shared" si="29"/>
        <v>382</v>
      </c>
      <c r="H36" s="336">
        <f t="shared" si="29"/>
        <v>425.29499298999991</v>
      </c>
      <c r="I36" s="336">
        <f t="shared" si="29"/>
        <v>411.69999999999982</v>
      </c>
      <c r="J36" s="336">
        <f t="shared" si="29"/>
        <v>415.06689814999982</v>
      </c>
      <c r="K36" s="336">
        <f t="shared" si="29"/>
        <v>401.63400000000013</v>
      </c>
      <c r="L36" s="336">
        <f t="shared" si="29"/>
        <v>327.34100000000012</v>
      </c>
      <c r="M36" s="336">
        <f t="shared" si="29"/>
        <v>251.95200000000023</v>
      </c>
      <c r="N36" s="336">
        <f t="shared" si="29"/>
        <v>288.29099999999994</v>
      </c>
      <c r="O36" s="336">
        <f t="shared" si="29"/>
        <v>467.76399999999967</v>
      </c>
      <c r="P36" s="336">
        <f t="shared" si="29"/>
        <v>361.50600000000009</v>
      </c>
      <c r="Q36" s="336">
        <f t="shared" si="29"/>
        <v>222.97499999999945</v>
      </c>
      <c r="R36" s="336">
        <f t="shared" si="29"/>
        <v>451.05299999999943</v>
      </c>
      <c r="S36" s="336">
        <f t="shared" si="29"/>
        <v>213.83399999999983</v>
      </c>
      <c r="T36" s="336">
        <f t="shared" si="29"/>
        <v>1.7359999999994216</v>
      </c>
      <c r="U36" s="336">
        <f t="shared" si="29"/>
        <v>176.21199999999999</v>
      </c>
      <c r="V36" s="336">
        <f t="shared" si="29"/>
        <v>-117.97699999999895</v>
      </c>
      <c r="W36" s="336">
        <f t="shared" si="29"/>
        <v>-132.46200000000044</v>
      </c>
      <c r="X36" s="313">
        <f t="shared" si="29"/>
        <v>-614.96200000000044</v>
      </c>
      <c r="Y36" s="313">
        <f t="shared" si="29"/>
        <v>422.56131800000003</v>
      </c>
      <c r="Z36" s="313">
        <f t="shared" si="29"/>
        <v>607.42230299999937</v>
      </c>
      <c r="AA36" s="313">
        <f t="shared" si="29"/>
        <v>566.99093500000072</v>
      </c>
      <c r="AB36" s="313">
        <f t="shared" si="29"/>
        <v>474.11562099999901</v>
      </c>
      <c r="AC36" s="313">
        <f>AC41-AC40</f>
        <v>607.61725399999978</v>
      </c>
      <c r="AD36" s="314">
        <f>AD41-AD40</f>
        <v>211.84874504704749</v>
      </c>
      <c r="AE36" s="314">
        <f>AE41-AE40</f>
        <v>375.96302688803098</v>
      </c>
      <c r="AF36" s="314"/>
      <c r="AH36" s="223">
        <v>550</v>
      </c>
      <c r="AI36" s="223">
        <v>560</v>
      </c>
      <c r="AJ36" s="223">
        <v>665</v>
      </c>
      <c r="AK36" s="201">
        <v>575</v>
      </c>
      <c r="AL36" s="163"/>
      <c r="AM36" s="163"/>
    </row>
    <row r="37" spans="1:39" ht="15.75">
      <c r="A37" s="309" t="s">
        <v>30</v>
      </c>
      <c r="B37" s="336">
        <v>0</v>
      </c>
      <c r="C37" s="336">
        <v>0</v>
      </c>
      <c r="D37" s="336">
        <v>0</v>
      </c>
      <c r="E37" s="336">
        <v>34</v>
      </c>
      <c r="F37" s="336">
        <v>20</v>
      </c>
      <c r="G37" s="336">
        <v>10</v>
      </c>
      <c r="H37" s="336">
        <v>10</v>
      </c>
      <c r="I37" s="336">
        <v>10</v>
      </c>
      <c r="J37" s="336">
        <v>10</v>
      </c>
      <c r="K37" s="336">
        <v>10</v>
      </c>
      <c r="L37" s="336">
        <v>10</v>
      </c>
      <c r="M37" s="336">
        <v>15</v>
      </c>
      <c r="N37" s="336">
        <v>15</v>
      </c>
      <c r="O37" s="336">
        <v>10</v>
      </c>
      <c r="P37" s="336">
        <v>15</v>
      </c>
      <c r="Q37" s="336">
        <v>15</v>
      </c>
      <c r="R37" s="336">
        <v>10</v>
      </c>
      <c r="S37" s="336">
        <v>30</v>
      </c>
      <c r="T37" s="336">
        <v>30</v>
      </c>
      <c r="U37" s="336">
        <v>30</v>
      </c>
      <c r="V37" s="336">
        <v>30</v>
      </c>
      <c r="W37" s="336">
        <v>30</v>
      </c>
      <c r="X37" s="313">
        <v>30</v>
      </c>
      <c r="Y37" s="313">
        <v>30</v>
      </c>
      <c r="Z37" s="313">
        <v>30</v>
      </c>
      <c r="AA37" s="313">
        <v>30</v>
      </c>
      <c r="AB37" s="313">
        <v>30</v>
      </c>
      <c r="AC37" s="313">
        <v>40</v>
      </c>
      <c r="AD37" s="314">
        <v>40</v>
      </c>
      <c r="AE37" s="314">
        <v>40</v>
      </c>
      <c r="AF37" s="314"/>
      <c r="AH37" s="223">
        <v>30</v>
      </c>
      <c r="AI37" s="223">
        <v>40</v>
      </c>
      <c r="AJ37" s="223">
        <v>40</v>
      </c>
      <c r="AK37" s="201">
        <v>40</v>
      </c>
      <c r="AL37" s="163"/>
      <c r="AM37" s="163"/>
    </row>
    <row r="38" spans="1:39" ht="15.75">
      <c r="A38" s="309" t="s">
        <v>31</v>
      </c>
      <c r="B38" s="336">
        <v>0</v>
      </c>
      <c r="C38" s="336">
        <v>0</v>
      </c>
      <c r="D38" s="336">
        <v>0</v>
      </c>
      <c r="E38" s="336">
        <v>0</v>
      </c>
      <c r="F38" s="336">
        <v>0</v>
      </c>
      <c r="G38" s="336">
        <v>2</v>
      </c>
      <c r="H38" s="336">
        <v>15</v>
      </c>
      <c r="I38" s="336">
        <v>7</v>
      </c>
      <c r="J38" s="336">
        <v>0</v>
      </c>
      <c r="K38" s="336">
        <v>0</v>
      </c>
      <c r="L38" s="336">
        <v>0</v>
      </c>
      <c r="M38" s="336">
        <v>0</v>
      </c>
      <c r="N38" s="336">
        <v>0</v>
      </c>
      <c r="O38" s="336">
        <v>0</v>
      </c>
      <c r="P38" s="336">
        <v>0</v>
      </c>
      <c r="Q38" s="336">
        <v>0</v>
      </c>
      <c r="R38" s="336">
        <v>0</v>
      </c>
      <c r="S38" s="336">
        <v>0</v>
      </c>
      <c r="T38" s="336">
        <v>0</v>
      </c>
      <c r="U38" s="336">
        <v>0</v>
      </c>
      <c r="V38" s="336">
        <v>0</v>
      </c>
      <c r="W38" s="336">
        <v>0</v>
      </c>
      <c r="X38" s="313">
        <v>0</v>
      </c>
      <c r="Y38" s="313">
        <v>0</v>
      </c>
      <c r="Z38" s="313">
        <v>0</v>
      </c>
      <c r="AA38" s="313">
        <v>0</v>
      </c>
      <c r="AB38" s="313">
        <v>0</v>
      </c>
      <c r="AC38" s="313">
        <v>0</v>
      </c>
      <c r="AD38" s="314">
        <v>50</v>
      </c>
      <c r="AE38" s="314">
        <v>0</v>
      </c>
      <c r="AF38" s="314"/>
      <c r="AH38" s="223">
        <v>0</v>
      </c>
      <c r="AI38" s="223">
        <v>0</v>
      </c>
      <c r="AJ38" s="223">
        <v>50</v>
      </c>
      <c r="AK38" s="201">
        <v>0</v>
      </c>
      <c r="AL38" s="163"/>
      <c r="AM38" s="163"/>
    </row>
    <row r="39" spans="1:39" ht="15.75">
      <c r="A39" s="309" t="s">
        <v>32</v>
      </c>
      <c r="B39" s="336">
        <f>B36-B37</f>
        <v>384</v>
      </c>
      <c r="C39" s="336">
        <f t="shared" ref="C39:AC39" si="30">C36-C37</f>
        <v>533.99999999999977</v>
      </c>
      <c r="D39" s="336">
        <f t="shared" si="30"/>
        <v>540</v>
      </c>
      <c r="E39" s="336">
        <f t="shared" si="30"/>
        <v>386.9</v>
      </c>
      <c r="F39" s="336">
        <f t="shared" si="30"/>
        <v>336.80000000000007</v>
      </c>
      <c r="G39" s="336">
        <f t="shared" si="30"/>
        <v>372</v>
      </c>
      <c r="H39" s="336">
        <f t="shared" si="30"/>
        <v>415.29499298999991</v>
      </c>
      <c r="I39" s="336">
        <f t="shared" si="30"/>
        <v>401.69999999999982</v>
      </c>
      <c r="J39" s="336">
        <f t="shared" si="30"/>
        <v>405.06689814999982</v>
      </c>
      <c r="K39" s="336">
        <f t="shared" si="30"/>
        <v>391.63400000000013</v>
      </c>
      <c r="L39" s="336">
        <f t="shared" si="30"/>
        <v>317.34100000000012</v>
      </c>
      <c r="M39" s="336">
        <f t="shared" si="30"/>
        <v>236.95200000000023</v>
      </c>
      <c r="N39" s="336">
        <f t="shared" si="30"/>
        <v>273.29099999999994</v>
      </c>
      <c r="O39" s="336">
        <f t="shared" si="30"/>
        <v>457.76399999999967</v>
      </c>
      <c r="P39" s="336">
        <f t="shared" si="30"/>
        <v>346.50600000000009</v>
      </c>
      <c r="Q39" s="336">
        <f t="shared" si="30"/>
        <v>207.97499999999945</v>
      </c>
      <c r="R39" s="336">
        <f t="shared" si="30"/>
        <v>441.05299999999943</v>
      </c>
      <c r="S39" s="336">
        <f t="shared" si="30"/>
        <v>183.83399999999983</v>
      </c>
      <c r="T39" s="336">
        <f t="shared" si="30"/>
        <v>-28.264000000000578</v>
      </c>
      <c r="U39" s="336">
        <f t="shared" si="30"/>
        <v>146.21199999999999</v>
      </c>
      <c r="V39" s="336">
        <f t="shared" si="30"/>
        <v>-147.97699999999895</v>
      </c>
      <c r="W39" s="336">
        <f t="shared" si="30"/>
        <v>-162.46200000000044</v>
      </c>
      <c r="X39" s="313">
        <f t="shared" si="30"/>
        <v>-644.96200000000044</v>
      </c>
      <c r="Y39" s="313">
        <f t="shared" si="30"/>
        <v>392.56131800000003</v>
      </c>
      <c r="Z39" s="313">
        <f t="shared" si="30"/>
        <v>577.42230299999937</v>
      </c>
      <c r="AA39" s="313">
        <f t="shared" si="30"/>
        <v>536.99093500000072</v>
      </c>
      <c r="AB39" s="313">
        <f t="shared" si="30"/>
        <v>444.11562099999901</v>
      </c>
      <c r="AC39" s="313">
        <f t="shared" si="30"/>
        <v>567.61725399999978</v>
      </c>
      <c r="AD39" s="314">
        <f>AD36-AD37</f>
        <v>171.84874504704749</v>
      </c>
      <c r="AE39" s="314">
        <f>AE36-AE37</f>
        <v>335.96302688803098</v>
      </c>
      <c r="AF39" s="314"/>
      <c r="AH39" s="223">
        <v>520</v>
      </c>
      <c r="AI39" s="223">
        <v>520</v>
      </c>
      <c r="AJ39" s="223">
        <v>575</v>
      </c>
      <c r="AK39" s="201">
        <v>535</v>
      </c>
      <c r="AL39" s="163"/>
      <c r="AM39" s="163"/>
    </row>
    <row r="40" spans="1:39" ht="15.75">
      <c r="A40" s="309" t="s">
        <v>9</v>
      </c>
      <c r="B40" s="336">
        <v>393</v>
      </c>
      <c r="C40" s="336">
        <v>148</v>
      </c>
      <c r="D40" s="336">
        <v>360</v>
      </c>
      <c r="E40" s="336">
        <f t="shared" ref="E40:AC40" si="31">E298</f>
        <v>164.1</v>
      </c>
      <c r="F40" s="336">
        <f t="shared" si="31"/>
        <v>179.20000000000005</v>
      </c>
      <c r="G40" s="336">
        <f t="shared" si="31"/>
        <v>210</v>
      </c>
      <c r="H40" s="336">
        <f t="shared" si="31"/>
        <v>449.70500700999997</v>
      </c>
      <c r="I40" s="336">
        <f t="shared" si="31"/>
        <v>561.30000000000007</v>
      </c>
      <c r="J40" s="336">
        <f t="shared" si="31"/>
        <v>446.00010185000008</v>
      </c>
      <c r="K40" s="336">
        <f t="shared" si="31"/>
        <v>907.17</v>
      </c>
      <c r="L40" s="336">
        <f t="shared" si="31"/>
        <v>971.88999999999987</v>
      </c>
      <c r="M40" s="336">
        <f t="shared" si="31"/>
        <v>656.66099999999983</v>
      </c>
      <c r="N40" s="336">
        <f t="shared" si="31"/>
        <v>1586.2259999999999</v>
      </c>
      <c r="O40" s="336">
        <f t="shared" si="31"/>
        <v>1826.402</v>
      </c>
      <c r="P40" s="336">
        <f t="shared" si="31"/>
        <v>1336.867</v>
      </c>
      <c r="Q40" s="336">
        <f t="shared" si="31"/>
        <v>2195.2200000000003</v>
      </c>
      <c r="R40" s="336">
        <f t="shared" si="31"/>
        <v>2550.4230000000002</v>
      </c>
      <c r="S40" s="336">
        <f t="shared" si="31"/>
        <v>2651.2130000000002</v>
      </c>
      <c r="T40" s="336">
        <f t="shared" si="31"/>
        <v>3459.9820000000004</v>
      </c>
      <c r="U40" s="336">
        <f t="shared" si="31"/>
        <v>3116.2980000000002</v>
      </c>
      <c r="V40" s="336">
        <f t="shared" si="31"/>
        <v>4322.5429999999997</v>
      </c>
      <c r="W40" s="336">
        <f t="shared" si="31"/>
        <v>3740.4730000000004</v>
      </c>
      <c r="X40" s="313">
        <f t="shared" si="31"/>
        <v>4608.2340000000004</v>
      </c>
      <c r="Y40" s="313">
        <f t="shared" si="31"/>
        <v>5888.733682</v>
      </c>
      <c r="Z40" s="313">
        <f t="shared" si="31"/>
        <v>5282.2556970000005</v>
      </c>
      <c r="AA40" s="313">
        <f t="shared" si="31"/>
        <v>6041.0950649999995</v>
      </c>
      <c r="AB40" s="313">
        <f t="shared" si="31"/>
        <v>6761.9993790000008</v>
      </c>
      <c r="AC40" s="313">
        <f t="shared" si="31"/>
        <v>5246.582746</v>
      </c>
      <c r="AD40" s="314">
        <f>4150-350+600</f>
        <v>4400</v>
      </c>
      <c r="AE40" s="314">
        <f>3800-2300+2800</f>
        <v>4300</v>
      </c>
      <c r="AF40" s="314"/>
      <c r="AH40" s="212">
        <v>6686</v>
      </c>
      <c r="AI40" s="212">
        <v>5273</v>
      </c>
      <c r="AJ40" s="212">
        <v>4350</v>
      </c>
      <c r="AK40" s="225">
        <v>3800</v>
      </c>
      <c r="AL40" s="163"/>
      <c r="AM40" s="163"/>
    </row>
    <row r="41" spans="1:39" ht="15.75">
      <c r="A41" s="332" t="s">
        <v>12</v>
      </c>
      <c r="B41" s="333">
        <f>B35-B42</f>
        <v>777</v>
      </c>
      <c r="C41" s="333">
        <f t="shared" ref="C41:AE41" si="32">C35-C42</f>
        <v>681.99999999999977</v>
      </c>
      <c r="D41" s="333">
        <f t="shared" si="32"/>
        <v>900</v>
      </c>
      <c r="E41" s="333">
        <f t="shared" si="32"/>
        <v>585</v>
      </c>
      <c r="F41" s="333">
        <f t="shared" si="32"/>
        <v>536.00000000000011</v>
      </c>
      <c r="G41" s="333">
        <f t="shared" si="32"/>
        <v>592</v>
      </c>
      <c r="H41" s="333">
        <f t="shared" si="32"/>
        <v>874.99999999999989</v>
      </c>
      <c r="I41" s="333">
        <f t="shared" si="32"/>
        <v>972.99999999999989</v>
      </c>
      <c r="J41" s="333">
        <f t="shared" si="32"/>
        <v>861.06699999999989</v>
      </c>
      <c r="K41" s="333">
        <f t="shared" si="32"/>
        <v>1308.8040000000001</v>
      </c>
      <c r="L41" s="333">
        <f t="shared" si="32"/>
        <v>1299.231</v>
      </c>
      <c r="M41" s="333">
        <f t="shared" si="32"/>
        <v>908.61300000000006</v>
      </c>
      <c r="N41" s="333">
        <f t="shared" si="32"/>
        <v>1874.5169999999998</v>
      </c>
      <c r="O41" s="333">
        <f t="shared" si="32"/>
        <v>2294.1659999999997</v>
      </c>
      <c r="P41" s="333">
        <f t="shared" si="32"/>
        <v>1698.373</v>
      </c>
      <c r="Q41" s="333">
        <f t="shared" si="32"/>
        <v>2418.1949999999997</v>
      </c>
      <c r="R41" s="333">
        <f t="shared" si="32"/>
        <v>3001.4759999999997</v>
      </c>
      <c r="S41" s="333">
        <f t="shared" si="32"/>
        <v>2865.047</v>
      </c>
      <c r="T41" s="333">
        <f t="shared" si="32"/>
        <v>3461.7179999999998</v>
      </c>
      <c r="U41" s="333">
        <f t="shared" si="32"/>
        <v>3292.51</v>
      </c>
      <c r="V41" s="333">
        <f t="shared" si="32"/>
        <v>4204.5660000000007</v>
      </c>
      <c r="W41" s="333">
        <f t="shared" si="32"/>
        <v>3608.011</v>
      </c>
      <c r="X41" s="334">
        <f t="shared" si="32"/>
        <v>3993.2719999999999</v>
      </c>
      <c r="Y41" s="334">
        <f t="shared" si="32"/>
        <v>6311.2950000000001</v>
      </c>
      <c r="Z41" s="334">
        <f t="shared" si="32"/>
        <v>5889.6779999999999</v>
      </c>
      <c r="AA41" s="334">
        <f t="shared" si="32"/>
        <v>6608.0860000000002</v>
      </c>
      <c r="AB41" s="334">
        <f t="shared" si="32"/>
        <v>7236.1149999999998</v>
      </c>
      <c r="AC41" s="334">
        <f t="shared" si="32"/>
        <v>5854.2</v>
      </c>
      <c r="AD41" s="335">
        <f t="shared" si="32"/>
        <v>4611.8487450470475</v>
      </c>
      <c r="AE41" s="335">
        <f t="shared" si="32"/>
        <v>4675.963026888031</v>
      </c>
      <c r="AF41" s="314"/>
      <c r="AJ41" s="201" t="s">
        <v>218</v>
      </c>
      <c r="AK41" s="201"/>
      <c r="AL41" s="163"/>
      <c r="AM41" s="163"/>
    </row>
    <row r="42" spans="1:39" ht="16.5" thickBot="1">
      <c r="A42" s="309" t="s">
        <v>317</v>
      </c>
      <c r="B42" s="336">
        <v>196</v>
      </c>
      <c r="C42" s="336">
        <v>107</v>
      </c>
      <c r="D42" s="336">
        <v>150</v>
      </c>
      <c r="E42" s="336">
        <v>25</v>
      </c>
      <c r="F42" s="336">
        <v>9</v>
      </c>
      <c r="G42" s="336">
        <v>7</v>
      </c>
      <c r="H42" s="336">
        <v>12</v>
      </c>
      <c r="I42" s="336">
        <v>15</v>
      </c>
      <c r="J42" s="336">
        <v>35</v>
      </c>
      <c r="K42" s="336">
        <v>9</v>
      </c>
      <c r="L42" s="336">
        <v>48</v>
      </c>
      <c r="M42" s="336">
        <v>293</v>
      </c>
      <c r="N42" s="336">
        <v>287</v>
      </c>
      <c r="O42" s="336">
        <v>90</v>
      </c>
      <c r="P42" s="336">
        <v>148</v>
      </c>
      <c r="Q42" s="336">
        <v>266</v>
      </c>
      <c r="R42" s="336">
        <v>144</v>
      </c>
      <c r="S42" s="336">
        <v>298</v>
      </c>
      <c r="T42" s="336">
        <v>462</v>
      </c>
      <c r="U42" s="336">
        <v>306</v>
      </c>
      <c r="V42" s="336">
        <v>335</v>
      </c>
      <c r="W42" s="336">
        <v>294</v>
      </c>
      <c r="X42" s="313">
        <v>215</v>
      </c>
      <c r="Y42" s="313">
        <v>255</v>
      </c>
      <c r="Z42" s="313">
        <v>279</v>
      </c>
      <c r="AA42" s="313">
        <v>35</v>
      </c>
      <c r="AB42" s="313">
        <v>189</v>
      </c>
      <c r="AC42" s="313">
        <v>269</v>
      </c>
      <c r="AD42" s="314">
        <v>450</v>
      </c>
      <c r="AE42" s="314">
        <v>375</v>
      </c>
      <c r="AF42" s="314"/>
      <c r="AH42" s="223">
        <v>189</v>
      </c>
      <c r="AI42" s="223">
        <v>269</v>
      </c>
      <c r="AJ42" s="223">
        <v>414</v>
      </c>
      <c r="AK42" s="201">
        <v>232</v>
      </c>
      <c r="AL42" s="163"/>
      <c r="AM42" s="163"/>
    </row>
    <row r="43" spans="1:39">
      <c r="A43" s="349" t="s">
        <v>319</v>
      </c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1">
        <f>'[2]EU Sun Oil Imports'!$AE$70/X40</f>
        <v>0.37288622908472102</v>
      </c>
      <c r="Y43" s="351">
        <f>'[2]EU Sun Oil Imports'!$AE$70/Y40</f>
        <v>0.29180246412780469</v>
      </c>
      <c r="Z43" s="351">
        <f>'[2]EU Sun Oil Imports'!$AE$70/Z40</f>
        <v>0.32530553187266509</v>
      </c>
      <c r="AA43" s="351"/>
      <c r="AB43" s="351"/>
      <c r="AC43" s="351"/>
      <c r="AD43" s="351"/>
      <c r="AE43" s="351"/>
      <c r="AF43" s="352"/>
    </row>
    <row r="44" spans="1:39">
      <c r="A44" s="234"/>
      <c r="B44" s="234">
        <v>1993</v>
      </c>
      <c r="C44" s="234">
        <v>1994</v>
      </c>
      <c r="D44" s="234">
        <v>1995</v>
      </c>
      <c r="E44" s="234">
        <v>1996</v>
      </c>
      <c r="F44" s="234">
        <v>1997</v>
      </c>
      <c r="G44" s="234">
        <v>1998</v>
      </c>
      <c r="H44" s="234">
        <v>1999</v>
      </c>
      <c r="I44" s="234">
        <v>2000</v>
      </c>
      <c r="J44" s="234">
        <v>2001</v>
      </c>
      <c r="K44" s="234">
        <v>2002</v>
      </c>
      <c r="L44" s="234">
        <v>2003</v>
      </c>
      <c r="M44" s="234">
        <v>2004</v>
      </c>
      <c r="N44" s="234">
        <v>2005</v>
      </c>
      <c r="O44" s="234">
        <v>2006</v>
      </c>
      <c r="P44" s="234">
        <v>2007</v>
      </c>
      <c r="Q44" s="234">
        <v>2008</v>
      </c>
      <c r="R44" s="234">
        <v>2009</v>
      </c>
      <c r="S44" s="234">
        <v>2010</v>
      </c>
      <c r="T44" s="234">
        <v>2011</v>
      </c>
      <c r="U44" s="234">
        <v>2012</v>
      </c>
      <c r="V44" s="234">
        <v>2013</v>
      </c>
      <c r="W44" s="234">
        <v>2014</v>
      </c>
      <c r="X44" s="234">
        <v>2015</v>
      </c>
      <c r="Y44" s="234">
        <v>2016</v>
      </c>
      <c r="Z44" s="234">
        <v>2017</v>
      </c>
      <c r="AA44" s="234">
        <v>2018</v>
      </c>
      <c r="AB44" s="234">
        <v>2019</v>
      </c>
      <c r="AC44" s="234">
        <v>2020</v>
      </c>
      <c r="AD44" s="234">
        <v>2021</v>
      </c>
      <c r="AE44" s="234">
        <v>2022</v>
      </c>
      <c r="AF44" s="234"/>
    </row>
    <row r="45" spans="1:39" ht="15.75" thickBot="1">
      <c r="A45" s="235" t="s">
        <v>228</v>
      </c>
      <c r="J45" s="353">
        <f t="shared" ref="J45:AE45" si="33">J15/J11</f>
        <v>1.4585187002018808E-2</v>
      </c>
      <c r="K45" s="353">
        <f t="shared" si="33"/>
        <v>-7.0341076344459116E-2</v>
      </c>
      <c r="L45" s="353">
        <f t="shared" si="33"/>
        <v>-1.4704371816906727E-2</v>
      </c>
      <c r="M45" s="353">
        <f t="shared" si="33"/>
        <v>0.11586246153369952</v>
      </c>
      <c r="N45" s="353">
        <f t="shared" si="33"/>
        <v>-1.2827327748819638E-2</v>
      </c>
      <c r="O45" s="353">
        <f t="shared" si="33"/>
        <v>-5.4977369842150341E-2</v>
      </c>
      <c r="P45" s="353">
        <f t="shared" si="33"/>
        <v>1.8842263005552869E-2</v>
      </c>
      <c r="Q45" s="353">
        <f t="shared" si="33"/>
        <v>-1.2935264420927713E-2</v>
      </c>
      <c r="R45" s="353">
        <f t="shared" si="33"/>
        <v>-0.12644448357090129</v>
      </c>
      <c r="S45" s="353">
        <f t="shared" si="33"/>
        <v>-4.6146342179192515E-2</v>
      </c>
      <c r="T45" s="353">
        <f t="shared" si="33"/>
        <v>-1.2363142389330242E-2</v>
      </c>
      <c r="U45" s="353">
        <f t="shared" si="33"/>
        <v>8.4795936933715801E-2</v>
      </c>
      <c r="V45" s="353">
        <f t="shared" si="33"/>
        <v>7.1550283384341828E-2</v>
      </c>
      <c r="W45" s="353">
        <f t="shared" si="33"/>
        <v>0.19689460366361825</v>
      </c>
      <c r="X45" s="353">
        <f t="shared" si="33"/>
        <v>0.19288083991508703</v>
      </c>
      <c r="Y45" s="353">
        <f t="shared" si="33"/>
        <v>8.3519358317163561E-2</v>
      </c>
      <c r="Z45" s="353">
        <f t="shared" si="33"/>
        <v>-0.10362942929647284</v>
      </c>
      <c r="AA45" s="353">
        <f t="shared" si="33"/>
        <v>-5.0467482518850866E-2</v>
      </c>
      <c r="AB45" s="353">
        <f t="shared" si="33"/>
        <v>-7.4821375048241018E-2</v>
      </c>
      <c r="AC45" s="353">
        <f t="shared" si="33"/>
        <v>-0.32373424878471407</v>
      </c>
      <c r="AD45" s="353">
        <f t="shared" si="33"/>
        <v>8.5398283573069014E-2</v>
      </c>
      <c r="AE45" s="353">
        <f t="shared" si="33"/>
        <v>3.7897853441894891E-2</v>
      </c>
    </row>
    <row r="46" spans="1:39" ht="15.75" thickBot="1">
      <c r="A46" s="236"/>
      <c r="B46" s="237" t="str">
        <f>B$2</f>
        <v xml:space="preserve">93/94 </v>
      </c>
      <c r="C46" s="237" t="str">
        <f t="shared" ref="C46:AE46" si="34">C$2</f>
        <v xml:space="preserve">94/95 </v>
      </c>
      <c r="D46" s="237" t="str">
        <f t="shared" si="34"/>
        <v xml:space="preserve">95/96 </v>
      </c>
      <c r="E46" s="237" t="str">
        <f t="shared" si="34"/>
        <v xml:space="preserve">96/97 </v>
      </c>
      <c r="F46" s="237" t="str">
        <f t="shared" si="34"/>
        <v xml:space="preserve">97/98 </v>
      </c>
      <c r="G46" s="237" t="str">
        <f t="shared" si="34"/>
        <v xml:space="preserve">98/99 </v>
      </c>
      <c r="H46" s="237" t="str">
        <f t="shared" si="34"/>
        <v xml:space="preserve">99/00 </v>
      </c>
      <c r="I46" s="237" t="str">
        <f t="shared" si="34"/>
        <v xml:space="preserve">00/01 </v>
      </c>
      <c r="J46" s="237" t="str">
        <f t="shared" si="34"/>
        <v xml:space="preserve">01/02 </v>
      </c>
      <c r="K46" s="237" t="str">
        <f t="shared" si="34"/>
        <v xml:space="preserve">02/03 </v>
      </c>
      <c r="L46" s="237" t="str">
        <f t="shared" si="34"/>
        <v xml:space="preserve">03/04 </v>
      </c>
      <c r="M46" s="237" t="str">
        <f t="shared" si="34"/>
        <v xml:space="preserve">04/05 </v>
      </c>
      <c r="N46" s="237" t="str">
        <f t="shared" si="34"/>
        <v xml:space="preserve">05/06 </v>
      </c>
      <c r="O46" s="237" t="str">
        <f t="shared" si="34"/>
        <v xml:space="preserve">06/07 </v>
      </c>
      <c r="P46" s="237" t="str">
        <f t="shared" si="34"/>
        <v xml:space="preserve">07/08 </v>
      </c>
      <c r="Q46" s="237" t="str">
        <f t="shared" si="34"/>
        <v xml:space="preserve">08/09 </v>
      </c>
      <c r="R46" s="237" t="str">
        <f t="shared" si="34"/>
        <v xml:space="preserve">09/10 </v>
      </c>
      <c r="S46" s="237" t="str">
        <f t="shared" si="34"/>
        <v xml:space="preserve">10/11 </v>
      </c>
      <c r="T46" s="237" t="str">
        <f t="shared" si="34"/>
        <v xml:space="preserve">11/12 </v>
      </c>
      <c r="U46" s="237" t="str">
        <f t="shared" si="34"/>
        <v xml:space="preserve">12/13 </v>
      </c>
      <c r="V46" s="237" t="str">
        <f t="shared" si="34"/>
        <v xml:space="preserve">13/14 </v>
      </c>
      <c r="W46" s="237" t="str">
        <f t="shared" si="34"/>
        <v xml:space="preserve">14/15 </v>
      </c>
      <c r="X46" s="237" t="str">
        <f t="shared" si="34"/>
        <v xml:space="preserve">15/16 </v>
      </c>
      <c r="Y46" s="237" t="str">
        <f t="shared" si="34"/>
        <v xml:space="preserve">16/17 </v>
      </c>
      <c r="Z46" s="237" t="str">
        <f t="shared" si="34"/>
        <v xml:space="preserve">17/18 </v>
      </c>
      <c r="AA46" s="237" t="str">
        <f t="shared" si="34"/>
        <v xml:space="preserve">18/19 </v>
      </c>
      <c r="AB46" s="237" t="str">
        <f t="shared" si="34"/>
        <v xml:space="preserve">19/20 </v>
      </c>
      <c r="AC46" s="237" t="str">
        <f t="shared" si="34"/>
        <v xml:space="preserve">20/21 </v>
      </c>
      <c r="AD46" s="237" t="str">
        <f t="shared" si="34"/>
        <v>21/22</v>
      </c>
      <c r="AE46" s="237" t="str">
        <f t="shared" si="34"/>
        <v>22/23</v>
      </c>
    </row>
    <row r="47" spans="1:39">
      <c r="A47" s="240" t="s">
        <v>238</v>
      </c>
      <c r="B47" s="241">
        <f t="shared" ref="B47:B58" si="35">(SUM(J47:O47)/SUM(K$59:O$59))*B$59</f>
        <v>0</v>
      </c>
      <c r="C47" s="241">
        <f t="shared" ref="C47:H58" si="36">(SUM(L47:P47)/SUM(L$59:P$59))*C$59</f>
        <v>0</v>
      </c>
      <c r="D47" s="241">
        <f t="shared" si="36"/>
        <v>2.1701657825484187E-2</v>
      </c>
      <c r="E47" s="241">
        <f t="shared" si="36"/>
        <v>1.5939941608162995E-2</v>
      </c>
      <c r="F47" s="241">
        <f t="shared" si="36"/>
        <v>1.2640452509068327E-2</v>
      </c>
      <c r="G47" s="241">
        <f t="shared" si="36"/>
        <v>1.8416167762686881E-3</v>
      </c>
      <c r="H47" s="241">
        <f t="shared" si="36"/>
        <v>2.4121458313890441E-3</v>
      </c>
      <c r="I47" s="242">
        <f>'[2]Ukraine Sunflower Imports'!$CY$290</f>
        <v>27.373999999999999</v>
      </c>
      <c r="J47" s="242">
        <f>'[2]Ukraine Sunflower Imports'!$DK$290</f>
        <v>68.051000000000002</v>
      </c>
      <c r="K47" s="242">
        <f>'[2]Ukraine Sunflower Imports'!$DW$290</f>
        <v>0</v>
      </c>
      <c r="L47" s="242">
        <f>'[2]Ukraine Sunflower Imports'!$EI$290</f>
        <v>0</v>
      </c>
      <c r="M47" s="242">
        <f>'[2]Ukraine Sunflower Imports'!$FG$290</f>
        <v>0</v>
      </c>
      <c r="N47" s="242">
        <f>'[2]Ukraine Sunflower Imports'!$FS$290</f>
        <v>5.0100000000000003E-4</v>
      </c>
      <c r="O47" s="242">
        <f>'[2]Ukraine Sunflower Imports'!$GE$290</f>
        <v>4.46E-4</v>
      </c>
      <c r="P47" s="242">
        <f>'[2]Ukraine Sunflower Imports'!$GQ$290</f>
        <v>6.7400000000000001E-4</v>
      </c>
      <c r="Q47" s="242">
        <f>'[2]Ukraine Sunflower Imports'!$HC$290</f>
        <v>3.1056E-2</v>
      </c>
      <c r="R47" s="242">
        <f>'[2]Ukraine Sunflower Imports'!$HO$290</f>
        <v>1.1E-5</v>
      </c>
      <c r="S47" s="242">
        <f>'[2]Ukraine Sunflower Imports'!$IA$290</f>
        <v>1.8799999999999999E-4</v>
      </c>
      <c r="T47" s="242">
        <f>'[2]Ukraine Sunflower Imports'!$IM$290</f>
        <v>1.3440000000000001E-2</v>
      </c>
      <c r="U47" s="242">
        <f>'[2]Ukraine Sunflower Imports'!$IY$290</f>
        <v>2.9045000000000001E-2</v>
      </c>
      <c r="V47" s="242">
        <f>'[2]Ukraine Sunflower Imports'!$JK$290</f>
        <v>6.0090999999999999E-2</v>
      </c>
      <c r="W47" s="242">
        <f>'[2]Ukraine Sunflower Imports'!$JW$290</f>
        <v>1.2853E-2</v>
      </c>
      <c r="X47" s="242">
        <f>'[2]Ukraine Sunflower Imports'!$KI$290</f>
        <v>7.2999999999999999E-5</v>
      </c>
      <c r="Y47" s="242">
        <f>'[2]Ukraine Sunflower Imports'!$KU$290</f>
        <v>0.142622</v>
      </c>
      <c r="Z47" s="242">
        <f>'[2]Ukraine Sunflower Imports'!$LG$290</f>
        <v>5.3039999999999997E-3</v>
      </c>
      <c r="AA47" s="242">
        <f>'[2]Ukraine Sunflower Imports'!$LS$290</f>
        <v>1E-3</v>
      </c>
      <c r="AB47" s="242">
        <f>'[2]Ukraine Sunflower Imports'!$ME$290</f>
        <v>2.1904880000000002</v>
      </c>
      <c r="AC47" s="242">
        <f>'[2]Ukraine Sunflower Imports'!$MQ$290</f>
        <v>0.28572199999999998</v>
      </c>
      <c r="AD47" s="242">
        <f>'[2]Ukraine Sunflower Imports'!$NC$290</f>
        <v>4.5999999999999999E-2</v>
      </c>
      <c r="AE47" s="243">
        <f t="shared" ref="AE47:AE57" si="37">(SUM(Y47:AC47)/SUM(Y$59:AC$59))*AE$59</f>
        <v>0.19989850098816322</v>
      </c>
      <c r="AG47" s="244"/>
      <c r="AH47" s="354"/>
      <c r="AI47" s="354"/>
      <c r="AJ47" s="354"/>
      <c r="AK47" s="354"/>
      <c r="AL47" s="244"/>
      <c r="AM47" s="244"/>
    </row>
    <row r="48" spans="1:39">
      <c r="A48" s="240" t="s">
        <v>239</v>
      </c>
      <c r="B48" s="241">
        <f t="shared" si="35"/>
        <v>0</v>
      </c>
      <c r="C48" s="241">
        <f t="shared" si="36"/>
        <v>0</v>
      </c>
      <c r="D48" s="241">
        <f t="shared" si="36"/>
        <v>4.5289434579400448E-2</v>
      </c>
      <c r="E48" s="241">
        <f t="shared" si="36"/>
        <v>4.0785633142594986E-2</v>
      </c>
      <c r="F48" s="241">
        <f t="shared" si="36"/>
        <v>3.2527837497544135E-2</v>
      </c>
      <c r="G48" s="241">
        <f t="shared" si="36"/>
        <v>3.3817570422032812E-3</v>
      </c>
      <c r="H48" s="241">
        <f t="shared" si="36"/>
        <v>2.6429908697957766E-3</v>
      </c>
      <c r="I48" s="242">
        <f>'[2]Ukraine Sunflower Imports'!$CZ$290</f>
        <v>108.95699999999999</v>
      </c>
      <c r="J48" s="242">
        <f>'[2]Ukraine Sunflower Imports'!$DL$290</f>
        <v>57.685000000000002</v>
      </c>
      <c r="K48" s="242">
        <f>'[2]Ukraine Sunflower Imports'!$DX$290</f>
        <v>0</v>
      </c>
      <c r="L48" s="242">
        <f>'[2]Ukraine Sunflower Imports'!$EJ$290</f>
        <v>3.7399999999999998E-4</v>
      </c>
      <c r="M48" s="242">
        <f>'[2]Ukraine Sunflower Imports'!$FH$290</f>
        <v>0</v>
      </c>
      <c r="N48" s="242">
        <f>'[2]Ukraine Sunflower Imports'!$FT$290</f>
        <v>3.28E-4</v>
      </c>
      <c r="O48" s="242">
        <f>'[2]Ukraine Sunflower Imports'!$GF$290</f>
        <v>0</v>
      </c>
      <c r="P48" s="242">
        <f>'[2]Ukraine Sunflower Imports'!$GR$290</f>
        <v>2.5140000000000002E-3</v>
      </c>
      <c r="Q48" s="242">
        <f>'[2]Ukraine Sunflower Imports'!$HD$290</f>
        <v>6.5351999999999993E-2</v>
      </c>
      <c r="R48" s="242">
        <f>'[2]Ukraine Sunflower Imports'!$HP$290</f>
        <v>1.5445E-2</v>
      </c>
      <c r="S48" s="242">
        <f>'[2]Ukraine Sunflower Imports'!$IB$290</f>
        <v>0</v>
      </c>
      <c r="T48" s="242">
        <f>'[2]Ukraine Sunflower Imports'!$IN$290</f>
        <v>0</v>
      </c>
      <c r="U48" s="242">
        <f>'[2]Ukraine Sunflower Imports'!$IZ$290</f>
        <v>0</v>
      </c>
      <c r="V48" s="242">
        <f>'[2]Ukraine Sunflower Imports'!$JL$290</f>
        <v>7.9000000000000001E-2</v>
      </c>
      <c r="W48" s="242">
        <f>'[2]Ukraine Sunflower Imports'!$JX$290</f>
        <v>9.0204000000000006E-2</v>
      </c>
      <c r="X48" s="242">
        <f>'[2]Ukraine Sunflower Imports'!$KJ$290</f>
        <v>2.1045000000000001E-2</v>
      </c>
      <c r="Y48" s="242">
        <f>'[2]Ukraine Sunflower Imports'!$KV$290</f>
        <v>8.0409999999999995E-2</v>
      </c>
      <c r="Z48" s="242">
        <f>'[2]Ukraine Sunflower Imports'!$LH$290</f>
        <v>8.1449999999999995E-2</v>
      </c>
      <c r="AA48" s="242">
        <f>'[2]Ukraine Sunflower Imports'!$LT$290</f>
        <v>0.34661999999999998</v>
      </c>
      <c r="AB48" s="242">
        <f>'[2]Ukraine Sunflower Imports'!$MF$290</f>
        <v>3.0220229999999999</v>
      </c>
      <c r="AC48" s="242">
        <f>'[2]Ukraine Sunflower Imports'!$MR$290</f>
        <v>0.38390299999999999</v>
      </c>
      <c r="AD48" s="242">
        <f>'[2]Ukraine Sunflower Imports'!$ND$290</f>
        <v>1.0489999999999999</v>
      </c>
      <c r="AE48" s="243">
        <f t="shared" si="37"/>
        <v>0.29807365853009982</v>
      </c>
      <c r="AG48" s="244"/>
      <c r="AH48" s="354"/>
      <c r="AI48" s="354"/>
      <c r="AJ48" s="354"/>
      <c r="AK48" s="354"/>
      <c r="AL48" s="244"/>
      <c r="AM48" s="244"/>
    </row>
    <row r="49" spans="1:39">
      <c r="A49" s="240" t="s">
        <v>240</v>
      </c>
      <c r="B49" s="241">
        <f t="shared" si="35"/>
        <v>0</v>
      </c>
      <c r="C49" s="241">
        <f t="shared" si="36"/>
        <v>0</v>
      </c>
      <c r="D49" s="241">
        <f t="shared" si="36"/>
        <v>0.65797590881544754</v>
      </c>
      <c r="E49" s="241">
        <f t="shared" si="36"/>
        <v>6.9055037661330476E-2</v>
      </c>
      <c r="F49" s="241">
        <f t="shared" si="36"/>
        <v>7.9230551546184039E-2</v>
      </c>
      <c r="G49" s="241">
        <f t="shared" si="36"/>
        <v>1.6562819909067102E-2</v>
      </c>
      <c r="H49" s="241">
        <f t="shared" si="36"/>
        <v>2.0278773270427819E-2</v>
      </c>
      <c r="I49" s="242">
        <f>'[2]Ukraine Sunflower Imports'!$DA$290</f>
        <v>45.222999999999999</v>
      </c>
      <c r="J49" s="242">
        <f>'[2]Ukraine Sunflower Imports'!$DM$290</f>
        <v>193.49600000000001</v>
      </c>
      <c r="K49" s="242">
        <f>'[2]Ukraine Sunflower Imports'!$DY$290</f>
        <v>0</v>
      </c>
      <c r="L49" s="242">
        <f>'[2]Ukraine Sunflower Imports'!$EK$290</f>
        <v>0</v>
      </c>
      <c r="M49" s="242">
        <f>'[2]Ukraine Sunflower Imports'!$FI$290</f>
        <v>0.88717999999999997</v>
      </c>
      <c r="N49" s="242">
        <f>'[2]Ukraine Sunflower Imports'!$FU$290</f>
        <v>6.7500000000000004E-4</v>
      </c>
      <c r="O49" s="242">
        <f>'[2]Ukraine Sunflower Imports'!$GG$290</f>
        <v>3.449E-2</v>
      </c>
      <c r="P49" s="242">
        <f>'[2]Ukraine Sunflower Imports'!$GS$290</f>
        <v>5.2691000000000002E-2</v>
      </c>
      <c r="Q49" s="242">
        <f>'[2]Ukraine Sunflower Imports'!$HE$290</f>
        <v>1.5703000000000002E-2</v>
      </c>
      <c r="R49" s="242">
        <f>'[2]Ukraine Sunflower Imports'!$HQ$290</f>
        <v>3.8052000000000002E-2</v>
      </c>
      <c r="S49" s="242">
        <f>'[2]Ukraine Sunflower Imports'!$IC$290</f>
        <v>6.1990999999999997E-2</v>
      </c>
      <c r="T49" s="242">
        <f>'[2]Ukraine Sunflower Imports'!$IO$290</f>
        <v>0.239595</v>
      </c>
      <c r="U49" s="242">
        <f>'[2]Ukraine Sunflower Imports'!$JA$290</f>
        <v>0.26458700000000002</v>
      </c>
      <c r="V49" s="242">
        <f>'[2]Ukraine Sunflower Imports'!$JM$290</f>
        <v>0.79254400000000003</v>
      </c>
      <c r="W49" s="242">
        <f>'[2]Ukraine Sunflower Imports'!$JY$290</f>
        <v>0.228857</v>
      </c>
      <c r="X49" s="242">
        <f>'[2]Ukraine Sunflower Imports'!$KK$290</f>
        <v>0.36109599999999997</v>
      </c>
      <c r="Y49" s="242">
        <f>'[2]Ukraine Sunflower Imports'!$KW$290</f>
        <v>1.1907540000000001</v>
      </c>
      <c r="Z49" s="242">
        <f>'[2]Ukraine Sunflower Imports'!$LI$290</f>
        <v>1.7909280000000001</v>
      </c>
      <c r="AA49" s="242">
        <f>'[2]Ukraine Sunflower Imports'!$LU$290</f>
        <v>1.327102</v>
      </c>
      <c r="AB49" s="242">
        <f>'[2]Ukraine Sunflower Imports'!$MG$290</f>
        <v>6.6765460000000001</v>
      </c>
      <c r="AC49" s="242">
        <f>'[2]Ukraine Sunflower Imports'!$MS$290</f>
        <v>2.2106949999999999</v>
      </c>
      <c r="AD49" s="242">
        <f>'[2]Ukraine Sunflower Imports'!$NE$290</f>
        <v>1.3979999999999999</v>
      </c>
      <c r="AE49" s="243">
        <f t="shared" si="37"/>
        <v>1.0048491264842381</v>
      </c>
      <c r="AG49" s="244"/>
      <c r="AH49" s="354"/>
      <c r="AI49" s="354"/>
      <c r="AJ49" s="354"/>
      <c r="AK49" s="354"/>
      <c r="AL49" s="244"/>
      <c r="AM49" s="244"/>
    </row>
    <row r="50" spans="1:39">
      <c r="A50" s="240" t="s">
        <v>241</v>
      </c>
      <c r="B50" s="241">
        <f t="shared" si="35"/>
        <v>0</v>
      </c>
      <c r="C50" s="241">
        <f t="shared" si="36"/>
        <v>0</v>
      </c>
      <c r="D50" s="241">
        <f t="shared" si="36"/>
        <v>2.3919169177894553</v>
      </c>
      <c r="E50" s="241">
        <f t="shared" si="36"/>
        <v>0.87986058987926852</v>
      </c>
      <c r="F50" s="241">
        <f t="shared" si="36"/>
        <v>0.84824561841896073</v>
      </c>
      <c r="G50" s="241">
        <f t="shared" si="36"/>
        <v>0.14539895070181172</v>
      </c>
      <c r="H50" s="241">
        <f t="shared" si="36"/>
        <v>0.16970783824072855</v>
      </c>
      <c r="I50" s="242">
        <f>'[2]Ukraine Sunflower Imports'!$DB$290</f>
        <v>148.59</v>
      </c>
      <c r="J50" s="242">
        <f>'[2]Ukraine Sunflower Imports'!$DN$290</f>
        <v>268.81099999999998</v>
      </c>
      <c r="K50" s="242">
        <f>'[2]Ukraine Sunflower Imports'!$DZ$290</f>
        <v>0</v>
      </c>
      <c r="L50" s="242">
        <f>'[2]Ukraine Sunflower Imports'!$EL$290</f>
        <v>0</v>
      </c>
      <c r="M50" s="242">
        <f>'[2]Ukraine Sunflower Imports'!$FJ$290</f>
        <v>2.2248410000000001</v>
      </c>
      <c r="N50" s="242">
        <f>'[2]Ukraine Sunflower Imports'!$FV$290</f>
        <v>0.18614</v>
      </c>
      <c r="O50" s="242">
        <f>'[2]Ukraine Sunflower Imports'!$GH$290</f>
        <v>1.0939999999999999E-3</v>
      </c>
      <c r="P50" s="242">
        <f>'[2]Ukraine Sunflower Imports'!$GT$290</f>
        <v>0.66676000000000002</v>
      </c>
      <c r="Q50" s="242">
        <f>'[2]Ukraine Sunflower Imports'!$HF$290</f>
        <v>0.52276400000000001</v>
      </c>
      <c r="R50" s="242">
        <f>'[2]Ukraine Sunflower Imports'!$HR$290</f>
        <v>0.42757000000000001</v>
      </c>
      <c r="S50" s="242">
        <f>'[2]Ukraine Sunflower Imports'!$ID$290</f>
        <v>0.55435699999999999</v>
      </c>
      <c r="T50" s="242">
        <f>'[2]Ukraine Sunflower Imports'!$IP$290</f>
        <v>1.4105129999999999</v>
      </c>
      <c r="U50" s="242">
        <f>'[2]Ukraine Sunflower Imports'!$JB$290</f>
        <v>2.2728139999999999</v>
      </c>
      <c r="V50" s="242">
        <f>'[2]Ukraine Sunflower Imports'!$JN$290</f>
        <v>1.6547689999999999</v>
      </c>
      <c r="W50" s="242">
        <f>'[2]Ukraine Sunflower Imports'!$JZ$290</f>
        <v>2.4216259999999998</v>
      </c>
      <c r="X50" s="242">
        <f>'[2]Ukraine Sunflower Imports'!$KL$290</f>
        <v>0.93943500000000002</v>
      </c>
      <c r="Y50" s="242">
        <f>'[2]Ukraine Sunflower Imports'!$KX$290</f>
        <v>2.4189180000000001</v>
      </c>
      <c r="Z50" s="242">
        <f>'[2]Ukraine Sunflower Imports'!$LJ$290</f>
        <v>3.2707350000000002</v>
      </c>
      <c r="AA50" s="242">
        <f>'[2]Ukraine Sunflower Imports'!$LV$290</f>
        <v>3.2065199999999998</v>
      </c>
      <c r="AB50" s="242">
        <f>'[2]Ukraine Sunflower Imports'!$MH$290</f>
        <v>3.3302429999999998</v>
      </c>
      <c r="AC50" s="242">
        <f>'[2]Ukraine Sunflower Imports'!$MT$290</f>
        <v>2.5973220000000001</v>
      </c>
      <c r="AD50" s="242">
        <f>'[2]Ukraine Sunflower Imports'!$NF$290</f>
        <v>2.738</v>
      </c>
      <c r="AE50" s="243">
        <f t="shared" si="37"/>
        <v>1.1287959958041307</v>
      </c>
      <c r="AG50" s="244"/>
      <c r="AH50" s="354"/>
      <c r="AI50" s="354"/>
      <c r="AJ50" s="354"/>
      <c r="AK50" s="354"/>
      <c r="AL50" s="244"/>
      <c r="AM50" s="244"/>
    </row>
    <row r="51" spans="1:39">
      <c r="A51" s="240" t="s">
        <v>231</v>
      </c>
      <c r="B51" s="241">
        <f t="shared" si="35"/>
        <v>0</v>
      </c>
      <c r="C51" s="241">
        <f t="shared" si="36"/>
        <v>0</v>
      </c>
      <c r="D51" s="241">
        <f t="shared" si="36"/>
        <v>0.6823307515420185</v>
      </c>
      <c r="E51" s="241">
        <f t="shared" si="36"/>
        <v>0.61785560191809852</v>
      </c>
      <c r="F51" s="241">
        <f t="shared" si="36"/>
        <v>0.89132779451805322</v>
      </c>
      <c r="G51" s="241">
        <f t="shared" si="36"/>
        <v>0.13185759357000573</v>
      </c>
      <c r="H51" s="242">
        <f>'[2]Ukraine Sunflower Imports'!$CQ$290</f>
        <v>371.46899999999999</v>
      </c>
      <c r="I51" s="242">
        <f>'[2]Ukraine Sunflower Imports'!$DC$290</f>
        <v>80.313000000000002</v>
      </c>
      <c r="J51" s="242">
        <f>'[2]Ukraine Sunflower Imports'!$DO$290</f>
        <v>0</v>
      </c>
      <c r="K51" s="242">
        <f>'[2]Ukraine Sunflower Imports'!$EA$290</f>
        <v>0.06</v>
      </c>
      <c r="L51" s="242">
        <f>'[2]Ukraine Sunflower Imports'!$EM$290</f>
        <v>0</v>
      </c>
      <c r="M51" s="242">
        <f>'[2]Ukraine Sunflower Imports'!$FK$290</f>
        <v>3.8170000000000003E-2</v>
      </c>
      <c r="N51" s="242">
        <f>'[2]Ukraine Sunflower Imports'!$FW$290</f>
        <v>3.6496000000000001E-2</v>
      </c>
      <c r="O51" s="242">
        <f>'[2]Ukraine Sunflower Imports'!$GI$290</f>
        <v>0.28100999999999998</v>
      </c>
      <c r="P51" s="242">
        <f>'[2]Ukraine Sunflower Imports'!$GU$290</f>
        <v>0.45655699999999999</v>
      </c>
      <c r="Q51" s="242">
        <f>'[2]Ukraine Sunflower Imports'!$HG$290</f>
        <v>0.21517800000000001</v>
      </c>
      <c r="R51" s="242">
        <f>'[2]Ukraine Sunflower Imports'!$HS$290</f>
        <v>0.27779399999999999</v>
      </c>
      <c r="S51" s="242">
        <f>'[2]Ukraine Sunflower Imports'!$IE$290</f>
        <v>1.052349</v>
      </c>
      <c r="T51" s="242">
        <f>'[2]Ukraine Sunflower Imports'!$IQ$290</f>
        <v>1.246489</v>
      </c>
      <c r="U51" s="242">
        <f>'[2]Ukraine Sunflower Imports'!$JC$290</f>
        <v>2.812595</v>
      </c>
      <c r="V51" s="242">
        <f>'[2]Ukraine Sunflower Imports'!$JO$290</f>
        <v>2.0678930000000002</v>
      </c>
      <c r="W51" s="242">
        <f>'[2]Ukraine Sunflower Imports'!$KA$290</f>
        <v>1.9277029999999999</v>
      </c>
      <c r="X51" s="242">
        <f>'[2]Ukraine Sunflower Imports'!$KM$290</f>
        <v>4.1720410000000001</v>
      </c>
      <c r="Y51" s="242">
        <f>'[2]Ukraine Sunflower Imports'!$KY$290</f>
        <v>2.4643649999999999</v>
      </c>
      <c r="Z51" s="242">
        <f>'[2]Ukraine Sunflower Imports'!$LK$290</f>
        <v>3.670293</v>
      </c>
      <c r="AA51" s="242">
        <f>'[2]Ukraine Sunflower Imports'!$LW$290</f>
        <v>3.6423890000000001</v>
      </c>
      <c r="AB51" s="242">
        <f>'[2]Ukraine Sunflower Imports'!$MI$290</f>
        <v>4.2188650000000001</v>
      </c>
      <c r="AC51" s="242">
        <f>'[2]Ukraine Sunflower Imports'!$MU$290</f>
        <v>3.907</v>
      </c>
      <c r="AD51" s="242">
        <f>'[2]Ukraine Sunflower Imports'!$NG$290</f>
        <v>4.3680000000000003</v>
      </c>
      <c r="AE51" s="243">
        <f t="shared" si="37"/>
        <v>1.363268520992055</v>
      </c>
      <c r="AG51" s="244"/>
      <c r="AH51" s="354"/>
      <c r="AI51" s="354"/>
      <c r="AJ51" s="354"/>
      <c r="AK51" s="354"/>
      <c r="AL51" s="244"/>
      <c r="AM51" s="244"/>
    </row>
    <row r="52" spans="1:39">
      <c r="A52" s="240" t="s">
        <v>232</v>
      </c>
      <c r="B52" s="241">
        <f t="shared" si="35"/>
        <v>0</v>
      </c>
      <c r="C52" s="241">
        <f t="shared" si="36"/>
        <v>0</v>
      </c>
      <c r="D52" s="241">
        <f t="shared" si="36"/>
        <v>2.9480643206402175</v>
      </c>
      <c r="E52" s="241">
        <f t="shared" si="36"/>
        <v>2.5964993570968238</v>
      </c>
      <c r="F52" s="241">
        <f t="shared" si="36"/>
        <v>2.8465459607243662</v>
      </c>
      <c r="G52" s="241">
        <f t="shared" si="36"/>
        <v>0.39490013128861601</v>
      </c>
      <c r="H52" s="242">
        <f>'[2]Ukraine Sunflower Imports'!$CR$290</f>
        <v>152.68799999999999</v>
      </c>
      <c r="I52" s="242">
        <f>'[2]Ukraine Sunflower Imports'!$DD$290</f>
        <v>129.25200000000001</v>
      </c>
      <c r="J52" s="242">
        <f>'[2]Ukraine Sunflower Imports'!$DP$290</f>
        <v>0</v>
      </c>
      <c r="K52" s="242">
        <f>'[2]Ukraine Sunflower Imports'!$EB$290</f>
        <v>2.5000000000000001E-4</v>
      </c>
      <c r="L52" s="242">
        <f>'[2]Ukraine Sunflower Imports'!$EN$290</f>
        <v>9.3999999999999994E-5</v>
      </c>
      <c r="M52" s="242">
        <f>'[2]Ukraine Sunflower Imports'!$FL$290</f>
        <v>0.39838299999999999</v>
      </c>
      <c r="N52" s="242">
        <f>'[2]Ukraine Sunflower Imports'!$FX$290</f>
        <v>0.80120199999999997</v>
      </c>
      <c r="O52" s="242">
        <f>'[2]Ukraine Sunflower Imports'!$GJ$290</f>
        <v>1.3011159999999999</v>
      </c>
      <c r="P52" s="242">
        <f>'[2]Ukraine Sunflower Imports'!$GV$290</f>
        <v>1.0489539999999999</v>
      </c>
      <c r="Q52" s="242">
        <f>'[2]Ukraine Sunflower Imports'!$HH$290</f>
        <v>0.88935600000000004</v>
      </c>
      <c r="R52" s="242">
        <f>'[2]Ukraine Sunflower Imports'!$HT$290</f>
        <v>1.2840069999999999</v>
      </c>
      <c r="S52" s="242">
        <f>'[2]Ukraine Sunflower Imports'!$IF$290</f>
        <v>2.7672020000000002</v>
      </c>
      <c r="T52" s="242">
        <f>'[2]Ukraine Sunflower Imports'!$IR$290</f>
        <v>3.7390110000000001</v>
      </c>
      <c r="U52" s="242">
        <f>'[2]Ukraine Sunflower Imports'!$JD$290</f>
        <v>5.3709189999999998</v>
      </c>
      <c r="V52" s="242">
        <f>'[2]Ukraine Sunflower Imports'!$JP$290</f>
        <v>4.2830300000000001</v>
      </c>
      <c r="W52" s="242">
        <f>'[2]Ukraine Sunflower Imports'!$KB$290</f>
        <v>4.0979429999999999</v>
      </c>
      <c r="X52" s="242">
        <f>'[2]Ukraine Sunflower Imports'!$KN$290</f>
        <v>6.5542639999999999</v>
      </c>
      <c r="Y52" s="242">
        <f>'[2]Ukraine Sunflower Imports'!$KZ$290</f>
        <v>7.5780770000000004</v>
      </c>
      <c r="Z52" s="242">
        <f>'[2]Ukraine Sunflower Imports'!$LL$290</f>
        <v>7.6519880000000002</v>
      </c>
      <c r="AA52" s="242">
        <f>'[2]Ukraine Sunflower Imports'!$LX$290</f>
        <v>5.8120050000000001</v>
      </c>
      <c r="AB52" s="242">
        <f>'[2]Ukraine Sunflower Imports'!$MJ$290</f>
        <v>4.968089</v>
      </c>
      <c r="AC52" s="242">
        <f>'[2]Ukraine Sunflower Imports'!$MV$290</f>
        <v>6.1159999999999997</v>
      </c>
      <c r="AD52" s="242">
        <f>'[2]Ukraine Sunflower Imports'!$NH$290</f>
        <v>5.7610000000000001</v>
      </c>
      <c r="AE52" s="243">
        <f t="shared" si="37"/>
        <v>2.4463384093652252</v>
      </c>
      <c r="AG52" s="244"/>
      <c r="AH52" s="354"/>
      <c r="AI52" s="354"/>
      <c r="AJ52" s="354"/>
      <c r="AK52" s="354"/>
      <c r="AL52" s="244"/>
      <c r="AM52" s="244"/>
    </row>
    <row r="53" spans="1:39">
      <c r="A53" s="240" t="s">
        <v>233</v>
      </c>
      <c r="B53" s="241">
        <f t="shared" si="35"/>
        <v>0</v>
      </c>
      <c r="C53" s="241">
        <f t="shared" si="36"/>
        <v>0</v>
      </c>
      <c r="D53" s="241">
        <f t="shared" si="36"/>
        <v>5.9648524394192206</v>
      </c>
      <c r="E53" s="241">
        <f t="shared" si="36"/>
        <v>4.8639887226668623</v>
      </c>
      <c r="F53" s="241">
        <f t="shared" si="36"/>
        <v>4.3732814841167977</v>
      </c>
      <c r="G53" s="241">
        <f t="shared" si="36"/>
        <v>0.59953436553148065</v>
      </c>
      <c r="H53" s="242">
        <f>'[2]Ukraine Sunflower Imports'!$CS$290</f>
        <v>141.583</v>
      </c>
      <c r="I53" s="242">
        <f>'[2]Ukraine Sunflower Imports'!$DE$290</f>
        <v>146.465</v>
      </c>
      <c r="J53" s="242">
        <f>'[2]Ukraine Sunflower Imports'!$DQ$290</f>
        <v>0</v>
      </c>
      <c r="K53" s="242">
        <f>'[2]Ukraine Sunflower Imports'!$EC$290</f>
        <v>0.21001400000000001</v>
      </c>
      <c r="L53" s="242">
        <f>'[2]Ukraine Sunflower Imports'!$EO$290</f>
        <v>0.37540699999999999</v>
      </c>
      <c r="M53" s="242">
        <f>'[2]Ukraine Sunflower Imports'!$FM$290</f>
        <v>0.88178900000000004</v>
      </c>
      <c r="N53" s="242">
        <f>'[2]Ukraine Sunflower Imports'!$FY$290</f>
        <v>2.05124</v>
      </c>
      <c r="O53" s="242">
        <f>'[2]Ukraine Sunflower Imports'!$GK$290</f>
        <v>1.771997</v>
      </c>
      <c r="P53" s="242">
        <f>'[2]Ukraine Sunflower Imports'!$GW$290</f>
        <v>2.4452929999999999</v>
      </c>
      <c r="Q53" s="242">
        <f>'[2]Ukraine Sunflower Imports'!$HI$290</f>
        <v>1.831183</v>
      </c>
      <c r="R53" s="242">
        <f>'[2]Ukraine Sunflower Imports'!$HU$290</f>
        <v>1.874857</v>
      </c>
      <c r="S53" s="242">
        <f>'[2]Ukraine Sunflower Imports'!$IG$290</f>
        <v>3.2776130000000001</v>
      </c>
      <c r="T53" s="242">
        <f>'[2]Ukraine Sunflower Imports'!$IS$290</f>
        <v>5.3408340000000001</v>
      </c>
      <c r="U53" s="242">
        <f>'[2]Ukraine Sunflower Imports'!$JE$290</f>
        <v>5.5475260000000004</v>
      </c>
      <c r="V53" s="242">
        <f>'[2]Ukraine Sunflower Imports'!$JQ$290</f>
        <v>4.6114930000000003</v>
      </c>
      <c r="W53" s="242">
        <f>'[2]Ukraine Sunflower Imports'!$KC$290</f>
        <v>3.5775709999999998</v>
      </c>
      <c r="X53" s="242">
        <f>'[2]Ukraine Sunflower Imports'!$KO$290</f>
        <v>6.9100390000000003</v>
      </c>
      <c r="Y53" s="242">
        <f>'[2]Ukraine Sunflower Imports'!$LA$290</f>
        <v>7.581493</v>
      </c>
      <c r="Z53" s="242">
        <f>'[2]Ukraine Sunflower Imports'!$LM$290</f>
        <v>7.358473</v>
      </c>
      <c r="AA53" s="242">
        <f>'[2]Ukraine Sunflower Imports'!$LY$290</f>
        <v>5.7428720000000002</v>
      </c>
      <c r="AB53" s="242">
        <f>'[2]Ukraine Sunflower Imports'!$MK$290</f>
        <v>4.549671</v>
      </c>
      <c r="AC53" s="242">
        <f>'[2]Ukraine Sunflower Imports'!$MW$290</f>
        <v>6.5549999999999997</v>
      </c>
      <c r="AD53" s="242">
        <f>'[2]Ukraine Sunflower Imports'!$NI$290</f>
        <v>2.0790000000000002</v>
      </c>
      <c r="AE53" s="243">
        <f t="shared" si="37"/>
        <v>2.4205509349792727</v>
      </c>
      <c r="AG53" s="244"/>
      <c r="AH53" s="354"/>
      <c r="AI53" s="354"/>
      <c r="AJ53" s="354"/>
      <c r="AK53" s="354"/>
      <c r="AL53" s="244"/>
      <c r="AM53" s="244"/>
    </row>
    <row r="54" spans="1:39">
      <c r="A54" s="240" t="s">
        <v>234</v>
      </c>
      <c r="B54" s="241">
        <f t="shared" si="35"/>
        <v>0</v>
      </c>
      <c r="C54" s="241">
        <f t="shared" si="36"/>
        <v>0</v>
      </c>
      <c r="D54" s="241">
        <f t="shared" si="36"/>
        <v>6.3053367535842071</v>
      </c>
      <c r="E54" s="241">
        <f t="shared" si="36"/>
        <v>5.1638749662553849</v>
      </c>
      <c r="F54" s="241">
        <f t="shared" si="36"/>
        <v>4.9775439188862061</v>
      </c>
      <c r="G54" s="241">
        <f t="shared" si="36"/>
        <v>0.57738905470593072</v>
      </c>
      <c r="H54" s="242">
        <f>'[2]Ukraine Sunflower Imports'!$CT$290</f>
        <v>314.97800000000001</v>
      </c>
      <c r="I54" s="242">
        <f>'[2]Ukraine Sunflower Imports'!$DF$290</f>
        <v>110.876</v>
      </c>
      <c r="J54" s="242">
        <f>'[2]Ukraine Sunflower Imports'!$DR$290</f>
        <v>0</v>
      </c>
      <c r="K54" s="242">
        <f>'[2]Ukraine Sunflower Imports'!$ED$290</f>
        <v>0.62880400000000003</v>
      </c>
      <c r="L54" s="242">
        <f>'[2]Ukraine Sunflower Imports'!$EP$290</f>
        <v>0.71931500000000004</v>
      </c>
      <c r="M54" s="242">
        <f>'[2]Ukraine Sunflower Imports'!$FN$290</f>
        <v>1.4510940000000001</v>
      </c>
      <c r="N54" s="242">
        <f>'[2]Ukraine Sunflower Imports'!$FZ$290</f>
        <v>1.388069</v>
      </c>
      <c r="O54" s="242">
        <f>'[2]Ukraine Sunflower Imports'!$GL$290</f>
        <v>2.2038690000000001</v>
      </c>
      <c r="P54" s="242">
        <f>'[2]Ukraine Sunflower Imports'!$GX$290</f>
        <v>2.5046499999999998</v>
      </c>
      <c r="Q54" s="242">
        <f>'[2]Ukraine Sunflower Imports'!$HJ$290</f>
        <v>1.9464999999999999</v>
      </c>
      <c r="R54" s="242">
        <f>'[2]Ukraine Sunflower Imports'!$HV$290</f>
        <v>2.5464579999999999</v>
      </c>
      <c r="S54" s="242">
        <f>'[2]Ukraine Sunflower Imports'!$IH$290</f>
        <v>3.5471159999999999</v>
      </c>
      <c r="T54" s="242">
        <f>'[2]Ukraine Sunflower Imports'!$IT$290</f>
        <v>3.679497</v>
      </c>
      <c r="U54" s="242">
        <f>'[2]Ukraine Sunflower Imports'!$JF$290</f>
        <v>3.1501269999999999</v>
      </c>
      <c r="V54" s="242">
        <f>'[2]Ukraine Sunflower Imports'!$JR$290</f>
        <v>1.656296</v>
      </c>
      <c r="W54" s="242">
        <f>'[2]Ukraine Sunflower Imports'!$KD$290</f>
        <v>1.0354380000000001</v>
      </c>
      <c r="X54" s="242">
        <f>'[2]Ukraine Sunflower Imports'!$KP$290</f>
        <v>2.3685589999999999</v>
      </c>
      <c r="Y54" s="242">
        <f>'[2]Ukraine Sunflower Imports'!$LB$290</f>
        <v>1.9649779999999999</v>
      </c>
      <c r="Z54" s="242">
        <f>'[2]Ukraine Sunflower Imports'!$LN$290</f>
        <v>4.0357979999999998</v>
      </c>
      <c r="AA54" s="242">
        <f>'[2]Ukraine Sunflower Imports'!$LZ$290</f>
        <v>2.2632300000000001</v>
      </c>
      <c r="AB54" s="242">
        <f>'[2]Ukraine Sunflower Imports'!$ML$290</f>
        <v>1.3966050000000001</v>
      </c>
      <c r="AC54" s="242">
        <f>'[2]Ukraine Sunflower Imports'!$MX$290</f>
        <v>1.84</v>
      </c>
      <c r="AD54" s="242">
        <f>'[2]Ukraine Sunflower Imports'!$NJ$290</f>
        <v>2.78</v>
      </c>
      <c r="AE54" s="243">
        <f t="shared" si="37"/>
        <v>0.87574697057523143</v>
      </c>
      <c r="AG54" s="244"/>
      <c r="AH54" s="354"/>
      <c r="AI54" s="354"/>
      <c r="AJ54" s="354"/>
      <c r="AK54" s="354"/>
      <c r="AL54" s="244"/>
      <c r="AM54" s="244"/>
    </row>
    <row r="55" spans="1:39">
      <c r="A55" s="240" t="s">
        <v>46</v>
      </c>
      <c r="B55" s="241">
        <f t="shared" si="35"/>
        <v>0</v>
      </c>
      <c r="C55" s="241">
        <f t="shared" si="36"/>
        <v>0</v>
      </c>
      <c r="D55" s="241">
        <f t="shared" si="36"/>
        <v>0.59915489917731346</v>
      </c>
      <c r="E55" s="241">
        <f t="shared" si="36"/>
        <v>0.43876191204397963</v>
      </c>
      <c r="F55" s="241">
        <f t="shared" si="36"/>
        <v>0.58545031792641444</v>
      </c>
      <c r="G55" s="241">
        <f t="shared" si="36"/>
        <v>8.5689674807026314E-2</v>
      </c>
      <c r="H55" s="242">
        <f>'[2]Ukraine Sunflower Imports'!$CU$290</f>
        <v>330.524</v>
      </c>
      <c r="I55" s="242">
        <f>'[2]Ukraine Sunflower Imports'!$DG$290</f>
        <v>182.92599999999999</v>
      </c>
      <c r="J55" s="242">
        <f>'[2]Ukraine Sunflower Imports'!$DS$290</f>
        <v>0</v>
      </c>
      <c r="K55" s="242">
        <f>'[2]Ukraine Sunflower Imports'!$EE$290</f>
        <v>4.5409999999999999E-3</v>
      </c>
      <c r="L55" s="242">
        <f>'[2]Ukraine Sunflower Imports'!$EQ$290</f>
        <v>5.4605000000000001E-2</v>
      </c>
      <c r="M55" s="242">
        <f>'[2]Ukraine Sunflower Imports'!$FO$290</f>
        <v>0.16266900000000001</v>
      </c>
      <c r="N55" s="242">
        <f>'[2]Ukraine Sunflower Imports'!$GA$290</f>
        <v>0.12457</v>
      </c>
      <c r="O55" s="242">
        <f>'[2]Ukraine Sunflower Imports'!$GM$290</f>
        <v>0.29713699999999998</v>
      </c>
      <c r="P55" s="242">
        <f>'[2]Ukraine Sunflower Imports'!$GY$290</f>
        <v>0.23704600000000001</v>
      </c>
      <c r="Q55" s="242">
        <f>'[2]Ukraine Sunflower Imports'!$HK$290</f>
        <v>8.0748E-2</v>
      </c>
      <c r="R55" s="242">
        <f>'[2]Ukraine Sunflower Imports'!$HW$290</f>
        <v>0.16026699999999999</v>
      </c>
      <c r="S55" s="242">
        <f>'[2]Ukraine Sunflower Imports'!$II$290</f>
        <v>0.72426999999999997</v>
      </c>
      <c r="T55" s="242">
        <f>'[2]Ukraine Sunflower Imports'!$IU$290</f>
        <v>0.90866999999999998</v>
      </c>
      <c r="U55" s="242">
        <f>'[2]Ukraine Sunflower Imports'!$JG$290</f>
        <v>0.21034600000000001</v>
      </c>
      <c r="V55" s="242">
        <f>'[2]Ukraine Sunflower Imports'!$JS$290</f>
        <v>5.1846000000000003E-2</v>
      </c>
      <c r="W55" s="242">
        <f>'[2]Ukraine Sunflower Imports'!$KE$290</f>
        <v>9.5716999999999997E-2</v>
      </c>
      <c r="X55" s="242">
        <f>'[2]Ukraine Sunflower Imports'!$KQ$290</f>
        <v>0.37012499999999998</v>
      </c>
      <c r="Y55" s="242">
        <f>'[2]Ukraine Sunflower Imports'!$LC$290</f>
        <v>6.4195000000000002E-2</v>
      </c>
      <c r="Z55" s="242">
        <f>'[2]Ukraine Sunflower Imports'!$LO$290</f>
        <v>1.923454</v>
      </c>
      <c r="AA55" s="242">
        <f>'[2]Ukraine Sunflower Imports'!$MA$290</f>
        <v>9.4729999999999995E-2</v>
      </c>
      <c r="AB55" s="242">
        <f>'[2]Ukraine Sunflower Imports'!$MM$290</f>
        <v>5.4443999999999999E-2</v>
      </c>
      <c r="AC55" s="242">
        <f>'[2]Ukraine Sunflower Imports'!$MY$290</f>
        <v>0.17100000000000001</v>
      </c>
      <c r="AD55" s="242">
        <f>'[2]Ukraine Sunflower Imports'!$NK$290</f>
        <v>0.76</v>
      </c>
      <c r="AE55" s="243">
        <f t="shared" si="37"/>
        <v>0.17573579359164854</v>
      </c>
      <c r="AG55" s="244"/>
      <c r="AH55" s="354"/>
      <c r="AI55" s="354"/>
      <c r="AJ55" s="354"/>
      <c r="AK55" s="354"/>
      <c r="AL55" s="244"/>
      <c r="AM55" s="244"/>
    </row>
    <row r="56" spans="1:39">
      <c r="A56" s="240" t="s">
        <v>235</v>
      </c>
      <c r="B56" s="241">
        <f t="shared" si="35"/>
        <v>0</v>
      </c>
      <c r="C56" s="241">
        <f t="shared" si="36"/>
        <v>0</v>
      </c>
      <c r="D56" s="241">
        <f t="shared" si="36"/>
        <v>0.23763305357009437</v>
      </c>
      <c r="E56" s="241">
        <f t="shared" si="36"/>
        <v>0.18352974129388941</v>
      </c>
      <c r="F56" s="241">
        <f t="shared" si="36"/>
        <v>0.24945752448753361</v>
      </c>
      <c r="G56" s="241">
        <f t="shared" si="36"/>
        <v>3.1902441600494831E-2</v>
      </c>
      <c r="H56" s="242">
        <f>'[2]Ukraine Sunflower Imports'!$CV$290</f>
        <v>160.39500000000001</v>
      </c>
      <c r="I56" s="242">
        <f>'[2]Ukraine Sunflower Imports'!$DH$290</f>
        <v>157.25299999999999</v>
      </c>
      <c r="J56" s="242">
        <f>'[2]Ukraine Sunflower Imports'!$DT$290</f>
        <v>0</v>
      </c>
      <c r="K56" s="242">
        <f>'[2]Ukraine Sunflower Imports'!$EF$290</f>
        <v>0</v>
      </c>
      <c r="L56" s="242">
        <f>'[2]Ukraine Sunflower Imports'!$ER$290</f>
        <v>4.3E-3</v>
      </c>
      <c r="M56" s="242">
        <f>'[2]Ukraine Sunflower Imports'!$FP$290</f>
        <v>3.2200000000000002E-4</v>
      </c>
      <c r="N56" s="242">
        <f>'[2]Ukraine Sunflower Imports'!$GB$290</f>
        <v>2.3879999999999999E-3</v>
      </c>
      <c r="O56" s="242">
        <f>'[2]Ukraine Sunflower Imports'!$GN$290</f>
        <v>1.7461999999999998E-2</v>
      </c>
      <c r="P56" s="242">
        <f>'[2]Ukraine Sunflower Imports'!$GZ$290</f>
        <v>0.30956899999999998</v>
      </c>
      <c r="Q56" s="242">
        <f>'[2]Ukraine Sunflower Imports'!$HL$290</f>
        <v>2.8072E-2</v>
      </c>
      <c r="R56" s="242">
        <f>'[2]Ukraine Sunflower Imports'!$HX$290</f>
        <v>1.8873000000000001E-2</v>
      </c>
      <c r="S56" s="242">
        <f>'[2]Ukraine Sunflower Imports'!$IJ$290</f>
        <v>0.26494000000000001</v>
      </c>
      <c r="T56" s="242">
        <f>'[2]Ukraine Sunflower Imports'!$IV$290</f>
        <v>0.16447600000000001</v>
      </c>
      <c r="U56" s="242">
        <f>'[2]Ukraine Sunflower Imports'!$JH$290</f>
        <v>1.5233E-2</v>
      </c>
      <c r="V56" s="242">
        <f>'[2]Ukraine Sunflower Imports'!$JT$290</f>
        <v>8.3825999999999998E-2</v>
      </c>
      <c r="W56" s="242">
        <f>'[2]Ukraine Sunflower Imports'!$KF$290</f>
        <v>0.48842099999999999</v>
      </c>
      <c r="X56" s="242">
        <f>'[2]Ukraine Sunflower Imports'!$KR$290</f>
        <v>1.1956E-2</v>
      </c>
      <c r="Y56" s="242">
        <f>'[2]Ukraine Sunflower Imports'!$LD$290</f>
        <v>2.7902E-2</v>
      </c>
      <c r="Z56" s="242">
        <f>'[2]Ukraine Sunflower Imports'!$LP$290</f>
        <v>0.31418400000000002</v>
      </c>
      <c r="AA56" s="242">
        <f>'[2]Ukraine Sunflower Imports'!$MB$290</f>
        <v>0.121659</v>
      </c>
      <c r="AB56" s="242">
        <f>'[2]Ukraine Sunflower Imports'!$MN$290</f>
        <v>0.111447</v>
      </c>
      <c r="AC56" s="242">
        <f>'[2]Ukraine Sunflower Imports'!$MZ$290</f>
        <v>0.156</v>
      </c>
      <c r="AD56" s="242">
        <f>'[2]Ukraine Sunflower Imports'!$NL$290</f>
        <v>0.13100000000000001</v>
      </c>
      <c r="AE56" s="243">
        <f t="shared" si="37"/>
        <v>5.5678709497160174E-2</v>
      </c>
      <c r="AG56" s="244"/>
      <c r="AH56" s="354"/>
      <c r="AI56" s="354"/>
      <c r="AJ56" s="354"/>
      <c r="AK56" s="354"/>
      <c r="AL56" s="244"/>
      <c r="AM56" s="244"/>
    </row>
    <row r="57" spans="1:39">
      <c r="A57" s="240" t="s">
        <v>236</v>
      </c>
      <c r="B57" s="241">
        <f t="shared" si="35"/>
        <v>0</v>
      </c>
      <c r="C57" s="241">
        <f t="shared" si="36"/>
        <v>0</v>
      </c>
      <c r="D57" s="241">
        <f t="shared" si="36"/>
        <v>0.11745606388895805</v>
      </c>
      <c r="E57" s="241">
        <f t="shared" si="36"/>
        <v>0.10532367132043262</v>
      </c>
      <c r="F57" s="241">
        <f t="shared" si="36"/>
        <v>8.419615077430237E-2</v>
      </c>
      <c r="G57" s="241">
        <f t="shared" si="36"/>
        <v>1.036097681880257E-2</v>
      </c>
      <c r="H57" s="242">
        <f>'[2]Ukraine Sunflower Imports'!$CW$290</f>
        <v>89.350999999999999</v>
      </c>
      <c r="I57" s="242">
        <f>'[2]Ukraine Sunflower Imports'!$DI$290</f>
        <v>128.006</v>
      </c>
      <c r="J57" s="242">
        <f>'[2]Ukraine Sunflower Imports'!$DU$290</f>
        <v>0</v>
      </c>
      <c r="K57" s="242">
        <f>'[2]Ukraine Sunflower Imports'!$EG$290</f>
        <v>0</v>
      </c>
      <c r="L57" s="242">
        <f>'[2]Ukraine Sunflower Imports'!$ES$290</f>
        <v>4.8467999999999997E-2</v>
      </c>
      <c r="M57" s="242">
        <f>'[2]Ukraine Sunflower Imports'!$FQ$290</f>
        <v>8.8599999999999996E-4</v>
      </c>
      <c r="N57" s="242">
        <f>'[2]Ukraine Sunflower Imports'!$GC$290</f>
        <v>3.4200000000000002E-4</v>
      </c>
      <c r="O57" s="242">
        <f>'[2]Ukraine Sunflower Imports'!$GO$290</f>
        <v>3.3897999999999998E-2</v>
      </c>
      <c r="P57" s="242">
        <f>'[2]Ukraine Sunflower Imports'!$HA$290</f>
        <v>0.13513600000000001</v>
      </c>
      <c r="Q57" s="242">
        <f>'[2]Ukraine Sunflower Imports'!$HM$290</f>
        <v>6.5960000000000003E-3</v>
      </c>
      <c r="R57" s="242">
        <f>'[2]Ukraine Sunflower Imports'!$HY$290</f>
        <v>4.0015000000000002E-2</v>
      </c>
      <c r="S57" s="242">
        <f>'[2]Ukraine Sunflower Imports'!$IK$290</f>
        <v>0</v>
      </c>
      <c r="T57" s="242">
        <f>'[2]Ukraine Sunflower Imports'!$IW$290</f>
        <v>7.3499999999999996E-2</v>
      </c>
      <c r="U57" s="242">
        <f>'[2]Ukraine Sunflower Imports'!$JI$290</f>
        <v>3.9E-2</v>
      </c>
      <c r="V57" s="242">
        <f>'[2]Ukraine Sunflower Imports'!$JU$290</f>
        <v>2.0032000000000001E-2</v>
      </c>
      <c r="W57" s="242">
        <f>'[2]Ukraine Sunflower Imports'!$KG$290</f>
        <v>1.2602169999999999</v>
      </c>
      <c r="X57" s="242">
        <f>'[2]Ukraine Sunflower Imports'!$KS$290</f>
        <v>5.5999999999999999E-5</v>
      </c>
      <c r="Y57" s="242">
        <f>'[2]Ukraine Sunflower Imports'!$LE$290</f>
        <v>7.9999999999999996E-6</v>
      </c>
      <c r="Z57" s="242">
        <f>'[2]Ukraine Sunflower Imports'!$LQ$290</f>
        <v>1.2455000000000001E-2</v>
      </c>
      <c r="AA57" s="242">
        <f>'[2]Ukraine Sunflower Imports'!$MC$290</f>
        <v>4.5446E-2</v>
      </c>
      <c r="AB57" s="242">
        <f>'[2]Ukraine Sunflower Imports'!$MO$290</f>
        <v>1.3447000000000001E-2</v>
      </c>
      <c r="AC57" s="242">
        <f>'[2]Ukraine Sunflower Imports'!$NA$290</f>
        <v>0.08</v>
      </c>
      <c r="AD57" s="242">
        <f>'[2]Ukraine Sunflower Imports'!$NM$290</f>
        <v>2.1000000000000001E-2</v>
      </c>
      <c r="AE57" s="243">
        <f t="shared" si="37"/>
        <v>1.1525436211900806E-2</v>
      </c>
      <c r="AG57" s="244"/>
      <c r="AH57" s="354"/>
      <c r="AI57" s="354"/>
      <c r="AJ57" s="354"/>
      <c r="AK57" s="354"/>
      <c r="AL57" s="244"/>
      <c r="AM57" s="244"/>
    </row>
    <row r="58" spans="1:39">
      <c r="A58" s="240" t="s">
        <v>237</v>
      </c>
      <c r="B58" s="241">
        <f t="shared" si="35"/>
        <v>0</v>
      </c>
      <c r="C58" s="241">
        <f t="shared" si="36"/>
        <v>0</v>
      </c>
      <c r="D58" s="241">
        <f t="shared" si="36"/>
        <v>2.8287799168181704E-2</v>
      </c>
      <c r="E58" s="241">
        <f t="shared" si="36"/>
        <v>2.4524825113171243E-2</v>
      </c>
      <c r="F58" s="241">
        <f t="shared" si="36"/>
        <v>1.9552388594567528E-2</v>
      </c>
      <c r="G58" s="241">
        <f t="shared" si="36"/>
        <v>1.1806172482923317E-3</v>
      </c>
      <c r="H58" s="242">
        <f>'[2]Ukraine Sunflower Imports'!$CX$290</f>
        <v>98.498000000000005</v>
      </c>
      <c r="I58" s="242">
        <f>'[2]Ukraine Sunflower Imports'!$DJ$290</f>
        <v>80.08</v>
      </c>
      <c r="J58" s="242">
        <f>'[2]Ukraine Sunflower Imports'!$DV$290</f>
        <v>0</v>
      </c>
      <c r="K58" s="242">
        <f>'[2]Ukraine Sunflower Imports'!$EH$290</f>
        <v>0</v>
      </c>
      <c r="L58" s="242">
        <f>'[2]Ukraine Sunflower Imports'!$ET$290</f>
        <v>1.8699999999999999E-4</v>
      </c>
      <c r="M58" s="242">
        <f>'[2]Ukraine Sunflower Imports'!$FR$290</f>
        <v>5.9100000000000005E-4</v>
      </c>
      <c r="N58" s="242">
        <f>'[2]Ukraine Sunflower Imports'!$GD$290</f>
        <v>4.0700000000000003E-4</v>
      </c>
      <c r="O58" s="242">
        <f>'[2]Ukraine Sunflower Imports'!$GP$290</f>
        <v>2.0993000000000001E-2</v>
      </c>
      <c r="P58" s="242">
        <f>'[2]Ukraine Sunflower Imports'!$HB$290</f>
        <v>2.0603E-2</v>
      </c>
      <c r="Q58" s="242">
        <f>'[2]Ukraine Sunflower Imports'!$HN$290</f>
        <v>0</v>
      </c>
      <c r="R58" s="242">
        <f>'[2]Ukraine Sunflower Imports'!$HZ$290</f>
        <v>8.2900000000000005E-3</v>
      </c>
      <c r="S58" s="242">
        <f>'[2]Ukraine Sunflower Imports'!$IL$290</f>
        <v>1.92E-4</v>
      </c>
      <c r="T58" s="242">
        <f>'[2]Ukraine Sunflower Imports'!$IX$290</f>
        <v>0</v>
      </c>
      <c r="U58" s="242">
        <f>'[2]Ukraine Sunflower Imports'!$JJ$290</f>
        <v>3.7999999999999999E-2</v>
      </c>
      <c r="V58" s="242">
        <f>'[2]Ukraine Sunflower Imports'!$JV$290</f>
        <v>1.2999999999999999E-4</v>
      </c>
      <c r="W58" s="242">
        <f>'[2]Ukraine Sunflower Imports'!$KH$290</f>
        <v>0.18553900000000001</v>
      </c>
      <c r="X58" s="242">
        <f>'[2]Ukraine Sunflower Imports'!$KT$290</f>
        <v>1.0057999999999999E-2</v>
      </c>
      <c r="Y58" s="242">
        <f>'[2]Ukraine Sunflower Imports'!$LF$290</f>
        <v>0</v>
      </c>
      <c r="Z58" s="242">
        <f>'[2]Ukraine Sunflower Imports'!$LR$290</f>
        <v>3.6068000000000003E-2</v>
      </c>
      <c r="AA58" s="242">
        <f>'[2]Ukraine Sunflower Imports'!$MD$290</f>
        <v>1.5192000000000001E-2</v>
      </c>
      <c r="AB58" s="242">
        <f>'[2]Ukraine Sunflower Imports'!$MP$290</f>
        <v>0.202319</v>
      </c>
      <c r="AC58" s="242">
        <f>'[2]Ukraine Sunflower Imports'!$NB$290</f>
        <v>3.0000000000000001E-3</v>
      </c>
      <c r="AD58" s="242">
        <f>'[2]Ukraine Sunflower Imports'!$NN$290</f>
        <v>7.0999999999999994E-2</v>
      </c>
      <c r="AE58" s="243">
        <f>AE59-SUM(AE47:AE57)</f>
        <v>1.9537942980873524E-2</v>
      </c>
      <c r="AG58" s="244"/>
      <c r="AH58" s="354"/>
      <c r="AI58" s="354"/>
      <c r="AJ58" s="354"/>
      <c r="AK58" s="354"/>
      <c r="AL58" s="244"/>
      <c r="AM58" s="244"/>
    </row>
    <row r="59" spans="1:39" ht="15.75" thickBot="1">
      <c r="A59" s="240" t="s">
        <v>242</v>
      </c>
      <c r="B59" s="245">
        <f t="shared" ref="B59:H59" si="38">B10</f>
        <v>0</v>
      </c>
      <c r="C59" s="245">
        <f t="shared" si="38"/>
        <v>0</v>
      </c>
      <c r="D59" s="245">
        <f t="shared" si="38"/>
        <v>20</v>
      </c>
      <c r="E59" s="245">
        <f t="shared" si="38"/>
        <v>15</v>
      </c>
      <c r="F59" s="245">
        <f t="shared" si="38"/>
        <v>15</v>
      </c>
      <c r="G59" s="245">
        <f t="shared" si="38"/>
        <v>2</v>
      </c>
      <c r="H59" s="245">
        <f t="shared" si="38"/>
        <v>2</v>
      </c>
      <c r="I59" s="245">
        <f t="shared" ref="I59:O59" si="39">SUM(I47:I58)</f>
        <v>1345.3150000000001</v>
      </c>
      <c r="J59" s="245">
        <f t="shared" si="39"/>
        <v>588.04300000000001</v>
      </c>
      <c r="K59" s="245">
        <f t="shared" si="39"/>
        <v>0.903609</v>
      </c>
      <c r="L59" s="245">
        <f t="shared" si="39"/>
        <v>1.20275</v>
      </c>
      <c r="M59" s="245">
        <f t="shared" si="39"/>
        <v>6.0459250000000004</v>
      </c>
      <c r="N59" s="245">
        <f t="shared" si="39"/>
        <v>4.5923579999999999</v>
      </c>
      <c r="O59" s="245">
        <f t="shared" si="39"/>
        <v>5.9635119999999997</v>
      </c>
      <c r="P59" s="245">
        <f t="shared" ref="P59:AA59" si="40">SUM(P47:P58)</f>
        <v>7.8804470000000011</v>
      </c>
      <c r="Q59" s="245">
        <f t="shared" si="40"/>
        <v>5.6325079999999996</v>
      </c>
      <c r="R59" s="245">
        <f t="shared" si="40"/>
        <v>6.6916390000000003</v>
      </c>
      <c r="S59" s="245">
        <f t="shared" si="40"/>
        <v>12.250218000000002</v>
      </c>
      <c r="T59" s="245">
        <f t="shared" si="40"/>
        <v>16.816025</v>
      </c>
      <c r="U59" s="245">
        <f t="shared" si="40"/>
        <v>19.750192000000002</v>
      </c>
      <c r="V59" s="245">
        <f t="shared" si="40"/>
        <v>15.360949999999999</v>
      </c>
      <c r="W59" s="245">
        <f t="shared" si="40"/>
        <v>15.422088999999998</v>
      </c>
      <c r="X59" s="245">
        <f t="shared" si="40"/>
        <v>21.718747000000008</v>
      </c>
      <c r="Y59" s="245">
        <f t="shared" si="40"/>
        <v>23.513722000000005</v>
      </c>
      <c r="Z59" s="245">
        <f t="shared" si="40"/>
        <v>30.151129999999998</v>
      </c>
      <c r="AA59" s="245">
        <f t="shared" si="40"/>
        <v>22.618764999999996</v>
      </c>
      <c r="AB59" s="245">
        <f>SUM(AB47:AB58)</f>
        <v>30.734186999999999</v>
      </c>
      <c r="AC59" s="245">
        <f>SUM(AC47:AC58)</f>
        <v>24.305641999999995</v>
      </c>
      <c r="AD59" s="245">
        <f>SUM(AD47:AD58)</f>
        <v>21.202000000000005</v>
      </c>
      <c r="AE59" s="247">
        <f>AE10</f>
        <v>10</v>
      </c>
    </row>
    <row r="60" spans="1:39">
      <c r="A60" s="248"/>
      <c r="B60" s="248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  <c r="AE60" s="248"/>
    </row>
    <row r="61" spans="1:39" ht="15.75" thickBot="1">
      <c r="A61" s="235" t="s">
        <v>243</v>
      </c>
      <c r="J61" s="355"/>
      <c r="AH61" t="s">
        <v>341</v>
      </c>
      <c r="AI61"/>
      <c r="AJ61"/>
    </row>
    <row r="62" spans="1:39" ht="15.75" thickBot="1">
      <c r="A62" s="236"/>
      <c r="B62" s="237" t="str">
        <f>B$2</f>
        <v xml:space="preserve">93/94 </v>
      </c>
      <c r="C62" s="237" t="str">
        <f t="shared" ref="C62:AE62" si="41">C$2</f>
        <v xml:space="preserve">94/95 </v>
      </c>
      <c r="D62" s="237" t="str">
        <f t="shared" si="41"/>
        <v xml:space="preserve">95/96 </v>
      </c>
      <c r="E62" s="237" t="str">
        <f t="shared" si="41"/>
        <v xml:space="preserve">96/97 </v>
      </c>
      <c r="F62" s="237" t="str">
        <f t="shared" si="41"/>
        <v xml:space="preserve">97/98 </v>
      </c>
      <c r="G62" s="237" t="str">
        <f t="shared" si="41"/>
        <v xml:space="preserve">98/99 </v>
      </c>
      <c r="H62" s="237" t="str">
        <f t="shared" si="41"/>
        <v xml:space="preserve">99/00 </v>
      </c>
      <c r="I62" s="237" t="str">
        <f t="shared" si="41"/>
        <v xml:space="preserve">00/01 </v>
      </c>
      <c r="J62" s="237" t="str">
        <f t="shared" si="41"/>
        <v xml:space="preserve">01/02 </v>
      </c>
      <c r="K62" s="237" t="str">
        <f t="shared" si="41"/>
        <v xml:space="preserve">02/03 </v>
      </c>
      <c r="L62" s="237" t="str">
        <f t="shared" si="41"/>
        <v xml:space="preserve">03/04 </v>
      </c>
      <c r="M62" s="237" t="str">
        <f t="shared" si="41"/>
        <v xml:space="preserve">04/05 </v>
      </c>
      <c r="N62" s="237" t="str">
        <f t="shared" si="41"/>
        <v xml:space="preserve">05/06 </v>
      </c>
      <c r="O62" s="237" t="str">
        <f t="shared" si="41"/>
        <v xml:space="preserve">06/07 </v>
      </c>
      <c r="P62" s="237" t="str">
        <f t="shared" si="41"/>
        <v xml:space="preserve">07/08 </v>
      </c>
      <c r="Q62" s="237" t="str">
        <f t="shared" si="41"/>
        <v xml:space="preserve">08/09 </v>
      </c>
      <c r="R62" s="237" t="str">
        <f t="shared" si="41"/>
        <v xml:space="preserve">09/10 </v>
      </c>
      <c r="S62" s="237" t="str">
        <f t="shared" si="41"/>
        <v xml:space="preserve">10/11 </v>
      </c>
      <c r="T62" s="237" t="str">
        <f t="shared" si="41"/>
        <v xml:space="preserve">11/12 </v>
      </c>
      <c r="U62" s="237" t="str">
        <f t="shared" si="41"/>
        <v xml:space="preserve">12/13 </v>
      </c>
      <c r="V62" s="237" t="str">
        <f t="shared" si="41"/>
        <v xml:space="preserve">13/14 </v>
      </c>
      <c r="W62" s="237" t="str">
        <f t="shared" si="41"/>
        <v xml:space="preserve">14/15 </v>
      </c>
      <c r="X62" s="237" t="str">
        <f t="shared" si="41"/>
        <v xml:space="preserve">15/16 </v>
      </c>
      <c r="Y62" s="237" t="str">
        <f t="shared" si="41"/>
        <v xml:space="preserve">16/17 </v>
      </c>
      <c r="Z62" s="237" t="str">
        <f t="shared" si="41"/>
        <v xml:space="preserve">17/18 </v>
      </c>
      <c r="AA62" s="237" t="str">
        <f t="shared" si="41"/>
        <v xml:space="preserve">18/19 </v>
      </c>
      <c r="AB62" s="237" t="str">
        <f t="shared" si="41"/>
        <v xml:space="preserve">19/20 </v>
      </c>
      <c r="AC62" s="237" t="str">
        <f t="shared" si="41"/>
        <v xml:space="preserve">20/21 </v>
      </c>
      <c r="AD62" s="237" t="str">
        <f t="shared" si="41"/>
        <v>21/22</v>
      </c>
      <c r="AE62" s="237" t="str">
        <f t="shared" si="41"/>
        <v>22/23</v>
      </c>
      <c r="AH62" s="226" t="s">
        <v>342</v>
      </c>
      <c r="AI62" s="226">
        <v>2021</v>
      </c>
      <c r="AJ62" s="226">
        <v>2022</v>
      </c>
      <c r="AL62" s="226" t="s">
        <v>343</v>
      </c>
    </row>
    <row r="63" spans="1:39">
      <c r="A63" s="240" t="s">
        <v>238</v>
      </c>
      <c r="B63" s="241">
        <f>(SUM(K63:O63)/SUM(K$75:O$75))*B$75</f>
        <v>0.96775531101869183</v>
      </c>
      <c r="C63" s="146">
        <f>'[2]Ukraine Sunflower Exports'!AR$290</f>
        <v>12.5</v>
      </c>
      <c r="D63" s="146">
        <f>'[2]Ukraine Sunflower Exports'!BD$290</f>
        <v>9.1999999999999993</v>
      </c>
      <c r="E63" s="146">
        <f>'[2]Ukraine Sunflower Exports'!BP$290</f>
        <v>45.7</v>
      </c>
      <c r="F63" s="146">
        <f>'[2]Ukraine Sunflower Exports'!CB$290</f>
        <v>0.8</v>
      </c>
      <c r="G63" s="146">
        <f>'[2]Ukraine Sunflower Exports'!CN$290</f>
        <v>15.5</v>
      </c>
      <c r="H63" s="146">
        <f>'[2]Ukraine Sunflower Exports'!CZ$290</f>
        <v>15</v>
      </c>
      <c r="I63" s="146">
        <f>'[2]Ukraine Sunflower Exports'!DL$290</f>
        <v>23.8</v>
      </c>
      <c r="J63" s="146">
        <f>'[2]Ukraine Sunflower Exports'!DX$290</f>
        <v>0.3</v>
      </c>
      <c r="K63" s="146">
        <f>'[2]Ukraine Sunflower Exports'!EJ$290</f>
        <v>0.14085</v>
      </c>
      <c r="L63" s="146">
        <f>'[2]Ukraine Sunflower Exports'!EV$290</f>
        <v>7.6980000000000004</v>
      </c>
      <c r="M63" s="146">
        <f>'[2]Ukraine Sunflower Exports'!FH$290</f>
        <v>0.11</v>
      </c>
      <c r="N63" s="146">
        <f>'[2]Ukraine Sunflower Exports'!FT$290</f>
        <v>0.185</v>
      </c>
      <c r="O63" s="146">
        <f>'[2]Ukraine Sunflower Exports'!GF$290</f>
        <v>0.67100000000000004</v>
      </c>
      <c r="P63" s="146">
        <f>'[2]Ukraine Sunflower Exports'!GR$290</f>
        <v>2.21</v>
      </c>
      <c r="Q63" s="146">
        <f>'[2]Ukraine Sunflower Exports'!HD$290</f>
        <v>0.38400000000000001</v>
      </c>
      <c r="R63" s="146">
        <f>'[2]Ukraine Sunflower Exports'!HP$290</f>
        <v>6.66</v>
      </c>
      <c r="S63" s="146">
        <f>'[2]Ukraine Sunflower Exports'!IB$290</f>
        <v>2.851</v>
      </c>
      <c r="T63" s="146">
        <f>'[2]Ukraine Sunflower Exports'!IN$290</f>
        <v>4.4059999999999997</v>
      </c>
      <c r="U63" s="146">
        <f>'[2]Ukraine Sunflower Exports'!IZ$290</f>
        <v>5.8550000000000004</v>
      </c>
      <c r="V63" s="146">
        <f>'[2]Ukraine Sunflower Exports'!JL$290</f>
        <v>3.0710000000000002</v>
      </c>
      <c r="W63" s="146">
        <f>'[2]Ukraine Sunflower Exports'!JX$290</f>
        <v>3.9729999999999999</v>
      </c>
      <c r="X63" s="146">
        <f>'[2]Ukraine Sunflower Exports'!KJ$290</f>
        <v>1.3939999999999999</v>
      </c>
      <c r="Y63" s="146">
        <f>'[2]Ukraine Sunflower Exports'!KV$290</f>
        <v>3.14</v>
      </c>
      <c r="Z63" s="146">
        <f>'[2]Ukraine Sunflower Exports'!LH$290</f>
        <v>2.342498</v>
      </c>
      <c r="AA63" s="146">
        <f>'[2]Ukraine Sunflower Exports'!LT$290</f>
        <v>2.6936110000000002</v>
      </c>
      <c r="AB63" s="146">
        <f>'[2]Ukraine Sunflower Exports'!MF$290</f>
        <v>2.3712499999999999</v>
      </c>
      <c r="AC63" s="146">
        <f>'[2]Ukraine Sunflower Exports'!MR$290</f>
        <v>7.6473940000000002</v>
      </c>
      <c r="AD63" s="146">
        <f>'[2]Ukraine Sunflower Exports'!ND$290</f>
        <v>5.0869999999999997</v>
      </c>
      <c r="AE63" s="146">
        <f>'[2]Ukraine Sunflower Exports'!NP$290</f>
        <v>180.619</v>
      </c>
      <c r="AH63" s="226" t="s">
        <v>231</v>
      </c>
      <c r="AI63" s="291">
        <f>AC67*1000</f>
        <v>24850</v>
      </c>
      <c r="AJ63" s="291">
        <f>AD67*1000</f>
        <v>3775</v>
      </c>
      <c r="AL63" s="226"/>
    </row>
    <row r="64" spans="1:39">
      <c r="A64" s="240" t="s">
        <v>239</v>
      </c>
      <c r="B64" s="241">
        <f t="shared" ref="B64:B73" si="42">(SUM(K64:O64)/SUM(K$75:O$75))*B$75</f>
        <v>18.98997982489815</v>
      </c>
      <c r="C64" s="146">
        <f>'[2]Ukraine Sunflower Exports'!AS$290</f>
        <v>14.4</v>
      </c>
      <c r="D64" s="146">
        <f>'[2]Ukraine Sunflower Exports'!BE$290</f>
        <v>8.5</v>
      </c>
      <c r="E64" s="146">
        <f>'[2]Ukraine Sunflower Exports'!BQ$290</f>
        <v>34.200000000000003</v>
      </c>
      <c r="F64" s="146">
        <f>'[2]Ukraine Sunflower Exports'!CC$290</f>
        <v>70</v>
      </c>
      <c r="G64" s="146">
        <f>'[2]Ukraine Sunflower Exports'!CO$290</f>
        <v>108</v>
      </c>
      <c r="H64" s="146">
        <f>'[2]Ukraine Sunflower Exports'!DA$290</f>
        <v>16.909493000000001</v>
      </c>
      <c r="I64" s="146">
        <f>'[2]Ukraine Sunflower Exports'!DM$290</f>
        <v>56.2</v>
      </c>
      <c r="J64" s="146">
        <f>'[2]Ukraine Sunflower Exports'!DY$290</f>
        <v>20.957678999999995</v>
      </c>
      <c r="K64" s="146">
        <f>'[2]Ukraine Sunflower Exports'!EK$290</f>
        <v>0.66900000000000004</v>
      </c>
      <c r="L64" s="146">
        <f>'[2]Ukraine Sunflower Exports'!EW$290</f>
        <v>163.42099999999999</v>
      </c>
      <c r="M64" s="146">
        <f>'[2]Ukraine Sunflower Exports'!FI$290</f>
        <v>0.80800000000000005</v>
      </c>
      <c r="N64" s="146">
        <f>'[2]Ukraine Sunflower Exports'!FU$290</f>
        <v>1.109</v>
      </c>
      <c r="O64" s="146">
        <f>'[2]Ukraine Sunflower Exports'!GG$290</f>
        <v>6.7679999999999998</v>
      </c>
      <c r="P64" s="146">
        <f>'[2]Ukraine Sunflower Exports'!GS$290</f>
        <v>4.3490000000000002</v>
      </c>
      <c r="Q64" s="146">
        <f>'[2]Ukraine Sunflower Exports'!HE$290</f>
        <v>0.60299999999999998</v>
      </c>
      <c r="R64" s="146">
        <f>'[2]Ukraine Sunflower Exports'!HQ$290</f>
        <v>18.271000000000001</v>
      </c>
      <c r="S64" s="146">
        <f>'[2]Ukraine Sunflower Exports'!IC$290</f>
        <v>5.23</v>
      </c>
      <c r="T64" s="146">
        <f>'[2]Ukraine Sunflower Exports'!IO$290</f>
        <v>26.401</v>
      </c>
      <c r="U64" s="146">
        <f>'[2]Ukraine Sunflower Exports'!JA$290</f>
        <v>28.148</v>
      </c>
      <c r="V64" s="146">
        <f>'[2]Ukraine Sunflower Exports'!JM$290</f>
        <v>4.2709999999999999</v>
      </c>
      <c r="W64" s="146">
        <f>'[2]Ukraine Sunflower Exports'!JY$290</f>
        <v>7.0590000000000002</v>
      </c>
      <c r="X64" s="146">
        <f>'[2]Ukraine Sunflower Exports'!KK$290</f>
        <v>7.4480000000000004</v>
      </c>
      <c r="Y64" s="146">
        <f>'[2]Ukraine Sunflower Exports'!KW$290</f>
        <v>21.945</v>
      </c>
      <c r="Z64" s="146">
        <f>'[2]Ukraine Sunflower Exports'!LI$290</f>
        <v>3.6245530000000001</v>
      </c>
      <c r="AA64" s="146">
        <f>'[2]Ukraine Sunflower Exports'!LU$290</f>
        <v>10.374822999999999</v>
      </c>
      <c r="AB64" s="146">
        <f>'[2]Ukraine Sunflower Exports'!MG$290</f>
        <v>2.750842</v>
      </c>
      <c r="AC64" s="146">
        <f>'[2]Ukraine Sunflower Exports'!MS$290</f>
        <v>69.183460999999994</v>
      </c>
      <c r="AD64" s="146">
        <f>'[2]Ukraine Sunflower Exports'!NE$290</f>
        <v>16.847999999999999</v>
      </c>
      <c r="AE64" s="146">
        <f>'[2]Ukraine Sunflower Exports'!NQ$290</f>
        <v>307.75099999999998</v>
      </c>
      <c r="AH64" s="226" t="s">
        <v>232</v>
      </c>
      <c r="AI64" s="291">
        <f t="shared" ref="AI64:AJ70" si="43">AC68*1000</f>
        <v>39097</v>
      </c>
      <c r="AJ64" s="291">
        <f t="shared" si="43"/>
        <v>2567</v>
      </c>
      <c r="AL64" s="226">
        <v>4</v>
      </c>
    </row>
    <row r="65" spans="1:40">
      <c r="A65" s="240" t="s">
        <v>240</v>
      </c>
      <c r="B65" s="241">
        <f t="shared" si="42"/>
        <v>19.087801165046663</v>
      </c>
      <c r="C65" s="146">
        <f>'[2]Ukraine Sunflower Exports'!AT$290</f>
        <v>13.9</v>
      </c>
      <c r="D65" s="146">
        <f>'[2]Ukraine Sunflower Exports'!BF$290</f>
        <v>5.5</v>
      </c>
      <c r="E65" s="146">
        <f>'[2]Ukraine Sunflower Exports'!BR$290</f>
        <v>61.7</v>
      </c>
      <c r="F65" s="146">
        <f>'[2]Ukraine Sunflower Exports'!CD$290</f>
        <v>166.1</v>
      </c>
      <c r="G65" s="146">
        <f>'[2]Ukraine Sunflower Exports'!CP$290</f>
        <v>120</v>
      </c>
      <c r="H65" s="146">
        <f>'[2]Ukraine Sunflower Exports'!DB$290</f>
        <v>27.558482999999999</v>
      </c>
      <c r="I65" s="146">
        <f>'[2]Ukraine Sunflower Exports'!DN$290</f>
        <v>172.8</v>
      </c>
      <c r="J65" s="146">
        <f>'[2]Ukraine Sunflower Exports'!DZ$290</f>
        <v>17.154117999999997</v>
      </c>
      <c r="K65" s="146">
        <f>'[2]Ukraine Sunflower Exports'!EL$290</f>
        <v>6.0810000000000004</v>
      </c>
      <c r="L65" s="146">
        <f>'[2]Ukraine Sunflower Exports'!EX$290</f>
        <v>161.477</v>
      </c>
      <c r="M65" s="146">
        <f>'[2]Ukraine Sunflower Exports'!FJ$290</f>
        <v>1.417</v>
      </c>
      <c r="N65" s="146">
        <f>'[2]Ukraine Sunflower Exports'!FV$290</f>
        <v>1.581</v>
      </c>
      <c r="O65" s="146">
        <f>'[2]Ukraine Sunflower Exports'!GH$290</f>
        <v>3.109</v>
      </c>
      <c r="P65" s="146">
        <f>'[2]Ukraine Sunflower Exports'!GT$290</f>
        <v>34.472999999999999</v>
      </c>
      <c r="Q65" s="146">
        <f>'[2]Ukraine Sunflower Exports'!HF$290</f>
        <v>36.338999999999999</v>
      </c>
      <c r="R65" s="146">
        <f>'[2]Ukraine Sunflower Exports'!HR$290</f>
        <v>18.459</v>
      </c>
      <c r="S65" s="146">
        <f>'[2]Ukraine Sunflower Exports'!ID$290</f>
        <v>22.962</v>
      </c>
      <c r="T65" s="146">
        <f>'[2]Ukraine Sunflower Exports'!IP$290</f>
        <v>19.614000000000001</v>
      </c>
      <c r="U65" s="146">
        <f>'[2]Ukraine Sunflower Exports'!JB$290</f>
        <v>20.009</v>
      </c>
      <c r="V65" s="146">
        <f>'[2]Ukraine Sunflower Exports'!JN$290</f>
        <v>4.3650000000000002</v>
      </c>
      <c r="W65" s="146">
        <f>'[2]Ukraine Sunflower Exports'!JZ$290</f>
        <v>4.468</v>
      </c>
      <c r="X65" s="146">
        <f>'[2]Ukraine Sunflower Exports'!KL$290</f>
        <v>7.0190000000000001</v>
      </c>
      <c r="Y65" s="146">
        <f>'[2]Ukraine Sunflower Exports'!KX$290</f>
        <v>80.474000000000004</v>
      </c>
      <c r="Z65" s="146">
        <f>'[2]Ukraine Sunflower Exports'!LJ$290</f>
        <v>3.9076900000000001</v>
      </c>
      <c r="AA65" s="146">
        <f>'[2]Ukraine Sunflower Exports'!LV$290</f>
        <v>12.824946000000001</v>
      </c>
      <c r="AB65" s="146">
        <f>'[2]Ukraine Sunflower Exports'!MH$290</f>
        <v>3.5670280000000001</v>
      </c>
      <c r="AC65" s="146">
        <f>'[2]Ukraine Sunflower Exports'!MT$290</f>
        <v>37.906568999999998</v>
      </c>
      <c r="AD65" s="146">
        <f>'[2]Ukraine Sunflower Exports'!NF$290</f>
        <v>22.757999999999999</v>
      </c>
      <c r="AE65" s="253">
        <f>(SUM(Y65:AC65)/SUM(Y$75:AC$75))*AE$75-50</f>
        <v>176.41860478876242</v>
      </c>
      <c r="AH65" s="226" t="s">
        <v>233</v>
      </c>
      <c r="AI65" s="291">
        <f t="shared" si="43"/>
        <v>3883</v>
      </c>
      <c r="AJ65" s="291">
        <f t="shared" si="43"/>
        <v>23231</v>
      </c>
      <c r="AL65" s="226">
        <v>31.760999999999999</v>
      </c>
    </row>
    <row r="66" spans="1:40">
      <c r="A66" s="240" t="s">
        <v>241</v>
      </c>
      <c r="B66" s="241">
        <f t="shared" si="42"/>
        <v>36.264898760271137</v>
      </c>
      <c r="C66" s="146">
        <f>'[2]Ukraine Sunflower Exports'!AU$290</f>
        <v>45.7</v>
      </c>
      <c r="D66" s="146">
        <f>'[2]Ukraine Sunflower Exports'!BG$290</f>
        <v>62.5</v>
      </c>
      <c r="E66" s="146">
        <f>'[2]Ukraine Sunflower Exports'!BS$290</f>
        <v>329.8</v>
      </c>
      <c r="F66" s="146">
        <f>'[2]Ukraine Sunflower Exports'!CE$290</f>
        <v>176</v>
      </c>
      <c r="G66" s="146">
        <f>'[2]Ukraine Sunflower Exports'!CQ$290</f>
        <v>228</v>
      </c>
      <c r="H66" s="146">
        <f>'[2]Ukraine Sunflower Exports'!DC$290</f>
        <v>33.729453999999997</v>
      </c>
      <c r="I66" s="146">
        <f>'[2]Ukraine Sunflower Exports'!DO$290</f>
        <v>257.10000000000002</v>
      </c>
      <c r="J66" s="146">
        <f>'[2]Ukraine Sunflower Exports'!EA$290</f>
        <v>15.324408</v>
      </c>
      <c r="K66" s="146">
        <f>'[2]Ukraine Sunflower Exports'!EM$290</f>
        <v>33.289000000000001</v>
      </c>
      <c r="L66" s="146">
        <f>'[2]Ukraine Sunflower Exports'!EY$290</f>
        <v>244.358</v>
      </c>
      <c r="M66" s="146">
        <f>'[2]Ukraine Sunflower Exports'!FK$290</f>
        <v>1.095</v>
      </c>
      <c r="N66" s="146">
        <f>'[2]Ukraine Sunflower Exports'!FW$290</f>
        <v>24.593</v>
      </c>
      <c r="O66" s="146">
        <f>'[2]Ukraine Sunflower Exports'!GI$290</f>
        <v>26.611000000000001</v>
      </c>
      <c r="P66" s="146">
        <f>'[2]Ukraine Sunflower Exports'!GU$290</f>
        <v>30.196000000000002</v>
      </c>
      <c r="Q66" s="146">
        <f>'[2]Ukraine Sunflower Exports'!HG$290</f>
        <v>55.652000000000001</v>
      </c>
      <c r="R66" s="146">
        <f>'[2]Ukraine Sunflower Exports'!HS$290</f>
        <v>10.145</v>
      </c>
      <c r="S66" s="146">
        <f>'[2]Ukraine Sunflower Exports'!IE$290</f>
        <v>78.774000000000001</v>
      </c>
      <c r="T66" s="146">
        <f>'[2]Ukraine Sunflower Exports'!IQ$290</f>
        <v>21.01</v>
      </c>
      <c r="U66" s="146">
        <f>'[2]Ukraine Sunflower Exports'!JC$290</f>
        <v>17.344000000000001</v>
      </c>
      <c r="V66" s="146">
        <f>'[2]Ukraine Sunflower Exports'!JO$290</f>
        <v>2.8479999999999999</v>
      </c>
      <c r="W66" s="146">
        <f>'[2]Ukraine Sunflower Exports'!KA$290</f>
        <v>3.2410000000000001</v>
      </c>
      <c r="X66" s="146">
        <f>'[2]Ukraine Sunflower Exports'!KM$290</f>
        <v>5.1580000000000004</v>
      </c>
      <c r="Y66" s="146">
        <f>'[2]Ukraine Sunflower Exports'!KY$290</f>
        <v>28.683</v>
      </c>
      <c r="Z66" s="146">
        <f>'[2]Ukraine Sunflower Exports'!LK$290</f>
        <v>6.3454090000000001</v>
      </c>
      <c r="AA66" s="146">
        <f>'[2]Ukraine Sunflower Exports'!LW$290</f>
        <v>10.510565</v>
      </c>
      <c r="AB66" s="146">
        <f>'[2]Ukraine Sunflower Exports'!MI$290</f>
        <v>5.4557510000000002</v>
      </c>
      <c r="AC66" s="146">
        <f>'[2]Ukraine Sunflower Exports'!MU$290</f>
        <v>34.214109000000001</v>
      </c>
      <c r="AD66" s="146">
        <f>'[2]Ukraine Sunflower Exports'!NG$290</f>
        <v>3.5150000000000001</v>
      </c>
      <c r="AE66" s="253">
        <f>(SUM(Y66:AC66)/SUM(Y$75:AC$75))*AE$75-25</f>
        <v>114.11762976312033</v>
      </c>
      <c r="AH66" s="226" t="s">
        <v>234</v>
      </c>
      <c r="AI66" s="291">
        <f t="shared" si="43"/>
        <v>3981</v>
      </c>
      <c r="AJ66" s="291">
        <f t="shared" si="43"/>
        <v>109037</v>
      </c>
      <c r="AL66" s="226">
        <v>9.7420000000000009</v>
      </c>
      <c r="AN66" s="356"/>
    </row>
    <row r="67" spans="1:40">
      <c r="A67" s="240" t="s">
        <v>231</v>
      </c>
      <c r="B67" s="241">
        <f t="shared" si="42"/>
        <v>14.228388703646594</v>
      </c>
      <c r="C67" s="146">
        <f>'[2]Ukraine Sunflower Exports'!AV$290</f>
        <v>20.2</v>
      </c>
      <c r="D67" s="146">
        <f>'[2]Ukraine Sunflower Exports'!BH$290</f>
        <v>68.3</v>
      </c>
      <c r="E67" s="146">
        <f>'[2]Ukraine Sunflower Exports'!BT$290</f>
        <v>180.2</v>
      </c>
      <c r="F67" s="146">
        <f>'[2]Ukraine Sunflower Exports'!CF$290</f>
        <v>148.80000000000001</v>
      </c>
      <c r="G67" s="146">
        <f>'[2]Ukraine Sunflower Exports'!CR$290</f>
        <v>200</v>
      </c>
      <c r="H67" s="146">
        <f>'[2]Ukraine Sunflower Exports'!DD$290</f>
        <v>32.104419999999998</v>
      </c>
      <c r="I67" s="146">
        <f>'[2]Ukraine Sunflower Exports'!DP$290</f>
        <v>116.1</v>
      </c>
      <c r="J67" s="146">
        <f>'[2]Ukraine Sunflower Exports'!EB$290</f>
        <v>4.6778050000000002</v>
      </c>
      <c r="K67" s="146">
        <f>'[2]Ukraine Sunflower Exports'!EN$290</f>
        <v>49.686</v>
      </c>
      <c r="L67" s="146">
        <f>'[2]Ukraine Sunflower Exports'!EZ$290</f>
        <v>56.323</v>
      </c>
      <c r="M67" s="146">
        <f>'[2]Ukraine Sunflower Exports'!FL$290</f>
        <v>0.752</v>
      </c>
      <c r="N67" s="146">
        <f>'[2]Ukraine Sunflower Exports'!FX$290</f>
        <v>17.265000000000001</v>
      </c>
      <c r="O67" s="146">
        <f>'[2]Ukraine Sunflower Exports'!GJ$290</f>
        <v>5.4269999999999996</v>
      </c>
      <c r="P67" s="146">
        <f>'[2]Ukraine Sunflower Exports'!GV$290</f>
        <v>0.42799999999999999</v>
      </c>
      <c r="Q67" s="146">
        <f>'[2]Ukraine Sunflower Exports'!HH$290</f>
        <v>75.980999999999995</v>
      </c>
      <c r="R67" s="146">
        <f>'[2]Ukraine Sunflower Exports'!HT$290</f>
        <v>9.0039999999999996</v>
      </c>
      <c r="S67" s="146">
        <f>'[2]Ukraine Sunflower Exports'!IF$290</f>
        <v>80.340999999999994</v>
      </c>
      <c r="T67" s="146">
        <f>'[2]Ukraine Sunflower Exports'!IR$290</f>
        <v>17.597000000000001</v>
      </c>
      <c r="U67" s="146">
        <f>'[2]Ukraine Sunflower Exports'!JD$290</f>
        <v>9.6349999999999998</v>
      </c>
      <c r="V67" s="146">
        <f>'[2]Ukraine Sunflower Exports'!JP$290</f>
        <v>3.0819999999999999</v>
      </c>
      <c r="W67" s="146">
        <f>'[2]Ukraine Sunflower Exports'!KB$290</f>
        <v>0.92400000000000004</v>
      </c>
      <c r="X67" s="146">
        <f>'[2]Ukraine Sunflower Exports'!KN$290</f>
        <v>1.5269999999999999</v>
      </c>
      <c r="Y67" s="146">
        <f>'[2]Ukraine Sunflower Exports'!KZ$290</f>
        <v>3.9129999999999998</v>
      </c>
      <c r="Z67" s="146">
        <f>'[2]Ukraine Sunflower Exports'!LL$290</f>
        <v>2.426177</v>
      </c>
      <c r="AA67" s="146">
        <f>'[2]Ukraine Sunflower Exports'!LX$290</f>
        <v>2.6687340000000002</v>
      </c>
      <c r="AB67" s="146">
        <f>'[2]Ukraine Sunflower Exports'!MJ$290</f>
        <v>5.1704780000000001</v>
      </c>
      <c r="AC67" s="146">
        <f>'[2]Ukraine Sunflower Exports'!MV$290</f>
        <v>24.85</v>
      </c>
      <c r="AD67" s="146">
        <f>'[2]Ukraine Sunflower Exports'!NH$290</f>
        <v>3.7749999999999999</v>
      </c>
      <c r="AE67" s="253">
        <f>(SUM(Y67:AC67)/SUM(Y$75:AC$75))*AE$75+25</f>
        <v>88.720352882108898</v>
      </c>
      <c r="AH67" s="226" t="s">
        <v>46</v>
      </c>
      <c r="AI67" s="291">
        <f t="shared" si="43"/>
        <v>8047.0000000000009</v>
      </c>
      <c r="AJ67" s="291">
        <f t="shared" si="43"/>
        <v>373631</v>
      </c>
      <c r="AN67" s="356"/>
    </row>
    <row r="68" spans="1:40">
      <c r="A68" s="240" t="s">
        <v>232</v>
      </c>
      <c r="B68" s="241">
        <f t="shared" si="42"/>
        <v>22.930531158611064</v>
      </c>
      <c r="C68" s="146">
        <f>'[2]Ukraine Sunflower Exports'!AW$290</f>
        <v>11.4</v>
      </c>
      <c r="D68" s="146">
        <f>'[2]Ukraine Sunflower Exports'!BI$290</f>
        <v>45.7</v>
      </c>
      <c r="E68" s="146">
        <f>'[2]Ukraine Sunflower Exports'!BU$290</f>
        <v>217.1</v>
      </c>
      <c r="F68" s="146">
        <f>'[2]Ukraine Sunflower Exports'!CG$290</f>
        <v>88.1</v>
      </c>
      <c r="G68" s="146">
        <f>'[2]Ukraine Sunflower Exports'!CS$290</f>
        <v>80</v>
      </c>
      <c r="H68" s="146">
        <f>'[2]Ukraine Sunflower Exports'!DE$290</f>
        <v>50.616439000000007</v>
      </c>
      <c r="I68" s="146">
        <f>'[2]Ukraine Sunflower Exports'!DQ$290</f>
        <v>104.9</v>
      </c>
      <c r="J68" s="146">
        <f>'[2]Ukraine Sunflower Exports'!EC$290</f>
        <v>5.5315219999999998</v>
      </c>
      <c r="K68" s="146">
        <f>'[2]Ukraine Sunflower Exports'!EO$290</f>
        <v>24.754999999999999</v>
      </c>
      <c r="L68" s="146">
        <f>'[2]Ukraine Sunflower Exports'!FA$290</f>
        <v>89.76</v>
      </c>
      <c r="M68" s="146">
        <f>'[2]Ukraine Sunflower Exports'!FM$290</f>
        <v>0.90100000000000002</v>
      </c>
      <c r="N68" s="146">
        <f>'[2]Ukraine Sunflower Exports'!FY$290</f>
        <v>4.9770000000000003</v>
      </c>
      <c r="O68" s="146">
        <f>'[2]Ukraine Sunflower Exports'!GK$290</f>
        <v>88.233999999999995</v>
      </c>
      <c r="P68" s="146">
        <f>'[2]Ukraine Sunflower Exports'!GW$290</f>
        <v>3.0960000000000001</v>
      </c>
      <c r="Q68" s="146">
        <f>'[2]Ukraine Sunflower Exports'!HI$290</f>
        <v>148.95400000000001</v>
      </c>
      <c r="R68" s="146">
        <f>'[2]Ukraine Sunflower Exports'!HU$290</f>
        <v>4.2300000000000004</v>
      </c>
      <c r="S68" s="146">
        <f>'[2]Ukraine Sunflower Exports'!IG$290</f>
        <v>54.194000000000003</v>
      </c>
      <c r="T68" s="146">
        <f>'[2]Ukraine Sunflower Exports'!IS$290</f>
        <v>8.4819999999999993</v>
      </c>
      <c r="U68" s="146">
        <f>'[2]Ukraine Sunflower Exports'!JE$290</f>
        <v>19.526</v>
      </c>
      <c r="V68" s="146">
        <f>'[2]Ukraine Sunflower Exports'!JQ$290</f>
        <v>2.4239999999999999</v>
      </c>
      <c r="W68" s="146">
        <f>'[2]Ukraine Sunflower Exports'!KC$290</f>
        <v>1.496</v>
      </c>
      <c r="X68" s="146">
        <f>'[2]Ukraine Sunflower Exports'!KO$290</f>
        <v>9.9049999999999994</v>
      </c>
      <c r="Y68" s="146">
        <f>'[2]Ukraine Sunflower Exports'!LA$290</f>
        <v>11.558999999999999</v>
      </c>
      <c r="Z68" s="146">
        <f>'[2]Ukraine Sunflower Exports'!LM$290</f>
        <v>4.1256930000000001</v>
      </c>
      <c r="AA68" s="146">
        <f>'[2]Ukraine Sunflower Exports'!LY$290</f>
        <v>15.355582</v>
      </c>
      <c r="AB68" s="146">
        <f>'[2]Ukraine Sunflower Exports'!MK$290</f>
        <v>3.7207059999999998</v>
      </c>
      <c r="AC68" s="146">
        <f>'[2]Ukraine Sunflower Exports'!MW$290</f>
        <v>39.097000000000001</v>
      </c>
      <c r="AD68" s="146">
        <f>'[2]Ukraine Sunflower Exports'!NI$290</f>
        <v>2.5670000000000002</v>
      </c>
      <c r="AE68" s="253">
        <f>(SUM(Y68:AC68)/SUM(Y$75:AC$75))*AE$75-75</f>
        <v>45.585469527837631</v>
      </c>
      <c r="AH68" s="226" t="s">
        <v>235</v>
      </c>
      <c r="AI68" s="291">
        <f t="shared" si="43"/>
        <v>1186</v>
      </c>
      <c r="AJ68" s="209">
        <f>AD72*1000</f>
        <v>529032</v>
      </c>
      <c r="AN68" s="253"/>
    </row>
    <row r="69" spans="1:40">
      <c r="A69" s="240" t="s">
        <v>233</v>
      </c>
      <c r="B69" s="241">
        <f t="shared" si="42"/>
        <v>35.838331770252729</v>
      </c>
      <c r="C69" s="146">
        <f>'[2]Ukraine Sunflower Exports'!AX$290</f>
        <v>4.9000000000000004</v>
      </c>
      <c r="D69" s="146">
        <f>'[2]Ukraine Sunflower Exports'!BJ$290</f>
        <v>35.799999999999997</v>
      </c>
      <c r="E69" s="146">
        <f>'[2]Ukraine Sunflower Exports'!BV$290</f>
        <v>133.69999999999999</v>
      </c>
      <c r="F69" s="146">
        <f>'[2]Ukraine Sunflower Exports'!CH$290</f>
        <v>36.200000000000003</v>
      </c>
      <c r="G69" s="146">
        <f>'[2]Ukraine Sunflower Exports'!CT$290</f>
        <v>50</v>
      </c>
      <c r="H69" s="146">
        <f>'[2]Ukraine Sunflower Exports'!DF$290</f>
        <v>39.355252000000007</v>
      </c>
      <c r="I69" s="146">
        <f>'[2]Ukraine Sunflower Exports'!DR$290</f>
        <v>157.19999999999999</v>
      </c>
      <c r="J69" s="146">
        <f>'[2]Ukraine Sunflower Exports'!ED$290</f>
        <v>16.586711000000005</v>
      </c>
      <c r="K69" s="146">
        <f>'[2]Ukraine Sunflower Exports'!EP$290</f>
        <v>55.643000000000001</v>
      </c>
      <c r="L69" s="146">
        <f>'[2]Ukraine Sunflower Exports'!FB$290</f>
        <v>85.417000000000002</v>
      </c>
      <c r="M69" s="146">
        <f>'[2]Ukraine Sunflower Exports'!FN$290</f>
        <v>0.88</v>
      </c>
      <c r="N69" s="146">
        <f>'[2]Ukraine Sunflower Exports'!FZ$290</f>
        <v>92.524000000000001</v>
      </c>
      <c r="O69" s="146">
        <f>'[2]Ukraine Sunflower Exports'!GL$290</f>
        <v>91.600999999999999</v>
      </c>
      <c r="P69" s="146">
        <f>'[2]Ukraine Sunflower Exports'!GX$290</f>
        <v>0.16</v>
      </c>
      <c r="Q69" s="146">
        <f>'[2]Ukraine Sunflower Exports'!HJ$290</f>
        <v>135.03800000000001</v>
      </c>
      <c r="R69" s="146">
        <f>'[2]Ukraine Sunflower Exports'!HV$290</f>
        <v>43.323999999999998</v>
      </c>
      <c r="S69" s="146">
        <f>'[2]Ukraine Sunflower Exports'!IH$290</f>
        <v>83.518000000000001</v>
      </c>
      <c r="T69" s="146">
        <f>'[2]Ukraine Sunflower Exports'!IT$290</f>
        <v>30.045999999999999</v>
      </c>
      <c r="U69" s="146">
        <f>'[2]Ukraine Sunflower Exports'!JF$290</f>
        <v>14.629</v>
      </c>
      <c r="V69" s="146">
        <f>'[2]Ukraine Sunflower Exports'!JR$290</f>
        <v>5.4290000000000003</v>
      </c>
      <c r="W69" s="146">
        <f>'[2]Ukraine Sunflower Exports'!KD$290</f>
        <v>1.1339999999999999</v>
      </c>
      <c r="X69" s="146">
        <f>'[2]Ukraine Sunflower Exports'!KP$290</f>
        <v>3.7839999999999998</v>
      </c>
      <c r="Y69" s="146">
        <f>'[2]Ukraine Sunflower Exports'!LB$290</f>
        <v>19.652000000000001</v>
      </c>
      <c r="Z69" s="146">
        <f>'[2]Ukraine Sunflower Exports'!LN$290</f>
        <v>1.804559</v>
      </c>
      <c r="AA69" s="146">
        <f>'[2]Ukraine Sunflower Exports'!LZ$290</f>
        <v>15.696630000000001</v>
      </c>
      <c r="AB69" s="146">
        <f>'[2]Ukraine Sunflower Exports'!ML$290</f>
        <v>3.6673460000000002</v>
      </c>
      <c r="AC69" s="146">
        <f>'[2]Ukraine Sunflower Exports'!MX$290</f>
        <v>3.883</v>
      </c>
      <c r="AD69" s="146">
        <f>'[2]Ukraine Sunflower Exports'!NJ$290</f>
        <v>23.231000000000002</v>
      </c>
      <c r="AE69" s="253">
        <f>(SUM(Y69:AC69)/SUM(Y$75:AC$75))*AE$75-25</f>
        <v>47.985975036727922</v>
      </c>
      <c r="AH69" s="226" t="s">
        <v>236</v>
      </c>
      <c r="AI69" s="291">
        <f t="shared" si="43"/>
        <v>908</v>
      </c>
      <c r="AJ69" s="209">
        <f t="shared" si="43"/>
        <v>364268</v>
      </c>
      <c r="AN69" s="253"/>
    </row>
    <row r="70" spans="1:40">
      <c r="A70" s="240" t="s">
        <v>234</v>
      </c>
      <c r="B70" s="241">
        <f t="shared" si="42"/>
        <v>26.242937594628753</v>
      </c>
      <c r="C70" s="146">
        <f>'[2]Ukraine Sunflower Exports'!AY$290</f>
        <v>0.7</v>
      </c>
      <c r="D70" s="146">
        <f>'[2]Ukraine Sunflower Exports'!BK$290</f>
        <v>51.1</v>
      </c>
      <c r="E70" s="146">
        <f>'[2]Ukraine Sunflower Exports'!BW$290</f>
        <v>61.9</v>
      </c>
      <c r="F70" s="146">
        <f>'[2]Ukraine Sunflower Exports'!CI$290</f>
        <v>16</v>
      </c>
      <c r="G70" s="146">
        <f>'[2]Ukraine Sunflower Exports'!CU$290</f>
        <v>25</v>
      </c>
      <c r="H70" s="146">
        <f>'[2]Ukraine Sunflower Exports'!DG$290</f>
        <v>51</v>
      </c>
      <c r="I70" s="146">
        <f>'[2]Ukraine Sunflower Exports'!DS$290</f>
        <v>86.6</v>
      </c>
      <c r="J70" s="146">
        <f>'[2]Ukraine Sunflower Exports'!EE$290</f>
        <v>0.46232300000000004</v>
      </c>
      <c r="K70" s="146">
        <f>'[2]Ukraine Sunflower Exports'!EQ$290</f>
        <v>60.591000000000001</v>
      </c>
      <c r="L70" s="146">
        <f>'[2]Ukraine Sunflower Exports'!FC$290</f>
        <v>61.122999999999998</v>
      </c>
      <c r="M70" s="146">
        <f>'[2]Ukraine Sunflower Exports'!FO$290</f>
        <v>4.4649999999999999</v>
      </c>
      <c r="N70" s="146">
        <f>'[2]Ukraine Sunflower Exports'!GA$290</f>
        <v>36.869</v>
      </c>
      <c r="O70" s="146">
        <f>'[2]Ukraine Sunflower Exports'!GM$290</f>
        <v>75.715999999999994</v>
      </c>
      <c r="P70" s="146">
        <f>'[2]Ukraine Sunflower Exports'!GY$290</f>
        <v>0.114</v>
      </c>
      <c r="Q70" s="146">
        <f>'[2]Ukraine Sunflower Exports'!HK$290</f>
        <v>75.781999999999996</v>
      </c>
      <c r="R70" s="146">
        <f>'[2]Ukraine Sunflower Exports'!HW$290</f>
        <v>74.528000000000006</v>
      </c>
      <c r="S70" s="146">
        <f>'[2]Ukraine Sunflower Exports'!II$290</f>
        <v>68.831000000000003</v>
      </c>
      <c r="T70" s="146">
        <f>'[2]Ukraine Sunflower Exports'!IU$290</f>
        <v>34.045999999999999</v>
      </c>
      <c r="U70" s="146">
        <f>'[2]Ukraine Sunflower Exports'!JG$290</f>
        <v>3.9510000000000001</v>
      </c>
      <c r="V70" s="146">
        <f>'[2]Ukraine Sunflower Exports'!JS$290</f>
        <v>24.024000000000001</v>
      </c>
      <c r="W70" s="146">
        <f>'[2]Ukraine Sunflower Exports'!KE$290</f>
        <v>20.120999999999999</v>
      </c>
      <c r="X70" s="146">
        <f>'[2]Ukraine Sunflower Exports'!KQ$290</f>
        <v>11.755000000000001</v>
      </c>
      <c r="Y70" s="146">
        <f>'[2]Ukraine Sunflower Exports'!LC$290</f>
        <v>7.6749999999999998</v>
      </c>
      <c r="Z70" s="146">
        <f>'[2]Ukraine Sunflower Exports'!LO$290</f>
        <v>3.7668599999999999</v>
      </c>
      <c r="AA70" s="146">
        <f>'[2]Ukraine Sunflower Exports'!MA$290</f>
        <v>22.167211999999999</v>
      </c>
      <c r="AB70" s="146">
        <f>'[2]Ukraine Sunflower Exports'!MM$290</f>
        <v>8.5206649999999993</v>
      </c>
      <c r="AC70" s="146">
        <f>'[2]Ukraine Sunflower Exports'!MY$290</f>
        <v>3.9809999999999999</v>
      </c>
      <c r="AD70" s="146">
        <f>'[2]Ukraine Sunflower Exports'!NK$290</f>
        <v>109.03700000000001</v>
      </c>
      <c r="AE70" s="253">
        <f>(SUM(Y70:AC70)/SUM(Y$75:AC$75))*AE$75-25</f>
        <v>50.283466947460084</v>
      </c>
      <c r="AH70" s="226" t="s">
        <v>237</v>
      </c>
      <c r="AI70" s="291">
        <f t="shared" si="43"/>
        <v>1527</v>
      </c>
      <c r="AJ70" s="209">
        <f t="shared" si="43"/>
        <v>167204</v>
      </c>
      <c r="AN70" s="253"/>
    </row>
    <row r="71" spans="1:40">
      <c r="A71" s="240" t="s">
        <v>46</v>
      </c>
      <c r="B71" s="241">
        <f t="shared" si="42"/>
        <v>15.331681526580047</v>
      </c>
      <c r="C71" s="146">
        <f>'[2]Ukraine Sunflower Exports'!AZ$290</f>
        <v>0.1</v>
      </c>
      <c r="D71" s="146">
        <f>'[2]Ukraine Sunflower Exports'!BL$290</f>
        <v>55.1</v>
      </c>
      <c r="E71" s="146">
        <f>'[2]Ukraine Sunflower Exports'!BX$290</f>
        <v>36.9</v>
      </c>
      <c r="F71" s="146">
        <f>'[2]Ukraine Sunflower Exports'!CJ$290</f>
        <v>11.9</v>
      </c>
      <c r="G71" s="146">
        <f>'[2]Ukraine Sunflower Exports'!CV$290</f>
        <v>8</v>
      </c>
      <c r="H71" s="146">
        <f>'[2]Ukraine Sunflower Exports'!DH$290</f>
        <v>31.550260999999999</v>
      </c>
      <c r="I71" s="146">
        <f>'[2]Ukraine Sunflower Exports'!DT$290</f>
        <v>24.6</v>
      </c>
      <c r="J71" s="146">
        <f>'[2]Ukraine Sunflower Exports'!EF$290</f>
        <v>0.28329799999999999</v>
      </c>
      <c r="K71" s="146">
        <f>'[2]Ukraine Sunflower Exports'!ER$290</f>
        <v>66.38</v>
      </c>
      <c r="L71" s="146">
        <f>'[2]Ukraine Sunflower Exports'!FD$290</f>
        <v>20.795999999999999</v>
      </c>
      <c r="M71" s="146">
        <f>'[2]Ukraine Sunflower Exports'!FP$290</f>
        <v>0.313</v>
      </c>
      <c r="N71" s="146">
        <f>'[2]Ukraine Sunflower Exports'!GB$290</f>
        <v>28.486999999999998</v>
      </c>
      <c r="O71" s="146">
        <f>'[2]Ukraine Sunflower Exports'!GN$290</f>
        <v>23.515000000000001</v>
      </c>
      <c r="P71" s="146">
        <f>'[2]Ukraine Sunflower Exports'!GZ$290</f>
        <v>0.12</v>
      </c>
      <c r="Q71" s="146">
        <f>'[2]Ukraine Sunflower Exports'!HL$290</f>
        <v>45.962000000000003</v>
      </c>
      <c r="R71" s="146">
        <f>'[2]Ukraine Sunflower Exports'!HX$290</f>
        <v>87.253</v>
      </c>
      <c r="S71" s="146">
        <f>'[2]Ukraine Sunflower Exports'!IJ$290</f>
        <v>13.983000000000001</v>
      </c>
      <c r="T71" s="146">
        <f>'[2]Ukraine Sunflower Exports'!IV$290</f>
        <v>45.360999999999997</v>
      </c>
      <c r="U71" s="146">
        <f>'[2]Ukraine Sunflower Exports'!JH$290</f>
        <v>5.0279999999999996</v>
      </c>
      <c r="V71" s="146">
        <f>'[2]Ukraine Sunflower Exports'!JT$290</f>
        <v>12.747</v>
      </c>
      <c r="W71" s="146">
        <f>'[2]Ukraine Sunflower Exports'!KF$290</f>
        <v>0.51200000000000001</v>
      </c>
      <c r="X71" s="146">
        <f>'[2]Ukraine Sunflower Exports'!KR$290</f>
        <v>28.327000000000002</v>
      </c>
      <c r="Y71" s="146">
        <f>'[2]Ukraine Sunflower Exports'!LD$290</f>
        <v>5.6719999999999997</v>
      </c>
      <c r="Z71" s="146">
        <f>'[2]Ukraine Sunflower Exports'!LP$290</f>
        <v>1.3949389999999999</v>
      </c>
      <c r="AA71" s="146">
        <f>'[2]Ukraine Sunflower Exports'!MB$290</f>
        <v>3.3707129999999998</v>
      </c>
      <c r="AB71" s="146">
        <f>'[2]Ukraine Sunflower Exports'!MN$290</f>
        <v>9.9982690000000005</v>
      </c>
      <c r="AC71" s="146">
        <f>'[2]Ukraine Sunflower Exports'!MZ$290</f>
        <v>8.0470000000000006</v>
      </c>
      <c r="AD71" s="146">
        <f>'[2]Ukraine Sunflower Exports'!NL$290</f>
        <v>373.63099999999997</v>
      </c>
      <c r="AE71" s="253">
        <f t="shared" ref="AE71:AE72" si="44">(SUM(Y71:AC71)/SUM(Y$75:AC$75))*AE$75</f>
        <v>46.503117954298091</v>
      </c>
      <c r="AH71" s="226" t="s">
        <v>238</v>
      </c>
      <c r="AI71" s="291">
        <f>AD63*1000</f>
        <v>5087</v>
      </c>
      <c r="AJ71" s="209">
        <f>AE63*1000</f>
        <v>180619</v>
      </c>
      <c r="AN71" s="253"/>
    </row>
    <row r="72" spans="1:40">
      <c r="A72" s="240" t="s">
        <v>235</v>
      </c>
      <c r="B72" s="241">
        <f t="shared" si="42"/>
        <v>7.3794660422147977</v>
      </c>
      <c r="C72" s="146">
        <f>'[2]Ukraine Sunflower Exports'!BA$290</f>
        <v>1.9</v>
      </c>
      <c r="D72" s="146">
        <f>'[2]Ukraine Sunflower Exports'!BM$290</f>
        <v>50.6</v>
      </c>
      <c r="E72" s="146">
        <f>'[2]Ukraine Sunflower Exports'!BY$290</f>
        <v>23.5</v>
      </c>
      <c r="F72" s="146">
        <f>'[2]Ukraine Sunflower Exports'!CK$290</f>
        <v>0.4</v>
      </c>
      <c r="G72" s="146">
        <f>'[2]Ukraine Sunflower Exports'!CW$290</f>
        <v>10</v>
      </c>
      <c r="H72" s="146">
        <f>'[2]Ukraine Sunflower Exports'!DI$290</f>
        <v>61.7</v>
      </c>
      <c r="I72" s="146">
        <f>'[2]Ukraine Sunflower Exports'!DU$290</f>
        <v>29.3</v>
      </c>
      <c r="J72" s="146">
        <f>'[2]Ukraine Sunflower Exports'!EG$290</f>
        <v>0.300147</v>
      </c>
      <c r="K72" s="146">
        <f>'[2]Ukraine Sunflower Exports'!ES$290</f>
        <v>20.23</v>
      </c>
      <c r="L72" s="146">
        <f>'[2]Ukraine Sunflower Exports'!FE$290</f>
        <v>25.260999999999999</v>
      </c>
      <c r="M72" s="146">
        <f>'[2]Ukraine Sunflower Exports'!FQ$290</f>
        <v>0.63</v>
      </c>
      <c r="N72" s="146">
        <f>'[2]Ukraine Sunflower Exports'!GC$290</f>
        <v>7.1029999999999998</v>
      </c>
      <c r="O72" s="146">
        <f>'[2]Ukraine Sunflower Exports'!GO$290</f>
        <v>13.916</v>
      </c>
      <c r="P72" s="146">
        <f>'[2]Ukraine Sunflower Exports'!HA$290</f>
        <v>6.3E-2</v>
      </c>
      <c r="Q72" s="146">
        <f>'[2]Ukraine Sunflower Exports'!HM$290</f>
        <v>102.24299999999999</v>
      </c>
      <c r="R72" s="146">
        <f>'[2]Ukraine Sunflower Exports'!HY$290</f>
        <v>71.301000000000002</v>
      </c>
      <c r="S72" s="146">
        <f>'[2]Ukraine Sunflower Exports'!IK$290</f>
        <v>29.606999999999999</v>
      </c>
      <c r="T72" s="146">
        <f>'[2]Ukraine Sunflower Exports'!IW$290</f>
        <v>42.113</v>
      </c>
      <c r="U72" s="146">
        <f>'[2]Ukraine Sunflower Exports'!JI$290</f>
        <v>1.772</v>
      </c>
      <c r="V72" s="146">
        <f>'[2]Ukraine Sunflower Exports'!JU$290</f>
        <v>5.5389999999999997</v>
      </c>
      <c r="W72" s="146">
        <f>'[2]Ukraine Sunflower Exports'!KG$290</f>
        <v>1.028</v>
      </c>
      <c r="X72" s="146">
        <f>'[2]Ukraine Sunflower Exports'!KS$290</f>
        <v>3.1749999999999998</v>
      </c>
      <c r="Y72" s="146">
        <f>'[2]Ukraine Sunflower Exports'!LE$290</f>
        <v>5.6199300000000001</v>
      </c>
      <c r="Z72" s="146">
        <f>'[2]Ukraine Sunflower Exports'!LQ$290</f>
        <v>5.1454719999999998</v>
      </c>
      <c r="AA72" s="146">
        <f>'[2]Ukraine Sunflower Exports'!MC$290</f>
        <v>3.906507</v>
      </c>
      <c r="AB72" s="146">
        <f>'[2]Ukraine Sunflower Exports'!MO$290</f>
        <v>2.3118240000000001</v>
      </c>
      <c r="AC72" s="146">
        <f>'[2]Ukraine Sunflower Exports'!NA$290</f>
        <v>1.1859999999999999</v>
      </c>
      <c r="AD72" s="146">
        <f>'[2]Ukraine Sunflower Exports'!NM$290</f>
        <v>529.03200000000004</v>
      </c>
      <c r="AE72" s="253">
        <f t="shared" si="44"/>
        <v>29.665118858318724</v>
      </c>
      <c r="AH72" s="226" t="s">
        <v>239</v>
      </c>
      <c r="AI72" s="291">
        <f t="shared" ref="AI72:AJ74" si="45">AD64*1000</f>
        <v>16848</v>
      </c>
      <c r="AJ72" s="209">
        <f t="shared" si="45"/>
        <v>307751</v>
      </c>
      <c r="AN72" s="253"/>
    </row>
    <row r="73" spans="1:40">
      <c r="A73" s="240" t="s">
        <v>236</v>
      </c>
      <c r="B73" s="241">
        <f t="shared" si="42"/>
        <v>2.7382281428313568</v>
      </c>
      <c r="C73" s="146">
        <f>'[2]Ukraine Sunflower Exports'!BB$290</f>
        <v>0.6</v>
      </c>
      <c r="D73" s="146">
        <f>'[2]Ukraine Sunflower Exports'!BN$290</f>
        <v>23.9</v>
      </c>
      <c r="E73" s="146">
        <f>'[2]Ukraine Sunflower Exports'!BZ$290</f>
        <v>6.5</v>
      </c>
      <c r="F73" s="146">
        <f>'[2]Ukraine Sunflower Exports'!CL$290</f>
        <v>0.1</v>
      </c>
      <c r="G73" s="146">
        <f>'[2]Ukraine Sunflower Exports'!CX$290</f>
        <v>15</v>
      </c>
      <c r="H73" s="146">
        <f>'[2]Ukraine Sunflower Exports'!DJ$290</f>
        <v>38.680970000000002</v>
      </c>
      <c r="I73" s="146">
        <f>'[2]Ukraine Sunflower Exports'!DV$290</f>
        <v>1.7</v>
      </c>
      <c r="J73" s="146">
        <f>'[2]Ukraine Sunflower Exports'!EH$290</f>
        <v>0.16303399999999998</v>
      </c>
      <c r="K73" s="146">
        <f>'[2]Ukraine Sunflower Exports'!ET$290</f>
        <v>13.263</v>
      </c>
      <c r="L73" s="146">
        <f>'[2]Ukraine Sunflower Exports'!FF$290</f>
        <v>6.06</v>
      </c>
      <c r="M73" s="146">
        <f>'[2]Ukraine Sunflower Exports'!FR$290</f>
        <v>7.8E-2</v>
      </c>
      <c r="N73" s="146">
        <f>'[2]Ukraine Sunflower Exports'!GD$290</f>
        <v>5.0529999999999999</v>
      </c>
      <c r="O73" s="146">
        <f>'[2]Ukraine Sunflower Exports'!GP$290</f>
        <v>0.45900000000000002</v>
      </c>
      <c r="P73" s="146">
        <f>'[2]Ukraine Sunflower Exports'!HB$290</f>
        <v>0.14799999999999999</v>
      </c>
      <c r="Q73" s="146">
        <f>'[2]Ukraine Sunflower Exports'!HN$290</f>
        <v>70.808999999999997</v>
      </c>
      <c r="R73" s="146">
        <f>'[2]Ukraine Sunflower Exports'!HZ$290</f>
        <v>8.9090000000000007</v>
      </c>
      <c r="S73" s="146">
        <f>'[2]Ukraine Sunflower Exports'!IL$290</f>
        <v>2.69</v>
      </c>
      <c r="T73" s="146">
        <f>'[2]Ukraine Sunflower Exports'!IX$290</f>
        <v>30.61</v>
      </c>
      <c r="U73" s="146">
        <f>'[2]Ukraine Sunflower Exports'!JJ$290</f>
        <v>0.79</v>
      </c>
      <c r="V73" s="146">
        <f>'[2]Ukraine Sunflower Exports'!JV$290</f>
        <v>1.4730000000000001</v>
      </c>
      <c r="W73" s="146">
        <f>'[2]Ukraine Sunflower Exports'!KH$290</f>
        <v>0.79500000000000004</v>
      </c>
      <c r="X73" s="146">
        <f>'[2]Ukraine Sunflower Exports'!KT$290</f>
        <v>2.048</v>
      </c>
      <c r="Y73" s="146">
        <f>'[2]Ukraine Sunflower Exports'!LF$290</f>
        <v>1.596638</v>
      </c>
      <c r="Z73" s="146">
        <f>'[2]Ukraine Sunflower Exports'!LR$290</f>
        <v>2.0295109999999998</v>
      </c>
      <c r="AA73" s="146">
        <f>'[2]Ukraine Sunflower Exports'!MD$290</f>
        <v>2.7432509999999999</v>
      </c>
      <c r="AB73" s="146">
        <f>'[2]Ukraine Sunflower Exports'!MP$290</f>
        <v>3.3746710000000002</v>
      </c>
      <c r="AC73" s="146">
        <f>'[2]Ukraine Sunflower Exports'!NB$290</f>
        <v>0.90800000000000003</v>
      </c>
      <c r="AD73" s="146">
        <f>'[2]Ukraine Sunflower Exports'!NN$290</f>
        <v>364.26799999999997</v>
      </c>
      <c r="AE73" s="253">
        <f t="shared" ref="AE73" si="46">(SUM(Y73:AC73)/SUM(Y$75:AC$75))*AE$75</f>
        <v>17.391282100967032</v>
      </c>
      <c r="AH73" s="226" t="s">
        <v>240</v>
      </c>
      <c r="AI73" s="291">
        <f t="shared" si="45"/>
        <v>22758</v>
      </c>
      <c r="AJ73" s="209">
        <f t="shared" si="45"/>
        <v>176418.60478876243</v>
      </c>
      <c r="AN73" s="253"/>
    </row>
    <row r="74" spans="1:40">
      <c r="A74" s="240" t="s">
        <v>237</v>
      </c>
      <c r="B74" s="241">
        <f>(SUM(K74:O74)/SUM(K$75:O$75))*B$75</f>
        <v>0.70134603537939577</v>
      </c>
      <c r="C74" s="146">
        <f>'[2]Ukraine Sunflower Exports'!BC$290</f>
        <v>0.2</v>
      </c>
      <c r="D74" s="146">
        <f>'[2]Ukraine Sunflower Exports'!BO$290</f>
        <v>52.9</v>
      </c>
      <c r="E74" s="146">
        <f>'[2]Ukraine Sunflower Exports'!CA$290</f>
        <v>1.7</v>
      </c>
      <c r="F74" s="146">
        <f>'[2]Ukraine Sunflower Exports'!CM$290</f>
        <v>0</v>
      </c>
      <c r="G74" s="146">
        <f>'[2]Ukraine Sunflower Exports'!CY$290</f>
        <v>15</v>
      </c>
      <c r="H74" s="146">
        <f>'[2]Ukraine Sunflower Exports'!DK$290</f>
        <v>18.7</v>
      </c>
      <c r="I74" s="146">
        <f>'[2]Ukraine Sunflower Exports'!DW$290</f>
        <v>10.5</v>
      </c>
      <c r="J74" s="146">
        <f>'[2]Ukraine Sunflower Exports'!EI$290</f>
        <v>3.9E-2</v>
      </c>
      <c r="K74" s="146">
        <f>'[2]Ukraine Sunflower Exports'!EU$290</f>
        <v>4.8000000000000001E-2</v>
      </c>
      <c r="L74" s="146">
        <f>'[2]Ukraine Sunflower Exports'!FG$290</f>
        <v>5.9790000000000001</v>
      </c>
      <c r="M74" s="146">
        <f>'[2]Ukraine Sunflower Exports'!FS$290</f>
        <v>0.11</v>
      </c>
      <c r="N74" s="146">
        <f>'[2]Ukraine Sunflower Exports'!GE$290</f>
        <v>6.8000000000000005E-2</v>
      </c>
      <c r="O74" s="146">
        <f>'[2]Ukraine Sunflower Exports'!GQ$290</f>
        <v>0.17599999999999999</v>
      </c>
      <c r="P74" s="146">
        <f>'[2]Ukraine Sunflower Exports'!HC$290</f>
        <v>0.06</v>
      </c>
      <c r="Q74" s="146">
        <f>'[2]Ukraine Sunflower Exports'!HO$290</f>
        <v>19.488</v>
      </c>
      <c r="R74" s="146">
        <f>'[2]Ukraine Sunflower Exports'!IA$290</f>
        <v>1.3640000000000001</v>
      </c>
      <c r="S74" s="146">
        <f>'[2]Ukraine Sunflower Exports'!IM$290</f>
        <v>1.476</v>
      </c>
      <c r="T74" s="146">
        <f>'[2]Ukraine Sunflower Exports'!IY$290</f>
        <v>2.4860000000000002</v>
      </c>
      <c r="U74" s="146">
        <f>'[2]Ukraine Sunflower Exports'!JK$290</f>
        <v>0.35099999999999998</v>
      </c>
      <c r="V74" s="146">
        <f>'[2]Ukraine Sunflower Exports'!JW$290</f>
        <v>0.438</v>
      </c>
      <c r="W74" s="146">
        <f>'[2]Ukraine Sunflower Exports'!KI$290</f>
        <v>0.61699999999999999</v>
      </c>
      <c r="X74" s="146">
        <f>'[2]Ukraine Sunflower Exports'!KU$290</f>
        <v>1.843</v>
      </c>
      <c r="Y74" s="146">
        <f>'[2]Ukraine Sunflower Exports'!LG$290</f>
        <v>1.3282240000000001</v>
      </c>
      <c r="Z74" s="146">
        <f>'[2]Ukraine Sunflower Exports'!LS$290</f>
        <v>1.6069929999999999</v>
      </c>
      <c r="AA74" s="146">
        <f>'[2]Ukraine Sunflower Exports'!ME$290</f>
        <v>2.221949</v>
      </c>
      <c r="AB74" s="146">
        <f>'[2]Ukraine Sunflower Exports'!MQ$290</f>
        <v>2.18479</v>
      </c>
      <c r="AC74" s="146">
        <f>'[2]Ukraine Sunflower Exports'!NC$290</f>
        <v>1.5269999999999999</v>
      </c>
      <c r="AD74" s="146">
        <f>'[2]Ukraine Sunflower Exports'!NO$290</f>
        <v>167.20400000000001</v>
      </c>
      <c r="AE74" s="253">
        <f>AE75-SUM(AE63:AE73)</f>
        <v>-105.0410178596012</v>
      </c>
      <c r="AH74" s="226" t="s">
        <v>241</v>
      </c>
      <c r="AI74" s="291">
        <f t="shared" si="45"/>
        <v>3515</v>
      </c>
      <c r="AJ74" s="209">
        <f t="shared" si="45"/>
        <v>114117.62976312033</v>
      </c>
    </row>
    <row r="75" spans="1:40" ht="15.75" thickBot="1">
      <c r="A75" s="240" t="s">
        <v>242</v>
      </c>
      <c r="B75" s="245">
        <f>B13</f>
        <v>200</v>
      </c>
      <c r="C75" s="245">
        <f>SUM(C63:C74)</f>
        <v>126.50000000000001</v>
      </c>
      <c r="D75" s="245">
        <f>SUM(D63:D74)</f>
        <v>469.1</v>
      </c>
      <c r="E75" s="245">
        <f t="shared" ref="E75:AB75" si="47">SUM(E63:E73)</f>
        <v>1131.2000000000003</v>
      </c>
      <c r="F75" s="245">
        <f t="shared" si="47"/>
        <v>714.40000000000009</v>
      </c>
      <c r="G75" s="245">
        <f t="shared" si="47"/>
        <v>859.5</v>
      </c>
      <c r="H75" s="245">
        <f t="shared" si="47"/>
        <v>398.20477199999999</v>
      </c>
      <c r="I75" s="245">
        <f t="shared" si="47"/>
        <v>1030.3</v>
      </c>
      <c r="J75" s="245">
        <f t="shared" si="47"/>
        <v>81.741044999999986</v>
      </c>
      <c r="K75" s="245">
        <f t="shared" si="47"/>
        <v>330.72784999999999</v>
      </c>
      <c r="L75" s="245">
        <f t="shared" si="47"/>
        <v>921.69399999999996</v>
      </c>
      <c r="M75" s="245">
        <f t="shared" si="47"/>
        <v>11.449</v>
      </c>
      <c r="N75" s="245">
        <f t="shared" si="47"/>
        <v>219.74600000000001</v>
      </c>
      <c r="O75" s="245">
        <f t="shared" si="47"/>
        <v>336.02699999999999</v>
      </c>
      <c r="P75" s="245">
        <f t="shared" si="47"/>
        <v>75.356999999999999</v>
      </c>
      <c r="Q75" s="245">
        <f t="shared" si="47"/>
        <v>747.74700000000007</v>
      </c>
      <c r="R75" s="245">
        <f t="shared" si="47"/>
        <v>352.08399999999995</v>
      </c>
      <c r="S75" s="245">
        <f t="shared" si="47"/>
        <v>442.98100000000005</v>
      </c>
      <c r="T75" s="245">
        <f t="shared" si="47"/>
        <v>279.68599999999998</v>
      </c>
      <c r="U75" s="245">
        <f t="shared" si="47"/>
        <v>126.68700000000001</v>
      </c>
      <c r="V75" s="245">
        <f t="shared" si="47"/>
        <v>69.272999999999996</v>
      </c>
      <c r="W75" s="245">
        <f t="shared" si="47"/>
        <v>44.750999999999998</v>
      </c>
      <c r="X75" s="245">
        <f t="shared" si="47"/>
        <v>81.540000000000006</v>
      </c>
      <c r="Y75" s="245">
        <f t="shared" si="47"/>
        <v>189.92956800000002</v>
      </c>
      <c r="Z75" s="245">
        <f t="shared" si="47"/>
        <v>36.913361000000002</v>
      </c>
      <c r="AA75" s="245">
        <f t="shared" si="47"/>
        <v>102.312574</v>
      </c>
      <c r="AB75" s="245">
        <f t="shared" si="47"/>
        <v>50.908830000000002</v>
      </c>
      <c r="AC75" s="245">
        <f>SUM(AC63:AC74)</f>
        <v>232.430533</v>
      </c>
      <c r="AD75" s="245">
        <f>SUM(AD63:AD74)</f>
        <v>1620.953</v>
      </c>
      <c r="AE75" s="247">
        <f>AE13</f>
        <v>1000</v>
      </c>
      <c r="AH75" s="226" t="s">
        <v>50</v>
      </c>
      <c r="AI75" s="209">
        <f>SUM(AI63:AI74)</f>
        <v>131687</v>
      </c>
      <c r="AJ75" s="209">
        <f>SUM(AJ63:AJ74)</f>
        <v>2351651.2345518828</v>
      </c>
    </row>
    <row r="76" spans="1:40">
      <c r="A76" s="248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  <c r="AB76" s="248"/>
      <c r="AC76" s="248"/>
      <c r="AD76" s="248"/>
      <c r="AE76" s="248"/>
    </row>
    <row r="77" spans="1:40" ht="15.75" thickBot="1">
      <c r="A77" s="235" t="s">
        <v>244</v>
      </c>
      <c r="AG77" s="265"/>
      <c r="AH77" s="357"/>
      <c r="AI77" s="357"/>
      <c r="AJ77" s="357"/>
      <c r="AK77" s="357"/>
      <c r="AL77" s="265"/>
      <c r="AM77" s="265"/>
    </row>
    <row r="78" spans="1:40" ht="15.75" thickBot="1">
      <c r="A78" s="236"/>
      <c r="B78" s="237" t="str">
        <f>B$2</f>
        <v xml:space="preserve">93/94 </v>
      </c>
      <c r="C78" s="237" t="str">
        <f t="shared" ref="C78:AE78" si="48">C$2</f>
        <v xml:space="preserve">94/95 </v>
      </c>
      <c r="D78" s="237" t="str">
        <f t="shared" si="48"/>
        <v xml:space="preserve">95/96 </v>
      </c>
      <c r="E78" s="237" t="str">
        <f t="shared" si="48"/>
        <v xml:space="preserve">96/97 </v>
      </c>
      <c r="F78" s="237" t="str">
        <f t="shared" si="48"/>
        <v xml:space="preserve">97/98 </v>
      </c>
      <c r="G78" s="237" t="str">
        <f t="shared" si="48"/>
        <v xml:space="preserve">98/99 </v>
      </c>
      <c r="H78" s="237" t="str">
        <f t="shared" si="48"/>
        <v xml:space="preserve">99/00 </v>
      </c>
      <c r="I78" s="237" t="str">
        <f t="shared" si="48"/>
        <v xml:space="preserve">00/01 </v>
      </c>
      <c r="J78" s="237" t="str">
        <f t="shared" si="48"/>
        <v xml:space="preserve">01/02 </v>
      </c>
      <c r="K78" s="237" t="str">
        <f t="shared" si="48"/>
        <v xml:space="preserve">02/03 </v>
      </c>
      <c r="L78" s="237" t="str">
        <f t="shared" si="48"/>
        <v xml:space="preserve">03/04 </v>
      </c>
      <c r="M78" s="237" t="str">
        <f t="shared" si="48"/>
        <v xml:space="preserve">04/05 </v>
      </c>
      <c r="N78" s="237" t="str">
        <f t="shared" si="48"/>
        <v xml:space="preserve">05/06 </v>
      </c>
      <c r="O78" s="237" t="str">
        <f t="shared" si="48"/>
        <v xml:space="preserve">06/07 </v>
      </c>
      <c r="P78" s="237" t="str">
        <f t="shared" si="48"/>
        <v xml:space="preserve">07/08 </v>
      </c>
      <c r="Q78" s="237" t="str">
        <f t="shared" si="48"/>
        <v xml:space="preserve">08/09 </v>
      </c>
      <c r="R78" s="237" t="str">
        <f t="shared" si="48"/>
        <v xml:space="preserve">09/10 </v>
      </c>
      <c r="S78" s="237" t="str">
        <f t="shared" si="48"/>
        <v xml:space="preserve">10/11 </v>
      </c>
      <c r="T78" s="237" t="str">
        <f t="shared" si="48"/>
        <v xml:space="preserve">11/12 </v>
      </c>
      <c r="U78" s="237" t="str">
        <f t="shared" si="48"/>
        <v xml:space="preserve">12/13 </v>
      </c>
      <c r="V78" s="237" t="str">
        <f t="shared" si="48"/>
        <v xml:space="preserve">13/14 </v>
      </c>
      <c r="W78" s="237" t="str">
        <f t="shared" si="48"/>
        <v xml:space="preserve">14/15 </v>
      </c>
      <c r="X78" s="237" t="str">
        <f t="shared" si="48"/>
        <v xml:space="preserve">15/16 </v>
      </c>
      <c r="Y78" s="237" t="str">
        <f t="shared" si="48"/>
        <v xml:space="preserve">16/17 </v>
      </c>
      <c r="Z78" s="237" t="str">
        <f t="shared" si="48"/>
        <v xml:space="preserve">17/18 </v>
      </c>
      <c r="AA78" s="237" t="str">
        <f t="shared" si="48"/>
        <v xml:space="preserve">18/19 </v>
      </c>
      <c r="AB78" s="237" t="str">
        <f t="shared" si="48"/>
        <v xml:space="preserve">19/20 </v>
      </c>
      <c r="AC78" s="237" t="str">
        <f t="shared" si="48"/>
        <v xml:space="preserve">20/21 </v>
      </c>
      <c r="AD78" s="237" t="str">
        <f t="shared" si="48"/>
        <v>21/22</v>
      </c>
      <c r="AE78" s="237" t="str">
        <f t="shared" si="48"/>
        <v>22/23</v>
      </c>
    </row>
    <row r="79" spans="1:40">
      <c r="A79" s="240" t="s">
        <v>238</v>
      </c>
      <c r="B79" s="251">
        <v>234.79225648481133</v>
      </c>
      <c r="C79" s="251">
        <f>B233/B$250</f>
        <v>123.37851651239197</v>
      </c>
      <c r="D79" s="251">
        <f t="shared" ref="D79:Z79" si="49">C233/C$250</f>
        <v>96.92822720082404</v>
      </c>
      <c r="E79" s="251">
        <f t="shared" si="49"/>
        <v>94.789520164851368</v>
      </c>
      <c r="F79" s="251">
        <f t="shared" si="49"/>
        <v>47.330799683293748</v>
      </c>
      <c r="G79" s="251">
        <f t="shared" si="49"/>
        <v>117.61622191011236</v>
      </c>
      <c r="H79" s="251">
        <f t="shared" si="49"/>
        <v>116.50458647177271</v>
      </c>
      <c r="I79" s="251">
        <f t="shared" si="49"/>
        <v>174.57770270270268</v>
      </c>
      <c r="J79" s="251">
        <f t="shared" si="49"/>
        <v>160.29864773635134</v>
      </c>
      <c r="K79" s="251">
        <f t="shared" si="49"/>
        <v>185.38103376018941</v>
      </c>
      <c r="L79" s="251">
        <f t="shared" si="49"/>
        <v>181.87826086956522</v>
      </c>
      <c r="M79" s="251">
        <f t="shared" si="49"/>
        <v>107.625</v>
      </c>
      <c r="N79" s="251">
        <f t="shared" si="49"/>
        <v>172.41106719367588</v>
      </c>
      <c r="O79" s="251">
        <f t="shared" si="49"/>
        <v>135.90909090909091</v>
      </c>
      <c r="P79" s="251">
        <f t="shared" si="49"/>
        <v>258.66429268292683</v>
      </c>
      <c r="Q79" s="251">
        <f t="shared" si="49"/>
        <v>242.35320334261837</v>
      </c>
      <c r="R79" s="251">
        <f t="shared" si="49"/>
        <v>331.92246294184724</v>
      </c>
      <c r="S79" s="251">
        <f t="shared" si="49"/>
        <v>395.29175050301808</v>
      </c>
      <c r="T79" s="251">
        <f t="shared" si="49"/>
        <v>549.94032983508248</v>
      </c>
      <c r="U79" s="251">
        <f t="shared" si="49"/>
        <v>642.11267605633816</v>
      </c>
      <c r="V79" s="251">
        <f t="shared" si="49"/>
        <v>696.65200659703123</v>
      </c>
      <c r="W79" s="251">
        <f t="shared" si="49"/>
        <v>690.27106534986342</v>
      </c>
      <c r="X79" s="251">
        <f t="shared" si="49"/>
        <v>700</v>
      </c>
      <c r="Y79" s="251">
        <f t="shared" si="49"/>
        <v>930.13972055888223</v>
      </c>
      <c r="Z79" s="251">
        <f t="shared" si="49"/>
        <v>953.23218390804595</v>
      </c>
      <c r="AA79" s="252">
        <f t="shared" ref="AA79:AE81" si="50">(SUM(U79:Y79)/SUM(U$91:Y$91))*AA$91</f>
        <v>1163.8838924812464</v>
      </c>
      <c r="AB79" s="252">
        <f t="shared" si="50"/>
        <v>1232.1875324406885</v>
      </c>
      <c r="AC79" s="252">
        <f>(SUM(W79:AA79)/SUM(W$91:AA$91))*AC$91+200</f>
        <v>1503.2775110619655</v>
      </c>
      <c r="AD79" s="252">
        <f t="shared" si="50"/>
        <v>831.72036622127234</v>
      </c>
      <c r="AE79" s="252">
        <f t="shared" si="50"/>
        <v>836.86863006785711</v>
      </c>
      <c r="AF79" s="252">
        <f>AE79</f>
        <v>836.86863006785711</v>
      </c>
    </row>
    <row r="80" spans="1:40">
      <c r="A80" s="240" t="s">
        <v>239</v>
      </c>
      <c r="B80" s="251">
        <f>B222/B$250</f>
        <v>268.8027794066216</v>
      </c>
      <c r="C80" s="251">
        <f>C222/C$250</f>
        <v>207.9167126512894</v>
      </c>
      <c r="D80" s="251">
        <f t="shared" ref="D80:Z90" si="51">D222/D$250</f>
        <v>290.80070650574049</v>
      </c>
      <c r="E80" s="251">
        <f t="shared" si="51"/>
        <v>173.89500751814157</v>
      </c>
      <c r="F80" s="251">
        <f t="shared" si="51"/>
        <v>223.13690345884416</v>
      </c>
      <c r="G80" s="251">
        <f t="shared" si="51"/>
        <v>244.72958245351131</v>
      </c>
      <c r="H80" s="251">
        <f t="shared" si="51"/>
        <v>262.92179436284238</v>
      </c>
      <c r="I80" s="251">
        <f t="shared" si="51"/>
        <v>311.81001129039299</v>
      </c>
      <c r="J80" s="251">
        <f t="shared" si="51"/>
        <v>262.56440208280418</v>
      </c>
      <c r="K80" s="251">
        <f t="shared" si="51"/>
        <v>336.4482744365564</v>
      </c>
      <c r="L80" s="251">
        <f t="shared" si="51"/>
        <v>310.70454545454544</v>
      </c>
      <c r="M80" s="251">
        <f t="shared" si="51"/>
        <v>270.59288537549406</v>
      </c>
      <c r="N80" s="251">
        <f t="shared" si="51"/>
        <v>371.8</v>
      </c>
      <c r="O80" s="251">
        <f t="shared" si="51"/>
        <v>437.64863414634146</v>
      </c>
      <c r="P80" s="251">
        <f t="shared" si="51"/>
        <v>461.79387186629526</v>
      </c>
      <c r="Q80" s="251">
        <f t="shared" si="51"/>
        <v>474.00608133789433</v>
      </c>
      <c r="R80" s="251">
        <f t="shared" si="51"/>
        <v>648.73239436619713</v>
      </c>
      <c r="S80" s="251">
        <f t="shared" si="51"/>
        <v>692.27226386806592</v>
      </c>
      <c r="T80" s="251">
        <f t="shared" si="51"/>
        <v>800.2766599597586</v>
      </c>
      <c r="U80" s="251">
        <f t="shared" si="51"/>
        <v>843.21605277625065</v>
      </c>
      <c r="V80" s="251">
        <f t="shared" si="51"/>
        <v>933.75709182601383</v>
      </c>
      <c r="W80" s="251">
        <f t="shared" si="51"/>
        <v>902.32558139534888</v>
      </c>
      <c r="X80" s="251">
        <f t="shared" si="51"/>
        <v>913.86227544910173</v>
      </c>
      <c r="Y80" s="251">
        <f t="shared" si="51"/>
        <v>1186.2068965517242</v>
      </c>
      <c r="Z80" s="251">
        <f t="shared" si="51"/>
        <v>1301.5558139534883</v>
      </c>
      <c r="AA80" s="252">
        <f t="shared" si="50"/>
        <v>1520.1865448961894</v>
      </c>
      <c r="AB80" s="252">
        <f t="shared" si="50"/>
        <v>1625.5311291844655</v>
      </c>
      <c r="AC80" s="252">
        <f>(SUM(W80:AA80)/SUM(W$91:AA$91))*AC$91+200</f>
        <v>1910.5174019838071</v>
      </c>
      <c r="AD80" s="252">
        <f t="shared" si="50"/>
        <v>1093.6078342011754</v>
      </c>
      <c r="AE80" s="252">
        <f t="shared" si="50"/>
        <v>1091.7585799264198</v>
      </c>
    </row>
    <row r="81" spans="1:48">
      <c r="A81" s="240" t="s">
        <v>240</v>
      </c>
      <c r="B81" s="251">
        <f t="shared" ref="B81:C90" si="52">B223/B$250</f>
        <v>257.64840436478846</v>
      </c>
      <c r="C81" s="251">
        <f t="shared" si="52"/>
        <v>199.67626825589522</v>
      </c>
      <c r="D81" s="251">
        <f t="shared" si="51"/>
        <v>280.30615248748899</v>
      </c>
      <c r="E81" s="251">
        <f t="shared" si="51"/>
        <v>184.91098084508269</v>
      </c>
      <c r="F81" s="251">
        <f t="shared" si="51"/>
        <v>237.73202167250443</v>
      </c>
      <c r="G81" s="251">
        <f t="shared" si="51"/>
        <v>211.50568762345884</v>
      </c>
      <c r="H81" s="251">
        <f t="shared" si="51"/>
        <v>230.31361651448989</v>
      </c>
      <c r="I81" s="251">
        <f t="shared" si="51"/>
        <v>299.45192315403858</v>
      </c>
      <c r="J81" s="251">
        <f t="shared" si="51"/>
        <v>252.15808443770919</v>
      </c>
      <c r="K81" s="251">
        <f t="shared" si="51"/>
        <v>323.11368838011629</v>
      </c>
      <c r="L81" s="251">
        <f t="shared" si="51"/>
        <v>303.78409090909088</v>
      </c>
      <c r="M81" s="251">
        <f t="shared" si="51"/>
        <v>273.67588932806325</v>
      </c>
      <c r="N81" s="251">
        <f t="shared" si="51"/>
        <v>384.56363636363636</v>
      </c>
      <c r="O81" s="251">
        <f t="shared" si="51"/>
        <v>433.15629268292679</v>
      </c>
      <c r="P81" s="251">
        <f t="shared" si="51"/>
        <v>443.6055710306407</v>
      </c>
      <c r="Q81" s="251">
        <f t="shared" si="51"/>
        <v>499.06575446598254</v>
      </c>
      <c r="R81" s="251">
        <f t="shared" si="51"/>
        <v>637.62072434607649</v>
      </c>
      <c r="S81" s="251">
        <f t="shared" si="51"/>
        <v>701.7295352323838</v>
      </c>
      <c r="T81" s="251">
        <f t="shared" si="51"/>
        <v>812.33400402414497</v>
      </c>
      <c r="U81" s="251">
        <f t="shared" si="51"/>
        <v>789.55470038482679</v>
      </c>
      <c r="V81" s="251">
        <f t="shared" si="51"/>
        <v>897.35238495482247</v>
      </c>
      <c r="W81" s="251">
        <f t="shared" si="51"/>
        <v>923.25581395348843</v>
      </c>
      <c r="X81" s="251">
        <f t="shared" si="51"/>
        <v>837.12574850299393</v>
      </c>
      <c r="Y81" s="251">
        <f t="shared" si="51"/>
        <v>1216.0919540229886</v>
      </c>
      <c r="Z81" s="251">
        <f t="shared" si="51"/>
        <v>1261.453488372093</v>
      </c>
      <c r="AA81" s="252">
        <f t="shared" si="50"/>
        <v>1483.2941501708256</v>
      </c>
      <c r="AB81" s="252">
        <f t="shared" si="50"/>
        <v>1593.7423484424569</v>
      </c>
      <c r="AC81" s="252">
        <f>(SUM(W81:AA81)/SUM(W$91:AA$91))*AC$91+200</f>
        <v>1880.2915449375487</v>
      </c>
      <c r="AD81" s="252">
        <f t="shared" si="50"/>
        <v>1067.6120017118794</v>
      </c>
      <c r="AE81" s="252">
        <f t="shared" si="50"/>
        <v>1075.9662381396076</v>
      </c>
    </row>
    <row r="82" spans="1:48">
      <c r="A82" s="240" t="s">
        <v>241</v>
      </c>
      <c r="B82" s="251">
        <f t="shared" si="52"/>
        <v>244.80748851735018</v>
      </c>
      <c r="C82" s="251">
        <f t="shared" si="52"/>
        <v>188.24265165728579</v>
      </c>
      <c r="D82" s="251">
        <f t="shared" si="51"/>
        <v>305.01913453046808</v>
      </c>
      <c r="E82" s="251">
        <f t="shared" si="51"/>
        <v>155.7973370524526</v>
      </c>
      <c r="F82" s="251">
        <f t="shared" si="51"/>
        <v>180.19357486865152</v>
      </c>
      <c r="G82" s="251">
        <f t="shared" si="51"/>
        <v>201.12322048906748</v>
      </c>
      <c r="H82" s="251">
        <f t="shared" si="51"/>
        <v>246.7645891226677</v>
      </c>
      <c r="I82" s="251">
        <f t="shared" si="51"/>
        <v>282.3050758648468</v>
      </c>
      <c r="J82" s="251">
        <f t="shared" si="51"/>
        <v>237.71931870513978</v>
      </c>
      <c r="K82" s="251">
        <f t="shared" si="51"/>
        <v>304.6119502268055</v>
      </c>
      <c r="L82" s="251">
        <f t="shared" si="51"/>
        <v>319.05681818181813</v>
      </c>
      <c r="M82" s="251">
        <f t="shared" si="51"/>
        <v>263.00395256916994</v>
      </c>
      <c r="N82" s="251">
        <f t="shared" si="51"/>
        <v>396.85454545454547</v>
      </c>
      <c r="O82" s="251">
        <f t="shared" si="51"/>
        <v>449.23414634146343</v>
      </c>
      <c r="P82" s="251">
        <f t="shared" si="51"/>
        <v>471.00612813370475</v>
      </c>
      <c r="Q82" s="251">
        <f t="shared" si="51"/>
        <v>550.1307487647282</v>
      </c>
      <c r="R82" s="251">
        <f t="shared" si="51"/>
        <v>667.40945674044269</v>
      </c>
      <c r="S82" s="251">
        <f t="shared" si="51"/>
        <v>718.75262368815595</v>
      </c>
      <c r="T82" s="251">
        <f t="shared" si="51"/>
        <v>868.60160965794773</v>
      </c>
      <c r="U82" s="251">
        <f t="shared" si="51"/>
        <v>815.79439252336454</v>
      </c>
      <c r="V82" s="251">
        <f t="shared" si="51"/>
        <v>934.93906282832518</v>
      </c>
      <c r="W82" s="251">
        <f t="shared" si="51"/>
        <v>883.7209302325582</v>
      </c>
      <c r="X82" s="251">
        <f t="shared" si="51"/>
        <v>844.10179640718559</v>
      </c>
      <c r="Y82" s="251">
        <f t="shared" si="51"/>
        <v>1280.4597701149426</v>
      </c>
      <c r="Z82" s="251">
        <f t="shared" si="51"/>
        <v>1108.706976744186</v>
      </c>
      <c r="AA82" s="252">
        <f t="shared" ref="Z82:AE89" si="53">(SUM(U82:Y82)/SUM(U$91:Y$91))*AA$91</f>
        <v>1513.7131461188055</v>
      </c>
      <c r="AB82" s="252">
        <f t="shared" si="53"/>
        <v>1567.874274889868</v>
      </c>
      <c r="AC82" s="252">
        <f>(SUM(W82:AA82)/SUM(W$91:AA$91))*AC$91+200</f>
        <v>1853.7067432703122</v>
      </c>
      <c r="AD82" s="252">
        <f t="shared" si="53"/>
        <v>1054.7753971297814</v>
      </c>
      <c r="AE82" s="252">
        <f t="shared" si="53"/>
        <v>1059.9874588121825</v>
      </c>
    </row>
    <row r="83" spans="1:48">
      <c r="A83" s="240" t="s">
        <v>231</v>
      </c>
      <c r="B83" s="251">
        <f t="shared" si="52"/>
        <v>178.75178800880749</v>
      </c>
      <c r="C83" s="251">
        <f t="shared" si="52"/>
        <v>135.7098186366479</v>
      </c>
      <c r="D83" s="251">
        <f t="shared" si="51"/>
        <v>235.95819841036217</v>
      </c>
      <c r="E83" s="251">
        <f t="shared" si="51"/>
        <v>90.589705769672818</v>
      </c>
      <c r="F83" s="251">
        <f t="shared" si="51"/>
        <v>140.57880930656935</v>
      </c>
      <c r="G83" s="251">
        <f t="shared" si="51"/>
        <v>143.77931693336518</v>
      </c>
      <c r="H83" s="251">
        <f t="shared" si="51"/>
        <v>184.81827111984279</v>
      </c>
      <c r="I83" s="251">
        <f t="shared" si="51"/>
        <v>268.5213995626367</v>
      </c>
      <c r="J83" s="251">
        <f t="shared" si="51"/>
        <v>214.57620744259697</v>
      </c>
      <c r="K83" s="251">
        <f t="shared" si="51"/>
        <v>304.10434782608701</v>
      </c>
      <c r="L83" s="251">
        <f t="shared" si="51"/>
        <v>293.28409090909093</v>
      </c>
      <c r="M83" s="251">
        <f t="shared" si="51"/>
        <v>267.27272727272725</v>
      </c>
      <c r="N83" s="251">
        <f t="shared" si="51"/>
        <v>400.87272727272727</v>
      </c>
      <c r="O83" s="251">
        <f t="shared" si="51"/>
        <v>476.18819512195125</v>
      </c>
      <c r="P83" s="251">
        <f t="shared" si="51"/>
        <v>499.82395543175488</v>
      </c>
      <c r="Q83" s="251">
        <f t="shared" si="51"/>
        <v>560.29646522234896</v>
      </c>
      <c r="R83" s="251">
        <f t="shared" si="51"/>
        <v>636.67505030181087</v>
      </c>
      <c r="S83" s="251">
        <f t="shared" si="51"/>
        <v>734.82998500749625</v>
      </c>
      <c r="T83" s="251">
        <f t="shared" si="51"/>
        <v>795.78470824949704</v>
      </c>
      <c r="U83" s="251">
        <f t="shared" si="51"/>
        <v>807.28422210005499</v>
      </c>
      <c r="V83" s="251">
        <f t="shared" si="51"/>
        <v>855.74700567346076</v>
      </c>
      <c r="W83" s="251">
        <f t="shared" si="51"/>
        <v>774.41860465116281</v>
      </c>
      <c r="X83" s="251">
        <f t="shared" si="51"/>
        <v>732.48502994011972</v>
      </c>
      <c r="Y83" s="251">
        <f t="shared" si="51"/>
        <v>1110.344827586207</v>
      </c>
      <c r="Z83" s="251">
        <f t="shared" si="51"/>
        <v>1011.0716976744186</v>
      </c>
      <c r="AA83" s="252">
        <f t="shared" si="53"/>
        <v>1361.4402012828841</v>
      </c>
      <c r="AB83" s="252">
        <f t="shared" si="53"/>
        <v>1391.6375707121074</v>
      </c>
      <c r="AC83" s="251">
        <f>AC225/AC$250</f>
        <v>1121.0607712870335</v>
      </c>
      <c r="AD83" s="252">
        <f t="shared" si="53"/>
        <v>936.53820134603177</v>
      </c>
      <c r="AE83" s="252">
        <f t="shared" si="53"/>
        <v>867.66975185966498</v>
      </c>
    </row>
    <row r="84" spans="1:48">
      <c r="A84" s="240" t="s">
        <v>232</v>
      </c>
      <c r="B84" s="251">
        <f t="shared" si="52"/>
        <v>163.51700912467479</v>
      </c>
      <c r="C84" s="251">
        <f t="shared" si="52"/>
        <v>125.10024647757791</v>
      </c>
      <c r="D84" s="251">
        <f t="shared" si="51"/>
        <v>200.41212834854289</v>
      </c>
      <c r="E84" s="251">
        <f t="shared" si="51"/>
        <v>104.39911213700101</v>
      </c>
      <c r="F84" s="251">
        <f t="shared" si="51"/>
        <v>96.970688868613138</v>
      </c>
      <c r="G84" s="251">
        <f t="shared" si="51"/>
        <v>123.8275614998806</v>
      </c>
      <c r="H84" s="251">
        <f t="shared" si="51"/>
        <v>202.57858546168956</v>
      </c>
      <c r="I84" s="251">
        <f t="shared" si="51"/>
        <v>247.52883473914403</v>
      </c>
      <c r="J84" s="251">
        <f t="shared" si="51"/>
        <v>197.80098970704671</v>
      </c>
      <c r="K84" s="251">
        <f t="shared" si="51"/>
        <v>264.4173913043478</v>
      </c>
      <c r="L84" s="251">
        <f t="shared" si="51"/>
        <v>272.76136363636363</v>
      </c>
      <c r="M84" s="251">
        <f t="shared" si="51"/>
        <v>232.41106719367588</v>
      </c>
      <c r="N84" s="251">
        <f t="shared" si="51"/>
        <v>382.67272727272729</v>
      </c>
      <c r="O84" s="251">
        <f t="shared" si="51"/>
        <v>416.13268292682926</v>
      </c>
      <c r="P84" s="251">
        <f t="shared" si="51"/>
        <v>402.97715877437327</v>
      </c>
      <c r="Q84" s="251">
        <f t="shared" si="51"/>
        <v>510.64994298745728</v>
      </c>
      <c r="R84" s="251">
        <f t="shared" si="51"/>
        <v>574.49698189134813</v>
      </c>
      <c r="S84" s="251">
        <f t="shared" si="51"/>
        <v>668.15622188905547</v>
      </c>
      <c r="T84" s="251">
        <f t="shared" si="51"/>
        <v>707.83702213279673</v>
      </c>
      <c r="U84" s="251">
        <f t="shared" si="51"/>
        <v>741.56679494227592</v>
      </c>
      <c r="V84" s="251">
        <f t="shared" si="51"/>
        <v>806.10422357638151</v>
      </c>
      <c r="W84" s="251">
        <f t="shared" si="51"/>
        <v>732.55813953488371</v>
      </c>
      <c r="X84" s="251">
        <f t="shared" si="51"/>
        <v>867.35528942115764</v>
      </c>
      <c r="Y84" s="251">
        <f t="shared" si="51"/>
        <v>1029.8850574712644</v>
      </c>
      <c r="Z84" s="251">
        <f t="shared" si="51"/>
        <v>993.87169767441856</v>
      </c>
      <c r="AA84" s="252">
        <f t="shared" si="53"/>
        <v>1328.7390861441215</v>
      </c>
      <c r="AB84" s="252">
        <f t="shared" si="53"/>
        <v>1374.7877246128521</v>
      </c>
      <c r="AC84" s="251">
        <f t="shared" ref="AC84:AC89" si="54">AC226/AC$250</f>
        <v>1008.3391315671687</v>
      </c>
      <c r="AD84" s="252">
        <f t="shared" si="53"/>
        <v>934.47696254769426</v>
      </c>
      <c r="AE84" s="252">
        <f t="shared" si="53"/>
        <v>830.05264162872311</v>
      </c>
    </row>
    <row r="85" spans="1:48">
      <c r="A85" s="240" t="s">
        <v>233</v>
      </c>
      <c r="B85" s="251">
        <f t="shared" si="52"/>
        <v>149.3463435084663</v>
      </c>
      <c r="C85" s="251">
        <f t="shared" si="52"/>
        <v>113.10009932678513</v>
      </c>
      <c r="D85" s="251">
        <f t="shared" si="51"/>
        <v>224.10950838975575</v>
      </c>
      <c r="E85" s="251">
        <f t="shared" si="51"/>
        <v>78.989804421117157</v>
      </c>
      <c r="F85" s="251">
        <f t="shared" si="51"/>
        <v>76.888001824817536</v>
      </c>
      <c r="G85" s="251">
        <f t="shared" si="51"/>
        <v>107.67614043467877</v>
      </c>
      <c r="H85" s="251">
        <f t="shared" si="51"/>
        <v>177.60314341846757</v>
      </c>
      <c r="I85" s="251">
        <f t="shared" si="51"/>
        <v>223.78481724461111</v>
      </c>
      <c r="J85" s="251">
        <f t="shared" si="51"/>
        <v>178.82707838479809</v>
      </c>
      <c r="K85" s="251">
        <f t="shared" si="51"/>
        <v>309.46086956521737</v>
      </c>
      <c r="L85" s="251">
        <f t="shared" si="51"/>
        <v>288.03409090909093</v>
      </c>
      <c r="M85" s="251">
        <f t="shared" si="51"/>
        <v>265.8498023715415</v>
      </c>
      <c r="N85" s="251">
        <f t="shared" si="51"/>
        <v>427.81818181818181</v>
      </c>
      <c r="O85" s="251">
        <f t="shared" si="51"/>
        <v>460.81965853658539</v>
      </c>
      <c r="P85" s="251">
        <f t="shared" si="51"/>
        <v>400.37883008356545</v>
      </c>
      <c r="Q85" s="251">
        <f t="shared" si="51"/>
        <v>575.19042189281652</v>
      </c>
      <c r="R85" s="251">
        <f t="shared" si="51"/>
        <v>626.98189134808854</v>
      </c>
      <c r="S85" s="251">
        <f t="shared" si="51"/>
        <v>713.78755622188896</v>
      </c>
      <c r="T85" s="251">
        <f t="shared" si="51"/>
        <v>773.56136820925553</v>
      </c>
      <c r="U85" s="251">
        <f t="shared" si="51"/>
        <v>726.67399670148427</v>
      </c>
      <c r="V85" s="251">
        <f t="shared" si="51"/>
        <v>957.39651187224206</v>
      </c>
      <c r="W85" s="251">
        <f t="shared" si="51"/>
        <v>811.62790697674416</v>
      </c>
      <c r="X85" s="251">
        <f t="shared" si="51"/>
        <v>848.75249500997995</v>
      </c>
      <c r="Y85" s="251">
        <f t="shared" si="51"/>
        <v>1188.5057471264367</v>
      </c>
      <c r="Z85" s="251">
        <f t="shared" si="51"/>
        <v>970.01006976744191</v>
      </c>
      <c r="AA85" s="252">
        <f t="shared" si="53"/>
        <v>1441.8098515703462</v>
      </c>
      <c r="AB85" s="252">
        <f t="shared" si="53"/>
        <v>1482.330252307007</v>
      </c>
      <c r="AC85" s="251">
        <f t="shared" si="54"/>
        <v>1118.2215689657378</v>
      </c>
      <c r="AD85" s="252">
        <f t="shared" si="53"/>
        <v>990.72784916842454</v>
      </c>
      <c r="AE85" s="252">
        <f t="shared" si="53"/>
        <v>897.38377369954856</v>
      </c>
    </row>
    <row r="86" spans="1:48">
      <c r="A86" s="240" t="s">
        <v>234</v>
      </c>
      <c r="B86" s="251">
        <f t="shared" si="52"/>
        <v>137.57741385052918</v>
      </c>
      <c r="C86" s="251">
        <f t="shared" si="52"/>
        <v>103.05705771989847</v>
      </c>
      <c r="D86" s="251">
        <f t="shared" si="51"/>
        <v>202.4433323520754</v>
      </c>
      <c r="E86" s="251">
        <f t="shared" si="51"/>
        <v>63.421025242038112</v>
      </c>
      <c r="F86" s="251">
        <f t="shared" si="51"/>
        <v>59.647817460317462</v>
      </c>
      <c r="G86" s="251">
        <f t="shared" si="51"/>
        <v>97.281739686600574</v>
      </c>
      <c r="H86" s="251">
        <f t="shared" si="51"/>
        <v>190.93243243243242</v>
      </c>
      <c r="I86" s="251">
        <f t="shared" si="51"/>
        <v>170.21256598511235</v>
      </c>
      <c r="J86" s="251">
        <f t="shared" si="51"/>
        <v>191.22945456199318</v>
      </c>
      <c r="K86" s="251">
        <f t="shared" si="51"/>
        <v>286.81739130434784</v>
      </c>
      <c r="L86" s="251">
        <f t="shared" si="51"/>
        <v>280.15909090909093</v>
      </c>
      <c r="M86" s="251">
        <f t="shared" si="51"/>
        <v>265.37549407114625</v>
      </c>
      <c r="N86" s="251">
        <f t="shared" si="51"/>
        <v>420.4909090909091</v>
      </c>
      <c r="O86" s="251">
        <f t="shared" si="51"/>
        <v>454.43580487804877</v>
      </c>
      <c r="P86" s="251">
        <f t="shared" si="51"/>
        <v>295.02841225626742</v>
      </c>
      <c r="Q86" s="251">
        <f t="shared" si="51"/>
        <v>564.0790573926264</v>
      </c>
      <c r="R86" s="251">
        <f t="shared" si="51"/>
        <v>617.52515090543261</v>
      </c>
      <c r="S86" s="251">
        <f t="shared" si="51"/>
        <v>643.80374812593709</v>
      </c>
      <c r="T86" s="251">
        <f t="shared" si="51"/>
        <v>738.57142857142856</v>
      </c>
      <c r="U86" s="251">
        <f t="shared" si="51"/>
        <v>574.20010995052223</v>
      </c>
      <c r="V86" s="251">
        <f t="shared" si="51"/>
        <v>903.02584576591721</v>
      </c>
      <c r="W86" s="251">
        <f t="shared" si="51"/>
        <v>697.67441860465112</v>
      </c>
      <c r="X86" s="251">
        <f t="shared" si="51"/>
        <v>895.25948103792416</v>
      </c>
      <c r="Y86" s="251">
        <f t="shared" si="51"/>
        <v>1045.9770114942528</v>
      </c>
      <c r="Z86" s="252">
        <f t="shared" si="53"/>
        <v>1218.0466898723998</v>
      </c>
      <c r="AA86" s="252">
        <f t="shared" si="53"/>
        <v>1309.2308471507288</v>
      </c>
      <c r="AB86" s="252">
        <f t="shared" si="53"/>
        <v>1477.2686393790661</v>
      </c>
      <c r="AC86" s="251">
        <f t="shared" si="54"/>
        <v>911.5339814809621</v>
      </c>
      <c r="AD86" s="252">
        <f t="shared" si="53"/>
        <v>993.12879206622631</v>
      </c>
      <c r="AE86" s="252">
        <f t="shared" si="53"/>
        <v>862.82197487751012</v>
      </c>
    </row>
    <row r="87" spans="1:48">
      <c r="A87" s="240" t="s">
        <v>46</v>
      </c>
      <c r="B87" s="251">
        <f t="shared" si="52"/>
        <v>110.50221538227115</v>
      </c>
      <c r="C87" s="251">
        <f t="shared" si="52"/>
        <v>82.764963396240276</v>
      </c>
      <c r="D87" s="251">
        <f t="shared" si="51"/>
        <v>192.96438033559028</v>
      </c>
      <c r="E87" s="251">
        <f t="shared" si="51"/>
        <v>38.723414450667498</v>
      </c>
      <c r="F87" s="251">
        <f t="shared" si="51"/>
        <v>41.914682539682545</v>
      </c>
      <c r="G87" s="251">
        <f t="shared" si="51"/>
        <v>58.369043811960346</v>
      </c>
      <c r="H87" s="251">
        <f t="shared" si="51"/>
        <v>161.35135135135135</v>
      </c>
      <c r="I87" s="251">
        <f t="shared" si="51"/>
        <v>136.69744804501525</v>
      </c>
      <c r="J87" s="251">
        <f t="shared" si="51"/>
        <v>153.57607870121089</v>
      </c>
      <c r="K87" s="251">
        <f t="shared" si="51"/>
        <v>287.30434782608694</v>
      </c>
      <c r="L87" s="251">
        <f t="shared" si="51"/>
        <v>302.35227272727275</v>
      </c>
      <c r="M87" s="251">
        <f t="shared" si="51"/>
        <v>235.49407114624503</v>
      </c>
      <c r="N87" s="251">
        <f t="shared" si="51"/>
        <v>430.65454545454543</v>
      </c>
      <c r="O87" s="251">
        <f t="shared" si="51"/>
        <v>491.08385365853655</v>
      </c>
      <c r="P87" s="251">
        <f t="shared" si="51"/>
        <v>262.66740947075209</v>
      </c>
      <c r="Q87" s="251">
        <f t="shared" si="51"/>
        <v>573.77194982896242</v>
      </c>
      <c r="R87" s="251">
        <f t="shared" si="51"/>
        <v>623.19919517102619</v>
      </c>
      <c r="S87" s="251">
        <f t="shared" si="51"/>
        <v>647.58665667166406</v>
      </c>
      <c r="T87" s="251">
        <f t="shared" si="51"/>
        <v>759.13983903420535</v>
      </c>
      <c r="U87" s="251">
        <f t="shared" si="51"/>
        <v>498.55415063221551</v>
      </c>
      <c r="V87" s="251">
        <f t="shared" si="51"/>
        <v>940.84891783988223</v>
      </c>
      <c r="W87" s="251">
        <f t="shared" si="51"/>
        <v>651.16279069767438</v>
      </c>
      <c r="X87" s="251">
        <f t="shared" si="51"/>
        <v>832.47504990019956</v>
      </c>
      <c r="Y87" s="251">
        <f t="shared" si="51"/>
        <v>1017.2206896551724</v>
      </c>
      <c r="Z87" s="252">
        <f t="shared" si="53"/>
        <v>1177.5753492149165</v>
      </c>
      <c r="AA87" s="252">
        <f t="shared" si="53"/>
        <v>1253.289722321156</v>
      </c>
      <c r="AB87" s="252">
        <f t="shared" si="53"/>
        <v>1433.6019629457421</v>
      </c>
      <c r="AC87" s="251">
        <f t="shared" si="54"/>
        <v>700.48752799009253</v>
      </c>
      <c r="AD87" s="252">
        <f t="shared" si="53"/>
        <v>954.44113743000764</v>
      </c>
      <c r="AE87" s="252">
        <f t="shared" si="53"/>
        <v>807.8459059216982</v>
      </c>
    </row>
    <row r="88" spans="1:48">
      <c r="A88" s="240" t="s">
        <v>235</v>
      </c>
      <c r="B88" s="251">
        <f t="shared" si="52"/>
        <v>84.702205623789624</v>
      </c>
      <c r="C88" s="251">
        <f t="shared" si="52"/>
        <v>64.326969061545825</v>
      </c>
      <c r="D88" s="251">
        <f t="shared" si="51"/>
        <v>138.79894024138949</v>
      </c>
      <c r="E88" s="251">
        <f t="shared" si="51"/>
        <v>38.41850567546539</v>
      </c>
      <c r="F88" s="251">
        <f t="shared" si="51"/>
        <v>20.312500000000004</v>
      </c>
      <c r="G88" s="251">
        <f t="shared" si="51"/>
        <v>35.669971218420216</v>
      </c>
      <c r="H88" s="251">
        <f t="shared" si="51"/>
        <v>145.2162162162162</v>
      </c>
      <c r="I88" s="251">
        <f t="shared" si="51"/>
        <v>106.2446251451301</v>
      </c>
      <c r="J88" s="251">
        <f t="shared" si="51"/>
        <v>119.36311281755596</v>
      </c>
      <c r="K88" s="251">
        <f t="shared" si="51"/>
        <v>251.75652173913045</v>
      </c>
      <c r="L88" s="251">
        <f t="shared" si="51"/>
        <v>315</v>
      </c>
      <c r="M88" s="251">
        <f t="shared" si="51"/>
        <v>198.73517786561263</v>
      </c>
      <c r="N88" s="251">
        <f t="shared" si="51"/>
        <v>392.36363636363637</v>
      </c>
      <c r="O88" s="251">
        <f t="shared" si="51"/>
        <v>436.46643902439024</v>
      </c>
      <c r="P88" s="251">
        <f t="shared" si="51"/>
        <v>214.48022284122561</v>
      </c>
      <c r="Q88" s="251">
        <f t="shared" si="51"/>
        <v>519.16077537058152</v>
      </c>
      <c r="R88" s="251">
        <f t="shared" si="51"/>
        <v>613.74245472837026</v>
      </c>
      <c r="S88" s="251">
        <f t="shared" si="51"/>
        <v>506.43688155922035</v>
      </c>
      <c r="T88" s="251">
        <f t="shared" si="51"/>
        <v>733.6066398390343</v>
      </c>
      <c r="U88" s="251">
        <f t="shared" si="51"/>
        <v>388.63111599780098</v>
      </c>
      <c r="V88" s="251">
        <f t="shared" si="51"/>
        <v>903.02584576591721</v>
      </c>
      <c r="W88" s="251">
        <f t="shared" si="51"/>
        <v>581.39534883720933</v>
      </c>
      <c r="X88" s="251">
        <f t="shared" si="51"/>
        <v>734.8103792415169</v>
      </c>
      <c r="Y88" s="251">
        <f t="shared" si="51"/>
        <v>903.85057471264372</v>
      </c>
      <c r="Z88" s="252">
        <f t="shared" si="53"/>
        <v>1068.6145471855243</v>
      </c>
      <c r="AA88" s="252">
        <f t="shared" si="53"/>
        <v>1116.9801882265269</v>
      </c>
      <c r="AB88" s="252">
        <f t="shared" si="53"/>
        <v>1300.8999177517985</v>
      </c>
      <c r="AC88" s="251">
        <f t="shared" si="54"/>
        <v>582.62007818786628</v>
      </c>
      <c r="AD88" s="252">
        <f t="shared" si="53"/>
        <v>856.05880346797085</v>
      </c>
      <c r="AE88" s="252">
        <f t="shared" si="53"/>
        <v>719.68175152937329</v>
      </c>
    </row>
    <row r="89" spans="1:48">
      <c r="A89" s="240" t="s">
        <v>236</v>
      </c>
      <c r="B89" s="251">
        <f t="shared" si="52"/>
        <v>73.474086692283564</v>
      </c>
      <c r="C89" s="251">
        <f t="shared" si="52"/>
        <v>57.580105212816825</v>
      </c>
      <c r="D89" s="251">
        <f t="shared" si="51"/>
        <v>107.65381218722406</v>
      </c>
      <c r="E89" s="251">
        <f t="shared" si="51"/>
        <v>22.553602533650039</v>
      </c>
      <c r="F89" s="251">
        <f t="shared" si="51"/>
        <v>18.404494382022474</v>
      </c>
      <c r="G89" s="251">
        <f t="shared" si="51"/>
        <v>22.177268998433892</v>
      </c>
      <c r="H89" s="251">
        <f t="shared" si="51"/>
        <v>158.46283783783784</v>
      </c>
      <c r="I89" s="251">
        <f t="shared" si="51"/>
        <v>95.225232821063116</v>
      </c>
      <c r="J89" s="251">
        <f t="shared" si="51"/>
        <v>110.1253962507395</v>
      </c>
      <c r="K89" s="251">
        <f t="shared" si="51"/>
        <v>203.7913043478261</v>
      </c>
      <c r="L89" s="251">
        <f t="shared" si="51"/>
        <v>257.25</v>
      </c>
      <c r="M89" s="251">
        <f t="shared" si="51"/>
        <v>162.21343873517787</v>
      </c>
      <c r="N89" s="251">
        <f t="shared" si="51"/>
        <v>403.70909090909095</v>
      </c>
      <c r="O89" s="251">
        <f t="shared" si="51"/>
        <v>392.72521951219511</v>
      </c>
      <c r="P89" s="251">
        <f t="shared" si="51"/>
        <v>270.69860724233979</v>
      </c>
      <c r="Q89" s="251">
        <f t="shared" si="51"/>
        <v>495.04675028506273</v>
      </c>
      <c r="R89" s="251">
        <f t="shared" si="51"/>
        <v>535.25150905432599</v>
      </c>
      <c r="S89" s="251">
        <f t="shared" si="51"/>
        <v>389.40314842578709</v>
      </c>
      <c r="T89" s="251">
        <f t="shared" si="51"/>
        <v>669.53722334004021</v>
      </c>
      <c r="U89" s="251">
        <f t="shared" si="51"/>
        <v>365.70093457943921</v>
      </c>
      <c r="V89" s="251">
        <f t="shared" si="51"/>
        <v>761.18932548854798</v>
      </c>
      <c r="W89" s="251">
        <f t="shared" si="51"/>
        <v>493.02325581395348</v>
      </c>
      <c r="X89" s="251">
        <f t="shared" si="51"/>
        <v>497.62475049900195</v>
      </c>
      <c r="Y89" s="251">
        <f t="shared" si="51"/>
        <v>775.66666666666674</v>
      </c>
      <c r="Z89" s="252">
        <f t="shared" si="53"/>
        <v>891.31729744290828</v>
      </c>
      <c r="AA89" s="252">
        <f t="shared" si="53"/>
        <v>920.24956117904014</v>
      </c>
      <c r="AB89" s="252">
        <f t="shared" si="53"/>
        <v>1061.0367747208077</v>
      </c>
      <c r="AC89" s="251">
        <f t="shared" si="54"/>
        <v>349.14721199388225</v>
      </c>
      <c r="AD89" s="252">
        <f t="shared" si="53"/>
        <v>692.49213649491116</v>
      </c>
      <c r="AE89" s="252">
        <f t="shared" si="53"/>
        <v>578.50161012072329</v>
      </c>
    </row>
    <row r="90" spans="1:48">
      <c r="A90" s="240" t="s">
        <v>237</v>
      </c>
      <c r="B90" s="251">
        <f t="shared" si="52"/>
        <v>32.491749008025728</v>
      </c>
      <c r="C90" s="251">
        <f t="shared" si="52"/>
        <v>25.596880403193175</v>
      </c>
      <c r="D90" s="251">
        <f t="shared" si="51"/>
        <v>26.744186046511636</v>
      </c>
      <c r="E90" s="251">
        <f t="shared" si="51"/>
        <v>25.412509897070464</v>
      </c>
      <c r="F90" s="251">
        <f t="shared" si="51"/>
        <v>17.541783707865168</v>
      </c>
      <c r="G90" s="251">
        <f t="shared" si="51"/>
        <v>10.940786039227387</v>
      </c>
      <c r="H90" s="251">
        <f t="shared" si="51"/>
        <v>64.459459459459453</v>
      </c>
      <c r="I90" s="251">
        <f t="shared" si="51"/>
        <v>42.331789545678326</v>
      </c>
      <c r="J90" s="251">
        <f t="shared" si="51"/>
        <v>48.955565238477234</v>
      </c>
      <c r="K90" s="251">
        <f t="shared" si="51"/>
        <v>66.469565217391306</v>
      </c>
      <c r="L90" s="251">
        <f t="shared" si="51"/>
        <v>143.18181818181819</v>
      </c>
      <c r="M90" s="251">
        <f t="shared" si="51"/>
        <v>123.3201581027668</v>
      </c>
      <c r="N90" s="251">
        <f t="shared" si="51"/>
        <v>268.5090909090909</v>
      </c>
      <c r="O90" s="251">
        <f t="shared" si="51"/>
        <v>251.33468292682926</v>
      </c>
      <c r="P90" s="251">
        <f t="shared" si="51"/>
        <v>181.88300835654596</v>
      </c>
      <c r="Q90" s="251">
        <f t="shared" si="51"/>
        <v>341.3789433675409</v>
      </c>
      <c r="R90" s="251">
        <f t="shared" si="51"/>
        <v>228.14386317907446</v>
      </c>
      <c r="S90" s="251">
        <f t="shared" si="51"/>
        <v>168.57586206896551</v>
      </c>
      <c r="T90" s="251">
        <f t="shared" si="51"/>
        <v>267.15291750503019</v>
      </c>
      <c r="U90" s="251">
        <f t="shared" si="51"/>
        <v>163.11159978009894</v>
      </c>
      <c r="V90" s="251">
        <f t="shared" si="51"/>
        <v>420.78167682286193</v>
      </c>
      <c r="W90" s="251">
        <f t="shared" si="51"/>
        <v>140.46511627906978</v>
      </c>
      <c r="X90" s="251">
        <f t="shared" si="51"/>
        <v>165.79740518962075</v>
      </c>
      <c r="Y90" s="251">
        <f t="shared" si="51"/>
        <v>327.12183908045978</v>
      </c>
      <c r="Z90" s="252">
        <f t="shared" ref="Z90:AE90" si="55">Z91-SUM(Z79:Z89)</f>
        <v>1794.5441881901588</v>
      </c>
      <c r="AA90" s="252">
        <f t="shared" si="55"/>
        <v>387.18280845812842</v>
      </c>
      <c r="AB90" s="252">
        <f t="shared" si="55"/>
        <v>884.10187261314059</v>
      </c>
      <c r="AC90" s="252">
        <f t="shared" si="55"/>
        <v>4010.7965272736219</v>
      </c>
      <c r="AD90" s="252">
        <f t="shared" si="55"/>
        <v>594.42051821462337</v>
      </c>
      <c r="AE90" s="252">
        <f t="shared" si="55"/>
        <v>1071.4616834166918</v>
      </c>
    </row>
    <row r="91" spans="1:48" ht="15.75" thickBot="1">
      <c r="A91" s="240" t="s">
        <v>242</v>
      </c>
      <c r="B91" s="146">
        <f>SUM(B79:B90)</f>
        <v>1936.4137399724195</v>
      </c>
      <c r="C91" s="146">
        <f t="shared" ref="C91:Y91" si="56">SUM(C79:C90)</f>
        <v>1426.450289311568</v>
      </c>
      <c r="D91" s="146">
        <f t="shared" si="56"/>
        <v>2302.1387070359733</v>
      </c>
      <c r="E91" s="146">
        <f t="shared" si="56"/>
        <v>1071.9005257072108</v>
      </c>
      <c r="F91" s="146">
        <f t="shared" si="56"/>
        <v>1160.6520777731814</v>
      </c>
      <c r="G91" s="146">
        <f t="shared" si="56"/>
        <v>1374.6965410987168</v>
      </c>
      <c r="H91" s="146">
        <f t="shared" si="56"/>
        <v>2141.9268837690702</v>
      </c>
      <c r="I91" s="146">
        <f t="shared" si="56"/>
        <v>2358.6914261003722</v>
      </c>
      <c r="J91" s="146">
        <f t="shared" si="56"/>
        <v>2127.1943360664236</v>
      </c>
      <c r="K91" s="146">
        <f t="shared" si="56"/>
        <v>3123.6766859341028</v>
      </c>
      <c r="L91" s="146">
        <f t="shared" si="56"/>
        <v>3267.4464426877466</v>
      </c>
      <c r="M91" s="146">
        <f t="shared" si="56"/>
        <v>2665.569664031621</v>
      </c>
      <c r="N91" s="146">
        <f t="shared" si="56"/>
        <v>4452.7201581027675</v>
      </c>
      <c r="O91" s="146">
        <f t="shared" si="56"/>
        <v>4835.1347006651886</v>
      </c>
      <c r="P91" s="146">
        <f t="shared" si="56"/>
        <v>4163.0074681703927</v>
      </c>
      <c r="Q91" s="146">
        <f t="shared" si="56"/>
        <v>5905.1300942586195</v>
      </c>
      <c r="R91" s="146">
        <f t="shared" si="56"/>
        <v>6741.7011349740396</v>
      </c>
      <c r="S91" s="146">
        <f t="shared" si="56"/>
        <v>6980.6262332616398</v>
      </c>
      <c r="T91" s="146">
        <f t="shared" si="56"/>
        <v>8476.3437503582227</v>
      </c>
      <c r="U91" s="146">
        <f t="shared" si="56"/>
        <v>7356.4007464246733</v>
      </c>
      <c r="V91" s="146">
        <f t="shared" si="56"/>
        <v>10010.819899011403</v>
      </c>
      <c r="W91" s="146">
        <f t="shared" si="56"/>
        <v>8281.8989723266077</v>
      </c>
      <c r="X91" s="146">
        <f t="shared" si="56"/>
        <v>8869.6497005988003</v>
      </c>
      <c r="Y91" s="146">
        <f t="shared" si="56"/>
        <v>12011.470755041641</v>
      </c>
      <c r="Z91" s="253">
        <f t="shared" ref="Z91:AE91" si="57">Z12</f>
        <v>13750</v>
      </c>
      <c r="AA91" s="253">
        <f t="shared" si="57"/>
        <v>14800</v>
      </c>
      <c r="AB91" s="253">
        <f t="shared" si="57"/>
        <v>16425</v>
      </c>
      <c r="AC91" s="253">
        <f t="shared" si="57"/>
        <v>16950</v>
      </c>
      <c r="AD91" s="253">
        <f t="shared" si="57"/>
        <v>11000</v>
      </c>
      <c r="AE91" s="253">
        <f t="shared" si="57"/>
        <v>10700</v>
      </c>
    </row>
    <row r="92" spans="1:48">
      <c r="A92" s="248"/>
      <c r="B92" s="254">
        <f t="shared" ref="B92:AE92" si="58">SUM(B79:B90)-B12</f>
        <v>0</v>
      </c>
      <c r="C92" s="254">
        <f t="shared" si="58"/>
        <v>0</v>
      </c>
      <c r="D92" s="254">
        <f t="shared" si="58"/>
        <v>0</v>
      </c>
      <c r="E92" s="254">
        <f t="shared" si="58"/>
        <v>0</v>
      </c>
      <c r="F92" s="254">
        <f t="shared" si="58"/>
        <v>0</v>
      </c>
      <c r="G92" s="254">
        <f t="shared" si="58"/>
        <v>0</v>
      </c>
      <c r="H92" s="254">
        <f t="shared" si="58"/>
        <v>0</v>
      </c>
      <c r="I92" s="254">
        <f t="shared" si="58"/>
        <v>0</v>
      </c>
      <c r="J92" s="254">
        <f t="shared" si="58"/>
        <v>0</v>
      </c>
      <c r="K92" s="254">
        <f t="shared" si="58"/>
        <v>0</v>
      </c>
      <c r="L92" s="254">
        <f t="shared" si="58"/>
        <v>0</v>
      </c>
      <c r="M92" s="254">
        <f t="shared" si="58"/>
        <v>0</v>
      </c>
      <c r="N92" s="254">
        <f t="shared" si="58"/>
        <v>0</v>
      </c>
      <c r="O92" s="254">
        <f t="shared" si="58"/>
        <v>0</v>
      </c>
      <c r="P92" s="254">
        <f t="shared" si="58"/>
        <v>0</v>
      </c>
      <c r="Q92" s="254">
        <f t="shared" si="58"/>
        <v>0</v>
      </c>
      <c r="R92" s="254">
        <f t="shared" si="58"/>
        <v>0</v>
      </c>
      <c r="S92" s="254">
        <f t="shared" si="58"/>
        <v>0</v>
      </c>
      <c r="T92" s="254">
        <f t="shared" si="58"/>
        <v>0</v>
      </c>
      <c r="U92" s="254">
        <f t="shared" si="58"/>
        <v>0</v>
      </c>
      <c r="V92" s="254">
        <f t="shared" si="58"/>
        <v>0</v>
      </c>
      <c r="W92" s="254">
        <f t="shared" si="58"/>
        <v>0</v>
      </c>
      <c r="X92" s="254">
        <f t="shared" si="58"/>
        <v>0</v>
      </c>
      <c r="Y92" s="254">
        <f t="shared" si="58"/>
        <v>0</v>
      </c>
      <c r="Z92" s="254">
        <f t="shared" si="58"/>
        <v>0</v>
      </c>
      <c r="AA92" s="254">
        <f t="shared" si="58"/>
        <v>0</v>
      </c>
      <c r="AB92" s="254">
        <f t="shared" si="58"/>
        <v>0</v>
      </c>
      <c r="AC92" s="254">
        <f t="shared" si="58"/>
        <v>0</v>
      </c>
      <c r="AD92" s="254">
        <f t="shared" si="58"/>
        <v>0</v>
      </c>
      <c r="AE92" s="254">
        <f t="shared" si="58"/>
        <v>0</v>
      </c>
    </row>
    <row r="93" spans="1:48" ht="15.75" thickBot="1">
      <c r="A93" s="235" t="s">
        <v>252</v>
      </c>
      <c r="AQ93" t="s">
        <v>344</v>
      </c>
    </row>
    <row r="94" spans="1:48" ht="15.75" thickBot="1">
      <c r="A94" s="236"/>
      <c r="B94" s="237" t="str">
        <f>B$2</f>
        <v xml:space="preserve">93/94 </v>
      </c>
      <c r="C94" s="237" t="str">
        <f t="shared" ref="C94:AE94" si="59">C$2</f>
        <v xml:space="preserve">94/95 </v>
      </c>
      <c r="D94" s="237" t="str">
        <f t="shared" si="59"/>
        <v xml:space="preserve">95/96 </v>
      </c>
      <c r="E94" s="237" t="str">
        <f t="shared" si="59"/>
        <v xml:space="preserve">96/97 </v>
      </c>
      <c r="F94" s="237" t="str">
        <f t="shared" si="59"/>
        <v xml:space="preserve">97/98 </v>
      </c>
      <c r="G94" s="237" t="str">
        <f t="shared" si="59"/>
        <v xml:space="preserve">98/99 </v>
      </c>
      <c r="H94" s="237" t="str">
        <f t="shared" si="59"/>
        <v xml:space="preserve">99/00 </v>
      </c>
      <c r="I94" s="237" t="str">
        <f t="shared" si="59"/>
        <v xml:space="preserve">00/01 </v>
      </c>
      <c r="J94" s="237" t="str">
        <f t="shared" si="59"/>
        <v xml:space="preserve">01/02 </v>
      </c>
      <c r="K94" s="237" t="str">
        <f t="shared" si="59"/>
        <v xml:space="preserve">02/03 </v>
      </c>
      <c r="L94" s="237" t="str">
        <f t="shared" si="59"/>
        <v xml:space="preserve">03/04 </v>
      </c>
      <c r="M94" s="237" t="str">
        <f t="shared" si="59"/>
        <v xml:space="preserve">04/05 </v>
      </c>
      <c r="N94" s="237" t="str">
        <f t="shared" si="59"/>
        <v xml:space="preserve">05/06 </v>
      </c>
      <c r="O94" s="237" t="str">
        <f t="shared" si="59"/>
        <v xml:space="preserve">06/07 </v>
      </c>
      <c r="P94" s="237" t="str">
        <f t="shared" si="59"/>
        <v xml:space="preserve">07/08 </v>
      </c>
      <c r="Q94" s="237" t="str">
        <f t="shared" si="59"/>
        <v xml:space="preserve">08/09 </v>
      </c>
      <c r="R94" s="237" t="str">
        <f t="shared" si="59"/>
        <v xml:space="preserve">09/10 </v>
      </c>
      <c r="S94" s="237" t="str">
        <f t="shared" si="59"/>
        <v xml:space="preserve">10/11 </v>
      </c>
      <c r="T94" s="237" t="str">
        <f t="shared" si="59"/>
        <v xml:space="preserve">11/12 </v>
      </c>
      <c r="U94" s="237" t="str">
        <f t="shared" si="59"/>
        <v xml:space="preserve">12/13 </v>
      </c>
      <c r="V94" s="237" t="str">
        <f t="shared" si="59"/>
        <v xml:space="preserve">13/14 </v>
      </c>
      <c r="W94" s="237" t="str">
        <f t="shared" si="59"/>
        <v xml:space="preserve">14/15 </v>
      </c>
      <c r="X94" s="237" t="str">
        <f t="shared" si="59"/>
        <v xml:space="preserve">15/16 </v>
      </c>
      <c r="Y94" s="237" t="str">
        <f t="shared" si="59"/>
        <v xml:space="preserve">16/17 </v>
      </c>
      <c r="Z94" s="237" t="str">
        <f t="shared" si="59"/>
        <v xml:space="preserve">17/18 </v>
      </c>
      <c r="AA94" s="237" t="str">
        <f t="shared" si="59"/>
        <v xml:space="preserve">18/19 </v>
      </c>
      <c r="AB94" s="237" t="str">
        <f t="shared" si="59"/>
        <v xml:space="preserve">19/20 </v>
      </c>
      <c r="AC94" s="237" t="str">
        <f t="shared" si="59"/>
        <v xml:space="preserve">20/21 </v>
      </c>
      <c r="AD94" s="237" t="str">
        <f t="shared" si="59"/>
        <v>21/22</v>
      </c>
      <c r="AE94" s="237" t="str">
        <f t="shared" si="59"/>
        <v>22/23</v>
      </c>
      <c r="AQ94">
        <v>2017</v>
      </c>
      <c r="AR94">
        <v>2018</v>
      </c>
      <c r="AS94">
        <v>2019</v>
      </c>
      <c r="AT94">
        <v>2020</v>
      </c>
      <c r="AU94">
        <v>2021</v>
      </c>
      <c r="AV94" s="367">
        <f>(AU107-SUM(AU95:AU101))/(COUNT(AU95:AU106)-1)</f>
        <v>1.1111111083058253E-5</v>
      </c>
    </row>
    <row r="95" spans="1:48">
      <c r="A95" s="240" t="s">
        <v>239</v>
      </c>
      <c r="B95" s="290">
        <f t="shared" ref="B95:AC104" si="60">B$123*B79</f>
        <v>101.25014019372412</v>
      </c>
      <c r="C95" s="290">
        <f t="shared" si="60"/>
        <v>49.351406604956793</v>
      </c>
      <c r="D95" s="290">
        <f t="shared" si="60"/>
        <v>36.874869043791755</v>
      </c>
      <c r="E95" s="290">
        <f t="shared" si="60"/>
        <v>42.527700971269304</v>
      </c>
      <c r="F95" s="290">
        <f t="shared" si="60"/>
        <v>19.071018187407738</v>
      </c>
      <c r="G95" s="290">
        <f t="shared" si="60"/>
        <v>47.046488764044945</v>
      </c>
      <c r="H95" s="290">
        <f t="shared" si="60"/>
        <v>47.156618333812766</v>
      </c>
      <c r="I95" s="290">
        <f t="shared" si="60"/>
        <v>71.179750028998953</v>
      </c>
      <c r="J95" s="290">
        <f t="shared" si="60"/>
        <v>64.83640005670604</v>
      </c>
      <c r="K95" s="290">
        <f t="shared" si="60"/>
        <v>76.138638865792075</v>
      </c>
      <c r="L95" s="290">
        <f t="shared" si="60"/>
        <v>75.060869565217388</v>
      </c>
      <c r="M95" s="290">
        <f t="shared" si="60"/>
        <v>44.84375</v>
      </c>
      <c r="N95" s="290">
        <f t="shared" si="60"/>
        <v>71.237979411892439</v>
      </c>
      <c r="O95" s="290">
        <f t="shared" si="60"/>
        <v>56.78067033028865</v>
      </c>
      <c r="P95" s="290">
        <f t="shared" si="60"/>
        <v>107.91913531983433</v>
      </c>
      <c r="Q95" s="290">
        <f t="shared" si="60"/>
        <v>101.30519753871508</v>
      </c>
      <c r="R95" s="290">
        <f t="shared" si="60"/>
        <v>138.74829762973388</v>
      </c>
      <c r="S95" s="290">
        <f t="shared" si="60"/>
        <v>165.23546095852222</v>
      </c>
      <c r="T95" s="290">
        <f t="shared" si="60"/>
        <v>229.92186130339087</v>
      </c>
      <c r="U95" s="290">
        <f t="shared" si="60"/>
        <v>268.4180314444809</v>
      </c>
      <c r="V95" s="290">
        <f t="shared" si="60"/>
        <v>287.70179756887177</v>
      </c>
      <c r="W95" s="290">
        <f t="shared" si="60"/>
        <v>285.08865165032222</v>
      </c>
      <c r="X95" s="290">
        <f t="shared" si="60"/>
        <v>289.07296137339057</v>
      </c>
      <c r="Y95" s="290">
        <f t="shared" si="60"/>
        <v>381.35728542914171</v>
      </c>
      <c r="Z95" s="290">
        <f t="shared" si="60"/>
        <v>393.68489195402293</v>
      </c>
      <c r="AA95" s="252">
        <f t="shared" si="60"/>
        <v>485.16072937667235</v>
      </c>
      <c r="AB95" s="252">
        <f t="shared" si="60"/>
        <v>513.16106297921135</v>
      </c>
      <c r="AC95" s="252">
        <f t="shared" si="60"/>
        <v>625.59174786256381</v>
      </c>
      <c r="AD95" s="252">
        <f>AD$123*AD79</f>
        <v>345.34854145253905</v>
      </c>
      <c r="AE95" s="252">
        <f>AE$123*AE79</f>
        <v>347.01415397770648</v>
      </c>
      <c r="AP95" s="240" t="s">
        <v>231</v>
      </c>
      <c r="AQ95" s="264"/>
      <c r="AR95" s="264"/>
      <c r="AU95">
        <f>486.0258-17.8587</f>
        <v>468.1671</v>
      </c>
    </row>
    <row r="96" spans="1:48">
      <c r="A96" s="240" t="s">
        <v>240</v>
      </c>
      <c r="B96" s="290">
        <f t="shared" si="60"/>
        <v>115.91659583178696</v>
      </c>
      <c r="C96" s="290">
        <f t="shared" si="60"/>
        <v>83.166685060515761</v>
      </c>
      <c r="D96" s="290">
        <f t="shared" si="60"/>
        <v>110.6307035619665</v>
      </c>
      <c r="E96" s="290">
        <f t="shared" si="60"/>
        <v>78.018697291289826</v>
      </c>
      <c r="F96" s="290">
        <f t="shared" si="60"/>
        <v>89.908642419314504</v>
      </c>
      <c r="G96" s="290">
        <f t="shared" si="60"/>
        <v>97.891832981404534</v>
      </c>
      <c r="H96" s="290">
        <f t="shared" si="60"/>
        <v>106.42072628972191</v>
      </c>
      <c r="I96" s="290">
        <f t="shared" si="60"/>
        <v>127.13283722140487</v>
      </c>
      <c r="J96" s="290">
        <f t="shared" si="60"/>
        <v>106.20008873742978</v>
      </c>
      <c r="K96" s="290">
        <f t="shared" si="60"/>
        <v>138.18411271501424</v>
      </c>
      <c r="L96" s="290">
        <f t="shared" si="60"/>
        <v>128.22727272727272</v>
      </c>
      <c r="M96" s="290">
        <f t="shared" si="60"/>
        <v>112.74703557312253</v>
      </c>
      <c r="N96" s="290">
        <f t="shared" si="60"/>
        <v>153.62285714285713</v>
      </c>
      <c r="O96" s="290">
        <f t="shared" si="60"/>
        <v>182.84268292682927</v>
      </c>
      <c r="P96" s="290">
        <f t="shared" si="60"/>
        <v>192.66824512534816</v>
      </c>
      <c r="Q96" s="290">
        <f t="shared" si="60"/>
        <v>198.13759026985937</v>
      </c>
      <c r="R96" s="290">
        <f t="shared" si="60"/>
        <v>271.17934272300471</v>
      </c>
      <c r="S96" s="290">
        <f t="shared" si="60"/>
        <v>289.37595202398802</v>
      </c>
      <c r="T96" s="290">
        <f t="shared" si="60"/>
        <v>334.58375251509057</v>
      </c>
      <c r="U96" s="290">
        <f t="shared" si="60"/>
        <v>352.48391973611876</v>
      </c>
      <c r="V96" s="290">
        <f t="shared" si="60"/>
        <v>385.62092876654759</v>
      </c>
      <c r="W96" s="290">
        <f t="shared" si="60"/>
        <v>372.66922555881689</v>
      </c>
      <c r="X96" s="290">
        <f t="shared" si="60"/>
        <v>377.38982035928143</v>
      </c>
      <c r="Y96" s="290">
        <f t="shared" si="60"/>
        <v>486.34482758620686</v>
      </c>
      <c r="Z96" s="290">
        <f t="shared" si="60"/>
        <v>537.54255116279057</v>
      </c>
      <c r="AA96" s="252">
        <f t="shared" si="60"/>
        <v>633.68418248156354</v>
      </c>
      <c r="AB96" s="252">
        <f t="shared" si="60"/>
        <v>676.97429181564166</v>
      </c>
      <c r="AC96" s="252">
        <f t="shared" si="60"/>
        <v>795.06539014513839</v>
      </c>
      <c r="AD96" s="252">
        <f t="shared" ref="AD96:AE106" si="61">AD$123*AD80</f>
        <v>454.0899631667412</v>
      </c>
      <c r="AE96" s="252">
        <f t="shared" si="61"/>
        <v>452.70627473555737</v>
      </c>
      <c r="AP96" s="240" t="s">
        <v>232</v>
      </c>
      <c r="AQ96" s="264"/>
      <c r="AR96" s="264"/>
      <c r="AU96">
        <f>448.2302-17.8587</f>
        <v>430.37150000000003</v>
      </c>
    </row>
    <row r="97" spans="1:47">
      <c r="A97" s="240" t="s">
        <v>241</v>
      </c>
      <c r="B97" s="290">
        <f t="shared" si="60"/>
        <v>111.10646259456905</v>
      </c>
      <c r="C97" s="290">
        <f t="shared" si="60"/>
        <v>79.870507302358092</v>
      </c>
      <c r="D97" s="290">
        <f t="shared" si="60"/>
        <v>106.63821018545778</v>
      </c>
      <c r="E97" s="290">
        <f t="shared" si="60"/>
        <v>82.961058205670199</v>
      </c>
      <c r="F97" s="290">
        <f t="shared" si="60"/>
        <v>95.789459281961499</v>
      </c>
      <c r="G97" s="290">
        <f t="shared" si="60"/>
        <v>84.602275049383536</v>
      </c>
      <c r="H97" s="290">
        <f t="shared" si="60"/>
        <v>93.222178113007814</v>
      </c>
      <c r="I97" s="290">
        <f t="shared" si="60"/>
        <v>122.0941317580844</v>
      </c>
      <c r="J97" s="290">
        <f t="shared" si="60"/>
        <v>101.9910190822431</v>
      </c>
      <c r="K97" s="290">
        <f t="shared" si="60"/>
        <v>132.70740772754775</v>
      </c>
      <c r="L97" s="290">
        <f t="shared" si="60"/>
        <v>125.3712121212121</v>
      </c>
      <c r="M97" s="290">
        <f t="shared" si="60"/>
        <v>114.03162055335969</v>
      </c>
      <c r="N97" s="290">
        <f t="shared" si="60"/>
        <v>158.89662337662335</v>
      </c>
      <c r="O97" s="290">
        <f t="shared" si="60"/>
        <v>180.96585365853659</v>
      </c>
      <c r="P97" s="290">
        <f t="shared" si="60"/>
        <v>185.07977715877439</v>
      </c>
      <c r="Q97" s="290">
        <f t="shared" si="60"/>
        <v>208.61269479285443</v>
      </c>
      <c r="R97" s="290">
        <f t="shared" si="60"/>
        <v>266.53450704225355</v>
      </c>
      <c r="S97" s="290">
        <f t="shared" si="60"/>
        <v>293.32917541229386</v>
      </c>
      <c r="T97" s="290">
        <f t="shared" si="60"/>
        <v>339.62474849094576</v>
      </c>
      <c r="U97" s="290">
        <f t="shared" si="60"/>
        <v>330.05222649807587</v>
      </c>
      <c r="V97" s="290">
        <f t="shared" si="60"/>
        <v>370.58659382223158</v>
      </c>
      <c r="W97" s="290">
        <f t="shared" si="60"/>
        <v>381.3136148114699</v>
      </c>
      <c r="X97" s="290">
        <f t="shared" si="60"/>
        <v>345.70059880239518</v>
      </c>
      <c r="Y97" s="290">
        <f t="shared" si="60"/>
        <v>498.59770114942529</v>
      </c>
      <c r="Z97" s="290">
        <f t="shared" si="60"/>
        <v>520.98029069767438</v>
      </c>
      <c r="AA97" s="252">
        <f t="shared" si="60"/>
        <v>618.30572312746779</v>
      </c>
      <c r="AB97" s="252">
        <f t="shared" si="60"/>
        <v>663.73542671848372</v>
      </c>
      <c r="AC97" s="252">
        <f t="shared" si="60"/>
        <v>782.4868432028278</v>
      </c>
      <c r="AD97" s="252">
        <f t="shared" si="61"/>
        <v>443.29592324824</v>
      </c>
      <c r="AE97" s="252">
        <f t="shared" si="61"/>
        <v>446.15785610976536</v>
      </c>
      <c r="AP97" s="240" t="s">
        <v>233</v>
      </c>
      <c r="AQ97" s="264"/>
      <c r="AR97" s="264"/>
      <c r="AU97">
        <f>495.4739-17.8587</f>
        <v>477.61520000000002</v>
      </c>
    </row>
    <row r="98" spans="1:47">
      <c r="A98" s="240" t="s">
        <v>231</v>
      </c>
      <c r="B98" s="290">
        <f t="shared" si="60"/>
        <v>105.56903751405731</v>
      </c>
      <c r="C98" s="290">
        <f t="shared" si="60"/>
        <v>75.297060662914319</v>
      </c>
      <c r="D98" s="290">
        <f t="shared" si="60"/>
        <v>116.03988813659113</v>
      </c>
      <c r="E98" s="290">
        <f t="shared" si="60"/>
        <v>69.899104360522102</v>
      </c>
      <c r="F98" s="290">
        <f t="shared" si="60"/>
        <v>72.605469727295485</v>
      </c>
      <c r="G98" s="290">
        <f t="shared" si="60"/>
        <v>80.449288195626991</v>
      </c>
      <c r="H98" s="290">
        <f t="shared" si="60"/>
        <v>99.880905121079792</v>
      </c>
      <c r="I98" s="290">
        <f t="shared" si="60"/>
        <v>115.10292792772724</v>
      </c>
      <c r="J98" s="290">
        <f t="shared" si="60"/>
        <v>96.150934935671515</v>
      </c>
      <c r="K98" s="290">
        <f t="shared" si="60"/>
        <v>125.10847955743797</v>
      </c>
      <c r="L98" s="290">
        <f t="shared" si="60"/>
        <v>131.67424242424241</v>
      </c>
      <c r="M98" s="290">
        <f t="shared" si="60"/>
        <v>109.58498023715414</v>
      </c>
      <c r="N98" s="290">
        <f t="shared" si="60"/>
        <v>163.97506493506492</v>
      </c>
      <c r="O98" s="290">
        <f t="shared" si="60"/>
        <v>187.6829268292683</v>
      </c>
      <c r="P98" s="290">
        <f t="shared" si="60"/>
        <v>196.51175487465181</v>
      </c>
      <c r="Q98" s="290">
        <f t="shared" si="60"/>
        <v>229.9581908019764</v>
      </c>
      <c r="R98" s="290">
        <f t="shared" si="60"/>
        <v>278.9866197183099</v>
      </c>
      <c r="S98" s="290">
        <f t="shared" si="60"/>
        <v>300.44497751124442</v>
      </c>
      <c r="T98" s="290">
        <f t="shared" si="60"/>
        <v>363.14939637826967</v>
      </c>
      <c r="U98" s="290">
        <f t="shared" si="60"/>
        <v>341.02102803738319</v>
      </c>
      <c r="V98" s="290">
        <f t="shared" si="60"/>
        <v>386.10905652447991</v>
      </c>
      <c r="W98" s="290">
        <f t="shared" si="60"/>
        <v>364.98532400090318</v>
      </c>
      <c r="X98" s="290">
        <f t="shared" si="60"/>
        <v>348.58143712574849</v>
      </c>
      <c r="Y98" s="290">
        <f t="shared" si="60"/>
        <v>524.9885057471264</v>
      </c>
      <c r="Z98" s="290">
        <f t="shared" si="60"/>
        <v>457.89598139534883</v>
      </c>
      <c r="AA98" s="252">
        <f t="shared" si="60"/>
        <v>630.98576995719554</v>
      </c>
      <c r="AB98" s="252">
        <f t="shared" si="60"/>
        <v>652.96231972625731</v>
      </c>
      <c r="AC98" s="251">
        <f>AU95</f>
        <v>468.1671</v>
      </c>
      <c r="AD98" s="252">
        <f t="shared" si="61"/>
        <v>437.96588342996392</v>
      </c>
      <c r="AE98" s="252">
        <f t="shared" si="61"/>
        <v>439.53212969264143</v>
      </c>
      <c r="AP98" s="240" t="s">
        <v>234</v>
      </c>
      <c r="AQ98" s="264"/>
      <c r="AR98" s="264"/>
      <c r="AU98">
        <f>409.9118-17.8587</f>
        <v>392.05310000000003</v>
      </c>
    </row>
    <row r="99" spans="1:47">
      <c r="A99" s="240" t="s">
        <v>232</v>
      </c>
      <c r="B99" s="290">
        <f t="shared" si="60"/>
        <v>77.083647760510416</v>
      </c>
      <c r="C99" s="290">
        <f t="shared" si="60"/>
        <v>54.283927454659164</v>
      </c>
      <c r="D99" s="290">
        <f t="shared" si="60"/>
        <v>89.766705916985615</v>
      </c>
      <c r="E99" s="290">
        <f t="shared" si="60"/>
        <v>40.643437284499271</v>
      </c>
      <c r="F99" s="290">
        <f t="shared" si="60"/>
        <v>56.643476277372272</v>
      </c>
      <c r="G99" s="290">
        <f t="shared" si="60"/>
        <v>57.511726773346076</v>
      </c>
      <c r="H99" s="290">
        <f t="shared" si="60"/>
        <v>74.807395453269706</v>
      </c>
      <c r="I99" s="290">
        <f t="shared" si="60"/>
        <v>109.48297407060295</v>
      </c>
      <c r="J99" s="290">
        <f t="shared" si="60"/>
        <v>86.79018210609658</v>
      </c>
      <c r="K99" s="290">
        <f t="shared" si="60"/>
        <v>124.90000000000002</v>
      </c>
      <c r="L99" s="290">
        <f t="shared" si="60"/>
        <v>121.0378787878788</v>
      </c>
      <c r="M99" s="290">
        <f t="shared" si="60"/>
        <v>111.36363636363636</v>
      </c>
      <c r="N99" s="290">
        <f t="shared" si="60"/>
        <v>165.63532467532465</v>
      </c>
      <c r="O99" s="290">
        <f t="shared" si="60"/>
        <v>198.94390243902441</v>
      </c>
      <c r="P99" s="290">
        <f t="shared" si="60"/>
        <v>208.53504178272979</v>
      </c>
      <c r="Q99" s="290">
        <f t="shared" si="60"/>
        <v>234.20752565564425</v>
      </c>
      <c r="R99" s="290">
        <f t="shared" si="60"/>
        <v>266.13920187793428</v>
      </c>
      <c r="S99" s="290">
        <f t="shared" si="60"/>
        <v>307.16545727136435</v>
      </c>
      <c r="T99" s="290">
        <f t="shared" si="60"/>
        <v>332.70573440643869</v>
      </c>
      <c r="U99" s="290">
        <f t="shared" si="60"/>
        <v>337.46357888949973</v>
      </c>
      <c r="V99" s="290">
        <f t="shared" si="60"/>
        <v>353.40449674301323</v>
      </c>
      <c r="W99" s="290">
        <f t="shared" si="60"/>
        <v>319.84240234815985</v>
      </c>
      <c r="X99" s="290">
        <f t="shared" si="60"/>
        <v>302.48802395209577</v>
      </c>
      <c r="Y99" s="290">
        <f t="shared" si="60"/>
        <v>455.24137931034483</v>
      </c>
      <c r="Z99" s="290">
        <f t="shared" si="60"/>
        <v>417.57261113953484</v>
      </c>
      <c r="AA99" s="252">
        <f t="shared" si="60"/>
        <v>567.511351711374</v>
      </c>
      <c r="AB99" s="252">
        <f t="shared" si="60"/>
        <v>579.56617500738059</v>
      </c>
      <c r="AC99" s="251">
        <f t="shared" ref="AC99:AC104" si="62">AU96</f>
        <v>430.37150000000003</v>
      </c>
      <c r="AD99" s="252">
        <f t="shared" si="61"/>
        <v>388.87120597860888</v>
      </c>
      <c r="AE99" s="252">
        <f t="shared" si="61"/>
        <v>359.78608117885136</v>
      </c>
      <c r="AP99" s="240" t="s">
        <v>46</v>
      </c>
      <c r="AQ99" s="264"/>
      <c r="AR99" s="264"/>
      <c r="AU99">
        <f>315.2573-17.8587</f>
        <v>297.39859999999999</v>
      </c>
    </row>
    <row r="100" spans="1:47">
      <c r="A100" s="240" t="s">
        <v>233</v>
      </c>
      <c r="B100" s="290">
        <f t="shared" si="60"/>
        <v>70.51391023622962</v>
      </c>
      <c r="C100" s="290">
        <f t="shared" si="60"/>
        <v>50.040098591031168</v>
      </c>
      <c r="D100" s="290">
        <f t="shared" si="60"/>
        <v>76.243744480423928</v>
      </c>
      <c r="E100" s="290">
        <f t="shared" si="60"/>
        <v>46.839083212014408</v>
      </c>
      <c r="F100" s="290">
        <f t="shared" si="60"/>
        <v>39.072438738269028</v>
      </c>
      <c r="G100" s="290">
        <f t="shared" si="60"/>
        <v>49.531024599952246</v>
      </c>
      <c r="H100" s="290">
        <f t="shared" si="60"/>
        <v>81.996094115445771</v>
      </c>
      <c r="I100" s="290">
        <f t="shared" si="60"/>
        <v>100.92377382068105</v>
      </c>
      <c r="J100" s="290">
        <f t="shared" si="60"/>
        <v>80.005067300079176</v>
      </c>
      <c r="K100" s="290">
        <f t="shared" si="60"/>
        <v>108.59999999999998</v>
      </c>
      <c r="L100" s="290">
        <f t="shared" si="60"/>
        <v>112.56818181818181</v>
      </c>
      <c r="M100" s="290">
        <f t="shared" si="60"/>
        <v>96.837944664031625</v>
      </c>
      <c r="N100" s="290">
        <f t="shared" si="60"/>
        <v>158.11532467532467</v>
      </c>
      <c r="O100" s="290">
        <f t="shared" si="60"/>
        <v>173.85365853658539</v>
      </c>
      <c r="P100" s="290">
        <f t="shared" si="60"/>
        <v>168.12891364902507</v>
      </c>
      <c r="Q100" s="290">
        <f t="shared" si="60"/>
        <v>213.45496009122007</v>
      </c>
      <c r="R100" s="290">
        <f t="shared" si="60"/>
        <v>240.14788732394371</v>
      </c>
      <c r="S100" s="290">
        <f t="shared" si="60"/>
        <v>279.29523238380813</v>
      </c>
      <c r="T100" s="290">
        <f t="shared" si="60"/>
        <v>295.93611670020118</v>
      </c>
      <c r="U100" s="290">
        <f t="shared" si="60"/>
        <v>309.99216602528861</v>
      </c>
      <c r="V100" s="290">
        <f t="shared" si="60"/>
        <v>332.90313090985495</v>
      </c>
      <c r="W100" s="290">
        <f t="shared" si="60"/>
        <v>302.55362384285394</v>
      </c>
      <c r="X100" s="290">
        <f t="shared" si="60"/>
        <v>358.18423153692612</v>
      </c>
      <c r="Y100" s="290">
        <f t="shared" si="60"/>
        <v>422.25287356321837</v>
      </c>
      <c r="Z100" s="290">
        <f t="shared" si="60"/>
        <v>410.46901113953481</v>
      </c>
      <c r="AA100" s="252">
        <f t="shared" si="60"/>
        <v>553.88001187185625</v>
      </c>
      <c r="AB100" s="252">
        <f t="shared" si="60"/>
        <v>572.54883007596186</v>
      </c>
      <c r="AC100" s="251">
        <f t="shared" si="62"/>
        <v>477.61520000000002</v>
      </c>
      <c r="AD100" s="252">
        <f t="shared" si="61"/>
        <v>388.01533441227303</v>
      </c>
      <c r="AE100" s="252">
        <f t="shared" si="61"/>
        <v>344.18785080807265</v>
      </c>
      <c r="AP100" s="240" t="s">
        <v>235</v>
      </c>
      <c r="AQ100" s="264"/>
      <c r="AR100" s="264"/>
      <c r="AU100">
        <f>257.178-17.8587</f>
        <v>239.3193</v>
      </c>
    </row>
    <row r="101" spans="1:47">
      <c r="A101" s="240" t="s">
        <v>234</v>
      </c>
      <c r="B101" s="290">
        <f t="shared" si="60"/>
        <v>64.403053337623561</v>
      </c>
      <c r="C101" s="290">
        <f t="shared" si="60"/>
        <v>45.240039730714052</v>
      </c>
      <c r="D101" s="290">
        <f t="shared" si="60"/>
        <v>85.259052104798386</v>
      </c>
      <c r="E101" s="290">
        <f t="shared" si="60"/>
        <v>35.439094705386559</v>
      </c>
      <c r="F101" s="290">
        <f t="shared" si="60"/>
        <v>30.980513555787287</v>
      </c>
      <c r="G101" s="290">
        <f t="shared" si="60"/>
        <v>43.070456173871513</v>
      </c>
      <c r="H101" s="290">
        <f t="shared" si="60"/>
        <v>71.886986621760684</v>
      </c>
      <c r="I101" s="290">
        <f t="shared" si="60"/>
        <v>91.242736644798526</v>
      </c>
      <c r="J101" s="290">
        <f t="shared" si="60"/>
        <v>72.330641330166259</v>
      </c>
      <c r="K101" s="290">
        <f t="shared" si="60"/>
        <v>127.09999999999998</v>
      </c>
      <c r="L101" s="290">
        <f t="shared" si="60"/>
        <v>118.87121212121212</v>
      </c>
      <c r="M101" s="290">
        <f t="shared" si="60"/>
        <v>110.7707509881423</v>
      </c>
      <c r="N101" s="290">
        <f t="shared" si="60"/>
        <v>176.76883116883116</v>
      </c>
      <c r="O101" s="290">
        <f t="shared" si="60"/>
        <v>192.52317073170735</v>
      </c>
      <c r="P101" s="290">
        <f t="shared" si="60"/>
        <v>167.04484679665737</v>
      </c>
      <c r="Q101" s="290">
        <f t="shared" si="60"/>
        <v>240.43329532497154</v>
      </c>
      <c r="R101" s="290">
        <f t="shared" si="60"/>
        <v>262.087323943662</v>
      </c>
      <c r="S101" s="290">
        <f t="shared" si="60"/>
        <v>298.36953523238378</v>
      </c>
      <c r="T101" s="290">
        <f t="shared" si="60"/>
        <v>323.4144869215292</v>
      </c>
      <c r="U101" s="290">
        <f t="shared" si="60"/>
        <v>303.76663001649257</v>
      </c>
      <c r="V101" s="290">
        <f t="shared" si="60"/>
        <v>395.38348392519435</v>
      </c>
      <c r="W101" s="290">
        <f t="shared" si="60"/>
        <v>335.21020546398734</v>
      </c>
      <c r="X101" s="290">
        <f t="shared" si="60"/>
        <v>350.50199600798402</v>
      </c>
      <c r="Y101" s="290">
        <f t="shared" si="60"/>
        <v>487.28735632183901</v>
      </c>
      <c r="Z101" s="252">
        <f t="shared" si="60"/>
        <v>400.61415881395351</v>
      </c>
      <c r="AA101" s="252">
        <f t="shared" si="60"/>
        <v>601.01314549433198</v>
      </c>
      <c r="AB101" s="252">
        <f t="shared" si="60"/>
        <v>617.33636149797792</v>
      </c>
      <c r="AC101" s="251">
        <f t="shared" si="62"/>
        <v>392.05310000000003</v>
      </c>
      <c r="AD101" s="252">
        <f t="shared" si="61"/>
        <v>411.37193650936916</v>
      </c>
      <c r="AE101" s="252">
        <f t="shared" si="61"/>
        <v>372.10723384197155</v>
      </c>
      <c r="AP101" s="240" t="s">
        <v>236</v>
      </c>
      <c r="AQ101" s="264"/>
      <c r="AR101" s="264"/>
      <c r="AU101">
        <v>141.34200000000001</v>
      </c>
    </row>
    <row r="102" spans="1:47">
      <c r="A102" s="240" t="s">
        <v>46</v>
      </c>
      <c r="B102" s="290">
        <f t="shared" si="60"/>
        <v>59.327903945406284</v>
      </c>
      <c r="C102" s="290">
        <f t="shared" si="60"/>
        <v>41.222823087959391</v>
      </c>
      <c r="D102" s="290">
        <f t="shared" si="60"/>
        <v>77.016485133941728</v>
      </c>
      <c r="E102" s="290">
        <f t="shared" si="60"/>
        <v>28.454099061731952</v>
      </c>
      <c r="F102" s="290">
        <f t="shared" si="60"/>
        <v>24.033919123204839</v>
      </c>
      <c r="G102" s="290">
        <f t="shared" si="60"/>
        <v>38.912695874640235</v>
      </c>
      <c r="H102" s="290">
        <f t="shared" si="60"/>
        <v>77.282175032175033</v>
      </c>
      <c r="I102" s="290">
        <f t="shared" si="60"/>
        <v>69.399973255732505</v>
      </c>
      <c r="J102" s="290">
        <f t="shared" si="60"/>
        <v>77.34706183547803</v>
      </c>
      <c r="K102" s="290">
        <f t="shared" si="60"/>
        <v>117.8</v>
      </c>
      <c r="L102" s="290">
        <f t="shared" si="60"/>
        <v>115.62121212121212</v>
      </c>
      <c r="M102" s="290">
        <f t="shared" si="60"/>
        <v>110.57312252964428</v>
      </c>
      <c r="N102" s="290">
        <f t="shared" si="60"/>
        <v>173.74129870129869</v>
      </c>
      <c r="O102" s="290">
        <f t="shared" si="60"/>
        <v>189.85609756097563</v>
      </c>
      <c r="P102" s="290">
        <f t="shared" si="60"/>
        <v>123.0908635097493</v>
      </c>
      <c r="Q102" s="290">
        <f t="shared" si="60"/>
        <v>235.7886735081718</v>
      </c>
      <c r="R102" s="290">
        <f t="shared" si="60"/>
        <v>258.13427230046949</v>
      </c>
      <c r="S102" s="290">
        <f t="shared" si="60"/>
        <v>269.11568215892055</v>
      </c>
      <c r="T102" s="290">
        <f t="shared" si="60"/>
        <v>308.78571428571428</v>
      </c>
      <c r="U102" s="290">
        <f t="shared" si="60"/>
        <v>240.02899945024737</v>
      </c>
      <c r="V102" s="290">
        <f t="shared" si="60"/>
        <v>372.92960706030681</v>
      </c>
      <c r="W102" s="290">
        <f t="shared" si="60"/>
        <v>288.14630842176564</v>
      </c>
      <c r="X102" s="290">
        <f t="shared" si="60"/>
        <v>369.70758483033933</v>
      </c>
      <c r="Y102" s="290">
        <f t="shared" si="60"/>
        <v>428.85057471264361</v>
      </c>
      <c r="Z102" s="252">
        <f t="shared" si="60"/>
        <v>503.05328291730109</v>
      </c>
      <c r="AA102" s="252">
        <f t="shared" si="60"/>
        <v>545.74807403851139</v>
      </c>
      <c r="AB102" s="252">
        <f t="shared" si="60"/>
        <v>615.22838474759931</v>
      </c>
      <c r="AC102" s="251">
        <f t="shared" si="62"/>
        <v>297.39859999999999</v>
      </c>
      <c r="AD102" s="252">
        <f t="shared" si="61"/>
        <v>412.36886066987012</v>
      </c>
      <c r="AE102" s="252">
        <f t="shared" si="61"/>
        <v>357.77591235701533</v>
      </c>
      <c r="AP102" s="240" t="s">
        <v>237</v>
      </c>
      <c r="AQ102" s="264"/>
      <c r="AR102" s="264"/>
      <c r="AU102">
        <v>76.534000000000006</v>
      </c>
    </row>
    <row r="103" spans="1:47">
      <c r="A103" s="240" t="s">
        <v>235</v>
      </c>
      <c r="B103" s="290">
        <f t="shared" si="60"/>
        <v>47.652188222382136</v>
      </c>
      <c r="C103" s="290">
        <f t="shared" si="60"/>
        <v>33.105985358496113</v>
      </c>
      <c r="D103" s="290">
        <f t="shared" si="60"/>
        <v>73.410362084191959</v>
      </c>
      <c r="E103" s="290">
        <f t="shared" si="60"/>
        <v>17.373416254038258</v>
      </c>
      <c r="F103" s="290">
        <f t="shared" si="60"/>
        <v>16.888699924414212</v>
      </c>
      <c r="G103" s="290">
        <f t="shared" si="60"/>
        <v>23.347617524784141</v>
      </c>
      <c r="H103" s="290">
        <f t="shared" si="60"/>
        <v>65.308880308880305</v>
      </c>
      <c r="I103" s="290">
        <f t="shared" si="60"/>
        <v>55.735011005478327</v>
      </c>
      <c r="J103" s="290">
        <f t="shared" si="60"/>
        <v>62.117305532040575</v>
      </c>
      <c r="K103" s="290">
        <f t="shared" si="60"/>
        <v>117.99999999999999</v>
      </c>
      <c r="L103" s="290">
        <f t="shared" si="60"/>
        <v>124.78030303030303</v>
      </c>
      <c r="M103" s="290">
        <f t="shared" si="60"/>
        <v>98.122529644268766</v>
      </c>
      <c r="N103" s="290">
        <f t="shared" si="60"/>
        <v>177.94077922077921</v>
      </c>
      <c r="O103" s="290">
        <f t="shared" si="60"/>
        <v>205.1670731707317</v>
      </c>
      <c r="P103" s="290">
        <f t="shared" si="60"/>
        <v>109.5893036211699</v>
      </c>
      <c r="Q103" s="290">
        <f t="shared" si="60"/>
        <v>239.84036488027368</v>
      </c>
      <c r="R103" s="290">
        <f t="shared" si="60"/>
        <v>260.50610328638498</v>
      </c>
      <c r="S103" s="290">
        <f t="shared" si="60"/>
        <v>270.69697151424282</v>
      </c>
      <c r="T103" s="290">
        <f t="shared" si="60"/>
        <v>317.38506036217308</v>
      </c>
      <c r="U103" s="290">
        <f t="shared" si="60"/>
        <v>208.40722924683894</v>
      </c>
      <c r="V103" s="290">
        <f t="shared" si="60"/>
        <v>388.54969531414156</v>
      </c>
      <c r="W103" s="290">
        <f t="shared" si="60"/>
        <v>268.93655452698124</v>
      </c>
      <c r="X103" s="290">
        <f t="shared" si="60"/>
        <v>343.78003992015965</v>
      </c>
      <c r="Y103" s="290">
        <f t="shared" si="60"/>
        <v>417.06048275862065</v>
      </c>
      <c r="Z103" s="252">
        <f t="shared" si="60"/>
        <v>486.33861922576051</v>
      </c>
      <c r="AA103" s="252">
        <f t="shared" si="60"/>
        <v>522.42922144522811</v>
      </c>
      <c r="AB103" s="252">
        <f t="shared" si="60"/>
        <v>597.04281030755567</v>
      </c>
      <c r="AC103" s="251">
        <f t="shared" si="62"/>
        <v>239.3193</v>
      </c>
      <c r="AD103" s="252">
        <f t="shared" si="61"/>
        <v>396.30489777626076</v>
      </c>
      <c r="AE103" s="252">
        <f t="shared" si="61"/>
        <v>334.97965333584227</v>
      </c>
      <c r="AP103" s="240" t="s">
        <v>238</v>
      </c>
      <c r="AQ103" s="264"/>
      <c r="AR103" s="264"/>
      <c r="AU103">
        <v>376.93900000000002</v>
      </c>
    </row>
    <row r="104" spans="1:47">
      <c r="A104" s="240" t="s">
        <v>236</v>
      </c>
      <c r="B104" s="290">
        <f t="shared" si="60"/>
        <v>36.526375795025992</v>
      </c>
      <c r="C104" s="290">
        <f t="shared" si="60"/>
        <v>25.73078762461833</v>
      </c>
      <c r="D104" s="290">
        <f t="shared" si="60"/>
        <v>52.803944657050351</v>
      </c>
      <c r="E104" s="290">
        <f t="shared" si="60"/>
        <v>17.236617700856854</v>
      </c>
      <c r="F104" s="290">
        <f t="shared" si="60"/>
        <v>8.184523809523812</v>
      </c>
      <c r="G104" s="290">
        <f t="shared" si="60"/>
        <v>14.267988487368086</v>
      </c>
      <c r="H104" s="290">
        <f t="shared" si="60"/>
        <v>58.777992277992269</v>
      </c>
      <c r="I104" s="290">
        <f t="shared" si="60"/>
        <v>43.318623986211847</v>
      </c>
      <c r="J104" s="290">
        <f t="shared" si="60"/>
        <v>48.279100565973046</v>
      </c>
      <c r="K104" s="290">
        <f t="shared" ref="C104:AK106" si="63">K$123*K88</f>
        <v>103.4</v>
      </c>
      <c r="L104" s="290">
        <f t="shared" si="63"/>
        <v>130</v>
      </c>
      <c r="M104" s="290">
        <f t="shared" si="63"/>
        <v>82.806324110671937</v>
      </c>
      <c r="N104" s="290">
        <f t="shared" si="63"/>
        <v>162.1194805194805</v>
      </c>
      <c r="O104" s="290">
        <f t="shared" si="63"/>
        <v>182.34878048780487</v>
      </c>
      <c r="P104" s="290">
        <f t="shared" si="63"/>
        <v>89.484791086350967</v>
      </c>
      <c r="Q104" s="290">
        <f t="shared" si="63"/>
        <v>217.01254275940707</v>
      </c>
      <c r="R104" s="290">
        <f t="shared" si="63"/>
        <v>256.55305164319253</v>
      </c>
      <c r="S104" s="290">
        <f t="shared" si="63"/>
        <v>211.6951124437781</v>
      </c>
      <c r="T104" s="290">
        <f t="shared" si="63"/>
        <v>306.71001006036221</v>
      </c>
      <c r="U104" s="290">
        <f t="shared" si="63"/>
        <v>162.45684442001098</v>
      </c>
      <c r="V104" s="290">
        <f t="shared" si="63"/>
        <v>372.92960706030681</v>
      </c>
      <c r="W104" s="290">
        <f t="shared" si="63"/>
        <v>240.1219236848047</v>
      </c>
      <c r="X104" s="290">
        <f t="shared" si="63"/>
        <v>303.44830339321356</v>
      </c>
      <c r="Y104" s="290">
        <f t="shared" si="63"/>
        <v>370.57873563218391</v>
      </c>
      <c r="Z104" s="252">
        <f t="shared" si="63"/>
        <v>441.33780798762155</v>
      </c>
      <c r="AA104" s="252">
        <f t="shared" si="63"/>
        <v>465.60909238462239</v>
      </c>
      <c r="AB104" s="252">
        <f t="shared" si="63"/>
        <v>541.77725958707924</v>
      </c>
      <c r="AC104" s="251">
        <f t="shared" si="62"/>
        <v>141.34200000000001</v>
      </c>
      <c r="AD104" s="252">
        <f t="shared" si="61"/>
        <v>355.45439450813842</v>
      </c>
      <c r="AE104" s="252">
        <f t="shared" si="61"/>
        <v>298.42169388032795</v>
      </c>
      <c r="AP104" s="240" t="s">
        <v>239</v>
      </c>
      <c r="AQ104" s="264"/>
      <c r="AR104" s="264"/>
      <c r="AU104">
        <v>584.10699999999997</v>
      </c>
    </row>
    <row r="105" spans="1:47">
      <c r="A105" s="240" t="s">
        <v>237</v>
      </c>
      <c r="B105" s="290">
        <f t="shared" ref="B105:B106" si="64">B$123*B89</f>
        <v>31.684441768124476</v>
      </c>
      <c r="C105" s="290">
        <f t="shared" si="63"/>
        <v>23.032042085126733</v>
      </c>
      <c r="D105" s="290">
        <f t="shared" si="63"/>
        <v>40.955254636443939</v>
      </c>
      <c r="E105" s="290">
        <f t="shared" si="63"/>
        <v>10.1187648456057</v>
      </c>
      <c r="F105" s="290">
        <f t="shared" si="63"/>
        <v>7.4157303370786529</v>
      </c>
      <c r="G105" s="290">
        <f t="shared" si="63"/>
        <v>8.8709075993735578</v>
      </c>
      <c r="H105" s="290">
        <f t="shared" si="63"/>
        <v>64.139720077220076</v>
      </c>
      <c r="I105" s="290">
        <f t="shared" si="63"/>
        <v>38.825738703866939</v>
      </c>
      <c r="J105" s="290">
        <f t="shared" si="63"/>
        <v>44.542697948767753</v>
      </c>
      <c r="K105" s="290">
        <f t="shared" si="63"/>
        <v>83.7</v>
      </c>
      <c r="L105" s="290">
        <f t="shared" si="63"/>
        <v>106.16666666666666</v>
      </c>
      <c r="M105" s="290">
        <f t="shared" si="63"/>
        <v>67.588932806324124</v>
      </c>
      <c r="N105" s="290">
        <f t="shared" si="63"/>
        <v>166.80727272727273</v>
      </c>
      <c r="O105" s="290">
        <f t="shared" si="63"/>
        <v>164.07439024390246</v>
      </c>
      <c r="P105" s="290">
        <f t="shared" si="63"/>
        <v>112.94005571030638</v>
      </c>
      <c r="Q105" s="290">
        <f t="shared" si="63"/>
        <v>206.93272519954391</v>
      </c>
      <c r="R105" s="290">
        <f t="shared" si="63"/>
        <v>223.74272300469485</v>
      </c>
      <c r="S105" s="290">
        <f t="shared" si="63"/>
        <v>162.77397301349325</v>
      </c>
      <c r="T105" s="290">
        <f t="shared" si="63"/>
        <v>279.92354124748493</v>
      </c>
      <c r="U105" s="290">
        <f t="shared" si="63"/>
        <v>152.87149532710279</v>
      </c>
      <c r="V105" s="290">
        <f t="shared" si="63"/>
        <v>314.35427610842612</v>
      </c>
      <c r="W105" s="290">
        <f t="shared" si="63"/>
        <v>203.62339128471439</v>
      </c>
      <c r="X105" s="290">
        <f t="shared" si="63"/>
        <v>205.49980039920158</v>
      </c>
      <c r="Y105" s="290">
        <f t="shared" si="63"/>
        <v>318.02333333333337</v>
      </c>
      <c r="Z105" s="252">
        <f t="shared" si="63"/>
        <v>368.11404384392108</v>
      </c>
      <c r="AA105" s="252">
        <f t="shared" si="63"/>
        <v>383.60265245906362</v>
      </c>
      <c r="AB105" s="252">
        <f t="shared" si="63"/>
        <v>441.88302903638771</v>
      </c>
      <c r="AC105" s="252">
        <f t="shared" si="63"/>
        <v>145.29826529387256</v>
      </c>
      <c r="AD105" s="252">
        <f t="shared" si="61"/>
        <v>287.53792622921776</v>
      </c>
      <c r="AE105" s="252">
        <f t="shared" si="61"/>
        <v>239.88023878312444</v>
      </c>
      <c r="AP105" s="240" t="s">
        <v>240</v>
      </c>
      <c r="AQ105" s="264"/>
      <c r="AR105" s="264"/>
    </row>
    <row r="106" spans="1:47">
      <c r="A106" s="240" t="s">
        <v>238</v>
      </c>
      <c r="B106" s="290">
        <f t="shared" si="64"/>
        <v>14.011510394145891</v>
      </c>
      <c r="C106" s="290">
        <f t="shared" si="63"/>
        <v>10.238752161277271</v>
      </c>
      <c r="D106" s="290">
        <f t="shared" si="63"/>
        <v>10.174418604651166</v>
      </c>
      <c r="E106" s="290">
        <f t="shared" si="63"/>
        <v>11.401425178147266</v>
      </c>
      <c r="F106" s="290">
        <f t="shared" si="63"/>
        <v>7.0681179775280896</v>
      </c>
      <c r="G106" s="290">
        <f t="shared" si="63"/>
        <v>4.3763144156909553</v>
      </c>
      <c r="H106" s="290">
        <f t="shared" si="63"/>
        <v>26.090733590733588</v>
      </c>
      <c r="I106" s="290">
        <f t="shared" si="63"/>
        <v>17.259742518624211</v>
      </c>
      <c r="J106" s="290">
        <f t="shared" si="63"/>
        <v>19.801181467386026</v>
      </c>
      <c r="K106" s="290">
        <f t="shared" si="63"/>
        <v>27.3</v>
      </c>
      <c r="L106" s="290">
        <f t="shared" si="63"/>
        <v>59.090909090909086</v>
      </c>
      <c r="M106" s="290">
        <f t="shared" si="63"/>
        <v>51.383399209486164</v>
      </c>
      <c r="N106" s="290">
        <f t="shared" si="63"/>
        <v>110.94441558441558</v>
      </c>
      <c r="O106" s="290">
        <f t="shared" si="63"/>
        <v>105.00365853658536</v>
      </c>
      <c r="P106" s="290">
        <f t="shared" si="63"/>
        <v>75.884679665738162</v>
      </c>
      <c r="Q106" s="290">
        <f t="shared" si="63"/>
        <v>142.69859369061194</v>
      </c>
      <c r="R106" s="290">
        <f t="shared" si="63"/>
        <v>95.367370892018783</v>
      </c>
      <c r="S106" s="290">
        <f t="shared" si="63"/>
        <v>70.466206896551725</v>
      </c>
      <c r="T106" s="290">
        <f t="shared" si="63"/>
        <v>111.69265593561369</v>
      </c>
      <c r="U106" s="290">
        <f t="shared" si="63"/>
        <v>68.184442001099498</v>
      </c>
      <c r="V106" s="290">
        <f t="shared" si="63"/>
        <v>173.77348182391259</v>
      </c>
      <c r="W106" s="290">
        <f t="shared" si="63"/>
        <v>58.013456762248815</v>
      </c>
      <c r="X106" s="290">
        <f t="shared" si="63"/>
        <v>68.467924151696607</v>
      </c>
      <c r="Y106" s="290">
        <f t="shared" si="63"/>
        <v>134.11995402298851</v>
      </c>
      <c r="Z106" s="252">
        <f t="shared" si="63"/>
        <v>741.14674972253556</v>
      </c>
      <c r="AA106" s="252">
        <f t="shared" si="63"/>
        <v>161.3957328279468</v>
      </c>
      <c r="AB106" s="252">
        <f t="shared" si="63"/>
        <v>368.19611040327487</v>
      </c>
      <c r="AC106" s="252">
        <f t="shared" si="63"/>
        <v>1669.1004763622645</v>
      </c>
      <c r="AD106" s="252">
        <f t="shared" si="61"/>
        <v>246.81643892830797</v>
      </c>
      <c r="AE106" s="252">
        <f t="shared" si="61"/>
        <v>444.29000709492993</v>
      </c>
      <c r="AP106" s="240" t="s">
        <v>241</v>
      </c>
      <c r="AQ106" s="264"/>
      <c r="AR106" s="264"/>
    </row>
    <row r="107" spans="1:47" ht="15.75" thickBot="1">
      <c r="A107" s="240" t="s">
        <v>242</v>
      </c>
      <c r="B107" s="290">
        <f>SUM(B95:B106)</f>
        <v>835.04526759358589</v>
      </c>
      <c r="C107" s="290">
        <f t="shared" ref="C107:Z107" si="65">SUM(C95:C106)</f>
        <v>570.58011572462715</v>
      </c>
      <c r="D107" s="290">
        <f t="shared" si="65"/>
        <v>875.81363854629421</v>
      </c>
      <c r="E107" s="290">
        <f t="shared" si="65"/>
        <v>480.91249907103179</v>
      </c>
      <c r="F107" s="290">
        <f t="shared" si="65"/>
        <v>467.66200935915742</v>
      </c>
      <c r="G107" s="290">
        <f t="shared" si="65"/>
        <v>549.87861643948679</v>
      </c>
      <c r="H107" s="290">
        <f t="shared" si="65"/>
        <v>866.97040533509971</v>
      </c>
      <c r="I107" s="290">
        <f t="shared" si="65"/>
        <v>961.69822094221172</v>
      </c>
      <c r="J107" s="290">
        <f t="shared" si="65"/>
        <v>860.39168089803798</v>
      </c>
      <c r="K107" s="290">
        <f t="shared" si="65"/>
        <v>1282.9386388657922</v>
      </c>
      <c r="L107" s="290">
        <f t="shared" si="65"/>
        <v>1348.4699604743082</v>
      </c>
      <c r="M107" s="290">
        <f t="shared" si="65"/>
        <v>1110.6540266798418</v>
      </c>
      <c r="N107" s="290">
        <f t="shared" si="65"/>
        <v>1839.8052521391651</v>
      </c>
      <c r="O107" s="290">
        <f t="shared" si="65"/>
        <v>2020.04286545224</v>
      </c>
      <c r="P107" s="290">
        <f t="shared" si="65"/>
        <v>1736.8774083003354</v>
      </c>
      <c r="Q107" s="290">
        <f t="shared" si="65"/>
        <v>2468.3823545132495</v>
      </c>
      <c r="R107" s="290">
        <f t="shared" si="65"/>
        <v>2818.1267013856027</v>
      </c>
      <c r="S107" s="290">
        <f t="shared" si="65"/>
        <v>2917.9637368205913</v>
      </c>
      <c r="T107" s="290">
        <f t="shared" si="65"/>
        <v>3543.8330786072142</v>
      </c>
      <c r="U107" s="290">
        <f t="shared" si="65"/>
        <v>3075.1465910926386</v>
      </c>
      <c r="V107" s="290">
        <f t="shared" si="65"/>
        <v>4134.2461556272865</v>
      </c>
      <c r="W107" s="290">
        <f t="shared" si="65"/>
        <v>3420.5046823570278</v>
      </c>
      <c r="X107" s="290">
        <f t="shared" si="65"/>
        <v>3662.8227218524321</v>
      </c>
      <c r="Y107" s="290">
        <f t="shared" si="65"/>
        <v>4924.7030095670716</v>
      </c>
      <c r="Z107" s="252">
        <f t="shared" si="65"/>
        <v>5678.7500000000009</v>
      </c>
      <c r="AA107" s="253">
        <f>SUM(AA95:AA106)</f>
        <v>6169.325687175834</v>
      </c>
      <c r="AB107" s="253">
        <f>SUM(AB95:AB106)</f>
        <v>6840.4120619028108</v>
      </c>
      <c r="AC107" s="253">
        <f>SUM(AC95:AC106)</f>
        <v>6463.809522866668</v>
      </c>
      <c r="AD107" s="253">
        <f>SUM(AD95:AD106)</f>
        <v>4567.4413063095317</v>
      </c>
      <c r="AE107" s="253">
        <f>SUM(AE95:AE106)</f>
        <v>4436.8390857958057</v>
      </c>
      <c r="AP107" s="240" t="s">
        <v>345</v>
      </c>
      <c r="AQ107" s="264"/>
      <c r="AR107" s="264"/>
      <c r="AU107">
        <v>2446.2669000000001</v>
      </c>
    </row>
    <row r="108" spans="1:47">
      <c r="A108" s="248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48"/>
      <c r="AA108" s="248"/>
      <c r="AB108" s="248"/>
      <c r="AC108" s="254"/>
      <c r="AD108" s="254"/>
      <c r="AE108" s="254"/>
    </row>
    <row r="109" spans="1:47" ht="15.75" thickBot="1">
      <c r="A109" s="235" t="s">
        <v>254</v>
      </c>
      <c r="AQ109" t="s">
        <v>346</v>
      </c>
    </row>
    <row r="110" spans="1:47" ht="15.75" thickBot="1">
      <c r="A110" s="236"/>
      <c r="B110" s="237" t="str">
        <f>B$2</f>
        <v xml:space="preserve">93/94 </v>
      </c>
      <c r="C110" s="237" t="str">
        <f t="shared" ref="C110:AE110" si="66">C$2</f>
        <v xml:space="preserve">94/95 </v>
      </c>
      <c r="D110" s="237" t="str">
        <f t="shared" si="66"/>
        <v xml:space="preserve">95/96 </v>
      </c>
      <c r="E110" s="237" t="str">
        <f t="shared" si="66"/>
        <v xml:space="preserve">96/97 </v>
      </c>
      <c r="F110" s="237" t="str">
        <f t="shared" si="66"/>
        <v xml:space="preserve">97/98 </v>
      </c>
      <c r="G110" s="237" t="str">
        <f t="shared" si="66"/>
        <v xml:space="preserve">98/99 </v>
      </c>
      <c r="H110" s="237" t="str">
        <f t="shared" si="66"/>
        <v xml:space="preserve">99/00 </v>
      </c>
      <c r="I110" s="237" t="str">
        <f t="shared" si="66"/>
        <v xml:space="preserve">00/01 </v>
      </c>
      <c r="J110" s="237" t="str">
        <f t="shared" si="66"/>
        <v xml:space="preserve">01/02 </v>
      </c>
      <c r="K110" s="237" t="str">
        <f t="shared" si="66"/>
        <v xml:space="preserve">02/03 </v>
      </c>
      <c r="L110" s="237" t="str">
        <f t="shared" si="66"/>
        <v xml:space="preserve">03/04 </v>
      </c>
      <c r="M110" s="237" t="str">
        <f t="shared" si="66"/>
        <v xml:space="preserve">04/05 </v>
      </c>
      <c r="N110" s="237" t="str">
        <f t="shared" si="66"/>
        <v xml:space="preserve">05/06 </v>
      </c>
      <c r="O110" s="237" t="str">
        <f t="shared" si="66"/>
        <v xml:space="preserve">06/07 </v>
      </c>
      <c r="P110" s="237" t="str">
        <f t="shared" si="66"/>
        <v xml:space="preserve">07/08 </v>
      </c>
      <c r="Q110" s="237" t="str">
        <f t="shared" si="66"/>
        <v xml:space="preserve">08/09 </v>
      </c>
      <c r="R110" s="237" t="str">
        <f t="shared" si="66"/>
        <v xml:space="preserve">09/10 </v>
      </c>
      <c r="S110" s="237" t="str">
        <f t="shared" si="66"/>
        <v xml:space="preserve">10/11 </v>
      </c>
      <c r="T110" s="237" t="str">
        <f t="shared" si="66"/>
        <v xml:space="preserve">11/12 </v>
      </c>
      <c r="U110" s="237" t="str">
        <f t="shared" si="66"/>
        <v xml:space="preserve">12/13 </v>
      </c>
      <c r="V110" s="237" t="str">
        <f t="shared" si="66"/>
        <v xml:space="preserve">13/14 </v>
      </c>
      <c r="W110" s="237" t="str">
        <f t="shared" si="66"/>
        <v xml:space="preserve">14/15 </v>
      </c>
      <c r="X110" s="237" t="str">
        <f t="shared" si="66"/>
        <v xml:space="preserve">15/16 </v>
      </c>
      <c r="Y110" s="237" t="str">
        <f t="shared" si="66"/>
        <v xml:space="preserve">16/17 </v>
      </c>
      <c r="Z110" s="237" t="str">
        <f t="shared" si="66"/>
        <v xml:space="preserve">17/18 </v>
      </c>
      <c r="AA110" s="237" t="str">
        <f t="shared" si="66"/>
        <v xml:space="preserve">18/19 </v>
      </c>
      <c r="AB110" s="237" t="str">
        <f t="shared" si="66"/>
        <v xml:space="preserve">19/20 </v>
      </c>
      <c r="AC110" s="237" t="str">
        <f t="shared" si="66"/>
        <v xml:space="preserve">20/21 </v>
      </c>
      <c r="AD110" s="237" t="str">
        <f t="shared" si="66"/>
        <v>21/22</v>
      </c>
      <c r="AE110" s="237" t="str">
        <f t="shared" si="66"/>
        <v>22/23</v>
      </c>
      <c r="AQ110">
        <f>AQ94</f>
        <v>2017</v>
      </c>
      <c r="AR110">
        <f t="shared" ref="AR110:AU110" si="67">AR94</f>
        <v>2018</v>
      </c>
      <c r="AS110">
        <f t="shared" si="67"/>
        <v>2019</v>
      </c>
      <c r="AT110">
        <f t="shared" si="67"/>
        <v>2020</v>
      </c>
      <c r="AU110">
        <f t="shared" si="67"/>
        <v>2021</v>
      </c>
    </row>
    <row r="111" spans="1:47">
      <c r="A111" s="240" t="s">
        <v>239</v>
      </c>
      <c r="B111" s="298">
        <f t="shared" ref="B111:AE119" si="68">B95/B79</f>
        <v>0.43123287671232879</v>
      </c>
      <c r="C111" s="298">
        <f t="shared" si="68"/>
        <v>0.4</v>
      </c>
      <c r="D111" s="298">
        <f t="shared" si="68"/>
        <v>0.38043478260869568</v>
      </c>
      <c r="E111" s="298">
        <f t="shared" si="68"/>
        <v>0.44865403788634095</v>
      </c>
      <c r="F111" s="298">
        <f t="shared" si="68"/>
        <v>0.40293040293040294</v>
      </c>
      <c r="G111" s="298">
        <f t="shared" si="68"/>
        <v>0.4</v>
      </c>
      <c r="H111" s="298">
        <f t="shared" si="68"/>
        <v>0.40476190476190477</v>
      </c>
      <c r="I111" s="298">
        <f t="shared" si="68"/>
        <v>0.40772532188841204</v>
      </c>
      <c r="J111" s="298">
        <f t="shared" si="68"/>
        <v>0.40447253281477885</v>
      </c>
      <c r="K111" s="298">
        <f t="shared" si="68"/>
        <v>0.4107142857142857</v>
      </c>
      <c r="L111" s="298">
        <f t="shared" si="68"/>
        <v>0.41269841269841268</v>
      </c>
      <c r="M111" s="298">
        <f t="shared" si="68"/>
        <v>0.41666666666666669</v>
      </c>
      <c r="N111" s="298">
        <f t="shared" si="68"/>
        <v>0.41318681318681311</v>
      </c>
      <c r="O111" s="298">
        <f t="shared" si="68"/>
        <v>0.41778419641015063</v>
      </c>
      <c r="P111" s="298">
        <f t="shared" si="68"/>
        <v>0.41721698113207545</v>
      </c>
      <c r="Q111" s="298">
        <f t="shared" si="68"/>
        <v>0.41800643086816719</v>
      </c>
      <c r="R111" s="298">
        <f t="shared" si="68"/>
        <v>0.41801418439716315</v>
      </c>
      <c r="S111" s="298">
        <f t="shared" si="68"/>
        <v>0.41800887761572614</v>
      </c>
      <c r="T111" s="298">
        <f t="shared" si="68"/>
        <v>0.41808510638297874</v>
      </c>
      <c r="U111" s="298">
        <f t="shared" si="68"/>
        <v>0.4180232558139535</v>
      </c>
      <c r="V111" s="298">
        <f t="shared" si="68"/>
        <v>0.41297777777777783</v>
      </c>
      <c r="W111" s="298">
        <f t="shared" si="68"/>
        <v>0.41300970873786408</v>
      </c>
      <c r="X111" s="298">
        <f t="shared" si="68"/>
        <v>0.41296137339055794</v>
      </c>
      <c r="Y111" s="298">
        <f t="shared" si="68"/>
        <v>0.41</v>
      </c>
      <c r="Z111" s="298">
        <f t="shared" si="68"/>
        <v>0.41299999999999992</v>
      </c>
      <c r="AA111" s="259">
        <f t="shared" si="68"/>
        <v>0.41684633021458339</v>
      </c>
      <c r="AB111" s="259">
        <f t="shared" si="68"/>
        <v>0.41646344364705085</v>
      </c>
      <c r="AC111" s="259">
        <f t="shared" si="68"/>
        <v>0.41615187033605316</v>
      </c>
      <c r="AD111" s="259">
        <f t="shared" si="68"/>
        <v>0.41522193693723009</v>
      </c>
      <c r="AE111" s="259">
        <f t="shared" si="68"/>
        <v>0.41465785848558934</v>
      </c>
      <c r="AP111" s="240" t="s">
        <v>231</v>
      </c>
      <c r="AQ111" s="264"/>
      <c r="AR111" s="264"/>
      <c r="AU111">
        <v>99.815200000000004</v>
      </c>
    </row>
    <row r="112" spans="1:47">
      <c r="A112" s="240" t="s">
        <v>240</v>
      </c>
      <c r="B112" s="298">
        <f t="shared" si="68"/>
        <v>0.43123287671232879</v>
      </c>
      <c r="C112" s="298">
        <f t="shared" si="68"/>
        <v>0.4</v>
      </c>
      <c r="D112" s="298">
        <f t="shared" si="68"/>
        <v>0.38043478260869568</v>
      </c>
      <c r="E112" s="298">
        <f t="shared" si="68"/>
        <v>0.4486540378863409</v>
      </c>
      <c r="F112" s="298">
        <f t="shared" si="68"/>
        <v>0.40293040293040294</v>
      </c>
      <c r="G112" s="298">
        <f t="shared" si="68"/>
        <v>0.4</v>
      </c>
      <c r="H112" s="298">
        <f t="shared" si="68"/>
        <v>0.40476190476190477</v>
      </c>
      <c r="I112" s="298">
        <f t="shared" si="68"/>
        <v>0.40772532188841204</v>
      </c>
      <c r="J112" s="298">
        <f t="shared" si="68"/>
        <v>0.4044725328147788</v>
      </c>
      <c r="K112" s="298">
        <f t="shared" si="68"/>
        <v>0.4107142857142857</v>
      </c>
      <c r="L112" s="298">
        <f t="shared" si="68"/>
        <v>0.41269841269841268</v>
      </c>
      <c r="M112" s="298">
        <f t="shared" si="68"/>
        <v>0.41666666666666669</v>
      </c>
      <c r="N112" s="298">
        <f t="shared" si="68"/>
        <v>0.41318681318681316</v>
      </c>
      <c r="O112" s="298">
        <f t="shared" si="68"/>
        <v>0.41778419641015063</v>
      </c>
      <c r="P112" s="298">
        <f t="shared" si="68"/>
        <v>0.41721698113207539</v>
      </c>
      <c r="Q112" s="298">
        <f t="shared" si="68"/>
        <v>0.41800643086816724</v>
      </c>
      <c r="R112" s="298">
        <f t="shared" si="68"/>
        <v>0.4180141843971632</v>
      </c>
      <c r="S112" s="298">
        <f t="shared" si="68"/>
        <v>0.41800887761572614</v>
      </c>
      <c r="T112" s="298">
        <f t="shared" si="68"/>
        <v>0.41808510638297874</v>
      </c>
      <c r="U112" s="298">
        <f t="shared" si="68"/>
        <v>0.41802325581395355</v>
      </c>
      <c r="V112" s="298">
        <f t="shared" si="68"/>
        <v>0.41297777777777778</v>
      </c>
      <c r="W112" s="298">
        <f t="shared" si="68"/>
        <v>0.41300970873786408</v>
      </c>
      <c r="X112" s="298">
        <f t="shared" si="68"/>
        <v>0.41296137339055794</v>
      </c>
      <c r="Y112" s="298">
        <f t="shared" si="68"/>
        <v>0.41</v>
      </c>
      <c r="Z112" s="298">
        <f t="shared" si="68"/>
        <v>0.41299999999999992</v>
      </c>
      <c r="AA112" s="259">
        <f t="shared" si="68"/>
        <v>0.41684633021458339</v>
      </c>
      <c r="AB112" s="259">
        <f t="shared" si="68"/>
        <v>0.4164634436470509</v>
      </c>
      <c r="AC112" s="259">
        <f t="shared" si="68"/>
        <v>0.41615187033605316</v>
      </c>
      <c r="AD112" s="259">
        <f t="shared" si="68"/>
        <v>0.41522193693723009</v>
      </c>
      <c r="AE112" s="259">
        <f t="shared" si="68"/>
        <v>0.41465785848558934</v>
      </c>
      <c r="AP112" s="240" t="s">
        <v>232</v>
      </c>
      <c r="AQ112" s="264"/>
      <c r="AR112" s="264"/>
      <c r="AU112">
        <v>80.700699999999998</v>
      </c>
    </row>
    <row r="113" spans="1:47">
      <c r="A113" s="240" t="s">
        <v>241</v>
      </c>
      <c r="B113" s="298">
        <f t="shared" si="68"/>
        <v>0.43123287671232879</v>
      </c>
      <c r="C113" s="298">
        <f t="shared" si="68"/>
        <v>0.4</v>
      </c>
      <c r="D113" s="298">
        <f t="shared" si="68"/>
        <v>0.38043478260869568</v>
      </c>
      <c r="E113" s="298">
        <f t="shared" si="68"/>
        <v>0.44865403788634095</v>
      </c>
      <c r="F113" s="298">
        <f t="shared" si="68"/>
        <v>0.40293040293040294</v>
      </c>
      <c r="G113" s="298">
        <f t="shared" si="68"/>
        <v>0.4</v>
      </c>
      <c r="H113" s="298">
        <f t="shared" si="68"/>
        <v>0.40476190476190477</v>
      </c>
      <c r="I113" s="298">
        <f t="shared" si="68"/>
        <v>0.40772532188841204</v>
      </c>
      <c r="J113" s="298">
        <f t="shared" si="68"/>
        <v>0.4044725328147788</v>
      </c>
      <c r="K113" s="298">
        <f t="shared" si="68"/>
        <v>0.41071428571428564</v>
      </c>
      <c r="L113" s="298">
        <f t="shared" si="68"/>
        <v>0.41269841269841268</v>
      </c>
      <c r="M113" s="298">
        <f t="shared" si="68"/>
        <v>0.41666666666666669</v>
      </c>
      <c r="N113" s="298">
        <f t="shared" si="68"/>
        <v>0.41318681318681311</v>
      </c>
      <c r="O113" s="298">
        <f t="shared" si="68"/>
        <v>0.41778419641015063</v>
      </c>
      <c r="P113" s="298">
        <f t="shared" si="68"/>
        <v>0.4172169811320755</v>
      </c>
      <c r="Q113" s="298">
        <f t="shared" si="68"/>
        <v>0.41800643086816719</v>
      </c>
      <c r="R113" s="298">
        <f t="shared" si="68"/>
        <v>0.41801418439716315</v>
      </c>
      <c r="S113" s="298">
        <f t="shared" si="68"/>
        <v>0.41800887761572608</v>
      </c>
      <c r="T113" s="298">
        <f t="shared" si="68"/>
        <v>0.4180851063829788</v>
      </c>
      <c r="U113" s="298">
        <f t="shared" si="68"/>
        <v>0.4180232558139535</v>
      </c>
      <c r="V113" s="298">
        <f t="shared" si="68"/>
        <v>0.41297777777777778</v>
      </c>
      <c r="W113" s="298">
        <f t="shared" si="68"/>
        <v>0.41300970873786408</v>
      </c>
      <c r="X113" s="298">
        <f t="shared" si="68"/>
        <v>0.41296137339055794</v>
      </c>
      <c r="Y113" s="298">
        <f t="shared" si="68"/>
        <v>0.41</v>
      </c>
      <c r="Z113" s="298">
        <f t="shared" si="68"/>
        <v>0.41299999999999998</v>
      </c>
      <c r="AA113" s="259">
        <f t="shared" si="68"/>
        <v>0.41684633021458339</v>
      </c>
      <c r="AB113" s="259">
        <f t="shared" si="68"/>
        <v>0.4164634436470509</v>
      </c>
      <c r="AC113" s="259">
        <f t="shared" si="68"/>
        <v>0.41615187033605316</v>
      </c>
      <c r="AD113" s="259">
        <f t="shared" si="68"/>
        <v>0.41522193693723009</v>
      </c>
      <c r="AE113" s="259">
        <f t="shared" si="68"/>
        <v>0.41465785848558934</v>
      </c>
      <c r="AP113" s="240" t="s">
        <v>233</v>
      </c>
      <c r="AQ113" s="264"/>
      <c r="AR113" s="264"/>
      <c r="AU113">
        <v>110.7076</v>
      </c>
    </row>
    <row r="114" spans="1:47">
      <c r="A114" s="240" t="s">
        <v>231</v>
      </c>
      <c r="B114" s="298">
        <f t="shared" si="68"/>
        <v>0.43123287671232879</v>
      </c>
      <c r="C114" s="298">
        <f t="shared" si="68"/>
        <v>0.4</v>
      </c>
      <c r="D114" s="298">
        <f t="shared" si="68"/>
        <v>0.38043478260869568</v>
      </c>
      <c r="E114" s="298">
        <f t="shared" si="68"/>
        <v>0.44865403788634095</v>
      </c>
      <c r="F114" s="298">
        <f t="shared" si="68"/>
        <v>0.40293040293040294</v>
      </c>
      <c r="G114" s="298">
        <f t="shared" si="68"/>
        <v>0.4</v>
      </c>
      <c r="H114" s="298">
        <f t="shared" si="68"/>
        <v>0.40476190476190477</v>
      </c>
      <c r="I114" s="298">
        <f t="shared" si="68"/>
        <v>0.40772532188841204</v>
      </c>
      <c r="J114" s="298">
        <f t="shared" si="68"/>
        <v>0.4044725328147788</v>
      </c>
      <c r="K114" s="298">
        <f t="shared" si="68"/>
        <v>0.4107142857142857</v>
      </c>
      <c r="L114" s="298">
        <f t="shared" si="68"/>
        <v>0.41269841269841273</v>
      </c>
      <c r="M114" s="298">
        <f t="shared" si="68"/>
        <v>0.41666666666666669</v>
      </c>
      <c r="N114" s="298">
        <f t="shared" si="68"/>
        <v>0.41318681318681311</v>
      </c>
      <c r="O114" s="298">
        <f t="shared" si="68"/>
        <v>0.41778419641015063</v>
      </c>
      <c r="P114" s="298">
        <f t="shared" si="68"/>
        <v>0.41721698113207545</v>
      </c>
      <c r="Q114" s="298">
        <f t="shared" si="68"/>
        <v>0.41800643086816719</v>
      </c>
      <c r="R114" s="298">
        <f t="shared" si="68"/>
        <v>0.41801418439716315</v>
      </c>
      <c r="S114" s="298">
        <f t="shared" si="68"/>
        <v>0.41800887761572608</v>
      </c>
      <c r="T114" s="298">
        <f t="shared" si="68"/>
        <v>0.41808510638297874</v>
      </c>
      <c r="U114" s="298">
        <f t="shared" si="68"/>
        <v>0.4180232558139535</v>
      </c>
      <c r="V114" s="298">
        <f t="shared" si="68"/>
        <v>0.41297777777777778</v>
      </c>
      <c r="W114" s="298">
        <f t="shared" si="68"/>
        <v>0.41300970873786408</v>
      </c>
      <c r="X114" s="298">
        <f t="shared" si="68"/>
        <v>0.41296137339055794</v>
      </c>
      <c r="Y114" s="298">
        <f t="shared" si="68"/>
        <v>0.41</v>
      </c>
      <c r="Z114" s="298">
        <f t="shared" si="68"/>
        <v>0.41299999999999998</v>
      </c>
      <c r="AA114" s="259">
        <f t="shared" si="68"/>
        <v>0.41684633021458339</v>
      </c>
      <c r="AB114" s="259">
        <f t="shared" si="68"/>
        <v>0.41646344364705085</v>
      </c>
      <c r="AC114" s="259">
        <f t="shared" si="68"/>
        <v>0.25255726219890579</v>
      </c>
      <c r="AD114" s="259">
        <f t="shared" si="68"/>
        <v>0.41522193693723009</v>
      </c>
      <c r="AE114" s="259">
        <f t="shared" si="68"/>
        <v>0.41465785848558934</v>
      </c>
      <c r="AP114" s="240" t="s">
        <v>234</v>
      </c>
      <c r="AQ114" s="264"/>
      <c r="AR114" s="264"/>
      <c r="AU114">
        <v>83.831900000000005</v>
      </c>
    </row>
    <row r="115" spans="1:47">
      <c r="A115" s="240" t="s">
        <v>232</v>
      </c>
      <c r="B115" s="298">
        <f t="shared" si="68"/>
        <v>0.43123287671232879</v>
      </c>
      <c r="C115" s="298">
        <f t="shared" si="68"/>
        <v>0.4</v>
      </c>
      <c r="D115" s="298">
        <f t="shared" si="68"/>
        <v>0.38043478260869568</v>
      </c>
      <c r="E115" s="298">
        <f t="shared" si="68"/>
        <v>0.44865403788634101</v>
      </c>
      <c r="F115" s="298">
        <f t="shared" si="68"/>
        <v>0.40293040293040294</v>
      </c>
      <c r="G115" s="298">
        <f t="shared" si="68"/>
        <v>0.4</v>
      </c>
      <c r="H115" s="298">
        <f t="shared" si="68"/>
        <v>0.40476190476190477</v>
      </c>
      <c r="I115" s="298">
        <f t="shared" si="68"/>
        <v>0.40772532188841204</v>
      </c>
      <c r="J115" s="298">
        <f t="shared" si="68"/>
        <v>0.4044725328147788</v>
      </c>
      <c r="K115" s="298">
        <f t="shared" si="68"/>
        <v>0.4107142857142857</v>
      </c>
      <c r="L115" s="298">
        <f t="shared" si="68"/>
        <v>0.41269841269841268</v>
      </c>
      <c r="M115" s="298">
        <f t="shared" si="68"/>
        <v>0.41666666666666669</v>
      </c>
      <c r="N115" s="298">
        <f t="shared" si="68"/>
        <v>0.41318681318681311</v>
      </c>
      <c r="O115" s="298">
        <f t="shared" si="68"/>
        <v>0.41778419641015063</v>
      </c>
      <c r="P115" s="298">
        <f t="shared" si="68"/>
        <v>0.41721698113207545</v>
      </c>
      <c r="Q115" s="298">
        <f t="shared" si="68"/>
        <v>0.41800643086816719</v>
      </c>
      <c r="R115" s="298">
        <f t="shared" si="68"/>
        <v>0.41801418439716315</v>
      </c>
      <c r="S115" s="298">
        <f t="shared" si="68"/>
        <v>0.41800887761572608</v>
      </c>
      <c r="T115" s="298">
        <f t="shared" si="68"/>
        <v>0.41808510638297874</v>
      </c>
      <c r="U115" s="298">
        <f t="shared" si="68"/>
        <v>0.4180232558139535</v>
      </c>
      <c r="V115" s="298">
        <f t="shared" si="68"/>
        <v>0.41297777777777778</v>
      </c>
      <c r="W115" s="298">
        <f t="shared" si="68"/>
        <v>0.41300970873786408</v>
      </c>
      <c r="X115" s="298">
        <f t="shared" si="68"/>
        <v>0.41296137339055794</v>
      </c>
      <c r="Y115" s="298">
        <f t="shared" si="68"/>
        <v>0.41</v>
      </c>
      <c r="Z115" s="298">
        <f t="shared" si="68"/>
        <v>0.41299999999999998</v>
      </c>
      <c r="AA115" s="259">
        <f t="shared" si="68"/>
        <v>0.41684633021458339</v>
      </c>
      <c r="AB115" s="259">
        <f t="shared" si="68"/>
        <v>0.41646344364705096</v>
      </c>
      <c r="AC115" s="259">
        <f t="shared" si="68"/>
        <v>0.38389667270750377</v>
      </c>
      <c r="AD115" s="259">
        <f t="shared" si="68"/>
        <v>0.41522193693723009</v>
      </c>
      <c r="AE115" s="259">
        <f t="shared" si="68"/>
        <v>0.41465785848558934</v>
      </c>
      <c r="AP115" s="240" t="s">
        <v>46</v>
      </c>
      <c r="AQ115" s="264"/>
      <c r="AR115" s="264"/>
      <c r="AU115">
        <v>72.370400000000004</v>
      </c>
    </row>
    <row r="116" spans="1:47">
      <c r="A116" s="240" t="s">
        <v>233</v>
      </c>
      <c r="B116" s="298">
        <f t="shared" si="68"/>
        <v>0.43123287671232879</v>
      </c>
      <c r="C116" s="298">
        <f t="shared" si="68"/>
        <v>0.4</v>
      </c>
      <c r="D116" s="298">
        <f t="shared" si="68"/>
        <v>0.38043478260869568</v>
      </c>
      <c r="E116" s="298">
        <f t="shared" si="68"/>
        <v>0.44865403788634095</v>
      </c>
      <c r="F116" s="298">
        <f t="shared" si="68"/>
        <v>0.40293040293040289</v>
      </c>
      <c r="G116" s="298">
        <f t="shared" si="68"/>
        <v>0.4</v>
      </c>
      <c r="H116" s="298">
        <f t="shared" si="68"/>
        <v>0.40476190476190477</v>
      </c>
      <c r="I116" s="298">
        <f t="shared" si="68"/>
        <v>0.40772532188841204</v>
      </c>
      <c r="J116" s="298">
        <f t="shared" si="68"/>
        <v>0.4044725328147788</v>
      </c>
      <c r="K116" s="298">
        <f t="shared" si="68"/>
        <v>0.4107142857142857</v>
      </c>
      <c r="L116" s="298">
        <f t="shared" si="68"/>
        <v>0.41269841269841268</v>
      </c>
      <c r="M116" s="298">
        <f t="shared" si="68"/>
        <v>0.41666666666666669</v>
      </c>
      <c r="N116" s="298">
        <f t="shared" si="68"/>
        <v>0.41318681318681316</v>
      </c>
      <c r="O116" s="298">
        <f t="shared" si="68"/>
        <v>0.41778419641015069</v>
      </c>
      <c r="P116" s="298">
        <f t="shared" si="68"/>
        <v>0.41721698113207545</v>
      </c>
      <c r="Q116" s="298">
        <f t="shared" si="68"/>
        <v>0.41800643086816719</v>
      </c>
      <c r="R116" s="298">
        <f t="shared" si="68"/>
        <v>0.41801418439716315</v>
      </c>
      <c r="S116" s="298">
        <f t="shared" si="68"/>
        <v>0.41800887761572608</v>
      </c>
      <c r="T116" s="298">
        <f t="shared" si="68"/>
        <v>0.41808510638297874</v>
      </c>
      <c r="U116" s="298">
        <f t="shared" si="68"/>
        <v>0.4180232558139535</v>
      </c>
      <c r="V116" s="298">
        <f t="shared" si="68"/>
        <v>0.41297777777777772</v>
      </c>
      <c r="W116" s="298">
        <f t="shared" si="68"/>
        <v>0.41300970873786413</v>
      </c>
      <c r="X116" s="298">
        <f t="shared" si="68"/>
        <v>0.41296137339055794</v>
      </c>
      <c r="Y116" s="298">
        <f t="shared" si="68"/>
        <v>0.41</v>
      </c>
      <c r="Z116" s="298">
        <f t="shared" si="68"/>
        <v>0.41299999999999992</v>
      </c>
      <c r="AA116" s="259">
        <f t="shared" si="68"/>
        <v>0.41684633021458339</v>
      </c>
      <c r="AB116" s="259">
        <f t="shared" si="68"/>
        <v>0.4164634436470509</v>
      </c>
      <c r="AC116" s="259">
        <f t="shared" si="68"/>
        <v>0.47366524321801007</v>
      </c>
      <c r="AD116" s="259">
        <f t="shared" si="68"/>
        <v>0.41522193693723009</v>
      </c>
      <c r="AE116" s="259">
        <f t="shared" si="68"/>
        <v>0.41465785848558934</v>
      </c>
      <c r="AP116" s="240" t="s">
        <v>235</v>
      </c>
      <c r="AQ116" s="264"/>
      <c r="AR116" s="264"/>
      <c r="AU116">
        <v>54.687199999999997</v>
      </c>
    </row>
    <row r="117" spans="1:47">
      <c r="A117" s="240" t="s">
        <v>234</v>
      </c>
      <c r="B117" s="298">
        <f t="shared" si="68"/>
        <v>0.43123287671232885</v>
      </c>
      <c r="C117" s="298">
        <f t="shared" si="68"/>
        <v>0.4</v>
      </c>
      <c r="D117" s="298">
        <f t="shared" si="68"/>
        <v>0.38043478260869568</v>
      </c>
      <c r="E117" s="298">
        <f t="shared" si="68"/>
        <v>0.44865403788634095</v>
      </c>
      <c r="F117" s="298">
        <f t="shared" si="68"/>
        <v>0.40293040293040294</v>
      </c>
      <c r="G117" s="298">
        <f t="shared" si="68"/>
        <v>0.4</v>
      </c>
      <c r="H117" s="298">
        <f t="shared" si="68"/>
        <v>0.40476190476190477</v>
      </c>
      <c r="I117" s="298">
        <f t="shared" si="68"/>
        <v>0.40772532188841204</v>
      </c>
      <c r="J117" s="298">
        <f t="shared" si="68"/>
        <v>0.4044725328147788</v>
      </c>
      <c r="K117" s="298">
        <f t="shared" si="68"/>
        <v>0.4107142857142857</v>
      </c>
      <c r="L117" s="298">
        <f t="shared" si="68"/>
        <v>0.41269841269841268</v>
      </c>
      <c r="M117" s="298">
        <f t="shared" si="68"/>
        <v>0.41666666666666669</v>
      </c>
      <c r="N117" s="298">
        <f t="shared" si="68"/>
        <v>0.41318681318681316</v>
      </c>
      <c r="O117" s="298">
        <f t="shared" si="68"/>
        <v>0.41778419641015069</v>
      </c>
      <c r="P117" s="298">
        <f t="shared" si="68"/>
        <v>0.41721698113207545</v>
      </c>
      <c r="Q117" s="298">
        <f t="shared" si="68"/>
        <v>0.41800643086816719</v>
      </c>
      <c r="R117" s="298">
        <f t="shared" si="68"/>
        <v>0.41801418439716315</v>
      </c>
      <c r="S117" s="298">
        <f t="shared" si="68"/>
        <v>0.41800887761572608</v>
      </c>
      <c r="T117" s="298">
        <f t="shared" si="68"/>
        <v>0.41808510638297874</v>
      </c>
      <c r="U117" s="298">
        <f t="shared" si="68"/>
        <v>0.4180232558139535</v>
      </c>
      <c r="V117" s="298">
        <f t="shared" si="68"/>
        <v>0.41297777777777778</v>
      </c>
      <c r="W117" s="298">
        <f t="shared" si="68"/>
        <v>0.41300970873786408</v>
      </c>
      <c r="X117" s="298">
        <f t="shared" si="68"/>
        <v>0.41296137339055794</v>
      </c>
      <c r="Y117" s="298">
        <f t="shared" si="68"/>
        <v>0.41</v>
      </c>
      <c r="Z117" s="259">
        <f t="shared" si="68"/>
        <v>0.41299999999999998</v>
      </c>
      <c r="AA117" s="259">
        <f t="shared" si="68"/>
        <v>0.41684633021458339</v>
      </c>
      <c r="AB117" s="259">
        <f t="shared" si="68"/>
        <v>0.4164634436470509</v>
      </c>
      <c r="AC117" s="259">
        <f t="shared" si="68"/>
        <v>0.35060412970089339</v>
      </c>
      <c r="AD117" s="259">
        <f t="shared" si="68"/>
        <v>0.41522193693723009</v>
      </c>
      <c r="AE117" s="259">
        <f t="shared" si="68"/>
        <v>0.41465785848558934</v>
      </c>
      <c r="AP117" s="240" t="s">
        <v>236</v>
      </c>
      <c r="AQ117" s="264"/>
      <c r="AR117" s="264"/>
      <c r="AU117">
        <v>78.718400000000003</v>
      </c>
    </row>
    <row r="118" spans="1:47">
      <c r="A118" s="240" t="s">
        <v>46</v>
      </c>
      <c r="B118" s="298">
        <f t="shared" si="68"/>
        <v>0.43123287671232879</v>
      </c>
      <c r="C118" s="298">
        <f t="shared" si="68"/>
        <v>0.4</v>
      </c>
      <c r="D118" s="298">
        <f t="shared" si="68"/>
        <v>0.38043478260869568</v>
      </c>
      <c r="E118" s="298">
        <f t="shared" si="68"/>
        <v>0.44865403788634095</v>
      </c>
      <c r="F118" s="298">
        <f t="shared" si="68"/>
        <v>0.40293040293040294</v>
      </c>
      <c r="G118" s="298">
        <f t="shared" si="68"/>
        <v>0.40000000000000008</v>
      </c>
      <c r="H118" s="298">
        <f t="shared" si="68"/>
        <v>0.40476190476190477</v>
      </c>
      <c r="I118" s="298">
        <f t="shared" si="68"/>
        <v>0.40772532188841204</v>
      </c>
      <c r="J118" s="298">
        <f t="shared" si="68"/>
        <v>0.40447253281477874</v>
      </c>
      <c r="K118" s="298">
        <f t="shared" si="68"/>
        <v>0.4107142857142857</v>
      </c>
      <c r="L118" s="298">
        <f t="shared" si="68"/>
        <v>0.41269841269841268</v>
      </c>
      <c r="M118" s="298">
        <f t="shared" si="68"/>
        <v>0.41666666666666669</v>
      </c>
      <c r="N118" s="298">
        <f t="shared" si="68"/>
        <v>0.41318681318681316</v>
      </c>
      <c r="O118" s="298">
        <f t="shared" si="68"/>
        <v>0.41778419641015063</v>
      </c>
      <c r="P118" s="298">
        <f t="shared" si="68"/>
        <v>0.41721698113207545</v>
      </c>
      <c r="Q118" s="298">
        <f t="shared" si="68"/>
        <v>0.41800643086816719</v>
      </c>
      <c r="R118" s="298">
        <f t="shared" si="68"/>
        <v>0.41801418439716315</v>
      </c>
      <c r="S118" s="298">
        <f t="shared" si="68"/>
        <v>0.41800887761572603</v>
      </c>
      <c r="T118" s="298">
        <f t="shared" si="68"/>
        <v>0.41808510638297874</v>
      </c>
      <c r="U118" s="298">
        <f t="shared" si="68"/>
        <v>0.4180232558139535</v>
      </c>
      <c r="V118" s="298">
        <f t="shared" si="68"/>
        <v>0.41297777777777778</v>
      </c>
      <c r="W118" s="298">
        <f t="shared" si="68"/>
        <v>0.41300970873786408</v>
      </c>
      <c r="X118" s="298">
        <f t="shared" si="68"/>
        <v>0.41296137339055794</v>
      </c>
      <c r="Y118" s="298">
        <f t="shared" si="68"/>
        <v>0.41</v>
      </c>
      <c r="Z118" s="259">
        <f t="shared" si="68"/>
        <v>0.41299999999999998</v>
      </c>
      <c r="AA118" s="259">
        <f t="shared" si="68"/>
        <v>0.41684633021458334</v>
      </c>
      <c r="AB118" s="259">
        <f t="shared" si="68"/>
        <v>0.4164634436470509</v>
      </c>
      <c r="AC118" s="259">
        <f t="shared" si="68"/>
        <v>0.32626167103152731</v>
      </c>
      <c r="AD118" s="259">
        <f t="shared" si="68"/>
        <v>0.41522193693723009</v>
      </c>
      <c r="AE118" s="259">
        <f t="shared" si="68"/>
        <v>0.41465785848558934</v>
      </c>
      <c r="AP118" s="240" t="s">
        <v>237</v>
      </c>
      <c r="AQ118" s="264"/>
      <c r="AR118" s="264"/>
      <c r="AU118">
        <v>17.667000000000002</v>
      </c>
    </row>
    <row r="119" spans="1:47">
      <c r="A119" s="240" t="s">
        <v>235</v>
      </c>
      <c r="B119" s="298">
        <f t="shared" si="68"/>
        <v>0.43123287671232879</v>
      </c>
      <c r="C119" s="298">
        <f t="shared" si="68"/>
        <v>0.4</v>
      </c>
      <c r="D119" s="298">
        <f t="shared" si="68"/>
        <v>0.38043478260869568</v>
      </c>
      <c r="E119" s="298">
        <f t="shared" si="68"/>
        <v>0.44865403788634095</v>
      </c>
      <c r="F119" s="298">
        <f t="shared" si="68"/>
        <v>0.40293040293040294</v>
      </c>
      <c r="G119" s="298">
        <f t="shared" si="68"/>
        <v>0.4</v>
      </c>
      <c r="H119" s="298">
        <f t="shared" si="68"/>
        <v>0.40476190476190471</v>
      </c>
      <c r="I119" s="298">
        <f t="shared" si="68"/>
        <v>0.40772532188841204</v>
      </c>
      <c r="J119" s="298">
        <f t="shared" si="68"/>
        <v>0.4044725328147788</v>
      </c>
      <c r="K119" s="298">
        <f t="shared" si="68"/>
        <v>0.4107142857142857</v>
      </c>
      <c r="L119" s="298">
        <f t="shared" si="68"/>
        <v>0.41269841269841268</v>
      </c>
      <c r="M119" s="298">
        <f t="shared" si="68"/>
        <v>0.41666666666666669</v>
      </c>
      <c r="N119" s="298">
        <f t="shared" si="68"/>
        <v>0.41318681318681316</v>
      </c>
      <c r="O119" s="298">
        <f t="shared" si="68"/>
        <v>0.41778419641015063</v>
      </c>
      <c r="P119" s="298">
        <f t="shared" si="68"/>
        <v>0.41721698113207545</v>
      </c>
      <c r="Q119" s="298">
        <f t="shared" ref="C119:AS122" si="69">Q103/Q87</f>
        <v>0.41800643086816719</v>
      </c>
      <c r="R119" s="298">
        <f t="shared" si="69"/>
        <v>0.41801418439716309</v>
      </c>
      <c r="S119" s="298">
        <f t="shared" si="69"/>
        <v>0.41800887761572603</v>
      </c>
      <c r="T119" s="298">
        <f t="shared" si="69"/>
        <v>0.41808510638297869</v>
      </c>
      <c r="U119" s="298">
        <f t="shared" si="69"/>
        <v>0.4180232558139535</v>
      </c>
      <c r="V119" s="298">
        <f t="shared" si="69"/>
        <v>0.41297777777777772</v>
      </c>
      <c r="W119" s="298">
        <f t="shared" si="69"/>
        <v>0.41300970873786408</v>
      </c>
      <c r="X119" s="298">
        <f t="shared" si="69"/>
        <v>0.41296137339055794</v>
      </c>
      <c r="Y119" s="298">
        <f t="shared" si="69"/>
        <v>0.41</v>
      </c>
      <c r="Z119" s="259">
        <f t="shared" si="69"/>
        <v>0.41299999999999998</v>
      </c>
      <c r="AA119" s="259">
        <f t="shared" si="69"/>
        <v>0.41684633021458339</v>
      </c>
      <c r="AB119" s="259">
        <f t="shared" si="69"/>
        <v>0.41646344364705096</v>
      </c>
      <c r="AC119" s="259">
        <f t="shared" si="69"/>
        <v>0.34164676805406996</v>
      </c>
      <c r="AD119" s="259">
        <f t="shared" si="69"/>
        <v>0.41522193693723003</v>
      </c>
      <c r="AE119" s="259">
        <f t="shared" si="69"/>
        <v>0.41465785848558934</v>
      </c>
      <c r="AP119" s="240" t="s">
        <v>238</v>
      </c>
      <c r="AQ119" s="264"/>
      <c r="AR119" s="264"/>
      <c r="AU119">
        <v>85.438000000000002</v>
      </c>
    </row>
    <row r="120" spans="1:47">
      <c r="A120" s="240" t="s">
        <v>236</v>
      </c>
      <c r="B120" s="298">
        <f t="shared" ref="B120:B122" si="70">B104/B88</f>
        <v>0.43123287671232879</v>
      </c>
      <c r="C120" s="298">
        <f t="shared" si="69"/>
        <v>0.4</v>
      </c>
      <c r="D120" s="298">
        <f t="shared" si="69"/>
        <v>0.38043478260869568</v>
      </c>
      <c r="E120" s="298">
        <f t="shared" si="69"/>
        <v>0.44865403788634095</v>
      </c>
      <c r="F120" s="298">
        <f t="shared" si="69"/>
        <v>0.402930402930403</v>
      </c>
      <c r="G120" s="298">
        <f t="shared" si="69"/>
        <v>0.4</v>
      </c>
      <c r="H120" s="298">
        <f t="shared" si="69"/>
        <v>0.40476190476190477</v>
      </c>
      <c r="I120" s="298">
        <f t="shared" si="69"/>
        <v>0.40772532188841204</v>
      </c>
      <c r="J120" s="298">
        <f t="shared" si="69"/>
        <v>0.4044725328147788</v>
      </c>
      <c r="K120" s="298">
        <f t="shared" si="69"/>
        <v>0.4107142857142857</v>
      </c>
      <c r="L120" s="298">
        <f t="shared" si="69"/>
        <v>0.41269841269841268</v>
      </c>
      <c r="M120" s="298">
        <f t="shared" si="69"/>
        <v>0.41666666666666674</v>
      </c>
      <c r="N120" s="298">
        <f t="shared" si="69"/>
        <v>0.41318681318681316</v>
      </c>
      <c r="O120" s="298">
        <f t="shared" si="69"/>
        <v>0.41778419641015058</v>
      </c>
      <c r="P120" s="298">
        <f t="shared" si="69"/>
        <v>0.41721698113207545</v>
      </c>
      <c r="Q120" s="298">
        <f t="shared" si="69"/>
        <v>0.41800643086816719</v>
      </c>
      <c r="R120" s="298">
        <f t="shared" si="69"/>
        <v>0.41801418439716315</v>
      </c>
      <c r="S120" s="298">
        <f t="shared" si="69"/>
        <v>0.41800887761572608</v>
      </c>
      <c r="T120" s="298">
        <f t="shared" si="69"/>
        <v>0.41808510638297874</v>
      </c>
      <c r="U120" s="298">
        <f t="shared" si="69"/>
        <v>0.41802325581395344</v>
      </c>
      <c r="V120" s="298">
        <f t="shared" si="69"/>
        <v>0.41297777777777778</v>
      </c>
      <c r="W120" s="298">
        <f t="shared" si="69"/>
        <v>0.41300970873786408</v>
      </c>
      <c r="X120" s="298">
        <f t="shared" si="69"/>
        <v>0.41296137339055794</v>
      </c>
      <c r="Y120" s="298">
        <f t="shared" si="69"/>
        <v>0.41</v>
      </c>
      <c r="Z120" s="259">
        <f t="shared" si="69"/>
        <v>0.41299999999999998</v>
      </c>
      <c r="AA120" s="259">
        <f t="shared" si="69"/>
        <v>0.41684633021458339</v>
      </c>
      <c r="AB120" s="259">
        <f t="shared" si="69"/>
        <v>0.41646344364705085</v>
      </c>
      <c r="AC120" s="259">
        <f t="shared" si="69"/>
        <v>0.24259720063135926</v>
      </c>
      <c r="AD120" s="259">
        <f t="shared" si="69"/>
        <v>0.41522193693723009</v>
      </c>
      <c r="AE120" s="259">
        <f t="shared" si="69"/>
        <v>0.41465785848558934</v>
      </c>
      <c r="AP120" s="240" t="s">
        <v>239</v>
      </c>
      <c r="AQ120" s="264"/>
      <c r="AR120" s="264"/>
      <c r="AU120">
        <v>96.171000000000006</v>
      </c>
    </row>
    <row r="121" spans="1:47">
      <c r="A121" s="240" t="s">
        <v>237</v>
      </c>
      <c r="B121" s="298">
        <f t="shared" si="70"/>
        <v>0.43123287671232879</v>
      </c>
      <c r="C121" s="298">
        <f t="shared" si="69"/>
        <v>0.4</v>
      </c>
      <c r="D121" s="298">
        <f t="shared" si="69"/>
        <v>0.38043478260869568</v>
      </c>
      <c r="E121" s="298">
        <f t="shared" si="69"/>
        <v>0.44865403788634095</v>
      </c>
      <c r="F121" s="298">
        <f t="shared" si="69"/>
        <v>0.40293040293040294</v>
      </c>
      <c r="G121" s="298">
        <f t="shared" si="69"/>
        <v>0.4</v>
      </c>
      <c r="H121" s="298">
        <f t="shared" si="69"/>
        <v>0.40476190476190477</v>
      </c>
      <c r="I121" s="298">
        <f t="shared" si="69"/>
        <v>0.40772532188841204</v>
      </c>
      <c r="J121" s="298">
        <f t="shared" si="69"/>
        <v>0.40447253281477885</v>
      </c>
      <c r="K121" s="298">
        <f t="shared" si="69"/>
        <v>0.4107142857142857</v>
      </c>
      <c r="L121" s="298">
        <f t="shared" si="69"/>
        <v>0.41269841269841268</v>
      </c>
      <c r="M121" s="298">
        <f t="shared" si="69"/>
        <v>0.41666666666666674</v>
      </c>
      <c r="N121" s="298">
        <f t="shared" si="69"/>
        <v>0.41318681318681316</v>
      </c>
      <c r="O121" s="298">
        <f t="shared" si="69"/>
        <v>0.41778419641015069</v>
      </c>
      <c r="P121" s="298">
        <f t="shared" si="69"/>
        <v>0.41721698113207545</v>
      </c>
      <c r="Q121" s="298">
        <f t="shared" si="69"/>
        <v>0.41800643086816719</v>
      </c>
      <c r="R121" s="298">
        <f t="shared" si="69"/>
        <v>0.41801418439716315</v>
      </c>
      <c r="S121" s="298">
        <f t="shared" si="69"/>
        <v>0.41800887761572608</v>
      </c>
      <c r="T121" s="298">
        <f t="shared" si="69"/>
        <v>0.4180851063829788</v>
      </c>
      <c r="U121" s="298">
        <f t="shared" si="69"/>
        <v>0.4180232558139535</v>
      </c>
      <c r="V121" s="298">
        <f t="shared" si="69"/>
        <v>0.41297777777777778</v>
      </c>
      <c r="W121" s="298">
        <f t="shared" si="69"/>
        <v>0.41300970873786408</v>
      </c>
      <c r="X121" s="298">
        <f t="shared" si="69"/>
        <v>0.41296137339055794</v>
      </c>
      <c r="Y121" s="298">
        <f t="shared" si="69"/>
        <v>0.41000000000000003</v>
      </c>
      <c r="Z121" s="259">
        <f t="shared" si="69"/>
        <v>0.41299999999999998</v>
      </c>
      <c r="AA121" s="259">
        <f t="shared" si="69"/>
        <v>0.41684633021458339</v>
      </c>
      <c r="AB121" s="259">
        <f t="shared" si="69"/>
        <v>0.4164634436470509</v>
      </c>
      <c r="AC121" s="259">
        <f t="shared" si="69"/>
        <v>0.41615187033605316</v>
      </c>
      <c r="AD121" s="259">
        <f t="shared" si="69"/>
        <v>0.41522193693723014</v>
      </c>
      <c r="AE121" s="259">
        <f t="shared" si="69"/>
        <v>0.41465785848558934</v>
      </c>
      <c r="AP121" s="240" t="s">
        <v>240</v>
      </c>
      <c r="AQ121" s="264"/>
      <c r="AR121" s="264"/>
    </row>
    <row r="122" spans="1:47">
      <c r="A122" s="240" t="s">
        <v>238</v>
      </c>
      <c r="B122" s="298">
        <f t="shared" si="70"/>
        <v>0.43123287671232879</v>
      </c>
      <c r="C122" s="298">
        <f t="shared" si="69"/>
        <v>0.4</v>
      </c>
      <c r="D122" s="298">
        <f t="shared" si="69"/>
        <v>0.38043478260869562</v>
      </c>
      <c r="E122" s="298">
        <f t="shared" si="69"/>
        <v>0.4486540378863409</v>
      </c>
      <c r="F122" s="298">
        <f t="shared" si="69"/>
        <v>0.40293040293040294</v>
      </c>
      <c r="G122" s="298">
        <f t="shared" si="69"/>
        <v>0.4</v>
      </c>
      <c r="H122" s="298">
        <f t="shared" si="69"/>
        <v>0.40476190476190477</v>
      </c>
      <c r="I122" s="298">
        <f t="shared" si="69"/>
        <v>0.40772532188841204</v>
      </c>
      <c r="J122" s="298">
        <f t="shared" si="69"/>
        <v>0.4044725328147788</v>
      </c>
      <c r="K122" s="298">
        <f t="shared" si="69"/>
        <v>0.4107142857142857</v>
      </c>
      <c r="L122" s="298">
        <f t="shared" si="69"/>
        <v>0.41269841269841268</v>
      </c>
      <c r="M122" s="298">
        <f t="shared" si="69"/>
        <v>0.41666666666666663</v>
      </c>
      <c r="N122" s="298">
        <f t="shared" si="69"/>
        <v>0.41318681318681316</v>
      </c>
      <c r="O122" s="298">
        <f t="shared" si="69"/>
        <v>0.41778419641015063</v>
      </c>
      <c r="P122" s="298">
        <f t="shared" si="69"/>
        <v>0.4172169811320755</v>
      </c>
      <c r="Q122" s="298">
        <f t="shared" si="69"/>
        <v>0.41800643086816719</v>
      </c>
      <c r="R122" s="298">
        <f t="shared" si="69"/>
        <v>0.41801418439716309</v>
      </c>
      <c r="S122" s="298">
        <f t="shared" si="69"/>
        <v>0.41800887761572608</v>
      </c>
      <c r="T122" s="298">
        <f t="shared" si="69"/>
        <v>0.41808510638297874</v>
      </c>
      <c r="U122" s="298">
        <f t="shared" si="69"/>
        <v>0.4180232558139535</v>
      </c>
      <c r="V122" s="298">
        <f t="shared" si="69"/>
        <v>0.41297777777777783</v>
      </c>
      <c r="W122" s="298">
        <f t="shared" si="69"/>
        <v>0.41300970873786408</v>
      </c>
      <c r="X122" s="298">
        <f t="shared" si="69"/>
        <v>0.412961373390558</v>
      </c>
      <c r="Y122" s="298">
        <f t="shared" si="69"/>
        <v>0.41</v>
      </c>
      <c r="Z122" s="259">
        <f t="shared" si="69"/>
        <v>0.41299999999999998</v>
      </c>
      <c r="AA122" s="259">
        <f t="shared" si="69"/>
        <v>0.41684633021458339</v>
      </c>
      <c r="AB122" s="259">
        <f t="shared" si="69"/>
        <v>0.4164634436470509</v>
      </c>
      <c r="AC122" s="259">
        <f t="shared" si="69"/>
        <v>0.41615187033605316</v>
      </c>
      <c r="AD122" s="259">
        <f t="shared" si="69"/>
        <v>0.41522193693723009</v>
      </c>
      <c r="AE122" s="259">
        <f t="shared" si="69"/>
        <v>0.41465785848558934</v>
      </c>
      <c r="AP122" s="240" t="s">
        <v>241</v>
      </c>
      <c r="AQ122" s="264"/>
      <c r="AR122" s="264"/>
    </row>
    <row r="123" spans="1:47" ht="15.75" thickBot="1">
      <c r="A123" s="240" t="s">
        <v>255</v>
      </c>
      <c r="B123" s="258">
        <v>0.43123287671232879</v>
      </c>
      <c r="C123" s="258">
        <v>0.4</v>
      </c>
      <c r="D123" s="258">
        <v>0.38043478260869568</v>
      </c>
      <c r="E123" s="258">
        <v>0.44865403788634095</v>
      </c>
      <c r="F123" s="258">
        <v>0.40293040293040294</v>
      </c>
      <c r="G123" s="258">
        <v>0.4</v>
      </c>
      <c r="H123" s="258">
        <v>0.40476190476190477</v>
      </c>
      <c r="I123" s="258">
        <v>0.40772532188841204</v>
      </c>
      <c r="J123" s="258">
        <v>0.4044725328147788</v>
      </c>
      <c r="K123" s="258">
        <v>0.4107142857142857</v>
      </c>
      <c r="L123" s="258">
        <v>0.41269841269841268</v>
      </c>
      <c r="M123" s="258">
        <v>0.41666666666666669</v>
      </c>
      <c r="N123" s="258">
        <v>0.41318681318681316</v>
      </c>
      <c r="O123" s="258">
        <v>0.41778419641015063</v>
      </c>
      <c r="P123" s="258">
        <v>0.41721698113207545</v>
      </c>
      <c r="Q123" s="258">
        <v>0.41800643086816719</v>
      </c>
      <c r="R123" s="258">
        <v>0.41801418439716315</v>
      </c>
      <c r="S123" s="258">
        <v>0.41800887761572608</v>
      </c>
      <c r="T123" s="258">
        <v>0.41808510638297874</v>
      </c>
      <c r="U123" s="258">
        <v>0.4180232558139535</v>
      </c>
      <c r="V123" s="258">
        <v>0.41297777777777778</v>
      </c>
      <c r="W123" s="258">
        <v>0.41300970873786408</v>
      </c>
      <c r="X123" s="258">
        <v>0.41296137339055794</v>
      </c>
      <c r="Y123" s="258">
        <v>0.41</v>
      </c>
      <c r="Z123" s="258">
        <v>0.41299999999999998</v>
      </c>
      <c r="AA123" s="259">
        <f>FORECAST(AA44,H123:Z123,H44:Z44)</f>
        <v>0.41684633021458339</v>
      </c>
      <c r="AB123" s="259">
        <f>FORECAST(AB44,I123:AA123,I44:AA44)</f>
        <v>0.4164634436470509</v>
      </c>
      <c r="AC123" s="259">
        <f>FORECAST(AC44,J123:AB123,J44:AB44)</f>
        <v>0.41615187033605316</v>
      </c>
      <c r="AD123" s="259">
        <f>FORECAST(AD44,K123:AC123,K44:AC44)</f>
        <v>0.41522193693723009</v>
      </c>
      <c r="AE123" s="259">
        <f>FORECAST(AE44,L123:AD123,L44:AD44)</f>
        <v>0.41465785848558934</v>
      </c>
    </row>
    <row r="124" spans="1:47">
      <c r="A124" s="248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  <c r="AA124" s="248"/>
      <c r="AB124" s="248"/>
      <c r="AC124" s="248"/>
      <c r="AD124" s="248"/>
      <c r="AE124" s="248"/>
    </row>
    <row r="125" spans="1:47" ht="15.75" thickBot="1">
      <c r="A125" s="235" t="s">
        <v>256</v>
      </c>
    </row>
    <row r="126" spans="1:47" ht="15.75" thickBot="1">
      <c r="A126" s="236"/>
      <c r="B126" s="237" t="str">
        <f>B$2</f>
        <v xml:space="preserve">93/94 </v>
      </c>
      <c r="C126" s="237" t="str">
        <f t="shared" ref="C126:AE126" si="71">C$2</f>
        <v xml:space="preserve">94/95 </v>
      </c>
      <c r="D126" s="237" t="str">
        <f t="shared" si="71"/>
        <v xml:space="preserve">95/96 </v>
      </c>
      <c r="E126" s="237" t="str">
        <f t="shared" si="71"/>
        <v xml:space="preserve">96/97 </v>
      </c>
      <c r="F126" s="237" t="str">
        <f t="shared" si="71"/>
        <v xml:space="preserve">97/98 </v>
      </c>
      <c r="G126" s="237" t="str">
        <f t="shared" si="71"/>
        <v xml:space="preserve">98/99 </v>
      </c>
      <c r="H126" s="237" t="str">
        <f t="shared" si="71"/>
        <v xml:space="preserve">99/00 </v>
      </c>
      <c r="I126" s="237" t="str">
        <f t="shared" si="71"/>
        <v xml:space="preserve">00/01 </v>
      </c>
      <c r="J126" s="237" t="str">
        <f t="shared" si="71"/>
        <v xml:space="preserve">01/02 </v>
      </c>
      <c r="K126" s="237" t="str">
        <f t="shared" si="71"/>
        <v xml:space="preserve">02/03 </v>
      </c>
      <c r="L126" s="237" t="str">
        <f t="shared" si="71"/>
        <v xml:space="preserve">03/04 </v>
      </c>
      <c r="M126" s="237" t="str">
        <f t="shared" si="71"/>
        <v xml:space="preserve">04/05 </v>
      </c>
      <c r="N126" s="237" t="str">
        <f t="shared" si="71"/>
        <v xml:space="preserve">05/06 </v>
      </c>
      <c r="O126" s="237" t="str">
        <f t="shared" si="71"/>
        <v xml:space="preserve">06/07 </v>
      </c>
      <c r="P126" s="237" t="str">
        <f t="shared" si="71"/>
        <v xml:space="preserve">07/08 </v>
      </c>
      <c r="Q126" s="237" t="str">
        <f t="shared" si="71"/>
        <v xml:space="preserve">08/09 </v>
      </c>
      <c r="R126" s="237" t="str">
        <f t="shared" si="71"/>
        <v xml:space="preserve">09/10 </v>
      </c>
      <c r="S126" s="237" t="str">
        <f t="shared" si="71"/>
        <v xml:space="preserve">10/11 </v>
      </c>
      <c r="T126" s="237" t="str">
        <f t="shared" si="71"/>
        <v xml:space="preserve">11/12 </v>
      </c>
      <c r="U126" s="237" t="str">
        <f t="shared" si="71"/>
        <v xml:space="preserve">12/13 </v>
      </c>
      <c r="V126" s="237" t="str">
        <f t="shared" si="71"/>
        <v xml:space="preserve">13/14 </v>
      </c>
      <c r="W126" s="237" t="str">
        <f t="shared" si="71"/>
        <v xml:space="preserve">14/15 </v>
      </c>
      <c r="X126" s="237" t="str">
        <f t="shared" si="71"/>
        <v xml:space="preserve">15/16 </v>
      </c>
      <c r="Y126" s="237" t="str">
        <f t="shared" si="71"/>
        <v xml:space="preserve">16/17 </v>
      </c>
      <c r="Z126" s="237" t="str">
        <f t="shared" si="71"/>
        <v xml:space="preserve">17/18 </v>
      </c>
      <c r="AA126" s="237" t="str">
        <f t="shared" si="71"/>
        <v xml:space="preserve">18/19 </v>
      </c>
      <c r="AB126" s="237" t="str">
        <f t="shared" si="71"/>
        <v xml:space="preserve">19/20 </v>
      </c>
      <c r="AC126" s="237" t="str">
        <f t="shared" si="71"/>
        <v xml:space="preserve">20/21 </v>
      </c>
      <c r="AD126" s="237" t="str">
        <f t="shared" si="71"/>
        <v>21/22</v>
      </c>
      <c r="AE126" s="237" t="str">
        <f t="shared" si="71"/>
        <v>22/23</v>
      </c>
    </row>
    <row r="127" spans="1:47">
      <c r="A127" s="240" t="s">
        <v>239</v>
      </c>
      <c r="B127" s="241">
        <f>(SUM(T127:X127)/SUM(T$139:X$139))*B$139</f>
        <v>0</v>
      </c>
      <c r="C127" s="241">
        <f t="shared" ref="C127:C138" si="72">(SUM(L127:P127)/SUM(L$139:P$139))*C$139</f>
        <v>0</v>
      </c>
      <c r="D127" s="241">
        <v>0</v>
      </c>
      <c r="E127" s="242">
        <f>'[5]Indonesia Copra Meal Imports'!BL$290</f>
        <v>0</v>
      </c>
      <c r="F127" s="242">
        <f>'[5]Indonesia Copra Meal Imports'!BX$290</f>
        <v>0</v>
      </c>
      <c r="G127" s="242">
        <f>'[5]Indonesia Copra Meal Imports'!CJ$290</f>
        <v>0</v>
      </c>
      <c r="H127" s="242">
        <f>'[5]Indonesia Copra Meal Imports'!CV$290</f>
        <v>0</v>
      </c>
      <c r="I127" s="242">
        <v>1.4</v>
      </c>
      <c r="J127" s="242">
        <v>0</v>
      </c>
      <c r="K127" s="242">
        <v>0</v>
      </c>
      <c r="L127" s="242">
        <v>0.91900000000000004</v>
      </c>
      <c r="M127" s="242">
        <v>0</v>
      </c>
      <c r="N127" s="242">
        <v>0</v>
      </c>
      <c r="O127" s="242">
        <v>0</v>
      </c>
      <c r="P127" s="242">
        <v>0</v>
      </c>
      <c r="Q127" s="242">
        <v>4.8000000000000001E-2</v>
      </c>
      <c r="R127" s="242">
        <v>0</v>
      </c>
      <c r="S127" s="242">
        <v>0</v>
      </c>
      <c r="T127" s="242">
        <v>0.41699999999999998</v>
      </c>
      <c r="U127" s="242">
        <v>0.83099999999999996</v>
      </c>
      <c r="V127" s="242">
        <v>0</v>
      </c>
      <c r="W127" s="242">
        <v>0</v>
      </c>
      <c r="X127" s="242">
        <v>8.8999999999999996E-2</v>
      </c>
      <c r="Y127" s="242">
        <v>0</v>
      </c>
      <c r="Z127" s="242">
        <v>1.5149999999999999</v>
      </c>
      <c r="AA127" s="242">
        <v>1.0309999999999999</v>
      </c>
      <c r="AB127" s="242">
        <v>2.2509999999999999</v>
      </c>
      <c r="AC127" s="242">
        <v>0</v>
      </c>
      <c r="AD127" s="242">
        <v>0.4</v>
      </c>
      <c r="AE127" s="243">
        <f t="shared" ref="AE127:AE137" si="73">(SUM(Y127:AC127)/SUM(Y$139:AC$139))*AE$139</f>
        <v>0</v>
      </c>
    </row>
    <row r="128" spans="1:47">
      <c r="A128" s="240" t="s">
        <v>240</v>
      </c>
      <c r="B128" s="241">
        <f t="shared" ref="B128:B138" si="74">(SUM(T128:X128)/SUM(T$139:X$139))*B$139</f>
        <v>0</v>
      </c>
      <c r="C128" s="241">
        <f t="shared" si="72"/>
        <v>0</v>
      </c>
      <c r="D128" s="241">
        <v>0</v>
      </c>
      <c r="E128" s="242">
        <f>'[5]Indonesia Copra Meal Imports'!BM$290</f>
        <v>0</v>
      </c>
      <c r="F128" s="242">
        <f>'[5]Indonesia Copra Meal Imports'!BY$290</f>
        <v>0</v>
      </c>
      <c r="G128" s="242">
        <f>'[5]Indonesia Copra Meal Imports'!CK$290</f>
        <v>0</v>
      </c>
      <c r="H128" s="242">
        <f>'[5]Indonesia Copra Meal Imports'!CW$290</f>
        <v>0</v>
      </c>
      <c r="I128" s="242">
        <v>0.8</v>
      </c>
      <c r="J128" s="242">
        <v>0</v>
      </c>
      <c r="K128" s="242">
        <v>0</v>
      </c>
      <c r="L128" s="242">
        <v>0</v>
      </c>
      <c r="M128" s="242">
        <v>0</v>
      </c>
      <c r="N128" s="242">
        <v>0</v>
      </c>
      <c r="O128" s="242">
        <v>0</v>
      </c>
      <c r="P128" s="242">
        <v>0</v>
      </c>
      <c r="Q128" s="242">
        <v>0</v>
      </c>
      <c r="R128" s="242">
        <v>0.33</v>
      </c>
      <c r="S128" s="242">
        <v>0</v>
      </c>
      <c r="T128" s="242">
        <v>0</v>
      </c>
      <c r="U128" s="242">
        <v>0.70899999999999996</v>
      </c>
      <c r="V128" s="242">
        <v>0</v>
      </c>
      <c r="W128" s="242">
        <v>0</v>
      </c>
      <c r="X128" s="242">
        <v>0</v>
      </c>
      <c r="Y128" s="242">
        <v>0.115</v>
      </c>
      <c r="Z128" s="242">
        <v>1.649</v>
      </c>
      <c r="AA128" s="242">
        <v>0.73699999999999999</v>
      </c>
      <c r="AB128" s="242">
        <v>2.6429999999999998</v>
      </c>
      <c r="AC128" s="242">
        <v>0.27600000000000002</v>
      </c>
      <c r="AD128" s="242">
        <v>0.6</v>
      </c>
      <c r="AE128" s="243">
        <f t="shared" si="73"/>
        <v>0</v>
      </c>
    </row>
    <row r="129" spans="1:41">
      <c r="A129" s="240" t="s">
        <v>241</v>
      </c>
      <c r="B129" s="241">
        <f t="shared" si="74"/>
        <v>0</v>
      </c>
      <c r="C129" s="241">
        <f t="shared" si="72"/>
        <v>0</v>
      </c>
      <c r="D129" s="241">
        <v>0</v>
      </c>
      <c r="E129" s="242">
        <f>'[5]Indonesia Copra Meal Imports'!BN$290</f>
        <v>0</v>
      </c>
      <c r="F129" s="242">
        <f>'[5]Indonesia Copra Meal Imports'!BZ$290</f>
        <v>0</v>
      </c>
      <c r="G129" s="242">
        <f>'[5]Indonesia Copra Meal Imports'!CL$290</f>
        <v>0</v>
      </c>
      <c r="H129" s="242">
        <f>'[5]Indonesia Copra Meal Imports'!CX$290</f>
        <v>0</v>
      </c>
      <c r="I129" s="242">
        <v>0.2</v>
      </c>
      <c r="J129" s="242">
        <v>0</v>
      </c>
      <c r="K129" s="242">
        <v>0</v>
      </c>
      <c r="L129" s="242">
        <v>0</v>
      </c>
      <c r="M129" s="242">
        <v>0</v>
      </c>
      <c r="N129" s="242">
        <v>0</v>
      </c>
      <c r="O129" s="242">
        <v>0</v>
      </c>
      <c r="P129" s="242">
        <v>0</v>
      </c>
      <c r="Q129" s="242">
        <v>0</v>
      </c>
      <c r="R129" s="242">
        <v>2.1000000000000001E-2</v>
      </c>
      <c r="S129" s="242">
        <v>0</v>
      </c>
      <c r="T129" s="242">
        <v>0</v>
      </c>
      <c r="U129" s="242">
        <v>0</v>
      </c>
      <c r="V129" s="242">
        <v>4.5999999999999999E-2</v>
      </c>
      <c r="W129" s="242">
        <v>0</v>
      </c>
      <c r="X129" s="242">
        <v>0.313</v>
      </c>
      <c r="Y129" s="242">
        <v>0</v>
      </c>
      <c r="Z129" s="242">
        <v>0.29499999999999998</v>
      </c>
      <c r="AA129" s="242">
        <v>0.52700000000000002</v>
      </c>
      <c r="AB129" s="242">
        <v>0.38500000000000001</v>
      </c>
      <c r="AC129" s="242">
        <v>0</v>
      </c>
      <c r="AD129" s="242">
        <v>0.2</v>
      </c>
      <c r="AE129" s="243">
        <f t="shared" si="73"/>
        <v>0</v>
      </c>
    </row>
    <row r="130" spans="1:41">
      <c r="A130" s="240" t="s">
        <v>231</v>
      </c>
      <c r="B130" s="241">
        <f t="shared" si="74"/>
        <v>0</v>
      </c>
      <c r="C130" s="241">
        <f t="shared" si="72"/>
        <v>0</v>
      </c>
      <c r="D130" s="242">
        <f>'[5]Indonesia Copra Meal Imports'!BC$290</f>
        <v>0</v>
      </c>
      <c r="E130" s="242">
        <f>'[5]Indonesia Copra Meal Imports'!BO$290</f>
        <v>0</v>
      </c>
      <c r="F130" s="242">
        <f>'[5]Indonesia Copra Meal Imports'!CA$290</f>
        <v>0</v>
      </c>
      <c r="G130" s="242">
        <f>'[5]Indonesia Copra Meal Imports'!CM$290</f>
        <v>0</v>
      </c>
      <c r="H130" s="242">
        <v>0.50068000000000001</v>
      </c>
      <c r="I130" s="242">
        <v>2.4</v>
      </c>
      <c r="J130" s="242">
        <v>0</v>
      </c>
      <c r="K130" s="242">
        <v>0</v>
      </c>
      <c r="L130" s="242">
        <v>0</v>
      </c>
      <c r="M130" s="242">
        <v>0.05</v>
      </c>
      <c r="N130" s="242">
        <v>0</v>
      </c>
      <c r="O130" s="242">
        <v>0</v>
      </c>
      <c r="P130" s="242">
        <v>0</v>
      </c>
      <c r="Q130" s="242">
        <v>0</v>
      </c>
      <c r="R130" s="242">
        <v>0</v>
      </c>
      <c r="S130" s="242">
        <v>0</v>
      </c>
      <c r="T130" s="242">
        <v>0</v>
      </c>
      <c r="U130" s="242">
        <v>0</v>
      </c>
      <c r="V130" s="242">
        <v>0</v>
      </c>
      <c r="W130" s="242">
        <v>0.14399999999999999</v>
      </c>
      <c r="X130" s="242">
        <v>0</v>
      </c>
      <c r="Y130" s="242">
        <v>0</v>
      </c>
      <c r="Z130" s="242">
        <v>0.57599999999999996</v>
      </c>
      <c r="AA130" s="242">
        <v>0.248</v>
      </c>
      <c r="AB130" s="242">
        <v>0</v>
      </c>
      <c r="AC130" s="242">
        <v>0</v>
      </c>
      <c r="AD130" s="441">
        <v>6.9000000000000006E-2</v>
      </c>
      <c r="AE130" s="243">
        <f t="shared" si="73"/>
        <v>0</v>
      </c>
    </row>
    <row r="131" spans="1:41">
      <c r="A131" s="240" t="s">
        <v>232</v>
      </c>
      <c r="B131" s="241">
        <f t="shared" si="74"/>
        <v>0</v>
      </c>
      <c r="C131" s="241">
        <f t="shared" si="72"/>
        <v>0</v>
      </c>
      <c r="D131" s="242">
        <f>'[5]Indonesia Copra Meal Imports'!BD$290</f>
        <v>0</v>
      </c>
      <c r="E131" s="242">
        <f>'[5]Indonesia Copra Meal Imports'!BP$290</f>
        <v>0</v>
      </c>
      <c r="F131" s="242">
        <f>'[5]Indonesia Copra Meal Imports'!CB$290</f>
        <v>0</v>
      </c>
      <c r="G131" s="242">
        <f>'[5]Indonesia Copra Meal Imports'!CN$290</f>
        <v>0</v>
      </c>
      <c r="H131" s="242">
        <v>0</v>
      </c>
      <c r="I131" s="242">
        <v>2.8</v>
      </c>
      <c r="J131" s="242">
        <v>0</v>
      </c>
      <c r="K131" s="242">
        <v>0</v>
      </c>
      <c r="L131" s="242">
        <v>0</v>
      </c>
      <c r="M131" s="242">
        <v>0</v>
      </c>
      <c r="N131" s="242">
        <v>0</v>
      </c>
      <c r="O131" s="242">
        <v>0</v>
      </c>
      <c r="P131" s="242">
        <v>5.3999999999999999E-2</v>
      </c>
      <c r="Q131" s="242">
        <v>0</v>
      </c>
      <c r="R131" s="242">
        <v>0</v>
      </c>
      <c r="S131" s="242">
        <v>0</v>
      </c>
      <c r="T131" s="242">
        <v>0.08</v>
      </c>
      <c r="U131" s="242">
        <v>0</v>
      </c>
      <c r="V131" s="242">
        <v>0</v>
      </c>
      <c r="W131" s="242">
        <v>0</v>
      </c>
      <c r="X131" s="242">
        <v>0</v>
      </c>
      <c r="Y131" s="242">
        <v>0</v>
      </c>
      <c r="Z131" s="242">
        <v>0.129</v>
      </c>
      <c r="AA131" s="242">
        <v>0.33100000000000002</v>
      </c>
      <c r="AB131" s="242">
        <v>0</v>
      </c>
      <c r="AC131" s="242">
        <v>0</v>
      </c>
      <c r="AD131" s="441">
        <v>0.06</v>
      </c>
      <c r="AE131" s="243">
        <f t="shared" si="73"/>
        <v>0</v>
      </c>
    </row>
    <row r="132" spans="1:41">
      <c r="A132" s="240" t="s">
        <v>233</v>
      </c>
      <c r="B132" s="241">
        <f t="shared" si="74"/>
        <v>0</v>
      </c>
      <c r="C132" s="241">
        <f t="shared" si="72"/>
        <v>0</v>
      </c>
      <c r="D132" s="242">
        <f>'[5]Indonesia Copra Meal Imports'!BE$290</f>
        <v>0</v>
      </c>
      <c r="E132" s="242">
        <f>'[5]Indonesia Copra Meal Imports'!BQ$290</f>
        <v>0</v>
      </c>
      <c r="F132" s="242">
        <f>'[5]Indonesia Copra Meal Imports'!CC$290</f>
        <v>0</v>
      </c>
      <c r="G132" s="242">
        <f>'[5]Indonesia Copra Meal Imports'!CO$290</f>
        <v>0</v>
      </c>
      <c r="H132" s="242">
        <v>1.88419</v>
      </c>
      <c r="I132" s="242">
        <v>5.0999999999999996</v>
      </c>
      <c r="J132" s="242">
        <v>0</v>
      </c>
      <c r="K132" s="242">
        <v>0</v>
      </c>
      <c r="L132" s="242">
        <v>0</v>
      </c>
      <c r="M132" s="242">
        <v>0</v>
      </c>
      <c r="N132" s="242">
        <v>0</v>
      </c>
      <c r="O132" s="242">
        <v>0</v>
      </c>
      <c r="P132" s="242">
        <v>0</v>
      </c>
      <c r="Q132" s="242">
        <v>0</v>
      </c>
      <c r="R132" s="242">
        <v>0</v>
      </c>
      <c r="S132" s="242">
        <v>0</v>
      </c>
      <c r="T132" s="242">
        <v>0</v>
      </c>
      <c r="U132" s="242">
        <v>0</v>
      </c>
      <c r="V132" s="242">
        <v>0</v>
      </c>
      <c r="W132" s="242">
        <v>0</v>
      </c>
      <c r="X132" s="242">
        <v>0.35299999999999998</v>
      </c>
      <c r="Y132" s="242">
        <v>0</v>
      </c>
      <c r="Z132" s="242">
        <v>1.752</v>
      </c>
      <c r="AA132" s="242">
        <v>0.13900000000000001</v>
      </c>
      <c r="AB132" s="242">
        <v>0</v>
      </c>
      <c r="AC132" s="242">
        <v>0</v>
      </c>
      <c r="AD132" s="242">
        <v>0</v>
      </c>
      <c r="AE132" s="243">
        <f t="shared" si="73"/>
        <v>0</v>
      </c>
    </row>
    <row r="133" spans="1:41">
      <c r="A133" s="240" t="s">
        <v>234</v>
      </c>
      <c r="B133" s="241">
        <f t="shared" si="74"/>
        <v>0</v>
      </c>
      <c r="C133" s="241">
        <f t="shared" si="72"/>
        <v>0</v>
      </c>
      <c r="D133" s="242">
        <f>'[5]Indonesia Copra Meal Imports'!BF$290</f>
        <v>0</v>
      </c>
      <c r="E133" s="242">
        <f>'[5]Indonesia Copra Meal Imports'!BR$290</f>
        <v>0</v>
      </c>
      <c r="F133" s="242">
        <f>'[5]Indonesia Copra Meal Imports'!CD$290</f>
        <v>0</v>
      </c>
      <c r="G133" s="242">
        <f>'[5]Indonesia Copra Meal Imports'!CP$290</f>
        <v>0</v>
      </c>
      <c r="H133" s="242">
        <v>0.39002999999999999</v>
      </c>
      <c r="I133" s="242">
        <v>4.2</v>
      </c>
      <c r="J133" s="242">
        <v>0</v>
      </c>
      <c r="K133" s="242">
        <v>0</v>
      </c>
      <c r="L133" s="242">
        <v>0</v>
      </c>
      <c r="M133" s="242">
        <v>0</v>
      </c>
      <c r="N133" s="242">
        <v>0</v>
      </c>
      <c r="O133" s="242">
        <v>0</v>
      </c>
      <c r="P133" s="242">
        <v>0.73899999999999999</v>
      </c>
      <c r="Q133" s="242">
        <v>0</v>
      </c>
      <c r="R133" s="242">
        <v>0</v>
      </c>
      <c r="S133" s="242">
        <v>0</v>
      </c>
      <c r="T133" s="242">
        <v>0</v>
      </c>
      <c r="U133" s="242">
        <v>0</v>
      </c>
      <c r="V133" s="242">
        <v>0</v>
      </c>
      <c r="W133" s="242">
        <v>5.5</v>
      </c>
      <c r="X133" s="242">
        <v>0</v>
      </c>
      <c r="Y133" s="242">
        <v>0</v>
      </c>
      <c r="Z133" s="242">
        <v>0</v>
      </c>
      <c r="AA133" s="242">
        <v>0</v>
      </c>
      <c r="AB133" s="242">
        <v>0.3</v>
      </c>
      <c r="AC133" s="242">
        <v>0</v>
      </c>
      <c r="AD133" s="242">
        <v>0</v>
      </c>
      <c r="AE133" s="243">
        <f t="shared" si="73"/>
        <v>0</v>
      </c>
    </row>
    <row r="134" spans="1:41">
      <c r="A134" s="240" t="s">
        <v>46</v>
      </c>
      <c r="B134" s="241">
        <f t="shared" si="74"/>
        <v>0</v>
      </c>
      <c r="C134" s="241">
        <f t="shared" si="72"/>
        <v>0</v>
      </c>
      <c r="D134" s="242">
        <f>'[5]Indonesia Copra Meal Imports'!BG$290</f>
        <v>0</v>
      </c>
      <c r="E134" s="242">
        <f>'[5]Indonesia Copra Meal Imports'!BS$290</f>
        <v>0</v>
      </c>
      <c r="F134" s="242">
        <f>'[5]Indonesia Copra Meal Imports'!CE$290</f>
        <v>0</v>
      </c>
      <c r="G134" s="242">
        <f>'[5]Indonesia Copra Meal Imports'!CQ$290</f>
        <v>0</v>
      </c>
      <c r="H134" s="242">
        <v>0.12594</v>
      </c>
      <c r="I134" s="242">
        <v>0</v>
      </c>
      <c r="J134" s="242">
        <v>0.34599999999999997</v>
      </c>
      <c r="K134" s="242">
        <v>0</v>
      </c>
      <c r="L134" s="242">
        <v>0</v>
      </c>
      <c r="M134" s="242">
        <v>0</v>
      </c>
      <c r="N134" s="242">
        <v>0</v>
      </c>
      <c r="O134" s="242">
        <v>0</v>
      </c>
      <c r="P134" s="242">
        <v>0</v>
      </c>
      <c r="Q134" s="242">
        <v>0</v>
      </c>
      <c r="R134" s="242">
        <v>0</v>
      </c>
      <c r="S134" s="242">
        <v>0</v>
      </c>
      <c r="T134" s="242">
        <v>0</v>
      </c>
      <c r="U134" s="242">
        <v>0</v>
      </c>
      <c r="V134" s="242">
        <v>0</v>
      </c>
      <c r="W134" s="242">
        <v>0</v>
      </c>
      <c r="X134" s="242">
        <v>0</v>
      </c>
      <c r="Y134" s="242">
        <v>0</v>
      </c>
      <c r="Z134" s="242">
        <v>0.65900000000000003</v>
      </c>
      <c r="AA134" s="242">
        <v>6.3E-2</v>
      </c>
      <c r="AB134" s="242">
        <v>1.1220000000000001</v>
      </c>
      <c r="AC134" s="242">
        <v>0</v>
      </c>
      <c r="AD134" s="242">
        <v>0</v>
      </c>
      <c r="AE134" s="243">
        <f t="shared" si="73"/>
        <v>0</v>
      </c>
    </row>
    <row r="135" spans="1:41">
      <c r="A135" s="240" t="s">
        <v>235</v>
      </c>
      <c r="B135" s="241">
        <f t="shared" si="74"/>
        <v>0</v>
      </c>
      <c r="C135" s="241">
        <f t="shared" si="72"/>
        <v>0</v>
      </c>
      <c r="D135" s="242">
        <f>'[5]Indonesia Copra Meal Imports'!BH$290</f>
        <v>0</v>
      </c>
      <c r="E135" s="242">
        <f>'[5]Indonesia Copra Meal Imports'!BT$290</f>
        <v>0</v>
      </c>
      <c r="F135" s="242">
        <f>'[5]Indonesia Copra Meal Imports'!CF$290</f>
        <v>0</v>
      </c>
      <c r="G135" s="242">
        <f>'[5]Indonesia Copra Meal Imports'!CR$290</f>
        <v>0</v>
      </c>
      <c r="H135" s="242">
        <v>4.7479999999999994E-2</v>
      </c>
      <c r="I135" s="242">
        <v>0</v>
      </c>
      <c r="J135" s="242">
        <v>0</v>
      </c>
      <c r="K135" s="242">
        <v>0</v>
      </c>
      <c r="L135" s="242">
        <v>0</v>
      </c>
      <c r="M135" s="242">
        <v>0</v>
      </c>
      <c r="N135" s="242">
        <v>0</v>
      </c>
      <c r="O135" s="242">
        <v>0</v>
      </c>
      <c r="P135" s="242">
        <v>0.27300000000000002</v>
      </c>
      <c r="Q135" s="242">
        <v>0</v>
      </c>
      <c r="R135" s="242">
        <v>0</v>
      </c>
      <c r="S135" s="242">
        <v>0</v>
      </c>
      <c r="T135" s="242">
        <v>0</v>
      </c>
      <c r="U135" s="242">
        <v>0</v>
      </c>
      <c r="V135" s="242">
        <v>0</v>
      </c>
      <c r="W135" s="242">
        <v>0.11899999999999999</v>
      </c>
      <c r="X135" s="242">
        <v>6.6000000000000003E-2</v>
      </c>
      <c r="Y135" s="242">
        <v>0.314</v>
      </c>
      <c r="Z135" s="242">
        <v>0.53500000000000003</v>
      </c>
      <c r="AA135" s="242">
        <v>0.35</v>
      </c>
      <c r="AB135" s="242">
        <v>0.80900000000000005</v>
      </c>
      <c r="AC135" s="242">
        <v>0.36799999999999999</v>
      </c>
      <c r="AD135" s="441">
        <v>6.7000000000000004E-2</v>
      </c>
      <c r="AE135" s="243">
        <f t="shared" si="73"/>
        <v>0</v>
      </c>
    </row>
    <row r="136" spans="1:41">
      <c r="A136" s="240" t="s">
        <v>236</v>
      </c>
      <c r="B136" s="241">
        <f t="shared" si="74"/>
        <v>0</v>
      </c>
      <c r="C136" s="241">
        <f t="shared" si="72"/>
        <v>0</v>
      </c>
      <c r="D136" s="242">
        <f>'[5]Indonesia Copra Meal Imports'!BI$290</f>
        <v>0</v>
      </c>
      <c r="E136" s="242">
        <f>'[5]Indonesia Copra Meal Imports'!BU$290</f>
        <v>0</v>
      </c>
      <c r="F136" s="242">
        <f>'[5]Indonesia Copra Meal Imports'!CG$290</f>
        <v>0</v>
      </c>
      <c r="G136" s="242">
        <f>'[5]Indonesia Copra Meal Imports'!CS$290</f>
        <v>0</v>
      </c>
      <c r="H136" s="242">
        <v>0.73968</v>
      </c>
      <c r="I136" s="242">
        <v>0.6</v>
      </c>
      <c r="J136" s="242">
        <v>0</v>
      </c>
      <c r="K136" s="242">
        <v>0</v>
      </c>
      <c r="L136" s="242">
        <v>0</v>
      </c>
      <c r="M136" s="242">
        <v>0</v>
      </c>
      <c r="N136" s="242">
        <v>0</v>
      </c>
      <c r="O136" s="242">
        <v>0</v>
      </c>
      <c r="P136" s="242">
        <v>0.02</v>
      </c>
      <c r="Q136" s="242">
        <v>0</v>
      </c>
      <c r="R136" s="242">
        <v>0</v>
      </c>
      <c r="S136" s="242">
        <v>0</v>
      </c>
      <c r="T136" s="242">
        <v>4.3999999999999997E-2</v>
      </c>
      <c r="U136" s="242">
        <v>0.187</v>
      </c>
      <c r="V136" s="242">
        <v>0</v>
      </c>
      <c r="W136" s="242">
        <v>0.05</v>
      </c>
      <c r="X136" s="242">
        <v>0</v>
      </c>
      <c r="Y136" s="242">
        <v>0.13900000000000001</v>
      </c>
      <c r="Z136" s="242">
        <v>0.72499999999999998</v>
      </c>
      <c r="AA136" s="242">
        <v>0.76600000000000001</v>
      </c>
      <c r="AB136" s="242">
        <v>6.6000000000000003E-2</v>
      </c>
      <c r="AC136" s="242">
        <v>0.4</v>
      </c>
      <c r="AD136" s="441">
        <v>6.8000000000000005E-2</v>
      </c>
      <c r="AE136" s="243">
        <f t="shared" si="73"/>
        <v>0</v>
      </c>
    </row>
    <row r="137" spans="1:41">
      <c r="A137" s="240" t="s">
        <v>237</v>
      </c>
      <c r="B137" s="241">
        <f t="shared" si="74"/>
        <v>0</v>
      </c>
      <c r="C137" s="241">
        <f t="shared" si="72"/>
        <v>0</v>
      </c>
      <c r="D137" s="242">
        <f>'[5]Indonesia Copra Meal Imports'!BJ$290</f>
        <v>0</v>
      </c>
      <c r="E137" s="242">
        <f>'[5]Indonesia Copra Meal Imports'!BV$290</f>
        <v>0</v>
      </c>
      <c r="F137" s="242">
        <f>'[5]Indonesia Copra Meal Imports'!CH$290</f>
        <v>0</v>
      </c>
      <c r="G137" s="242">
        <f>'[5]Indonesia Copra Meal Imports'!CT$290</f>
        <v>0</v>
      </c>
      <c r="H137" s="242">
        <v>1.4</v>
      </c>
      <c r="I137" s="242">
        <v>0</v>
      </c>
      <c r="J137" s="242">
        <v>0</v>
      </c>
      <c r="K137" s="242">
        <v>0</v>
      </c>
      <c r="L137" s="242">
        <v>0</v>
      </c>
      <c r="M137" s="242">
        <v>0</v>
      </c>
      <c r="N137" s="242">
        <v>0</v>
      </c>
      <c r="O137" s="242">
        <v>0</v>
      </c>
      <c r="P137" s="242">
        <v>0</v>
      </c>
      <c r="Q137" s="242">
        <v>0</v>
      </c>
      <c r="R137" s="242">
        <v>0</v>
      </c>
      <c r="S137" s="242">
        <v>0.50900000000000001</v>
      </c>
      <c r="T137" s="242">
        <v>5.3999999999999999E-2</v>
      </c>
      <c r="U137" s="242">
        <v>0</v>
      </c>
      <c r="V137" s="242">
        <v>0</v>
      </c>
      <c r="W137" s="242">
        <v>0</v>
      </c>
      <c r="X137" s="242">
        <v>0</v>
      </c>
      <c r="Y137" s="242">
        <v>0.14699999999999999</v>
      </c>
      <c r="Z137" s="242">
        <v>0.66500000000000004</v>
      </c>
      <c r="AA137" s="242">
        <v>0</v>
      </c>
      <c r="AB137" s="242">
        <v>7.0999999999999994E-2</v>
      </c>
      <c r="AC137" s="242">
        <v>0.6</v>
      </c>
      <c r="AD137" s="441">
        <v>0.69599999999999995</v>
      </c>
      <c r="AE137" s="243">
        <f t="shared" si="73"/>
        <v>0</v>
      </c>
    </row>
    <row r="138" spans="1:41">
      <c r="A138" s="240" t="s">
        <v>238</v>
      </c>
      <c r="B138" s="241">
        <f t="shared" si="74"/>
        <v>0</v>
      </c>
      <c r="C138" s="241">
        <f t="shared" si="72"/>
        <v>0</v>
      </c>
      <c r="D138" s="242">
        <f>'[5]Indonesia Copra Meal Imports'!BK$290</f>
        <v>0</v>
      </c>
      <c r="E138" s="242">
        <f>'[5]Indonesia Copra Meal Imports'!BW$290</f>
        <v>0</v>
      </c>
      <c r="F138" s="242">
        <f>'[5]Indonesia Copra Meal Imports'!CI$290</f>
        <v>0</v>
      </c>
      <c r="G138" s="242">
        <f>'[5]Indonesia Copra Meal Imports'!CU$290</f>
        <v>0</v>
      </c>
      <c r="H138" s="242">
        <v>1.4</v>
      </c>
      <c r="I138" s="242">
        <v>0</v>
      </c>
      <c r="J138" s="242">
        <v>0</v>
      </c>
      <c r="K138" s="242">
        <v>0</v>
      </c>
      <c r="L138" s="242">
        <v>0</v>
      </c>
      <c r="M138" s="242">
        <v>0</v>
      </c>
      <c r="N138" s="242">
        <v>0</v>
      </c>
      <c r="O138" s="242">
        <v>0</v>
      </c>
      <c r="P138" s="242">
        <v>0</v>
      </c>
      <c r="Q138" s="242">
        <v>0.14299999999999999</v>
      </c>
      <c r="R138" s="242">
        <v>0</v>
      </c>
      <c r="S138" s="242">
        <v>0</v>
      </c>
      <c r="T138" s="242">
        <v>0</v>
      </c>
      <c r="U138" s="242">
        <v>0</v>
      </c>
      <c r="V138" s="242">
        <v>0</v>
      </c>
      <c r="W138" s="242">
        <v>0</v>
      </c>
      <c r="X138" s="242">
        <v>0</v>
      </c>
      <c r="Y138" s="242">
        <v>5.6000000000000001E-2</v>
      </c>
      <c r="Z138" s="242">
        <v>0.41199999999999998</v>
      </c>
      <c r="AA138" s="242">
        <v>2.2320000000000002</v>
      </c>
      <c r="AB138" s="242">
        <v>0.27800000000000002</v>
      </c>
      <c r="AC138" s="242">
        <v>0.3</v>
      </c>
      <c r="AD138" s="243">
        <f>AD139-SUM(AD127:AD137)</f>
        <v>-6.0000000000000053E-2</v>
      </c>
      <c r="AE138" s="243">
        <f>AE139-SUM(AE127:AE137)</f>
        <v>0</v>
      </c>
    </row>
    <row r="139" spans="1:41" ht="15.75" thickBot="1">
      <c r="A139" s="240" t="s">
        <v>242</v>
      </c>
      <c r="B139" s="242">
        <f>B24</f>
        <v>0</v>
      </c>
      <c r="C139" s="242">
        <f>C24</f>
        <v>0</v>
      </c>
      <c r="D139" s="242">
        <f>D24</f>
        <v>0</v>
      </c>
      <c r="E139" s="242">
        <f t="shared" ref="E139:AB139" si="75">SUM(E127:E138)</f>
        <v>0</v>
      </c>
      <c r="F139" s="242">
        <f t="shared" si="75"/>
        <v>0</v>
      </c>
      <c r="G139" s="242">
        <f t="shared" si="75"/>
        <v>0</v>
      </c>
      <c r="H139" s="242">
        <f t="shared" si="75"/>
        <v>6.4879999999999995</v>
      </c>
      <c r="I139" s="242">
        <f t="shared" si="75"/>
        <v>17.5</v>
      </c>
      <c r="J139" s="242">
        <f t="shared" si="75"/>
        <v>0.34599999999999997</v>
      </c>
      <c r="K139" s="242">
        <f t="shared" si="75"/>
        <v>0</v>
      </c>
      <c r="L139" s="242">
        <f t="shared" si="75"/>
        <v>0.91900000000000004</v>
      </c>
      <c r="M139" s="242">
        <f t="shared" si="75"/>
        <v>0.05</v>
      </c>
      <c r="N139" s="242">
        <f t="shared" si="75"/>
        <v>0</v>
      </c>
      <c r="O139" s="242">
        <f t="shared" si="75"/>
        <v>0</v>
      </c>
      <c r="P139" s="242">
        <f t="shared" si="75"/>
        <v>1.0860000000000001</v>
      </c>
      <c r="Q139" s="242">
        <f t="shared" si="75"/>
        <v>0.191</v>
      </c>
      <c r="R139" s="242">
        <f t="shared" si="75"/>
        <v>0.35100000000000003</v>
      </c>
      <c r="S139" s="242">
        <f t="shared" si="75"/>
        <v>0.50900000000000001</v>
      </c>
      <c r="T139" s="242">
        <f t="shared" si="75"/>
        <v>0.59500000000000008</v>
      </c>
      <c r="U139" s="242">
        <f t="shared" si="75"/>
        <v>1.7270000000000001</v>
      </c>
      <c r="V139" s="242">
        <f t="shared" si="75"/>
        <v>4.5999999999999999E-2</v>
      </c>
      <c r="W139" s="242">
        <f t="shared" si="75"/>
        <v>5.8129999999999997</v>
      </c>
      <c r="X139" s="242">
        <f t="shared" si="75"/>
        <v>0.82099999999999995</v>
      </c>
      <c r="Y139" s="242">
        <f t="shared" si="75"/>
        <v>0.77100000000000013</v>
      </c>
      <c r="Z139" s="242">
        <f t="shared" si="75"/>
        <v>8.9120000000000008</v>
      </c>
      <c r="AA139" s="242">
        <f t="shared" si="75"/>
        <v>6.4240000000000004</v>
      </c>
      <c r="AB139" s="242">
        <f t="shared" si="75"/>
        <v>7.9249999999999989</v>
      </c>
      <c r="AC139" s="242">
        <f>SUM(AC127:AC138)</f>
        <v>1.9440000000000002</v>
      </c>
      <c r="AD139" s="243">
        <f>AD24</f>
        <v>2.1</v>
      </c>
      <c r="AE139" s="243">
        <f>AE24</f>
        <v>0</v>
      </c>
    </row>
    <row r="140" spans="1:41">
      <c r="A140" s="248"/>
      <c r="B140" s="248"/>
      <c r="C140" s="248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8"/>
      <c r="Z140" s="248"/>
      <c r="AA140" s="248"/>
      <c r="AB140" s="248"/>
      <c r="AC140" s="248"/>
      <c r="AD140" s="248"/>
      <c r="AE140" s="248"/>
    </row>
    <row r="141" spans="1:41" ht="15.75" thickBot="1">
      <c r="A141" s="235" t="s">
        <v>257</v>
      </c>
      <c r="AH141" s="360" t="s">
        <v>343</v>
      </c>
      <c r="AI141" s="360"/>
      <c r="AJ141" s="360"/>
      <c r="AK141" s="360"/>
      <c r="AL141" s="360"/>
      <c r="AM141" s="360"/>
      <c r="AN141" s="360"/>
      <c r="AO141" s="360"/>
    </row>
    <row r="142" spans="1:41" ht="15.75" thickBot="1">
      <c r="A142" s="236"/>
      <c r="B142" s="237" t="str">
        <f>B$2</f>
        <v xml:space="preserve">93/94 </v>
      </c>
      <c r="C142" s="237" t="str">
        <f t="shared" ref="C142:AE142" si="76">C$2</f>
        <v xml:space="preserve">94/95 </v>
      </c>
      <c r="D142" s="237" t="str">
        <f t="shared" si="76"/>
        <v xml:space="preserve">95/96 </v>
      </c>
      <c r="E142" s="237" t="str">
        <f t="shared" si="76"/>
        <v xml:space="preserve">96/97 </v>
      </c>
      <c r="F142" s="237" t="str">
        <f t="shared" si="76"/>
        <v xml:space="preserve">97/98 </v>
      </c>
      <c r="G142" s="237" t="str">
        <f t="shared" si="76"/>
        <v xml:space="preserve">98/99 </v>
      </c>
      <c r="H142" s="237" t="str">
        <f t="shared" si="76"/>
        <v xml:space="preserve">99/00 </v>
      </c>
      <c r="I142" s="237" t="str">
        <f t="shared" si="76"/>
        <v xml:space="preserve">00/01 </v>
      </c>
      <c r="J142" s="237" t="str">
        <f t="shared" si="76"/>
        <v xml:space="preserve">01/02 </v>
      </c>
      <c r="K142" s="237" t="str">
        <f t="shared" si="76"/>
        <v xml:space="preserve">02/03 </v>
      </c>
      <c r="L142" s="237" t="str">
        <f t="shared" si="76"/>
        <v xml:space="preserve">03/04 </v>
      </c>
      <c r="M142" s="237" t="str">
        <f t="shared" si="76"/>
        <v xml:space="preserve">04/05 </v>
      </c>
      <c r="N142" s="237" t="str">
        <f t="shared" si="76"/>
        <v xml:space="preserve">05/06 </v>
      </c>
      <c r="O142" s="237" t="str">
        <f t="shared" si="76"/>
        <v xml:space="preserve">06/07 </v>
      </c>
      <c r="P142" s="237" t="str">
        <f t="shared" si="76"/>
        <v xml:space="preserve">07/08 </v>
      </c>
      <c r="Q142" s="237" t="str">
        <f t="shared" si="76"/>
        <v xml:space="preserve">08/09 </v>
      </c>
      <c r="R142" s="237" t="str">
        <f t="shared" si="76"/>
        <v xml:space="preserve">09/10 </v>
      </c>
      <c r="S142" s="237" t="str">
        <f t="shared" si="76"/>
        <v xml:space="preserve">10/11 </v>
      </c>
      <c r="T142" s="237" t="str">
        <f t="shared" si="76"/>
        <v xml:space="preserve">11/12 </v>
      </c>
      <c r="U142" s="237" t="str">
        <f t="shared" si="76"/>
        <v xml:space="preserve">12/13 </v>
      </c>
      <c r="V142" s="237" t="str">
        <f t="shared" si="76"/>
        <v xml:space="preserve">13/14 </v>
      </c>
      <c r="W142" s="237" t="str">
        <f t="shared" si="76"/>
        <v xml:space="preserve">14/15 </v>
      </c>
      <c r="X142" s="237" t="str">
        <f t="shared" si="76"/>
        <v xml:space="preserve">15/16 </v>
      </c>
      <c r="Y142" s="237" t="str">
        <f t="shared" si="76"/>
        <v xml:space="preserve">16/17 </v>
      </c>
      <c r="Z142" s="237" t="str">
        <f t="shared" si="76"/>
        <v xml:space="preserve">17/18 </v>
      </c>
      <c r="AA142" s="237" t="str">
        <f t="shared" si="76"/>
        <v xml:space="preserve">18/19 </v>
      </c>
      <c r="AB142" s="237" t="str">
        <f t="shared" si="76"/>
        <v xml:space="preserve">19/20 </v>
      </c>
      <c r="AC142" s="237" t="str">
        <f t="shared" si="76"/>
        <v xml:space="preserve">20/21 </v>
      </c>
      <c r="AD142" s="237" t="str">
        <f t="shared" si="76"/>
        <v>21/22</v>
      </c>
      <c r="AE142" s="237" t="str">
        <f t="shared" si="76"/>
        <v>22/23</v>
      </c>
      <c r="AH142" s="360" t="s">
        <v>347</v>
      </c>
      <c r="AI142" s="360"/>
      <c r="AJ142" s="360"/>
      <c r="AK142" s="360"/>
      <c r="AL142" s="360"/>
      <c r="AM142" s="226"/>
      <c r="AN142" s="360" t="s">
        <v>348</v>
      </c>
      <c r="AO142" s="360"/>
    </row>
    <row r="143" spans="1:41">
      <c r="A143" s="240" t="s">
        <v>239</v>
      </c>
      <c r="B143" s="290">
        <f t="shared" ref="B143:B154" si="77">(SUM(T143:X143)/SUM(T$155:X$155))*B$155</f>
        <v>0</v>
      </c>
      <c r="C143" s="290">
        <f t="shared" ref="C143:C154" si="78">(SUM(L143:P143)/SUM(L$155:P$155))*C$155</f>
        <v>0</v>
      </c>
      <c r="D143" s="290">
        <f t="shared" ref="D143:G154" si="79">(SUM(M143:Q143)/SUM(M$155:Q$155))*D$155</f>
        <v>0</v>
      </c>
      <c r="E143" s="290">
        <f t="shared" si="79"/>
        <v>0.75595644655513483</v>
      </c>
      <c r="F143" s="290">
        <f t="shared" si="79"/>
        <v>11.576686741724963</v>
      </c>
      <c r="G143" s="290">
        <f t="shared" si="79"/>
        <v>14.361465126130602</v>
      </c>
      <c r="H143" s="146">
        <f>'[2]Ukraine Sun Meal Exports'!DA$290</f>
        <v>41.308477000000025</v>
      </c>
      <c r="I143" s="146">
        <f>'[2]Ukraine Sun Meal Exports'!DM$290</f>
        <v>38.5</v>
      </c>
      <c r="J143" s="146">
        <f>'[2]Ukraine Sun Meal Exports'!DY$290</f>
        <v>64.900000000000006</v>
      </c>
      <c r="K143" s="146">
        <f>'[2]Ukraine Sun Meal Exports'!EK$290</f>
        <v>80.094999999999999</v>
      </c>
      <c r="L143" s="146">
        <f>'[2]Ukraine Sun Meal Exports'!EW$290</f>
        <v>93.688999999999993</v>
      </c>
      <c r="M143" s="146">
        <f>'[2]Ukraine Sun Meal Exports'!FI$290</f>
        <v>71.594999999999999</v>
      </c>
      <c r="N143" s="146">
        <f>'[2]Ukraine Sun Meal Exports'!FU$290</f>
        <v>99.289000000000001</v>
      </c>
      <c r="O143" s="146">
        <f>'[2]Ukraine Sun Meal Exports'!GG$290</f>
        <v>122.80200000000001</v>
      </c>
      <c r="P143" s="146">
        <f>'[2]Ukraine Sun Meal Exports'!GS$290</f>
        <v>111.518</v>
      </c>
      <c r="Q143" s="146">
        <f>'[2]Ukraine Sun Meal Exports'!HE$290</f>
        <v>142.434</v>
      </c>
      <c r="R143" s="146">
        <f>'[2]Ukraine Sun Meal Exports'!HQ$290</f>
        <v>195.221</v>
      </c>
      <c r="S143" s="146">
        <f>'[2]Ukraine Sun Meal Exports'!IC$290</f>
        <v>238.977</v>
      </c>
      <c r="T143" s="146">
        <f>'[2]Ukraine Sun Meal Exports'!IO$290</f>
        <v>288.58699999999999</v>
      </c>
      <c r="U143" s="146">
        <f>'[2]Ukraine Sun Meal Exports'!JA$290</f>
        <v>383.065</v>
      </c>
      <c r="V143" s="146">
        <f>'[2]Ukraine Sun Meal Exports'!JM$290</f>
        <v>288.18099999999998</v>
      </c>
      <c r="W143" s="146">
        <f>'[2]Ukraine Sun Meal Exports'!JY$290</f>
        <v>294.57600000000002</v>
      </c>
      <c r="X143" s="146">
        <f>'[2]Ukraine Sun Meal Exports'!KK$290</f>
        <v>359.68</v>
      </c>
      <c r="Y143" s="146">
        <f>'[2]Ukraine Sun Meal Exports'!KW$290</f>
        <v>353.87</v>
      </c>
      <c r="Z143" s="146">
        <f>'[2]Ukraine Sun Meal Exports'!LI$290</f>
        <v>369.88799999999998</v>
      </c>
      <c r="AA143" s="146">
        <f>'[2]Ukraine Sun Meal Exports'!LU$290</f>
        <v>307.52999999999997</v>
      </c>
      <c r="AB143" s="146">
        <f>'[2]Ukraine Sun Meal Exports'!MG$290</f>
        <v>406.87599999999998</v>
      </c>
      <c r="AC143" s="146">
        <f>'[2]Ukraine Sun Meal Exports'!MS$290</f>
        <v>479.572</v>
      </c>
      <c r="AD143" s="146">
        <f>'[2]Ukraine Sun Meal Exports'!NE$290</f>
        <v>409.28300000000002</v>
      </c>
      <c r="AE143" s="253">
        <f>(SUM(Y143:AC143)/SUM(Y$155:AC$155))*AE$155</f>
        <v>259.03240947239681</v>
      </c>
      <c r="AH143" s="226">
        <v>233.142</v>
      </c>
      <c r="AL143" s="108">
        <f>AH143-AD143</f>
        <v>-176.14100000000002</v>
      </c>
      <c r="AM143" s="108"/>
    </row>
    <row r="144" spans="1:41">
      <c r="A144" s="240" t="s">
        <v>240</v>
      </c>
      <c r="B144" s="290">
        <f t="shared" si="77"/>
        <v>0</v>
      </c>
      <c r="C144" s="290">
        <f t="shared" si="78"/>
        <v>0</v>
      </c>
      <c r="D144" s="290">
        <f t="shared" si="79"/>
        <v>0</v>
      </c>
      <c r="E144" s="290">
        <f t="shared" si="79"/>
        <v>0.97701433556333483</v>
      </c>
      <c r="F144" s="290">
        <f t="shared" si="79"/>
        <v>15.337291243281271</v>
      </c>
      <c r="G144" s="290">
        <f t="shared" si="79"/>
        <v>18.505885506685374</v>
      </c>
      <c r="H144" s="146">
        <f>'[2]Ukraine Sun Meal Exports'!DB$290</f>
        <v>34.590372999999985</v>
      </c>
      <c r="I144" s="146">
        <f>'[2]Ukraine Sun Meal Exports'!DN$290</f>
        <v>50</v>
      </c>
      <c r="J144" s="146">
        <f>'[2]Ukraine Sun Meal Exports'!DZ$290</f>
        <v>80.7</v>
      </c>
      <c r="K144" s="146">
        <f>'[2]Ukraine Sun Meal Exports'!EL$290</f>
        <v>72.256</v>
      </c>
      <c r="L144" s="146">
        <f>'[2]Ukraine Sun Meal Exports'!EX$290</f>
        <v>98.819000000000003</v>
      </c>
      <c r="M144" s="146">
        <f>'[2]Ukraine Sun Meal Exports'!FJ$290</f>
        <v>95.685000000000002</v>
      </c>
      <c r="N144" s="146">
        <f>'[2]Ukraine Sun Meal Exports'!FV$290</f>
        <v>118.006</v>
      </c>
      <c r="O144" s="146">
        <f>'[2]Ukraine Sun Meal Exports'!GH$290</f>
        <v>139.35</v>
      </c>
      <c r="P144" s="146">
        <f>'[2]Ukraine Sun Meal Exports'!GT$290</f>
        <v>182.636</v>
      </c>
      <c r="Q144" s="146">
        <f>'[2]Ukraine Sun Meal Exports'!HF$290</f>
        <v>171.18299999999999</v>
      </c>
      <c r="R144" s="146">
        <f>'[2]Ukraine Sun Meal Exports'!HR$290</f>
        <v>256.38099999999997</v>
      </c>
      <c r="S144" s="146">
        <f>'[2]Ukraine Sun Meal Exports'!ID$290</f>
        <v>324.834</v>
      </c>
      <c r="T144" s="146">
        <f>'[2]Ukraine Sun Meal Exports'!IP$290</f>
        <v>323.56900000000002</v>
      </c>
      <c r="U144" s="146">
        <f>'[2]Ukraine Sun Meal Exports'!JB$290</f>
        <v>373.536</v>
      </c>
      <c r="V144" s="146">
        <f>'[2]Ukraine Sun Meal Exports'!JN$290</f>
        <v>306.40100000000001</v>
      </c>
      <c r="W144" s="146">
        <f>'[2]Ukraine Sun Meal Exports'!JZ$290</f>
        <v>334.06200000000001</v>
      </c>
      <c r="X144" s="146">
        <f>'[2]Ukraine Sun Meal Exports'!KL$290</f>
        <v>386.79500000000002</v>
      </c>
      <c r="Y144" s="146">
        <f>'[2]Ukraine Sun Meal Exports'!KX$290</f>
        <v>514.78200000000004</v>
      </c>
      <c r="Z144" s="146">
        <f>'[2]Ukraine Sun Meal Exports'!LJ$290</f>
        <v>527.93700000000001</v>
      </c>
      <c r="AA144" s="146">
        <f>'[2]Ukraine Sun Meal Exports'!LV$290</f>
        <v>538.25900000000001</v>
      </c>
      <c r="AB144" s="146">
        <f>'[2]Ukraine Sun Meal Exports'!MH$290</f>
        <v>530.21299999999997</v>
      </c>
      <c r="AC144" s="146">
        <f>'[2]Ukraine Sun Meal Exports'!MT$290</f>
        <v>505.89800000000002</v>
      </c>
      <c r="AD144" s="146">
        <f>'[2]Ukraine Sun Meal Exports'!NF$290</f>
        <v>516.34299999999996</v>
      </c>
      <c r="AE144" s="253">
        <f>(SUM(Y144:AC144)/SUM(Y$155:AC$155))*AE$155-25</f>
        <v>328.49540785264787</v>
      </c>
      <c r="AH144" s="226">
        <v>321.43299999999999</v>
      </c>
      <c r="AL144" s="108">
        <f>AH144-AD144</f>
        <v>-194.90999999999997</v>
      </c>
      <c r="AM144" s="108"/>
      <c r="AN144" s="356">
        <v>404.41500000000002</v>
      </c>
      <c r="AO144" s="108">
        <f>AN144-AD144</f>
        <v>-111.92799999999994</v>
      </c>
    </row>
    <row r="145" spans="1:41">
      <c r="A145" s="240" t="s">
        <v>241</v>
      </c>
      <c r="B145" s="290">
        <f t="shared" si="77"/>
        <v>0</v>
      </c>
      <c r="C145" s="290">
        <f t="shared" si="78"/>
        <v>0</v>
      </c>
      <c r="D145" s="290">
        <f t="shared" si="79"/>
        <v>0</v>
      </c>
      <c r="E145" s="290">
        <f t="shared" si="79"/>
        <v>0.93221422204553894</v>
      </c>
      <c r="F145" s="290">
        <f t="shared" si="79"/>
        <v>13.95707150447592</v>
      </c>
      <c r="G145" s="290">
        <f t="shared" si="79"/>
        <v>17.360070149686404</v>
      </c>
      <c r="H145" s="146">
        <f>'[2]Ukraine Sun Meal Exports'!DC$290</f>
        <v>40.042587000000005</v>
      </c>
      <c r="I145" s="146">
        <f>'[2]Ukraine Sun Meal Exports'!DO$290</f>
        <v>50.9</v>
      </c>
      <c r="J145" s="146">
        <f>'[2]Ukraine Sun Meal Exports'!EA$290</f>
        <v>73.2</v>
      </c>
      <c r="K145" s="146">
        <f>'[2]Ukraine Sun Meal Exports'!EM$290</f>
        <v>82.638999999999996</v>
      </c>
      <c r="L145" s="146">
        <f>'[2]Ukraine Sun Meal Exports'!EY$290</f>
        <v>116.747</v>
      </c>
      <c r="M145" s="146">
        <f>'[2]Ukraine Sun Meal Exports'!FK$290</f>
        <v>91.024000000000001</v>
      </c>
      <c r="N145" s="146">
        <f>'[2]Ukraine Sun Meal Exports'!FW$290</f>
        <v>119.764</v>
      </c>
      <c r="O145" s="146">
        <f>'[2]Ukraine Sun Meal Exports'!GI$290</f>
        <v>133.578</v>
      </c>
      <c r="P145" s="146">
        <f>'[2]Ukraine Sun Meal Exports'!GU$290</f>
        <v>147.23500000000001</v>
      </c>
      <c r="Q145" s="146">
        <f>'[2]Ukraine Sun Meal Exports'!HG$290</f>
        <v>178.923</v>
      </c>
      <c r="R145" s="146">
        <f>'[2]Ukraine Sun Meal Exports'!HS$290</f>
        <v>248.27500000000001</v>
      </c>
      <c r="S145" s="146">
        <f>'[2]Ukraine Sun Meal Exports'!IE$290</f>
        <v>269.68799999999999</v>
      </c>
      <c r="T145" s="146">
        <f>'[2]Ukraine Sun Meal Exports'!IQ$290</f>
        <v>336.55399999999997</v>
      </c>
      <c r="U145" s="146">
        <f>'[2]Ukraine Sun Meal Exports'!JC$290</f>
        <v>365.339</v>
      </c>
      <c r="V145" s="146">
        <f>'[2]Ukraine Sun Meal Exports'!JO$290</f>
        <v>354.20600000000002</v>
      </c>
      <c r="W145" s="146">
        <f>'[2]Ukraine Sun Meal Exports'!KA$290</f>
        <v>423.58600000000001</v>
      </c>
      <c r="X145" s="146">
        <f>'[2]Ukraine Sun Meal Exports'!KM$290</f>
        <v>450.33600000000001</v>
      </c>
      <c r="Y145" s="146">
        <f>'[2]Ukraine Sun Meal Exports'!KY$290</f>
        <v>466.69099999999997</v>
      </c>
      <c r="Z145" s="146">
        <f>'[2]Ukraine Sun Meal Exports'!LK$290</f>
        <v>413.44400000000002</v>
      </c>
      <c r="AA145" s="146">
        <f>'[2]Ukraine Sun Meal Exports'!LW$290</f>
        <v>596.39700000000005</v>
      </c>
      <c r="AB145" s="146">
        <f>'[2]Ukraine Sun Meal Exports'!MI$290</f>
        <v>485.42599999999999</v>
      </c>
      <c r="AC145" s="146">
        <f>'[2]Ukraine Sun Meal Exports'!MU$290</f>
        <v>631.26700000000005</v>
      </c>
      <c r="AD145" s="146">
        <f>'[2]Ukraine Sun Meal Exports'!NG$290</f>
        <v>453.22199999999998</v>
      </c>
      <c r="AE145" s="253">
        <f>(SUM(Y145:AC145)/SUM(Y$155:AC$155))*AE$155-25</f>
        <v>325.27204998709755</v>
      </c>
      <c r="AH145" s="226">
        <v>387.56299999999999</v>
      </c>
      <c r="AL145" s="108">
        <f t="shared" ref="AL145:AL147" si="80">AH145-AD145</f>
        <v>-65.658999999999992</v>
      </c>
      <c r="AM145" s="108"/>
      <c r="AN145" s="356">
        <v>379.03100000000001</v>
      </c>
      <c r="AO145" s="108">
        <f t="shared" ref="AO145:AO146" si="81">AN145-AD145</f>
        <v>-74.190999999999974</v>
      </c>
    </row>
    <row r="146" spans="1:41">
      <c r="A146" s="240" t="s">
        <v>231</v>
      </c>
      <c r="B146" s="290">
        <f t="shared" si="77"/>
        <v>0</v>
      </c>
      <c r="C146" s="290">
        <f t="shared" si="78"/>
        <v>0</v>
      </c>
      <c r="D146" s="290">
        <f t="shared" si="79"/>
        <v>0</v>
      </c>
      <c r="E146" s="290">
        <f t="shared" si="79"/>
        <v>0.89540089631759767</v>
      </c>
      <c r="F146" s="290">
        <f t="shared" si="79"/>
        <v>14.039826159550177</v>
      </c>
      <c r="G146" s="290">
        <f t="shared" si="79"/>
        <v>17.487520199918247</v>
      </c>
      <c r="H146" s="146">
        <f>'[2]Ukraine Sun Meal Exports'!DD$290</f>
        <v>26.3</v>
      </c>
      <c r="I146" s="146">
        <f>'[2]Ukraine Sun Meal Exports'!DP$290</f>
        <v>51.7</v>
      </c>
      <c r="J146" s="146">
        <f>'[2]Ukraine Sun Meal Exports'!EB$290</f>
        <v>68.162000000000006</v>
      </c>
      <c r="K146" s="146">
        <f>'[2]Ukraine Sun Meal Exports'!EN$290</f>
        <v>91.063999999999993</v>
      </c>
      <c r="L146" s="146">
        <f>'[2]Ukraine Sun Meal Exports'!EZ$290</f>
        <v>98.156000000000006</v>
      </c>
      <c r="M146" s="146">
        <f>'[2]Ukraine Sun Meal Exports'!FL$290</f>
        <v>85.308999999999997</v>
      </c>
      <c r="N146" s="146">
        <f>'[2]Ukraine Sun Meal Exports'!FX$290</f>
        <v>100.313</v>
      </c>
      <c r="O146" s="146">
        <f>'[2]Ukraine Sun Meal Exports'!GJ$290</f>
        <v>155.35499999999999</v>
      </c>
      <c r="P146" s="146">
        <f>'[2]Ukraine Sun Meal Exports'!GV$290</f>
        <v>149.78899999999999</v>
      </c>
      <c r="Q146" s="146">
        <f>'[2]Ukraine Sun Meal Exports'!HH$290</f>
        <v>192.24</v>
      </c>
      <c r="R146" s="146">
        <f>'[2]Ukraine Sun Meal Exports'!HT$290</f>
        <v>197.38900000000001</v>
      </c>
      <c r="S146" s="146">
        <f>'[2]Ukraine Sun Meal Exports'!IF$290</f>
        <v>288.72300000000001</v>
      </c>
      <c r="T146" s="146">
        <f>'[2]Ukraine Sun Meal Exports'!IR$290</f>
        <v>361.202</v>
      </c>
      <c r="U146" s="146">
        <f>'[2]Ukraine Sun Meal Exports'!JD$290</f>
        <v>370.613</v>
      </c>
      <c r="V146" s="146">
        <f>'[2]Ukraine Sun Meal Exports'!JP$290</f>
        <v>330.30900000000003</v>
      </c>
      <c r="W146" s="146">
        <f>'[2]Ukraine Sun Meal Exports'!KB$290</f>
        <v>302.50200000000001</v>
      </c>
      <c r="X146" s="146">
        <f>'[2]Ukraine Sun Meal Exports'!KN$290</f>
        <v>213.512</v>
      </c>
      <c r="Y146" s="146">
        <f>'[2]Ukraine Sun Meal Exports'!KZ$290</f>
        <v>434.13</v>
      </c>
      <c r="Z146" s="146">
        <f>'[2]Ukraine Sun Meal Exports'!LL$290</f>
        <v>478.041</v>
      </c>
      <c r="AA146" s="146">
        <f>'[2]Ukraine Sun Meal Exports'!LX$290</f>
        <v>501.3</v>
      </c>
      <c r="AB146" s="146">
        <f>'[2]Ukraine Sun Meal Exports'!MJ$290</f>
        <v>665.82899999999995</v>
      </c>
      <c r="AC146" s="146">
        <f>'[2]Ukraine Sun Meal Exports'!MV$290</f>
        <v>287.339</v>
      </c>
      <c r="AD146" s="146">
        <f>'[2]Ukraine Sun Meal Exports'!NH$290</f>
        <v>620.68700000000001</v>
      </c>
      <c r="AE146" s="253">
        <f t="shared" ref="AE146:AE152" si="82">(SUM(Y146:AC146)/SUM(Y$155:AC$155))*AE$155</f>
        <v>319.6666290466174</v>
      </c>
      <c r="AH146" s="226">
        <v>319.19299999999998</v>
      </c>
      <c r="AL146" s="108">
        <f t="shared" si="80"/>
        <v>-301.49400000000003</v>
      </c>
      <c r="AM146" s="108"/>
      <c r="AN146" s="356">
        <v>471.28500000000003</v>
      </c>
      <c r="AO146" s="108">
        <f t="shared" si="81"/>
        <v>-149.40199999999999</v>
      </c>
    </row>
    <row r="147" spans="1:41">
      <c r="A147" s="240" t="s">
        <v>232</v>
      </c>
      <c r="B147" s="290">
        <f t="shared" si="77"/>
        <v>0</v>
      </c>
      <c r="C147" s="290">
        <f t="shared" si="78"/>
        <v>0</v>
      </c>
      <c r="D147" s="290">
        <f t="shared" si="79"/>
        <v>0</v>
      </c>
      <c r="E147" s="290">
        <f t="shared" si="79"/>
        <v>0.89290755901264296</v>
      </c>
      <c r="F147" s="290">
        <f t="shared" si="79"/>
        <v>14.196784488434334</v>
      </c>
      <c r="G147" s="290">
        <f t="shared" si="79"/>
        <v>17.532924647901169</v>
      </c>
      <c r="H147" s="146">
        <f>'[2]Ukraine Sun Meal Exports'!DE$290</f>
        <v>30.4</v>
      </c>
      <c r="I147" s="146">
        <f>'[2]Ukraine Sun Meal Exports'!DQ$290</f>
        <v>36.299999999999997</v>
      </c>
      <c r="J147" s="146">
        <f>'[2]Ukraine Sun Meal Exports'!EC$290</f>
        <v>63.256999999999998</v>
      </c>
      <c r="K147" s="146">
        <f>'[2]Ukraine Sun Meal Exports'!EO$290</f>
        <v>92.346000000000004</v>
      </c>
      <c r="L147" s="146">
        <f>'[2]Ukraine Sun Meal Exports'!FA$290</f>
        <v>86.289000000000001</v>
      </c>
      <c r="M147" s="146">
        <f>'[2]Ukraine Sun Meal Exports'!FM$290</f>
        <v>71.010999999999996</v>
      </c>
      <c r="N147" s="146">
        <f>'[2]Ukraine Sun Meal Exports'!FY$290</f>
        <v>111.749</v>
      </c>
      <c r="O147" s="146">
        <f>'[2]Ukraine Sun Meal Exports'!GK$290</f>
        <v>130.96199999999999</v>
      </c>
      <c r="P147" s="146">
        <f>'[2]Ukraine Sun Meal Exports'!GW$290</f>
        <v>150.673</v>
      </c>
      <c r="Q147" s="146">
        <f>'[2]Ukraine Sun Meal Exports'!HI$290</f>
        <v>199.19499999999999</v>
      </c>
      <c r="R147" s="146">
        <f>'[2]Ukraine Sun Meal Exports'!HU$290</f>
        <v>200.29300000000001</v>
      </c>
      <c r="S147" s="146">
        <f>'[2]Ukraine Sun Meal Exports'!IG$290</f>
        <v>313.36799999999999</v>
      </c>
      <c r="T147" s="146">
        <f>'[2]Ukraine Sun Meal Exports'!IS$290</f>
        <v>328.90199999999999</v>
      </c>
      <c r="U147" s="146">
        <f>'[2]Ukraine Sun Meal Exports'!JE$290</f>
        <v>318.49</v>
      </c>
      <c r="V147" s="146">
        <f>'[2]Ukraine Sun Meal Exports'!JQ$290</f>
        <v>271.41199999999998</v>
      </c>
      <c r="W147" s="146">
        <f>'[2]Ukraine Sun Meal Exports'!KC$290</f>
        <v>335.04899999999998</v>
      </c>
      <c r="X147" s="146">
        <f>'[2]Ukraine Sun Meal Exports'!KO$290</f>
        <v>376.226</v>
      </c>
      <c r="Y147" s="146">
        <f>'[2]Ukraine Sun Meal Exports'!LA$290</f>
        <v>451.51499999999999</v>
      </c>
      <c r="Z147" s="146">
        <f>'[2]Ukraine Sun Meal Exports'!LM$290</f>
        <v>385.17200000000003</v>
      </c>
      <c r="AA147" s="146">
        <f>'[2]Ukraine Sun Meal Exports'!LY$290</f>
        <v>404.94900000000001</v>
      </c>
      <c r="AB147" s="146">
        <f>'[2]Ukraine Sun Meal Exports'!MK$290</f>
        <v>493.57299999999998</v>
      </c>
      <c r="AC147" s="146">
        <f>'[2]Ukraine Sun Meal Exports'!MW$290</f>
        <v>441.36500000000001</v>
      </c>
      <c r="AD147" s="146">
        <f>'[2]Ukraine Sun Meal Exports'!NI$290</f>
        <v>420.14699999999999</v>
      </c>
      <c r="AE147" s="253">
        <f t="shared" si="82"/>
        <v>293.99417209405914</v>
      </c>
      <c r="AH147" s="226">
        <v>163.05000000000001</v>
      </c>
      <c r="AL147" s="108">
        <f t="shared" si="80"/>
        <v>-257.09699999999998</v>
      </c>
      <c r="AM147" s="108"/>
    </row>
    <row r="148" spans="1:41">
      <c r="A148" s="240" t="s">
        <v>233</v>
      </c>
      <c r="B148" s="290">
        <f t="shared" si="77"/>
        <v>0</v>
      </c>
      <c r="C148" s="290">
        <f t="shared" si="78"/>
        <v>0</v>
      </c>
      <c r="D148" s="290">
        <f t="shared" si="79"/>
        <v>0</v>
      </c>
      <c r="E148" s="290">
        <f t="shared" si="79"/>
        <v>0.99865253925683017</v>
      </c>
      <c r="F148" s="290">
        <f t="shared" si="79"/>
        <v>15.345585266844864</v>
      </c>
      <c r="G148" s="290">
        <f t="shared" si="79"/>
        <v>18.996438809164037</v>
      </c>
      <c r="H148" s="146">
        <f>'[2]Ukraine Sun Meal Exports'!DF$290</f>
        <v>34.4</v>
      </c>
      <c r="I148" s="146">
        <f>'[2]Ukraine Sun Meal Exports'!DR$290</f>
        <v>45.8</v>
      </c>
      <c r="J148" s="146">
        <f>'[2]Ukraine Sun Meal Exports'!ED$290</f>
        <v>47.122</v>
      </c>
      <c r="K148" s="146">
        <f>'[2]Ukraine Sun Meal Exports'!EP$290</f>
        <v>100.86799999999999</v>
      </c>
      <c r="L148" s="146">
        <f>'[2]Ukraine Sun Meal Exports'!FB$290</f>
        <v>101.762</v>
      </c>
      <c r="M148" s="146">
        <f>'[2]Ukraine Sun Meal Exports'!FN$290</f>
        <v>98.76</v>
      </c>
      <c r="N148" s="146">
        <f>'[2]Ukraine Sun Meal Exports'!FZ$290</f>
        <v>133.36099999999999</v>
      </c>
      <c r="O148" s="146">
        <f>'[2]Ukraine Sun Meal Exports'!GL$290</f>
        <v>143.76499999999999</v>
      </c>
      <c r="P148" s="146">
        <f>'[2]Ukraine Sun Meal Exports'!GX$290</f>
        <v>111.381</v>
      </c>
      <c r="Q148" s="146">
        <f>'[2]Ukraine Sun Meal Exports'!HJ$290</f>
        <v>230.494</v>
      </c>
      <c r="R148" s="146">
        <f>'[2]Ukraine Sun Meal Exports'!HV$290</f>
        <v>267.76900000000001</v>
      </c>
      <c r="S148" s="146">
        <f>'[2]Ukraine Sun Meal Exports'!IH$290</f>
        <v>321.55599999999998</v>
      </c>
      <c r="T148" s="146">
        <f>'[2]Ukraine Sun Meal Exports'!IT$290</f>
        <v>360.76600000000002</v>
      </c>
      <c r="U148" s="146">
        <f>'[2]Ukraine Sun Meal Exports'!JF$290</f>
        <v>270.64400000000001</v>
      </c>
      <c r="V148" s="146">
        <f>'[2]Ukraine Sun Meal Exports'!JR$290</f>
        <v>359.142</v>
      </c>
      <c r="W148" s="146">
        <f>'[2]Ukraine Sun Meal Exports'!KD$290</f>
        <v>306.25099999999998</v>
      </c>
      <c r="X148" s="146">
        <f>'[2]Ukraine Sun Meal Exports'!KP$290</f>
        <v>384.88200000000001</v>
      </c>
      <c r="Y148" s="146">
        <f>'[2]Ukraine Sun Meal Exports'!LB$290</f>
        <v>484.81</v>
      </c>
      <c r="Z148" s="146">
        <f>'[2]Ukraine Sun Meal Exports'!LN$290</f>
        <v>358.42599999999999</v>
      </c>
      <c r="AA148" s="146">
        <f>'[2]Ukraine Sun Meal Exports'!LZ$290</f>
        <v>456.69600000000003</v>
      </c>
      <c r="AB148" s="146">
        <f>'[2]Ukraine Sun Meal Exports'!ML$290</f>
        <v>574.99400000000003</v>
      </c>
      <c r="AC148" s="146">
        <f>'[2]Ukraine Sun Meal Exports'!MX$290</f>
        <v>400.34500000000003</v>
      </c>
      <c r="AD148" s="146">
        <f>'[2]Ukraine Sun Meal Exports'!NJ$290</f>
        <v>62.122</v>
      </c>
      <c r="AE148" s="253">
        <f t="shared" si="82"/>
        <v>307.3253718617525</v>
      </c>
    </row>
    <row r="149" spans="1:41">
      <c r="A149" s="240" t="s">
        <v>234</v>
      </c>
      <c r="B149" s="290">
        <f t="shared" si="77"/>
        <v>0</v>
      </c>
      <c r="C149" s="290">
        <f t="shared" si="78"/>
        <v>0</v>
      </c>
      <c r="D149" s="290">
        <f t="shared" si="79"/>
        <v>0</v>
      </c>
      <c r="E149" s="290">
        <f t="shared" si="79"/>
        <v>0.9282838935928327</v>
      </c>
      <c r="F149" s="290">
        <f t="shared" si="79"/>
        <v>13.893702880381625</v>
      </c>
      <c r="G149" s="290">
        <f t="shared" si="79"/>
        <v>17.88100090991529</v>
      </c>
      <c r="H149" s="146">
        <f>'[2]Ukraine Sun Meal Exports'!DG$290</f>
        <v>25.9</v>
      </c>
      <c r="I149" s="146">
        <f>'[2]Ukraine Sun Meal Exports'!DS$290</f>
        <v>31.6</v>
      </c>
      <c r="J149" s="146">
        <f>'[2]Ukraine Sun Meal Exports'!EE$290</f>
        <v>49.427999999999997</v>
      </c>
      <c r="K149" s="146">
        <f>'[2]Ukraine Sun Meal Exports'!EQ$290</f>
        <v>71.984999999999999</v>
      </c>
      <c r="L149" s="146">
        <f>'[2]Ukraine Sun Meal Exports'!FC$290</f>
        <v>97.906000000000006</v>
      </c>
      <c r="M149" s="146">
        <f>'[2]Ukraine Sun Meal Exports'!FO$290</f>
        <v>86.582999999999998</v>
      </c>
      <c r="N149" s="146">
        <f>'[2]Ukraine Sun Meal Exports'!GA$290</f>
        <v>135.47900000000001</v>
      </c>
      <c r="O149" s="146">
        <f>'[2]Ukraine Sun Meal Exports'!GM$290</f>
        <v>138.78100000000001</v>
      </c>
      <c r="P149" s="146">
        <f>'[2]Ukraine Sun Meal Exports'!GY$290</f>
        <v>97.730999999999995</v>
      </c>
      <c r="Q149" s="146">
        <f>'[2]Ukraine Sun Meal Exports'!HK$290</f>
        <v>234.072</v>
      </c>
      <c r="R149" s="146">
        <f>'[2]Ukraine Sun Meal Exports'!HW$290</f>
        <v>218.22200000000001</v>
      </c>
      <c r="S149" s="146">
        <f>'[2]Ukraine Sun Meal Exports'!II$290</f>
        <v>284.45400000000001</v>
      </c>
      <c r="T149" s="146">
        <f>'[2]Ukraine Sun Meal Exports'!IU$290</f>
        <v>381.625</v>
      </c>
      <c r="U149" s="146">
        <f>'[2]Ukraine Sun Meal Exports'!JG$290</f>
        <v>276.77</v>
      </c>
      <c r="V149" s="146">
        <f>'[2]Ukraine Sun Meal Exports'!JS$290</f>
        <v>374.16399999999999</v>
      </c>
      <c r="W149" s="146">
        <f>'[2]Ukraine Sun Meal Exports'!KE$290</f>
        <v>328.11399999999998</v>
      </c>
      <c r="X149" s="146">
        <f>'[2]Ukraine Sun Meal Exports'!KQ$290</f>
        <v>328.69299999999998</v>
      </c>
      <c r="Y149" s="146">
        <f>'[2]Ukraine Sun Meal Exports'!LC$290</f>
        <v>470.21699999999998</v>
      </c>
      <c r="Z149" s="146">
        <f>'[2]Ukraine Sun Meal Exports'!LO$290</f>
        <v>487.86200000000002</v>
      </c>
      <c r="AA149" s="146">
        <f>'[2]Ukraine Sun Meal Exports'!MA$290</f>
        <v>404.67599999999999</v>
      </c>
      <c r="AB149" s="146">
        <f>'[2]Ukraine Sun Meal Exports'!MM$290</f>
        <v>366.98700000000002</v>
      </c>
      <c r="AC149" s="146">
        <f>'[2]Ukraine Sun Meal Exports'!MY$290</f>
        <v>471.96699999999998</v>
      </c>
      <c r="AD149" s="146">
        <f>'[2]Ukraine Sun Meal Exports'!NK$290</f>
        <v>47.298999999999999</v>
      </c>
      <c r="AE149" s="253">
        <f t="shared" si="82"/>
        <v>297.38920645337072</v>
      </c>
    </row>
    <row r="150" spans="1:41">
      <c r="A150" s="240" t="s">
        <v>46</v>
      </c>
      <c r="B150" s="290">
        <f t="shared" si="77"/>
        <v>0</v>
      </c>
      <c r="C150" s="290">
        <f t="shared" si="78"/>
        <v>0</v>
      </c>
      <c r="D150" s="290">
        <f t="shared" si="79"/>
        <v>0</v>
      </c>
      <c r="E150" s="290">
        <f t="shared" si="79"/>
        <v>0.93619297574852212</v>
      </c>
      <c r="F150" s="290">
        <f t="shared" si="79"/>
        <v>13.411650233745856</v>
      </c>
      <c r="G150" s="290">
        <f t="shared" si="79"/>
        <v>17.569771651348439</v>
      </c>
      <c r="H150" s="146">
        <f>'[2]Ukraine Sun Meal Exports'!DH$290</f>
        <v>26.2</v>
      </c>
      <c r="I150" s="146">
        <f>'[2]Ukraine Sun Meal Exports'!DT$290</f>
        <v>23.6</v>
      </c>
      <c r="J150" s="146">
        <f>'[2]Ukraine Sun Meal Exports'!EF$290</f>
        <v>45.718000000000004</v>
      </c>
      <c r="K150" s="146">
        <f>'[2]Ukraine Sun Meal Exports'!ER$290</f>
        <v>69.784000000000006</v>
      </c>
      <c r="L150" s="146">
        <f>'[2]Ukraine Sun Meal Exports'!FD$290</f>
        <v>111.67700000000001</v>
      </c>
      <c r="M150" s="146">
        <f>'[2]Ukraine Sun Meal Exports'!FP$290</f>
        <v>76.334000000000003</v>
      </c>
      <c r="N150" s="146">
        <f>'[2]Ukraine Sun Meal Exports'!GB$290</f>
        <v>140.01900000000001</v>
      </c>
      <c r="O150" s="146">
        <f>'[2]Ukraine Sun Meal Exports'!GN$290</f>
        <v>161.99199999999999</v>
      </c>
      <c r="P150" s="146">
        <f>'[2]Ukraine Sun Meal Exports'!GZ$290</f>
        <v>73.02</v>
      </c>
      <c r="Q150" s="146">
        <f>'[2]Ukraine Sun Meal Exports'!HL$290</f>
        <v>225.62899999999999</v>
      </c>
      <c r="R150" s="146">
        <f>'[2]Ukraine Sun Meal Exports'!HX$290</f>
        <v>230.648</v>
      </c>
      <c r="S150" s="146">
        <f>'[2]Ukraine Sun Meal Exports'!IJ$290</f>
        <v>248.203</v>
      </c>
      <c r="T150" s="146">
        <f>'[2]Ukraine Sun Meal Exports'!IV$290</f>
        <v>417.43700000000001</v>
      </c>
      <c r="U150" s="146">
        <f>'[2]Ukraine Sun Meal Exports'!JH$290</f>
        <v>170.297</v>
      </c>
      <c r="V150" s="146">
        <f>'[2]Ukraine Sun Meal Exports'!JT$290</f>
        <v>331.90499999999997</v>
      </c>
      <c r="W150" s="146">
        <f>'[2]Ukraine Sun Meal Exports'!KF$290</f>
        <v>269.48099999999999</v>
      </c>
      <c r="X150" s="146">
        <f>'[2]Ukraine Sun Meal Exports'!KR$290</f>
        <v>418.36200000000002</v>
      </c>
      <c r="Y150" s="146">
        <f>'[2]Ukraine Sun Meal Exports'!LD$290</f>
        <v>460.78500000000003</v>
      </c>
      <c r="Z150" s="146">
        <f>'[2]Ukraine Sun Meal Exports'!LP$290</f>
        <v>376.41199999999998</v>
      </c>
      <c r="AA150" s="146">
        <f>'[2]Ukraine Sun Meal Exports'!MB$290</f>
        <v>526.93100000000004</v>
      </c>
      <c r="AB150" s="146">
        <f>'[2]Ukraine Sun Meal Exports'!MN$290</f>
        <v>526.14599999999996</v>
      </c>
      <c r="AC150" s="146">
        <f>'[2]Ukraine Sun Meal Exports'!MZ$290</f>
        <v>434.29300000000001</v>
      </c>
      <c r="AD150" s="146">
        <f>'[2]Ukraine Sun Meal Exports'!NL$290</f>
        <v>99.522000000000006</v>
      </c>
      <c r="AE150" s="253">
        <f t="shared" si="82"/>
        <v>313.98388046635262</v>
      </c>
    </row>
    <row r="151" spans="1:41">
      <c r="A151" s="240" t="s">
        <v>235</v>
      </c>
      <c r="B151" s="290">
        <f t="shared" si="77"/>
        <v>0</v>
      </c>
      <c r="C151" s="290">
        <f t="shared" si="78"/>
        <v>0</v>
      </c>
      <c r="D151" s="290">
        <f t="shared" si="79"/>
        <v>0</v>
      </c>
      <c r="E151" s="290">
        <f t="shared" si="79"/>
        <v>0.85213462444810706</v>
      </c>
      <c r="F151" s="290">
        <f t="shared" si="79"/>
        <v>12.414468774214695</v>
      </c>
      <c r="G151" s="290">
        <f t="shared" si="79"/>
        <v>16.083687597710647</v>
      </c>
      <c r="H151" s="146">
        <f>'[2]Ukraine Sun Meal Exports'!DI$290</f>
        <v>25.3</v>
      </c>
      <c r="I151" s="146">
        <f>'[2]Ukraine Sun Meal Exports'!DU$290</f>
        <v>34.299999999999997</v>
      </c>
      <c r="J151" s="146">
        <f>'[2]Ukraine Sun Meal Exports'!EG$290</f>
        <v>34.298999999999999</v>
      </c>
      <c r="K151" s="146">
        <f>'[2]Ukraine Sun Meal Exports'!ES$290</f>
        <v>77.114999999999995</v>
      </c>
      <c r="L151" s="146">
        <f>'[2]Ukraine Sun Meal Exports'!FE$290</f>
        <v>110.794</v>
      </c>
      <c r="M151" s="146">
        <f>'[2]Ukraine Sun Meal Exports'!FQ$290</f>
        <v>72.322000000000003</v>
      </c>
      <c r="N151" s="146">
        <f>'[2]Ukraine Sun Meal Exports'!GC$290</f>
        <v>122.73</v>
      </c>
      <c r="O151" s="146">
        <f>'[2]Ukraine Sun Meal Exports'!GO$290</f>
        <v>112.628</v>
      </c>
      <c r="P151" s="146">
        <f>'[2]Ukraine Sun Meal Exports'!HA$290</f>
        <v>56.366999999999997</v>
      </c>
      <c r="Q151" s="146">
        <f>'[2]Ukraine Sun Meal Exports'!HM$290</f>
        <v>224.05600000000001</v>
      </c>
      <c r="R151" s="146">
        <f>'[2]Ukraine Sun Meal Exports'!HY$290</f>
        <v>240.886</v>
      </c>
      <c r="S151" s="146">
        <f>'[2]Ukraine Sun Meal Exports'!IK$290</f>
        <v>235.702</v>
      </c>
      <c r="T151" s="146">
        <f>'[2]Ukraine Sun Meal Exports'!IW$290</f>
        <v>336.85599999999999</v>
      </c>
      <c r="U151" s="146">
        <f>'[2]Ukraine Sun Meal Exports'!JI$290</f>
        <v>127.88</v>
      </c>
      <c r="V151" s="146">
        <f>'[2]Ukraine Sun Meal Exports'!JU$290</f>
        <v>312.42500000000001</v>
      </c>
      <c r="W151" s="146">
        <f>'[2]Ukraine Sun Meal Exports'!KG$290</f>
        <v>265.31900000000002</v>
      </c>
      <c r="X151" s="146">
        <f>'[2]Ukraine Sun Meal Exports'!KS$290</f>
        <v>382.44400000000002</v>
      </c>
      <c r="Y151" s="146">
        <f>'[2]Ukraine Sun Meal Exports'!LE$290</f>
        <v>392.00200000000001</v>
      </c>
      <c r="Z151" s="146">
        <f>'[2]Ukraine Sun Meal Exports'!LQ$290</f>
        <v>312.142</v>
      </c>
      <c r="AA151" s="146">
        <f>'[2]Ukraine Sun Meal Exports'!MC$290</f>
        <v>310.90300000000002</v>
      </c>
      <c r="AB151" s="146">
        <f>'[2]Ukraine Sun Meal Exports'!MO$290</f>
        <v>378.58300000000003</v>
      </c>
      <c r="AC151" s="146">
        <f>'[2]Ukraine Sun Meal Exports'!NA$290</f>
        <v>257.22500000000002</v>
      </c>
      <c r="AD151" s="146">
        <f>'[2]Ukraine Sun Meal Exports'!NM$290</f>
        <v>111.467</v>
      </c>
      <c r="AE151" s="253">
        <f t="shared" si="82"/>
        <v>222.98426287015192</v>
      </c>
    </row>
    <row r="152" spans="1:41">
      <c r="A152" s="240" t="s">
        <v>236</v>
      </c>
      <c r="B152" s="290">
        <f t="shared" si="77"/>
        <v>0</v>
      </c>
      <c r="C152" s="290">
        <f t="shared" si="78"/>
        <v>0</v>
      </c>
      <c r="D152" s="290">
        <f t="shared" si="79"/>
        <v>0</v>
      </c>
      <c r="E152" s="290">
        <f t="shared" si="79"/>
        <v>0.82582957803025225</v>
      </c>
      <c r="F152" s="290">
        <f t="shared" si="79"/>
        <v>11.280728572154578</v>
      </c>
      <c r="G152" s="290">
        <f t="shared" si="79"/>
        <v>15.327868218140077</v>
      </c>
      <c r="H152" s="146">
        <f>'[2]Ukraine Sun Meal Exports'!DJ$290</f>
        <v>25.8</v>
      </c>
      <c r="I152" s="146">
        <f>'[2]Ukraine Sun Meal Exports'!DV$290</f>
        <v>34.4</v>
      </c>
      <c r="J152" s="146">
        <f>'[2]Ukraine Sun Meal Exports'!EH$290</f>
        <v>34.624000000000002</v>
      </c>
      <c r="K152" s="146">
        <f>'[2]Ukraine Sun Meal Exports'!ET$290</f>
        <v>49.280999999999999</v>
      </c>
      <c r="L152" s="146">
        <f>'[2]Ukraine Sun Meal Exports'!FF$290</f>
        <v>82.754000000000005</v>
      </c>
      <c r="M152" s="146">
        <f>'[2]Ukraine Sun Meal Exports'!FR$290</f>
        <v>48.423000000000002</v>
      </c>
      <c r="N152" s="146">
        <f>'[2]Ukraine Sun Meal Exports'!GD$290</f>
        <v>119.35</v>
      </c>
      <c r="O152" s="146">
        <f>'[2]Ukraine Sun Meal Exports'!GP$290</f>
        <v>107.43600000000001</v>
      </c>
      <c r="P152" s="146">
        <f>'[2]Ukraine Sun Meal Exports'!HB$290</f>
        <v>82.691999999999993</v>
      </c>
      <c r="Q152" s="146">
        <f>'[2]Ukraine Sun Meal Exports'!HN$290</f>
        <v>198.75899999999999</v>
      </c>
      <c r="R152" s="146">
        <f>'[2]Ukraine Sun Meal Exports'!HZ$290</f>
        <v>225.072</v>
      </c>
      <c r="S152" s="146">
        <f>'[2]Ukraine Sun Meal Exports'!IL$290</f>
        <v>176.261</v>
      </c>
      <c r="T152" s="146">
        <f>'[2]Ukraine Sun Meal Exports'!IX$290</f>
        <v>359.67899999999997</v>
      </c>
      <c r="U152" s="146">
        <f>'[2]Ukraine Sun Meal Exports'!JJ$290</f>
        <v>133.761</v>
      </c>
      <c r="V152" s="146">
        <f>'[2]Ukraine Sun Meal Exports'!JV$290</f>
        <v>393.72199999999998</v>
      </c>
      <c r="W152" s="146">
        <f>'[2]Ukraine Sun Meal Exports'!KH$290</f>
        <v>245.35900000000001</v>
      </c>
      <c r="X152" s="146">
        <f>'[2]Ukraine Sun Meal Exports'!KT$290</f>
        <v>274.42399999999998</v>
      </c>
      <c r="Y152" s="146">
        <f>'[2]Ukraine Sun Meal Exports'!LF$290</f>
        <v>385.94200000000001</v>
      </c>
      <c r="Z152" s="146">
        <f>'[2]Ukraine Sun Meal Exports'!LR$290</f>
        <v>224.33699999999999</v>
      </c>
      <c r="AA152" s="146">
        <f>'[2]Ukraine Sun Meal Exports'!MD$290</f>
        <v>347.07900000000001</v>
      </c>
      <c r="AB152" s="146">
        <f>'[2]Ukraine Sun Meal Exports'!MP$290</f>
        <v>468.98599999999999</v>
      </c>
      <c r="AC152" s="146">
        <f>'[2]Ukraine Sun Meal Exports'!NB$290</f>
        <v>228.477</v>
      </c>
      <c r="AD152" s="146">
        <f>'[2]Ukraine Sun Meal Exports'!NN$290</f>
        <v>152.65799999999999</v>
      </c>
      <c r="AE152" s="253">
        <f t="shared" si="82"/>
        <v>223.51995836523966</v>
      </c>
    </row>
    <row r="153" spans="1:41">
      <c r="A153" s="240" t="s">
        <v>237</v>
      </c>
      <c r="B153" s="290">
        <f t="shared" si="77"/>
        <v>0</v>
      </c>
      <c r="C153" s="290">
        <f t="shared" si="78"/>
        <v>0</v>
      </c>
      <c r="D153" s="290">
        <f t="shared" si="79"/>
        <v>0</v>
      </c>
      <c r="E153" s="290">
        <f t="shared" si="79"/>
        <v>0.59918814504826479</v>
      </c>
      <c r="F153" s="290">
        <f t="shared" si="79"/>
        <v>7.9767521802860912</v>
      </c>
      <c r="G153" s="290">
        <f t="shared" si="79"/>
        <v>9.7786889140619913</v>
      </c>
      <c r="H153" s="146">
        <f>'[2]Ukraine Sun Meal Exports'!DK$290</f>
        <v>10.9</v>
      </c>
      <c r="I153" s="146">
        <f>'[2]Ukraine Sun Meal Exports'!DW$290</f>
        <v>20.6</v>
      </c>
      <c r="J153" s="146">
        <f>'[2]Ukraine Sun Meal Exports'!EI$290</f>
        <v>6.585</v>
      </c>
      <c r="K153" s="146">
        <f>'[2]Ukraine Sun Meal Exports'!EU$290</f>
        <v>26.995999999999999</v>
      </c>
      <c r="L153" s="146">
        <f>'[2]Ukraine Sun Meal Exports'!FG$290</f>
        <v>59.771999999999998</v>
      </c>
      <c r="M153" s="146">
        <f>'[2]Ukraine Sun Meal Exports'!FS$290</f>
        <v>32.003999999999998</v>
      </c>
      <c r="N153" s="146">
        <f>'[2]Ukraine Sun Meal Exports'!GE$290</f>
        <v>97.216999999999999</v>
      </c>
      <c r="O153" s="146">
        <f>'[2]Ukraine Sun Meal Exports'!GQ$290</f>
        <v>92.174999999999997</v>
      </c>
      <c r="P153" s="146">
        <f>'[2]Ukraine Sun Meal Exports'!HC$290</f>
        <v>38.953000000000003</v>
      </c>
      <c r="Q153" s="146">
        <f>'[2]Ukraine Sun Meal Exports'!HO$290</f>
        <v>169.81</v>
      </c>
      <c r="R153" s="146">
        <f>'[2]Ukraine Sun Meal Exports'!IA$290</f>
        <v>133.904</v>
      </c>
      <c r="S153" s="146">
        <f>'[2]Ukraine Sun Meal Exports'!IM$290</f>
        <v>123.93300000000001</v>
      </c>
      <c r="T153" s="146">
        <f>'[2]Ukraine Sun Meal Exports'!IY$290</f>
        <v>198.458</v>
      </c>
      <c r="U153" s="146">
        <f>'[2]Ukraine Sun Meal Exports'!JK$290</f>
        <v>31.529</v>
      </c>
      <c r="V153" s="146">
        <f>'[2]Ukraine Sun Meal Exports'!JW$290</f>
        <v>176.90199999999999</v>
      </c>
      <c r="W153" s="146">
        <f>'[2]Ukraine Sun Meal Exports'!KI$290</f>
        <v>100.443</v>
      </c>
      <c r="X153" s="146">
        <f>'[2]Ukraine Sun Meal Exports'!KU$290</f>
        <v>94.998999999999995</v>
      </c>
      <c r="Y153" s="146">
        <f>'[2]Ukraine Sun Meal Exports'!LG$290</f>
        <v>217.245</v>
      </c>
      <c r="Z153" s="146">
        <f>'[2]Ukraine Sun Meal Exports'!LS$290</f>
        <v>109.733</v>
      </c>
      <c r="AA153" s="146">
        <f>'[2]Ukraine Sun Meal Exports'!ME$290</f>
        <v>280.33199999999999</v>
      </c>
      <c r="AB153" s="146">
        <f>'[2]Ukraine Sun Meal Exports'!MQ$290</f>
        <v>171.215</v>
      </c>
      <c r="AC153" s="146">
        <f>'[2]Ukraine Sun Meal Exports'!NC$290</f>
        <v>162.01499999999999</v>
      </c>
      <c r="AD153" s="146">
        <f>'[2]Ukraine Sun Meal Exports'!NO$290</f>
        <v>281.75200000000001</v>
      </c>
      <c r="AE153" s="253">
        <f>(SUM(Y153:AC153)/SUM(Y$155:AC$155))*AE$155+50</f>
        <v>177.0406053832061</v>
      </c>
    </row>
    <row r="154" spans="1:41">
      <c r="A154" s="240" t="s">
        <v>238</v>
      </c>
      <c r="B154" s="290">
        <f t="shared" si="77"/>
        <v>0</v>
      </c>
      <c r="C154" s="290">
        <f t="shared" si="78"/>
        <v>0</v>
      </c>
      <c r="D154" s="290">
        <f t="shared" si="79"/>
        <v>0</v>
      </c>
      <c r="E154" s="290">
        <f t="shared" si="79"/>
        <v>0.40622478438094234</v>
      </c>
      <c r="F154" s="290">
        <f t="shared" si="79"/>
        <v>6.5694519549056372</v>
      </c>
      <c r="G154" s="290">
        <f t="shared" si="79"/>
        <v>9.1146782693377109</v>
      </c>
      <c r="H154" s="146">
        <f>'[2]Ukraine Sun Meal Exports'!DL$290</f>
        <v>25.8</v>
      </c>
      <c r="I154" s="146">
        <f>'[2]Ukraine Sun Meal Exports'!DX$290</f>
        <v>17</v>
      </c>
      <c r="J154" s="146">
        <f>'[2]Ukraine Sun Meal Exports'!EJ$290</f>
        <v>33.945999999999998</v>
      </c>
      <c r="K154" s="146">
        <f>'[2]Ukraine Sun Meal Exports'!EV$290</f>
        <v>30.8</v>
      </c>
      <c r="L154" s="146">
        <f>'[2]Ukraine Sun Meal Exports'!FH$290</f>
        <v>32.457999999999998</v>
      </c>
      <c r="M154" s="146">
        <f>'[2]Ukraine Sun Meal Exports'!FT$290</f>
        <v>39.463000000000001</v>
      </c>
      <c r="N154" s="146">
        <f>'[2]Ukraine Sun Meal Exports'!GF$290</f>
        <v>44.353999999999999</v>
      </c>
      <c r="O154" s="146">
        <f>'[2]Ukraine Sun Meal Exports'!GR$290</f>
        <v>70.811999999999998</v>
      </c>
      <c r="P154" s="146">
        <f>'[2]Ukraine Sun Meal Exports'!HD$290</f>
        <v>42.469000000000001</v>
      </c>
      <c r="Q154" s="146">
        <f>'[2]Ukraine Sun Meal Exports'!HP$290</f>
        <v>101.43899999999999</v>
      </c>
      <c r="R154" s="146">
        <f>'[2]Ukraine Sun Meal Exports'!IB$290</f>
        <v>101.64</v>
      </c>
      <c r="S154" s="146">
        <f>'[2]Ukraine Sun Meal Exports'!IN$290</f>
        <v>143.833</v>
      </c>
      <c r="T154" s="146">
        <f>'[2]Ukraine Sun Meal Exports'!IZ$290</f>
        <v>230.517</v>
      </c>
      <c r="U154" s="146">
        <f>'[2]Ukraine Sun Meal Exports'!JL$290</f>
        <v>149.22999999999999</v>
      </c>
      <c r="V154" s="146">
        <f>'[2]Ukraine Sun Meal Exports'!JX$290</f>
        <v>189.21</v>
      </c>
      <c r="W154" s="146">
        <f>'[2]Ukraine Sun Meal Exports'!KJ$290</f>
        <v>146.95099999999999</v>
      </c>
      <c r="X154" s="146">
        <f>'[2]Ukraine Sun Meal Exports'!KV$290</f>
        <v>175.172</v>
      </c>
      <c r="Y154" s="146">
        <f>'[2]Ukraine Sun Meal Exports'!LH$290</f>
        <v>194.803</v>
      </c>
      <c r="Z154" s="146">
        <f>'[2]Ukraine Sun Meal Exports'!LT$290</f>
        <v>132.52099999999999</v>
      </c>
      <c r="AA154" s="146">
        <f>'[2]Ukraine Sun Meal Exports'!MF$290</f>
        <v>112.854</v>
      </c>
      <c r="AB154" s="146">
        <f>'[2]Ukraine Sun Meal Exports'!MR$290</f>
        <v>96.022999999999996</v>
      </c>
      <c r="AC154" s="146">
        <f>'[2]Ukraine Sun Meal Exports'!ND$290</f>
        <v>65.671000000000006</v>
      </c>
      <c r="AD154" s="146">
        <f>'[2]Ukraine Sun Meal Exports'!NP$290</f>
        <v>344.04700000000003</v>
      </c>
      <c r="AE154" s="253">
        <f>AE155-SUM(AE143:AE153)</f>
        <v>81.296046147107518</v>
      </c>
    </row>
    <row r="155" spans="1:41" ht="15.75" thickBot="1">
      <c r="A155" s="299" t="s">
        <v>242</v>
      </c>
      <c r="B155" s="146">
        <f t="shared" ref="B155:G155" si="83">B27</f>
        <v>0</v>
      </c>
      <c r="C155" s="146">
        <f t="shared" si="83"/>
        <v>0</v>
      </c>
      <c r="D155" s="146">
        <f t="shared" si="83"/>
        <v>0</v>
      </c>
      <c r="E155" s="146">
        <f t="shared" si="83"/>
        <v>10</v>
      </c>
      <c r="F155" s="146">
        <f t="shared" si="83"/>
        <v>150</v>
      </c>
      <c r="G155" s="146">
        <f t="shared" si="83"/>
        <v>190</v>
      </c>
      <c r="H155" s="146">
        <f t="shared" ref="H155:AB155" si="84">SUM(H143:H154)</f>
        <v>346.94143700000006</v>
      </c>
      <c r="I155" s="146">
        <f t="shared" si="84"/>
        <v>434.7000000000001</v>
      </c>
      <c r="J155" s="146">
        <f t="shared" si="84"/>
        <v>601.94100000000014</v>
      </c>
      <c r="K155" s="146">
        <f t="shared" si="84"/>
        <v>845.22899999999993</v>
      </c>
      <c r="L155" s="146">
        <f t="shared" si="84"/>
        <v>1090.8230000000001</v>
      </c>
      <c r="M155" s="146">
        <f t="shared" si="84"/>
        <v>868.51299999999992</v>
      </c>
      <c r="N155" s="146">
        <f t="shared" si="84"/>
        <v>1341.6310000000001</v>
      </c>
      <c r="O155" s="146">
        <f t="shared" si="84"/>
        <v>1509.6359999999997</v>
      </c>
      <c r="P155" s="146">
        <f t="shared" si="84"/>
        <v>1244.4639999999999</v>
      </c>
      <c r="Q155" s="146">
        <f t="shared" si="84"/>
        <v>2268.2339999999995</v>
      </c>
      <c r="R155" s="146">
        <f t="shared" si="84"/>
        <v>2515.6999999999998</v>
      </c>
      <c r="S155" s="146">
        <f t="shared" si="84"/>
        <v>2969.5320000000002</v>
      </c>
      <c r="T155" s="146">
        <f t="shared" si="84"/>
        <v>3924.1519999999996</v>
      </c>
      <c r="U155" s="146">
        <f t="shared" si="84"/>
        <v>2971.154</v>
      </c>
      <c r="V155" s="146">
        <f t="shared" si="84"/>
        <v>3687.9790000000003</v>
      </c>
      <c r="W155" s="146">
        <f t="shared" si="84"/>
        <v>3351.6930000000002</v>
      </c>
      <c r="X155" s="146">
        <f t="shared" si="84"/>
        <v>3845.5249999999996</v>
      </c>
      <c r="Y155" s="146">
        <f t="shared" si="84"/>
        <v>4826.7919999999995</v>
      </c>
      <c r="Z155" s="146">
        <f t="shared" si="84"/>
        <v>4175.915</v>
      </c>
      <c r="AA155" s="146">
        <f t="shared" si="84"/>
        <v>4787.9059999999999</v>
      </c>
      <c r="AB155" s="146">
        <f t="shared" si="84"/>
        <v>5164.8509999999997</v>
      </c>
      <c r="AC155" s="146">
        <f>SUM(AC143:AC154)</f>
        <v>4365.4340000000011</v>
      </c>
      <c r="AD155" s="146">
        <f>SUM(AD143:AD154)</f>
        <v>3518.5489999999995</v>
      </c>
      <c r="AE155" s="253">
        <f>AE27</f>
        <v>3150</v>
      </c>
    </row>
    <row r="156" spans="1:41">
      <c r="A156" s="248"/>
      <c r="B156" s="248"/>
      <c r="C156" s="248"/>
      <c r="D156" s="248"/>
      <c r="E156" s="248"/>
      <c r="F156" s="263"/>
      <c r="G156" s="263"/>
      <c r="H156" s="263"/>
      <c r="I156" s="263"/>
      <c r="J156" s="263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  <c r="AD156" s="248"/>
      <c r="AE156" s="248"/>
    </row>
    <row r="157" spans="1:41" ht="15.75" thickBot="1">
      <c r="A157" s="235" t="s">
        <v>258</v>
      </c>
      <c r="D157" s="264"/>
      <c r="E157" s="264"/>
      <c r="F157" s="264"/>
      <c r="G157" s="264"/>
      <c r="H157" s="264"/>
      <c r="I157" s="264"/>
      <c r="J157" s="264"/>
    </row>
    <row r="158" spans="1:41" ht="15.75" thickBot="1">
      <c r="A158" s="236"/>
      <c r="B158" s="237" t="str">
        <f>B$2</f>
        <v xml:space="preserve">93/94 </v>
      </c>
      <c r="C158" s="237" t="str">
        <f t="shared" ref="C158:AE158" si="85">C$2</f>
        <v xml:space="preserve">94/95 </v>
      </c>
      <c r="D158" s="237" t="str">
        <f t="shared" si="85"/>
        <v xml:space="preserve">95/96 </v>
      </c>
      <c r="E158" s="237" t="str">
        <f t="shared" si="85"/>
        <v xml:space="preserve">96/97 </v>
      </c>
      <c r="F158" s="237" t="str">
        <f t="shared" si="85"/>
        <v xml:space="preserve">97/98 </v>
      </c>
      <c r="G158" s="237" t="str">
        <f t="shared" si="85"/>
        <v xml:space="preserve">98/99 </v>
      </c>
      <c r="H158" s="237" t="str">
        <f t="shared" si="85"/>
        <v xml:space="preserve">99/00 </v>
      </c>
      <c r="I158" s="237" t="str">
        <f t="shared" si="85"/>
        <v xml:space="preserve">00/01 </v>
      </c>
      <c r="J158" s="237" t="str">
        <f t="shared" si="85"/>
        <v xml:space="preserve">01/02 </v>
      </c>
      <c r="K158" s="237" t="str">
        <f t="shared" si="85"/>
        <v xml:space="preserve">02/03 </v>
      </c>
      <c r="L158" s="237" t="str">
        <f t="shared" si="85"/>
        <v xml:space="preserve">03/04 </v>
      </c>
      <c r="M158" s="237" t="str">
        <f t="shared" si="85"/>
        <v xml:space="preserve">04/05 </v>
      </c>
      <c r="N158" s="237" t="str">
        <f t="shared" si="85"/>
        <v xml:space="preserve">05/06 </v>
      </c>
      <c r="O158" s="237" t="str">
        <f t="shared" si="85"/>
        <v xml:space="preserve">06/07 </v>
      </c>
      <c r="P158" s="237" t="str">
        <f t="shared" si="85"/>
        <v xml:space="preserve">07/08 </v>
      </c>
      <c r="Q158" s="237" t="str">
        <f t="shared" si="85"/>
        <v xml:space="preserve">08/09 </v>
      </c>
      <c r="R158" s="237" t="str">
        <f t="shared" si="85"/>
        <v xml:space="preserve">09/10 </v>
      </c>
      <c r="S158" s="237" t="str">
        <f t="shared" si="85"/>
        <v xml:space="preserve">10/11 </v>
      </c>
      <c r="T158" s="237" t="str">
        <f t="shared" si="85"/>
        <v xml:space="preserve">11/12 </v>
      </c>
      <c r="U158" s="237" t="str">
        <f t="shared" si="85"/>
        <v xml:space="preserve">12/13 </v>
      </c>
      <c r="V158" s="237" t="str">
        <f t="shared" si="85"/>
        <v xml:space="preserve">13/14 </v>
      </c>
      <c r="W158" s="237" t="str">
        <f t="shared" si="85"/>
        <v xml:space="preserve">14/15 </v>
      </c>
      <c r="X158" s="237" t="str">
        <f t="shared" si="85"/>
        <v xml:space="preserve">15/16 </v>
      </c>
      <c r="Y158" s="237" t="str">
        <f t="shared" si="85"/>
        <v xml:space="preserve">16/17 </v>
      </c>
      <c r="Z158" s="237" t="str">
        <f t="shared" si="85"/>
        <v xml:space="preserve">17/18 </v>
      </c>
      <c r="AA158" s="237" t="str">
        <f t="shared" si="85"/>
        <v xml:space="preserve">18/19 </v>
      </c>
      <c r="AB158" s="237" t="str">
        <f t="shared" si="85"/>
        <v xml:space="preserve">19/20 </v>
      </c>
      <c r="AC158" s="237" t="str">
        <f t="shared" si="85"/>
        <v xml:space="preserve">20/21 </v>
      </c>
      <c r="AD158" s="237" t="str">
        <f t="shared" si="85"/>
        <v>21/22</v>
      </c>
      <c r="AE158" s="237" t="str">
        <f t="shared" si="85"/>
        <v>22/23</v>
      </c>
    </row>
    <row r="159" spans="1:41">
      <c r="A159" s="240" t="s">
        <v>239</v>
      </c>
      <c r="B159" s="290">
        <f t="shared" ref="B159:Y159" si="86">B22+B95+B130-B143-B175</f>
        <v>101.25014019372412</v>
      </c>
      <c r="C159" s="290">
        <f t="shared" si="86"/>
        <v>49.351406604956793</v>
      </c>
      <c r="D159" s="290">
        <f t="shared" si="86"/>
        <v>36.874869043791755</v>
      </c>
      <c r="E159" s="290">
        <f t="shared" si="86"/>
        <v>41.771744524714173</v>
      </c>
      <c r="F159" s="290">
        <f t="shared" si="86"/>
        <v>7.494331445682775</v>
      </c>
      <c r="G159" s="290">
        <f t="shared" si="86"/>
        <v>32.685023637914341</v>
      </c>
      <c r="H159" s="290">
        <f t="shared" si="86"/>
        <v>6.1949751799665895</v>
      </c>
      <c r="I159" s="290">
        <f t="shared" si="86"/>
        <v>35.079750028998959</v>
      </c>
      <c r="J159" s="290">
        <f t="shared" si="86"/>
        <v>-6.3599943293965566E-2</v>
      </c>
      <c r="K159" s="290">
        <f t="shared" si="86"/>
        <v>-4.1102072880540774</v>
      </c>
      <c r="L159" s="290">
        <f t="shared" si="86"/>
        <v>-18.705053511705682</v>
      </c>
      <c r="M159" s="290">
        <f t="shared" si="86"/>
        <v>-26.701250000000002</v>
      </c>
      <c r="N159" s="290">
        <f t="shared" si="86"/>
        <v>-28.051020588107562</v>
      </c>
      <c r="O159" s="290">
        <f t="shared" si="86"/>
        <v>-66.021329669711349</v>
      </c>
      <c r="P159" s="290">
        <f t="shared" si="86"/>
        <v>-4.3680954493964448</v>
      </c>
      <c r="Q159" s="290">
        <f t="shared" si="86"/>
        <v>-44.282648615131073</v>
      </c>
      <c r="R159" s="290">
        <f t="shared" si="86"/>
        <v>-61.93424083180458</v>
      </c>
      <c r="S159" s="290">
        <f t="shared" si="86"/>
        <v>-73.741539041477751</v>
      </c>
      <c r="T159" s="290">
        <f t="shared" si="86"/>
        <v>-48.972831004301426</v>
      </c>
      <c r="U159" s="290">
        <f t="shared" si="86"/>
        <v>-115.03158394013448</v>
      </c>
      <c r="V159" s="290">
        <f t="shared" si="86"/>
        <v>-23.402279354205138</v>
      </c>
      <c r="W159" s="290">
        <f t="shared" si="86"/>
        <v>-14.420271426600948</v>
      </c>
      <c r="X159" s="290">
        <f t="shared" si="86"/>
        <v>-77.914730934301701</v>
      </c>
      <c r="Y159" s="290">
        <f t="shared" si="86"/>
        <v>49.102670044526349</v>
      </c>
      <c r="Z159" s="253">
        <f>Y186+Z95+Z127-Z143-Z175</f>
        <v>13.77343041556145</v>
      </c>
      <c r="AA159" s="253">
        <f>AA22+AA95+AA127-AA143-AA175</f>
        <v>181.81557553051852</v>
      </c>
      <c r="AB159" s="253">
        <f>AB22+AB95+AB127-AB143-AB175</f>
        <v>113.61298605613445</v>
      </c>
      <c r="AC159" s="253">
        <f>(SUM(X159:AB159)/SUM(X$171:AB$171))*AC$171</f>
        <v>158.81603813374915</v>
      </c>
      <c r="AD159" s="253">
        <f>AD22+AD95+AD127-AD143-AD175</f>
        <v>-68.457535470537891</v>
      </c>
      <c r="AE159" s="253">
        <f>AE22+AE95+AE127-AE143-AE175</f>
        <v>93.750975274540394</v>
      </c>
    </row>
    <row r="160" spans="1:41">
      <c r="A160" s="240" t="s">
        <v>240</v>
      </c>
      <c r="B160" s="290">
        <f t="shared" ref="B160:Y167" si="87">B175+B96+B131-B144-B176</f>
        <v>115.91659583178696</v>
      </c>
      <c r="C160" s="290">
        <f t="shared" si="87"/>
        <v>83.166685060515761</v>
      </c>
      <c r="D160" s="290">
        <f t="shared" si="87"/>
        <v>110.6307035619665</v>
      </c>
      <c r="E160" s="290">
        <f t="shared" si="87"/>
        <v>77.041682955726486</v>
      </c>
      <c r="F160" s="290">
        <f t="shared" si="87"/>
        <v>74.571351176033232</v>
      </c>
      <c r="G160" s="290">
        <f t="shared" si="87"/>
        <v>79.38594747471916</v>
      </c>
      <c r="H160" s="290">
        <f t="shared" si="87"/>
        <v>71.676507135875781</v>
      </c>
      <c r="I160" s="290">
        <f t="shared" si="87"/>
        <v>79.932837221404895</v>
      </c>
      <c r="J160" s="290">
        <f t="shared" si="87"/>
        <v>25.500088737429778</v>
      </c>
      <c r="K160" s="290">
        <f t="shared" si="87"/>
        <v>65.774266561168091</v>
      </c>
      <c r="L160" s="290">
        <f t="shared" si="87"/>
        <v>29.33134965034963</v>
      </c>
      <c r="M160" s="290">
        <f t="shared" si="87"/>
        <v>17.062035573122529</v>
      </c>
      <c r="N160" s="290">
        <f t="shared" si="87"/>
        <v>35.616857142857128</v>
      </c>
      <c r="O160" s="290">
        <f t="shared" si="87"/>
        <v>43.492682926829275</v>
      </c>
      <c r="P160" s="290">
        <f t="shared" si="87"/>
        <v>9.3170143561174061</v>
      </c>
      <c r="Q160" s="290">
        <f t="shared" si="87"/>
        <v>23.800744116013234</v>
      </c>
      <c r="R160" s="290">
        <f t="shared" si="87"/>
        <v>9.3368042614662698</v>
      </c>
      <c r="S160" s="290">
        <f t="shared" si="87"/>
        <v>-35.458047976011983</v>
      </c>
      <c r="T160" s="290">
        <f t="shared" si="87"/>
        <v>20.787060207398241</v>
      </c>
      <c r="U160" s="290">
        <f t="shared" si="87"/>
        <v>-21.436695648496649</v>
      </c>
      <c r="V160" s="290">
        <f t="shared" si="87"/>
        <v>56.296851843470641</v>
      </c>
      <c r="W160" s="290">
        <f t="shared" si="87"/>
        <v>33.530302481893727</v>
      </c>
      <c r="X160" s="290">
        <f t="shared" si="87"/>
        <v>-16.71287194841085</v>
      </c>
      <c r="Y160" s="290">
        <f t="shared" si="87"/>
        <v>-6.8217877984085362</v>
      </c>
      <c r="Z160" s="253">
        <f t="shared" ref="Z160:AC170" si="88">Z175+Z96+Z128-Z144-Z176</f>
        <v>-0.28391037567098465</v>
      </c>
      <c r="AA160" s="253">
        <f t="shared" si="88"/>
        <v>99.316028635409566</v>
      </c>
      <c r="AB160" s="253">
        <f t="shared" si="88"/>
        <v>154.48121489256482</v>
      </c>
      <c r="AC160" s="253">
        <f t="shared" ref="AC160:AC161" si="89">(SUM(X160:AB160)/SUM(X$171:AB$171))*AC$171</f>
        <v>130.26252982981688</v>
      </c>
      <c r="AD160" s="253">
        <f t="shared" ref="AD160:AE170" si="90">AD175+AD96+AD128-AD144-AD176</f>
        <v>-66.576113756335644</v>
      </c>
      <c r="AE160" s="253">
        <f t="shared" si="90"/>
        <v>129.98009765214033</v>
      </c>
    </row>
    <row r="161" spans="1:31">
      <c r="A161" s="240" t="s">
        <v>241</v>
      </c>
      <c r="B161" s="290">
        <f t="shared" si="87"/>
        <v>111.10646259456905</v>
      </c>
      <c r="C161" s="290">
        <f t="shared" si="87"/>
        <v>79.870507302358092</v>
      </c>
      <c r="D161" s="290">
        <f t="shared" si="87"/>
        <v>106.63821018545778</v>
      </c>
      <c r="E161" s="290">
        <f t="shared" si="87"/>
        <v>82.028843983624654</v>
      </c>
      <c r="F161" s="290">
        <f t="shared" si="87"/>
        <v>81.832387777485579</v>
      </c>
      <c r="G161" s="290">
        <f t="shared" si="87"/>
        <v>67.242204899697128</v>
      </c>
      <c r="H161" s="290">
        <f t="shared" si="87"/>
        <v>54.90993495916166</v>
      </c>
      <c r="I161" s="290">
        <f t="shared" si="87"/>
        <v>76.294131758084404</v>
      </c>
      <c r="J161" s="290">
        <f t="shared" si="87"/>
        <v>28.791019082243096</v>
      </c>
      <c r="K161" s="290">
        <f t="shared" si="87"/>
        <v>49.914561573701612</v>
      </c>
      <c r="L161" s="290">
        <f t="shared" si="87"/>
        <v>8.5472890442890268</v>
      </c>
      <c r="M161" s="290">
        <f t="shared" si="87"/>
        <v>23.007620553359686</v>
      </c>
      <c r="N161" s="290">
        <f t="shared" si="87"/>
        <v>39.132623376623357</v>
      </c>
      <c r="O161" s="290">
        <f t="shared" si="87"/>
        <v>47.387853658536585</v>
      </c>
      <c r="P161" s="290">
        <f t="shared" si="87"/>
        <v>37.075546389543618</v>
      </c>
      <c r="Q161" s="290">
        <f t="shared" si="87"/>
        <v>26.535848639008286</v>
      </c>
      <c r="R161" s="290">
        <f t="shared" si="87"/>
        <v>12.797968580715064</v>
      </c>
      <c r="S161" s="290">
        <f t="shared" si="87"/>
        <v>23.641175412293876</v>
      </c>
      <c r="T161" s="290">
        <f t="shared" si="87"/>
        <v>12.763056183253511</v>
      </c>
      <c r="U161" s="290">
        <f t="shared" si="87"/>
        <v>-35.671388886539511</v>
      </c>
      <c r="V161" s="290">
        <f t="shared" si="87"/>
        <v>-6.5424831008453452</v>
      </c>
      <c r="W161" s="290">
        <f t="shared" si="87"/>
        <v>-47.349308265453146</v>
      </c>
      <c r="X161" s="290">
        <f t="shared" si="87"/>
        <v>-111.59009350529726</v>
      </c>
      <c r="Y161" s="290">
        <f t="shared" si="87"/>
        <v>53.522085764810015</v>
      </c>
      <c r="Z161" s="253">
        <f t="shared" si="88"/>
        <v>96.292829159212772</v>
      </c>
      <c r="AA161" s="253">
        <f t="shared" si="88"/>
        <v>25.589569281313914</v>
      </c>
      <c r="AB161" s="253">
        <f t="shared" si="88"/>
        <v>183.77134979540682</v>
      </c>
      <c r="AC161" s="253">
        <f t="shared" si="89"/>
        <v>140.2353723897788</v>
      </c>
      <c r="AD161" s="253">
        <f t="shared" si="90"/>
        <v>-14.649153674836839</v>
      </c>
      <c r="AE161" s="253">
        <f t="shared" si="90"/>
        <v>126.65503689189859</v>
      </c>
    </row>
    <row r="162" spans="1:31">
      <c r="A162" s="240" t="s">
        <v>231</v>
      </c>
      <c r="B162" s="290">
        <f t="shared" si="87"/>
        <v>105.56903751405731</v>
      </c>
      <c r="C162" s="290">
        <f t="shared" si="87"/>
        <v>75.297060662914319</v>
      </c>
      <c r="D162" s="290">
        <f t="shared" si="87"/>
        <v>116.03988813659113</v>
      </c>
      <c r="E162" s="290">
        <f t="shared" si="87"/>
        <v>69.003703464204506</v>
      </c>
      <c r="F162" s="290">
        <f t="shared" si="87"/>
        <v>58.565643567745312</v>
      </c>
      <c r="G162" s="290">
        <f t="shared" si="87"/>
        <v>62.96176799570874</v>
      </c>
      <c r="H162" s="290">
        <f t="shared" si="87"/>
        <v>73.817088967233644</v>
      </c>
      <c r="I162" s="290">
        <f t="shared" si="87"/>
        <v>67.602927927727237</v>
      </c>
      <c r="J162" s="290">
        <f t="shared" si="87"/>
        <v>27.988934935671509</v>
      </c>
      <c r="K162" s="290">
        <f t="shared" si="87"/>
        <v>33.890633403591835</v>
      </c>
      <c r="L162" s="290">
        <f t="shared" si="87"/>
        <v>33.441319347319322</v>
      </c>
      <c r="M162" s="290">
        <f t="shared" si="87"/>
        <v>24.275980237154144</v>
      </c>
      <c r="N162" s="290">
        <f t="shared" si="87"/>
        <v>63.662064935064919</v>
      </c>
      <c r="O162" s="290">
        <f t="shared" si="87"/>
        <v>32.327926829268307</v>
      </c>
      <c r="P162" s="290">
        <f t="shared" si="87"/>
        <v>46.692524105421072</v>
      </c>
      <c r="Q162" s="290">
        <f t="shared" si="87"/>
        <v>34.564344648130231</v>
      </c>
      <c r="R162" s="290">
        <f t="shared" si="87"/>
        <v>76.136081256771448</v>
      </c>
      <c r="S162" s="290">
        <f t="shared" si="87"/>
        <v>11.721977511244404</v>
      </c>
      <c r="T162" s="290">
        <f t="shared" si="87"/>
        <v>11.639704070577352</v>
      </c>
      <c r="U162" s="290">
        <f t="shared" si="87"/>
        <v>-29.976587347232218</v>
      </c>
      <c r="V162" s="290">
        <f t="shared" si="87"/>
        <v>32.876979601402965</v>
      </c>
      <c r="W162" s="290">
        <f t="shared" si="87"/>
        <v>62.906400923980016</v>
      </c>
      <c r="X162" s="290">
        <f t="shared" si="87"/>
        <v>127.76174481805629</v>
      </c>
      <c r="Y162" s="290">
        <f t="shared" si="87"/>
        <v>112.47389036251104</v>
      </c>
      <c r="Z162" s="253">
        <f t="shared" si="88"/>
        <v>-31.107480143112696</v>
      </c>
      <c r="AA162" s="253">
        <f t="shared" si="88"/>
        <v>133.08761611104177</v>
      </c>
      <c r="AB162" s="253">
        <f t="shared" si="88"/>
        <v>-7.7897571968195507</v>
      </c>
      <c r="AC162" s="146">
        <f>AC177+AC98+AC130-AC146-AC178</f>
        <v>321.62828461538464</v>
      </c>
      <c r="AD162" s="253">
        <f t="shared" si="90"/>
        <v>-187.57519349311303</v>
      </c>
      <c r="AE162" s="253">
        <f t="shared" si="90"/>
        <v>125.63473141525486</v>
      </c>
    </row>
    <row r="163" spans="1:31">
      <c r="A163" s="240" t="s">
        <v>232</v>
      </c>
      <c r="B163" s="290">
        <f t="shared" si="87"/>
        <v>77.083647760510416</v>
      </c>
      <c r="C163" s="290">
        <f t="shared" si="87"/>
        <v>54.283927454659164</v>
      </c>
      <c r="D163" s="290">
        <f t="shared" si="87"/>
        <v>89.766705916985615</v>
      </c>
      <c r="E163" s="290">
        <f t="shared" si="87"/>
        <v>39.750529725486629</v>
      </c>
      <c r="F163" s="290">
        <f t="shared" si="87"/>
        <v>42.44669178893794</v>
      </c>
      <c r="G163" s="290">
        <f t="shared" si="87"/>
        <v>39.978802125444908</v>
      </c>
      <c r="H163" s="290">
        <f t="shared" si="87"/>
        <v>44.379489299423554</v>
      </c>
      <c r="I163" s="290">
        <f t="shared" si="87"/>
        <v>73.182974070602953</v>
      </c>
      <c r="J163" s="290">
        <f t="shared" si="87"/>
        <v>23.879182106096586</v>
      </c>
      <c r="K163" s="290">
        <f t="shared" si="87"/>
        <v>32.400153846153863</v>
      </c>
      <c r="L163" s="290">
        <f t="shared" si="87"/>
        <v>34.671955710955714</v>
      </c>
      <c r="M163" s="290">
        <f t="shared" si="87"/>
        <v>40.352636363636364</v>
      </c>
      <c r="N163" s="290">
        <f t="shared" si="87"/>
        <v>53.886324675324659</v>
      </c>
      <c r="O163" s="290">
        <f t="shared" si="87"/>
        <v>67.981902439024424</v>
      </c>
      <c r="P163" s="290">
        <f t="shared" si="87"/>
        <v>57.092811013499009</v>
      </c>
      <c r="Q163" s="290">
        <f t="shared" si="87"/>
        <v>31.858679501798072</v>
      </c>
      <c r="R163" s="290">
        <f t="shared" si="87"/>
        <v>60.384663416395824</v>
      </c>
      <c r="S163" s="290">
        <f t="shared" si="87"/>
        <v>-6.2025427286356489</v>
      </c>
      <c r="T163" s="290">
        <f t="shared" si="87"/>
        <v>13.4960420987464</v>
      </c>
      <c r="U163" s="290">
        <f t="shared" si="87"/>
        <v>18.588963504884344</v>
      </c>
      <c r="V163" s="290">
        <f t="shared" si="87"/>
        <v>59.069419819936314</v>
      </c>
      <c r="W163" s="290">
        <f t="shared" si="87"/>
        <v>-20.283520728763278</v>
      </c>
      <c r="X163" s="290">
        <f t="shared" si="87"/>
        <v>-81.045668355596547</v>
      </c>
      <c r="Y163" s="290">
        <f t="shared" si="87"/>
        <v>25.341763925729538</v>
      </c>
      <c r="Z163" s="253">
        <f t="shared" si="88"/>
        <v>20.991149601073289</v>
      </c>
      <c r="AA163" s="253">
        <f t="shared" si="88"/>
        <v>166.04719786522014</v>
      </c>
      <c r="AB163" s="253">
        <f t="shared" si="88"/>
        <v>91.070098084303709</v>
      </c>
      <c r="AC163" s="146">
        <f t="shared" si="88"/>
        <v>8.1209999999999667</v>
      </c>
      <c r="AD163" s="253">
        <f t="shared" si="90"/>
        <v>-36.13887094446801</v>
      </c>
      <c r="AE163" s="253">
        <f t="shared" si="90"/>
        <v>71.561139854023054</v>
      </c>
    </row>
    <row r="164" spans="1:31">
      <c r="A164" s="240" t="s">
        <v>233</v>
      </c>
      <c r="B164" s="290">
        <f t="shared" si="87"/>
        <v>70.51391023622962</v>
      </c>
      <c r="C164" s="290">
        <f t="shared" si="87"/>
        <v>50.040098591031168</v>
      </c>
      <c r="D164" s="290">
        <f t="shared" si="87"/>
        <v>76.243744480423928</v>
      </c>
      <c r="E164" s="290">
        <f t="shared" si="87"/>
        <v>45.840430672757577</v>
      </c>
      <c r="F164" s="290">
        <f t="shared" si="87"/>
        <v>23.726853471424164</v>
      </c>
      <c r="G164" s="290">
        <f t="shared" si="87"/>
        <v>30.53458579078821</v>
      </c>
      <c r="H164" s="290">
        <f t="shared" si="87"/>
        <v>47.48972796159962</v>
      </c>
      <c r="I164" s="290">
        <f t="shared" si="87"/>
        <v>55.123773820681052</v>
      </c>
      <c r="J164" s="290">
        <f t="shared" si="87"/>
        <v>32.883067300079176</v>
      </c>
      <c r="K164" s="290">
        <f t="shared" si="87"/>
        <v>7.5781538461538362</v>
      </c>
      <c r="L164" s="290">
        <f t="shared" si="87"/>
        <v>10.729258741258739</v>
      </c>
      <c r="M164" s="290">
        <f t="shared" si="87"/>
        <v>-1.9220553359683805</v>
      </c>
      <c r="N164" s="290">
        <f t="shared" si="87"/>
        <v>24.754324675324682</v>
      </c>
      <c r="O164" s="290">
        <f t="shared" si="87"/>
        <v>30.088658536585399</v>
      </c>
      <c r="P164" s="290">
        <f t="shared" si="87"/>
        <v>56.251682879794288</v>
      </c>
      <c r="Q164" s="290">
        <f t="shared" si="87"/>
        <v>-20.192886062626073</v>
      </c>
      <c r="R164" s="290">
        <f t="shared" si="87"/>
        <v>-33.082651137594738</v>
      </c>
      <c r="S164" s="290">
        <f t="shared" si="87"/>
        <v>-42.260767616191856</v>
      </c>
      <c r="T164" s="290">
        <f t="shared" si="87"/>
        <v>-55.137575607491129</v>
      </c>
      <c r="U164" s="290">
        <f t="shared" si="87"/>
        <v>38.963550640673205</v>
      </c>
      <c r="V164" s="290">
        <f t="shared" si="87"/>
        <v>-49.161946013222007</v>
      </c>
      <c r="W164" s="290">
        <f t="shared" si="87"/>
        <v>-8.655299234069048</v>
      </c>
      <c r="X164" s="290">
        <f t="shared" si="87"/>
        <v>-33.939460770766175</v>
      </c>
      <c r="Y164" s="290">
        <f t="shared" si="87"/>
        <v>-40.627741821397024</v>
      </c>
      <c r="Z164" s="253">
        <f t="shared" si="88"/>
        <v>42.256549601073232</v>
      </c>
      <c r="AA164" s="253">
        <f t="shared" si="88"/>
        <v>100.47685802570243</v>
      </c>
      <c r="AB164" s="253">
        <f t="shared" si="88"/>
        <v>2.6317531528849258</v>
      </c>
      <c r="AC164" s="146">
        <f t="shared" si="88"/>
        <v>47.263300000000029</v>
      </c>
      <c r="AD164" s="253">
        <f t="shared" si="90"/>
        <v>320.97025748919611</v>
      </c>
      <c r="AE164" s="253">
        <f t="shared" si="90"/>
        <v>42.631709715550983</v>
      </c>
    </row>
    <row r="165" spans="1:31">
      <c r="A165" s="240" t="s">
        <v>234</v>
      </c>
      <c r="B165" s="290">
        <f t="shared" si="87"/>
        <v>64.403053337623561</v>
      </c>
      <c r="C165" s="290">
        <f t="shared" si="87"/>
        <v>45.240039730714052</v>
      </c>
      <c r="D165" s="290">
        <f t="shared" si="87"/>
        <v>85.259052104798386</v>
      </c>
      <c r="E165" s="290">
        <f t="shared" si="87"/>
        <v>34.510810811793725</v>
      </c>
      <c r="F165" s="290">
        <f t="shared" si="87"/>
        <v>17.086810675405662</v>
      </c>
      <c r="G165" s="290">
        <f t="shared" si="87"/>
        <v>25.189455263956223</v>
      </c>
      <c r="H165" s="290">
        <f t="shared" si="87"/>
        <v>46.572820467914532</v>
      </c>
      <c r="I165" s="290">
        <f t="shared" si="87"/>
        <v>60.242736644798519</v>
      </c>
      <c r="J165" s="290">
        <f t="shared" si="87"/>
        <v>22.902641330166261</v>
      </c>
      <c r="K165" s="290">
        <f t="shared" si="87"/>
        <v>54.961153846153827</v>
      </c>
      <c r="L165" s="290">
        <f t="shared" si="87"/>
        <v>20.888289044289035</v>
      </c>
      <c r="M165" s="290">
        <f t="shared" si="87"/>
        <v>24.187750988142298</v>
      </c>
      <c r="N165" s="290">
        <f t="shared" si="87"/>
        <v>41.289831168831142</v>
      </c>
      <c r="O165" s="290">
        <f t="shared" si="87"/>
        <v>53.742170731707347</v>
      </c>
      <c r="P165" s="290">
        <f t="shared" si="87"/>
        <v>68.564616027426609</v>
      </c>
      <c r="Q165" s="290">
        <f t="shared" si="87"/>
        <v>3.2074491711253685</v>
      </c>
      <c r="R165" s="290">
        <f t="shared" si="87"/>
        <v>38.40378548212351</v>
      </c>
      <c r="S165" s="290">
        <f t="shared" si="87"/>
        <v>13.915535232383775</v>
      </c>
      <c r="T165" s="290">
        <f t="shared" si="87"/>
        <v>-48.474205386163092</v>
      </c>
      <c r="U165" s="290">
        <f t="shared" si="87"/>
        <v>26.799014631877228</v>
      </c>
      <c r="V165" s="290">
        <f t="shared" si="87"/>
        <v>-1.7035929978825664</v>
      </c>
      <c r="W165" s="290">
        <f t="shared" si="87"/>
        <v>2.0692823870642201</v>
      </c>
      <c r="X165" s="290">
        <f t="shared" si="87"/>
        <v>14.501303700291771</v>
      </c>
      <c r="Y165" s="290">
        <f t="shared" si="87"/>
        <v>38.824740937223737</v>
      </c>
      <c r="Z165" s="253">
        <f t="shared" si="88"/>
        <v>-98.786302724508062</v>
      </c>
      <c r="AA165" s="253">
        <f t="shared" si="88"/>
        <v>199.49099164817812</v>
      </c>
      <c r="AB165" s="253">
        <f t="shared" si="88"/>
        <v>255.726284574901</v>
      </c>
      <c r="AC165" s="146">
        <f t="shared" si="88"/>
        <v>-53.038199999999946</v>
      </c>
      <c r="AD165" s="253">
        <f t="shared" si="90"/>
        <v>359.14985958629222</v>
      </c>
      <c r="AE165" s="253">
        <f t="shared" si="90"/>
        <v>80.487258157831661</v>
      </c>
    </row>
    <row r="166" spans="1:31">
      <c r="A166" s="240" t="s">
        <v>46</v>
      </c>
      <c r="B166" s="290">
        <f t="shared" si="87"/>
        <v>59.327903945406284</v>
      </c>
      <c r="C166" s="290">
        <f t="shared" si="87"/>
        <v>41.222823087959391</v>
      </c>
      <c r="D166" s="290">
        <f t="shared" si="87"/>
        <v>77.016485133941728</v>
      </c>
      <c r="E166" s="290">
        <f t="shared" si="87"/>
        <v>27.51790608598343</v>
      </c>
      <c r="F166" s="290">
        <f t="shared" si="87"/>
        <v>10.622268889458983</v>
      </c>
      <c r="G166" s="290">
        <f t="shared" si="87"/>
        <v>21.342924223291796</v>
      </c>
      <c r="H166" s="290">
        <f t="shared" si="87"/>
        <v>52.328328878328882</v>
      </c>
      <c r="I166" s="290">
        <f t="shared" si="87"/>
        <v>45.799973255732503</v>
      </c>
      <c r="J166" s="290">
        <f t="shared" si="87"/>
        <v>31.629061835478026</v>
      </c>
      <c r="K166" s="290">
        <f t="shared" si="87"/>
        <v>47.862153846153845</v>
      </c>
      <c r="L166" s="290">
        <f t="shared" si="87"/>
        <v>3.8672890442890377</v>
      </c>
      <c r="M166" s="290">
        <f t="shared" si="87"/>
        <v>34.239122529644277</v>
      </c>
      <c r="N166" s="290">
        <f t="shared" si="87"/>
        <v>33.722298701298683</v>
      </c>
      <c r="O166" s="290">
        <f t="shared" si="87"/>
        <v>27.864097560975637</v>
      </c>
      <c r="P166" s="290">
        <f t="shared" si="87"/>
        <v>49.301632740518542</v>
      </c>
      <c r="Q166" s="290">
        <f t="shared" si="87"/>
        <v>7.0058273543256462</v>
      </c>
      <c r="R166" s="290">
        <f t="shared" si="87"/>
        <v>22.024733838930999</v>
      </c>
      <c r="S166" s="290">
        <f t="shared" si="87"/>
        <v>21.421682158920561</v>
      </c>
      <c r="T166" s="290">
        <f t="shared" si="87"/>
        <v>-98.904978021978081</v>
      </c>
      <c r="U166" s="290">
        <f t="shared" si="87"/>
        <v>69.347384065631971</v>
      </c>
      <c r="V166" s="290">
        <f t="shared" si="87"/>
        <v>18.101530137229872</v>
      </c>
      <c r="W166" s="290">
        <f t="shared" si="87"/>
        <v>13.58838534484255</v>
      </c>
      <c r="X166" s="290">
        <f t="shared" si="87"/>
        <v>-55.962107477353072</v>
      </c>
      <c r="Y166" s="290">
        <f t="shared" si="87"/>
        <v>-10.172040671971729</v>
      </c>
      <c r="Z166" s="253">
        <f t="shared" si="88"/>
        <v>115.76182137883956</v>
      </c>
      <c r="AA166" s="253">
        <f t="shared" si="88"/>
        <v>22.033920192357414</v>
      </c>
      <c r="AB166" s="253">
        <f t="shared" si="88"/>
        <v>95.281307824522372</v>
      </c>
      <c r="AC166" s="146">
        <f t="shared" si="88"/>
        <v>-125.4329</v>
      </c>
      <c r="AD166" s="253">
        <f t="shared" si="90"/>
        <v>307.92378374679322</v>
      </c>
      <c r="AE166" s="253">
        <f t="shared" si="90"/>
        <v>49.561262659893487</v>
      </c>
    </row>
    <row r="167" spans="1:31">
      <c r="A167" s="240" t="s">
        <v>235</v>
      </c>
      <c r="B167" s="290">
        <f t="shared" si="87"/>
        <v>47.652188222382136</v>
      </c>
      <c r="C167" s="290">
        <f t="shared" si="87"/>
        <v>33.105985358496113</v>
      </c>
      <c r="D167" s="290">
        <f t="shared" si="87"/>
        <v>73.410362084191959</v>
      </c>
      <c r="E167" s="290">
        <f t="shared" si="87"/>
        <v>16.521281629590149</v>
      </c>
      <c r="F167" s="290">
        <f t="shared" si="87"/>
        <v>4.4742311501995164</v>
      </c>
      <c r="G167" s="290">
        <f t="shared" si="87"/>
        <v>7.2639299270734945</v>
      </c>
      <c r="H167" s="290">
        <f t="shared" si="87"/>
        <v>41.255034155034153</v>
      </c>
      <c r="I167" s="290">
        <f t="shared" si="87"/>
        <v>21.43501100547833</v>
      </c>
      <c r="J167" s="290">
        <f t="shared" si="87"/>
        <v>27.818305532040576</v>
      </c>
      <c r="K167" s="290">
        <f t="shared" si="87"/>
        <v>40.731153846153831</v>
      </c>
      <c r="L167" s="290">
        <f t="shared" si="87"/>
        <v>13.909379953379958</v>
      </c>
      <c r="M167" s="290">
        <f t="shared" si="87"/>
        <v>25.800529644268764</v>
      </c>
      <c r="N167" s="290">
        <f t="shared" si="87"/>
        <v>55.210779220779202</v>
      </c>
      <c r="O167" s="290">
        <f t="shared" si="87"/>
        <v>92.539073170731697</v>
      </c>
      <c r="P167" s="290">
        <f t="shared" si="87"/>
        <v>52.453072851939147</v>
      </c>
      <c r="Q167" s="290">
        <f t="shared" si="87"/>
        <v>12.77351872642749</v>
      </c>
      <c r="R167" s="290">
        <f t="shared" si="87"/>
        <v>14.158564824846536</v>
      </c>
      <c r="S167" s="290">
        <f t="shared" si="87"/>
        <v>34.99497151424282</v>
      </c>
      <c r="T167" s="290">
        <f t="shared" si="87"/>
        <v>-9.7786319455192228</v>
      </c>
      <c r="U167" s="290">
        <f t="shared" si="87"/>
        <v>80.142613862223541</v>
      </c>
      <c r="V167" s="290">
        <f t="shared" si="87"/>
        <v>53.201618391064557</v>
      </c>
      <c r="W167" s="290">
        <f t="shared" si="87"/>
        <v>-1.4593685499418712</v>
      </c>
      <c r="X167" s="290">
        <f t="shared" si="87"/>
        <v>-45.971652387532686</v>
      </c>
      <c r="Y167" s="290">
        <f t="shared" si="87"/>
        <v>46.729867374005323</v>
      </c>
      <c r="Z167" s="253">
        <f t="shared" si="88"/>
        <v>163.19315768729899</v>
      </c>
      <c r="AA167" s="253">
        <f t="shared" si="88"/>
        <v>215.03006759907424</v>
      </c>
      <c r="AB167" s="253">
        <f t="shared" si="88"/>
        <v>224.34573338447865</v>
      </c>
      <c r="AC167" s="146">
        <f t="shared" si="88"/>
        <v>0.1454999999999913</v>
      </c>
      <c r="AD167" s="253">
        <f t="shared" si="90"/>
        <v>279.98182085318388</v>
      </c>
      <c r="AE167" s="253">
        <f t="shared" si="90"/>
        <v>117.76462123492109</v>
      </c>
    </row>
    <row r="168" spans="1:31">
      <c r="A168" s="240" t="s">
        <v>236</v>
      </c>
      <c r="B168" s="290">
        <f t="shared" ref="B168:Y170" si="91">B183+B104+C127-B152-B184</f>
        <v>36.526375795025992</v>
      </c>
      <c r="C168" s="290">
        <f t="shared" si="91"/>
        <v>25.73078762461833</v>
      </c>
      <c r="D168" s="290">
        <f t="shared" si="91"/>
        <v>52.803944657050351</v>
      </c>
      <c r="E168" s="290">
        <f t="shared" si="91"/>
        <v>16.410788122826602</v>
      </c>
      <c r="F168" s="290">
        <f t="shared" si="91"/>
        <v>-3.0962047626307658</v>
      </c>
      <c r="G168" s="290">
        <f t="shared" si="91"/>
        <v>-1.0598797307719909</v>
      </c>
      <c r="H168" s="290">
        <f t="shared" si="91"/>
        <v>34.22414612414611</v>
      </c>
      <c r="I168" s="290">
        <f t="shared" si="91"/>
        <v>8.9186239862118484</v>
      </c>
      <c r="J168" s="290">
        <f t="shared" si="91"/>
        <v>13.655100565973044</v>
      </c>
      <c r="K168" s="290">
        <f t="shared" si="91"/>
        <v>54.884153846153851</v>
      </c>
      <c r="L168" s="290">
        <f t="shared" si="91"/>
        <v>47.169076923076908</v>
      </c>
      <c r="M168" s="290">
        <f t="shared" si="91"/>
        <v>34.383324110671936</v>
      </c>
      <c r="N168" s="290">
        <f t="shared" si="91"/>
        <v>42.76948051948051</v>
      </c>
      <c r="O168" s="290">
        <f t="shared" si="91"/>
        <v>74.912780487804866</v>
      </c>
      <c r="P168" s="290">
        <f t="shared" si="91"/>
        <v>6.0715603171201984</v>
      </c>
      <c r="Q168" s="290">
        <f t="shared" si="91"/>
        <v>15.099696605560936</v>
      </c>
      <c r="R168" s="290">
        <f t="shared" si="91"/>
        <v>26.019513181654062</v>
      </c>
      <c r="S168" s="290">
        <f t="shared" si="91"/>
        <v>35.851112443778078</v>
      </c>
      <c r="T168" s="290">
        <f t="shared" si="91"/>
        <v>-42.445682247330041</v>
      </c>
      <c r="U168" s="290">
        <f t="shared" si="91"/>
        <v>28.311229035395591</v>
      </c>
      <c r="V168" s="290">
        <f t="shared" si="91"/>
        <v>-43.715469862770078</v>
      </c>
      <c r="W168" s="290">
        <f t="shared" si="91"/>
        <v>-10.224999392118434</v>
      </c>
      <c r="X168" s="290">
        <f t="shared" si="91"/>
        <v>21.716611085521322</v>
      </c>
      <c r="Y168" s="290">
        <f t="shared" si="91"/>
        <v>7.7671202475684993</v>
      </c>
      <c r="Z168" s="253">
        <f t="shared" si="88"/>
        <v>206.18734644916003</v>
      </c>
      <c r="AA168" s="253">
        <f t="shared" si="88"/>
        <v>122.44993853846853</v>
      </c>
      <c r="AB168" s="253">
        <f t="shared" si="88"/>
        <v>77.934182664002293</v>
      </c>
      <c r="AC168" s="146">
        <f>AC183+AC104+AC136-AC152-AC184</f>
        <v>-110.7662</v>
      </c>
      <c r="AD168" s="253">
        <f t="shared" si="90"/>
        <v>197.94131758506148</v>
      </c>
      <c r="AE168" s="253">
        <f t="shared" si="90"/>
        <v>80.670966284319093</v>
      </c>
    </row>
    <row r="169" spans="1:31">
      <c r="A169" s="240" t="s">
        <v>237</v>
      </c>
      <c r="B169" s="290">
        <f t="shared" si="91"/>
        <v>31.684441768124476</v>
      </c>
      <c r="C169" s="290">
        <f t="shared" si="91"/>
        <v>23.032042085126733</v>
      </c>
      <c r="D169" s="290">
        <f t="shared" si="91"/>
        <v>40.955254636443939</v>
      </c>
      <c r="E169" s="290">
        <f t="shared" si="91"/>
        <v>9.519576700557435</v>
      </c>
      <c r="F169" s="290">
        <f t="shared" si="91"/>
        <v>-0.56102184320743831</v>
      </c>
      <c r="G169" s="290">
        <f t="shared" si="91"/>
        <v>-0.90778131468843348</v>
      </c>
      <c r="H169" s="290">
        <f t="shared" si="91"/>
        <v>53.885873923373914</v>
      </c>
      <c r="I169" s="290">
        <f t="shared" si="91"/>
        <v>18.225738703866938</v>
      </c>
      <c r="J169" s="290">
        <f t="shared" si="91"/>
        <v>37.957697948767752</v>
      </c>
      <c r="K169" s="290">
        <f t="shared" si="91"/>
        <v>56.550153846153847</v>
      </c>
      <c r="L169" s="290">
        <f t="shared" si="91"/>
        <v>46.317743589743586</v>
      </c>
      <c r="M169" s="290">
        <f t="shared" si="91"/>
        <v>35.584932806324126</v>
      </c>
      <c r="N169" s="290">
        <f t="shared" si="91"/>
        <v>69.590272727272733</v>
      </c>
      <c r="O169" s="290">
        <f t="shared" si="91"/>
        <v>71.899390243902459</v>
      </c>
      <c r="P169" s="290">
        <f t="shared" si="91"/>
        <v>73.217824941075605</v>
      </c>
      <c r="Q169" s="290">
        <f t="shared" si="91"/>
        <v>34.298879045697753</v>
      </c>
      <c r="R169" s="290">
        <f t="shared" si="91"/>
        <v>84.377184543156403</v>
      </c>
      <c r="S169" s="290">
        <f t="shared" si="91"/>
        <v>38.840973013493226</v>
      </c>
      <c r="T169" s="290">
        <f t="shared" si="91"/>
        <v>91.866848939792604</v>
      </c>
      <c r="U169" s="290">
        <f t="shared" si="91"/>
        <v>120.95787994248741</v>
      </c>
      <c r="V169" s="290">
        <f t="shared" si="91"/>
        <v>114.52919918534923</v>
      </c>
      <c r="W169" s="290">
        <f t="shared" si="91"/>
        <v>98.103468207791366</v>
      </c>
      <c r="X169" s="290">
        <f t="shared" si="91"/>
        <v>103.30810809150927</v>
      </c>
      <c r="Y169" s="290">
        <f t="shared" si="91"/>
        <v>124.04271794871801</v>
      </c>
      <c r="Z169" s="253">
        <f>Z184+Z105+Z137-Z153-Z185</f>
        <v>247.50758230545955</v>
      </c>
      <c r="AA169" s="253">
        <f t="shared" si="88"/>
        <v>106.42449861290976</v>
      </c>
      <c r="AB169" s="253">
        <f t="shared" si="88"/>
        <v>275.8159521133108</v>
      </c>
      <c r="AC169" s="253">
        <f t="shared" ref="AC169" si="92">(SUM(X169:AB169)/SUM(X$171:AB$171))*AC$171</f>
        <v>485.47051795583599</v>
      </c>
      <c r="AD169" s="253">
        <f t="shared" si="90"/>
        <v>1.5588493061408712</v>
      </c>
      <c r="AE169" s="253">
        <f t="shared" si="90"/>
        <v>68.608864169149172</v>
      </c>
    </row>
    <row r="170" spans="1:31">
      <c r="A170" s="240" t="s">
        <v>238</v>
      </c>
      <c r="B170" s="290">
        <f t="shared" si="91"/>
        <v>14.011510394145891</v>
      </c>
      <c r="C170" s="290">
        <f t="shared" si="91"/>
        <v>10.238752161277271</v>
      </c>
      <c r="D170" s="290">
        <f t="shared" si="91"/>
        <v>10.174418604651166</v>
      </c>
      <c r="E170" s="290">
        <f t="shared" si="91"/>
        <v>10.995200393766323</v>
      </c>
      <c r="F170" s="290">
        <f t="shared" si="91"/>
        <v>0.49866602262245241</v>
      </c>
      <c r="G170" s="290">
        <f t="shared" si="91"/>
        <v>-4.7383638536467556</v>
      </c>
      <c r="H170" s="290">
        <f t="shared" si="91"/>
        <v>0.18304128304128042</v>
      </c>
      <c r="I170" s="290">
        <f t="shared" si="91"/>
        <v>0.25974251862421127</v>
      </c>
      <c r="J170" s="290">
        <f t="shared" si="91"/>
        <v>-14.144818532613971</v>
      </c>
      <c r="K170" s="290">
        <f t="shared" si="91"/>
        <v>-3.8076923076923102</v>
      </c>
      <c r="L170" s="290">
        <f t="shared" si="91"/>
        <v>26.479062937062935</v>
      </c>
      <c r="M170" s="290">
        <f t="shared" si="91"/>
        <v>11.920399209486163</v>
      </c>
      <c r="N170" s="290">
        <f t="shared" si="91"/>
        <v>66.590415584415581</v>
      </c>
      <c r="O170" s="290">
        <f t="shared" si="91"/>
        <v>34.191658536585365</v>
      </c>
      <c r="P170" s="290">
        <f t="shared" si="91"/>
        <v>31.877218127276628</v>
      </c>
      <c r="Q170" s="290">
        <f t="shared" si="91"/>
        <v>34.972901382919616</v>
      </c>
      <c r="R170" s="290">
        <f t="shared" si="91"/>
        <v>-17.195706031058094</v>
      </c>
      <c r="S170" s="290">
        <f t="shared" si="91"/>
        <v>-73.366793103448259</v>
      </c>
      <c r="T170" s="290">
        <f t="shared" si="91"/>
        <v>-99.439728679770951</v>
      </c>
      <c r="U170" s="290">
        <f t="shared" si="91"/>
        <v>-81.768788768131259</v>
      </c>
      <c r="V170" s="290">
        <f t="shared" si="91"/>
        <v>-61.282672022241258</v>
      </c>
      <c r="W170" s="290">
        <f t="shared" si="91"/>
        <v>-98.778389391597102</v>
      </c>
      <c r="X170" s="290">
        <f t="shared" si="91"/>
        <v>-121.31946046368785</v>
      </c>
      <c r="Y170" s="290">
        <f t="shared" si="91"/>
        <v>-17.157276746242474</v>
      </c>
      <c r="Z170" s="253">
        <f>Z185+Z106+Z138-Z154-Z186</f>
        <v>585.96082664561254</v>
      </c>
      <c r="AA170" s="253">
        <f t="shared" si="88"/>
        <v>57.081425135639392</v>
      </c>
      <c r="AB170" s="253">
        <f t="shared" si="88"/>
        <v>282.604956557121</v>
      </c>
      <c r="AC170" s="253">
        <f>AC171-SUM(AC159:AC169)</f>
        <v>1628.8047570754338</v>
      </c>
      <c r="AD170" s="253">
        <f t="shared" si="90"/>
        <v>-107.13671491784601</v>
      </c>
      <c r="AE170" s="253">
        <f t="shared" si="90"/>
        <v>374.53242248628385</v>
      </c>
    </row>
    <row r="171" spans="1:31" ht="15.75" thickBot="1">
      <c r="A171" s="240" t="s">
        <v>242</v>
      </c>
      <c r="B171" s="146">
        <f>SUM(B159:B170)</f>
        <v>835.04526759358589</v>
      </c>
      <c r="C171" s="146">
        <f t="shared" ref="C171:AB171" si="93">SUM(C159:C170)</f>
        <v>570.58011572462715</v>
      </c>
      <c r="D171" s="146">
        <f t="shared" si="93"/>
        <v>875.81363854629421</v>
      </c>
      <c r="E171" s="146">
        <f t="shared" si="93"/>
        <v>470.91249907103162</v>
      </c>
      <c r="F171" s="146">
        <f t="shared" si="93"/>
        <v>317.66200935915742</v>
      </c>
      <c r="G171" s="146">
        <f t="shared" si="93"/>
        <v>359.87861643948685</v>
      </c>
      <c r="H171" s="146">
        <f t="shared" si="93"/>
        <v>526.91696833509968</v>
      </c>
      <c r="I171" s="146">
        <f t="shared" si="93"/>
        <v>542.09822094221181</v>
      </c>
      <c r="J171" s="146">
        <f t="shared" si="93"/>
        <v>258.79668089803783</v>
      </c>
      <c r="K171" s="146">
        <f t="shared" si="93"/>
        <v>436.62863886579208</v>
      </c>
      <c r="L171" s="146">
        <f t="shared" si="93"/>
        <v>256.64696047430823</v>
      </c>
      <c r="M171" s="146">
        <f t="shared" si="93"/>
        <v>242.19102667984188</v>
      </c>
      <c r="N171" s="146">
        <f t="shared" si="93"/>
        <v>498.17425213916511</v>
      </c>
      <c r="O171" s="146">
        <f t="shared" si="93"/>
        <v>510.40686545224003</v>
      </c>
      <c r="P171" s="146">
        <f t="shared" si="93"/>
        <v>483.54740830033575</v>
      </c>
      <c r="Q171" s="146">
        <f t="shared" si="93"/>
        <v>159.6423545132495</v>
      </c>
      <c r="R171" s="146">
        <f t="shared" si="93"/>
        <v>231.42670138560271</v>
      </c>
      <c r="S171" s="146">
        <f t="shared" si="93"/>
        <v>-50.642263179408758</v>
      </c>
      <c r="T171" s="146">
        <f t="shared" si="93"/>
        <v>-252.60092139278584</v>
      </c>
      <c r="U171" s="146">
        <f t="shared" si="93"/>
        <v>99.225591092639149</v>
      </c>
      <c r="V171" s="146">
        <f t="shared" si="93"/>
        <v>148.26715562728717</v>
      </c>
      <c r="W171" s="146">
        <f t="shared" si="93"/>
        <v>9.0266823570280508</v>
      </c>
      <c r="X171" s="146">
        <f t="shared" si="93"/>
        <v>-277.16827814756749</v>
      </c>
      <c r="Y171" s="146">
        <f t="shared" si="93"/>
        <v>383.02600956707278</v>
      </c>
      <c r="Z171" s="253">
        <f t="shared" si="93"/>
        <v>1361.7469999999998</v>
      </c>
      <c r="AA171" s="253">
        <f t="shared" si="93"/>
        <v>1428.8436871758338</v>
      </c>
      <c r="AB171" s="253">
        <f t="shared" si="93"/>
        <v>1749.4860619028113</v>
      </c>
      <c r="AC171" s="253">
        <f>AC26</f>
        <v>2631.5099999999993</v>
      </c>
      <c r="AD171" s="253">
        <f t="shared" ref="AD171:AE171" si="94">SUM(AD159:AD170)</f>
        <v>986.99230630953036</v>
      </c>
      <c r="AE171" s="253">
        <f t="shared" si="94"/>
        <v>1361.8390857958066</v>
      </c>
    </row>
    <row r="172" spans="1:31">
      <c r="A172" s="248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>
        <f t="shared" ref="Y172:AE172" si="95">Y26</f>
        <v>379.68200956707187</v>
      </c>
      <c r="Z172" s="254">
        <f t="shared" si="95"/>
        <v>1361.7470000000012</v>
      </c>
      <c r="AA172" s="254">
        <f t="shared" si="95"/>
        <v>1428.843687175834</v>
      </c>
      <c r="AB172" s="254">
        <f t="shared" si="95"/>
        <v>1749.4860619028113</v>
      </c>
      <c r="AC172" s="254">
        <f t="shared" si="95"/>
        <v>2631.5099999999993</v>
      </c>
      <c r="AD172" s="254">
        <f t="shared" si="95"/>
        <v>986.99230630953161</v>
      </c>
      <c r="AE172" s="254">
        <f t="shared" si="95"/>
        <v>1361.8390857958057</v>
      </c>
    </row>
    <row r="173" spans="1:31" ht="15.75" thickBot="1">
      <c r="A173" s="235" t="s">
        <v>259</v>
      </c>
      <c r="Y173" s="146"/>
    </row>
    <row r="174" spans="1:31" ht="15.75" thickBot="1">
      <c r="A174" s="236"/>
      <c r="B174" s="237" t="str">
        <f>B$2</f>
        <v xml:space="preserve">93/94 </v>
      </c>
      <c r="C174" s="237" t="str">
        <f t="shared" ref="C174:AE174" si="96">C$2</f>
        <v xml:space="preserve">94/95 </v>
      </c>
      <c r="D174" s="237" t="str">
        <f t="shared" si="96"/>
        <v xml:space="preserve">95/96 </v>
      </c>
      <c r="E174" s="237" t="str">
        <f t="shared" si="96"/>
        <v xml:space="preserve">96/97 </v>
      </c>
      <c r="F174" s="237" t="str">
        <f t="shared" si="96"/>
        <v xml:space="preserve">97/98 </v>
      </c>
      <c r="G174" s="237" t="str">
        <f t="shared" si="96"/>
        <v xml:space="preserve">98/99 </v>
      </c>
      <c r="H174" s="237" t="str">
        <f t="shared" si="96"/>
        <v xml:space="preserve">99/00 </v>
      </c>
      <c r="I174" s="237" t="str">
        <f t="shared" si="96"/>
        <v xml:space="preserve">00/01 </v>
      </c>
      <c r="J174" s="237" t="str">
        <f t="shared" si="96"/>
        <v xml:space="preserve">01/02 </v>
      </c>
      <c r="K174" s="237" t="str">
        <f t="shared" si="96"/>
        <v xml:space="preserve">02/03 </v>
      </c>
      <c r="L174" s="237" t="str">
        <f t="shared" si="96"/>
        <v xml:space="preserve">03/04 </v>
      </c>
      <c r="M174" s="237" t="str">
        <f t="shared" si="96"/>
        <v xml:space="preserve">04/05 </v>
      </c>
      <c r="N174" s="237" t="str">
        <f t="shared" si="96"/>
        <v xml:space="preserve">05/06 </v>
      </c>
      <c r="O174" s="237" t="str">
        <f t="shared" si="96"/>
        <v xml:space="preserve">06/07 </v>
      </c>
      <c r="P174" s="237" t="str">
        <f t="shared" si="96"/>
        <v xml:space="preserve">07/08 </v>
      </c>
      <c r="Q174" s="237" t="str">
        <f t="shared" si="96"/>
        <v xml:space="preserve">08/09 </v>
      </c>
      <c r="R174" s="237" t="str">
        <f t="shared" si="96"/>
        <v xml:space="preserve">09/10 </v>
      </c>
      <c r="S174" s="237" t="str">
        <f t="shared" si="96"/>
        <v xml:space="preserve">10/11 </v>
      </c>
      <c r="T174" s="237" t="str">
        <f t="shared" si="96"/>
        <v xml:space="preserve">11/12 </v>
      </c>
      <c r="U174" s="237" t="str">
        <f t="shared" si="96"/>
        <v xml:space="preserve">12/13 </v>
      </c>
      <c r="V174" s="237" t="str">
        <f t="shared" si="96"/>
        <v xml:space="preserve">13/14 </v>
      </c>
      <c r="W174" s="237" t="str">
        <f t="shared" si="96"/>
        <v xml:space="preserve">14/15 </v>
      </c>
      <c r="X174" s="237" t="str">
        <f t="shared" si="96"/>
        <v xml:space="preserve">15/16 </v>
      </c>
      <c r="Y174" s="237" t="str">
        <f t="shared" si="96"/>
        <v xml:space="preserve">16/17 </v>
      </c>
      <c r="Z174" s="237" t="str">
        <f t="shared" si="96"/>
        <v xml:space="preserve">17/18 </v>
      </c>
      <c r="AA174" s="237" t="str">
        <f t="shared" si="96"/>
        <v xml:space="preserve">18/19 </v>
      </c>
      <c r="AB174" s="237" t="str">
        <f t="shared" si="96"/>
        <v xml:space="preserve">19/20 </v>
      </c>
      <c r="AC174" s="237" t="str">
        <f t="shared" si="96"/>
        <v xml:space="preserve">20/21 </v>
      </c>
      <c r="AD174" s="237" t="str">
        <f t="shared" si="96"/>
        <v>21/22</v>
      </c>
      <c r="AE174" s="237" t="str">
        <f t="shared" si="96"/>
        <v>22/23</v>
      </c>
    </row>
    <row r="175" spans="1:31">
      <c r="A175" s="240" t="s">
        <v>239</v>
      </c>
      <c r="B175" s="290">
        <f>(B$186-B$22)/13+B22</f>
        <v>0</v>
      </c>
      <c r="C175" s="290">
        <f>(C$186-B$186)/13+B186</f>
        <v>0</v>
      </c>
      <c r="D175" s="290">
        <f t="shared" ref="D175:AE175" si="97">(D$186-C$186)/13+C186</f>
        <v>0</v>
      </c>
      <c r="E175" s="290">
        <f t="shared" si="97"/>
        <v>0</v>
      </c>
      <c r="F175" s="290">
        <f t="shared" si="97"/>
        <v>0</v>
      </c>
      <c r="G175" s="290">
        <f t="shared" si="97"/>
        <v>0</v>
      </c>
      <c r="H175" s="290">
        <f t="shared" si="97"/>
        <v>0.15384615384615385</v>
      </c>
      <c r="I175" s="290">
        <f t="shared" si="97"/>
        <v>2</v>
      </c>
      <c r="J175" s="290">
        <f t="shared" si="97"/>
        <v>2</v>
      </c>
      <c r="K175" s="290">
        <f t="shared" si="97"/>
        <v>2.1538461538461537</v>
      </c>
      <c r="L175" s="290">
        <f t="shared" si="97"/>
        <v>4.0769230769230766</v>
      </c>
      <c r="M175" s="290">
        <f t="shared" si="97"/>
        <v>5</v>
      </c>
      <c r="N175" s="290">
        <f t="shared" si="97"/>
        <v>5</v>
      </c>
      <c r="O175" s="290">
        <f t="shared" si="97"/>
        <v>5</v>
      </c>
      <c r="P175" s="290">
        <f t="shared" si="97"/>
        <v>5.7692307692307692</v>
      </c>
      <c r="Q175" s="290">
        <f t="shared" si="97"/>
        <v>18.153846153846153</v>
      </c>
      <c r="R175" s="290">
        <f t="shared" si="97"/>
        <v>61.46153846153846</v>
      </c>
      <c r="S175" s="290">
        <f t="shared" si="97"/>
        <v>127</v>
      </c>
      <c r="T175" s="290">
        <f t="shared" si="97"/>
        <v>117.30769230769231</v>
      </c>
      <c r="U175" s="290">
        <f t="shared" si="97"/>
        <v>1.3846153846153846</v>
      </c>
      <c r="V175" s="290">
        <f t="shared" si="97"/>
        <v>28.923076923076923</v>
      </c>
      <c r="W175" s="290">
        <f t="shared" si="97"/>
        <v>309.07692307692309</v>
      </c>
      <c r="X175" s="290">
        <f t="shared" si="97"/>
        <v>377.30769230769232</v>
      </c>
      <c r="Y175" s="290">
        <f t="shared" si="97"/>
        <v>443.38461538461536</v>
      </c>
      <c r="Z175" s="252">
        <f t="shared" si="97"/>
        <v>195.53846153846155</v>
      </c>
      <c r="AA175" s="252">
        <f t="shared" si="97"/>
        <v>330.84615384615387</v>
      </c>
      <c r="AB175" s="252">
        <f t="shared" si="97"/>
        <v>287.92307692307691</v>
      </c>
      <c r="AC175" s="252">
        <f t="shared" si="97"/>
        <v>231.53846153846155</v>
      </c>
      <c r="AD175" s="252">
        <f t="shared" si="97"/>
        <v>290.92307692307691</v>
      </c>
      <c r="AE175" s="252">
        <f t="shared" si="97"/>
        <v>344.23076923076923</v>
      </c>
    </row>
    <row r="176" spans="1:31">
      <c r="A176" s="240" t="s">
        <v>240</v>
      </c>
      <c r="B176" s="290">
        <f t="shared" ref="B176:B185" si="98">(B$186-B$22)/13+B175</f>
        <v>0</v>
      </c>
      <c r="C176" s="290">
        <f>(C$186-B$186)/13+C175</f>
        <v>0</v>
      </c>
      <c r="D176" s="290">
        <f t="shared" ref="D176:AE185" si="99">(D$186-C$186)/13+D175</f>
        <v>0</v>
      </c>
      <c r="E176" s="290">
        <f t="shared" si="99"/>
        <v>0</v>
      </c>
      <c r="F176" s="290">
        <f t="shared" si="99"/>
        <v>0</v>
      </c>
      <c r="G176" s="290">
        <f t="shared" si="99"/>
        <v>0</v>
      </c>
      <c r="H176" s="290">
        <f t="shared" si="99"/>
        <v>0.30769230769230771</v>
      </c>
      <c r="I176" s="290">
        <f t="shared" si="99"/>
        <v>2</v>
      </c>
      <c r="J176" s="290">
        <f t="shared" si="99"/>
        <v>2</v>
      </c>
      <c r="K176" s="290">
        <f t="shared" si="99"/>
        <v>2.3076923076923075</v>
      </c>
      <c r="L176" s="290">
        <f t="shared" si="99"/>
        <v>4.1538461538461533</v>
      </c>
      <c r="M176" s="290">
        <f t="shared" si="99"/>
        <v>5</v>
      </c>
      <c r="N176" s="290">
        <f t="shared" si="99"/>
        <v>5</v>
      </c>
      <c r="O176" s="290">
        <f t="shared" si="99"/>
        <v>5</v>
      </c>
      <c r="P176" s="290">
        <f t="shared" si="99"/>
        <v>6.5384615384615383</v>
      </c>
      <c r="Q176" s="290">
        <f t="shared" si="99"/>
        <v>21.307692307692307</v>
      </c>
      <c r="R176" s="290">
        <f t="shared" si="99"/>
        <v>66.92307692307692</v>
      </c>
      <c r="S176" s="290">
        <f t="shared" si="99"/>
        <v>127</v>
      </c>
      <c r="T176" s="290">
        <f t="shared" si="99"/>
        <v>107.61538461538461</v>
      </c>
      <c r="U176" s="290">
        <f t="shared" si="99"/>
        <v>1.7692307692307692</v>
      </c>
      <c r="V176" s="290">
        <f t="shared" si="99"/>
        <v>51.846153846153847</v>
      </c>
      <c r="W176" s="290">
        <f t="shared" si="99"/>
        <v>314.15384615384619</v>
      </c>
      <c r="X176" s="290">
        <f t="shared" si="99"/>
        <v>384.61538461538464</v>
      </c>
      <c r="Y176" s="290">
        <f t="shared" si="99"/>
        <v>421.76923076923072</v>
      </c>
      <c r="Z176" s="252">
        <f t="shared" si="99"/>
        <v>207.07692307692309</v>
      </c>
      <c r="AA176" s="252">
        <f t="shared" si="99"/>
        <v>327.69230769230774</v>
      </c>
      <c r="AB176" s="252">
        <f t="shared" si="99"/>
        <v>282.84615384615381</v>
      </c>
      <c r="AC176" s="252">
        <f t="shared" si="99"/>
        <v>236.07692307692309</v>
      </c>
      <c r="AD176" s="252">
        <f t="shared" si="99"/>
        <v>295.84615384615381</v>
      </c>
      <c r="AE176" s="252">
        <f t="shared" si="99"/>
        <v>338.46153846153845</v>
      </c>
    </row>
    <row r="177" spans="1:37">
      <c r="A177" s="240" t="s">
        <v>241</v>
      </c>
      <c r="B177" s="290">
        <f t="shared" si="98"/>
        <v>0</v>
      </c>
      <c r="C177" s="290">
        <f t="shared" ref="C177:C185" si="100">(C$186-B$186)/13+C176</f>
        <v>0</v>
      </c>
      <c r="D177" s="290">
        <f t="shared" si="99"/>
        <v>0</v>
      </c>
      <c r="E177" s="290">
        <f t="shared" si="99"/>
        <v>0</v>
      </c>
      <c r="F177" s="290">
        <f t="shared" si="99"/>
        <v>0</v>
      </c>
      <c r="G177" s="290">
        <f t="shared" si="99"/>
        <v>0</v>
      </c>
      <c r="H177" s="290">
        <f t="shared" si="99"/>
        <v>0.46153846153846156</v>
      </c>
      <c r="I177" s="290">
        <f t="shared" si="99"/>
        <v>2</v>
      </c>
      <c r="J177" s="290">
        <f t="shared" si="99"/>
        <v>2</v>
      </c>
      <c r="K177" s="290">
        <f t="shared" si="99"/>
        <v>2.4615384615384612</v>
      </c>
      <c r="L177" s="290">
        <f t="shared" si="99"/>
        <v>4.2307692307692299</v>
      </c>
      <c r="M177" s="290">
        <f t="shared" si="99"/>
        <v>5</v>
      </c>
      <c r="N177" s="290">
        <f t="shared" si="99"/>
        <v>5</v>
      </c>
      <c r="O177" s="290">
        <f t="shared" si="99"/>
        <v>5</v>
      </c>
      <c r="P177" s="290">
        <f t="shared" si="99"/>
        <v>7.3076923076923075</v>
      </c>
      <c r="Q177" s="290">
        <f t="shared" si="99"/>
        <v>24.46153846153846</v>
      </c>
      <c r="R177" s="290">
        <f t="shared" si="99"/>
        <v>72.384615384615387</v>
      </c>
      <c r="S177" s="290">
        <f t="shared" si="99"/>
        <v>127</v>
      </c>
      <c r="T177" s="290">
        <f t="shared" si="99"/>
        <v>97.92307692307692</v>
      </c>
      <c r="U177" s="290">
        <f t="shared" si="99"/>
        <v>2.1538461538461537</v>
      </c>
      <c r="V177" s="290">
        <f t="shared" si="99"/>
        <v>74.769230769230774</v>
      </c>
      <c r="W177" s="290">
        <f t="shared" si="99"/>
        <v>319.23076923076928</v>
      </c>
      <c r="X177" s="290">
        <f t="shared" si="99"/>
        <v>391.92307692307696</v>
      </c>
      <c r="Y177" s="290">
        <f t="shared" si="99"/>
        <v>400.15384615384608</v>
      </c>
      <c r="Z177" s="252">
        <f t="shared" si="99"/>
        <v>218.61538461538464</v>
      </c>
      <c r="AA177" s="252">
        <f t="shared" si="99"/>
        <v>324.5384615384616</v>
      </c>
      <c r="AB177" s="252">
        <f t="shared" si="99"/>
        <v>277.76923076923072</v>
      </c>
      <c r="AC177" s="252">
        <f t="shared" si="99"/>
        <v>240.61538461538464</v>
      </c>
      <c r="AD177" s="252">
        <f t="shared" si="99"/>
        <v>300.76923076923072</v>
      </c>
      <c r="AE177" s="252">
        <f t="shared" si="99"/>
        <v>332.69230769230768</v>
      </c>
    </row>
    <row r="178" spans="1:37">
      <c r="A178" s="240" t="s">
        <v>231</v>
      </c>
      <c r="B178" s="290">
        <f t="shared" si="98"/>
        <v>0</v>
      </c>
      <c r="C178" s="290">
        <f t="shared" si="100"/>
        <v>0</v>
      </c>
      <c r="D178" s="290">
        <f t="shared" si="99"/>
        <v>0</v>
      </c>
      <c r="E178" s="290">
        <f t="shared" si="99"/>
        <v>0</v>
      </c>
      <c r="F178" s="290">
        <f t="shared" si="99"/>
        <v>0</v>
      </c>
      <c r="G178" s="290">
        <f t="shared" si="99"/>
        <v>0</v>
      </c>
      <c r="H178" s="290">
        <f t="shared" si="99"/>
        <v>0.61538461538461542</v>
      </c>
      <c r="I178" s="290">
        <f t="shared" si="99"/>
        <v>2</v>
      </c>
      <c r="J178" s="290">
        <f t="shared" si="99"/>
        <v>2</v>
      </c>
      <c r="K178" s="290">
        <f t="shared" si="99"/>
        <v>2.615384615384615</v>
      </c>
      <c r="L178" s="290">
        <f t="shared" si="99"/>
        <v>4.3076923076923066</v>
      </c>
      <c r="M178" s="290">
        <f t="shared" si="99"/>
        <v>5</v>
      </c>
      <c r="N178" s="290">
        <f t="shared" si="99"/>
        <v>5</v>
      </c>
      <c r="O178" s="290">
        <f t="shared" si="99"/>
        <v>5</v>
      </c>
      <c r="P178" s="290">
        <f t="shared" si="99"/>
        <v>8.0769230769230766</v>
      </c>
      <c r="Q178" s="290">
        <f t="shared" si="99"/>
        <v>27.615384615384613</v>
      </c>
      <c r="R178" s="290">
        <f t="shared" si="99"/>
        <v>77.846153846153854</v>
      </c>
      <c r="S178" s="290">
        <f t="shared" si="99"/>
        <v>127</v>
      </c>
      <c r="T178" s="290">
        <f t="shared" si="99"/>
        <v>88.230769230769226</v>
      </c>
      <c r="U178" s="290">
        <f t="shared" si="99"/>
        <v>2.5384615384615383</v>
      </c>
      <c r="V178" s="290">
        <f t="shared" si="99"/>
        <v>97.692307692307693</v>
      </c>
      <c r="W178" s="290">
        <f t="shared" si="99"/>
        <v>324.30769230769238</v>
      </c>
      <c r="X178" s="290">
        <f t="shared" si="99"/>
        <v>399.23076923076928</v>
      </c>
      <c r="Y178" s="290">
        <f t="shared" si="99"/>
        <v>378.53846153846143</v>
      </c>
      <c r="Z178" s="252">
        <f t="shared" si="99"/>
        <v>230.15384615384619</v>
      </c>
      <c r="AA178" s="252">
        <f t="shared" si="99"/>
        <v>321.38461538461547</v>
      </c>
      <c r="AB178" s="252">
        <f t="shared" si="99"/>
        <v>272.69230769230762</v>
      </c>
      <c r="AC178" s="251">
        <f>AU111</f>
        <v>99.815200000000004</v>
      </c>
      <c r="AD178" s="252">
        <f t="shared" si="99"/>
        <v>305.69230769230762</v>
      </c>
      <c r="AE178" s="252">
        <f t="shared" si="99"/>
        <v>326.92307692307691</v>
      </c>
    </row>
    <row r="179" spans="1:37">
      <c r="A179" s="240" t="s">
        <v>232</v>
      </c>
      <c r="B179" s="290">
        <f t="shared" si="98"/>
        <v>0</v>
      </c>
      <c r="C179" s="290">
        <f t="shared" si="100"/>
        <v>0</v>
      </c>
      <c r="D179" s="290">
        <f t="shared" si="99"/>
        <v>0</v>
      </c>
      <c r="E179" s="290">
        <f t="shared" si="99"/>
        <v>0</v>
      </c>
      <c r="F179" s="290">
        <f t="shared" si="99"/>
        <v>0</v>
      </c>
      <c r="G179" s="290">
        <f t="shared" si="99"/>
        <v>0</v>
      </c>
      <c r="H179" s="290">
        <f t="shared" si="99"/>
        <v>0.76923076923076927</v>
      </c>
      <c r="I179" s="290">
        <f t="shared" si="99"/>
        <v>2</v>
      </c>
      <c r="J179" s="290">
        <f t="shared" si="99"/>
        <v>2</v>
      </c>
      <c r="K179" s="290">
        <f t="shared" si="99"/>
        <v>2.7692307692307687</v>
      </c>
      <c r="L179" s="290">
        <f t="shared" si="99"/>
        <v>4.3846153846153832</v>
      </c>
      <c r="M179" s="290">
        <f t="shared" si="99"/>
        <v>5</v>
      </c>
      <c r="N179" s="290">
        <f t="shared" si="99"/>
        <v>5</v>
      </c>
      <c r="O179" s="290">
        <f t="shared" si="99"/>
        <v>5</v>
      </c>
      <c r="P179" s="290">
        <f t="shared" si="99"/>
        <v>8.8461538461538467</v>
      </c>
      <c r="Q179" s="290">
        <f t="shared" si="99"/>
        <v>30.769230769230766</v>
      </c>
      <c r="R179" s="290">
        <f t="shared" si="99"/>
        <v>83.307692307692321</v>
      </c>
      <c r="S179" s="290">
        <f t="shared" si="99"/>
        <v>127</v>
      </c>
      <c r="T179" s="290">
        <f t="shared" si="99"/>
        <v>78.538461538461533</v>
      </c>
      <c r="U179" s="290">
        <f t="shared" si="99"/>
        <v>2.9230769230769229</v>
      </c>
      <c r="V179" s="290">
        <f t="shared" si="99"/>
        <v>120.61538461538461</v>
      </c>
      <c r="W179" s="290">
        <f t="shared" si="99"/>
        <v>329.38461538461547</v>
      </c>
      <c r="X179" s="290">
        <f t="shared" si="99"/>
        <v>406.5384615384616</v>
      </c>
      <c r="Y179" s="290">
        <f t="shared" si="99"/>
        <v>356.92307692307679</v>
      </c>
      <c r="Z179" s="252">
        <f t="shared" si="99"/>
        <v>241.69230769230774</v>
      </c>
      <c r="AA179" s="252">
        <f t="shared" si="99"/>
        <v>318.23076923076934</v>
      </c>
      <c r="AB179" s="252">
        <f t="shared" si="99"/>
        <v>267.61538461538453</v>
      </c>
      <c r="AC179" s="251">
        <f t="shared" ref="AC179:AC184" si="101">AU112</f>
        <v>80.700699999999998</v>
      </c>
      <c r="AD179" s="252">
        <f t="shared" si="99"/>
        <v>310.61538461538453</v>
      </c>
      <c r="AE179" s="252">
        <f t="shared" si="99"/>
        <v>321.15384615384613</v>
      </c>
    </row>
    <row r="180" spans="1:37">
      <c r="A180" s="240" t="s">
        <v>233</v>
      </c>
      <c r="B180" s="290">
        <f t="shared" si="98"/>
        <v>0</v>
      </c>
      <c r="C180" s="290">
        <f t="shared" si="100"/>
        <v>0</v>
      </c>
      <c r="D180" s="290">
        <f t="shared" si="99"/>
        <v>0</v>
      </c>
      <c r="E180" s="290">
        <f t="shared" si="99"/>
        <v>0</v>
      </c>
      <c r="F180" s="290">
        <f t="shared" si="99"/>
        <v>0</v>
      </c>
      <c r="G180" s="290">
        <f t="shared" si="99"/>
        <v>0</v>
      </c>
      <c r="H180" s="290">
        <f t="shared" si="99"/>
        <v>0.92307692307692313</v>
      </c>
      <c r="I180" s="290">
        <f t="shared" si="99"/>
        <v>2</v>
      </c>
      <c r="J180" s="290">
        <f t="shared" si="99"/>
        <v>2</v>
      </c>
      <c r="K180" s="290">
        <f t="shared" si="99"/>
        <v>2.9230769230769225</v>
      </c>
      <c r="L180" s="290">
        <f t="shared" si="99"/>
        <v>4.4615384615384599</v>
      </c>
      <c r="M180" s="290">
        <f t="shared" si="99"/>
        <v>5</v>
      </c>
      <c r="N180" s="290">
        <f t="shared" si="99"/>
        <v>5</v>
      </c>
      <c r="O180" s="290">
        <f t="shared" si="99"/>
        <v>5</v>
      </c>
      <c r="P180" s="290">
        <f t="shared" si="99"/>
        <v>9.6153846153846168</v>
      </c>
      <c r="Q180" s="290">
        <f t="shared" si="99"/>
        <v>33.92307692307692</v>
      </c>
      <c r="R180" s="290">
        <f t="shared" si="99"/>
        <v>88.769230769230788</v>
      </c>
      <c r="S180" s="290">
        <f t="shared" si="99"/>
        <v>127</v>
      </c>
      <c r="T180" s="290">
        <f t="shared" si="99"/>
        <v>68.84615384615384</v>
      </c>
      <c r="U180" s="290">
        <f t="shared" si="99"/>
        <v>3.3076923076923075</v>
      </c>
      <c r="V180" s="290">
        <f t="shared" si="99"/>
        <v>143.53846153846155</v>
      </c>
      <c r="W180" s="290">
        <f t="shared" si="99"/>
        <v>334.46153846153857</v>
      </c>
      <c r="X180" s="290">
        <f t="shared" si="99"/>
        <v>413.84615384615392</v>
      </c>
      <c r="Y180" s="290">
        <f t="shared" si="99"/>
        <v>335.30769230769215</v>
      </c>
      <c r="Z180" s="252">
        <f t="shared" si="99"/>
        <v>253.23076923076928</v>
      </c>
      <c r="AA180" s="252">
        <f t="shared" si="99"/>
        <v>315.07692307692321</v>
      </c>
      <c r="AB180" s="252">
        <f t="shared" si="99"/>
        <v>262.53846153846143</v>
      </c>
      <c r="AC180" s="251">
        <f t="shared" si="101"/>
        <v>110.7076</v>
      </c>
      <c r="AD180" s="252">
        <f t="shared" si="99"/>
        <v>315.53846153846143</v>
      </c>
      <c r="AE180" s="252">
        <f t="shared" si="99"/>
        <v>315.38461538461536</v>
      </c>
    </row>
    <row r="181" spans="1:37">
      <c r="A181" s="240" t="s">
        <v>234</v>
      </c>
      <c r="B181" s="290">
        <f t="shared" si="98"/>
        <v>0</v>
      </c>
      <c r="C181" s="290">
        <f t="shared" si="100"/>
        <v>0</v>
      </c>
      <c r="D181" s="290">
        <f t="shared" si="99"/>
        <v>0</v>
      </c>
      <c r="E181" s="290">
        <f t="shared" si="99"/>
        <v>0</v>
      </c>
      <c r="F181" s="290">
        <f t="shared" si="99"/>
        <v>0</v>
      </c>
      <c r="G181" s="290">
        <f t="shared" si="99"/>
        <v>0</v>
      </c>
      <c r="H181" s="290">
        <f t="shared" si="99"/>
        <v>1.0769230769230771</v>
      </c>
      <c r="I181" s="290">
        <f t="shared" si="99"/>
        <v>2</v>
      </c>
      <c r="J181" s="290">
        <f t="shared" si="99"/>
        <v>2</v>
      </c>
      <c r="K181" s="290">
        <f t="shared" si="99"/>
        <v>3.0769230769230762</v>
      </c>
      <c r="L181" s="290">
        <f t="shared" si="99"/>
        <v>4.5384615384615365</v>
      </c>
      <c r="M181" s="290">
        <f t="shared" si="99"/>
        <v>5</v>
      </c>
      <c r="N181" s="290">
        <f t="shared" si="99"/>
        <v>5</v>
      </c>
      <c r="O181" s="290">
        <f t="shared" si="99"/>
        <v>5</v>
      </c>
      <c r="P181" s="290">
        <f t="shared" si="99"/>
        <v>10.384615384615387</v>
      </c>
      <c r="Q181" s="290">
        <f t="shared" si="99"/>
        <v>37.076923076923073</v>
      </c>
      <c r="R181" s="290">
        <f t="shared" si="99"/>
        <v>94.230769230769255</v>
      </c>
      <c r="S181" s="290">
        <f t="shared" si="99"/>
        <v>127</v>
      </c>
      <c r="T181" s="290">
        <f t="shared" si="99"/>
        <v>59.153846153846146</v>
      </c>
      <c r="U181" s="290">
        <f t="shared" si="99"/>
        <v>3.6923076923076921</v>
      </c>
      <c r="V181" s="290">
        <f t="shared" si="99"/>
        <v>166.46153846153848</v>
      </c>
      <c r="W181" s="290">
        <f t="shared" si="99"/>
        <v>339.53846153846166</v>
      </c>
      <c r="X181" s="290">
        <f t="shared" si="99"/>
        <v>421.15384615384625</v>
      </c>
      <c r="Y181" s="290">
        <f t="shared" si="99"/>
        <v>313.69230769230751</v>
      </c>
      <c r="Z181" s="252">
        <f t="shared" si="99"/>
        <v>264.76923076923083</v>
      </c>
      <c r="AA181" s="252">
        <f t="shared" si="99"/>
        <v>311.92307692307708</v>
      </c>
      <c r="AB181" s="252">
        <f t="shared" si="99"/>
        <v>257.46153846153834</v>
      </c>
      <c r="AC181" s="251">
        <f t="shared" si="101"/>
        <v>83.831900000000005</v>
      </c>
      <c r="AD181" s="252">
        <f t="shared" si="99"/>
        <v>320.46153846153834</v>
      </c>
      <c r="AE181" s="252">
        <f t="shared" si="99"/>
        <v>309.61538461538458</v>
      </c>
    </row>
    <row r="182" spans="1:37">
      <c r="A182" s="240" t="s">
        <v>46</v>
      </c>
      <c r="B182" s="290">
        <f t="shared" si="98"/>
        <v>0</v>
      </c>
      <c r="C182" s="290">
        <f t="shared" si="100"/>
        <v>0</v>
      </c>
      <c r="D182" s="290">
        <f t="shared" si="99"/>
        <v>0</v>
      </c>
      <c r="E182" s="290">
        <f t="shared" si="99"/>
        <v>0</v>
      </c>
      <c r="F182" s="290">
        <f t="shared" si="99"/>
        <v>0</v>
      </c>
      <c r="G182" s="290">
        <f t="shared" si="99"/>
        <v>0</v>
      </c>
      <c r="H182" s="290">
        <f t="shared" si="99"/>
        <v>1.2307692307692308</v>
      </c>
      <c r="I182" s="290">
        <f t="shared" si="99"/>
        <v>2</v>
      </c>
      <c r="J182" s="290">
        <f t="shared" si="99"/>
        <v>2</v>
      </c>
      <c r="K182" s="290">
        <f t="shared" si="99"/>
        <v>3.2307692307692299</v>
      </c>
      <c r="L182" s="290">
        <f t="shared" si="99"/>
        <v>4.6153846153846132</v>
      </c>
      <c r="M182" s="290">
        <f t="shared" si="99"/>
        <v>5</v>
      </c>
      <c r="N182" s="290">
        <f t="shared" si="99"/>
        <v>5</v>
      </c>
      <c r="O182" s="290">
        <f t="shared" si="99"/>
        <v>5</v>
      </c>
      <c r="P182" s="290">
        <f t="shared" si="99"/>
        <v>11.153846153846157</v>
      </c>
      <c r="Q182" s="290">
        <f t="shared" si="99"/>
        <v>40.230769230769226</v>
      </c>
      <c r="R182" s="290">
        <f t="shared" si="99"/>
        <v>99.692307692307722</v>
      </c>
      <c r="S182" s="290">
        <f t="shared" si="99"/>
        <v>127</v>
      </c>
      <c r="T182" s="290">
        <f t="shared" si="99"/>
        <v>49.461538461538453</v>
      </c>
      <c r="U182" s="290">
        <f t="shared" si="99"/>
        <v>4.0769230769230766</v>
      </c>
      <c r="V182" s="290">
        <f t="shared" si="99"/>
        <v>189.38461538461542</v>
      </c>
      <c r="W182" s="290">
        <f t="shared" si="99"/>
        <v>344.61538461538476</v>
      </c>
      <c r="X182" s="290">
        <f t="shared" si="99"/>
        <v>428.46153846153857</v>
      </c>
      <c r="Y182" s="290">
        <f t="shared" si="99"/>
        <v>292.07692307692287</v>
      </c>
      <c r="Z182" s="252">
        <f t="shared" si="99"/>
        <v>276.30769230769238</v>
      </c>
      <c r="AA182" s="252">
        <f t="shared" si="99"/>
        <v>308.76923076923094</v>
      </c>
      <c r="AB182" s="252">
        <f t="shared" si="99"/>
        <v>252.38461538461527</v>
      </c>
      <c r="AC182" s="251">
        <f t="shared" si="101"/>
        <v>72.370400000000004</v>
      </c>
      <c r="AD182" s="252">
        <f t="shared" si="99"/>
        <v>325.38461538461524</v>
      </c>
      <c r="AE182" s="252">
        <f t="shared" si="99"/>
        <v>303.84615384615381</v>
      </c>
    </row>
    <row r="183" spans="1:37">
      <c r="A183" s="240" t="s">
        <v>235</v>
      </c>
      <c r="B183" s="290">
        <f t="shared" si="98"/>
        <v>0</v>
      </c>
      <c r="C183" s="290">
        <f t="shared" si="100"/>
        <v>0</v>
      </c>
      <c r="D183" s="290">
        <f t="shared" si="99"/>
        <v>0</v>
      </c>
      <c r="E183" s="290">
        <f t="shared" si="99"/>
        <v>0</v>
      </c>
      <c r="F183" s="290">
        <f t="shared" si="99"/>
        <v>0</v>
      </c>
      <c r="G183" s="290">
        <f t="shared" si="99"/>
        <v>0</v>
      </c>
      <c r="H183" s="290">
        <f t="shared" si="99"/>
        <v>1.3846153846153846</v>
      </c>
      <c r="I183" s="290">
        <f t="shared" si="99"/>
        <v>2</v>
      </c>
      <c r="J183" s="290">
        <f t="shared" si="99"/>
        <v>2</v>
      </c>
      <c r="K183" s="290">
        <f t="shared" si="99"/>
        <v>3.3846153846153837</v>
      </c>
      <c r="L183" s="290">
        <f t="shared" si="99"/>
        <v>4.6923076923076898</v>
      </c>
      <c r="M183" s="290">
        <f t="shared" si="99"/>
        <v>5</v>
      </c>
      <c r="N183" s="290">
        <f t="shared" si="99"/>
        <v>5</v>
      </c>
      <c r="O183" s="290">
        <f t="shared" si="99"/>
        <v>5</v>
      </c>
      <c r="P183" s="290">
        <f t="shared" si="99"/>
        <v>11.923076923076927</v>
      </c>
      <c r="Q183" s="290">
        <f t="shared" si="99"/>
        <v>43.38461538461538</v>
      </c>
      <c r="R183" s="290">
        <f t="shared" si="99"/>
        <v>105.15384615384619</v>
      </c>
      <c r="S183" s="290">
        <f t="shared" si="99"/>
        <v>127</v>
      </c>
      <c r="T183" s="290">
        <f t="shared" si="99"/>
        <v>39.769230769230759</v>
      </c>
      <c r="U183" s="290">
        <f t="shared" si="99"/>
        <v>4.4615384615384617</v>
      </c>
      <c r="V183" s="290">
        <f t="shared" si="99"/>
        <v>212.30769230769235</v>
      </c>
      <c r="W183" s="290">
        <f t="shared" si="99"/>
        <v>349.69230769230785</v>
      </c>
      <c r="X183" s="290">
        <f t="shared" si="99"/>
        <v>435.76923076923089</v>
      </c>
      <c r="Y183" s="290">
        <f t="shared" si="99"/>
        <v>270.46153846153823</v>
      </c>
      <c r="Z183" s="252">
        <f t="shared" si="99"/>
        <v>287.84615384615392</v>
      </c>
      <c r="AA183" s="252">
        <f t="shared" si="99"/>
        <v>305.61538461538481</v>
      </c>
      <c r="AB183" s="252">
        <f t="shared" si="99"/>
        <v>247.30769230769221</v>
      </c>
      <c r="AC183" s="251">
        <f t="shared" si="101"/>
        <v>54.687199999999997</v>
      </c>
      <c r="AD183" s="252">
        <f t="shared" si="99"/>
        <v>330.30769230769215</v>
      </c>
      <c r="AE183" s="252">
        <f t="shared" si="99"/>
        <v>298.07692307692304</v>
      </c>
    </row>
    <row r="184" spans="1:37">
      <c r="A184" s="240" t="s">
        <v>236</v>
      </c>
      <c r="B184" s="290">
        <f t="shared" si="98"/>
        <v>0</v>
      </c>
      <c r="C184" s="290">
        <f t="shared" si="100"/>
        <v>0</v>
      </c>
      <c r="D184" s="290">
        <f t="shared" si="99"/>
        <v>0</v>
      </c>
      <c r="E184" s="290">
        <f t="shared" si="99"/>
        <v>0</v>
      </c>
      <c r="F184" s="290">
        <f t="shared" si="99"/>
        <v>0</v>
      </c>
      <c r="G184" s="290">
        <f t="shared" si="99"/>
        <v>0</v>
      </c>
      <c r="H184" s="290">
        <f t="shared" si="99"/>
        <v>1.5384615384615383</v>
      </c>
      <c r="I184" s="290">
        <f t="shared" si="99"/>
        <v>2</v>
      </c>
      <c r="J184" s="290">
        <f t="shared" si="99"/>
        <v>2</v>
      </c>
      <c r="K184" s="290">
        <f t="shared" si="99"/>
        <v>3.5384615384615374</v>
      </c>
      <c r="L184" s="290">
        <f t="shared" si="99"/>
        <v>4.7692307692307665</v>
      </c>
      <c r="M184" s="290">
        <f t="shared" si="99"/>
        <v>5</v>
      </c>
      <c r="N184" s="290">
        <f t="shared" si="99"/>
        <v>5</v>
      </c>
      <c r="O184" s="290">
        <f t="shared" si="99"/>
        <v>5</v>
      </c>
      <c r="P184" s="290">
        <f t="shared" si="99"/>
        <v>12.692307692307697</v>
      </c>
      <c r="Q184" s="290">
        <f t="shared" si="99"/>
        <v>46.538461538461533</v>
      </c>
      <c r="R184" s="290">
        <f t="shared" si="99"/>
        <v>110.61538461538466</v>
      </c>
      <c r="S184" s="290">
        <f t="shared" si="99"/>
        <v>127</v>
      </c>
      <c r="T184" s="290">
        <f t="shared" si="99"/>
        <v>30.076923076923066</v>
      </c>
      <c r="U184" s="290">
        <f t="shared" si="99"/>
        <v>4.8461538461538467</v>
      </c>
      <c r="V184" s="290">
        <f t="shared" si="99"/>
        <v>235.23076923076928</v>
      </c>
      <c r="W184" s="290">
        <f t="shared" si="99"/>
        <v>354.76923076923094</v>
      </c>
      <c r="X184" s="290">
        <f t="shared" si="99"/>
        <v>443.07692307692321</v>
      </c>
      <c r="Y184" s="290">
        <f t="shared" si="99"/>
        <v>248.84615384615361</v>
      </c>
      <c r="Z184" s="252">
        <f t="shared" si="99"/>
        <v>299.38461538461547</v>
      </c>
      <c r="AA184" s="252">
        <f t="shared" si="99"/>
        <v>302.46153846153868</v>
      </c>
      <c r="AB184" s="252">
        <f t="shared" si="99"/>
        <v>242.23076923076914</v>
      </c>
      <c r="AC184" s="251">
        <f t="shared" si="101"/>
        <v>78.718400000000003</v>
      </c>
      <c r="AD184" s="252">
        <f t="shared" si="99"/>
        <v>335.23076923076906</v>
      </c>
      <c r="AE184" s="252">
        <f t="shared" si="99"/>
        <v>292.30769230769226</v>
      </c>
    </row>
    <row r="185" spans="1:37">
      <c r="A185" s="240" t="s">
        <v>237</v>
      </c>
      <c r="B185" s="290">
        <f t="shared" si="98"/>
        <v>0</v>
      </c>
      <c r="C185" s="290">
        <f t="shared" si="100"/>
        <v>0</v>
      </c>
      <c r="D185" s="290">
        <f t="shared" si="99"/>
        <v>0</v>
      </c>
      <c r="E185" s="290">
        <f t="shared" si="99"/>
        <v>0</v>
      </c>
      <c r="F185" s="290">
        <f t="shared" si="99"/>
        <v>0</v>
      </c>
      <c r="G185" s="290">
        <f t="shared" si="99"/>
        <v>0</v>
      </c>
      <c r="H185" s="290">
        <f t="shared" si="99"/>
        <v>1.6923076923076921</v>
      </c>
      <c r="I185" s="290">
        <f t="shared" si="99"/>
        <v>2</v>
      </c>
      <c r="J185" s="290">
        <f t="shared" si="99"/>
        <v>2</v>
      </c>
      <c r="K185" s="290">
        <f t="shared" si="99"/>
        <v>3.6923076923076912</v>
      </c>
      <c r="L185" s="290">
        <f t="shared" si="99"/>
        <v>4.8461538461538431</v>
      </c>
      <c r="M185" s="290">
        <f t="shared" si="99"/>
        <v>5</v>
      </c>
      <c r="N185" s="290">
        <f t="shared" ref="N185:AE185" si="102">(N$186-M$186)/13+N184</f>
        <v>5</v>
      </c>
      <c r="O185" s="290">
        <f t="shared" si="102"/>
        <v>5</v>
      </c>
      <c r="P185" s="290">
        <f t="shared" si="102"/>
        <v>13.461538461538467</v>
      </c>
      <c r="Q185" s="290">
        <f t="shared" si="102"/>
        <v>49.692307692307686</v>
      </c>
      <c r="R185" s="290">
        <f t="shared" si="102"/>
        <v>116.07692307692312</v>
      </c>
      <c r="S185" s="290">
        <f t="shared" si="102"/>
        <v>127</v>
      </c>
      <c r="T185" s="290">
        <f t="shared" si="102"/>
        <v>20.384615384615373</v>
      </c>
      <c r="U185" s="290">
        <f t="shared" si="102"/>
        <v>5.2307692307692317</v>
      </c>
      <c r="V185" s="290">
        <f t="shared" si="102"/>
        <v>258.15384615384619</v>
      </c>
      <c r="W185" s="290">
        <f t="shared" si="102"/>
        <v>359.84615384615404</v>
      </c>
      <c r="X185" s="290">
        <f t="shared" si="102"/>
        <v>450.38461538461553</v>
      </c>
      <c r="Y185" s="290">
        <f t="shared" si="102"/>
        <v>227.230769230769</v>
      </c>
      <c r="Z185" s="252">
        <f t="shared" si="102"/>
        <v>310.92307692307702</v>
      </c>
      <c r="AA185" s="252">
        <f t="shared" si="102"/>
        <v>299.30769230769255</v>
      </c>
      <c r="AB185" s="252">
        <f t="shared" si="102"/>
        <v>237.15384615384608</v>
      </c>
      <c r="AC185" s="252">
        <f t="shared" si="102"/>
        <v>83.256861538461536</v>
      </c>
      <c r="AD185" s="252">
        <f t="shared" si="102"/>
        <v>340.15384615384596</v>
      </c>
      <c r="AE185" s="252">
        <f t="shared" si="102"/>
        <v>286.53846153846149</v>
      </c>
    </row>
    <row r="186" spans="1:37" ht="15.75" thickBot="1">
      <c r="A186" s="240" t="s">
        <v>238</v>
      </c>
      <c r="B186" s="267">
        <f t="shared" ref="B186:AE186" si="103">B29</f>
        <v>0</v>
      </c>
      <c r="C186" s="267">
        <f t="shared" si="103"/>
        <v>0</v>
      </c>
      <c r="D186" s="267">
        <f t="shared" si="103"/>
        <v>0</v>
      </c>
      <c r="E186" s="267">
        <f t="shared" si="103"/>
        <v>0</v>
      </c>
      <c r="F186" s="267">
        <f t="shared" si="103"/>
        <v>0</v>
      </c>
      <c r="G186" s="267">
        <f t="shared" si="103"/>
        <v>0</v>
      </c>
      <c r="H186" s="267">
        <f t="shared" si="103"/>
        <v>2</v>
      </c>
      <c r="I186" s="267">
        <f t="shared" si="103"/>
        <v>2</v>
      </c>
      <c r="J186" s="267">
        <f t="shared" si="103"/>
        <v>2</v>
      </c>
      <c r="K186" s="267">
        <f t="shared" si="103"/>
        <v>4</v>
      </c>
      <c r="L186" s="267">
        <f t="shared" si="103"/>
        <v>5</v>
      </c>
      <c r="M186" s="267">
        <f t="shared" si="103"/>
        <v>5</v>
      </c>
      <c r="N186" s="267">
        <f t="shared" si="103"/>
        <v>5</v>
      </c>
      <c r="O186" s="267">
        <f t="shared" si="103"/>
        <v>5</v>
      </c>
      <c r="P186" s="267">
        <f t="shared" si="103"/>
        <v>15</v>
      </c>
      <c r="Q186" s="267">
        <f t="shared" si="103"/>
        <v>56</v>
      </c>
      <c r="R186" s="267">
        <f t="shared" si="103"/>
        <v>127</v>
      </c>
      <c r="S186" s="267">
        <f t="shared" si="103"/>
        <v>127</v>
      </c>
      <c r="T186" s="267">
        <f t="shared" si="103"/>
        <v>1</v>
      </c>
      <c r="U186" s="267">
        <f t="shared" si="103"/>
        <v>6</v>
      </c>
      <c r="V186" s="267">
        <f t="shared" si="103"/>
        <v>304</v>
      </c>
      <c r="W186" s="267">
        <f t="shared" si="103"/>
        <v>370</v>
      </c>
      <c r="X186" s="267">
        <f t="shared" si="103"/>
        <v>465</v>
      </c>
      <c r="Y186" s="267">
        <f t="shared" si="103"/>
        <v>184</v>
      </c>
      <c r="Z186" s="268">
        <f t="shared" si="103"/>
        <v>334</v>
      </c>
      <c r="AA186" s="268">
        <f t="shared" si="103"/>
        <v>293</v>
      </c>
      <c r="AB186" s="268">
        <f t="shared" si="103"/>
        <v>227</v>
      </c>
      <c r="AC186" s="268">
        <f t="shared" si="103"/>
        <v>286</v>
      </c>
      <c r="AD186" s="268">
        <f t="shared" si="103"/>
        <v>350</v>
      </c>
      <c r="AE186" s="268">
        <f t="shared" si="103"/>
        <v>275</v>
      </c>
    </row>
    <row r="187" spans="1:37">
      <c r="A187" s="248"/>
      <c r="B187" s="248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  <c r="AA187" s="248"/>
      <c r="AB187" s="248"/>
      <c r="AC187" s="248"/>
      <c r="AD187" s="248"/>
      <c r="AE187" s="248"/>
    </row>
    <row r="188" spans="1:37" ht="15.75" thickBot="1">
      <c r="A188" s="235" t="s">
        <v>261</v>
      </c>
    </row>
    <row r="189" spans="1:37" ht="15.75" thickBot="1">
      <c r="A189" s="236"/>
      <c r="B189" s="237" t="str">
        <f>B$2</f>
        <v xml:space="preserve">93/94 </v>
      </c>
      <c r="C189" s="237" t="str">
        <f t="shared" ref="C189:AE189" si="104">C$2</f>
        <v xml:space="preserve">94/95 </v>
      </c>
      <c r="D189" s="237" t="str">
        <f t="shared" si="104"/>
        <v xml:space="preserve">95/96 </v>
      </c>
      <c r="E189" s="237" t="str">
        <f t="shared" si="104"/>
        <v xml:space="preserve">96/97 </v>
      </c>
      <c r="F189" s="237" t="str">
        <f t="shared" si="104"/>
        <v xml:space="preserve">97/98 </v>
      </c>
      <c r="G189" s="237" t="str">
        <f t="shared" si="104"/>
        <v xml:space="preserve">98/99 </v>
      </c>
      <c r="H189" s="237" t="str">
        <f t="shared" si="104"/>
        <v xml:space="preserve">99/00 </v>
      </c>
      <c r="I189" s="237" t="str">
        <f t="shared" si="104"/>
        <v xml:space="preserve">00/01 </v>
      </c>
      <c r="J189" s="237" t="str">
        <f t="shared" si="104"/>
        <v xml:space="preserve">01/02 </v>
      </c>
      <c r="K189" s="237" t="str">
        <f t="shared" si="104"/>
        <v xml:space="preserve">02/03 </v>
      </c>
      <c r="L189" s="237" t="str">
        <f t="shared" si="104"/>
        <v xml:space="preserve">03/04 </v>
      </c>
      <c r="M189" s="237" t="str">
        <f t="shared" si="104"/>
        <v xml:space="preserve">04/05 </v>
      </c>
      <c r="N189" s="237" t="str">
        <f t="shared" si="104"/>
        <v xml:space="preserve">05/06 </v>
      </c>
      <c r="O189" s="237" t="str">
        <f t="shared" si="104"/>
        <v xml:space="preserve">06/07 </v>
      </c>
      <c r="P189" s="237" t="str">
        <f t="shared" si="104"/>
        <v xml:space="preserve">07/08 </v>
      </c>
      <c r="Q189" s="237" t="str">
        <f t="shared" si="104"/>
        <v xml:space="preserve">08/09 </v>
      </c>
      <c r="R189" s="237" t="str">
        <f t="shared" si="104"/>
        <v xml:space="preserve">09/10 </v>
      </c>
      <c r="S189" s="237" t="str">
        <f t="shared" si="104"/>
        <v xml:space="preserve">10/11 </v>
      </c>
      <c r="T189" s="237" t="str">
        <f t="shared" si="104"/>
        <v xml:space="preserve">11/12 </v>
      </c>
      <c r="U189" s="237" t="str">
        <f t="shared" si="104"/>
        <v xml:space="preserve">12/13 </v>
      </c>
      <c r="V189" s="237" t="str">
        <f t="shared" si="104"/>
        <v xml:space="preserve">13/14 </v>
      </c>
      <c r="W189" s="237" t="str">
        <f t="shared" si="104"/>
        <v xml:space="preserve">14/15 </v>
      </c>
      <c r="X189" s="237" t="str">
        <f t="shared" si="104"/>
        <v xml:space="preserve">15/16 </v>
      </c>
      <c r="Y189" s="237" t="str">
        <f t="shared" si="104"/>
        <v xml:space="preserve">16/17 </v>
      </c>
      <c r="Z189" s="237" t="str">
        <f t="shared" si="104"/>
        <v xml:space="preserve">17/18 </v>
      </c>
      <c r="AA189" s="237" t="str">
        <f t="shared" si="104"/>
        <v xml:space="preserve">18/19 </v>
      </c>
      <c r="AB189" s="237" t="str">
        <f t="shared" si="104"/>
        <v xml:space="preserve">19/20 </v>
      </c>
      <c r="AC189" s="237" t="str">
        <f t="shared" si="104"/>
        <v xml:space="preserve">20/21 </v>
      </c>
      <c r="AD189" s="237" t="str">
        <f t="shared" si="104"/>
        <v>21/22</v>
      </c>
      <c r="AE189" s="237" t="str">
        <f t="shared" si="104"/>
        <v>22/23</v>
      </c>
    </row>
    <row r="190" spans="1:37">
      <c r="A190" s="240" t="s">
        <v>239</v>
      </c>
      <c r="Z190" s="146"/>
      <c r="AA190" s="146">
        <v>259</v>
      </c>
      <c r="AB190" s="146">
        <v>196</v>
      </c>
      <c r="AC190" s="146">
        <v>265</v>
      </c>
      <c r="AD190" s="146">
        <v>277</v>
      </c>
      <c r="AE190" s="356">
        <f>MROUND('[4]Soy Complex-old'!BL260*0.48*1.10231,10)</f>
        <v>250</v>
      </c>
      <c r="AF190" s="361"/>
      <c r="AG190" s="361"/>
      <c r="AH190" s="362"/>
      <c r="AI190" s="362"/>
      <c r="AJ190" s="362"/>
      <c r="AK190" s="362"/>
    </row>
    <row r="191" spans="1:37">
      <c r="A191" s="240" t="s">
        <v>240</v>
      </c>
      <c r="Z191" s="146"/>
      <c r="AA191" s="146">
        <v>220</v>
      </c>
      <c r="AB191" s="146">
        <v>200</v>
      </c>
      <c r="AC191" s="146">
        <v>320</v>
      </c>
      <c r="AD191" s="146">
        <v>265</v>
      </c>
      <c r="AE191" s="356">
        <f>MROUND('[4]Soy Complex-old'!BL261*0.48*1.10231,10)</f>
        <v>230</v>
      </c>
      <c r="AF191" s="361"/>
      <c r="AG191" s="361"/>
      <c r="AH191" s="362"/>
      <c r="AI191" s="362"/>
      <c r="AJ191" s="362"/>
      <c r="AK191" s="362"/>
    </row>
    <row r="192" spans="1:37">
      <c r="A192" s="240" t="s">
        <v>241</v>
      </c>
      <c r="Z192" s="146"/>
      <c r="AA192" s="146">
        <v>214</v>
      </c>
      <c r="AB192" s="146">
        <v>200</v>
      </c>
      <c r="AC192" s="146">
        <v>325</v>
      </c>
      <c r="AD192" s="146">
        <v>275</v>
      </c>
      <c r="AE192" s="356">
        <f>MROUND('[4]Soy Complex-old'!BL262*0.48*1.10231,10)</f>
        <v>240</v>
      </c>
      <c r="AF192" s="361"/>
      <c r="AG192" s="361"/>
      <c r="AH192" s="362"/>
      <c r="AI192" s="362"/>
      <c r="AJ192" s="362"/>
      <c r="AK192" s="362"/>
    </row>
    <row r="193" spans="1:51">
      <c r="A193" s="240" t="s">
        <v>231</v>
      </c>
      <c r="Z193" s="146"/>
      <c r="AA193" s="146">
        <v>205</v>
      </c>
      <c r="AB193" s="146">
        <v>208</v>
      </c>
      <c r="AC193" s="146">
        <v>347</v>
      </c>
      <c r="AD193" s="146">
        <v>287</v>
      </c>
      <c r="AE193" s="356">
        <f>MROUND('[4]Soy Complex-old'!BL263*0.48*1.10231,10)</f>
        <v>260</v>
      </c>
      <c r="AF193" s="361"/>
      <c r="AG193" s="361"/>
      <c r="AH193" s="362"/>
      <c r="AI193" s="362"/>
      <c r="AJ193" s="362"/>
      <c r="AK193" s="362"/>
    </row>
    <row r="194" spans="1:51">
      <c r="A194" s="240" t="s">
        <v>232</v>
      </c>
      <c r="Z194" s="146"/>
      <c r="AA194" s="146">
        <v>199</v>
      </c>
      <c r="AB194" s="146">
        <v>206</v>
      </c>
      <c r="AC194" s="146">
        <v>340</v>
      </c>
      <c r="AD194" s="146">
        <v>307</v>
      </c>
      <c r="AE194" s="356">
        <f>MROUND('[4]Soy Complex-old'!BL264*0.48*1.10231,10)</f>
        <v>260</v>
      </c>
      <c r="AF194" s="361"/>
      <c r="AG194" s="361"/>
      <c r="AH194" s="362"/>
      <c r="AI194" s="362"/>
      <c r="AJ194" s="362"/>
      <c r="AK194" s="362"/>
    </row>
    <row r="195" spans="1:51">
      <c r="A195" s="240" t="s">
        <v>233</v>
      </c>
      <c r="Z195" s="146"/>
      <c r="AA195" s="146">
        <v>202</v>
      </c>
      <c r="AB195" s="146">
        <v>217</v>
      </c>
      <c r="AC195" s="146">
        <v>310</v>
      </c>
      <c r="AD195" s="356">
        <f>MROUND('[4]Soy Complex-old'!BK265*0.48*1.10231,10)</f>
        <v>260</v>
      </c>
      <c r="AE195" s="356">
        <f>MROUND('[4]Soy Complex-old'!BL265*0.48*1.10231,10)</f>
        <v>260</v>
      </c>
      <c r="AF195" s="361"/>
      <c r="AG195" s="361"/>
      <c r="AH195" s="362"/>
      <c r="AI195" s="362"/>
      <c r="AJ195" s="362"/>
      <c r="AK195" s="362"/>
    </row>
    <row r="196" spans="1:51">
      <c r="A196" s="240" t="s">
        <v>234</v>
      </c>
      <c r="Z196" s="146"/>
      <c r="AA196" s="146">
        <v>208</v>
      </c>
      <c r="AB196" s="146">
        <v>240</v>
      </c>
      <c r="AC196" s="146">
        <v>340</v>
      </c>
      <c r="AD196" s="356">
        <f>MROUND('[4]Soy Complex-old'!BK266*0.48*1.10231,10)</f>
        <v>250</v>
      </c>
      <c r="AE196" s="356">
        <f>MROUND('[4]Soy Complex-old'!BL266*0.48*1.10231,10)</f>
        <v>240</v>
      </c>
      <c r="AF196" s="361"/>
      <c r="AG196" s="361"/>
      <c r="AH196" s="362"/>
      <c r="AI196" s="362"/>
      <c r="AJ196" s="362"/>
      <c r="AK196" s="362"/>
    </row>
    <row r="197" spans="1:51">
      <c r="A197" s="240" t="s">
        <v>46</v>
      </c>
      <c r="Z197" s="146"/>
      <c r="AA197" s="146">
        <v>215</v>
      </c>
      <c r="AB197" s="146">
        <v>225</v>
      </c>
      <c r="AC197" s="146">
        <v>315</v>
      </c>
      <c r="AD197" s="356">
        <f>MROUND('[4]Soy Complex-old'!BK267*0.48*1.10231,10)</f>
        <v>230</v>
      </c>
      <c r="AE197" s="356">
        <f>MROUND('[4]Soy Complex-old'!BL267*0.48*1.10231,10)</f>
        <v>220</v>
      </c>
      <c r="AF197" s="361"/>
      <c r="AG197" s="361"/>
      <c r="AH197" s="362"/>
      <c r="AI197" s="362"/>
      <c r="AJ197" s="362"/>
      <c r="AK197" s="362"/>
      <c r="AO197" s="363"/>
    </row>
    <row r="198" spans="1:51">
      <c r="A198" s="240" t="s">
        <v>235</v>
      </c>
      <c r="Z198" s="146">
        <v>262</v>
      </c>
      <c r="AA198" s="146">
        <v>230</v>
      </c>
      <c r="AB198" s="146">
        <v>228</v>
      </c>
      <c r="AC198" s="146">
        <v>297</v>
      </c>
      <c r="AD198" s="356">
        <f>MROUND('[4]Soy Complex-old'!BK268*0.48*1.10231,10)</f>
        <v>240</v>
      </c>
      <c r="AE198" s="356">
        <f>MROUND('[4]Soy Complex-old'!BL268*0.48*1.10231,10)</f>
        <v>220</v>
      </c>
      <c r="AF198" s="361"/>
      <c r="AG198" s="361"/>
      <c r="AH198" s="362"/>
      <c r="AI198" s="362"/>
      <c r="AJ198" s="362"/>
      <c r="AK198" s="362"/>
      <c r="AO198" s="364" t="s">
        <v>323</v>
      </c>
    </row>
    <row r="199" spans="1:51">
      <c r="A199" s="240" t="s">
        <v>236</v>
      </c>
      <c r="Z199" s="146">
        <v>250</v>
      </c>
      <c r="AA199" s="146">
        <v>220</v>
      </c>
      <c r="AB199" s="146">
        <v>228</v>
      </c>
      <c r="AC199" s="146">
        <v>280</v>
      </c>
      <c r="AD199" s="356">
        <f>MROUND('[4]Soy Complex-old'!BK269*0.48*1.10231,10)</f>
        <v>250</v>
      </c>
      <c r="AE199" s="356">
        <f>MROUND('[4]Soy Complex-old'!BL269*0.48*1.10231,10)</f>
        <v>230</v>
      </c>
      <c r="AF199" s="361"/>
      <c r="AG199" s="361"/>
      <c r="AH199" s="362"/>
      <c r="AI199" s="362"/>
      <c r="AJ199" s="362"/>
      <c r="AK199" s="362"/>
      <c r="AO199" s="363" t="s">
        <v>324</v>
      </c>
    </row>
    <row r="200" spans="1:51">
      <c r="A200" s="240" t="s">
        <v>237</v>
      </c>
      <c r="Z200" s="146">
        <v>245</v>
      </c>
      <c r="AA200" s="146">
        <v>215</v>
      </c>
      <c r="AB200" s="146">
        <v>225</v>
      </c>
      <c r="AC200" s="146">
        <v>263</v>
      </c>
      <c r="AD200" s="356">
        <f>MROUND('[4]Soy Complex-old'!BK270*0.48*1.10231,10)</f>
        <v>270</v>
      </c>
      <c r="AE200" s="356">
        <f>MROUND('[4]Soy Complex-old'!BL270*0.48*1.10231,10)</f>
        <v>230</v>
      </c>
      <c r="AF200" s="361"/>
      <c r="AG200" s="361"/>
      <c r="AH200" s="362"/>
      <c r="AI200" s="362"/>
      <c r="AJ200" s="362"/>
      <c r="AK200" s="362"/>
      <c r="AO200" s="363" t="s">
        <v>349</v>
      </c>
    </row>
    <row r="201" spans="1:51">
      <c r="A201" s="240" t="s">
        <v>238</v>
      </c>
      <c r="Z201" s="146">
        <v>225</v>
      </c>
      <c r="AA201" s="146">
        <v>200</v>
      </c>
      <c r="AB201" s="146">
        <v>245</v>
      </c>
      <c r="AC201" s="146">
        <v>275</v>
      </c>
      <c r="AD201" s="356">
        <f>MROUND('[4]Soy Complex-old'!BK271*0.48*1.10231,10)</f>
        <v>250</v>
      </c>
      <c r="AE201" s="356">
        <f>MROUND('[4]Soy Complex-old'!BL271*0.48*1.10231,10)</f>
        <v>220</v>
      </c>
      <c r="AF201" s="361"/>
      <c r="AG201" s="361"/>
      <c r="AH201" s="362"/>
      <c r="AI201" s="362"/>
      <c r="AJ201" s="362"/>
      <c r="AK201" s="362"/>
      <c r="AO201" s="300" t="s">
        <v>350</v>
      </c>
    </row>
    <row r="202" spans="1:51" ht="15.75" thickBot="1">
      <c r="A202" s="240" t="s">
        <v>255</v>
      </c>
      <c r="Z202" s="108"/>
      <c r="AA202" s="146">
        <f>AVERAGE(AA190:AA201)</f>
        <v>215.58333333333334</v>
      </c>
      <c r="AB202" s="146">
        <f t="shared" ref="AB202:AE202" si="105">AVERAGE(AB190:AB201)</f>
        <v>218.16666666666666</v>
      </c>
      <c r="AC202" s="146">
        <f t="shared" si="105"/>
        <v>306.41666666666669</v>
      </c>
      <c r="AD202" s="356">
        <f t="shared" si="105"/>
        <v>263.41666666666669</v>
      </c>
      <c r="AE202" s="356">
        <f t="shared" si="105"/>
        <v>238.33333333333334</v>
      </c>
      <c r="AF202" s="361"/>
      <c r="AG202" s="361"/>
      <c r="AH202" s="362"/>
      <c r="AI202" s="362"/>
      <c r="AJ202" s="362"/>
      <c r="AK202" s="362"/>
      <c r="AO202" s="300" t="s">
        <v>351</v>
      </c>
    </row>
    <row r="203" spans="1:51">
      <c r="A203" s="248"/>
      <c r="B203" s="248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8"/>
      <c r="S203" s="248"/>
      <c r="T203" s="248"/>
      <c r="U203" s="248"/>
      <c r="V203" s="248"/>
      <c r="W203" s="248"/>
      <c r="X203" s="248"/>
      <c r="Y203" s="248"/>
      <c r="Z203" s="248"/>
      <c r="AA203" s="248"/>
      <c r="AB203" s="248"/>
      <c r="AC203" s="248"/>
      <c r="AD203" s="248"/>
      <c r="AE203" s="248"/>
      <c r="AO203" s="365" t="s">
        <v>352</v>
      </c>
      <c r="AY203" t="s">
        <v>353</v>
      </c>
    </row>
    <row r="204" spans="1:51" ht="15.75" thickBot="1">
      <c r="A204" s="235" t="s">
        <v>354</v>
      </c>
      <c r="AO204" s="365"/>
    </row>
    <row r="205" spans="1:51" ht="15.75" thickBot="1">
      <c r="A205" s="236"/>
      <c r="B205" s="237" t="str">
        <f t="shared" ref="B205:AD205" si="106">B2</f>
        <v xml:space="preserve">93/94 </v>
      </c>
      <c r="C205" s="237" t="str">
        <f t="shared" si="106"/>
        <v xml:space="preserve">94/95 </v>
      </c>
      <c r="D205" s="237" t="str">
        <f t="shared" si="106"/>
        <v xml:space="preserve">95/96 </v>
      </c>
      <c r="E205" s="237" t="str">
        <f t="shared" si="106"/>
        <v xml:space="preserve">96/97 </v>
      </c>
      <c r="F205" s="237" t="str">
        <f t="shared" si="106"/>
        <v xml:space="preserve">97/98 </v>
      </c>
      <c r="G205" s="237" t="str">
        <f t="shared" si="106"/>
        <v xml:space="preserve">98/99 </v>
      </c>
      <c r="H205" s="237" t="str">
        <f t="shared" si="106"/>
        <v xml:space="preserve">99/00 </v>
      </c>
      <c r="I205" s="237" t="str">
        <f t="shared" si="106"/>
        <v xml:space="preserve">00/01 </v>
      </c>
      <c r="J205" s="237" t="str">
        <f t="shared" si="106"/>
        <v xml:space="preserve">01/02 </v>
      </c>
      <c r="K205" s="237" t="str">
        <f t="shared" si="106"/>
        <v xml:space="preserve">02/03 </v>
      </c>
      <c r="L205" s="237" t="str">
        <f t="shared" si="106"/>
        <v xml:space="preserve">03/04 </v>
      </c>
      <c r="M205" s="237" t="str">
        <f t="shared" si="106"/>
        <v xml:space="preserve">04/05 </v>
      </c>
      <c r="N205" s="237" t="str">
        <f t="shared" si="106"/>
        <v xml:space="preserve">05/06 </v>
      </c>
      <c r="O205" s="237" t="str">
        <f t="shared" si="106"/>
        <v xml:space="preserve">06/07 </v>
      </c>
      <c r="P205" s="237" t="str">
        <f t="shared" si="106"/>
        <v xml:space="preserve">07/08 </v>
      </c>
      <c r="Q205" s="237" t="str">
        <f t="shared" si="106"/>
        <v xml:space="preserve">08/09 </v>
      </c>
      <c r="R205" s="237" t="str">
        <f t="shared" si="106"/>
        <v xml:space="preserve">09/10 </v>
      </c>
      <c r="S205" s="237" t="str">
        <f t="shared" si="106"/>
        <v xml:space="preserve">10/11 </v>
      </c>
      <c r="T205" s="237" t="str">
        <f t="shared" si="106"/>
        <v xml:space="preserve">11/12 </v>
      </c>
      <c r="U205" s="237" t="str">
        <f t="shared" si="106"/>
        <v xml:space="preserve">12/13 </v>
      </c>
      <c r="V205" s="237" t="str">
        <f t="shared" si="106"/>
        <v xml:space="preserve">13/14 </v>
      </c>
      <c r="W205" s="237" t="str">
        <f t="shared" si="106"/>
        <v xml:space="preserve">14/15 </v>
      </c>
      <c r="X205" s="237" t="str">
        <f t="shared" si="106"/>
        <v xml:space="preserve">15/16 </v>
      </c>
      <c r="Y205" s="237" t="str">
        <f t="shared" si="106"/>
        <v xml:space="preserve">16/17 </v>
      </c>
      <c r="Z205" s="237" t="str">
        <f t="shared" si="106"/>
        <v xml:space="preserve">17/18 </v>
      </c>
      <c r="AA205" s="237" t="str">
        <f t="shared" si="106"/>
        <v xml:space="preserve">18/19 </v>
      </c>
      <c r="AB205" s="237" t="str">
        <f t="shared" si="106"/>
        <v xml:space="preserve">19/20 </v>
      </c>
      <c r="AC205" s="237" t="str">
        <f t="shared" si="106"/>
        <v xml:space="preserve">20/21 </v>
      </c>
      <c r="AD205" s="237" t="str">
        <f t="shared" si="106"/>
        <v>21/22</v>
      </c>
      <c r="AE205" s="237" t="str">
        <f>AE2</f>
        <v>22/23</v>
      </c>
      <c r="AO205" s="365"/>
    </row>
    <row r="206" spans="1:51">
      <c r="A206" s="240" t="s">
        <v>239</v>
      </c>
      <c r="Z206" s="146"/>
      <c r="AA206" s="146">
        <f>(AA190*0.35)-('[4]Soy Complex-old'!BH260*0.48*1.10231)</f>
        <v>-78.215073519999962</v>
      </c>
      <c r="AB206" s="146">
        <f>(AB190*0.35)-('[4]Soy Complex-old'!BI260*0.48*1.10231)</f>
        <v>-95.148591423999989</v>
      </c>
      <c r="AC206" s="146">
        <f>(AC190*0.35)-('[4]Soy Complex-old'!BJ260*0.48*1.10231)</f>
        <v>-101.49113156799996</v>
      </c>
      <c r="AD206" s="146">
        <f>(AD190*0.35)-('[4]Soy Complex-old'!BK260*0.48*1.10231)</f>
        <v>-75.237876784000008</v>
      </c>
      <c r="AE206" s="253">
        <v>-90</v>
      </c>
      <c r="AG206" s="366">
        <f>AVERAGE(AA206:AC206)</f>
        <v>-91.618265503999964</v>
      </c>
      <c r="AO206" s="365"/>
    </row>
    <row r="207" spans="1:51">
      <c r="A207" s="240" t="s">
        <v>240</v>
      </c>
      <c r="Z207" s="146"/>
      <c r="AA207" s="146">
        <f>(AA191*0.35)-('[4]Soy Complex-old'!BH261*0.48*1.10231)</f>
        <v>-87.349129911999995</v>
      </c>
      <c r="AB207" s="146">
        <f>(AB191*0.35)-('[4]Soy Complex-old'!BI261*0.48*1.10231)</f>
        <v>-90.388750543999976</v>
      </c>
      <c r="AC207" s="146">
        <f>(AC191*0.35)-('[4]Soy Complex-old'!BJ261*0.48*1.10231)</f>
        <v>-93.204265903999953</v>
      </c>
      <c r="AD207" s="146">
        <f>(AD191*0.35)-('[4]Soy Complex-old'!BK261*0.48*1.10231)</f>
        <v>-97.057199824000008</v>
      </c>
      <c r="AE207" s="253">
        <v>-90</v>
      </c>
      <c r="AG207" s="366">
        <f t="shared" ref="AG207:AG218" si="107">AVERAGE(AA207:AC207)</f>
        <v>-90.314048786666646</v>
      </c>
      <c r="AO207" s="365"/>
    </row>
    <row r="208" spans="1:51">
      <c r="A208" s="240" t="s">
        <v>241</v>
      </c>
      <c r="Z208" s="146"/>
      <c r="AA208" s="146">
        <f>(AA192*0.35)-('[4]Soy Complex-old'!BH262*0.48*1.10231)</f>
        <v>-90.023212959999981</v>
      </c>
      <c r="AB208" s="146">
        <f>(AB192*0.35)-('[4]Soy Complex-old'!BI262*0.48*1.10231)</f>
        <v>-88.515705391999973</v>
      </c>
      <c r="AC208" s="146">
        <f>(AC192*0.35)-('[4]Soy Complex-old'!BJ262*0.48*1.10231)</f>
        <v>-96.13687878399999</v>
      </c>
      <c r="AD208" s="146">
        <f>(AD192*0.35)-('[4]Soy Complex-old'!BK262*0.48*1.10231)</f>
        <v>-115.14483886399998</v>
      </c>
      <c r="AE208" s="253">
        <v>-90</v>
      </c>
      <c r="AG208" s="366">
        <f t="shared" si="107"/>
        <v>-91.55859904533331</v>
      </c>
      <c r="AO208" s="365"/>
    </row>
    <row r="209" spans="1:57">
      <c r="A209" s="240" t="s">
        <v>231</v>
      </c>
      <c r="Z209" s="146"/>
      <c r="AA209" s="146">
        <f>(AA193*0.35)-('[4]Soy Complex-old'!BH263*0.48*1.10231)</f>
        <v>-94.876943295999979</v>
      </c>
      <c r="AB209" s="146">
        <f>(AB193*0.35)-('[4]Soy Complex-old'!BI263*0.48*1.10231)</f>
        <v>-85.99084196799997</v>
      </c>
      <c r="AC209" s="146">
        <f>(AC193*0.35)-('[4]Soy Complex-old'!BJ263*0.48*1.10231)</f>
        <v>-110.95574931199997</v>
      </c>
      <c r="AD209" s="146">
        <f>(AD193*0.35)-('[4]Soy Complex-old'!BK263*0.48*1.10231)</f>
        <v>-122.41591764799998</v>
      </c>
      <c r="AE209" s="253">
        <v>-95</v>
      </c>
      <c r="AG209" s="366">
        <f t="shared" si="107"/>
        <v>-97.27451152533331</v>
      </c>
      <c r="AO209" s="365"/>
    </row>
    <row r="210" spans="1:57">
      <c r="A210" s="240" t="s">
        <v>232</v>
      </c>
      <c r="Z210" s="146"/>
      <c r="AA210" s="146">
        <f>(AA194*0.35)-('[4]Soy Complex-old'!BH264*0.48*1.10231)</f>
        <v>-92.696453103999957</v>
      </c>
      <c r="AB210" s="146">
        <f>(AB194*0.35)-('[4]Soy Complex-old'!BI264*0.48*1.10231)</f>
        <v>-84.135246463999977</v>
      </c>
      <c r="AC210" s="146">
        <f>(AC194*0.35)-('[4]Soy Complex-old'!BJ264*0.48*1.10231)</f>
        <v>-107.07760806399996</v>
      </c>
      <c r="AD210" s="146">
        <f>(AD194*0.35)-('[4]Soy Complex-old'!BK264*0.48*1.10231)</f>
        <v>-136.17814695999999</v>
      </c>
      <c r="AE210" s="253">
        <v>-95</v>
      </c>
      <c r="AG210" s="366">
        <f t="shared" si="107"/>
        <v>-94.636435877333284</v>
      </c>
      <c r="AO210" s="365"/>
    </row>
    <row r="211" spans="1:57">
      <c r="A211" s="240" t="s">
        <v>233</v>
      </c>
      <c r="Z211" s="146"/>
      <c r="AA211" s="146">
        <f>(AA195*0.35)-('[4]Soy Complex-old'!BH265*0.48*1.10231)</f>
        <v>-91.408354143999986</v>
      </c>
      <c r="AB211" s="146">
        <f>(AB195*0.35)-('[4]Soy Complex-old'!BI265*0.48*1.10231)</f>
        <v>-89.333006943999976</v>
      </c>
      <c r="AC211" s="146">
        <f>(AC195*0.35)-('[4]Soy Complex-old'!BJ265*0.48*1.10231)</f>
        <v>-108.44519017599995</v>
      </c>
      <c r="AD211" s="253">
        <v>-130</v>
      </c>
      <c r="AE211" s="253">
        <v>-95</v>
      </c>
      <c r="AG211" s="366">
        <f t="shared" si="107"/>
        <v>-96.395517087999977</v>
      </c>
      <c r="AO211" s="365"/>
    </row>
    <row r="212" spans="1:57">
      <c r="A212" s="240" t="s">
        <v>234</v>
      </c>
      <c r="Z212" s="146"/>
      <c r="AA212" s="146">
        <f>(AA196*0.35)-('[4]Soy Complex-old'!BH266*0.48*1.10231)</f>
        <v>-88.186643487999973</v>
      </c>
      <c r="AB212" s="146">
        <f>(AB196*0.35)-('[4]Soy Complex-old'!BI266*0.48*1.10231)</f>
        <v>-72.293448431999963</v>
      </c>
      <c r="AC212" s="146">
        <f>(AC196*0.35)-('[4]Soy Complex-old'!BJ266*0.48*1.10231)</f>
        <v>-99.712413568000002</v>
      </c>
      <c r="AD212" s="253">
        <v>-115</v>
      </c>
      <c r="AE212" s="253">
        <v>-85</v>
      </c>
      <c r="AG212" s="366">
        <f t="shared" si="107"/>
        <v>-86.730835162666651</v>
      </c>
      <c r="AO212" s="365"/>
    </row>
    <row r="213" spans="1:57">
      <c r="A213" s="240" t="s">
        <v>46</v>
      </c>
      <c r="Z213" s="146"/>
      <c r="AA213" s="146">
        <f>(AA197*0.35)-('[4]Soy Complex-old'!BH267*0.48*1.10231)</f>
        <v>-82.170450175999974</v>
      </c>
      <c r="AB213" s="146">
        <f>(AB197*0.35)-('[4]Soy Complex-old'!BI267*0.48*1.10231)</f>
        <v>-73.929635327999989</v>
      </c>
      <c r="AC213" s="146">
        <f>(AC197*0.35)-('[4]Soy Complex-old'!BJ267*0.48*1.10231)</f>
        <v>-112.52067806399995</v>
      </c>
      <c r="AD213" s="253">
        <v>-110</v>
      </c>
      <c r="AE213" s="253">
        <v>-90</v>
      </c>
      <c r="AG213" s="366">
        <f t="shared" si="107"/>
        <v>-89.540254522666643</v>
      </c>
      <c r="AO213" s="365"/>
    </row>
    <row r="214" spans="1:57">
      <c r="A214" s="240" t="s">
        <v>235</v>
      </c>
      <c r="Z214" s="146">
        <f>(Z198*0.35)-('[4]Soy Complex-old'!BG268*0.48*1.10231)</f>
        <v>-96.509291247999982</v>
      </c>
      <c r="AA214" s="146">
        <f>(AA198*0.35)-('[4]Soy Complex-old'!BH268*0.48*1.10231)</f>
        <v>-91.328082799999976</v>
      </c>
      <c r="AB214" s="146">
        <f>(AB198*0.35)-('[4]Soy Complex-old'!BI268*0.48*1.10231)</f>
        <v>-72.932546208000005</v>
      </c>
      <c r="AC214" s="146">
        <f>(AC198*0.35)-('[4]Soy Complex-old'!BJ268*0.48*1.10231)</f>
        <v>-96.14836598399998</v>
      </c>
      <c r="AD214" s="253">
        <v>-100</v>
      </c>
      <c r="AE214" s="253">
        <v>-85</v>
      </c>
      <c r="AG214" s="366">
        <f t="shared" si="107"/>
        <v>-86.802998330666654</v>
      </c>
      <c r="AO214" s="365"/>
    </row>
    <row r="215" spans="1:57">
      <c r="A215" s="240" t="s">
        <v>236</v>
      </c>
      <c r="Z215" s="146">
        <f>(Z199*0.35)-('[4]Soy Complex-old'!BG269*0.48*1.10231)</f>
        <v>-92.968429503999943</v>
      </c>
      <c r="AA215" s="146">
        <f>(AA199*0.35)-('[4]Soy Complex-old'!BH269*0.48*1.10231)</f>
        <v>-87.431141775999947</v>
      </c>
      <c r="AB215" s="146">
        <f>(AB199*0.35)-('[4]Soy Complex-old'!BI269*0.48*1.10231)</f>
        <v>-74.302937999999969</v>
      </c>
      <c r="AC215" s="146">
        <f>(AC199*0.35)-('[4]Soy Complex-old'!BJ269*0.48*1.10231)</f>
        <v>-95.246407024000007</v>
      </c>
      <c r="AD215" s="253">
        <v>-100</v>
      </c>
      <c r="AE215" s="253">
        <v>-85</v>
      </c>
      <c r="AG215" s="366">
        <f t="shared" si="107"/>
        <v>-85.660162266666646</v>
      </c>
      <c r="AO215" s="365"/>
    </row>
    <row r="216" spans="1:57">
      <c r="A216" s="240" t="s">
        <v>237</v>
      </c>
      <c r="Z216" s="146">
        <f>(Z200*0.35)-('[4]Soy Complex-old'!BG270*0.48*1.10231)</f>
        <v>-90.178675999999967</v>
      </c>
      <c r="AA216" s="146">
        <f>(AA200*0.35)-('[4]Soy Complex-old'!BH270*0.48*1.10231)</f>
        <v>-81.852984895999981</v>
      </c>
      <c r="AB216" s="146">
        <f>(AB200*0.35)-('[4]Soy Complex-old'!BI270*0.48*1.10231)</f>
        <v>-74.786791583999957</v>
      </c>
      <c r="AC216" s="146">
        <f>(AC200*0.35)-('[4]Soy Complex-old'!BJ270*0.48*1.10231)</f>
        <v>-97.482063247999989</v>
      </c>
      <c r="AD216" s="253">
        <v>-95</v>
      </c>
      <c r="AE216" s="253">
        <v>-85</v>
      </c>
      <c r="AG216" s="366">
        <f t="shared" si="107"/>
        <v>-84.707279909333309</v>
      </c>
      <c r="AO216" s="365"/>
    </row>
    <row r="217" spans="1:57">
      <c r="A217" s="240" t="s">
        <v>238</v>
      </c>
      <c r="Z217" s="146">
        <f>(Z201*0.35)-('[4]Soy Complex-old'!BG271*0.48*1.10231)</f>
        <v>-89.675913215999969</v>
      </c>
      <c r="AA217" s="146">
        <f>(AA201*0.35)-('[4]Soy Complex-old'!BH271*0.48*1.10231)</f>
        <v>-86.388688015999975</v>
      </c>
      <c r="AB217" s="146">
        <f>(AB201*0.35)-('[4]Soy Complex-old'!BI271*0.48*1.10231)</f>
        <v>-83.559524912000001</v>
      </c>
      <c r="AC217" s="146">
        <f>(AC201*0.35)-('[4]Soy Complex-old'!BJ271*0.48*1.10231)</f>
        <v>-85.525328239999993</v>
      </c>
      <c r="AD217" s="253">
        <v>-90</v>
      </c>
      <c r="AE217" s="253">
        <v>-85</v>
      </c>
      <c r="AG217" s="366">
        <f t="shared" si="107"/>
        <v>-85.157847055999994</v>
      </c>
      <c r="AO217" s="365"/>
    </row>
    <row r="218" spans="1:57" ht="15.75" thickBot="1">
      <c r="A218" s="240" t="s">
        <v>255</v>
      </c>
      <c r="Z218" s="146"/>
      <c r="AA218" s="146">
        <f>AVERAGE(AA206:AA217)</f>
        <v>-87.66059650733331</v>
      </c>
      <c r="AB218" s="146">
        <f t="shared" ref="AB218:AE218" si="108">AVERAGE(AB206:AB217)</f>
        <v>-82.109752266666646</v>
      </c>
      <c r="AC218" s="146">
        <f t="shared" si="108"/>
        <v>-100.32883999466664</v>
      </c>
      <c r="AD218" s="253">
        <f t="shared" si="108"/>
        <v>-107.16949834</v>
      </c>
      <c r="AE218" s="253">
        <f t="shared" si="108"/>
        <v>-89.166666666666671</v>
      </c>
      <c r="AG218" s="366">
        <f t="shared" si="107"/>
        <v>-90.03306292288886</v>
      </c>
      <c r="AO218" s="365"/>
    </row>
    <row r="219" spans="1:57">
      <c r="A219" s="248"/>
      <c r="B219" s="248"/>
      <c r="C219" s="248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  <c r="AA219" s="248"/>
      <c r="AB219" s="248"/>
      <c r="AC219" s="248"/>
      <c r="AD219" s="248"/>
      <c r="AE219" s="248"/>
      <c r="AO219" s="365"/>
    </row>
    <row r="220" spans="1:57" ht="15.75" thickBot="1">
      <c r="A220" s="235" t="s">
        <v>262</v>
      </c>
      <c r="AO220" t="s">
        <v>355</v>
      </c>
      <c r="AY220" t="s">
        <v>356</v>
      </c>
    </row>
    <row r="221" spans="1:57" ht="15.75" thickBot="1">
      <c r="A221" s="236"/>
      <c r="B221" s="237" t="str">
        <f>B$2</f>
        <v xml:space="preserve">93/94 </v>
      </c>
      <c r="C221" s="237" t="str">
        <f t="shared" ref="C221:AE221" si="109">C$2</f>
        <v xml:space="preserve">94/95 </v>
      </c>
      <c r="D221" s="237" t="str">
        <f t="shared" si="109"/>
        <v xml:space="preserve">95/96 </v>
      </c>
      <c r="E221" s="237" t="str">
        <f t="shared" si="109"/>
        <v xml:space="preserve">96/97 </v>
      </c>
      <c r="F221" s="237" t="str">
        <f t="shared" si="109"/>
        <v xml:space="preserve">97/98 </v>
      </c>
      <c r="G221" s="237" t="str">
        <f t="shared" si="109"/>
        <v xml:space="preserve">98/99 </v>
      </c>
      <c r="H221" s="237" t="str">
        <f t="shared" si="109"/>
        <v xml:space="preserve">99/00 </v>
      </c>
      <c r="I221" s="237" t="str">
        <f t="shared" si="109"/>
        <v xml:space="preserve">00/01 </v>
      </c>
      <c r="J221" s="237" t="str">
        <f t="shared" si="109"/>
        <v xml:space="preserve">01/02 </v>
      </c>
      <c r="K221" s="237" t="str">
        <f t="shared" si="109"/>
        <v xml:space="preserve">02/03 </v>
      </c>
      <c r="L221" s="237" t="str">
        <f t="shared" si="109"/>
        <v xml:space="preserve">03/04 </v>
      </c>
      <c r="M221" s="237" t="str">
        <f t="shared" si="109"/>
        <v xml:space="preserve">04/05 </v>
      </c>
      <c r="N221" s="237" t="str">
        <f t="shared" si="109"/>
        <v xml:space="preserve">05/06 </v>
      </c>
      <c r="O221" s="237" t="str">
        <f t="shared" si="109"/>
        <v xml:space="preserve">06/07 </v>
      </c>
      <c r="P221" s="237" t="str">
        <f t="shared" si="109"/>
        <v xml:space="preserve">07/08 </v>
      </c>
      <c r="Q221" s="237" t="str">
        <f t="shared" si="109"/>
        <v xml:space="preserve">08/09 </v>
      </c>
      <c r="R221" s="237" t="str">
        <f t="shared" si="109"/>
        <v xml:space="preserve">09/10 </v>
      </c>
      <c r="S221" s="237" t="str">
        <f t="shared" si="109"/>
        <v xml:space="preserve">10/11 </v>
      </c>
      <c r="T221" s="237" t="str">
        <f t="shared" si="109"/>
        <v xml:space="preserve">11/12 </v>
      </c>
      <c r="U221" s="237" t="str">
        <f t="shared" si="109"/>
        <v xml:space="preserve">12/13 </v>
      </c>
      <c r="V221" s="237" t="str">
        <f t="shared" si="109"/>
        <v xml:space="preserve">13/14 </v>
      </c>
      <c r="W221" s="237" t="str">
        <f t="shared" si="109"/>
        <v xml:space="preserve">14/15 </v>
      </c>
      <c r="X221" s="237" t="str">
        <f t="shared" si="109"/>
        <v xml:space="preserve">15/16 </v>
      </c>
      <c r="Y221" s="237" t="str">
        <f t="shared" si="109"/>
        <v xml:space="preserve">16/17 </v>
      </c>
      <c r="Z221" s="237" t="str">
        <f t="shared" si="109"/>
        <v xml:space="preserve">17/18 </v>
      </c>
      <c r="AA221" s="237" t="str">
        <f t="shared" si="109"/>
        <v xml:space="preserve">18/19 </v>
      </c>
      <c r="AB221" s="237" t="str">
        <f t="shared" si="109"/>
        <v xml:space="preserve">19/20 </v>
      </c>
      <c r="AC221" s="237" t="str">
        <f t="shared" si="109"/>
        <v xml:space="preserve">20/21 </v>
      </c>
      <c r="AD221" s="237" t="str">
        <f t="shared" si="109"/>
        <v>21/22</v>
      </c>
      <c r="AE221" s="237" t="str">
        <f t="shared" si="109"/>
        <v>22/23</v>
      </c>
      <c r="AO221">
        <v>2017</v>
      </c>
      <c r="AP221">
        <v>2018</v>
      </c>
      <c r="AQ221">
        <v>2019</v>
      </c>
      <c r="AR221">
        <v>2020</v>
      </c>
      <c r="AS221">
        <v>2021</v>
      </c>
      <c r="AT221" s="367">
        <f>(AS234-SUM(AS222:AS228))/(COUNT(AS222:AS233)-1)</f>
        <v>-7.431630000000041</v>
      </c>
      <c r="AU221" t="s">
        <v>357</v>
      </c>
      <c r="AY221">
        <v>2017</v>
      </c>
      <c r="AZ221">
        <v>2018</v>
      </c>
      <c r="BA221">
        <v>2019</v>
      </c>
      <c r="BB221">
        <v>2020</v>
      </c>
      <c r="BC221">
        <v>2021</v>
      </c>
      <c r="BD221" s="367">
        <f>(BC234-SUM(BC222:BC228))/(COUNT(BC222:BC233)-1)</f>
        <v>-2.9999999998153726E-5</v>
      </c>
      <c r="BE221" t="s">
        <v>357</v>
      </c>
    </row>
    <row r="222" spans="1:57">
      <c r="A222" s="240" t="s">
        <v>239</v>
      </c>
      <c r="B222" s="290">
        <f>(SUM(D222:H222)/SUM(D$234:H$234))*B$234</f>
        <v>112.97081194787879</v>
      </c>
      <c r="C222" s="251">
        <v>87.325019313541546</v>
      </c>
      <c r="D222" s="251">
        <v>119.22828966735359</v>
      </c>
      <c r="E222" s="251">
        <v>72.990825688073386</v>
      </c>
      <c r="F222" s="251">
        <v>91.543345008756575</v>
      </c>
      <c r="G222" s="251">
        <v>99.774368231046921</v>
      </c>
      <c r="H222" s="251">
        <v>105.16871774513696</v>
      </c>
      <c r="I222" s="251">
        <v>129.80931800501338</v>
      </c>
      <c r="J222" s="251">
        <v>107.47653211167774</v>
      </c>
      <c r="K222" s="251">
        <v>138.18411271501424</v>
      </c>
      <c r="L222" s="251">
        <v>130.19999999999999</v>
      </c>
      <c r="M222" s="251">
        <v>114.1</v>
      </c>
      <c r="N222" s="251">
        <v>157.30000000000001</v>
      </c>
      <c r="O222" s="251">
        <v>185.1</v>
      </c>
      <c r="P222" s="251">
        <v>195.5</v>
      </c>
      <c r="Q222" s="251">
        <v>200.5</v>
      </c>
      <c r="R222" s="251">
        <v>274.39999999999998</v>
      </c>
      <c r="S222" s="251">
        <v>292.8</v>
      </c>
      <c r="T222" s="251">
        <v>338.5</v>
      </c>
      <c r="U222" s="251">
        <v>356.7</v>
      </c>
      <c r="V222" s="251">
        <v>395</v>
      </c>
      <c r="W222" s="251">
        <v>388</v>
      </c>
      <c r="X222" s="251">
        <v>393</v>
      </c>
      <c r="Y222" s="251">
        <v>516</v>
      </c>
      <c r="Z222" s="251">
        <f>AO231</f>
        <v>559.66899999999998</v>
      </c>
      <c r="AA222" s="252">
        <f>AA318-Z329+AA286-AA270+AA302</f>
        <v>589.17513958333336</v>
      </c>
      <c r="AB222" s="252">
        <f>AB318-AA329+AB286-AB270+AB302</f>
        <v>604.2216960833332</v>
      </c>
      <c r="AC222" s="252">
        <f>AC318-AB329+AC286-AC270+AC302</f>
        <v>675.41605916666663</v>
      </c>
      <c r="AD222" s="252">
        <f t="shared" ref="AD222:AE233" si="110">AD$250*AD79</f>
        <v>362.38424922155224</v>
      </c>
      <c r="AE222" s="252">
        <f t="shared" si="110"/>
        <v>359.85061918735022</v>
      </c>
      <c r="AG222" s="252"/>
      <c r="AH222" s="368"/>
      <c r="AI222" s="368"/>
      <c r="AJ222" s="368"/>
      <c r="AK222" s="368"/>
      <c r="AL222" s="252"/>
      <c r="AM222" s="252"/>
      <c r="AN222" s="240" t="s">
        <v>231</v>
      </c>
      <c r="AO222" s="264">
        <v>483</v>
      </c>
      <c r="AP222" s="264">
        <f>434.358+0.4065-0.00367</f>
        <v>434.76083</v>
      </c>
      <c r="AS222">
        <f>477.2351+0.0652+10.6166</f>
        <v>487.9169</v>
      </c>
      <c r="AX222" s="240" t="s">
        <v>231</v>
      </c>
      <c r="AY222" s="264"/>
      <c r="AZ222" s="264"/>
      <c r="BC222">
        <f>56.7921-0.2286</f>
        <v>56.563499999999998</v>
      </c>
    </row>
    <row r="223" spans="1:57">
      <c r="A223" s="240" t="s">
        <v>240</v>
      </c>
      <c r="B223" s="290">
        <f t="shared" ref="B223:B233" si="111">(SUM(D223:H223)/SUM(D$234:H$234))*B$234</f>
        <v>108.28291843714672</v>
      </c>
      <c r="C223" s="251">
        <v>83.864032667475996</v>
      </c>
      <c r="D223" s="251">
        <v>114.92552251987048</v>
      </c>
      <c r="E223" s="251">
        <v>77.614678899082563</v>
      </c>
      <c r="F223" s="251">
        <v>97.531085814360793</v>
      </c>
      <c r="G223" s="251">
        <v>86.2292418772563</v>
      </c>
      <c r="H223" s="251">
        <v>92.125446605795958</v>
      </c>
      <c r="I223" s="251">
        <v>124.66453453193881</v>
      </c>
      <c r="J223" s="251">
        <v>103.21687267698159</v>
      </c>
      <c r="K223" s="251">
        <v>132.70740772754775</v>
      </c>
      <c r="L223" s="251">
        <v>127.3</v>
      </c>
      <c r="M223" s="251">
        <v>115.4</v>
      </c>
      <c r="N223" s="251">
        <v>162.69999999999999</v>
      </c>
      <c r="O223" s="251">
        <v>183.2</v>
      </c>
      <c r="P223" s="251">
        <v>187.8</v>
      </c>
      <c r="Q223" s="251">
        <v>211.1</v>
      </c>
      <c r="R223" s="251">
        <v>269.7</v>
      </c>
      <c r="S223" s="251">
        <v>296.8</v>
      </c>
      <c r="T223" s="251">
        <v>343.6</v>
      </c>
      <c r="U223" s="251">
        <v>334</v>
      </c>
      <c r="V223" s="251">
        <v>379.6</v>
      </c>
      <c r="W223" s="251">
        <v>397</v>
      </c>
      <c r="X223" s="251">
        <v>360</v>
      </c>
      <c r="Y223" s="251">
        <v>529</v>
      </c>
      <c r="Z223" s="251">
        <f>AO232</f>
        <v>542.42499999999995</v>
      </c>
      <c r="AA223" s="252">
        <f t="shared" ref="AA223:AC233" si="112">AA319-AA318+AA287-AA271+AA303</f>
        <v>603.1698478141027</v>
      </c>
      <c r="AB223" s="252">
        <f t="shared" si="112"/>
        <v>678.65279292948708</v>
      </c>
      <c r="AC223" s="252">
        <f t="shared" si="112"/>
        <v>912.85492232051297</v>
      </c>
      <c r="AD223" s="252">
        <f t="shared" si="110"/>
        <v>476.48977954011849</v>
      </c>
      <c r="AE223" s="252">
        <f t="shared" si="110"/>
        <v>469.45241687189144</v>
      </c>
      <c r="AG223" s="252"/>
      <c r="AH223" s="368"/>
      <c r="AI223" s="368"/>
      <c r="AJ223" s="368"/>
      <c r="AK223" s="368"/>
      <c r="AL223" s="252"/>
      <c r="AM223" s="252"/>
      <c r="AN223" s="240" t="s">
        <v>232</v>
      </c>
      <c r="AO223" s="264">
        <v>448</v>
      </c>
      <c r="AP223" s="264">
        <f>426.962+0.4065-0.00367</f>
        <v>427.36482999999998</v>
      </c>
      <c r="AS223">
        <f>428.1755+0.0652+10.6166</f>
        <v>438.85730000000001</v>
      </c>
      <c r="AX223" s="240" t="s">
        <v>232</v>
      </c>
      <c r="AY223" s="264"/>
      <c r="AZ223" s="264"/>
      <c r="BC223">
        <f>56.5708-0.2286</f>
        <v>56.342199999999998</v>
      </c>
    </row>
    <row r="224" spans="1:57">
      <c r="A224" s="240" t="s">
        <v>241</v>
      </c>
      <c r="B224" s="290">
        <f t="shared" si="111"/>
        <v>102.88621572208635</v>
      </c>
      <c r="C224" s="251">
        <v>79.061913696060031</v>
      </c>
      <c r="D224" s="251">
        <v>125.05784515749191</v>
      </c>
      <c r="E224" s="251">
        <v>65.394495412844023</v>
      </c>
      <c r="F224" s="251">
        <v>73.925569176882675</v>
      </c>
      <c r="G224" s="251">
        <v>81.996389891696737</v>
      </c>
      <c r="H224" s="251">
        <v>98.705835649067083</v>
      </c>
      <c r="I224" s="251">
        <v>117.52614746304779</v>
      </c>
      <c r="J224" s="251">
        <v>97.30659521134065</v>
      </c>
      <c r="K224" s="251">
        <v>125.10847955743797</v>
      </c>
      <c r="L224" s="251">
        <v>133.69999999999999</v>
      </c>
      <c r="M224" s="251">
        <v>110.9</v>
      </c>
      <c r="N224" s="251">
        <v>167.9</v>
      </c>
      <c r="O224" s="251">
        <v>190</v>
      </c>
      <c r="P224" s="251">
        <v>199.4</v>
      </c>
      <c r="Q224" s="251">
        <v>232.7</v>
      </c>
      <c r="R224" s="251">
        <v>282.3</v>
      </c>
      <c r="S224" s="251">
        <v>304</v>
      </c>
      <c r="T224" s="251">
        <v>367.4</v>
      </c>
      <c r="U224" s="251">
        <v>345.1</v>
      </c>
      <c r="V224" s="251">
        <v>395.5</v>
      </c>
      <c r="W224" s="251">
        <v>380</v>
      </c>
      <c r="X224" s="251">
        <v>363</v>
      </c>
      <c r="Y224" s="251">
        <v>557</v>
      </c>
      <c r="Z224" s="251">
        <f>AO233</f>
        <v>476.74400000000003</v>
      </c>
      <c r="AA224" s="252">
        <f>AA320-AA319+AA288-AA272+AA304</f>
        <v>621.05126881410274</v>
      </c>
      <c r="AB224" s="252">
        <f t="shared" si="112"/>
        <v>634.75370292948708</v>
      </c>
      <c r="AC224" s="252">
        <f t="shared" si="112"/>
        <v>750.27477032051297</v>
      </c>
      <c r="AD224" s="252">
        <f t="shared" si="110"/>
        <v>465.16328012743429</v>
      </c>
      <c r="AE224" s="252">
        <f t="shared" si="110"/>
        <v>462.66176447291002</v>
      </c>
      <c r="AG224" s="252"/>
      <c r="AH224" s="368"/>
      <c r="AI224" s="368"/>
      <c r="AJ224" s="368"/>
      <c r="AK224" s="368"/>
      <c r="AL224" s="252"/>
      <c r="AM224" s="252"/>
      <c r="AN224" s="240" t="s">
        <v>233</v>
      </c>
      <c r="AO224" s="264">
        <v>517</v>
      </c>
      <c r="AP224" s="264">
        <f>417.108-0.00367</f>
        <v>417.10433</v>
      </c>
      <c r="AS224">
        <f>475.9994+0.0652+10.6166</f>
        <v>486.68119999999999</v>
      </c>
      <c r="AX224" s="240" t="s">
        <v>233</v>
      </c>
      <c r="AY224" s="264"/>
      <c r="AZ224" s="264"/>
      <c r="BC224">
        <f>59.3443-0.2286</f>
        <v>59.115699999999997</v>
      </c>
    </row>
    <row r="225" spans="1:55">
      <c r="A225" s="240" t="s">
        <v>231</v>
      </c>
      <c r="B225" s="290">
        <f t="shared" si="111"/>
        <v>75.124724056304302</v>
      </c>
      <c r="C225" s="251">
        <v>56.998123827392114</v>
      </c>
      <c r="D225" s="251">
        <v>96.742861348248482</v>
      </c>
      <c r="E225" s="251">
        <v>38.024193548387096</v>
      </c>
      <c r="F225" s="251">
        <v>57.673357664233578</v>
      </c>
      <c r="G225" s="251">
        <v>58.617721518987338</v>
      </c>
      <c r="H225" s="251">
        <v>73.927308447937122</v>
      </c>
      <c r="I225" s="251">
        <v>111.78787878787878</v>
      </c>
      <c r="J225" s="251">
        <v>87.833333333333329</v>
      </c>
      <c r="K225" s="251">
        <v>124.9</v>
      </c>
      <c r="L225" s="251">
        <v>122.9</v>
      </c>
      <c r="M225" s="251">
        <v>112.7</v>
      </c>
      <c r="N225" s="251">
        <v>169.6</v>
      </c>
      <c r="O225" s="251">
        <v>201.4</v>
      </c>
      <c r="P225" s="251">
        <v>211.6</v>
      </c>
      <c r="Q225" s="251">
        <v>237</v>
      </c>
      <c r="R225" s="251">
        <v>269.3</v>
      </c>
      <c r="S225" s="251">
        <v>310.8</v>
      </c>
      <c r="T225" s="251">
        <v>336.6</v>
      </c>
      <c r="U225" s="251">
        <v>341.5</v>
      </c>
      <c r="V225" s="251">
        <v>362</v>
      </c>
      <c r="W225" s="251">
        <v>333</v>
      </c>
      <c r="X225" s="251">
        <v>315</v>
      </c>
      <c r="Y225" s="251">
        <v>483</v>
      </c>
      <c r="Z225" s="251">
        <f>AP222</f>
        <v>434.76083</v>
      </c>
      <c r="AA225" s="252">
        <f t="shared" ref="Z225:AB233" si="113">AA321-AA320+AA289-AA273+AA305</f>
        <v>524.08605481410268</v>
      </c>
      <c r="AB225" s="252">
        <f t="shared" si="112"/>
        <v>632.82096892948698</v>
      </c>
      <c r="AC225" s="251">
        <f>AS222</f>
        <v>487.9169</v>
      </c>
      <c r="AD225" s="252">
        <f t="shared" si="110"/>
        <v>459.57031462729651</v>
      </c>
      <c r="AE225" s="252">
        <f t="shared" si="110"/>
        <v>455.79094457568704</v>
      </c>
      <c r="AG225" s="252"/>
      <c r="AH225" s="368"/>
      <c r="AI225" s="368"/>
      <c r="AJ225" s="368"/>
      <c r="AK225" s="368"/>
      <c r="AL225" s="252"/>
      <c r="AM225" s="252"/>
      <c r="AN225" s="240" t="s">
        <v>234</v>
      </c>
      <c r="AO225" s="264">
        <v>455</v>
      </c>
      <c r="AP225" s="264">
        <v>450.03</v>
      </c>
      <c r="AS225">
        <f>386.0432+0.0652+10.6166</f>
        <v>396.72500000000002</v>
      </c>
      <c r="AX225" s="240" t="s">
        <v>234</v>
      </c>
      <c r="AY225" s="264"/>
      <c r="AZ225" s="264"/>
      <c r="BC225">
        <f>57.9056-0.2286</f>
        <v>57.677</v>
      </c>
    </row>
    <row r="226" spans="1:55">
      <c r="A226" s="240" t="s">
        <v>232</v>
      </c>
      <c r="B226" s="290">
        <f t="shared" si="111"/>
        <v>68.721943012945516</v>
      </c>
      <c r="C226" s="251">
        <v>52.542103520582721</v>
      </c>
      <c r="D226" s="251">
        <v>82.168972622902587</v>
      </c>
      <c r="E226" s="251">
        <v>43.820564516129039</v>
      </c>
      <c r="F226" s="251">
        <v>39.782846715328468</v>
      </c>
      <c r="G226" s="251">
        <v>50.483544303797473</v>
      </c>
      <c r="H226" s="251">
        <v>81.031434184675831</v>
      </c>
      <c r="I226" s="251">
        <v>103.04848484848485</v>
      </c>
      <c r="J226" s="251">
        <v>80.966666666666669</v>
      </c>
      <c r="K226" s="251">
        <v>108.6</v>
      </c>
      <c r="L226" s="251">
        <v>114.3</v>
      </c>
      <c r="M226" s="251">
        <v>98</v>
      </c>
      <c r="N226" s="251">
        <v>161.9</v>
      </c>
      <c r="O226" s="251">
        <v>176</v>
      </c>
      <c r="P226" s="251">
        <v>170.6</v>
      </c>
      <c r="Q226" s="251">
        <v>216</v>
      </c>
      <c r="R226" s="251">
        <v>243</v>
      </c>
      <c r="S226" s="251">
        <v>282.60000000000002</v>
      </c>
      <c r="T226" s="251">
        <v>299.39999999999998</v>
      </c>
      <c r="U226" s="251">
        <v>313.7</v>
      </c>
      <c r="V226" s="251">
        <v>341</v>
      </c>
      <c r="W226" s="251">
        <v>315</v>
      </c>
      <c r="X226" s="251">
        <v>373</v>
      </c>
      <c r="Y226" s="251">
        <v>448</v>
      </c>
      <c r="Z226" s="251">
        <f>AP223</f>
        <v>427.36482999999998</v>
      </c>
      <c r="AA226" s="252">
        <f t="shared" si="113"/>
        <v>589.21833881410271</v>
      </c>
      <c r="AB226" s="252">
        <f t="shared" si="112"/>
        <v>678.65033192948704</v>
      </c>
      <c r="AC226" s="251">
        <f t="shared" ref="AC226:AC233" si="114">AS223</f>
        <v>438.85730000000001</v>
      </c>
      <c r="AD226" s="252">
        <f t="shared" si="110"/>
        <v>408.05384447180126</v>
      </c>
      <c r="AE226" s="252">
        <f t="shared" si="110"/>
        <v>373.09499512667577</v>
      </c>
      <c r="AG226" s="252"/>
      <c r="AH226" s="368"/>
      <c r="AI226" s="368"/>
      <c r="AJ226" s="368"/>
      <c r="AK226" s="368"/>
      <c r="AL226" s="252"/>
      <c r="AM226" s="252"/>
      <c r="AN226" s="240" t="s">
        <v>46</v>
      </c>
      <c r="AO226" s="264">
        <v>442.49099999999999</v>
      </c>
      <c r="AP226" s="264"/>
      <c r="AS226">
        <f>294.1899+0.0652+10.6166</f>
        <v>304.87170000000003</v>
      </c>
      <c r="AX226" s="240" t="s">
        <v>46</v>
      </c>
      <c r="AY226" s="264"/>
      <c r="AZ226" s="264"/>
      <c r="BC226">
        <f>54.1989-0.2286</f>
        <v>53.970300000000002</v>
      </c>
    </row>
    <row r="227" spans="1:55">
      <c r="A227" s="240" t="s">
        <v>233</v>
      </c>
      <c r="B227" s="290">
        <f t="shared" si="111"/>
        <v>62.76638107999652</v>
      </c>
      <c r="C227" s="251">
        <v>47.502041717249753</v>
      </c>
      <c r="D227" s="251">
        <v>91.884898439799855</v>
      </c>
      <c r="E227" s="251">
        <v>33.155241935483872</v>
      </c>
      <c r="F227" s="251">
        <v>31.543795620437962</v>
      </c>
      <c r="G227" s="251">
        <v>43.898734177215189</v>
      </c>
      <c r="H227" s="251">
        <v>71.041257367387033</v>
      </c>
      <c r="I227" s="251">
        <v>93.163636363636371</v>
      </c>
      <c r="J227" s="251">
        <v>73.2</v>
      </c>
      <c r="K227" s="251">
        <v>127.1</v>
      </c>
      <c r="L227" s="251">
        <v>120.7</v>
      </c>
      <c r="M227" s="251">
        <v>112.1</v>
      </c>
      <c r="N227" s="251">
        <v>181</v>
      </c>
      <c r="O227" s="251">
        <v>194.9</v>
      </c>
      <c r="P227" s="251">
        <v>169.5</v>
      </c>
      <c r="Q227" s="251">
        <v>243.3</v>
      </c>
      <c r="R227" s="251">
        <v>265.2</v>
      </c>
      <c r="S227" s="251">
        <v>301.89999999999998</v>
      </c>
      <c r="T227" s="251">
        <v>327.2</v>
      </c>
      <c r="U227" s="251">
        <v>307.39999999999998</v>
      </c>
      <c r="V227" s="251">
        <v>405</v>
      </c>
      <c r="W227" s="251">
        <v>349</v>
      </c>
      <c r="X227" s="251">
        <v>365</v>
      </c>
      <c r="Y227" s="251">
        <v>517</v>
      </c>
      <c r="Z227" s="251">
        <f>AP224</f>
        <v>417.10433</v>
      </c>
      <c r="AA227" s="252">
        <f t="shared" si="113"/>
        <v>660.48994081410262</v>
      </c>
      <c r="AB227" s="252">
        <f t="shared" si="112"/>
        <v>659.38067792948709</v>
      </c>
      <c r="AC227" s="251">
        <f t="shared" si="114"/>
        <v>486.68119999999999</v>
      </c>
      <c r="AD227" s="252">
        <f t="shared" si="110"/>
        <v>407.15575359325811</v>
      </c>
      <c r="AE227" s="252">
        <f t="shared" si="110"/>
        <v>356.91976771070057</v>
      </c>
      <c r="AG227" s="252"/>
      <c r="AH227" s="368"/>
      <c r="AI227" s="368"/>
      <c r="AJ227" s="368"/>
      <c r="AK227" s="368"/>
      <c r="AL227" s="252"/>
      <c r="AM227" s="252"/>
      <c r="AN227" s="240" t="s">
        <v>235</v>
      </c>
      <c r="AO227" s="264">
        <v>393.17500000000001</v>
      </c>
      <c r="AP227" s="264"/>
      <c r="AS227">
        <f>242.8907+0.0652+10.6166</f>
        <v>253.57250000000002</v>
      </c>
      <c r="AX227" s="240" t="s">
        <v>235</v>
      </c>
      <c r="AY227" s="264"/>
      <c r="AZ227" s="264"/>
      <c r="BC227">
        <f>55.0924-0.2286</f>
        <v>54.863799999999998</v>
      </c>
    </row>
    <row r="228" spans="1:55">
      <c r="A228" s="240" t="s">
        <v>234</v>
      </c>
      <c r="B228" s="290">
        <f t="shared" si="111"/>
        <v>57.820206259373094</v>
      </c>
      <c r="C228" s="251">
        <v>43.283964242357357</v>
      </c>
      <c r="D228" s="251">
        <v>83.001766264350906</v>
      </c>
      <c r="E228" s="251">
        <v>26.620390455531453</v>
      </c>
      <c r="F228" s="251">
        <v>24.470899470899472</v>
      </c>
      <c r="G228" s="251">
        <v>39.66101694915254</v>
      </c>
      <c r="H228" s="251">
        <v>76.372972972972974</v>
      </c>
      <c r="I228" s="251">
        <v>70.861025324274237</v>
      </c>
      <c r="J228" s="251">
        <v>78.276714021000615</v>
      </c>
      <c r="K228" s="251">
        <v>117.8</v>
      </c>
      <c r="L228" s="251">
        <v>117.4</v>
      </c>
      <c r="M228" s="251">
        <v>111.9</v>
      </c>
      <c r="N228" s="251">
        <v>177.9</v>
      </c>
      <c r="O228" s="251">
        <v>192.2</v>
      </c>
      <c r="P228" s="251">
        <v>124.9</v>
      </c>
      <c r="Q228" s="251">
        <v>238.6</v>
      </c>
      <c r="R228" s="251">
        <v>261.2</v>
      </c>
      <c r="S228" s="251">
        <v>272.3</v>
      </c>
      <c r="T228" s="251">
        <v>312.39999999999998</v>
      </c>
      <c r="U228" s="251">
        <v>242.9</v>
      </c>
      <c r="V228" s="251">
        <v>382</v>
      </c>
      <c r="W228" s="251">
        <v>300</v>
      </c>
      <c r="X228" s="251">
        <v>385</v>
      </c>
      <c r="Y228" s="251">
        <v>455</v>
      </c>
      <c r="Z228" s="251">
        <f>AP225</f>
        <v>450.03</v>
      </c>
      <c r="AA228" s="252">
        <f t="shared" si="113"/>
        <v>527.92494081410268</v>
      </c>
      <c r="AB228" s="252">
        <f t="shared" si="112"/>
        <v>768.17875192948702</v>
      </c>
      <c r="AC228" s="251">
        <f t="shared" si="114"/>
        <v>396.72500000000002</v>
      </c>
      <c r="AD228" s="252">
        <f t="shared" si="110"/>
        <v>431.66451416228438</v>
      </c>
      <c r="AE228" s="252">
        <f t="shared" si="110"/>
        <v>385.87192184307276</v>
      </c>
      <c r="AG228" s="252"/>
      <c r="AH228" s="368"/>
      <c r="AI228" s="368"/>
      <c r="AJ228" s="368"/>
      <c r="AK228" s="368"/>
      <c r="AL228" s="252"/>
      <c r="AM228" s="252"/>
      <c r="AN228" s="240" t="s">
        <v>236</v>
      </c>
      <c r="AO228" s="264">
        <v>337.41500000000002</v>
      </c>
      <c r="AP228" s="264"/>
      <c r="AS228">
        <f>141.342+10.6166</f>
        <v>151.95860000000002</v>
      </c>
      <c r="AX228" s="240" t="s">
        <v>236</v>
      </c>
      <c r="AY228" s="264"/>
      <c r="AZ228" s="264"/>
      <c r="BC228">
        <v>58.437800000000003</v>
      </c>
    </row>
    <row r="229" spans="1:55">
      <c r="A229" s="240" t="s">
        <v>46</v>
      </c>
      <c r="B229" s="290">
        <f t="shared" si="111"/>
        <v>46.441205040110667</v>
      </c>
      <c r="C229" s="251">
        <v>34.761284626420917</v>
      </c>
      <c r="D229" s="251">
        <v>79.115395937592012</v>
      </c>
      <c r="E229" s="251">
        <v>16.253796095444685</v>
      </c>
      <c r="F229" s="251">
        <v>17.195767195767196</v>
      </c>
      <c r="G229" s="251">
        <v>23.796610169491526</v>
      </c>
      <c r="H229" s="251">
        <v>64.540540540540547</v>
      </c>
      <c r="I229" s="251">
        <v>56.908379658225229</v>
      </c>
      <c r="J229" s="251">
        <v>62.863907761992984</v>
      </c>
      <c r="K229" s="251">
        <v>118</v>
      </c>
      <c r="L229" s="251">
        <v>126.7</v>
      </c>
      <c r="M229" s="251">
        <v>99.3</v>
      </c>
      <c r="N229" s="251">
        <v>182.2</v>
      </c>
      <c r="O229" s="251">
        <v>207.7</v>
      </c>
      <c r="P229" s="251">
        <v>111.2</v>
      </c>
      <c r="Q229" s="251">
        <v>242.7</v>
      </c>
      <c r="R229" s="251">
        <v>263.60000000000002</v>
      </c>
      <c r="S229" s="251">
        <v>273.89999999999998</v>
      </c>
      <c r="T229" s="251">
        <v>321.10000000000002</v>
      </c>
      <c r="U229" s="251">
        <v>210.9</v>
      </c>
      <c r="V229" s="251">
        <v>398</v>
      </c>
      <c r="W229" s="251">
        <v>280</v>
      </c>
      <c r="X229" s="251">
        <v>358</v>
      </c>
      <c r="Y229" s="251">
        <f>AO226</f>
        <v>442.49099999999999</v>
      </c>
      <c r="Z229" s="252">
        <f t="shared" si="113"/>
        <v>492.41358509615372</v>
      </c>
      <c r="AA229" s="252">
        <f t="shared" si="113"/>
        <v>614.14084681410259</v>
      </c>
      <c r="AB229" s="252">
        <f t="shared" si="112"/>
        <v>690.77622492948706</v>
      </c>
      <c r="AC229" s="251">
        <f t="shared" si="114"/>
        <v>304.87170000000003</v>
      </c>
      <c r="AD229" s="252">
        <f t="shared" si="110"/>
        <v>432.7106156223179</v>
      </c>
      <c r="AE229" s="252">
        <f t="shared" si="110"/>
        <v>371.01046777550818</v>
      </c>
      <c r="AG229" s="252"/>
      <c r="AH229" s="368"/>
      <c r="AI229" s="368"/>
      <c r="AJ229" s="368"/>
      <c r="AK229" s="368"/>
      <c r="AL229" s="252"/>
      <c r="AM229" s="252"/>
      <c r="AN229" s="240" t="s">
        <v>237</v>
      </c>
      <c r="AO229" s="264">
        <v>142.298</v>
      </c>
      <c r="AP229" s="264"/>
      <c r="AS229">
        <v>74.367999999999995</v>
      </c>
      <c r="AX229" s="240" t="s">
        <v>237</v>
      </c>
      <c r="AY229" s="264"/>
      <c r="AZ229" s="264"/>
      <c r="BC229">
        <v>43.210999999999999</v>
      </c>
    </row>
    <row r="230" spans="1:55">
      <c r="A230" s="240" t="s">
        <v>235</v>
      </c>
      <c r="B230" s="290">
        <f t="shared" si="111"/>
        <v>35.59813244572419</v>
      </c>
      <c r="C230" s="251">
        <v>27.017327005849243</v>
      </c>
      <c r="D230" s="251">
        <v>56.907565498969689</v>
      </c>
      <c r="E230" s="251">
        <v>16.125813449023859</v>
      </c>
      <c r="F230" s="251">
        <v>8.3333333333333339</v>
      </c>
      <c r="G230" s="251">
        <v>14.542372881355933</v>
      </c>
      <c r="H230" s="251">
        <v>58.086486486486486</v>
      </c>
      <c r="I230" s="251">
        <v>44.230595017500512</v>
      </c>
      <c r="J230" s="251">
        <v>48.85937821700638</v>
      </c>
      <c r="K230" s="251">
        <v>103.4</v>
      </c>
      <c r="L230" s="251">
        <v>132</v>
      </c>
      <c r="M230" s="251">
        <v>83.8</v>
      </c>
      <c r="N230" s="251">
        <v>166</v>
      </c>
      <c r="O230" s="251">
        <v>184.6</v>
      </c>
      <c r="P230" s="251">
        <v>90.8</v>
      </c>
      <c r="Q230" s="251">
        <v>219.6</v>
      </c>
      <c r="R230" s="251">
        <v>259.60000000000002</v>
      </c>
      <c r="S230" s="251">
        <v>214.2</v>
      </c>
      <c r="T230" s="251">
        <v>310.3</v>
      </c>
      <c r="U230" s="251">
        <v>164.4</v>
      </c>
      <c r="V230" s="251">
        <v>382</v>
      </c>
      <c r="W230" s="251">
        <v>250</v>
      </c>
      <c r="X230" s="251">
        <v>316</v>
      </c>
      <c r="Y230" s="251">
        <f>AO227</f>
        <v>393.17500000000001</v>
      </c>
      <c r="Z230" s="252">
        <f t="shared" si="113"/>
        <v>488.10891309615374</v>
      </c>
      <c r="AA230" s="252">
        <f t="shared" si="113"/>
        <v>495.38707481410262</v>
      </c>
      <c r="AB230" s="252">
        <f t="shared" si="112"/>
        <v>639.16277792948711</v>
      </c>
      <c r="AC230" s="251">
        <f t="shared" si="114"/>
        <v>253.57250000000002</v>
      </c>
      <c r="AD230" s="252">
        <f t="shared" si="110"/>
        <v>415.85423305808604</v>
      </c>
      <c r="AE230" s="252">
        <f t="shared" si="110"/>
        <v>347.37094809052337</v>
      </c>
      <c r="AG230" s="252"/>
      <c r="AH230" s="368"/>
      <c r="AI230" s="368"/>
      <c r="AJ230" s="368"/>
      <c r="AK230" s="368"/>
      <c r="AL230" s="252"/>
      <c r="AM230" s="252"/>
      <c r="AN230" s="240" t="s">
        <v>238</v>
      </c>
      <c r="AO230" s="264">
        <v>414.65600000000001</v>
      </c>
      <c r="AP230" s="264"/>
      <c r="AS230" s="369">
        <v>36.552</v>
      </c>
      <c r="AX230" s="240" t="s">
        <v>238</v>
      </c>
      <c r="AY230" s="264"/>
      <c r="AZ230" s="264"/>
      <c r="BC230">
        <v>39.112000000000002</v>
      </c>
    </row>
    <row r="231" spans="1:55">
      <c r="A231" s="240" t="s">
        <v>236</v>
      </c>
      <c r="B231" s="290">
        <f t="shared" si="111"/>
        <v>30.879246297524109</v>
      </c>
      <c r="C231" s="251">
        <v>24.183644189383067</v>
      </c>
      <c r="D231" s="251">
        <v>44.13806299676186</v>
      </c>
      <c r="E231" s="251">
        <v>9.4666666666666668</v>
      </c>
      <c r="F231" s="251">
        <v>7.5505617977528097</v>
      </c>
      <c r="G231" s="251">
        <v>9.0415019762845859</v>
      </c>
      <c r="H231" s="251">
        <v>63.385135135135137</v>
      </c>
      <c r="I231" s="251">
        <v>39.643122676579921</v>
      </c>
      <c r="J231" s="251">
        <v>45.078066914498137</v>
      </c>
      <c r="K231" s="251">
        <v>83.7</v>
      </c>
      <c r="L231" s="251">
        <v>107.8</v>
      </c>
      <c r="M231" s="251">
        <v>68.400000000000006</v>
      </c>
      <c r="N231" s="251">
        <v>170.8</v>
      </c>
      <c r="O231" s="251">
        <v>166.1</v>
      </c>
      <c r="P231" s="251">
        <v>114.6</v>
      </c>
      <c r="Q231" s="251">
        <v>209.4</v>
      </c>
      <c r="R231" s="251">
        <v>226.4</v>
      </c>
      <c r="S231" s="251">
        <v>164.7</v>
      </c>
      <c r="T231" s="251">
        <v>283.2</v>
      </c>
      <c r="U231" s="251">
        <v>154.69999999999999</v>
      </c>
      <c r="V231" s="251">
        <v>322</v>
      </c>
      <c r="W231" s="251">
        <v>212</v>
      </c>
      <c r="X231" s="251">
        <v>214</v>
      </c>
      <c r="Y231" s="251">
        <f>AO228</f>
        <v>337.41500000000002</v>
      </c>
      <c r="Z231" s="252">
        <f t="shared" si="113"/>
        <v>454.11608109615383</v>
      </c>
      <c r="AA231" s="252">
        <f t="shared" si="113"/>
        <v>582.5429488141026</v>
      </c>
      <c r="AB231" s="252">
        <f t="shared" si="112"/>
        <v>643.95782992948716</v>
      </c>
      <c r="AC231" s="251">
        <f t="shared" si="114"/>
        <v>151.95860000000002</v>
      </c>
      <c r="AD231" s="252">
        <f t="shared" si="110"/>
        <v>372.98861418250863</v>
      </c>
      <c r="AE231" s="252">
        <f t="shared" si="110"/>
        <v>309.46066634697803</v>
      </c>
      <c r="AG231" s="252"/>
      <c r="AH231" s="368"/>
      <c r="AI231" s="368"/>
      <c r="AJ231" s="368"/>
      <c r="AK231" s="368"/>
      <c r="AL231" s="252"/>
      <c r="AM231" s="252"/>
      <c r="AN231" s="240" t="s">
        <v>239</v>
      </c>
      <c r="AO231" s="264">
        <v>559.66899999999998</v>
      </c>
      <c r="AP231" s="264"/>
      <c r="AS231">
        <v>57.502000000000002</v>
      </c>
      <c r="AX231" s="240" t="s">
        <v>239</v>
      </c>
      <c r="AY231" s="264"/>
      <c r="AZ231" s="264"/>
      <c r="BC231">
        <v>77.728999999999999</v>
      </c>
    </row>
    <row r="232" spans="1:55">
      <c r="A232" s="240" t="s">
        <v>237</v>
      </c>
      <c r="B232" s="290">
        <f t="shared" si="111"/>
        <v>13.655436432414101</v>
      </c>
      <c r="C232" s="251">
        <v>10.750689769341133</v>
      </c>
      <c r="D232" s="251">
        <v>10.96511627906977</v>
      </c>
      <c r="E232" s="251">
        <v>10.666666666666666</v>
      </c>
      <c r="F232" s="251">
        <v>7.1966292134831455</v>
      </c>
      <c r="G232" s="251">
        <v>4.4604743083003964</v>
      </c>
      <c r="H232" s="251">
        <v>25.783783783783782</v>
      </c>
      <c r="I232" s="251">
        <v>17.623105519016299</v>
      </c>
      <c r="J232" s="251">
        <v>20.039176436945958</v>
      </c>
      <c r="K232" s="251">
        <v>27.3</v>
      </c>
      <c r="L232" s="251">
        <v>60</v>
      </c>
      <c r="M232" s="251">
        <v>52</v>
      </c>
      <c r="N232" s="251">
        <v>113.6</v>
      </c>
      <c r="O232" s="251">
        <v>106.3</v>
      </c>
      <c r="P232" s="251">
        <v>77</v>
      </c>
      <c r="Q232" s="251">
        <v>144.4</v>
      </c>
      <c r="R232" s="251">
        <v>96.5</v>
      </c>
      <c r="S232" s="251">
        <v>71.3</v>
      </c>
      <c r="T232" s="251">
        <v>113</v>
      </c>
      <c r="U232" s="251">
        <v>69</v>
      </c>
      <c r="V232" s="251">
        <v>178</v>
      </c>
      <c r="W232" s="251">
        <v>60.4</v>
      </c>
      <c r="X232" s="251">
        <v>71.3</v>
      </c>
      <c r="Y232" s="251">
        <f>AO229</f>
        <v>142.298</v>
      </c>
      <c r="Z232" s="252">
        <f t="shared" si="113"/>
        <v>407.04858209615372</v>
      </c>
      <c r="AA232" s="252">
        <f t="shared" si="113"/>
        <v>337.79343281410263</v>
      </c>
      <c r="AB232" s="252">
        <f t="shared" si="112"/>
        <v>380.5160749294871</v>
      </c>
      <c r="AC232" s="251">
        <f t="shared" si="114"/>
        <v>74.367999999999995</v>
      </c>
      <c r="AD232" s="252">
        <f t="shared" si="110"/>
        <v>301.7218925582668</v>
      </c>
      <c r="AE232" s="252">
        <f t="shared" si="110"/>
        <v>248.75369337949931</v>
      </c>
      <c r="AG232" s="252"/>
      <c r="AH232" s="368"/>
      <c r="AI232" s="368"/>
      <c r="AJ232" s="368"/>
      <c r="AK232" s="368"/>
      <c r="AL232" s="252"/>
      <c r="AM232" s="252"/>
      <c r="AN232" s="240" t="s">
        <v>240</v>
      </c>
      <c r="AO232" s="264">
        <v>542.42499999999995</v>
      </c>
      <c r="AP232" s="264"/>
      <c r="AS232">
        <v>55.433500000000002</v>
      </c>
      <c r="AX232" s="240" t="s">
        <v>240</v>
      </c>
      <c r="AY232" s="264"/>
      <c r="AZ232" s="264"/>
      <c r="BC232">
        <v>81.063000000000002</v>
      </c>
    </row>
    <row r="233" spans="1:55">
      <c r="A233" s="240" t="s">
        <v>238</v>
      </c>
      <c r="B233" s="290">
        <f t="shared" si="111"/>
        <v>51.852779268495695</v>
      </c>
      <c r="C233" s="251">
        <v>40.709855424346095</v>
      </c>
      <c r="D233" s="251">
        <v>38.863703267589059</v>
      </c>
      <c r="E233" s="251">
        <v>19.866666666666667</v>
      </c>
      <c r="F233" s="251">
        <v>48.252808988764045</v>
      </c>
      <c r="G233" s="251">
        <v>47.49802371541503</v>
      </c>
      <c r="H233" s="251">
        <v>69.831081081081081</v>
      </c>
      <c r="I233" s="251">
        <v>66.733771804403773</v>
      </c>
      <c r="J233" s="251">
        <v>75.882756648555898</v>
      </c>
      <c r="K233" s="251">
        <v>74.7</v>
      </c>
      <c r="L233" s="251">
        <v>45.1</v>
      </c>
      <c r="M233" s="251">
        <v>72.7</v>
      </c>
      <c r="N233" s="251">
        <v>57.5</v>
      </c>
      <c r="O233" s="251">
        <v>109.4</v>
      </c>
      <c r="P233" s="251">
        <v>102.6</v>
      </c>
      <c r="Q233" s="251">
        <v>140.4</v>
      </c>
      <c r="R233" s="251">
        <v>167.2</v>
      </c>
      <c r="S233" s="251">
        <v>232.6</v>
      </c>
      <c r="T233" s="251">
        <v>271.60000000000002</v>
      </c>
      <c r="U233" s="251">
        <v>294.7</v>
      </c>
      <c r="V233" s="251">
        <v>292</v>
      </c>
      <c r="W233" s="251">
        <v>301</v>
      </c>
      <c r="X233" s="251">
        <v>400</v>
      </c>
      <c r="Y233" s="251">
        <f>AO230</f>
        <v>414.65600000000001</v>
      </c>
      <c r="Z233" s="252">
        <f t="shared" si="113"/>
        <v>466.34646401923078</v>
      </c>
      <c r="AA233" s="252">
        <f t="shared" si="113"/>
        <v>219.02016527564112</v>
      </c>
      <c r="AB233" s="252">
        <f t="shared" si="112"/>
        <v>378.92816962179484</v>
      </c>
      <c r="AC233" s="251">
        <f t="shared" si="114"/>
        <v>36.552</v>
      </c>
      <c r="AD233" s="252">
        <f t="shared" si="110"/>
        <v>258.99165388212293</v>
      </c>
      <c r="AE233" s="252">
        <f t="shared" si="110"/>
        <v>460.72482150723437</v>
      </c>
      <c r="AG233" s="252"/>
      <c r="AH233" s="368"/>
      <c r="AI233" s="368"/>
      <c r="AJ233" s="368"/>
      <c r="AK233" s="368"/>
      <c r="AL233" s="252"/>
      <c r="AM233" s="252"/>
      <c r="AN233" s="240" t="s">
        <v>241</v>
      </c>
      <c r="AO233" s="264">
        <v>476.74400000000003</v>
      </c>
      <c r="AP233" s="264"/>
      <c r="AX233" s="240" t="s">
        <v>241</v>
      </c>
      <c r="AY233" s="264"/>
      <c r="AZ233" s="264"/>
    </row>
    <row r="234" spans="1:55" ht="15.75" thickBot="1">
      <c r="A234" s="240" t="s">
        <v>242</v>
      </c>
      <c r="B234" s="146">
        <f>B33</f>
        <v>767</v>
      </c>
      <c r="C234" s="146">
        <f t="shared" ref="C234:X234" si="115">SUM(C222:C233)</f>
        <v>587.99999999999977</v>
      </c>
      <c r="D234" s="146">
        <f t="shared" si="115"/>
        <v>943.00000000000011</v>
      </c>
      <c r="E234" s="146">
        <f t="shared" si="115"/>
        <v>429.99999999999994</v>
      </c>
      <c r="F234" s="146">
        <f t="shared" si="115"/>
        <v>505.00000000000011</v>
      </c>
      <c r="G234" s="146">
        <f t="shared" si="115"/>
        <v>560</v>
      </c>
      <c r="H234" s="146">
        <f t="shared" si="115"/>
        <v>879.99999999999989</v>
      </c>
      <c r="I234" s="146">
        <f t="shared" si="115"/>
        <v>975.99999999999989</v>
      </c>
      <c r="J234" s="146">
        <f t="shared" si="115"/>
        <v>880.99999999999989</v>
      </c>
      <c r="K234" s="146">
        <f t="shared" si="115"/>
        <v>1281.5</v>
      </c>
      <c r="L234" s="146">
        <f t="shared" si="115"/>
        <v>1338.1</v>
      </c>
      <c r="M234" s="146">
        <f t="shared" si="115"/>
        <v>1151.3</v>
      </c>
      <c r="N234" s="146">
        <f t="shared" si="115"/>
        <v>1868.3999999999999</v>
      </c>
      <c r="O234" s="146">
        <f t="shared" si="115"/>
        <v>2096.8999999999996</v>
      </c>
      <c r="P234" s="146">
        <f t="shared" si="115"/>
        <v>1755.5</v>
      </c>
      <c r="Q234" s="146">
        <f t="shared" si="115"/>
        <v>2535.6999999999998</v>
      </c>
      <c r="R234" s="146">
        <f t="shared" si="115"/>
        <v>2878.3999999999996</v>
      </c>
      <c r="S234" s="146">
        <f t="shared" si="115"/>
        <v>3017.9</v>
      </c>
      <c r="T234" s="146">
        <f t="shared" si="115"/>
        <v>3624.2999999999997</v>
      </c>
      <c r="U234" s="146">
        <f t="shared" si="115"/>
        <v>3135</v>
      </c>
      <c r="V234" s="146">
        <f t="shared" si="115"/>
        <v>4232.1000000000004</v>
      </c>
      <c r="W234" s="146">
        <f t="shared" si="115"/>
        <v>3565.4</v>
      </c>
      <c r="X234" s="146">
        <f t="shared" si="115"/>
        <v>3913.3</v>
      </c>
      <c r="Y234" s="146">
        <v>6351</v>
      </c>
      <c r="Z234" s="253">
        <v>5913</v>
      </c>
      <c r="AA234" s="253">
        <v>6364</v>
      </c>
      <c r="AB234" s="253">
        <v>7390</v>
      </c>
      <c r="AC234" s="253">
        <f>5934</f>
        <v>5934</v>
      </c>
      <c r="AD234" s="253">
        <f>SUM(AD222:AD233)</f>
        <v>4792.7487450470471</v>
      </c>
      <c r="AE234" s="253">
        <f>SUM(AE222:AE233)</f>
        <v>4600.963026888031</v>
      </c>
      <c r="AN234" s="240" t="s">
        <v>345</v>
      </c>
      <c r="AO234" s="264">
        <v>5211.8729999999996</v>
      </c>
      <c r="AP234" s="264"/>
      <c r="AS234">
        <v>2446.2669000000001</v>
      </c>
      <c r="AX234" s="240" t="s">
        <v>345</v>
      </c>
      <c r="AY234" s="264"/>
      <c r="AZ234" s="264"/>
      <c r="BC234">
        <v>396.97</v>
      </c>
    </row>
    <row r="235" spans="1:55">
      <c r="A235" s="248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4"/>
      <c r="Z235" s="254"/>
      <c r="AA235" s="254"/>
      <c r="AB235" s="254"/>
      <c r="AC235" s="254">
        <f>AC33</f>
        <v>5934</v>
      </c>
      <c r="AD235" s="254">
        <f>AD33</f>
        <v>4792.7487450470471</v>
      </c>
      <c r="AE235" s="254"/>
    </row>
    <row r="236" spans="1:55" ht="15.75" thickBot="1">
      <c r="A236" s="235" t="s">
        <v>263</v>
      </c>
      <c r="AO236" t="s">
        <v>358</v>
      </c>
      <c r="AY236" t="s">
        <v>359</v>
      </c>
    </row>
    <row r="237" spans="1:55" ht="15.75" thickBot="1">
      <c r="A237" s="236"/>
      <c r="B237" s="237" t="str">
        <f>B$2</f>
        <v xml:space="preserve">93/94 </v>
      </c>
      <c r="C237" s="237" t="str">
        <f t="shared" ref="C237:AE237" si="116">C$2</f>
        <v xml:space="preserve">94/95 </v>
      </c>
      <c r="D237" s="237" t="str">
        <f t="shared" si="116"/>
        <v xml:space="preserve">95/96 </v>
      </c>
      <c r="E237" s="237" t="str">
        <f t="shared" si="116"/>
        <v xml:space="preserve">96/97 </v>
      </c>
      <c r="F237" s="237" t="str">
        <f t="shared" si="116"/>
        <v xml:space="preserve">97/98 </v>
      </c>
      <c r="G237" s="237" t="str">
        <f t="shared" si="116"/>
        <v xml:space="preserve">98/99 </v>
      </c>
      <c r="H237" s="237" t="str">
        <f t="shared" si="116"/>
        <v xml:space="preserve">99/00 </v>
      </c>
      <c r="I237" s="237" t="str">
        <f t="shared" si="116"/>
        <v xml:space="preserve">00/01 </v>
      </c>
      <c r="J237" s="237" t="str">
        <f t="shared" si="116"/>
        <v xml:space="preserve">01/02 </v>
      </c>
      <c r="K237" s="237" t="str">
        <f t="shared" si="116"/>
        <v xml:space="preserve">02/03 </v>
      </c>
      <c r="L237" s="237" t="str">
        <f t="shared" si="116"/>
        <v xml:space="preserve">03/04 </v>
      </c>
      <c r="M237" s="237" t="str">
        <f t="shared" si="116"/>
        <v xml:space="preserve">04/05 </v>
      </c>
      <c r="N237" s="237" t="str">
        <f t="shared" si="116"/>
        <v xml:space="preserve">05/06 </v>
      </c>
      <c r="O237" s="237" t="str">
        <f t="shared" si="116"/>
        <v xml:space="preserve">06/07 </v>
      </c>
      <c r="P237" s="237" t="str">
        <f t="shared" si="116"/>
        <v xml:space="preserve">07/08 </v>
      </c>
      <c r="Q237" s="237" t="str">
        <f t="shared" si="116"/>
        <v xml:space="preserve">08/09 </v>
      </c>
      <c r="R237" s="237" t="str">
        <f t="shared" si="116"/>
        <v xml:space="preserve">09/10 </v>
      </c>
      <c r="S237" s="237" t="str">
        <f t="shared" si="116"/>
        <v xml:space="preserve">10/11 </v>
      </c>
      <c r="T237" s="237" t="str">
        <f t="shared" si="116"/>
        <v xml:space="preserve">11/12 </v>
      </c>
      <c r="U237" s="237" t="str">
        <f t="shared" si="116"/>
        <v xml:space="preserve">12/13 </v>
      </c>
      <c r="V237" s="237" t="str">
        <f t="shared" si="116"/>
        <v xml:space="preserve">13/14 </v>
      </c>
      <c r="W237" s="237" t="str">
        <f t="shared" si="116"/>
        <v xml:space="preserve">14/15 </v>
      </c>
      <c r="X237" s="237" t="str">
        <f t="shared" si="116"/>
        <v xml:space="preserve">15/16 </v>
      </c>
      <c r="Y237" s="237" t="str">
        <f t="shared" si="116"/>
        <v xml:space="preserve">16/17 </v>
      </c>
      <c r="Z237" s="237" t="str">
        <f t="shared" si="116"/>
        <v xml:space="preserve">17/18 </v>
      </c>
      <c r="AA237" s="237" t="str">
        <f t="shared" si="116"/>
        <v xml:space="preserve">18/19 </v>
      </c>
      <c r="AB237" s="237" t="str">
        <f t="shared" si="116"/>
        <v xml:space="preserve">19/20 </v>
      </c>
      <c r="AC237" s="237" t="str">
        <f t="shared" si="116"/>
        <v xml:space="preserve">20/21 </v>
      </c>
      <c r="AD237" s="237" t="str">
        <f t="shared" si="116"/>
        <v>21/22</v>
      </c>
      <c r="AE237" s="237" t="str">
        <f t="shared" si="116"/>
        <v>22/23</v>
      </c>
      <c r="AO237">
        <f>AO221</f>
        <v>2017</v>
      </c>
      <c r="AP237">
        <f t="shared" ref="AP237:AS237" si="117">AP221</f>
        <v>2018</v>
      </c>
      <c r="AQ237">
        <f t="shared" si="117"/>
        <v>2019</v>
      </c>
      <c r="AR237">
        <f t="shared" si="117"/>
        <v>2020</v>
      </c>
      <c r="AS237">
        <f t="shared" si="117"/>
        <v>2021</v>
      </c>
      <c r="AY237">
        <f>AY221</f>
        <v>2017</v>
      </c>
      <c r="AZ237">
        <f t="shared" ref="AZ237:BC237" si="118">AZ221</f>
        <v>2018</v>
      </c>
      <c r="BA237">
        <f t="shared" si="118"/>
        <v>2019</v>
      </c>
      <c r="BB237">
        <f t="shared" si="118"/>
        <v>2020</v>
      </c>
      <c r="BC237">
        <f t="shared" si="118"/>
        <v>2021</v>
      </c>
    </row>
    <row r="238" spans="1:55">
      <c r="A238" s="240" t="s">
        <v>239</v>
      </c>
      <c r="B238" s="298">
        <f t="shared" ref="B238:AE246" si="119">B222/B80</f>
        <v>0.42027397260273974</v>
      </c>
      <c r="C238" s="298">
        <f t="shared" si="119"/>
        <v>0.42</v>
      </c>
      <c r="D238" s="298">
        <f t="shared" si="119"/>
        <v>0.41</v>
      </c>
      <c r="E238" s="298">
        <f t="shared" si="119"/>
        <v>0.41974077766699902</v>
      </c>
      <c r="F238" s="298">
        <f t="shared" si="119"/>
        <v>0.41025641025641024</v>
      </c>
      <c r="G238" s="298">
        <f t="shared" si="119"/>
        <v>0.40769230769230769</v>
      </c>
      <c r="H238" s="298">
        <f t="shared" si="119"/>
        <v>0.4</v>
      </c>
      <c r="I238" s="298">
        <f t="shared" si="119"/>
        <v>0.41630901287553645</v>
      </c>
      <c r="J238" s="298">
        <f t="shared" si="119"/>
        <v>0.40933398152649486</v>
      </c>
      <c r="K238" s="298">
        <f t="shared" si="119"/>
        <v>0.4107142857142857</v>
      </c>
      <c r="L238" s="298">
        <f t="shared" si="119"/>
        <v>0.41904761904761906</v>
      </c>
      <c r="M238" s="298">
        <f t="shared" si="119"/>
        <v>0.42166666666666663</v>
      </c>
      <c r="N238" s="298">
        <f t="shared" si="119"/>
        <v>0.42307692307692307</v>
      </c>
      <c r="O238" s="298">
        <f t="shared" si="119"/>
        <v>0.4229420259954611</v>
      </c>
      <c r="P238" s="298">
        <f t="shared" si="119"/>
        <v>0.42334905660377359</v>
      </c>
      <c r="Q238" s="298">
        <f t="shared" si="119"/>
        <v>0.42299035369774918</v>
      </c>
      <c r="R238" s="298">
        <f t="shared" si="119"/>
        <v>0.4229787234042553</v>
      </c>
      <c r="S238" s="298">
        <f t="shared" si="119"/>
        <v>0.42295497780596075</v>
      </c>
      <c r="T238" s="298">
        <f t="shared" si="119"/>
        <v>0.4229787234042553</v>
      </c>
      <c r="U238" s="298">
        <f t="shared" si="119"/>
        <v>0.4230232558139535</v>
      </c>
      <c r="V238" s="298">
        <f t="shared" si="119"/>
        <v>0.42302222222222224</v>
      </c>
      <c r="W238" s="298">
        <f t="shared" si="119"/>
        <v>0.43</v>
      </c>
      <c r="X238" s="298">
        <f t="shared" si="119"/>
        <v>0.43004291845493564</v>
      </c>
      <c r="Y238" s="298">
        <f t="shared" si="119"/>
        <v>0.435</v>
      </c>
      <c r="Z238" s="298">
        <f t="shared" si="119"/>
        <v>0.43</v>
      </c>
      <c r="AA238" s="298">
        <f t="shared" si="119"/>
        <v>0.38756765843074015</v>
      </c>
      <c r="AB238" s="298">
        <f t="shared" si="119"/>
        <v>0.37170724401105337</v>
      </c>
      <c r="AC238" s="298">
        <f t="shared" si="119"/>
        <v>0.35352520655678971</v>
      </c>
      <c r="AD238" s="298">
        <f t="shared" si="119"/>
        <v>0.33136581312647179</v>
      </c>
      <c r="AE238" s="298">
        <f t="shared" si="119"/>
        <v>0.32960640365345489</v>
      </c>
      <c r="AN238" s="240" t="s">
        <v>231</v>
      </c>
      <c r="AO238" s="264"/>
      <c r="AP238" s="264">
        <v>124.23399999999999</v>
      </c>
      <c r="AS238">
        <v>117.449</v>
      </c>
      <c r="AX238" s="240" t="s">
        <v>231</v>
      </c>
      <c r="AY238" s="264"/>
      <c r="AZ238" s="264"/>
      <c r="BC238">
        <v>23.379200000000001</v>
      </c>
    </row>
    <row r="239" spans="1:55">
      <c r="A239" s="240" t="s">
        <v>240</v>
      </c>
      <c r="B239" s="298">
        <f t="shared" si="119"/>
        <v>0.42027397260273974</v>
      </c>
      <c r="C239" s="298">
        <f t="shared" si="119"/>
        <v>0.42</v>
      </c>
      <c r="D239" s="298">
        <f t="shared" si="119"/>
        <v>0.41</v>
      </c>
      <c r="E239" s="298">
        <f t="shared" si="119"/>
        <v>0.41974077766699897</v>
      </c>
      <c r="F239" s="298">
        <f t="shared" si="119"/>
        <v>0.41025641025641024</v>
      </c>
      <c r="G239" s="298">
        <f t="shared" si="119"/>
        <v>0.40769230769230769</v>
      </c>
      <c r="H239" s="298">
        <f t="shared" si="119"/>
        <v>0.4</v>
      </c>
      <c r="I239" s="298">
        <f t="shared" si="119"/>
        <v>0.41630901287553651</v>
      </c>
      <c r="J239" s="298">
        <f t="shared" si="119"/>
        <v>0.40933398152649492</v>
      </c>
      <c r="K239" s="298">
        <f t="shared" si="119"/>
        <v>0.41071428571428564</v>
      </c>
      <c r="L239" s="298">
        <f t="shared" si="119"/>
        <v>0.41904761904761906</v>
      </c>
      <c r="M239" s="298">
        <f t="shared" si="119"/>
        <v>0.42166666666666669</v>
      </c>
      <c r="N239" s="298">
        <f t="shared" si="119"/>
        <v>0.42307692307692307</v>
      </c>
      <c r="O239" s="298">
        <f t="shared" si="119"/>
        <v>0.4229420259954611</v>
      </c>
      <c r="P239" s="298">
        <f t="shared" si="119"/>
        <v>0.42334905660377359</v>
      </c>
      <c r="Q239" s="298">
        <f t="shared" si="119"/>
        <v>0.42299035369774918</v>
      </c>
      <c r="R239" s="298">
        <f t="shared" si="119"/>
        <v>0.4229787234042553</v>
      </c>
      <c r="S239" s="298">
        <f t="shared" si="119"/>
        <v>0.4229549778059607</v>
      </c>
      <c r="T239" s="298">
        <f t="shared" si="119"/>
        <v>0.4229787234042553</v>
      </c>
      <c r="U239" s="298">
        <f t="shared" si="119"/>
        <v>0.4230232558139535</v>
      </c>
      <c r="V239" s="298">
        <f t="shared" si="119"/>
        <v>0.42302222222222224</v>
      </c>
      <c r="W239" s="298">
        <f t="shared" si="119"/>
        <v>0.43</v>
      </c>
      <c r="X239" s="298">
        <f t="shared" si="119"/>
        <v>0.43004291845493564</v>
      </c>
      <c r="Y239" s="298">
        <f t="shared" si="119"/>
        <v>0.43499999999999994</v>
      </c>
      <c r="Z239" s="298">
        <f t="shared" si="119"/>
        <v>0.42999999999999994</v>
      </c>
      <c r="AA239" s="298">
        <f t="shared" si="119"/>
        <v>0.40664209977814436</v>
      </c>
      <c r="AB239" s="298">
        <f t="shared" si="119"/>
        <v>0.42582340463797386</v>
      </c>
      <c r="AC239" s="298">
        <f t="shared" si="119"/>
        <v>0.48548584116025062</v>
      </c>
      <c r="AD239" s="298">
        <f t="shared" si="119"/>
        <v>0.44631362215494336</v>
      </c>
      <c r="AE239" s="298">
        <f t="shared" si="119"/>
        <v>0.43630775783782499</v>
      </c>
      <c r="AN239" s="240" t="s">
        <v>232</v>
      </c>
      <c r="AO239" s="264"/>
      <c r="AP239" s="264">
        <v>130.94300000000001</v>
      </c>
      <c r="AS239">
        <v>101.2017</v>
      </c>
      <c r="AX239" s="240" t="s">
        <v>232</v>
      </c>
      <c r="AY239" s="264"/>
      <c r="AZ239" s="264"/>
      <c r="BC239">
        <v>18.470400000000001</v>
      </c>
    </row>
    <row r="240" spans="1:55">
      <c r="A240" s="240" t="s">
        <v>241</v>
      </c>
      <c r="B240" s="298">
        <f t="shared" si="119"/>
        <v>0.42027397260273974</v>
      </c>
      <c r="C240" s="298">
        <f t="shared" si="119"/>
        <v>0.42</v>
      </c>
      <c r="D240" s="298">
        <f t="shared" si="119"/>
        <v>0.41</v>
      </c>
      <c r="E240" s="298">
        <f t="shared" si="119"/>
        <v>0.41974077766699908</v>
      </c>
      <c r="F240" s="298">
        <f t="shared" si="119"/>
        <v>0.41025641025641024</v>
      </c>
      <c r="G240" s="298">
        <f t="shared" si="119"/>
        <v>0.40769230769230769</v>
      </c>
      <c r="H240" s="298">
        <f t="shared" si="119"/>
        <v>0.4</v>
      </c>
      <c r="I240" s="298">
        <f t="shared" si="119"/>
        <v>0.4163090128755364</v>
      </c>
      <c r="J240" s="298">
        <f t="shared" si="119"/>
        <v>0.40933398152649492</v>
      </c>
      <c r="K240" s="298">
        <f t="shared" si="119"/>
        <v>0.4107142857142857</v>
      </c>
      <c r="L240" s="298">
        <f t="shared" si="119"/>
        <v>0.41904761904761906</v>
      </c>
      <c r="M240" s="298">
        <f t="shared" si="119"/>
        <v>0.42166666666666675</v>
      </c>
      <c r="N240" s="298">
        <f t="shared" si="119"/>
        <v>0.42307692307692307</v>
      </c>
      <c r="O240" s="298">
        <f t="shared" si="119"/>
        <v>0.4229420259954611</v>
      </c>
      <c r="P240" s="298">
        <f t="shared" si="119"/>
        <v>0.42334905660377359</v>
      </c>
      <c r="Q240" s="298">
        <f t="shared" si="119"/>
        <v>0.42299035369774923</v>
      </c>
      <c r="R240" s="298">
        <f t="shared" si="119"/>
        <v>0.4229787234042553</v>
      </c>
      <c r="S240" s="298">
        <f t="shared" si="119"/>
        <v>0.42295497780596064</v>
      </c>
      <c r="T240" s="298">
        <f t="shared" si="119"/>
        <v>0.4229787234042553</v>
      </c>
      <c r="U240" s="298">
        <f t="shared" si="119"/>
        <v>0.4230232558139535</v>
      </c>
      <c r="V240" s="298">
        <f t="shared" si="119"/>
        <v>0.42302222222222224</v>
      </c>
      <c r="W240" s="298">
        <f t="shared" si="119"/>
        <v>0.43</v>
      </c>
      <c r="X240" s="298">
        <f t="shared" si="119"/>
        <v>0.43004291845493564</v>
      </c>
      <c r="Y240" s="298">
        <f t="shared" si="119"/>
        <v>0.435</v>
      </c>
      <c r="Z240" s="298">
        <f t="shared" si="119"/>
        <v>0.43000000000000005</v>
      </c>
      <c r="AA240" s="298">
        <f t="shared" si="119"/>
        <v>0.41028332904850046</v>
      </c>
      <c r="AB240" s="298">
        <f t="shared" si="119"/>
        <v>0.40484987418654728</v>
      </c>
      <c r="AC240" s="298">
        <f t="shared" si="119"/>
        <v>0.40474296867306914</v>
      </c>
      <c r="AD240" s="298">
        <f t="shared" si="119"/>
        <v>0.44100694934032464</v>
      </c>
      <c r="AE240" s="298">
        <f t="shared" si="119"/>
        <v>0.43647852682272947</v>
      </c>
      <c r="AN240" s="240" t="s">
        <v>233</v>
      </c>
      <c r="AO240" s="264"/>
      <c r="AP240" s="264">
        <v>104.399</v>
      </c>
      <c r="AS240">
        <v>111.2183</v>
      </c>
      <c r="AX240" s="240" t="s">
        <v>233</v>
      </c>
      <c r="AY240" s="264"/>
      <c r="AZ240" s="264"/>
      <c r="BC240">
        <v>27.216999999999999</v>
      </c>
    </row>
    <row r="241" spans="1:55">
      <c r="A241" s="240" t="s">
        <v>231</v>
      </c>
      <c r="B241" s="298">
        <f t="shared" si="119"/>
        <v>0.42027397260273974</v>
      </c>
      <c r="C241" s="298">
        <f t="shared" si="119"/>
        <v>0.42</v>
      </c>
      <c r="D241" s="298">
        <f t="shared" si="119"/>
        <v>0.41</v>
      </c>
      <c r="E241" s="298">
        <f t="shared" si="119"/>
        <v>0.41974077766699902</v>
      </c>
      <c r="F241" s="298">
        <f t="shared" si="119"/>
        <v>0.41025641025641024</v>
      </c>
      <c r="G241" s="298">
        <f t="shared" si="119"/>
        <v>0.40769230769230763</v>
      </c>
      <c r="H241" s="298">
        <f t="shared" si="119"/>
        <v>0.4</v>
      </c>
      <c r="I241" s="298">
        <f t="shared" si="119"/>
        <v>0.4163090128755364</v>
      </c>
      <c r="J241" s="298">
        <f t="shared" si="119"/>
        <v>0.40933398152649492</v>
      </c>
      <c r="K241" s="298">
        <f t="shared" si="119"/>
        <v>0.41071428571428564</v>
      </c>
      <c r="L241" s="298">
        <f t="shared" si="119"/>
        <v>0.41904761904761906</v>
      </c>
      <c r="M241" s="298">
        <f t="shared" si="119"/>
        <v>0.42166666666666669</v>
      </c>
      <c r="N241" s="298">
        <f t="shared" si="119"/>
        <v>0.42307692307692307</v>
      </c>
      <c r="O241" s="298">
        <f t="shared" si="119"/>
        <v>0.4229420259954611</v>
      </c>
      <c r="P241" s="298">
        <f t="shared" si="119"/>
        <v>0.42334905660377359</v>
      </c>
      <c r="Q241" s="298">
        <f t="shared" si="119"/>
        <v>0.42299035369774918</v>
      </c>
      <c r="R241" s="298">
        <f t="shared" si="119"/>
        <v>0.42297872340425535</v>
      </c>
      <c r="S241" s="298">
        <f t="shared" si="119"/>
        <v>0.4229549778059607</v>
      </c>
      <c r="T241" s="298">
        <f t="shared" si="119"/>
        <v>0.4229787234042553</v>
      </c>
      <c r="U241" s="298">
        <f t="shared" si="119"/>
        <v>0.4230232558139535</v>
      </c>
      <c r="V241" s="298">
        <f t="shared" si="119"/>
        <v>0.42302222222222224</v>
      </c>
      <c r="W241" s="298">
        <f t="shared" si="119"/>
        <v>0.43</v>
      </c>
      <c r="X241" s="298">
        <f t="shared" si="119"/>
        <v>0.43004291845493564</v>
      </c>
      <c r="Y241" s="298">
        <f t="shared" si="119"/>
        <v>0.43499999999999994</v>
      </c>
      <c r="Z241" s="298">
        <f t="shared" si="119"/>
        <v>0.43</v>
      </c>
      <c r="AA241" s="298">
        <f t="shared" si="119"/>
        <v>0.38494974242736241</v>
      </c>
      <c r="AB241" s="298">
        <f t="shared" si="119"/>
        <v>0.45473116150900522</v>
      </c>
      <c r="AC241" s="298">
        <f t="shared" si="119"/>
        <v>0.43522787746809405</v>
      </c>
      <c r="AD241" s="298">
        <f t="shared" si="119"/>
        <v>0.49071176591278698</v>
      </c>
      <c r="AE241" s="298">
        <f t="shared" si="119"/>
        <v>0.52530463762139501</v>
      </c>
      <c r="AN241" s="240" t="s">
        <v>234</v>
      </c>
      <c r="AO241" s="264"/>
      <c r="AP241" s="264">
        <v>90.424000000000007</v>
      </c>
      <c r="AS241">
        <v>131.1925</v>
      </c>
      <c r="AX241" s="240" t="s">
        <v>234</v>
      </c>
      <c r="AY241" s="264"/>
      <c r="AZ241" s="264"/>
      <c r="BC241">
        <v>29.846299999999999</v>
      </c>
    </row>
    <row r="242" spans="1:55">
      <c r="A242" s="240" t="s">
        <v>232</v>
      </c>
      <c r="B242" s="298">
        <f t="shared" si="119"/>
        <v>0.42027397260273974</v>
      </c>
      <c r="C242" s="298">
        <f t="shared" si="119"/>
        <v>0.42</v>
      </c>
      <c r="D242" s="298">
        <f t="shared" si="119"/>
        <v>0.41</v>
      </c>
      <c r="E242" s="298">
        <f t="shared" si="119"/>
        <v>0.41974077766699902</v>
      </c>
      <c r="F242" s="298">
        <f t="shared" si="119"/>
        <v>0.41025641025641024</v>
      </c>
      <c r="G242" s="298">
        <f t="shared" si="119"/>
        <v>0.40769230769230769</v>
      </c>
      <c r="H242" s="298">
        <f t="shared" si="119"/>
        <v>0.4</v>
      </c>
      <c r="I242" s="298">
        <f t="shared" si="119"/>
        <v>0.41630901287553645</v>
      </c>
      <c r="J242" s="298">
        <f t="shared" si="119"/>
        <v>0.40933398152649492</v>
      </c>
      <c r="K242" s="298">
        <f t="shared" si="119"/>
        <v>0.41071428571428575</v>
      </c>
      <c r="L242" s="298">
        <f t="shared" si="119"/>
        <v>0.41904761904761906</v>
      </c>
      <c r="M242" s="298">
        <f t="shared" si="119"/>
        <v>0.42166666666666669</v>
      </c>
      <c r="N242" s="298">
        <f t="shared" si="119"/>
        <v>0.42307692307692307</v>
      </c>
      <c r="O242" s="298">
        <f t="shared" si="119"/>
        <v>0.4229420259954611</v>
      </c>
      <c r="P242" s="298">
        <f t="shared" si="119"/>
        <v>0.42334905660377359</v>
      </c>
      <c r="Q242" s="298">
        <f t="shared" si="119"/>
        <v>0.42299035369774918</v>
      </c>
      <c r="R242" s="298">
        <f t="shared" si="119"/>
        <v>0.4229787234042553</v>
      </c>
      <c r="S242" s="298">
        <f t="shared" si="119"/>
        <v>0.4229549778059607</v>
      </c>
      <c r="T242" s="298">
        <f t="shared" si="119"/>
        <v>0.4229787234042553</v>
      </c>
      <c r="U242" s="298">
        <f t="shared" si="119"/>
        <v>0.4230232558139535</v>
      </c>
      <c r="V242" s="298">
        <f t="shared" si="119"/>
        <v>0.42302222222222224</v>
      </c>
      <c r="W242" s="298">
        <f t="shared" si="119"/>
        <v>0.43</v>
      </c>
      <c r="X242" s="298">
        <f t="shared" si="119"/>
        <v>0.43004291845493564</v>
      </c>
      <c r="Y242" s="298">
        <f t="shared" si="119"/>
        <v>0.435</v>
      </c>
      <c r="Z242" s="298">
        <f t="shared" si="119"/>
        <v>0.43</v>
      </c>
      <c r="AA242" s="298">
        <f t="shared" si="119"/>
        <v>0.44344171474925154</v>
      </c>
      <c r="AB242" s="298">
        <f t="shared" si="119"/>
        <v>0.4936400869600423</v>
      </c>
      <c r="AC242" s="298">
        <f t="shared" si="119"/>
        <v>0.43522787746809399</v>
      </c>
      <c r="AD242" s="298">
        <f t="shared" si="119"/>
        <v>0.4366654939885421</v>
      </c>
      <c r="AE242" s="298">
        <f t="shared" si="119"/>
        <v>0.44948353443534805</v>
      </c>
      <c r="AN242" s="240" t="s">
        <v>46</v>
      </c>
      <c r="AO242" s="264"/>
      <c r="AP242" s="264"/>
      <c r="AS242">
        <v>136.96430000000001</v>
      </c>
      <c r="AX242" s="240" t="s">
        <v>46</v>
      </c>
      <c r="AY242" s="264"/>
      <c r="AZ242" s="264"/>
      <c r="BC242">
        <v>24.508600000000001</v>
      </c>
    </row>
    <row r="243" spans="1:55">
      <c r="A243" s="240" t="s">
        <v>233</v>
      </c>
      <c r="B243" s="298">
        <f t="shared" si="119"/>
        <v>0.42027397260273969</v>
      </c>
      <c r="C243" s="298">
        <f t="shared" si="119"/>
        <v>0.42</v>
      </c>
      <c r="D243" s="298">
        <f t="shared" si="119"/>
        <v>0.41</v>
      </c>
      <c r="E243" s="298">
        <f t="shared" si="119"/>
        <v>0.41974077766699902</v>
      </c>
      <c r="F243" s="298">
        <f t="shared" si="119"/>
        <v>0.41025641025641024</v>
      </c>
      <c r="G243" s="298">
        <f t="shared" si="119"/>
        <v>0.40769230769230769</v>
      </c>
      <c r="H243" s="298">
        <f t="shared" si="119"/>
        <v>0.4</v>
      </c>
      <c r="I243" s="298">
        <f t="shared" si="119"/>
        <v>0.41630901287553645</v>
      </c>
      <c r="J243" s="298">
        <f t="shared" si="119"/>
        <v>0.40933398152649497</v>
      </c>
      <c r="K243" s="298">
        <f t="shared" si="119"/>
        <v>0.41071428571428575</v>
      </c>
      <c r="L243" s="298">
        <f t="shared" si="119"/>
        <v>0.419047619047619</v>
      </c>
      <c r="M243" s="298">
        <f t="shared" si="119"/>
        <v>0.42166666666666663</v>
      </c>
      <c r="N243" s="298">
        <f t="shared" si="119"/>
        <v>0.42307692307692307</v>
      </c>
      <c r="O243" s="298">
        <f t="shared" si="119"/>
        <v>0.4229420259954611</v>
      </c>
      <c r="P243" s="298">
        <f t="shared" si="119"/>
        <v>0.42334905660377359</v>
      </c>
      <c r="Q243" s="298">
        <f t="shared" si="119"/>
        <v>0.42299035369774912</v>
      </c>
      <c r="R243" s="298">
        <f t="shared" si="119"/>
        <v>0.4229787234042553</v>
      </c>
      <c r="S243" s="298">
        <f t="shared" si="119"/>
        <v>0.4229549778059607</v>
      </c>
      <c r="T243" s="298">
        <f t="shared" si="119"/>
        <v>0.4229787234042553</v>
      </c>
      <c r="U243" s="298">
        <f t="shared" si="119"/>
        <v>0.4230232558139535</v>
      </c>
      <c r="V243" s="298">
        <f t="shared" si="119"/>
        <v>0.42302222222222224</v>
      </c>
      <c r="W243" s="298">
        <f t="shared" si="119"/>
        <v>0.43</v>
      </c>
      <c r="X243" s="298">
        <f t="shared" si="119"/>
        <v>0.43004291845493564</v>
      </c>
      <c r="Y243" s="298">
        <f t="shared" si="119"/>
        <v>0.435</v>
      </c>
      <c r="Z243" s="298">
        <f t="shared" si="119"/>
        <v>0.43</v>
      </c>
      <c r="AA243" s="298">
        <f t="shared" si="119"/>
        <v>0.45809781372677577</v>
      </c>
      <c r="AB243" s="298">
        <f t="shared" si="119"/>
        <v>0.44482710711952878</v>
      </c>
      <c r="AC243" s="298">
        <f t="shared" si="119"/>
        <v>0.43522787746809405</v>
      </c>
      <c r="AD243" s="298">
        <f t="shared" si="119"/>
        <v>0.41096629506782067</v>
      </c>
      <c r="AE243" s="298">
        <f t="shared" si="119"/>
        <v>0.39773369897169575</v>
      </c>
      <c r="AN243" s="240" t="s">
        <v>235</v>
      </c>
      <c r="AO243" s="264"/>
      <c r="AP243" s="264"/>
      <c r="AS243">
        <v>126.3253</v>
      </c>
      <c r="AX243" s="240" t="s">
        <v>235</v>
      </c>
      <c r="AY243" s="264"/>
      <c r="AZ243" s="264"/>
      <c r="BC243">
        <v>21.020499999999998</v>
      </c>
    </row>
    <row r="244" spans="1:55">
      <c r="A244" s="240" t="s">
        <v>234</v>
      </c>
      <c r="B244" s="298">
        <f t="shared" si="119"/>
        <v>0.4202739726027398</v>
      </c>
      <c r="C244" s="298">
        <f t="shared" si="119"/>
        <v>0.42</v>
      </c>
      <c r="D244" s="298">
        <f t="shared" si="119"/>
        <v>0.41</v>
      </c>
      <c r="E244" s="298">
        <f t="shared" si="119"/>
        <v>0.41974077766699902</v>
      </c>
      <c r="F244" s="298">
        <f t="shared" si="119"/>
        <v>0.41025641025641024</v>
      </c>
      <c r="G244" s="298">
        <f t="shared" si="119"/>
        <v>0.40769230769230769</v>
      </c>
      <c r="H244" s="298">
        <f t="shared" si="119"/>
        <v>0.4</v>
      </c>
      <c r="I244" s="298">
        <f t="shared" si="119"/>
        <v>0.41630901287553645</v>
      </c>
      <c r="J244" s="298">
        <f t="shared" si="119"/>
        <v>0.40933398152649492</v>
      </c>
      <c r="K244" s="298">
        <f t="shared" si="119"/>
        <v>0.4107142857142857</v>
      </c>
      <c r="L244" s="298">
        <f t="shared" si="119"/>
        <v>0.419047619047619</v>
      </c>
      <c r="M244" s="298">
        <f t="shared" si="119"/>
        <v>0.42166666666666669</v>
      </c>
      <c r="N244" s="298">
        <f t="shared" si="119"/>
        <v>0.42307692307692307</v>
      </c>
      <c r="O244" s="298">
        <f t="shared" si="119"/>
        <v>0.4229420259954611</v>
      </c>
      <c r="P244" s="298">
        <f t="shared" si="119"/>
        <v>0.42334905660377359</v>
      </c>
      <c r="Q244" s="298">
        <f t="shared" si="119"/>
        <v>0.42299035369774918</v>
      </c>
      <c r="R244" s="298">
        <f t="shared" si="119"/>
        <v>0.4229787234042553</v>
      </c>
      <c r="S244" s="298">
        <f t="shared" si="119"/>
        <v>0.42295497780596064</v>
      </c>
      <c r="T244" s="298">
        <f t="shared" si="119"/>
        <v>0.4229787234042553</v>
      </c>
      <c r="U244" s="298">
        <f t="shared" si="119"/>
        <v>0.4230232558139535</v>
      </c>
      <c r="V244" s="298">
        <f t="shared" si="119"/>
        <v>0.42302222222222224</v>
      </c>
      <c r="W244" s="298">
        <f t="shared" si="119"/>
        <v>0.43000000000000005</v>
      </c>
      <c r="X244" s="298">
        <f t="shared" si="119"/>
        <v>0.43004291845493564</v>
      </c>
      <c r="Y244" s="298">
        <f t="shared" si="119"/>
        <v>0.43500000000000005</v>
      </c>
      <c r="Z244" s="298">
        <f t="shared" si="119"/>
        <v>0.36946859569656088</v>
      </c>
      <c r="AA244" s="298">
        <f t="shared" si="119"/>
        <v>0.40323289201673068</v>
      </c>
      <c r="AB244" s="298">
        <f t="shared" si="119"/>
        <v>0.51999936331984431</v>
      </c>
      <c r="AC244" s="298">
        <f t="shared" si="119"/>
        <v>0.43522787746809399</v>
      </c>
      <c r="AD244" s="298">
        <f t="shared" si="119"/>
        <v>0.43465109219540082</v>
      </c>
      <c r="AE244" s="298">
        <f t="shared" si="119"/>
        <v>0.44722078606986426</v>
      </c>
      <c r="AN244" s="240" t="s">
        <v>236</v>
      </c>
      <c r="AO244" s="264"/>
      <c r="AP244" s="264"/>
      <c r="AS244">
        <v>78.718400000000003</v>
      </c>
      <c r="AX244" s="240" t="s">
        <v>236</v>
      </c>
      <c r="AY244" s="264"/>
      <c r="AZ244" s="264"/>
      <c r="BC244">
        <v>18.9102</v>
      </c>
    </row>
    <row r="245" spans="1:55">
      <c r="A245" s="240" t="s">
        <v>46</v>
      </c>
      <c r="B245" s="298">
        <f t="shared" si="119"/>
        <v>0.42027397260273974</v>
      </c>
      <c r="C245" s="298">
        <f t="shared" si="119"/>
        <v>0.42</v>
      </c>
      <c r="D245" s="298">
        <f t="shared" si="119"/>
        <v>0.41</v>
      </c>
      <c r="E245" s="298">
        <f t="shared" si="119"/>
        <v>0.41974077766699908</v>
      </c>
      <c r="F245" s="298">
        <f t="shared" si="119"/>
        <v>0.41025641025641024</v>
      </c>
      <c r="G245" s="298">
        <f t="shared" si="119"/>
        <v>0.40769230769230769</v>
      </c>
      <c r="H245" s="298">
        <f t="shared" si="119"/>
        <v>0.4</v>
      </c>
      <c r="I245" s="298">
        <f t="shared" si="119"/>
        <v>0.41630901287553645</v>
      </c>
      <c r="J245" s="298">
        <f t="shared" si="119"/>
        <v>0.40933398152649492</v>
      </c>
      <c r="K245" s="298">
        <f t="shared" si="119"/>
        <v>0.41071428571428575</v>
      </c>
      <c r="L245" s="298">
        <f t="shared" si="119"/>
        <v>0.419047619047619</v>
      </c>
      <c r="M245" s="298">
        <f t="shared" si="119"/>
        <v>0.42166666666666669</v>
      </c>
      <c r="N245" s="298">
        <f t="shared" si="119"/>
        <v>0.42307692307692307</v>
      </c>
      <c r="O245" s="298">
        <f t="shared" si="119"/>
        <v>0.4229420259954611</v>
      </c>
      <c r="P245" s="298">
        <f t="shared" si="119"/>
        <v>0.42334905660377359</v>
      </c>
      <c r="Q245" s="298">
        <f t="shared" si="119"/>
        <v>0.42299035369774912</v>
      </c>
      <c r="R245" s="298">
        <f t="shared" si="119"/>
        <v>0.42297872340425535</v>
      </c>
      <c r="S245" s="298">
        <f t="shared" si="119"/>
        <v>0.4229549778059607</v>
      </c>
      <c r="T245" s="298">
        <f t="shared" si="119"/>
        <v>0.4229787234042553</v>
      </c>
      <c r="U245" s="298">
        <f t="shared" si="119"/>
        <v>0.4230232558139535</v>
      </c>
      <c r="V245" s="298">
        <f t="shared" si="119"/>
        <v>0.42302222222222224</v>
      </c>
      <c r="W245" s="298">
        <f t="shared" si="119"/>
        <v>0.43000000000000005</v>
      </c>
      <c r="X245" s="298">
        <f t="shared" si="119"/>
        <v>0.43004291845493564</v>
      </c>
      <c r="Y245" s="298">
        <f t="shared" si="119"/>
        <v>0.435</v>
      </c>
      <c r="Z245" s="298">
        <f t="shared" si="119"/>
        <v>0.41815887656313744</v>
      </c>
      <c r="AA245" s="298">
        <f t="shared" si="119"/>
        <v>0.49002304565035659</v>
      </c>
      <c r="AB245" s="298">
        <f t="shared" si="119"/>
        <v>0.48184659534791041</v>
      </c>
      <c r="AC245" s="298">
        <f t="shared" si="119"/>
        <v>0.43522787746809394</v>
      </c>
      <c r="AD245" s="298">
        <f t="shared" si="119"/>
        <v>0.45336542889115572</v>
      </c>
      <c r="AE245" s="298">
        <f t="shared" si="119"/>
        <v>0.45925895651127924</v>
      </c>
      <c r="AN245" s="240" t="s">
        <v>237</v>
      </c>
      <c r="AO245" s="264"/>
      <c r="AP245" s="264"/>
      <c r="AS245">
        <v>41.548999999999999</v>
      </c>
      <c r="AX245" s="240" t="s">
        <v>237</v>
      </c>
      <c r="AY245" s="264"/>
      <c r="AZ245" s="264"/>
      <c r="BC245">
        <v>14.236000000000001</v>
      </c>
    </row>
    <row r="246" spans="1:55">
      <c r="A246" s="240" t="s">
        <v>235</v>
      </c>
      <c r="B246" s="298">
        <f t="shared" si="119"/>
        <v>0.42027397260273974</v>
      </c>
      <c r="C246" s="298">
        <f t="shared" si="119"/>
        <v>0.41999999999999993</v>
      </c>
      <c r="D246" s="298">
        <f t="shared" si="119"/>
        <v>0.41</v>
      </c>
      <c r="E246" s="298">
        <f t="shared" si="119"/>
        <v>0.41974077766699902</v>
      </c>
      <c r="F246" s="298">
        <f t="shared" si="119"/>
        <v>0.41025641025641019</v>
      </c>
      <c r="G246" s="298">
        <f t="shared" si="119"/>
        <v>0.40769230769230763</v>
      </c>
      <c r="H246" s="298">
        <f t="shared" si="119"/>
        <v>0.4</v>
      </c>
      <c r="I246" s="298">
        <f t="shared" si="119"/>
        <v>0.41630901287553645</v>
      </c>
      <c r="J246" s="298">
        <f t="shared" si="119"/>
        <v>0.40933398152649492</v>
      </c>
      <c r="K246" s="298">
        <f t="shared" si="119"/>
        <v>0.4107142857142857</v>
      </c>
      <c r="L246" s="298">
        <f t="shared" si="119"/>
        <v>0.41904761904761906</v>
      </c>
      <c r="M246" s="298">
        <f t="shared" si="119"/>
        <v>0.42166666666666669</v>
      </c>
      <c r="N246" s="298">
        <f t="shared" si="119"/>
        <v>0.42307692307692307</v>
      </c>
      <c r="O246" s="298">
        <f t="shared" si="119"/>
        <v>0.4229420259954611</v>
      </c>
      <c r="P246" s="298">
        <f t="shared" si="119"/>
        <v>0.42334905660377359</v>
      </c>
      <c r="Q246" s="298">
        <f t="shared" ref="Q246:AE248" si="120">Q230/Q88</f>
        <v>0.42299035369774918</v>
      </c>
      <c r="R246" s="298">
        <f t="shared" si="120"/>
        <v>0.42297872340425535</v>
      </c>
      <c r="S246" s="298">
        <f t="shared" si="120"/>
        <v>0.4229549778059607</v>
      </c>
      <c r="T246" s="298">
        <f t="shared" si="120"/>
        <v>0.4229787234042553</v>
      </c>
      <c r="U246" s="298">
        <f t="shared" si="120"/>
        <v>0.4230232558139535</v>
      </c>
      <c r="V246" s="298">
        <f t="shared" si="120"/>
        <v>0.42302222222222224</v>
      </c>
      <c r="W246" s="298">
        <f t="shared" si="120"/>
        <v>0.43</v>
      </c>
      <c r="X246" s="298">
        <f t="shared" si="120"/>
        <v>0.43004291845493564</v>
      </c>
      <c r="Y246" s="298">
        <f t="shared" si="120"/>
        <v>0.435</v>
      </c>
      <c r="Z246" s="298">
        <f t="shared" si="120"/>
        <v>0.45676798465987212</v>
      </c>
      <c r="AA246" s="298">
        <f t="shared" si="120"/>
        <v>0.44350569511948823</v>
      </c>
      <c r="AB246" s="298">
        <f t="shared" si="120"/>
        <v>0.49132355933581845</v>
      </c>
      <c r="AC246" s="298">
        <f t="shared" si="120"/>
        <v>0.43522787746809399</v>
      </c>
      <c r="AD246" s="298">
        <f t="shared" si="120"/>
        <v>0.48577764912109228</v>
      </c>
      <c r="AE246" s="298">
        <f t="shared" si="120"/>
        <v>0.4826729972690515</v>
      </c>
      <c r="AN246" s="240" t="s">
        <v>238</v>
      </c>
      <c r="AO246" s="264"/>
      <c r="AP246" s="264"/>
      <c r="AS246">
        <v>85.082999999999998</v>
      </c>
      <c r="AX246" s="240" t="s">
        <v>238</v>
      </c>
      <c r="AY246" s="264"/>
      <c r="AZ246" s="264"/>
      <c r="BC246">
        <v>12.215999999999999</v>
      </c>
    </row>
    <row r="247" spans="1:55">
      <c r="A247" s="240" t="s">
        <v>236</v>
      </c>
      <c r="B247" s="298">
        <f t="shared" ref="B247:Q248" si="121">B231/B89</f>
        <v>0.42027397260273974</v>
      </c>
      <c r="C247" s="298">
        <f t="shared" si="121"/>
        <v>0.42</v>
      </c>
      <c r="D247" s="298">
        <f t="shared" si="121"/>
        <v>0.41</v>
      </c>
      <c r="E247" s="298">
        <f t="shared" si="121"/>
        <v>0.41974077766699902</v>
      </c>
      <c r="F247" s="298">
        <f t="shared" si="121"/>
        <v>0.41025641025641024</v>
      </c>
      <c r="G247" s="298">
        <f t="shared" si="121"/>
        <v>0.40769230769230763</v>
      </c>
      <c r="H247" s="298">
        <f t="shared" si="121"/>
        <v>0.4</v>
      </c>
      <c r="I247" s="298">
        <f t="shared" si="121"/>
        <v>0.41630901287553645</v>
      </c>
      <c r="J247" s="298">
        <f t="shared" si="121"/>
        <v>0.40933398152649492</v>
      </c>
      <c r="K247" s="298">
        <f t="shared" si="121"/>
        <v>0.4107142857142857</v>
      </c>
      <c r="L247" s="298">
        <f t="shared" si="121"/>
        <v>0.41904761904761906</v>
      </c>
      <c r="M247" s="298">
        <f t="shared" si="121"/>
        <v>0.42166666666666669</v>
      </c>
      <c r="N247" s="298">
        <f t="shared" si="121"/>
        <v>0.42307692307692307</v>
      </c>
      <c r="O247" s="298">
        <f t="shared" si="121"/>
        <v>0.4229420259954611</v>
      </c>
      <c r="P247" s="298">
        <f t="shared" si="121"/>
        <v>0.42334905660377364</v>
      </c>
      <c r="Q247" s="298">
        <f t="shared" si="121"/>
        <v>0.42299035369774918</v>
      </c>
      <c r="R247" s="298">
        <f t="shared" si="120"/>
        <v>0.4229787234042553</v>
      </c>
      <c r="S247" s="298">
        <f t="shared" si="120"/>
        <v>0.42295497780596064</v>
      </c>
      <c r="T247" s="298">
        <f t="shared" si="120"/>
        <v>0.4229787234042553</v>
      </c>
      <c r="U247" s="298">
        <f t="shared" si="120"/>
        <v>0.4230232558139535</v>
      </c>
      <c r="V247" s="298">
        <f t="shared" si="120"/>
        <v>0.42302222222222224</v>
      </c>
      <c r="W247" s="298">
        <f t="shared" si="120"/>
        <v>0.43</v>
      </c>
      <c r="X247" s="298">
        <f t="shared" si="120"/>
        <v>0.43004291845493564</v>
      </c>
      <c r="Y247" s="298">
        <f t="shared" si="120"/>
        <v>0.435</v>
      </c>
      <c r="Z247" s="298">
        <f t="shared" si="120"/>
        <v>0.5094886887071115</v>
      </c>
      <c r="AA247" s="298">
        <f t="shared" si="120"/>
        <v>0.63302714110261371</v>
      </c>
      <c r="AB247" s="298">
        <f t="shared" si="120"/>
        <v>0.60691377082470377</v>
      </c>
      <c r="AC247" s="298">
        <f t="shared" si="120"/>
        <v>0.43522787746809399</v>
      </c>
      <c r="AD247" s="298">
        <f t="shared" si="120"/>
        <v>0.53861783336690572</v>
      </c>
      <c r="AE247" s="298">
        <f t="shared" si="120"/>
        <v>0.53493484016820447</v>
      </c>
      <c r="AN247" s="240" t="s">
        <v>239</v>
      </c>
      <c r="AO247" s="264"/>
      <c r="AP247" s="264"/>
      <c r="AS247">
        <v>122.754</v>
      </c>
      <c r="AX247" s="240" t="s">
        <v>239</v>
      </c>
      <c r="AY247" s="264"/>
      <c r="AZ247" s="264"/>
      <c r="BC247">
        <v>15.333</v>
      </c>
    </row>
    <row r="248" spans="1:55">
      <c r="A248" s="240" t="s">
        <v>237</v>
      </c>
      <c r="B248" s="298">
        <f t="shared" si="121"/>
        <v>0.42027397260273974</v>
      </c>
      <c r="C248" s="298">
        <f t="shared" si="121"/>
        <v>0.41999999999999993</v>
      </c>
      <c r="D248" s="298">
        <f t="shared" si="121"/>
        <v>0.41</v>
      </c>
      <c r="E248" s="298">
        <f t="shared" si="121"/>
        <v>0.41974077766699902</v>
      </c>
      <c r="F248" s="298">
        <f t="shared" si="121"/>
        <v>0.41025641025641024</v>
      </c>
      <c r="G248" s="298">
        <f t="shared" si="121"/>
        <v>0.40769230769230769</v>
      </c>
      <c r="H248" s="298">
        <f t="shared" si="121"/>
        <v>0.4</v>
      </c>
      <c r="I248" s="298">
        <f t="shared" si="121"/>
        <v>0.41630901287553651</v>
      </c>
      <c r="J248" s="298">
        <f t="shared" si="121"/>
        <v>0.40933398152649492</v>
      </c>
      <c r="K248" s="298">
        <f t="shared" si="121"/>
        <v>0.4107142857142857</v>
      </c>
      <c r="L248" s="298">
        <f t="shared" si="121"/>
        <v>0.41904761904761906</v>
      </c>
      <c r="M248" s="298">
        <f t="shared" si="121"/>
        <v>0.42166666666666669</v>
      </c>
      <c r="N248" s="298">
        <f t="shared" si="121"/>
        <v>0.42307692307692307</v>
      </c>
      <c r="O248" s="298">
        <f t="shared" si="121"/>
        <v>0.4229420259954611</v>
      </c>
      <c r="P248" s="298">
        <f t="shared" si="121"/>
        <v>0.42334905660377359</v>
      </c>
      <c r="Q248" s="298">
        <f t="shared" si="121"/>
        <v>0.42299035369774918</v>
      </c>
      <c r="R248" s="298">
        <f t="shared" si="120"/>
        <v>0.4229787234042553</v>
      </c>
      <c r="S248" s="298">
        <f t="shared" si="120"/>
        <v>0.4229549778059607</v>
      </c>
      <c r="T248" s="298">
        <f t="shared" si="120"/>
        <v>0.4229787234042553</v>
      </c>
      <c r="U248" s="298">
        <f t="shared" si="120"/>
        <v>0.4230232558139535</v>
      </c>
      <c r="V248" s="298">
        <f t="shared" si="120"/>
        <v>0.42302222222222224</v>
      </c>
      <c r="W248" s="298">
        <f t="shared" si="120"/>
        <v>0.43</v>
      </c>
      <c r="X248" s="298">
        <f t="shared" si="120"/>
        <v>0.43004291845493564</v>
      </c>
      <c r="Y248" s="298">
        <f t="shared" si="120"/>
        <v>0.435</v>
      </c>
      <c r="Z248" s="298">
        <f t="shared" si="120"/>
        <v>0.22682561107992111</v>
      </c>
      <c r="AA248" s="298">
        <f t="shared" si="120"/>
        <v>0.87243913065069112</v>
      </c>
      <c r="AB248" s="298">
        <f t="shared" si="120"/>
        <v>0.43039844922485626</v>
      </c>
      <c r="AC248" s="298">
        <f t="shared" si="120"/>
        <v>1.8541952825154251E-2</v>
      </c>
      <c r="AD248" s="298">
        <f t="shared" si="120"/>
        <v>0.5075899692435013</v>
      </c>
      <c r="AE248" s="298">
        <f t="shared" si="120"/>
        <v>0.23216293893615506</v>
      </c>
      <c r="AN248" s="240" t="s">
        <v>240</v>
      </c>
      <c r="AO248" s="264"/>
      <c r="AP248" s="264"/>
      <c r="AS248">
        <v>124.24</v>
      </c>
      <c r="AX248" s="240" t="s">
        <v>240</v>
      </c>
      <c r="AY248" s="264"/>
      <c r="AZ248" s="264"/>
      <c r="BC248">
        <v>14.141999999999999</v>
      </c>
    </row>
    <row r="249" spans="1:55">
      <c r="A249" s="240" t="s">
        <v>238</v>
      </c>
      <c r="B249" s="298">
        <f>B233/C79</f>
        <v>0.42027397260273974</v>
      </c>
      <c r="C249" s="298">
        <f t="shared" ref="C249:AE249" si="122">C233/D79</f>
        <v>0.42</v>
      </c>
      <c r="D249" s="298">
        <f t="shared" si="122"/>
        <v>0.41</v>
      </c>
      <c r="E249" s="298">
        <f t="shared" si="122"/>
        <v>0.41974077766699897</v>
      </c>
      <c r="F249" s="298">
        <f t="shared" si="122"/>
        <v>0.41025641025641024</v>
      </c>
      <c r="G249" s="298">
        <f t="shared" si="122"/>
        <v>0.40769230769230769</v>
      </c>
      <c r="H249" s="298">
        <f t="shared" si="122"/>
        <v>0.4</v>
      </c>
      <c r="I249" s="298">
        <f t="shared" si="122"/>
        <v>0.41630901287553645</v>
      </c>
      <c r="J249" s="298">
        <f t="shared" si="122"/>
        <v>0.40933398152649492</v>
      </c>
      <c r="K249" s="298">
        <f t="shared" si="122"/>
        <v>0.4107142857142857</v>
      </c>
      <c r="L249" s="298">
        <f t="shared" si="122"/>
        <v>0.41904761904761906</v>
      </c>
      <c r="M249" s="298">
        <f t="shared" si="122"/>
        <v>0.42166666666666669</v>
      </c>
      <c r="N249" s="298">
        <f t="shared" si="122"/>
        <v>0.42307692307692307</v>
      </c>
      <c r="O249" s="298">
        <f t="shared" si="122"/>
        <v>0.42294202599546116</v>
      </c>
      <c r="P249" s="298">
        <f t="shared" si="122"/>
        <v>0.42334905660377359</v>
      </c>
      <c r="Q249" s="298">
        <f t="shared" si="122"/>
        <v>0.42299035369774918</v>
      </c>
      <c r="R249" s="298">
        <f t="shared" si="122"/>
        <v>0.4229787234042553</v>
      </c>
      <c r="S249" s="298">
        <f t="shared" si="122"/>
        <v>0.42295497780596064</v>
      </c>
      <c r="T249" s="298">
        <f t="shared" si="122"/>
        <v>0.42297872340425524</v>
      </c>
      <c r="U249" s="298">
        <f t="shared" si="122"/>
        <v>0.42302325581395356</v>
      </c>
      <c r="V249" s="298">
        <f t="shared" si="122"/>
        <v>0.42302222222222224</v>
      </c>
      <c r="W249" s="298">
        <f t="shared" si="122"/>
        <v>0.43</v>
      </c>
      <c r="X249" s="298">
        <f t="shared" si="122"/>
        <v>0.43004291845493564</v>
      </c>
      <c r="Y249" s="298">
        <f t="shared" si="122"/>
        <v>0.435</v>
      </c>
      <c r="Z249" s="298">
        <f t="shared" si="122"/>
        <v>0.40068125955849587</v>
      </c>
      <c r="AA249" s="298">
        <f t="shared" si="122"/>
        <v>0.1777490515926671</v>
      </c>
      <c r="AB249" s="298">
        <f t="shared" si="122"/>
        <v>0.25206800928865575</v>
      </c>
      <c r="AC249" s="298">
        <f t="shared" si="122"/>
        <v>4.3947462974924488E-2</v>
      </c>
      <c r="AD249" s="298">
        <f t="shared" si="122"/>
        <v>0.30947707271704367</v>
      </c>
      <c r="AE249" s="298">
        <f t="shared" si="122"/>
        <v>0.5505342235971693</v>
      </c>
      <c r="AN249" s="240" t="s">
        <v>241</v>
      </c>
      <c r="AO249" s="264">
        <v>111.01</v>
      </c>
      <c r="AP249" s="264"/>
      <c r="AX249" s="240" t="s">
        <v>241</v>
      </c>
      <c r="AY249" s="264"/>
      <c r="AZ249" s="264"/>
    </row>
    <row r="250" spans="1:55" ht="15.75" thickBot="1">
      <c r="A250" s="240" t="s">
        <v>255</v>
      </c>
      <c r="B250" s="258">
        <v>0.42027397260273974</v>
      </c>
      <c r="C250" s="258">
        <v>0.42</v>
      </c>
      <c r="D250" s="258">
        <v>0.41</v>
      </c>
      <c r="E250" s="258">
        <v>0.41974077766699902</v>
      </c>
      <c r="F250" s="258">
        <v>0.41025641025641024</v>
      </c>
      <c r="G250" s="258">
        <v>0.40769230769230769</v>
      </c>
      <c r="H250" s="258">
        <v>0.4</v>
      </c>
      <c r="I250" s="258">
        <v>0.41630901287553645</v>
      </c>
      <c r="J250" s="258">
        <v>0.40933398152649492</v>
      </c>
      <c r="K250" s="258">
        <v>0.4107142857142857</v>
      </c>
      <c r="L250" s="258">
        <v>0.41904761904761906</v>
      </c>
      <c r="M250" s="258">
        <v>0.42166666666666669</v>
      </c>
      <c r="N250" s="258">
        <v>0.42307692307692307</v>
      </c>
      <c r="O250" s="258">
        <v>0.4229420259954611</v>
      </c>
      <c r="P250" s="258">
        <v>0.42334905660377359</v>
      </c>
      <c r="Q250" s="258">
        <v>0.42299035369774918</v>
      </c>
      <c r="R250" s="258">
        <v>0.4229787234042553</v>
      </c>
      <c r="S250" s="258">
        <v>0.4229549778059607</v>
      </c>
      <c r="T250" s="258">
        <v>0.4229787234042553</v>
      </c>
      <c r="U250" s="258">
        <v>0.4230232558139535</v>
      </c>
      <c r="V250" s="258">
        <v>0.42302222222222224</v>
      </c>
      <c r="W250" s="258">
        <v>0.43</v>
      </c>
      <c r="X250" s="258">
        <v>0.43004291845493564</v>
      </c>
      <c r="Y250" s="258">
        <v>0.435</v>
      </c>
      <c r="Z250" s="259">
        <v>0.43</v>
      </c>
      <c r="AA250" s="259">
        <f>FORECAST(AA44,H250:Z250,H44:Z44)</f>
        <v>0.43391504077201715</v>
      </c>
      <c r="AB250" s="259">
        <f>FORECAST(AB44,I250:AA250,I44:AA44)</f>
        <v>0.4338720538062999</v>
      </c>
      <c r="AC250" s="259">
        <f>FORECAST(AC44,J250:AB250,J44:AB44)</f>
        <v>0.43522787746809399</v>
      </c>
      <c r="AD250" s="259">
        <f>FORECAST(AD44,K250:AC250,K44:AC44)</f>
        <v>0.43570443136791348</v>
      </c>
      <c r="AE250" s="259">
        <f>FORECAST(AE44,L250:AD250,L44:AD44)-0.006</f>
        <v>0.42999654456897485</v>
      </c>
    </row>
    <row r="251" spans="1:55">
      <c r="A251" s="248"/>
      <c r="B251" s="248"/>
      <c r="C251" s="248"/>
      <c r="D251" s="248"/>
      <c r="E251" s="248"/>
      <c r="F251" s="248"/>
      <c r="G251" s="248"/>
      <c r="H251" s="248"/>
      <c r="I251" s="248"/>
      <c r="J251" s="248"/>
      <c r="K251" s="248"/>
      <c r="L251" s="248"/>
      <c r="M251" s="248"/>
      <c r="N251" s="248"/>
      <c r="O251" s="248"/>
      <c r="P251" s="248"/>
      <c r="Q251" s="248"/>
      <c r="R251" s="248"/>
      <c r="S251" s="248"/>
      <c r="T251" s="248"/>
      <c r="U251" s="248"/>
      <c r="V251" s="248"/>
      <c r="W251" s="248"/>
      <c r="X251" s="248"/>
      <c r="Y251" s="248"/>
      <c r="Z251" s="248"/>
      <c r="AA251" s="248"/>
      <c r="AB251" s="248"/>
      <c r="AC251" s="248"/>
      <c r="AD251" s="248"/>
      <c r="AE251" s="248"/>
    </row>
    <row r="252" spans="1:55" ht="15.75" thickBot="1">
      <c r="A252" s="235" t="s">
        <v>264</v>
      </c>
    </row>
    <row r="253" spans="1:55" ht="15.75" thickBot="1">
      <c r="A253" s="236"/>
      <c r="B253" s="237" t="str">
        <f>B$2</f>
        <v xml:space="preserve">93/94 </v>
      </c>
      <c r="C253" s="237" t="str">
        <f t="shared" ref="C253:AE253" si="123">C$2</f>
        <v xml:space="preserve">94/95 </v>
      </c>
      <c r="D253" s="237" t="str">
        <f t="shared" si="123"/>
        <v xml:space="preserve">95/96 </v>
      </c>
      <c r="E253" s="237" t="str">
        <f t="shared" si="123"/>
        <v xml:space="preserve">96/97 </v>
      </c>
      <c r="F253" s="237" t="str">
        <f t="shared" si="123"/>
        <v xml:space="preserve">97/98 </v>
      </c>
      <c r="G253" s="237" t="str">
        <f t="shared" si="123"/>
        <v xml:space="preserve">98/99 </v>
      </c>
      <c r="H253" s="237" t="str">
        <f t="shared" si="123"/>
        <v xml:space="preserve">99/00 </v>
      </c>
      <c r="I253" s="237" t="str">
        <f t="shared" si="123"/>
        <v xml:space="preserve">00/01 </v>
      </c>
      <c r="J253" s="237" t="str">
        <f t="shared" si="123"/>
        <v xml:space="preserve">01/02 </v>
      </c>
      <c r="K253" s="237" t="str">
        <f t="shared" si="123"/>
        <v xml:space="preserve">02/03 </v>
      </c>
      <c r="L253" s="237" t="str">
        <f t="shared" si="123"/>
        <v xml:space="preserve">03/04 </v>
      </c>
      <c r="M253" s="237" t="str">
        <f t="shared" si="123"/>
        <v xml:space="preserve">04/05 </v>
      </c>
      <c r="N253" s="237" t="str">
        <f t="shared" si="123"/>
        <v xml:space="preserve">05/06 </v>
      </c>
      <c r="O253" s="237" t="str">
        <f t="shared" si="123"/>
        <v xml:space="preserve">06/07 </v>
      </c>
      <c r="P253" s="237" t="str">
        <f t="shared" si="123"/>
        <v xml:space="preserve">07/08 </v>
      </c>
      <c r="Q253" s="237" t="str">
        <f t="shared" si="123"/>
        <v xml:space="preserve">08/09 </v>
      </c>
      <c r="R253" s="237" t="str">
        <f t="shared" si="123"/>
        <v xml:space="preserve">09/10 </v>
      </c>
      <c r="S253" s="237" t="str">
        <f t="shared" si="123"/>
        <v xml:space="preserve">10/11 </v>
      </c>
      <c r="T253" s="237" t="str">
        <f t="shared" si="123"/>
        <v xml:space="preserve">11/12 </v>
      </c>
      <c r="U253" s="237" t="str">
        <f t="shared" si="123"/>
        <v xml:space="preserve">12/13 </v>
      </c>
      <c r="V253" s="237" t="str">
        <f t="shared" si="123"/>
        <v xml:space="preserve">13/14 </v>
      </c>
      <c r="W253" s="237" t="str">
        <f t="shared" si="123"/>
        <v xml:space="preserve">14/15 </v>
      </c>
      <c r="X253" s="237" t="str">
        <f t="shared" si="123"/>
        <v xml:space="preserve">15/16 </v>
      </c>
      <c r="Y253" s="237" t="str">
        <f t="shared" si="123"/>
        <v xml:space="preserve">16/17 </v>
      </c>
      <c r="Z253" s="237" t="str">
        <f t="shared" si="123"/>
        <v xml:space="preserve">17/18 </v>
      </c>
      <c r="AA253" s="237" t="str">
        <f t="shared" si="123"/>
        <v xml:space="preserve">18/19 </v>
      </c>
      <c r="AB253" s="237" t="str">
        <f t="shared" si="123"/>
        <v xml:space="preserve">19/20 </v>
      </c>
      <c r="AC253" s="237" t="str">
        <f t="shared" si="123"/>
        <v xml:space="preserve">20/21 </v>
      </c>
      <c r="AD253" s="237" t="str">
        <f t="shared" si="123"/>
        <v>21/22</v>
      </c>
      <c r="AE253" s="237" t="str">
        <f t="shared" si="123"/>
        <v>22/23</v>
      </c>
    </row>
    <row r="254" spans="1:55">
      <c r="A254" s="240" t="s">
        <v>239</v>
      </c>
      <c r="B254" s="298">
        <f t="shared" ref="B254:AE262" si="124">B238+B111</f>
        <v>0.85150684931506859</v>
      </c>
      <c r="C254" s="298">
        <f t="shared" si="124"/>
        <v>0.82000000000000006</v>
      </c>
      <c r="D254" s="298">
        <f t="shared" si="124"/>
        <v>0.79043478260869571</v>
      </c>
      <c r="E254" s="298">
        <f t="shared" si="124"/>
        <v>0.86839481555333997</v>
      </c>
      <c r="F254" s="298">
        <f t="shared" si="124"/>
        <v>0.81318681318681318</v>
      </c>
      <c r="G254" s="298">
        <f t="shared" si="124"/>
        <v>0.80769230769230771</v>
      </c>
      <c r="H254" s="298">
        <f t="shared" si="124"/>
        <v>0.80476190476190479</v>
      </c>
      <c r="I254" s="298">
        <f t="shared" si="124"/>
        <v>0.82403433476394849</v>
      </c>
      <c r="J254" s="298">
        <f t="shared" si="124"/>
        <v>0.81380651434127371</v>
      </c>
      <c r="K254" s="298">
        <f t="shared" si="124"/>
        <v>0.8214285714285714</v>
      </c>
      <c r="L254" s="298">
        <f t="shared" si="124"/>
        <v>0.83174603174603168</v>
      </c>
      <c r="M254" s="298">
        <f t="shared" si="124"/>
        <v>0.83833333333333337</v>
      </c>
      <c r="N254" s="298">
        <f t="shared" si="124"/>
        <v>0.83626373626373618</v>
      </c>
      <c r="O254" s="298">
        <f t="shared" si="124"/>
        <v>0.84072622240561179</v>
      </c>
      <c r="P254" s="298">
        <f t="shared" si="124"/>
        <v>0.84056603773584904</v>
      </c>
      <c r="Q254" s="298">
        <f t="shared" si="124"/>
        <v>0.84099678456591631</v>
      </c>
      <c r="R254" s="298">
        <f t="shared" si="124"/>
        <v>0.84099290780141844</v>
      </c>
      <c r="S254" s="298">
        <f t="shared" si="124"/>
        <v>0.84096385542168695</v>
      </c>
      <c r="T254" s="298">
        <f t="shared" si="124"/>
        <v>0.84106382978723404</v>
      </c>
      <c r="U254" s="298">
        <f t="shared" si="124"/>
        <v>0.841046511627907</v>
      </c>
      <c r="V254" s="298">
        <f t="shared" si="124"/>
        <v>0.83600000000000008</v>
      </c>
      <c r="W254" s="298">
        <f t="shared" si="124"/>
        <v>0.84300970873786407</v>
      </c>
      <c r="X254" s="298">
        <f t="shared" si="124"/>
        <v>0.84300429184549364</v>
      </c>
      <c r="Y254" s="298">
        <f t="shared" si="124"/>
        <v>0.84499999999999997</v>
      </c>
      <c r="Z254" s="298">
        <f t="shared" si="124"/>
        <v>0.84299999999999997</v>
      </c>
      <c r="AA254" s="259">
        <f t="shared" si="124"/>
        <v>0.80441398864532354</v>
      </c>
      <c r="AB254" s="259">
        <f t="shared" si="124"/>
        <v>0.78817068765810427</v>
      </c>
      <c r="AC254" s="259">
        <f t="shared" si="124"/>
        <v>0.76967707689284293</v>
      </c>
      <c r="AD254" s="259">
        <f t="shared" si="124"/>
        <v>0.74658775006370193</v>
      </c>
      <c r="AE254" s="259">
        <f t="shared" si="124"/>
        <v>0.74426426213904429</v>
      </c>
    </row>
    <row r="255" spans="1:55">
      <c r="A255" s="240" t="s">
        <v>240</v>
      </c>
      <c r="B255" s="298">
        <f t="shared" si="124"/>
        <v>0.85150684931506859</v>
      </c>
      <c r="C255" s="298">
        <f t="shared" si="124"/>
        <v>0.82000000000000006</v>
      </c>
      <c r="D255" s="298">
        <f t="shared" si="124"/>
        <v>0.79043478260869571</v>
      </c>
      <c r="E255" s="298">
        <f t="shared" si="124"/>
        <v>0.86839481555333986</v>
      </c>
      <c r="F255" s="298">
        <f t="shared" si="124"/>
        <v>0.81318681318681318</v>
      </c>
      <c r="G255" s="298">
        <f t="shared" si="124"/>
        <v>0.80769230769230771</v>
      </c>
      <c r="H255" s="298">
        <f t="shared" si="124"/>
        <v>0.80476190476190479</v>
      </c>
      <c r="I255" s="298">
        <f t="shared" si="124"/>
        <v>0.82403433476394849</v>
      </c>
      <c r="J255" s="298">
        <f t="shared" si="124"/>
        <v>0.81380651434127371</v>
      </c>
      <c r="K255" s="298">
        <f t="shared" si="124"/>
        <v>0.8214285714285714</v>
      </c>
      <c r="L255" s="298">
        <f t="shared" si="124"/>
        <v>0.83174603174603168</v>
      </c>
      <c r="M255" s="298">
        <f t="shared" si="124"/>
        <v>0.83833333333333337</v>
      </c>
      <c r="N255" s="298">
        <f t="shared" si="124"/>
        <v>0.83626373626373618</v>
      </c>
      <c r="O255" s="298">
        <f t="shared" si="124"/>
        <v>0.84072622240561179</v>
      </c>
      <c r="P255" s="298">
        <f t="shared" si="124"/>
        <v>0.84056603773584904</v>
      </c>
      <c r="Q255" s="298">
        <f t="shared" si="124"/>
        <v>0.84099678456591642</v>
      </c>
      <c r="R255" s="298">
        <f t="shared" si="124"/>
        <v>0.84099290780141844</v>
      </c>
      <c r="S255" s="298">
        <f t="shared" si="124"/>
        <v>0.84096385542168683</v>
      </c>
      <c r="T255" s="298">
        <f t="shared" si="124"/>
        <v>0.84106382978723404</v>
      </c>
      <c r="U255" s="298">
        <f t="shared" si="124"/>
        <v>0.84104651162790711</v>
      </c>
      <c r="V255" s="298">
        <f t="shared" si="124"/>
        <v>0.83600000000000008</v>
      </c>
      <c r="W255" s="298">
        <f t="shared" si="124"/>
        <v>0.84300970873786407</v>
      </c>
      <c r="X255" s="298">
        <f t="shared" si="124"/>
        <v>0.84300429184549364</v>
      </c>
      <c r="Y255" s="298">
        <f t="shared" si="124"/>
        <v>0.84499999999999997</v>
      </c>
      <c r="Z255" s="298">
        <f t="shared" si="124"/>
        <v>0.84299999999999986</v>
      </c>
      <c r="AA255" s="259">
        <f t="shared" si="124"/>
        <v>0.82348842999272776</v>
      </c>
      <c r="AB255" s="259">
        <f t="shared" si="124"/>
        <v>0.84228684828502476</v>
      </c>
      <c r="AC255" s="259">
        <f t="shared" si="124"/>
        <v>0.90163771149630378</v>
      </c>
      <c r="AD255" s="259">
        <f t="shared" si="124"/>
        <v>0.86153555909217339</v>
      </c>
      <c r="AE255" s="259">
        <f t="shared" si="124"/>
        <v>0.85096561632341428</v>
      </c>
    </row>
    <row r="256" spans="1:55">
      <c r="A256" s="240" t="s">
        <v>241</v>
      </c>
      <c r="B256" s="298">
        <f t="shared" si="124"/>
        <v>0.85150684931506859</v>
      </c>
      <c r="C256" s="298">
        <f t="shared" si="124"/>
        <v>0.82000000000000006</v>
      </c>
      <c r="D256" s="298">
        <f t="shared" si="124"/>
        <v>0.79043478260869571</v>
      </c>
      <c r="E256" s="298">
        <f t="shared" si="124"/>
        <v>0.86839481555334008</v>
      </c>
      <c r="F256" s="298">
        <f t="shared" si="124"/>
        <v>0.81318681318681318</v>
      </c>
      <c r="G256" s="298">
        <f t="shared" si="124"/>
        <v>0.80769230769230771</v>
      </c>
      <c r="H256" s="298">
        <f t="shared" si="124"/>
        <v>0.80476190476190479</v>
      </c>
      <c r="I256" s="298">
        <f t="shared" si="124"/>
        <v>0.82403433476394849</v>
      </c>
      <c r="J256" s="298">
        <f t="shared" si="124"/>
        <v>0.81380651434127371</v>
      </c>
      <c r="K256" s="298">
        <f t="shared" si="124"/>
        <v>0.8214285714285714</v>
      </c>
      <c r="L256" s="298">
        <f t="shared" si="124"/>
        <v>0.83174603174603168</v>
      </c>
      <c r="M256" s="298">
        <f t="shared" si="124"/>
        <v>0.83833333333333337</v>
      </c>
      <c r="N256" s="298">
        <f t="shared" si="124"/>
        <v>0.83626373626373618</v>
      </c>
      <c r="O256" s="298">
        <f t="shared" si="124"/>
        <v>0.84072622240561179</v>
      </c>
      <c r="P256" s="298">
        <f t="shared" si="124"/>
        <v>0.84056603773584904</v>
      </c>
      <c r="Q256" s="298">
        <f t="shared" si="124"/>
        <v>0.84099678456591642</v>
      </c>
      <c r="R256" s="298">
        <f t="shared" si="124"/>
        <v>0.84099290780141844</v>
      </c>
      <c r="S256" s="298">
        <f t="shared" si="124"/>
        <v>0.84096385542168672</v>
      </c>
      <c r="T256" s="298">
        <f t="shared" si="124"/>
        <v>0.84106382978723415</v>
      </c>
      <c r="U256" s="298">
        <f t="shared" si="124"/>
        <v>0.841046511627907</v>
      </c>
      <c r="V256" s="298">
        <f t="shared" si="124"/>
        <v>0.83600000000000008</v>
      </c>
      <c r="W256" s="298">
        <f t="shared" si="124"/>
        <v>0.84300970873786407</v>
      </c>
      <c r="X256" s="298">
        <f t="shared" si="124"/>
        <v>0.84300429184549364</v>
      </c>
      <c r="Y256" s="298">
        <f t="shared" si="124"/>
        <v>0.84499999999999997</v>
      </c>
      <c r="Z256" s="298">
        <f t="shared" si="124"/>
        <v>0.84299999999999997</v>
      </c>
      <c r="AA256" s="259">
        <f t="shared" si="124"/>
        <v>0.82712965926308391</v>
      </c>
      <c r="AB256" s="259">
        <f t="shared" si="124"/>
        <v>0.82131331783359818</v>
      </c>
      <c r="AC256" s="259">
        <f t="shared" si="124"/>
        <v>0.8208948390091223</v>
      </c>
      <c r="AD256" s="259">
        <f t="shared" si="124"/>
        <v>0.85622888627755467</v>
      </c>
      <c r="AE256" s="259">
        <f t="shared" si="124"/>
        <v>0.85113638530831881</v>
      </c>
    </row>
    <row r="257" spans="1:32">
      <c r="A257" s="240" t="s">
        <v>231</v>
      </c>
      <c r="B257" s="298">
        <f t="shared" si="124"/>
        <v>0.85150684931506859</v>
      </c>
      <c r="C257" s="298">
        <f t="shared" si="124"/>
        <v>0.82000000000000006</v>
      </c>
      <c r="D257" s="298">
        <f t="shared" si="124"/>
        <v>0.79043478260869571</v>
      </c>
      <c r="E257" s="298">
        <f t="shared" si="124"/>
        <v>0.86839481555333997</v>
      </c>
      <c r="F257" s="298">
        <f t="shared" si="124"/>
        <v>0.81318681318681318</v>
      </c>
      <c r="G257" s="298">
        <f t="shared" si="124"/>
        <v>0.80769230769230771</v>
      </c>
      <c r="H257" s="298">
        <f t="shared" si="124"/>
        <v>0.80476190476190479</v>
      </c>
      <c r="I257" s="298">
        <f t="shared" si="124"/>
        <v>0.82403433476394849</v>
      </c>
      <c r="J257" s="298">
        <f t="shared" si="124"/>
        <v>0.81380651434127371</v>
      </c>
      <c r="K257" s="298">
        <f t="shared" si="124"/>
        <v>0.8214285714285714</v>
      </c>
      <c r="L257" s="298">
        <f t="shared" si="124"/>
        <v>0.83174603174603179</v>
      </c>
      <c r="M257" s="298">
        <f t="shared" si="124"/>
        <v>0.83833333333333337</v>
      </c>
      <c r="N257" s="298">
        <f t="shared" si="124"/>
        <v>0.83626373626373618</v>
      </c>
      <c r="O257" s="298">
        <f t="shared" si="124"/>
        <v>0.84072622240561179</v>
      </c>
      <c r="P257" s="298">
        <f t="shared" si="124"/>
        <v>0.84056603773584904</v>
      </c>
      <c r="Q257" s="298">
        <f t="shared" si="124"/>
        <v>0.84099678456591631</v>
      </c>
      <c r="R257" s="298">
        <f t="shared" si="124"/>
        <v>0.84099290780141844</v>
      </c>
      <c r="S257" s="298">
        <f t="shared" si="124"/>
        <v>0.84096385542168672</v>
      </c>
      <c r="T257" s="298">
        <f t="shared" si="124"/>
        <v>0.84106382978723404</v>
      </c>
      <c r="U257" s="298">
        <f t="shared" si="124"/>
        <v>0.841046511627907</v>
      </c>
      <c r="V257" s="298">
        <f t="shared" si="124"/>
        <v>0.83600000000000008</v>
      </c>
      <c r="W257" s="298">
        <f t="shared" si="124"/>
        <v>0.84300970873786407</v>
      </c>
      <c r="X257" s="298">
        <f t="shared" si="124"/>
        <v>0.84300429184549364</v>
      </c>
      <c r="Y257" s="298">
        <f t="shared" si="124"/>
        <v>0.84499999999999997</v>
      </c>
      <c r="Z257" s="298">
        <f t="shared" si="124"/>
        <v>0.84299999999999997</v>
      </c>
      <c r="AA257" s="259">
        <f t="shared" si="124"/>
        <v>0.80179607264194575</v>
      </c>
      <c r="AB257" s="259">
        <f t="shared" si="124"/>
        <v>0.87119460515605607</v>
      </c>
      <c r="AC257" s="259">
        <f t="shared" si="124"/>
        <v>0.68778513966699983</v>
      </c>
      <c r="AD257" s="259">
        <f t="shared" si="124"/>
        <v>0.90593370285001706</v>
      </c>
      <c r="AE257" s="259">
        <f t="shared" si="124"/>
        <v>0.93996249610698435</v>
      </c>
    </row>
    <row r="258" spans="1:32">
      <c r="A258" s="240" t="s">
        <v>232</v>
      </c>
      <c r="B258" s="298">
        <f t="shared" si="124"/>
        <v>0.85150684931506859</v>
      </c>
      <c r="C258" s="298">
        <f t="shared" si="124"/>
        <v>0.82000000000000006</v>
      </c>
      <c r="D258" s="298">
        <f t="shared" si="124"/>
        <v>0.79043478260869571</v>
      </c>
      <c r="E258" s="298">
        <f t="shared" si="124"/>
        <v>0.86839481555334008</v>
      </c>
      <c r="F258" s="298">
        <f t="shared" si="124"/>
        <v>0.81318681318681318</v>
      </c>
      <c r="G258" s="298">
        <f t="shared" si="124"/>
        <v>0.80769230769230771</v>
      </c>
      <c r="H258" s="298">
        <f t="shared" si="124"/>
        <v>0.80476190476190479</v>
      </c>
      <c r="I258" s="298">
        <f t="shared" si="124"/>
        <v>0.82403433476394849</v>
      </c>
      <c r="J258" s="298">
        <f t="shared" si="124"/>
        <v>0.81380651434127371</v>
      </c>
      <c r="K258" s="298">
        <f t="shared" si="124"/>
        <v>0.8214285714285714</v>
      </c>
      <c r="L258" s="298">
        <f t="shared" si="124"/>
        <v>0.83174603174603168</v>
      </c>
      <c r="M258" s="298">
        <f t="shared" si="124"/>
        <v>0.83833333333333337</v>
      </c>
      <c r="N258" s="298">
        <f t="shared" si="124"/>
        <v>0.83626373626373618</v>
      </c>
      <c r="O258" s="298">
        <f t="shared" si="124"/>
        <v>0.84072622240561179</v>
      </c>
      <c r="P258" s="298">
        <f t="shared" si="124"/>
        <v>0.84056603773584904</v>
      </c>
      <c r="Q258" s="298">
        <f t="shared" si="124"/>
        <v>0.84099678456591631</v>
      </c>
      <c r="R258" s="298">
        <f t="shared" si="124"/>
        <v>0.84099290780141844</v>
      </c>
      <c r="S258" s="298">
        <f t="shared" si="124"/>
        <v>0.84096385542168672</v>
      </c>
      <c r="T258" s="298">
        <f t="shared" si="124"/>
        <v>0.84106382978723404</v>
      </c>
      <c r="U258" s="298">
        <f t="shared" si="124"/>
        <v>0.841046511627907</v>
      </c>
      <c r="V258" s="298">
        <f t="shared" si="124"/>
        <v>0.83600000000000008</v>
      </c>
      <c r="W258" s="298">
        <f t="shared" si="124"/>
        <v>0.84300970873786407</v>
      </c>
      <c r="X258" s="298">
        <f t="shared" si="124"/>
        <v>0.84300429184549364</v>
      </c>
      <c r="Y258" s="298">
        <f t="shared" si="124"/>
        <v>0.84499999999999997</v>
      </c>
      <c r="Z258" s="298">
        <f t="shared" si="124"/>
        <v>0.84299999999999997</v>
      </c>
      <c r="AA258" s="259">
        <f t="shared" si="124"/>
        <v>0.86028804496383493</v>
      </c>
      <c r="AB258" s="259">
        <f t="shared" si="124"/>
        <v>0.91010353060709326</v>
      </c>
      <c r="AC258" s="259">
        <f t="shared" si="124"/>
        <v>0.81912455017559771</v>
      </c>
      <c r="AD258" s="259">
        <f t="shared" si="124"/>
        <v>0.85188743092577224</v>
      </c>
      <c r="AE258" s="259">
        <f t="shared" si="124"/>
        <v>0.86414139292093739</v>
      </c>
    </row>
    <row r="259" spans="1:32">
      <c r="A259" s="240" t="s">
        <v>233</v>
      </c>
      <c r="B259" s="298">
        <f t="shared" si="124"/>
        <v>0.85150684931506848</v>
      </c>
      <c r="C259" s="298">
        <f t="shared" si="124"/>
        <v>0.82000000000000006</v>
      </c>
      <c r="D259" s="298">
        <f t="shared" si="124"/>
        <v>0.79043478260869571</v>
      </c>
      <c r="E259" s="298">
        <f t="shared" si="124"/>
        <v>0.86839481555333997</v>
      </c>
      <c r="F259" s="298">
        <f t="shared" si="124"/>
        <v>0.81318681318681318</v>
      </c>
      <c r="G259" s="298">
        <f t="shared" si="124"/>
        <v>0.80769230769230771</v>
      </c>
      <c r="H259" s="298">
        <f t="shared" si="124"/>
        <v>0.80476190476190479</v>
      </c>
      <c r="I259" s="298">
        <f t="shared" si="124"/>
        <v>0.82403433476394849</v>
      </c>
      <c r="J259" s="298">
        <f t="shared" si="124"/>
        <v>0.81380651434127382</v>
      </c>
      <c r="K259" s="298">
        <f t="shared" si="124"/>
        <v>0.8214285714285714</v>
      </c>
      <c r="L259" s="298">
        <f t="shared" si="124"/>
        <v>0.83174603174603168</v>
      </c>
      <c r="M259" s="298">
        <f t="shared" si="124"/>
        <v>0.83833333333333337</v>
      </c>
      <c r="N259" s="298">
        <f t="shared" si="124"/>
        <v>0.83626373626373618</v>
      </c>
      <c r="O259" s="298">
        <f t="shared" si="124"/>
        <v>0.84072622240561179</v>
      </c>
      <c r="P259" s="298">
        <f t="shared" si="124"/>
        <v>0.84056603773584904</v>
      </c>
      <c r="Q259" s="298">
        <f t="shared" si="124"/>
        <v>0.84099678456591631</v>
      </c>
      <c r="R259" s="298">
        <f t="shared" si="124"/>
        <v>0.84099290780141844</v>
      </c>
      <c r="S259" s="298">
        <f t="shared" si="124"/>
        <v>0.84096385542168672</v>
      </c>
      <c r="T259" s="298">
        <f t="shared" si="124"/>
        <v>0.84106382978723404</v>
      </c>
      <c r="U259" s="298">
        <f t="shared" si="124"/>
        <v>0.841046511627907</v>
      </c>
      <c r="V259" s="298">
        <f t="shared" si="124"/>
        <v>0.83599999999999997</v>
      </c>
      <c r="W259" s="298">
        <f t="shared" si="124"/>
        <v>0.84300970873786407</v>
      </c>
      <c r="X259" s="298">
        <f t="shared" si="124"/>
        <v>0.84300429184549364</v>
      </c>
      <c r="Y259" s="298">
        <f t="shared" si="124"/>
        <v>0.84499999999999997</v>
      </c>
      <c r="Z259" s="298">
        <f t="shared" si="124"/>
        <v>0.84299999999999997</v>
      </c>
      <c r="AA259" s="259">
        <f t="shared" si="124"/>
        <v>0.87494414394135922</v>
      </c>
      <c r="AB259" s="259">
        <f t="shared" si="124"/>
        <v>0.86129055076657968</v>
      </c>
      <c r="AC259" s="259">
        <f t="shared" si="124"/>
        <v>0.90889312068610417</v>
      </c>
      <c r="AD259" s="259">
        <f t="shared" si="124"/>
        <v>0.82618823200505076</v>
      </c>
      <c r="AE259" s="259">
        <f t="shared" si="124"/>
        <v>0.81239155745728509</v>
      </c>
    </row>
    <row r="260" spans="1:32">
      <c r="A260" s="240" t="s">
        <v>234</v>
      </c>
      <c r="B260" s="298">
        <f t="shared" si="124"/>
        <v>0.85150684931506859</v>
      </c>
      <c r="C260" s="298">
        <f t="shared" si="124"/>
        <v>0.82000000000000006</v>
      </c>
      <c r="D260" s="298">
        <f t="shared" si="124"/>
        <v>0.79043478260869571</v>
      </c>
      <c r="E260" s="298">
        <f t="shared" si="124"/>
        <v>0.86839481555333997</v>
      </c>
      <c r="F260" s="298">
        <f t="shared" si="124"/>
        <v>0.81318681318681318</v>
      </c>
      <c r="G260" s="298">
        <f t="shared" si="124"/>
        <v>0.80769230769230771</v>
      </c>
      <c r="H260" s="298">
        <f t="shared" si="124"/>
        <v>0.80476190476190479</v>
      </c>
      <c r="I260" s="298">
        <f t="shared" si="124"/>
        <v>0.82403433476394849</v>
      </c>
      <c r="J260" s="298">
        <f t="shared" si="124"/>
        <v>0.81380651434127371</v>
      </c>
      <c r="K260" s="298">
        <f t="shared" si="124"/>
        <v>0.8214285714285714</v>
      </c>
      <c r="L260" s="298">
        <f t="shared" si="124"/>
        <v>0.83174603174603168</v>
      </c>
      <c r="M260" s="298">
        <f t="shared" si="124"/>
        <v>0.83833333333333337</v>
      </c>
      <c r="N260" s="298">
        <f t="shared" si="124"/>
        <v>0.83626373626373618</v>
      </c>
      <c r="O260" s="298">
        <f t="shared" si="124"/>
        <v>0.84072622240561179</v>
      </c>
      <c r="P260" s="298">
        <f t="shared" si="124"/>
        <v>0.84056603773584904</v>
      </c>
      <c r="Q260" s="298">
        <f t="shared" si="124"/>
        <v>0.84099678456591631</v>
      </c>
      <c r="R260" s="298">
        <f t="shared" si="124"/>
        <v>0.84099290780141844</v>
      </c>
      <c r="S260" s="298">
        <f t="shared" si="124"/>
        <v>0.84096385542168672</v>
      </c>
      <c r="T260" s="298">
        <f t="shared" si="124"/>
        <v>0.84106382978723404</v>
      </c>
      <c r="U260" s="298">
        <f t="shared" si="124"/>
        <v>0.841046511627907</v>
      </c>
      <c r="V260" s="298">
        <f t="shared" si="124"/>
        <v>0.83600000000000008</v>
      </c>
      <c r="W260" s="298">
        <f t="shared" si="124"/>
        <v>0.84300970873786407</v>
      </c>
      <c r="X260" s="298">
        <f t="shared" si="124"/>
        <v>0.84300429184549364</v>
      </c>
      <c r="Y260" s="298">
        <f t="shared" si="124"/>
        <v>0.84499999999999997</v>
      </c>
      <c r="Z260" s="259">
        <f t="shared" si="124"/>
        <v>0.78246859569656091</v>
      </c>
      <c r="AA260" s="259">
        <f t="shared" si="124"/>
        <v>0.82007922223131402</v>
      </c>
      <c r="AB260" s="259">
        <f t="shared" si="124"/>
        <v>0.93646280696689521</v>
      </c>
      <c r="AC260" s="259">
        <f t="shared" si="124"/>
        <v>0.78583200716898738</v>
      </c>
      <c r="AD260" s="259">
        <f t="shared" si="124"/>
        <v>0.84987302913263085</v>
      </c>
      <c r="AE260" s="259">
        <f t="shared" si="124"/>
        <v>0.8618786445554536</v>
      </c>
    </row>
    <row r="261" spans="1:32">
      <c r="A261" s="240" t="s">
        <v>46</v>
      </c>
      <c r="B261" s="298">
        <f t="shared" si="124"/>
        <v>0.85150684931506859</v>
      </c>
      <c r="C261" s="298">
        <f t="shared" si="124"/>
        <v>0.82000000000000006</v>
      </c>
      <c r="D261" s="298">
        <f t="shared" si="124"/>
        <v>0.79043478260869571</v>
      </c>
      <c r="E261" s="298">
        <f t="shared" si="124"/>
        <v>0.86839481555334008</v>
      </c>
      <c r="F261" s="298">
        <f t="shared" si="124"/>
        <v>0.81318681318681318</v>
      </c>
      <c r="G261" s="298">
        <f t="shared" si="124"/>
        <v>0.80769230769230771</v>
      </c>
      <c r="H261" s="298">
        <f t="shared" si="124"/>
        <v>0.80476190476190479</v>
      </c>
      <c r="I261" s="298">
        <f t="shared" si="124"/>
        <v>0.82403433476394849</v>
      </c>
      <c r="J261" s="298">
        <f t="shared" si="124"/>
        <v>0.8138065143412736</v>
      </c>
      <c r="K261" s="298">
        <f t="shared" si="124"/>
        <v>0.8214285714285714</v>
      </c>
      <c r="L261" s="298">
        <f t="shared" si="124"/>
        <v>0.83174603174603168</v>
      </c>
      <c r="M261" s="298">
        <f t="shared" si="124"/>
        <v>0.83833333333333337</v>
      </c>
      <c r="N261" s="298">
        <f t="shared" si="124"/>
        <v>0.83626373626373618</v>
      </c>
      <c r="O261" s="298">
        <f t="shared" si="124"/>
        <v>0.84072622240561179</v>
      </c>
      <c r="P261" s="298">
        <f t="shared" si="124"/>
        <v>0.84056603773584904</v>
      </c>
      <c r="Q261" s="298">
        <f t="shared" si="124"/>
        <v>0.84099678456591631</v>
      </c>
      <c r="R261" s="298">
        <f t="shared" si="124"/>
        <v>0.84099290780141844</v>
      </c>
      <c r="S261" s="298">
        <f t="shared" si="124"/>
        <v>0.84096385542168672</v>
      </c>
      <c r="T261" s="298">
        <f t="shared" si="124"/>
        <v>0.84106382978723404</v>
      </c>
      <c r="U261" s="298">
        <f t="shared" si="124"/>
        <v>0.841046511627907</v>
      </c>
      <c r="V261" s="298">
        <f t="shared" si="124"/>
        <v>0.83600000000000008</v>
      </c>
      <c r="W261" s="298">
        <f t="shared" si="124"/>
        <v>0.84300970873786407</v>
      </c>
      <c r="X261" s="298">
        <f t="shared" si="124"/>
        <v>0.84300429184549364</v>
      </c>
      <c r="Y261" s="298">
        <f t="shared" si="124"/>
        <v>0.84499999999999997</v>
      </c>
      <c r="Z261" s="259">
        <f t="shared" si="124"/>
        <v>0.83115887656313747</v>
      </c>
      <c r="AA261" s="259">
        <f t="shared" si="124"/>
        <v>0.90686937586493999</v>
      </c>
      <c r="AB261" s="259">
        <f t="shared" si="124"/>
        <v>0.89831003899496131</v>
      </c>
      <c r="AC261" s="259">
        <f t="shared" si="124"/>
        <v>0.76148954849962125</v>
      </c>
      <c r="AD261" s="259">
        <f t="shared" si="124"/>
        <v>0.8685873658283858</v>
      </c>
      <c r="AE261" s="259">
        <f t="shared" si="124"/>
        <v>0.87391681499686857</v>
      </c>
    </row>
    <row r="262" spans="1:32">
      <c r="A262" s="240" t="s">
        <v>235</v>
      </c>
      <c r="B262" s="298">
        <f t="shared" si="124"/>
        <v>0.85150684931506859</v>
      </c>
      <c r="C262" s="298">
        <f t="shared" si="124"/>
        <v>0.82</v>
      </c>
      <c r="D262" s="298">
        <f t="shared" si="124"/>
        <v>0.79043478260869571</v>
      </c>
      <c r="E262" s="298">
        <f t="shared" si="124"/>
        <v>0.86839481555333997</v>
      </c>
      <c r="F262" s="298">
        <f t="shared" si="124"/>
        <v>0.81318681318681318</v>
      </c>
      <c r="G262" s="298">
        <f t="shared" si="124"/>
        <v>0.80769230769230771</v>
      </c>
      <c r="H262" s="298">
        <f t="shared" si="124"/>
        <v>0.80476190476190479</v>
      </c>
      <c r="I262" s="298">
        <f t="shared" si="124"/>
        <v>0.82403433476394849</v>
      </c>
      <c r="J262" s="298">
        <f t="shared" si="124"/>
        <v>0.81380651434127371</v>
      </c>
      <c r="K262" s="298">
        <f t="shared" si="124"/>
        <v>0.8214285714285714</v>
      </c>
      <c r="L262" s="298">
        <f t="shared" si="124"/>
        <v>0.83174603174603168</v>
      </c>
      <c r="M262" s="298">
        <f t="shared" si="124"/>
        <v>0.83833333333333337</v>
      </c>
      <c r="N262" s="298">
        <f t="shared" si="124"/>
        <v>0.83626373626373618</v>
      </c>
      <c r="O262" s="298">
        <f t="shared" si="124"/>
        <v>0.84072622240561179</v>
      </c>
      <c r="P262" s="298">
        <f t="shared" si="124"/>
        <v>0.84056603773584904</v>
      </c>
      <c r="Q262" s="298">
        <f t="shared" ref="Q262:AE265" si="125">Q246+Q119</f>
        <v>0.84099678456591631</v>
      </c>
      <c r="R262" s="298">
        <f t="shared" si="125"/>
        <v>0.84099290780141844</v>
      </c>
      <c r="S262" s="298">
        <f t="shared" si="125"/>
        <v>0.84096385542168672</v>
      </c>
      <c r="T262" s="298">
        <f t="shared" si="125"/>
        <v>0.84106382978723393</v>
      </c>
      <c r="U262" s="298">
        <f t="shared" si="125"/>
        <v>0.841046511627907</v>
      </c>
      <c r="V262" s="298">
        <f t="shared" si="125"/>
        <v>0.83599999999999997</v>
      </c>
      <c r="W262" s="298">
        <f t="shared" si="125"/>
        <v>0.84300970873786407</v>
      </c>
      <c r="X262" s="298">
        <f t="shared" si="125"/>
        <v>0.84300429184549364</v>
      </c>
      <c r="Y262" s="298">
        <f t="shared" si="125"/>
        <v>0.84499999999999997</v>
      </c>
      <c r="Z262" s="259">
        <f t="shared" si="125"/>
        <v>0.86976798465987204</v>
      </c>
      <c r="AA262" s="259">
        <f t="shared" si="125"/>
        <v>0.86035202533407162</v>
      </c>
      <c r="AB262" s="259">
        <f t="shared" si="125"/>
        <v>0.90778700298286941</v>
      </c>
      <c r="AC262" s="259">
        <f t="shared" si="125"/>
        <v>0.77687464552216401</v>
      </c>
      <c r="AD262" s="259">
        <f t="shared" si="125"/>
        <v>0.90099958605832231</v>
      </c>
      <c r="AE262" s="259">
        <f t="shared" si="125"/>
        <v>0.89733085575464089</v>
      </c>
    </row>
    <row r="263" spans="1:32">
      <c r="A263" s="240" t="s">
        <v>236</v>
      </c>
      <c r="B263" s="298">
        <f t="shared" ref="B263:AC266" si="126">B247+B120</f>
        <v>0.85150684931506859</v>
      </c>
      <c r="C263" s="298">
        <f t="shared" si="126"/>
        <v>0.82000000000000006</v>
      </c>
      <c r="D263" s="298">
        <f t="shared" si="126"/>
        <v>0.79043478260869571</v>
      </c>
      <c r="E263" s="298">
        <f t="shared" si="126"/>
        <v>0.86839481555333997</v>
      </c>
      <c r="F263" s="298">
        <f t="shared" si="126"/>
        <v>0.81318681318681318</v>
      </c>
      <c r="G263" s="298">
        <f t="shared" si="126"/>
        <v>0.80769230769230771</v>
      </c>
      <c r="H263" s="298">
        <f t="shared" si="126"/>
        <v>0.80476190476190479</v>
      </c>
      <c r="I263" s="298">
        <f t="shared" si="126"/>
        <v>0.82403433476394849</v>
      </c>
      <c r="J263" s="298">
        <f t="shared" si="126"/>
        <v>0.81380651434127371</v>
      </c>
      <c r="K263" s="298">
        <f t="shared" si="126"/>
        <v>0.8214285714285714</v>
      </c>
      <c r="L263" s="298">
        <f t="shared" si="126"/>
        <v>0.83174603174603168</v>
      </c>
      <c r="M263" s="298">
        <f t="shared" si="126"/>
        <v>0.83833333333333337</v>
      </c>
      <c r="N263" s="298">
        <f t="shared" si="126"/>
        <v>0.83626373626373618</v>
      </c>
      <c r="O263" s="298">
        <f t="shared" si="126"/>
        <v>0.84072622240561168</v>
      </c>
      <c r="P263" s="298">
        <f t="shared" si="126"/>
        <v>0.84056603773584904</v>
      </c>
      <c r="Q263" s="298">
        <f t="shared" si="126"/>
        <v>0.84099678456591631</v>
      </c>
      <c r="R263" s="298">
        <f t="shared" si="126"/>
        <v>0.84099290780141844</v>
      </c>
      <c r="S263" s="298">
        <f t="shared" si="126"/>
        <v>0.84096385542168672</v>
      </c>
      <c r="T263" s="298">
        <f t="shared" si="126"/>
        <v>0.84106382978723404</v>
      </c>
      <c r="U263" s="298">
        <f t="shared" si="126"/>
        <v>0.84104651162790689</v>
      </c>
      <c r="V263" s="298">
        <f t="shared" si="126"/>
        <v>0.83600000000000008</v>
      </c>
      <c r="W263" s="298">
        <f t="shared" si="126"/>
        <v>0.84300970873786407</v>
      </c>
      <c r="X263" s="298">
        <f t="shared" si="126"/>
        <v>0.84300429184549364</v>
      </c>
      <c r="Y263" s="298">
        <f t="shared" si="126"/>
        <v>0.84499999999999997</v>
      </c>
      <c r="Z263" s="259">
        <f t="shared" si="126"/>
        <v>0.92248868870711154</v>
      </c>
      <c r="AA263" s="259">
        <f t="shared" si="126"/>
        <v>1.0498734713171971</v>
      </c>
      <c r="AB263" s="259">
        <f t="shared" si="126"/>
        <v>1.0233772144717546</v>
      </c>
      <c r="AC263" s="259">
        <f t="shared" si="126"/>
        <v>0.67782507809945325</v>
      </c>
      <c r="AD263" s="259">
        <f t="shared" si="125"/>
        <v>0.9538397703041358</v>
      </c>
      <c r="AE263" s="259">
        <f t="shared" si="125"/>
        <v>0.94959269865379381</v>
      </c>
    </row>
    <row r="264" spans="1:32">
      <c r="A264" s="240" t="s">
        <v>237</v>
      </c>
      <c r="B264" s="298">
        <f t="shared" si="126"/>
        <v>0.85150684931506859</v>
      </c>
      <c r="C264" s="298">
        <f t="shared" si="126"/>
        <v>0.82</v>
      </c>
      <c r="D264" s="298">
        <f t="shared" si="126"/>
        <v>0.79043478260869571</v>
      </c>
      <c r="E264" s="298">
        <f t="shared" si="126"/>
        <v>0.86839481555333997</v>
      </c>
      <c r="F264" s="298">
        <f t="shared" si="126"/>
        <v>0.81318681318681318</v>
      </c>
      <c r="G264" s="298">
        <f t="shared" si="126"/>
        <v>0.80769230769230771</v>
      </c>
      <c r="H264" s="298">
        <f t="shared" si="126"/>
        <v>0.80476190476190479</v>
      </c>
      <c r="I264" s="298">
        <f t="shared" si="126"/>
        <v>0.82403433476394849</v>
      </c>
      <c r="J264" s="298">
        <f t="shared" si="126"/>
        <v>0.81380651434127382</v>
      </c>
      <c r="K264" s="298">
        <f t="shared" si="126"/>
        <v>0.8214285714285714</v>
      </c>
      <c r="L264" s="298">
        <f t="shared" si="126"/>
        <v>0.83174603174603168</v>
      </c>
      <c r="M264" s="298">
        <f t="shared" si="126"/>
        <v>0.83833333333333337</v>
      </c>
      <c r="N264" s="298">
        <f t="shared" si="126"/>
        <v>0.83626373626373618</v>
      </c>
      <c r="O264" s="298">
        <f t="shared" si="126"/>
        <v>0.84072622240561179</v>
      </c>
      <c r="P264" s="298">
        <f t="shared" si="126"/>
        <v>0.84056603773584904</v>
      </c>
      <c r="Q264" s="298">
        <f t="shared" si="126"/>
        <v>0.84099678456591631</v>
      </c>
      <c r="R264" s="298">
        <f t="shared" si="126"/>
        <v>0.84099290780141844</v>
      </c>
      <c r="S264" s="298">
        <f t="shared" si="126"/>
        <v>0.84096385542168672</v>
      </c>
      <c r="T264" s="298">
        <f t="shared" si="126"/>
        <v>0.84106382978723415</v>
      </c>
      <c r="U264" s="298">
        <f t="shared" si="126"/>
        <v>0.841046511627907</v>
      </c>
      <c r="V264" s="298">
        <f t="shared" si="126"/>
        <v>0.83600000000000008</v>
      </c>
      <c r="W264" s="298">
        <f t="shared" si="126"/>
        <v>0.84300970873786407</v>
      </c>
      <c r="X264" s="298">
        <f t="shared" si="126"/>
        <v>0.84300429184549364</v>
      </c>
      <c r="Y264" s="298">
        <f t="shared" si="126"/>
        <v>0.84499999999999997</v>
      </c>
      <c r="Z264" s="259">
        <f t="shared" si="126"/>
        <v>0.63982561107992109</v>
      </c>
      <c r="AA264" s="259">
        <f t="shared" si="126"/>
        <v>1.2892854608652744</v>
      </c>
      <c r="AB264" s="259">
        <f t="shared" si="126"/>
        <v>0.84686189287190716</v>
      </c>
      <c r="AC264" s="259">
        <f t="shared" si="126"/>
        <v>0.43469382316120742</v>
      </c>
      <c r="AD264" s="259">
        <f t="shared" si="125"/>
        <v>0.92281190618073139</v>
      </c>
      <c r="AE264" s="259">
        <f t="shared" si="125"/>
        <v>0.64682079742174436</v>
      </c>
    </row>
    <row r="265" spans="1:32">
      <c r="A265" s="240" t="s">
        <v>238</v>
      </c>
      <c r="B265" s="298">
        <f t="shared" si="126"/>
        <v>0.85150684931506859</v>
      </c>
      <c r="C265" s="298">
        <f t="shared" si="126"/>
        <v>0.82000000000000006</v>
      </c>
      <c r="D265" s="298">
        <f t="shared" si="126"/>
        <v>0.7904347826086956</v>
      </c>
      <c r="E265" s="298">
        <f t="shared" si="126"/>
        <v>0.86839481555333986</v>
      </c>
      <c r="F265" s="298">
        <f t="shared" si="126"/>
        <v>0.81318681318681318</v>
      </c>
      <c r="G265" s="298">
        <f t="shared" si="126"/>
        <v>0.80769230769230771</v>
      </c>
      <c r="H265" s="298">
        <f t="shared" si="126"/>
        <v>0.80476190476190479</v>
      </c>
      <c r="I265" s="298">
        <f t="shared" si="126"/>
        <v>0.82403433476394849</v>
      </c>
      <c r="J265" s="298">
        <f t="shared" si="126"/>
        <v>0.81380651434127371</v>
      </c>
      <c r="K265" s="298">
        <f t="shared" si="126"/>
        <v>0.8214285714285714</v>
      </c>
      <c r="L265" s="298">
        <f t="shared" si="126"/>
        <v>0.83174603174603168</v>
      </c>
      <c r="M265" s="298">
        <f t="shared" si="126"/>
        <v>0.83833333333333337</v>
      </c>
      <c r="N265" s="298">
        <f t="shared" si="126"/>
        <v>0.83626373626373618</v>
      </c>
      <c r="O265" s="298">
        <f t="shared" si="126"/>
        <v>0.84072622240561179</v>
      </c>
      <c r="P265" s="298">
        <f t="shared" si="126"/>
        <v>0.84056603773584904</v>
      </c>
      <c r="Q265" s="298">
        <f t="shared" si="126"/>
        <v>0.84099678456591631</v>
      </c>
      <c r="R265" s="298">
        <f t="shared" si="126"/>
        <v>0.84099290780141844</v>
      </c>
      <c r="S265" s="298">
        <f t="shared" si="126"/>
        <v>0.84096385542168672</v>
      </c>
      <c r="T265" s="298">
        <f t="shared" si="126"/>
        <v>0.84106382978723393</v>
      </c>
      <c r="U265" s="298">
        <f t="shared" si="126"/>
        <v>0.84104651162790711</v>
      </c>
      <c r="V265" s="298">
        <f t="shared" si="126"/>
        <v>0.83600000000000008</v>
      </c>
      <c r="W265" s="298">
        <f t="shared" si="126"/>
        <v>0.84300970873786407</v>
      </c>
      <c r="X265" s="298">
        <f t="shared" si="126"/>
        <v>0.84300429184549364</v>
      </c>
      <c r="Y265" s="298">
        <f t="shared" si="126"/>
        <v>0.84499999999999997</v>
      </c>
      <c r="Z265" s="259">
        <f t="shared" si="126"/>
        <v>0.81368125955849591</v>
      </c>
      <c r="AA265" s="259">
        <f t="shared" si="126"/>
        <v>0.59459538180725047</v>
      </c>
      <c r="AB265" s="259">
        <f t="shared" si="126"/>
        <v>0.6685314529357067</v>
      </c>
      <c r="AC265" s="259">
        <f t="shared" si="126"/>
        <v>0.46009933331097763</v>
      </c>
      <c r="AD265" s="259">
        <f>AD249+AD122</f>
        <v>0.72469900965427381</v>
      </c>
      <c r="AE265" s="259">
        <f t="shared" si="125"/>
        <v>0.96519208208275864</v>
      </c>
    </row>
    <row r="266" spans="1:32" ht="15.75" thickBot="1">
      <c r="A266" s="240" t="s">
        <v>255</v>
      </c>
      <c r="B266" s="258">
        <f t="shared" si="126"/>
        <v>0.85150684931506859</v>
      </c>
      <c r="C266" s="258">
        <f t="shared" si="126"/>
        <v>0.82000000000000006</v>
      </c>
      <c r="D266" s="258">
        <f t="shared" si="126"/>
        <v>0.79043478260869571</v>
      </c>
      <c r="E266" s="258">
        <f t="shared" si="126"/>
        <v>0.86839481555333997</v>
      </c>
      <c r="F266" s="258">
        <f t="shared" si="126"/>
        <v>0.81318681318681318</v>
      </c>
      <c r="G266" s="258">
        <f t="shared" si="126"/>
        <v>0.80769230769230771</v>
      </c>
      <c r="H266" s="258">
        <f t="shared" si="126"/>
        <v>0.80476190476190479</v>
      </c>
      <c r="I266" s="258">
        <f t="shared" si="126"/>
        <v>0.82403433476394849</v>
      </c>
      <c r="J266" s="258">
        <f t="shared" si="126"/>
        <v>0.81380651434127371</v>
      </c>
      <c r="K266" s="258">
        <f t="shared" si="126"/>
        <v>0.8214285714285714</v>
      </c>
      <c r="L266" s="258">
        <f t="shared" si="126"/>
        <v>0.83174603174603168</v>
      </c>
      <c r="M266" s="258">
        <f t="shared" si="126"/>
        <v>0.83833333333333337</v>
      </c>
      <c r="N266" s="258">
        <f t="shared" si="126"/>
        <v>0.83626373626373618</v>
      </c>
      <c r="O266" s="258">
        <f t="shared" si="126"/>
        <v>0.84072622240561179</v>
      </c>
      <c r="P266" s="258">
        <f t="shared" si="126"/>
        <v>0.84056603773584904</v>
      </c>
      <c r="Q266" s="258">
        <f t="shared" si="126"/>
        <v>0.84099678456591631</v>
      </c>
      <c r="R266" s="258">
        <f t="shared" si="126"/>
        <v>0.84099290780141844</v>
      </c>
      <c r="S266" s="258">
        <f t="shared" si="126"/>
        <v>0.84096385542168672</v>
      </c>
      <c r="T266" s="258">
        <f t="shared" si="126"/>
        <v>0.84106382978723404</v>
      </c>
      <c r="U266" s="258">
        <f t="shared" si="126"/>
        <v>0.841046511627907</v>
      </c>
      <c r="V266" s="258">
        <f t="shared" si="126"/>
        <v>0.83600000000000008</v>
      </c>
      <c r="W266" s="258">
        <f t="shared" si="126"/>
        <v>0.84300970873786407</v>
      </c>
      <c r="X266" s="258">
        <f t="shared" si="126"/>
        <v>0.84300429184549364</v>
      </c>
      <c r="Y266" s="258">
        <f t="shared" si="126"/>
        <v>0.84499999999999997</v>
      </c>
      <c r="Z266" s="259">
        <f t="shared" si="126"/>
        <v>0.84299999999999997</v>
      </c>
      <c r="AA266" s="259">
        <f t="shared" si="126"/>
        <v>0.85076137098660054</v>
      </c>
      <c r="AB266" s="259">
        <f t="shared" si="126"/>
        <v>0.8503354974533508</v>
      </c>
      <c r="AC266" s="259">
        <f t="shared" si="126"/>
        <v>0.85137974780414716</v>
      </c>
      <c r="AD266" s="259">
        <f t="shared" ref="AD266:AE266" si="127">AD250+AD123</f>
        <v>0.85092636830514357</v>
      </c>
      <c r="AE266" s="259">
        <f t="shared" si="127"/>
        <v>0.84465440305456418</v>
      </c>
    </row>
    <row r="267" spans="1:32">
      <c r="A267" s="248"/>
      <c r="B267" s="248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48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</row>
    <row r="268" spans="1:32" ht="15.75" thickBot="1">
      <c r="A268" s="235" t="s">
        <v>265</v>
      </c>
    </row>
    <row r="269" spans="1:32" ht="15.75" thickBot="1">
      <c r="A269" s="236"/>
      <c r="B269" s="237" t="str">
        <f>B$2</f>
        <v xml:space="preserve">93/94 </v>
      </c>
      <c r="C269" s="237" t="str">
        <f t="shared" ref="C269:AE269" si="128">C$2</f>
        <v xml:space="preserve">94/95 </v>
      </c>
      <c r="D269" s="237" t="str">
        <f t="shared" si="128"/>
        <v xml:space="preserve">95/96 </v>
      </c>
      <c r="E269" s="237" t="str">
        <f t="shared" si="128"/>
        <v xml:space="preserve">96/97 </v>
      </c>
      <c r="F269" s="237" t="str">
        <f t="shared" si="128"/>
        <v xml:space="preserve">97/98 </v>
      </c>
      <c r="G269" s="237" t="str">
        <f t="shared" si="128"/>
        <v xml:space="preserve">98/99 </v>
      </c>
      <c r="H269" s="237" t="str">
        <f t="shared" si="128"/>
        <v xml:space="preserve">99/00 </v>
      </c>
      <c r="I269" s="237" t="str">
        <f t="shared" si="128"/>
        <v xml:space="preserve">00/01 </v>
      </c>
      <c r="J269" s="237" t="str">
        <f t="shared" si="128"/>
        <v xml:space="preserve">01/02 </v>
      </c>
      <c r="K269" s="237" t="str">
        <f t="shared" si="128"/>
        <v xml:space="preserve">02/03 </v>
      </c>
      <c r="L269" s="237" t="str">
        <f t="shared" si="128"/>
        <v xml:space="preserve">03/04 </v>
      </c>
      <c r="M269" s="237" t="str">
        <f t="shared" si="128"/>
        <v xml:space="preserve">04/05 </v>
      </c>
      <c r="N269" s="237" t="str">
        <f t="shared" si="128"/>
        <v xml:space="preserve">05/06 </v>
      </c>
      <c r="O269" s="237" t="str">
        <f t="shared" si="128"/>
        <v xml:space="preserve">06/07 </v>
      </c>
      <c r="P269" s="237" t="str">
        <f t="shared" si="128"/>
        <v xml:space="preserve">07/08 </v>
      </c>
      <c r="Q269" s="237" t="str">
        <f t="shared" si="128"/>
        <v xml:space="preserve">08/09 </v>
      </c>
      <c r="R269" s="237" t="str">
        <f t="shared" si="128"/>
        <v xml:space="preserve">09/10 </v>
      </c>
      <c r="S269" s="237" t="str">
        <f t="shared" si="128"/>
        <v xml:space="preserve">10/11 </v>
      </c>
      <c r="T269" s="237" t="str">
        <f t="shared" si="128"/>
        <v xml:space="preserve">11/12 </v>
      </c>
      <c r="U269" s="237" t="str">
        <f t="shared" si="128"/>
        <v xml:space="preserve">12/13 </v>
      </c>
      <c r="V269" s="237" t="str">
        <f t="shared" si="128"/>
        <v xml:space="preserve">13/14 </v>
      </c>
      <c r="W269" s="237" t="str">
        <f t="shared" si="128"/>
        <v xml:space="preserve">14/15 </v>
      </c>
      <c r="X269" s="237" t="str">
        <f t="shared" si="128"/>
        <v xml:space="preserve">15/16 </v>
      </c>
      <c r="Y269" s="237" t="str">
        <f t="shared" si="128"/>
        <v xml:space="preserve">16/17 </v>
      </c>
      <c r="Z269" s="237" t="str">
        <f t="shared" si="128"/>
        <v xml:space="preserve">17/18 </v>
      </c>
      <c r="AA269" s="237" t="str">
        <f t="shared" si="128"/>
        <v xml:space="preserve">18/19 </v>
      </c>
      <c r="AB269" s="237" t="str">
        <f t="shared" si="128"/>
        <v xml:space="preserve">19/20 </v>
      </c>
      <c r="AC269" s="237" t="str">
        <f t="shared" si="128"/>
        <v xml:space="preserve">20/21 </v>
      </c>
      <c r="AD269" s="237" t="str">
        <f t="shared" si="128"/>
        <v>21/22</v>
      </c>
      <c r="AE269" s="237" t="str">
        <f t="shared" si="128"/>
        <v>22/23</v>
      </c>
      <c r="AF269" s="269"/>
    </row>
    <row r="270" spans="1:32">
      <c r="A270" s="240" t="s">
        <v>239</v>
      </c>
      <c r="B270" s="241">
        <f>(SUM(K270:O270)/SUM(K$282:O$282))*B$282</f>
        <v>0</v>
      </c>
      <c r="C270" s="241">
        <f>(SUM(L270:P270)/SUM(L$282:P$282))*C$282</f>
        <v>1.0135135135135136</v>
      </c>
      <c r="D270" s="241">
        <f t="shared" ref="D270:I270" si="129">(SUM(M270:Q270)/SUM(M$282:Q$282))*D$282</f>
        <v>0</v>
      </c>
      <c r="E270" s="241">
        <f t="shared" si="129"/>
        <v>0.85956844711708524</v>
      </c>
      <c r="F270" s="241">
        <f t="shared" si="129"/>
        <v>0.4511278195488721</v>
      </c>
      <c r="G270" s="241">
        <f t="shared" si="129"/>
        <v>1.1379516869634656</v>
      </c>
      <c r="H270" s="241">
        <f t="shared" si="129"/>
        <v>0</v>
      </c>
      <c r="I270" s="241">
        <f t="shared" si="129"/>
        <v>0</v>
      </c>
      <c r="J270" s="242">
        <f>'[5]Indonesia Coconut Oil Imports'!DT$290</f>
        <v>0</v>
      </c>
      <c r="K270" s="242">
        <v>0.01</v>
      </c>
      <c r="L270" s="242">
        <v>0</v>
      </c>
      <c r="M270" s="242">
        <v>0.72599999999999998</v>
      </c>
      <c r="N270" s="242">
        <v>3.0000000000000001E-3</v>
      </c>
      <c r="O270" s="242">
        <v>2E-3</v>
      </c>
      <c r="P270" s="242">
        <v>1.9E-2</v>
      </c>
      <c r="Q270" s="242">
        <v>1E-3</v>
      </c>
      <c r="R270" s="242">
        <v>5.6000000000000001E-2</v>
      </c>
      <c r="S270" s="242">
        <v>3.7999999999999999E-2</v>
      </c>
      <c r="T270" s="242">
        <v>7.5999999999999998E-2</v>
      </c>
      <c r="U270" s="242">
        <v>0.121</v>
      </c>
      <c r="V270" s="242">
        <v>0.121</v>
      </c>
      <c r="W270" s="242">
        <v>9.5000000000000001E-2</v>
      </c>
      <c r="X270" s="242">
        <v>0.114</v>
      </c>
      <c r="Y270" s="242">
        <v>1.9E-2</v>
      </c>
      <c r="Z270" s="242">
        <v>1E-3</v>
      </c>
      <c r="AA270" s="242">
        <v>2.1999999999999999E-2</v>
      </c>
      <c r="AB270" s="242">
        <v>0</v>
      </c>
      <c r="AC270" s="242">
        <v>2.7E-2</v>
      </c>
      <c r="AD270" s="242">
        <v>0</v>
      </c>
      <c r="AE270" s="243">
        <f t="shared" ref="AE270:AE280" si="130">(SUM(Y270:AC270)/SUM(Y$282:AC$282))*AE$282</f>
        <v>0</v>
      </c>
    </row>
    <row r="271" spans="1:32">
      <c r="A271" s="240" t="s">
        <v>240</v>
      </c>
      <c r="B271" s="241">
        <f t="shared" ref="B271:I281" si="131">(SUM(K271:O271)/SUM(K$282:O$282))*B$282</f>
        <v>0</v>
      </c>
      <c r="C271" s="241">
        <f t="shared" si="131"/>
        <v>0.7108108108108111</v>
      </c>
      <c r="D271" s="241">
        <f t="shared" si="131"/>
        <v>0</v>
      </c>
      <c r="E271" s="241">
        <f t="shared" si="131"/>
        <v>0.54120976299964618</v>
      </c>
      <c r="F271" s="241">
        <f t="shared" si="131"/>
        <v>0.56390977443609014</v>
      </c>
      <c r="G271" s="241">
        <f t="shared" si="131"/>
        <v>1.4733479736474344</v>
      </c>
      <c r="H271" s="241">
        <f t="shared" si="131"/>
        <v>0</v>
      </c>
      <c r="I271" s="241">
        <f t="shared" si="131"/>
        <v>0</v>
      </c>
      <c r="J271" s="242">
        <f>'[5]Indonesia Coconut Oil Imports'!DU$290</f>
        <v>0</v>
      </c>
      <c r="K271" s="242">
        <v>3.0000000000000001E-3</v>
      </c>
      <c r="L271" s="242">
        <v>7.0000000000000001E-3</v>
      </c>
      <c r="M271" s="242">
        <v>0.50600000000000001</v>
      </c>
      <c r="N271" s="242">
        <v>0</v>
      </c>
      <c r="O271" s="242">
        <v>1.0999999999999999E-2</v>
      </c>
      <c r="P271" s="242">
        <v>2E-3</v>
      </c>
      <c r="Q271" s="242">
        <v>0</v>
      </c>
      <c r="R271" s="242">
        <v>3.7999999999999999E-2</v>
      </c>
      <c r="S271" s="242">
        <v>9.4E-2</v>
      </c>
      <c r="T271" s="242">
        <v>0.112</v>
      </c>
      <c r="U271" s="242">
        <v>0.114</v>
      </c>
      <c r="V271" s="242">
        <v>0.113</v>
      </c>
      <c r="W271" s="242">
        <v>9.5000000000000001E-2</v>
      </c>
      <c r="X271" s="242">
        <v>0.13200000000000001</v>
      </c>
      <c r="Y271" s="242">
        <v>0.17499999999999999</v>
      </c>
      <c r="Z271" s="242">
        <v>4.5999999999999999E-2</v>
      </c>
      <c r="AA271" s="242">
        <v>0</v>
      </c>
      <c r="AB271" s="242">
        <v>0</v>
      </c>
      <c r="AC271" s="242">
        <v>0</v>
      </c>
      <c r="AD271" s="242">
        <v>0</v>
      </c>
      <c r="AE271" s="243">
        <f t="shared" si="130"/>
        <v>0</v>
      </c>
    </row>
    <row r="272" spans="1:32">
      <c r="A272" s="240" t="s">
        <v>241</v>
      </c>
      <c r="B272" s="241">
        <f t="shared" si="131"/>
        <v>0</v>
      </c>
      <c r="C272" s="241">
        <f t="shared" si="131"/>
        <v>0.11756756756756759</v>
      </c>
      <c r="D272" s="241">
        <f t="shared" si="131"/>
        <v>0</v>
      </c>
      <c r="E272" s="241">
        <f t="shared" si="131"/>
        <v>2.759108595684471</v>
      </c>
      <c r="F272" s="241">
        <f t="shared" si="131"/>
        <v>1.462276380606689</v>
      </c>
      <c r="G272" s="241">
        <f t="shared" si="131"/>
        <v>3.2162108205230577</v>
      </c>
      <c r="H272" s="241">
        <f t="shared" si="131"/>
        <v>0</v>
      </c>
      <c r="I272" s="241">
        <f t="shared" si="131"/>
        <v>0</v>
      </c>
      <c r="J272" s="242">
        <f>'[5]Indonesia Coconut Oil Imports'!DV$290</f>
        <v>0</v>
      </c>
      <c r="K272" s="242">
        <v>1.4999999999999999E-2</v>
      </c>
      <c r="L272" s="242">
        <v>1.2999999999999999E-2</v>
      </c>
      <c r="M272" s="242">
        <v>1.4E-2</v>
      </c>
      <c r="N272" s="242">
        <v>3.4000000000000002E-2</v>
      </c>
      <c r="O272" s="242">
        <v>1.6E-2</v>
      </c>
      <c r="P272" s="242">
        <v>0.01</v>
      </c>
      <c r="Q272" s="242">
        <v>0</v>
      </c>
      <c r="R272" s="242">
        <v>0.2</v>
      </c>
      <c r="S272" s="242">
        <v>0.15</v>
      </c>
      <c r="T272" s="242">
        <v>0.17699999999999999</v>
      </c>
      <c r="U272" s="242">
        <v>0.19600000000000001</v>
      </c>
      <c r="V272" s="242">
        <v>0.155</v>
      </c>
      <c r="W272" s="242">
        <v>0.16</v>
      </c>
      <c r="X272" s="242">
        <v>0.20399999999999999</v>
      </c>
      <c r="Y272" s="242">
        <v>3.1E-2</v>
      </c>
      <c r="Z272" s="242">
        <v>3.4000000000000002E-2</v>
      </c>
      <c r="AA272" s="242">
        <v>0.01</v>
      </c>
      <c r="AB272" s="242">
        <v>0.02</v>
      </c>
      <c r="AC272" s="242">
        <v>2.5000000000000001E-2</v>
      </c>
      <c r="AD272" s="242">
        <v>0</v>
      </c>
      <c r="AE272" s="243">
        <f t="shared" si="130"/>
        <v>0</v>
      </c>
    </row>
    <row r="273" spans="1:45">
      <c r="A273" s="240" t="s">
        <v>231</v>
      </c>
      <c r="B273" s="241">
        <f t="shared" si="131"/>
        <v>0</v>
      </c>
      <c r="C273" s="241">
        <f t="shared" si="131"/>
        <v>5.2702702702702713E-2</v>
      </c>
      <c r="D273" s="241">
        <f t="shared" si="131"/>
        <v>0</v>
      </c>
      <c r="E273" s="241">
        <f t="shared" si="131"/>
        <v>0.29713477184294307</v>
      </c>
      <c r="F273" s="241">
        <f t="shared" si="131"/>
        <v>0.29556650246305416</v>
      </c>
      <c r="G273" s="241">
        <f t="shared" si="131"/>
        <v>0.80854461968456781</v>
      </c>
      <c r="H273" s="241">
        <f t="shared" si="131"/>
        <v>0</v>
      </c>
      <c r="I273" s="241">
        <f t="shared" si="131"/>
        <v>0</v>
      </c>
      <c r="J273" s="242">
        <v>1.2999999999999999E-2</v>
      </c>
      <c r="K273" s="242">
        <v>0.26800000000000002</v>
      </c>
      <c r="L273" s="242">
        <v>2.1000000000000001E-2</v>
      </c>
      <c r="M273" s="242">
        <v>8.9999999999999993E-3</v>
      </c>
      <c r="N273" s="242">
        <v>7.0000000000000001E-3</v>
      </c>
      <c r="O273" s="242">
        <v>2E-3</v>
      </c>
      <c r="P273" s="242">
        <v>0</v>
      </c>
      <c r="Q273" s="242">
        <v>0</v>
      </c>
      <c r="R273" s="242">
        <v>1.9E-2</v>
      </c>
      <c r="S273" s="242">
        <v>5.5E-2</v>
      </c>
      <c r="T273" s="242">
        <v>6.0999999999999999E-2</v>
      </c>
      <c r="U273" s="242">
        <v>7.1999999999999995E-2</v>
      </c>
      <c r="V273" s="242">
        <v>3.9E-2</v>
      </c>
      <c r="W273" s="242">
        <v>0.111</v>
      </c>
      <c r="X273" s="242">
        <v>0.18</v>
      </c>
      <c r="Y273" s="242">
        <v>4.3999999999999997E-2</v>
      </c>
      <c r="Z273" s="242">
        <v>0.24199999999999999</v>
      </c>
      <c r="AA273" s="242">
        <v>5.0000000000000001E-3</v>
      </c>
      <c r="AB273" s="242">
        <v>3.0000000000000001E-3</v>
      </c>
      <c r="AC273" s="242">
        <v>4.0000000000000001E-3</v>
      </c>
      <c r="AD273" s="441">
        <v>4.0000000000000001E-3</v>
      </c>
      <c r="AE273" s="243">
        <f t="shared" si="130"/>
        <v>0</v>
      </c>
    </row>
    <row r="274" spans="1:45">
      <c r="A274" s="240" t="s">
        <v>232</v>
      </c>
      <c r="B274" s="241">
        <f t="shared" si="131"/>
        <v>0</v>
      </c>
      <c r="C274" s="241">
        <f t="shared" si="131"/>
        <v>4.8648648648648665E-2</v>
      </c>
      <c r="D274" s="241">
        <f t="shared" si="131"/>
        <v>0</v>
      </c>
      <c r="E274" s="241">
        <f t="shared" si="131"/>
        <v>0.75344888574460567</v>
      </c>
      <c r="F274" s="241">
        <f t="shared" si="131"/>
        <v>0.65335753176043554</v>
      </c>
      <c r="G274" s="241">
        <f t="shared" si="131"/>
        <v>1.5452186065082849</v>
      </c>
      <c r="H274" s="241">
        <f t="shared" si="131"/>
        <v>0</v>
      </c>
      <c r="I274" s="241">
        <f t="shared" si="131"/>
        <v>0</v>
      </c>
      <c r="J274" s="242">
        <v>8.9999999999999993E-3</v>
      </c>
      <c r="K274" s="242">
        <v>0.25700000000000001</v>
      </c>
      <c r="L274" s="242">
        <v>1.9E-2</v>
      </c>
      <c r="M274" s="242">
        <v>2E-3</v>
      </c>
      <c r="N274" s="242">
        <v>1E-3</v>
      </c>
      <c r="O274" s="242">
        <v>1.2E-2</v>
      </c>
      <c r="P274" s="242">
        <v>2E-3</v>
      </c>
      <c r="Q274" s="242">
        <v>0</v>
      </c>
      <c r="R274" s="242">
        <v>5.6000000000000001E-2</v>
      </c>
      <c r="S274" s="242">
        <v>9.8000000000000004E-2</v>
      </c>
      <c r="T274" s="242">
        <v>0.10199999999999999</v>
      </c>
      <c r="U274" s="242">
        <v>0.11600000000000001</v>
      </c>
      <c r="V274" s="242">
        <v>9.6000000000000002E-2</v>
      </c>
      <c r="W274" s="242">
        <v>0.12</v>
      </c>
      <c r="X274" s="242">
        <v>6.5000000000000002E-2</v>
      </c>
      <c r="Y274" s="242">
        <v>3.0000000000000001E-3</v>
      </c>
      <c r="Z274" s="242">
        <v>0.114</v>
      </c>
      <c r="AA274" s="242">
        <v>1E-3</v>
      </c>
      <c r="AB274" s="242">
        <v>1E-3</v>
      </c>
      <c r="AC274" s="242">
        <v>0</v>
      </c>
      <c r="AD274" s="242">
        <v>0</v>
      </c>
      <c r="AE274" s="243">
        <f t="shared" si="130"/>
        <v>0</v>
      </c>
    </row>
    <row r="275" spans="1:45">
      <c r="A275" s="240" t="s">
        <v>233</v>
      </c>
      <c r="B275" s="241">
        <f t="shared" si="131"/>
        <v>0</v>
      </c>
      <c r="C275" s="241">
        <f t="shared" si="131"/>
        <v>4.8648648648648665E-2</v>
      </c>
      <c r="D275" s="241">
        <f t="shared" si="131"/>
        <v>0</v>
      </c>
      <c r="E275" s="241">
        <f t="shared" si="131"/>
        <v>1.1991510435090202</v>
      </c>
      <c r="F275" s="241">
        <f t="shared" si="131"/>
        <v>0.76225045372050815</v>
      </c>
      <c r="G275" s="241">
        <f t="shared" si="131"/>
        <v>1.7248951886604114</v>
      </c>
      <c r="H275" s="241">
        <f t="shared" si="131"/>
        <v>0</v>
      </c>
      <c r="I275" s="241">
        <f t="shared" si="131"/>
        <v>0</v>
      </c>
      <c r="J275" s="242">
        <v>8.9999999999999993E-3</v>
      </c>
      <c r="K275" s="242">
        <v>0.35199999999999998</v>
      </c>
      <c r="L275" s="242">
        <v>1.2999999999999999E-2</v>
      </c>
      <c r="M275" s="242">
        <v>0.02</v>
      </c>
      <c r="N275" s="242">
        <v>0</v>
      </c>
      <c r="O275" s="242">
        <v>3.0000000000000001E-3</v>
      </c>
      <c r="P275" s="242">
        <v>0</v>
      </c>
      <c r="Q275" s="242">
        <v>0</v>
      </c>
      <c r="R275" s="242">
        <v>0.11</v>
      </c>
      <c r="S275" s="242">
        <v>8.3000000000000004E-2</v>
      </c>
      <c r="T275" s="242">
        <v>9.5000000000000001E-2</v>
      </c>
      <c r="U275" s="242">
        <v>9.2999999999999999E-2</v>
      </c>
      <c r="V275" s="242">
        <v>0.17399999999999999</v>
      </c>
      <c r="W275" s="242">
        <v>0.14000000000000001</v>
      </c>
      <c r="X275" s="242">
        <v>5.5E-2</v>
      </c>
      <c r="Y275" s="242">
        <v>5.0000000000000001E-3</v>
      </c>
      <c r="Z275" s="242">
        <v>7.3999999999999996E-2</v>
      </c>
      <c r="AA275" s="242">
        <v>3.3000000000000002E-2</v>
      </c>
      <c r="AB275" s="242">
        <v>7.2999999999999995E-2</v>
      </c>
      <c r="AC275" s="242">
        <v>1E-3</v>
      </c>
      <c r="AD275" s="441">
        <v>3.0000000000000001E-3</v>
      </c>
      <c r="AE275" s="243">
        <f t="shared" si="130"/>
        <v>0</v>
      </c>
    </row>
    <row r="276" spans="1:45">
      <c r="A276" s="240" t="s">
        <v>234</v>
      </c>
      <c r="B276" s="241">
        <f t="shared" si="131"/>
        <v>0</v>
      </c>
      <c r="C276" s="241">
        <f t="shared" si="131"/>
        <v>8.2432432432432437E-2</v>
      </c>
      <c r="D276" s="241">
        <f t="shared" si="131"/>
        <v>0</v>
      </c>
      <c r="E276" s="241">
        <f t="shared" si="131"/>
        <v>1.5917934205871949</v>
      </c>
      <c r="F276" s="241">
        <f t="shared" si="131"/>
        <v>0.9722582317863625</v>
      </c>
      <c r="G276" s="241">
        <f t="shared" si="131"/>
        <v>2.4076662008384906</v>
      </c>
      <c r="H276" s="241">
        <f t="shared" si="131"/>
        <v>0</v>
      </c>
      <c r="I276" s="241">
        <f t="shared" si="131"/>
        <v>0</v>
      </c>
      <c r="J276" s="242">
        <v>8.0000000000000002E-3</v>
      </c>
      <c r="K276" s="242">
        <v>0.35899999999999999</v>
      </c>
      <c r="L276" s="242">
        <v>2.4E-2</v>
      </c>
      <c r="M276" s="242">
        <v>0.02</v>
      </c>
      <c r="N276" s="242">
        <v>1.2999999999999999E-2</v>
      </c>
      <c r="O276" s="242">
        <v>1E-3</v>
      </c>
      <c r="P276" s="242">
        <v>3.0000000000000001E-3</v>
      </c>
      <c r="Q276" s="242">
        <v>0</v>
      </c>
      <c r="R276" s="242">
        <v>0.13300000000000001</v>
      </c>
      <c r="S276" s="242">
        <v>0.113</v>
      </c>
      <c r="T276" s="242">
        <v>0.153</v>
      </c>
      <c r="U276" s="242">
        <v>0.17100000000000001</v>
      </c>
      <c r="V276" s="242">
        <v>0.112</v>
      </c>
      <c r="W276" s="242">
        <v>0.114</v>
      </c>
      <c r="X276" s="242">
        <v>5.5E-2</v>
      </c>
      <c r="Y276" s="242">
        <v>0</v>
      </c>
      <c r="Z276" s="242">
        <v>0.11600000000000001</v>
      </c>
      <c r="AA276" s="242">
        <v>0</v>
      </c>
      <c r="AB276" s="242">
        <v>8.9999999999999993E-3</v>
      </c>
      <c r="AC276" s="242">
        <v>2E-3</v>
      </c>
      <c r="AD276" s="242">
        <v>0</v>
      </c>
      <c r="AE276" s="243">
        <f t="shared" si="130"/>
        <v>0</v>
      </c>
    </row>
    <row r="277" spans="1:45">
      <c r="A277" s="240" t="s">
        <v>46</v>
      </c>
      <c r="B277" s="241">
        <f t="shared" si="131"/>
        <v>0</v>
      </c>
      <c r="C277" s="241">
        <f t="shared" si="131"/>
        <v>1.0810810810810813E-2</v>
      </c>
      <c r="D277" s="241">
        <f t="shared" si="131"/>
        <v>0</v>
      </c>
      <c r="E277" s="241">
        <f t="shared" si="131"/>
        <v>1.804032543332154</v>
      </c>
      <c r="F277" s="241">
        <f t="shared" si="131"/>
        <v>0.96448016593207142</v>
      </c>
      <c r="G277" s="241">
        <f t="shared" si="131"/>
        <v>2.4735476142942701</v>
      </c>
      <c r="H277" s="241">
        <f t="shared" si="131"/>
        <v>0</v>
      </c>
      <c r="I277" s="241">
        <f t="shared" si="131"/>
        <v>0</v>
      </c>
      <c r="J277" s="242">
        <v>2E-3</v>
      </c>
      <c r="K277" s="242">
        <v>3.0000000000000001E-3</v>
      </c>
      <c r="L277" s="242">
        <v>2E-3</v>
      </c>
      <c r="M277" s="242">
        <v>5.0000000000000001E-3</v>
      </c>
      <c r="N277" s="242">
        <v>0</v>
      </c>
      <c r="O277" s="242">
        <v>0</v>
      </c>
      <c r="P277" s="242">
        <v>1E-3</v>
      </c>
      <c r="Q277" s="242">
        <v>9.4E-2</v>
      </c>
      <c r="R277" s="242">
        <v>7.4999999999999997E-2</v>
      </c>
      <c r="S277" s="242">
        <v>7.8E-2</v>
      </c>
      <c r="T277" s="242">
        <v>0.16500000000000001</v>
      </c>
      <c r="U277" s="242">
        <v>7.8E-2</v>
      </c>
      <c r="V277" s="242">
        <v>0.121</v>
      </c>
      <c r="W277" s="242">
        <v>0.15</v>
      </c>
      <c r="X277" s="242">
        <v>7.0000000000000007E-2</v>
      </c>
      <c r="Y277" s="242">
        <v>0</v>
      </c>
      <c r="Z277" s="242">
        <v>4.7E-2</v>
      </c>
      <c r="AA277" s="242">
        <v>1.2E-2</v>
      </c>
      <c r="AB277" s="242">
        <v>6.0000000000000001E-3</v>
      </c>
      <c r="AC277" s="242">
        <v>2E-3</v>
      </c>
      <c r="AD277" s="441">
        <v>0.90500000000000003</v>
      </c>
      <c r="AE277" s="243">
        <f t="shared" si="130"/>
        <v>0</v>
      </c>
    </row>
    <row r="278" spans="1:45">
      <c r="A278" s="240" t="s">
        <v>235</v>
      </c>
      <c r="B278" s="241">
        <f t="shared" si="131"/>
        <v>0</v>
      </c>
      <c r="C278" s="241">
        <f t="shared" si="131"/>
        <v>1.5959459459459464</v>
      </c>
      <c r="D278" s="241">
        <f t="shared" si="131"/>
        <v>0</v>
      </c>
      <c r="E278" s="241">
        <f t="shared" si="131"/>
        <v>3.5868411743898125</v>
      </c>
      <c r="F278" s="241">
        <f t="shared" si="131"/>
        <v>1.7578428830697432</v>
      </c>
      <c r="G278" s="241">
        <f t="shared" si="131"/>
        <v>2.1800758634457971</v>
      </c>
      <c r="H278" s="241">
        <f t="shared" si="131"/>
        <v>0</v>
      </c>
      <c r="I278" s="241">
        <f t="shared" si="131"/>
        <v>0</v>
      </c>
      <c r="J278" s="242">
        <v>1.0999999999999999E-2</v>
      </c>
      <c r="K278" s="242">
        <v>6.0000000000000001E-3</v>
      </c>
      <c r="L278" s="242">
        <v>2E-3</v>
      </c>
      <c r="M278" s="242">
        <v>0.98399999999999999</v>
      </c>
      <c r="N278" s="242">
        <v>0</v>
      </c>
      <c r="O278" s="242">
        <v>0.19500000000000001</v>
      </c>
      <c r="P278" s="242">
        <v>0</v>
      </c>
      <c r="Q278" s="242">
        <v>6.8000000000000005E-2</v>
      </c>
      <c r="R278" s="242">
        <v>7.4999999999999997E-2</v>
      </c>
      <c r="S278" s="242">
        <v>0.114</v>
      </c>
      <c r="T278" s="242">
        <v>0.107</v>
      </c>
      <c r="U278" s="242">
        <v>0.112</v>
      </c>
      <c r="V278" s="242">
        <v>0.11600000000000001</v>
      </c>
      <c r="W278" s="242">
        <v>0.16500000000000001</v>
      </c>
      <c r="X278" s="242">
        <v>5.8999999999999997E-2</v>
      </c>
      <c r="Y278" s="242">
        <v>6.0000000000000001E-3</v>
      </c>
      <c r="Z278" s="242">
        <v>0</v>
      </c>
      <c r="AA278" s="242">
        <v>0</v>
      </c>
      <c r="AB278" s="242">
        <v>1E-3</v>
      </c>
      <c r="AC278" s="242">
        <v>1E-3</v>
      </c>
      <c r="AD278" s="441">
        <v>2.1000000000000001E-2</v>
      </c>
      <c r="AE278" s="243">
        <f t="shared" si="130"/>
        <v>0</v>
      </c>
    </row>
    <row r="279" spans="1:45">
      <c r="A279" s="240" t="s">
        <v>236</v>
      </c>
      <c r="B279" s="241">
        <f t="shared" si="131"/>
        <v>0</v>
      </c>
      <c r="C279" s="241">
        <f t="shared" si="131"/>
        <v>0.74864864864864888</v>
      </c>
      <c r="D279" s="241">
        <f t="shared" si="131"/>
        <v>0</v>
      </c>
      <c r="E279" s="241">
        <f t="shared" si="131"/>
        <v>7.576936681995047</v>
      </c>
      <c r="F279" s="241">
        <f t="shared" si="131"/>
        <v>3.1540057039149594</v>
      </c>
      <c r="G279" s="241">
        <f t="shared" si="131"/>
        <v>5.7197045318426829</v>
      </c>
      <c r="H279" s="241">
        <f t="shared" si="131"/>
        <v>0</v>
      </c>
      <c r="I279" s="241">
        <f t="shared" si="131"/>
        <v>0</v>
      </c>
      <c r="J279" s="242">
        <v>7.0000000000000001E-3</v>
      </c>
      <c r="K279" s="242">
        <v>2.4E-2</v>
      </c>
      <c r="L279" s="242">
        <v>0.02</v>
      </c>
      <c r="M279" s="242">
        <v>4.0000000000000001E-3</v>
      </c>
      <c r="N279" s="242">
        <v>0</v>
      </c>
      <c r="O279" s="242">
        <v>1E-3</v>
      </c>
      <c r="P279" s="242">
        <v>0.52900000000000003</v>
      </c>
      <c r="Q279" s="242">
        <v>0.09</v>
      </c>
      <c r="R279" s="242">
        <v>9.4E-2</v>
      </c>
      <c r="S279" s="242">
        <v>9.7000000000000003E-2</v>
      </c>
      <c r="T279" s="242">
        <v>0.14499999999999999</v>
      </c>
      <c r="U279" s="242">
        <v>0.14399999999999999</v>
      </c>
      <c r="V279" s="242">
        <v>0.112</v>
      </c>
      <c r="W279" s="242">
        <v>0.155</v>
      </c>
      <c r="X279" s="242">
        <v>2.1000000000000001E-2</v>
      </c>
      <c r="Y279" s="242">
        <v>0.01</v>
      </c>
      <c r="Z279" s="242">
        <v>0</v>
      </c>
      <c r="AA279" s="242">
        <v>0</v>
      </c>
      <c r="AB279" s="242">
        <v>2E-3</v>
      </c>
      <c r="AC279" s="242">
        <v>0</v>
      </c>
      <c r="AD279" s="441">
        <v>9.2999999999999999E-2</v>
      </c>
      <c r="AE279" s="243">
        <f t="shared" si="130"/>
        <v>0</v>
      </c>
    </row>
    <row r="280" spans="1:45">
      <c r="A280" s="240" t="s">
        <v>237</v>
      </c>
      <c r="B280" s="241">
        <f t="shared" si="131"/>
        <v>0</v>
      </c>
      <c r="C280" s="241">
        <f t="shared" si="131"/>
        <v>0.46081081081081088</v>
      </c>
      <c r="D280" s="241">
        <f t="shared" si="131"/>
        <v>0</v>
      </c>
      <c r="E280" s="241">
        <f t="shared" si="131"/>
        <v>5.4014856738592147</v>
      </c>
      <c r="F280" s="241">
        <f t="shared" si="131"/>
        <v>2.4112004148301787</v>
      </c>
      <c r="G280" s="241">
        <f t="shared" si="131"/>
        <v>4.4799361149930128</v>
      </c>
      <c r="H280" s="241">
        <f t="shared" si="131"/>
        <v>0</v>
      </c>
      <c r="I280" s="241">
        <f t="shared" si="131"/>
        <v>0</v>
      </c>
      <c r="J280" s="242">
        <v>0</v>
      </c>
      <c r="K280" s="242">
        <v>3.0000000000000001E-3</v>
      </c>
      <c r="L280" s="242">
        <v>0.01</v>
      </c>
      <c r="M280" s="242">
        <v>1.7999999999999999E-2</v>
      </c>
      <c r="N280" s="242">
        <v>3.0000000000000001E-3</v>
      </c>
      <c r="O280" s="242">
        <v>3.0000000000000001E-3</v>
      </c>
      <c r="P280" s="242">
        <v>0.307</v>
      </c>
      <c r="Q280" s="242">
        <v>0.107</v>
      </c>
      <c r="R280" s="242">
        <v>8.8999999999999996E-2</v>
      </c>
      <c r="S280" s="242">
        <v>0.114</v>
      </c>
      <c r="T280" s="242">
        <v>0.13100000000000001</v>
      </c>
      <c r="U280" s="242">
        <v>0.152</v>
      </c>
      <c r="V280" s="242">
        <v>0.13800000000000001</v>
      </c>
      <c r="W280" s="242">
        <v>0.13900000000000001</v>
      </c>
      <c r="X280" s="242">
        <v>0</v>
      </c>
      <c r="Y280" s="242">
        <v>2E-3</v>
      </c>
      <c r="Z280" s="242">
        <v>4.0000000000000001E-3</v>
      </c>
      <c r="AA280" s="242">
        <v>2E-3</v>
      </c>
      <c r="AB280" s="242">
        <v>0</v>
      </c>
      <c r="AC280" s="242">
        <v>0</v>
      </c>
      <c r="AD280" s="242">
        <v>0</v>
      </c>
      <c r="AE280" s="243">
        <f t="shared" si="130"/>
        <v>0</v>
      </c>
    </row>
    <row r="281" spans="1:45">
      <c r="A281" s="240" t="s">
        <v>238</v>
      </c>
      <c r="B281" s="241">
        <f t="shared" si="131"/>
        <v>0</v>
      </c>
      <c r="C281" s="241">
        <f t="shared" si="131"/>
        <v>0.10945945945945948</v>
      </c>
      <c r="D281" s="241">
        <f t="shared" si="131"/>
        <v>0</v>
      </c>
      <c r="E281" s="241">
        <f t="shared" si="131"/>
        <v>3.6292889989388044</v>
      </c>
      <c r="F281" s="241">
        <f t="shared" si="131"/>
        <v>1.5517241379310345</v>
      </c>
      <c r="G281" s="241">
        <f t="shared" si="131"/>
        <v>2.8329007785985225</v>
      </c>
      <c r="H281" s="241">
        <f t="shared" si="131"/>
        <v>0</v>
      </c>
      <c r="I281" s="241">
        <f t="shared" si="131"/>
        <v>0</v>
      </c>
      <c r="J281" s="242">
        <v>8.0000000000000002E-3</v>
      </c>
      <c r="K281" s="242">
        <v>4.0000000000000001E-3</v>
      </c>
      <c r="L281" s="242">
        <v>0</v>
      </c>
      <c r="M281" s="242">
        <v>5.0000000000000001E-3</v>
      </c>
      <c r="N281" s="242">
        <v>5.6000000000000001E-2</v>
      </c>
      <c r="O281" s="242">
        <v>0.02</v>
      </c>
      <c r="P281" s="242">
        <v>0</v>
      </c>
      <c r="Q281" s="242">
        <v>0.13500000000000001</v>
      </c>
      <c r="R281" s="242">
        <v>0.13100000000000001</v>
      </c>
      <c r="S281" s="242">
        <v>0.113</v>
      </c>
      <c r="T281" s="242">
        <v>9.4E-2</v>
      </c>
      <c r="U281" s="242">
        <v>0.14099999999999999</v>
      </c>
      <c r="V281" s="242">
        <v>0.16900000000000001</v>
      </c>
      <c r="W281" s="242">
        <v>0.16700000000000001</v>
      </c>
      <c r="X281" s="242">
        <v>1.7000000000000001E-2</v>
      </c>
      <c r="Y281" s="242">
        <v>0</v>
      </c>
      <c r="Z281" s="242">
        <v>0</v>
      </c>
      <c r="AA281" s="242">
        <v>1E-3</v>
      </c>
      <c r="AB281" s="242">
        <v>0</v>
      </c>
      <c r="AC281" s="242">
        <v>0</v>
      </c>
      <c r="AD281" s="243">
        <f>AD282-SUM(AD270:AD280)</f>
        <v>-0.92600000000000005</v>
      </c>
      <c r="AE281" s="243">
        <f>AE282-SUM(AE270:AE280)</f>
        <v>0</v>
      </c>
    </row>
    <row r="282" spans="1:45" ht="15.75" thickBot="1">
      <c r="A282" s="240" t="s">
        <v>242</v>
      </c>
      <c r="B282" s="245">
        <f t="shared" ref="B282:I282" si="132">B34</f>
        <v>0</v>
      </c>
      <c r="C282" s="245">
        <f t="shared" si="132"/>
        <v>5</v>
      </c>
      <c r="D282" s="245">
        <f t="shared" si="132"/>
        <v>0</v>
      </c>
      <c r="E282" s="245">
        <f t="shared" si="132"/>
        <v>30</v>
      </c>
      <c r="F282" s="245">
        <f t="shared" si="132"/>
        <v>15</v>
      </c>
      <c r="G282" s="245">
        <f t="shared" si="132"/>
        <v>30</v>
      </c>
      <c r="H282" s="245">
        <f t="shared" si="132"/>
        <v>0</v>
      </c>
      <c r="I282" s="245">
        <f t="shared" si="132"/>
        <v>0</v>
      </c>
      <c r="J282" s="245">
        <f t="shared" ref="J282:AB282" si="133">SUM(J270:J281)</f>
        <v>6.7000000000000004E-2</v>
      </c>
      <c r="K282" s="245">
        <f t="shared" si="133"/>
        <v>1.3039999999999998</v>
      </c>
      <c r="L282" s="245">
        <f t="shared" si="133"/>
        <v>0.13100000000000001</v>
      </c>
      <c r="M282" s="245">
        <f t="shared" si="133"/>
        <v>2.3129999999999993</v>
      </c>
      <c r="N282" s="245">
        <f t="shared" si="133"/>
        <v>0.11700000000000001</v>
      </c>
      <c r="O282" s="245">
        <f t="shared" si="133"/>
        <v>0.26600000000000001</v>
      </c>
      <c r="P282" s="245">
        <f t="shared" si="133"/>
        <v>0.873</v>
      </c>
      <c r="Q282" s="245">
        <f t="shared" si="133"/>
        <v>0.495</v>
      </c>
      <c r="R282" s="245">
        <f t="shared" si="133"/>
        <v>1.0760000000000001</v>
      </c>
      <c r="S282" s="245">
        <f t="shared" si="133"/>
        <v>1.147</v>
      </c>
      <c r="T282" s="245">
        <f t="shared" si="133"/>
        <v>1.4180000000000001</v>
      </c>
      <c r="U282" s="245">
        <f t="shared" si="133"/>
        <v>1.5099999999999998</v>
      </c>
      <c r="V282" s="245">
        <f t="shared" si="133"/>
        <v>1.4660000000000002</v>
      </c>
      <c r="W282" s="245">
        <f t="shared" si="133"/>
        <v>1.611</v>
      </c>
      <c r="X282" s="245">
        <f t="shared" si="133"/>
        <v>0.97199999999999998</v>
      </c>
      <c r="Y282" s="245">
        <f t="shared" si="133"/>
        <v>0.29499999999999998</v>
      </c>
      <c r="Z282" s="245">
        <f t="shared" si="133"/>
        <v>0.67800000000000005</v>
      </c>
      <c r="AA282" s="245">
        <f t="shared" si="133"/>
        <v>8.6000000000000007E-2</v>
      </c>
      <c r="AB282" s="245">
        <f t="shared" si="133"/>
        <v>0.115</v>
      </c>
      <c r="AC282" s="246">
        <f>SUM(AC270:AC281)</f>
        <v>6.2000000000000013E-2</v>
      </c>
      <c r="AD282" s="243">
        <f>AD34</f>
        <v>0.1</v>
      </c>
      <c r="AE282" s="243">
        <f>AE34</f>
        <v>0</v>
      </c>
    </row>
    <row r="283" spans="1:45">
      <c r="A283" s="248"/>
      <c r="B283" s="248"/>
      <c r="C283" s="248"/>
      <c r="E283" s="248"/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  <c r="AA283" s="248"/>
      <c r="AB283" s="248"/>
      <c r="AC283" s="248"/>
      <c r="AD283" s="248"/>
      <c r="AE283" s="248"/>
    </row>
    <row r="284" spans="1:45" ht="15.75" thickBot="1">
      <c r="A284" s="235" t="s">
        <v>267</v>
      </c>
      <c r="D284" s="271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  <c r="P284" s="264"/>
      <c r="Q284" s="264"/>
      <c r="R284" s="264"/>
      <c r="S284" s="264"/>
      <c r="AH284" s="360" t="s">
        <v>360</v>
      </c>
      <c r="AI284" s="360"/>
      <c r="AJ284" s="360"/>
      <c r="AP284" s="360" t="s">
        <v>361</v>
      </c>
      <c r="AQ284" s="360"/>
      <c r="AR284" s="360"/>
      <c r="AS284" s="360"/>
    </row>
    <row r="285" spans="1:45" ht="15.75" thickBot="1">
      <c r="A285" s="236"/>
      <c r="B285" s="237" t="str">
        <f>B$2</f>
        <v xml:space="preserve">93/94 </v>
      </c>
      <c r="C285" s="237" t="str">
        <f t="shared" ref="C285:AE285" si="134">C$2</f>
        <v xml:space="preserve">94/95 </v>
      </c>
      <c r="D285" s="237" t="str">
        <f t="shared" si="134"/>
        <v xml:space="preserve">95/96 </v>
      </c>
      <c r="E285" s="237" t="str">
        <f t="shared" si="134"/>
        <v xml:space="preserve">96/97 </v>
      </c>
      <c r="F285" s="237" t="str">
        <f t="shared" si="134"/>
        <v xml:space="preserve">97/98 </v>
      </c>
      <c r="G285" s="237" t="str">
        <f t="shared" si="134"/>
        <v xml:space="preserve">98/99 </v>
      </c>
      <c r="H285" s="237" t="str">
        <f t="shared" si="134"/>
        <v xml:space="preserve">99/00 </v>
      </c>
      <c r="I285" s="237" t="str">
        <f t="shared" si="134"/>
        <v xml:space="preserve">00/01 </v>
      </c>
      <c r="J285" s="237" t="str">
        <f t="shared" si="134"/>
        <v xml:space="preserve">01/02 </v>
      </c>
      <c r="K285" s="237" t="str">
        <f t="shared" si="134"/>
        <v xml:space="preserve">02/03 </v>
      </c>
      <c r="L285" s="237" t="str">
        <f t="shared" si="134"/>
        <v xml:space="preserve">03/04 </v>
      </c>
      <c r="M285" s="237" t="str">
        <f t="shared" si="134"/>
        <v xml:space="preserve">04/05 </v>
      </c>
      <c r="N285" s="237" t="str">
        <f t="shared" si="134"/>
        <v xml:space="preserve">05/06 </v>
      </c>
      <c r="O285" s="237" t="str">
        <f t="shared" si="134"/>
        <v xml:space="preserve">06/07 </v>
      </c>
      <c r="P285" s="237" t="str">
        <f t="shared" si="134"/>
        <v xml:space="preserve">07/08 </v>
      </c>
      <c r="Q285" s="237" t="str">
        <f t="shared" si="134"/>
        <v xml:space="preserve">08/09 </v>
      </c>
      <c r="R285" s="237" t="str">
        <f t="shared" si="134"/>
        <v xml:space="preserve">09/10 </v>
      </c>
      <c r="S285" s="237" t="str">
        <f t="shared" si="134"/>
        <v xml:space="preserve">10/11 </v>
      </c>
      <c r="T285" s="237" t="str">
        <f t="shared" si="134"/>
        <v xml:space="preserve">11/12 </v>
      </c>
      <c r="U285" s="237" t="str">
        <f t="shared" si="134"/>
        <v xml:space="preserve">12/13 </v>
      </c>
      <c r="V285" s="237" t="str">
        <f t="shared" si="134"/>
        <v xml:space="preserve">13/14 </v>
      </c>
      <c r="W285" s="237" t="str">
        <f t="shared" si="134"/>
        <v xml:space="preserve">14/15 </v>
      </c>
      <c r="X285" s="237" t="str">
        <f t="shared" si="134"/>
        <v xml:space="preserve">15/16 </v>
      </c>
      <c r="Y285" s="237" t="str">
        <f t="shared" si="134"/>
        <v xml:space="preserve">16/17 </v>
      </c>
      <c r="Z285" s="237" t="str">
        <f t="shared" si="134"/>
        <v xml:space="preserve">17/18 </v>
      </c>
      <c r="AA285" s="237" t="str">
        <f t="shared" si="134"/>
        <v xml:space="preserve">18/19 </v>
      </c>
      <c r="AB285" s="237" t="str">
        <f t="shared" si="134"/>
        <v xml:space="preserve">19/20 </v>
      </c>
      <c r="AC285" s="237" t="str">
        <f t="shared" si="134"/>
        <v xml:space="preserve">20/21 </v>
      </c>
      <c r="AD285" s="237" t="str">
        <f t="shared" si="134"/>
        <v>21/22</v>
      </c>
      <c r="AE285" s="237" t="str">
        <f t="shared" si="134"/>
        <v>22/23</v>
      </c>
      <c r="AF285" s="269"/>
      <c r="AH285" s="226" t="s">
        <v>342</v>
      </c>
      <c r="AI285" s="226">
        <v>2021</v>
      </c>
      <c r="AJ285" s="226">
        <v>2022</v>
      </c>
      <c r="AP285" t="s">
        <v>362</v>
      </c>
      <c r="AR285" t="s">
        <v>363</v>
      </c>
    </row>
    <row r="286" spans="1:45">
      <c r="A286" s="240" t="s">
        <v>239</v>
      </c>
      <c r="B286" s="251">
        <f>'[2]Ukraine Sun Oil Exports'!AG$290</f>
        <v>10.6</v>
      </c>
      <c r="C286" s="251">
        <f>'[2]Ukraine Sun Oil Exports'!AS$290</f>
        <v>17.7</v>
      </c>
      <c r="D286" s="251">
        <f>'[2]Ukraine Sun Oil Exports'!BF$290</f>
        <v>29.2</v>
      </c>
      <c r="E286" s="251">
        <f>'[2]Ukraine Sun Oil Exports'!BR$290</f>
        <v>26.4</v>
      </c>
      <c r="F286" s="146">
        <f>'[2]Ukraine Sun Oil Exports'!CC$290</f>
        <v>17.5</v>
      </c>
      <c r="G286" s="146">
        <f>'[2]Ukraine Sun Oil Exports'!CO$290</f>
        <v>15</v>
      </c>
      <c r="H286" s="146">
        <f>'[2]Ukraine Sun Oil Exports'!DA$290</f>
        <v>18.831002499999997</v>
      </c>
      <c r="I286" s="146">
        <f>'[2]Ukraine Sun Oil Exports'!DM$290</f>
        <v>56</v>
      </c>
      <c r="J286" s="146">
        <f>'[2]Ukraine Sun Oil Exports'!DY$290</f>
        <v>50.3</v>
      </c>
      <c r="K286" s="146">
        <f>'[2]Ukraine Sun Oil Exports'!EK$290</f>
        <v>85.304000000000002</v>
      </c>
      <c r="L286" s="146">
        <f>'[2]Ukraine Sun Oil Exports'!EW$290</f>
        <v>94.885000000000005</v>
      </c>
      <c r="M286" s="146">
        <f>'[2]Ukraine Sun Oil Exports'!FI$290</f>
        <v>54.412999999999997</v>
      </c>
      <c r="N286" s="146">
        <f>'[2]Ukraine Sun Oil Exports'!FU$290</f>
        <v>106.84399999999999</v>
      </c>
      <c r="O286" s="146">
        <f>'[2]Ukraine Sun Oil Exports'!GG$290</f>
        <v>114.271</v>
      </c>
      <c r="P286" s="146">
        <f>'[2]Ukraine Sun Oil Exports'!GS$290</f>
        <v>137.30500000000001</v>
      </c>
      <c r="Q286" s="146">
        <f>'[2]Ukraine Sun Oil Exports'!HE$290</f>
        <v>141.13999999999999</v>
      </c>
      <c r="R286" s="146">
        <f>'[2]Ukraine Sun Oil Exports'!HQ$290</f>
        <v>194.083</v>
      </c>
      <c r="S286" s="146">
        <f>'[2]Ukraine Sun Oil Exports'!IC$290</f>
        <v>219.69800000000001</v>
      </c>
      <c r="T286" s="146">
        <f>'[2]Ukraine Sun Oil Exports'!IO$290</f>
        <v>269.363</v>
      </c>
      <c r="U286" s="146">
        <f>'[2]Ukraine Sun Oil Exports'!JA$290</f>
        <v>376.88799999999998</v>
      </c>
      <c r="V286" s="146">
        <f>'[2]Ukraine Sun Oil Exports'!JM$290</f>
        <v>388.91500000000002</v>
      </c>
      <c r="W286" s="146">
        <f>'[2]Ukraine Sun Oil Exports'!JY$290</f>
        <v>383.82</v>
      </c>
      <c r="X286" s="146">
        <f>'[2]Ukraine Sun Oil Exports'!KK$290</f>
        <v>408.01799999999997</v>
      </c>
      <c r="Y286" s="146">
        <f>'[2]Ukraine Sun Oil Exports'!KW$290</f>
        <v>434.27600000000001</v>
      </c>
      <c r="Z286" s="146">
        <f>'[2]Ukraine Sun Oil Exports'!LI$290</f>
        <v>536.49101800000005</v>
      </c>
      <c r="AA286" s="146">
        <f>'[2]Ukraine Sun Oil Exports'!LU$290</f>
        <v>541.94789500000002</v>
      </c>
      <c r="AB286" s="146">
        <f>'[2]Ukraine Sun Oil Exports'!MG$290</f>
        <v>564.71206099999995</v>
      </c>
      <c r="AC286" s="146">
        <f>'[2]Ukraine Sun Oil Exports'!MS$290</f>
        <v>524.80828799999995</v>
      </c>
      <c r="AD286" s="146">
        <f>'[2]Ukraine Sun Oil Exports'!NE$290</f>
        <v>433.59</v>
      </c>
      <c r="AE286" s="253">
        <f t="shared" ref="AE286:AE296" si="135">(SUM(Y286:AC286)/SUM(Y$298:AC$298))*AE$298</f>
        <v>382.93485195409539</v>
      </c>
      <c r="AF286" s="146"/>
      <c r="AH286" s="226" t="s">
        <v>231</v>
      </c>
      <c r="AI286" s="226">
        <f>AC289*1000</f>
        <v>481530</v>
      </c>
      <c r="AJ286" s="226">
        <f>AD289*1000</f>
        <v>609952</v>
      </c>
      <c r="AR286">
        <v>472.113</v>
      </c>
      <c r="AS286" s="108">
        <f>AR286-AD286</f>
        <v>38.523000000000025</v>
      </c>
    </row>
    <row r="287" spans="1:45">
      <c r="A287" s="240" t="s">
        <v>240</v>
      </c>
      <c r="B287" s="251">
        <f>'[2]Ukraine Sun Oil Exports'!AH$290</f>
        <v>7.5</v>
      </c>
      <c r="C287" s="251">
        <f>'[2]Ukraine Sun Oil Exports'!AT$290</f>
        <v>24.1</v>
      </c>
      <c r="D287" s="251">
        <f>'[2]Ukraine Sun Oil Exports'!BG$290</f>
        <v>25.8</v>
      </c>
      <c r="E287" s="251">
        <f>'[2]Ukraine Sun Oil Exports'!BS$290</f>
        <v>28.1</v>
      </c>
      <c r="F287" s="146">
        <f>'[2]Ukraine Sun Oil Exports'!CD$290</f>
        <v>33.6</v>
      </c>
      <c r="G287" s="146">
        <f>'[2]Ukraine Sun Oil Exports'!CP$290</f>
        <v>15</v>
      </c>
      <c r="H287" s="146">
        <f>'[2]Ukraine Sun Oil Exports'!DB$290</f>
        <v>38.272650999999996</v>
      </c>
      <c r="I287" s="146">
        <f>'[2]Ukraine Sun Oil Exports'!DN$290</f>
        <v>75.099999999999994</v>
      </c>
      <c r="J287" s="146">
        <f>'[2]Ukraine Sun Oil Exports'!DZ$290</f>
        <v>47.669477000000001</v>
      </c>
      <c r="K287" s="146">
        <f>'[2]Ukraine Sun Oil Exports'!EL$290</f>
        <v>75.3</v>
      </c>
      <c r="L287" s="146">
        <f>'[2]Ukraine Sun Oil Exports'!EX$290</f>
        <v>82.816000000000003</v>
      </c>
      <c r="M287" s="146">
        <f>'[2]Ukraine Sun Oil Exports'!FJ$290</f>
        <v>47.856000000000002</v>
      </c>
      <c r="N287" s="146">
        <f>'[2]Ukraine Sun Oil Exports'!FV$290</f>
        <v>122.02</v>
      </c>
      <c r="O287" s="146">
        <f>'[2]Ukraine Sun Oil Exports'!GH$290</f>
        <v>149.25700000000001</v>
      </c>
      <c r="P287" s="146">
        <f>'[2]Ukraine Sun Oil Exports'!GT$290</f>
        <v>170.81399999999999</v>
      </c>
      <c r="Q287" s="146">
        <f>'[2]Ukraine Sun Oil Exports'!HF$290</f>
        <v>163.18100000000001</v>
      </c>
      <c r="R287" s="146">
        <f>'[2]Ukraine Sun Oil Exports'!HR$290</f>
        <v>181.01300000000001</v>
      </c>
      <c r="S287" s="146">
        <f>'[2]Ukraine Sun Oil Exports'!ID$290</f>
        <v>257.85700000000003</v>
      </c>
      <c r="T287" s="146">
        <f>'[2]Ukraine Sun Oil Exports'!IP$290</f>
        <v>295.84399999999999</v>
      </c>
      <c r="U287" s="146">
        <f>'[2]Ukraine Sun Oil Exports'!JB$290</f>
        <v>294.96800000000002</v>
      </c>
      <c r="V287" s="146">
        <f>'[2]Ukraine Sun Oil Exports'!JN$290</f>
        <v>349.87700000000001</v>
      </c>
      <c r="W287" s="146">
        <f>'[2]Ukraine Sun Oil Exports'!JZ$290</f>
        <v>383.24099999999999</v>
      </c>
      <c r="X287" s="146">
        <f>'[2]Ukraine Sun Oil Exports'!KL$290</f>
        <v>372.56599999999997</v>
      </c>
      <c r="Y287" s="146">
        <f>'[2]Ukraine Sun Oil Exports'!KX$290</f>
        <v>535.56700000000001</v>
      </c>
      <c r="Z287" s="146">
        <f>'[2]Ukraine Sun Oil Exports'!LJ$290</f>
        <v>455.57198499999998</v>
      </c>
      <c r="AA287" s="146">
        <f>'[2]Ukraine Sun Oil Exports'!LV$290</f>
        <v>574.68983400000002</v>
      </c>
      <c r="AB287" s="146">
        <f>'[2]Ukraine Sun Oil Exports'!MH$290</f>
        <v>627.29700400000002</v>
      </c>
      <c r="AC287" s="146">
        <f>'[2]Ukraine Sun Oil Exports'!MT$290</f>
        <v>756.06630500000006</v>
      </c>
      <c r="AD287" s="146">
        <f>'[2]Ukraine Sun Oil Exports'!NF$290</f>
        <v>638.76300000000003</v>
      </c>
      <c r="AE287" s="253">
        <f t="shared" si="135"/>
        <v>433.99167915812518</v>
      </c>
      <c r="AF287" s="146"/>
      <c r="AH287" s="226" t="s">
        <v>232</v>
      </c>
      <c r="AI287" s="226">
        <f t="shared" ref="AI287:AJ294" si="136">AC290*1000</f>
        <v>484361</v>
      </c>
      <c r="AJ287" s="226">
        <f t="shared" si="136"/>
        <v>419160</v>
      </c>
      <c r="AP287">
        <v>499.69099999999997</v>
      </c>
      <c r="AQ287" s="108">
        <f>AP287-AD287</f>
        <v>-139.07200000000006</v>
      </c>
      <c r="AR287">
        <v>492.99299999999999</v>
      </c>
      <c r="AS287" s="108">
        <f>AR287-AD287</f>
        <v>-145.77000000000004</v>
      </c>
    </row>
    <row r="288" spans="1:45">
      <c r="A288" s="240" t="s">
        <v>241</v>
      </c>
      <c r="B288" s="251">
        <f>'[2]Ukraine Sun Oil Exports'!AI$290</f>
        <v>13.7</v>
      </c>
      <c r="C288" s="251">
        <f>'[2]Ukraine Sun Oil Exports'!AU$290</f>
        <v>16.7</v>
      </c>
      <c r="D288" s="251">
        <f>'[2]Ukraine Sun Oil Exports'!BH$290</f>
        <v>29</v>
      </c>
      <c r="E288" s="251">
        <f>'[2]Ukraine Sun Oil Exports'!BT$290</f>
        <v>17.100000000000001</v>
      </c>
      <c r="F288" s="146">
        <f>'[2]Ukraine Sun Oil Exports'!CE$290</f>
        <v>43.6</v>
      </c>
      <c r="G288" s="146">
        <f>'[2]Ukraine Sun Oil Exports'!CQ$290</f>
        <v>46</v>
      </c>
      <c r="H288" s="146">
        <f>'[2]Ukraine Sun Oil Exports'!DC$290</f>
        <v>30.701353509999997</v>
      </c>
      <c r="I288" s="146">
        <f>'[2]Ukraine Sun Oil Exports'!DO$290</f>
        <v>90.4</v>
      </c>
      <c r="J288" s="146">
        <f>'[2]Ukraine Sun Oil Exports'!EA$290</f>
        <v>35.5119872</v>
      </c>
      <c r="K288" s="146">
        <f>'[2]Ukraine Sun Oil Exports'!EM$290</f>
        <v>93.031999999999996</v>
      </c>
      <c r="L288" s="146">
        <f>'[2]Ukraine Sun Oil Exports'!EY$290</f>
        <v>92.948999999999998</v>
      </c>
      <c r="M288" s="146">
        <f>'[2]Ukraine Sun Oil Exports'!FK$290</f>
        <v>65.724999999999994</v>
      </c>
      <c r="N288" s="146">
        <f>'[2]Ukraine Sun Oil Exports'!FW$290</f>
        <v>134.60400000000001</v>
      </c>
      <c r="O288" s="146">
        <f>'[2]Ukraine Sun Oil Exports'!GI$290</f>
        <v>142.53399999999999</v>
      </c>
      <c r="P288" s="146">
        <f>'[2]Ukraine Sun Oil Exports'!GU$290</f>
        <v>194.78100000000001</v>
      </c>
      <c r="Q288" s="146">
        <f>'[2]Ukraine Sun Oil Exports'!HG$290</f>
        <v>201.27</v>
      </c>
      <c r="R288" s="146">
        <f>'[2]Ukraine Sun Oil Exports'!HS$290</f>
        <v>269.11700000000002</v>
      </c>
      <c r="S288" s="146">
        <f>'[2]Ukraine Sun Oil Exports'!IE$290</f>
        <v>317.69400000000002</v>
      </c>
      <c r="T288" s="146">
        <f>'[2]Ukraine Sun Oil Exports'!IQ$290</f>
        <v>262.17200000000003</v>
      </c>
      <c r="U288" s="146">
        <f>'[2]Ukraine Sun Oil Exports'!JC$290</f>
        <v>309.56099999999998</v>
      </c>
      <c r="V288" s="146">
        <f>'[2]Ukraine Sun Oil Exports'!JO$290</f>
        <v>335.74799999999999</v>
      </c>
      <c r="W288" s="146">
        <f>'[2]Ukraine Sun Oil Exports'!KA$290</f>
        <v>327.02499999999998</v>
      </c>
      <c r="X288" s="146">
        <f>'[2]Ukraine Sun Oil Exports'!KM$290</f>
        <v>511.60300000000001</v>
      </c>
      <c r="Y288" s="146">
        <f>'[2]Ukraine Sun Oil Exports'!KY$290</f>
        <v>556.76</v>
      </c>
      <c r="Z288" s="146">
        <f>'[2]Ukraine Sun Oil Exports'!LK$290</f>
        <v>411.92444899999998</v>
      </c>
      <c r="AA288" s="146">
        <f>'[2]Ukraine Sun Oil Exports'!LW$290</f>
        <v>592.58125500000006</v>
      </c>
      <c r="AB288" s="146">
        <f>'[2]Ukraine Sun Oil Exports'!MI$290</f>
        <v>583.417914</v>
      </c>
      <c r="AC288" s="146">
        <f>'[2]Ukraine Sun Oil Exports'!MU$290</f>
        <v>593.51115300000004</v>
      </c>
      <c r="AD288" s="146">
        <f>'[2]Ukraine Sun Oil Exports'!NG$290</f>
        <v>689.88599999999997</v>
      </c>
      <c r="AE288" s="253">
        <f t="shared" si="135"/>
        <v>402.94212616597883</v>
      </c>
      <c r="AF288" s="146"/>
      <c r="AH288" s="226" t="s">
        <v>233</v>
      </c>
      <c r="AI288" s="226">
        <f t="shared" si="136"/>
        <v>380919</v>
      </c>
      <c r="AJ288" s="226">
        <f t="shared" si="136"/>
        <v>117768</v>
      </c>
      <c r="AP288">
        <v>628.28399999999999</v>
      </c>
      <c r="AQ288" s="108">
        <f t="shared" ref="AQ288:AQ289" si="137">AP288-AD288</f>
        <v>-61.601999999999975</v>
      </c>
      <c r="AR288">
        <v>631.02599999999995</v>
      </c>
      <c r="AS288" s="108">
        <f>AR288-AD288</f>
        <v>-58.860000000000014</v>
      </c>
    </row>
    <row r="289" spans="1:45">
      <c r="A289" s="240" t="s">
        <v>231</v>
      </c>
      <c r="B289" s="251">
        <f>'[2]Ukraine Sun Oil Exports'!AJ$290</f>
        <v>28.9</v>
      </c>
      <c r="C289" s="251">
        <f>'[2]Ukraine Sun Oil Exports'!AV$290</f>
        <v>10.9</v>
      </c>
      <c r="D289" s="251">
        <f>'[2]Ukraine Sun Oil Exports'!BI$290</f>
        <v>29</v>
      </c>
      <c r="E289" s="146">
        <f>'[2]Ukraine Sun Oil Exports'!BT$290</f>
        <v>17.100000000000001</v>
      </c>
      <c r="F289" s="146">
        <f>'[2]Ukraine Sun Oil Exports'!CF$290</f>
        <v>26</v>
      </c>
      <c r="G289" s="146">
        <f>'[2]Ukraine Sun Oil Exports'!CR$290</f>
        <v>15</v>
      </c>
      <c r="H289" s="146">
        <f>'[2]Ukraine Sun Oil Exports'!DD$290</f>
        <v>29.4</v>
      </c>
      <c r="I289" s="146">
        <f>'[2]Ukraine Sun Oil Exports'!DP$290</f>
        <v>61.1</v>
      </c>
      <c r="J289" s="146">
        <f>'[2]Ukraine Sun Oil Exports'!EB$290</f>
        <v>35.562013499999999</v>
      </c>
      <c r="K289" s="146">
        <f>'[2]Ukraine Sun Oil Exports'!EN$290</f>
        <v>76.394999999999996</v>
      </c>
      <c r="L289" s="146">
        <f>'[2]Ukraine Sun Oil Exports'!EZ$290</f>
        <v>67.051000000000002</v>
      </c>
      <c r="M289" s="146">
        <f>'[2]Ukraine Sun Oil Exports'!FL$290</f>
        <v>74.537000000000006</v>
      </c>
      <c r="N289" s="146">
        <f>'[2]Ukraine Sun Oil Exports'!FX$290</f>
        <v>125.322</v>
      </c>
      <c r="O289" s="146">
        <f>'[2]Ukraine Sun Oil Exports'!GJ$290</f>
        <v>147.88200000000001</v>
      </c>
      <c r="P289" s="146">
        <f>'[2]Ukraine Sun Oil Exports'!GV$290</f>
        <v>115.402</v>
      </c>
      <c r="Q289" s="146">
        <f>'[2]Ukraine Sun Oil Exports'!HH$290</f>
        <v>193.81200000000001</v>
      </c>
      <c r="R289" s="146">
        <f>'[2]Ukraine Sun Oil Exports'!HT$290</f>
        <v>156.26300000000001</v>
      </c>
      <c r="S289" s="146">
        <f>'[2]Ukraine Sun Oil Exports'!IF$290</f>
        <v>265.88900000000001</v>
      </c>
      <c r="T289" s="146">
        <f>'[2]Ukraine Sun Oil Exports'!IR$290</f>
        <v>249.78200000000001</v>
      </c>
      <c r="U289" s="146">
        <f>'[2]Ukraine Sun Oil Exports'!JD$290</f>
        <v>277.13200000000001</v>
      </c>
      <c r="V289" s="146">
        <f>'[2]Ukraine Sun Oil Exports'!JP$290</f>
        <v>293.55099999999999</v>
      </c>
      <c r="W289" s="146">
        <f>'[2]Ukraine Sun Oil Exports'!KB$290</f>
        <v>314.255</v>
      </c>
      <c r="X289" s="146">
        <f>'[2]Ukraine Sun Oil Exports'!KN$290</f>
        <v>348.10500000000002</v>
      </c>
      <c r="Y289" s="146">
        <f>'[2]Ukraine Sun Oil Exports'!KZ$290</f>
        <v>465.10500000000002</v>
      </c>
      <c r="Z289" s="146">
        <f>'[2]Ukraine Sun Oil Exports'!LL$290</f>
        <v>419.98776600000002</v>
      </c>
      <c r="AA289" s="146">
        <f>'[2]Ukraine Sun Oil Exports'!LX$290</f>
        <v>495.611041</v>
      </c>
      <c r="AB289" s="146">
        <f>'[2]Ukraine Sun Oil Exports'!MJ$290</f>
        <v>581.46817999999996</v>
      </c>
      <c r="AC289" s="146">
        <f>'[2]Ukraine Sun Oil Exports'!MV$290</f>
        <v>481.53</v>
      </c>
      <c r="AD289" s="146">
        <f>'[2]Ukraine Sun Oil Exports'!NH$290</f>
        <v>609.952</v>
      </c>
      <c r="AE289" s="253">
        <f t="shared" si="135"/>
        <v>359.6057098590548</v>
      </c>
      <c r="AF289" s="146"/>
      <c r="AH289" s="226" t="s">
        <v>234</v>
      </c>
      <c r="AI289" s="226">
        <f t="shared" si="136"/>
        <v>391109</v>
      </c>
      <c r="AJ289" s="226">
        <f t="shared" si="136"/>
        <v>151199</v>
      </c>
      <c r="AL289" s="253"/>
      <c r="AM289" s="253"/>
      <c r="AP289">
        <v>564.32299999999998</v>
      </c>
      <c r="AQ289" s="108">
        <f t="shared" si="137"/>
        <v>-45.629000000000019</v>
      </c>
      <c r="AR289">
        <v>479.64</v>
      </c>
      <c r="AS289" s="108">
        <f>AR289-AD289</f>
        <v>-130.31200000000001</v>
      </c>
    </row>
    <row r="290" spans="1:45">
      <c r="A290" s="240" t="s">
        <v>232</v>
      </c>
      <c r="B290" s="251">
        <f>'[2]Ukraine Sun Oil Exports'!AK$290</f>
        <v>12.2</v>
      </c>
      <c r="C290" s="251">
        <f>'[2]Ukraine Sun Oil Exports'!AW$290</f>
        <v>10.7</v>
      </c>
      <c r="D290" s="251">
        <f>'[2]Ukraine Sun Oil Exports'!BJ$290</f>
        <v>26</v>
      </c>
      <c r="E290" s="146">
        <f>'[2]Ukraine Sun Oil Exports'!BU$290</f>
        <v>23.9</v>
      </c>
      <c r="F290" s="146">
        <f>'[2]Ukraine Sun Oil Exports'!CG$290</f>
        <v>18.2</v>
      </c>
      <c r="G290" s="146">
        <f>'[2]Ukraine Sun Oil Exports'!CS$290</f>
        <v>15</v>
      </c>
      <c r="H290" s="146">
        <f>'[2]Ukraine Sun Oil Exports'!DE$290</f>
        <v>50.3</v>
      </c>
      <c r="I290" s="146">
        <f>'[2]Ukraine Sun Oil Exports'!DQ$290</f>
        <v>63.5</v>
      </c>
      <c r="J290" s="146">
        <f>'[2]Ukraine Sun Oil Exports'!EC$290</f>
        <v>27.251011500000001</v>
      </c>
      <c r="K290" s="146">
        <f>'[2]Ukraine Sun Oil Exports'!EO$290</f>
        <v>69.561999999999998</v>
      </c>
      <c r="L290" s="146">
        <f>'[2]Ukraine Sun Oil Exports'!FA$290</f>
        <v>67.221999999999994</v>
      </c>
      <c r="M290" s="146">
        <f>'[2]Ukraine Sun Oil Exports'!FM$290</f>
        <v>46.591000000000001</v>
      </c>
      <c r="N290" s="146">
        <f>'[2]Ukraine Sun Oil Exports'!FY$290</f>
        <v>132.30000000000001</v>
      </c>
      <c r="O290" s="146">
        <f>'[2]Ukraine Sun Oil Exports'!GK$290</f>
        <v>170.99299999999999</v>
      </c>
      <c r="P290" s="146">
        <f>'[2]Ukraine Sun Oil Exports'!GW$290</f>
        <v>177.71600000000001</v>
      </c>
      <c r="Q290" s="146">
        <f>'[2]Ukraine Sun Oil Exports'!HI$290</f>
        <v>159.38200000000001</v>
      </c>
      <c r="R290" s="146">
        <f>'[2]Ukraine Sun Oil Exports'!HU$290</f>
        <v>216.43100000000001</v>
      </c>
      <c r="S290" s="146">
        <f>'[2]Ukraine Sun Oil Exports'!IG$290</f>
        <v>199.3</v>
      </c>
      <c r="T290" s="146">
        <f>'[2]Ukraine Sun Oil Exports'!IS$290</f>
        <v>258.50700000000001</v>
      </c>
      <c r="U290" s="146">
        <f>'[2]Ukraine Sun Oil Exports'!JE$290</f>
        <v>281.84100000000001</v>
      </c>
      <c r="V290" s="146">
        <f>'[2]Ukraine Sun Oil Exports'!JQ$290</f>
        <v>266.25599999999997</v>
      </c>
      <c r="W290" s="146">
        <f>'[2]Ukraine Sun Oil Exports'!KC$290</f>
        <v>315.12400000000002</v>
      </c>
      <c r="X290" s="146">
        <f>'[2]Ukraine Sun Oil Exports'!KO$290</f>
        <v>392.84</v>
      </c>
      <c r="Y290" s="146">
        <f>'[2]Ukraine Sun Oil Exports'!LA$290</f>
        <v>441.65499999999997</v>
      </c>
      <c r="Z290" s="146">
        <f>'[2]Ukraine Sun Oil Exports'!LM$290</f>
        <v>431.85909800000002</v>
      </c>
      <c r="AA290" s="146">
        <f>'[2]Ukraine Sun Oil Exports'!LY$290</f>
        <v>560.73932500000001</v>
      </c>
      <c r="AB290" s="146">
        <f>'[2]Ukraine Sun Oil Exports'!MK$290</f>
        <v>627.29554299999995</v>
      </c>
      <c r="AC290" s="146">
        <f>'[2]Ukraine Sun Oil Exports'!MW$290</f>
        <v>484.36099999999999</v>
      </c>
      <c r="AD290" s="146">
        <f>'[2]Ukraine Sun Oil Exports'!NI$290</f>
        <v>419.16</v>
      </c>
      <c r="AE290" s="253">
        <f t="shared" si="135"/>
        <v>374.64623977517454</v>
      </c>
      <c r="AF290" s="146"/>
      <c r="AG290">
        <v>553.8672170932565</v>
      </c>
      <c r="AH290" s="226" t="s">
        <v>46</v>
      </c>
      <c r="AI290" s="226">
        <f t="shared" si="136"/>
        <v>502384</v>
      </c>
      <c r="AJ290" s="226">
        <f t="shared" si="136"/>
        <v>190191</v>
      </c>
      <c r="AL290" s="253"/>
      <c r="AM290" s="253"/>
      <c r="AN290" s="108">
        <f>AG290-AD290</f>
        <v>134.70721709325647</v>
      </c>
    </row>
    <row r="291" spans="1:45">
      <c r="A291" s="240" t="s">
        <v>233</v>
      </c>
      <c r="B291" s="251">
        <f>'[2]Ukraine Sun Oil Exports'!AL$290</f>
        <v>17.2</v>
      </c>
      <c r="C291" s="251">
        <f>'[2]Ukraine Sun Oil Exports'!AX$290</f>
        <v>17.399999999999999</v>
      </c>
      <c r="D291" s="251">
        <f>'[2]Ukraine Sun Oil Exports'!BK$290</f>
        <v>19</v>
      </c>
      <c r="E291" s="146">
        <f>'[2]Ukraine Sun Oil Exports'!BV$290</f>
        <v>14.9</v>
      </c>
      <c r="F291" s="146">
        <f>'[2]Ukraine Sun Oil Exports'!CH$290</f>
        <v>13.4</v>
      </c>
      <c r="G291" s="146">
        <f>'[2]Ukraine Sun Oil Exports'!CT$290</f>
        <v>15</v>
      </c>
      <c r="H291" s="146">
        <f>'[2]Ukraine Sun Oil Exports'!DF$290</f>
        <v>36.200000000000003</v>
      </c>
      <c r="I291" s="146">
        <f>'[2]Ukraine Sun Oil Exports'!DR$290</f>
        <v>51.4</v>
      </c>
      <c r="J291" s="146">
        <f>'[2]Ukraine Sun Oil Exports'!ED$290</f>
        <v>49.874612649999996</v>
      </c>
      <c r="K291" s="146">
        <f>'[2]Ukraine Sun Oil Exports'!EP$290</f>
        <v>97.436000000000007</v>
      </c>
      <c r="L291" s="146">
        <f>'[2]Ukraine Sun Oil Exports'!FB$290</f>
        <v>105.078</v>
      </c>
      <c r="M291" s="146">
        <f>'[2]Ukraine Sun Oil Exports'!FN$290</f>
        <v>60.488</v>
      </c>
      <c r="N291" s="146">
        <f>'[2]Ukraine Sun Oil Exports'!FZ$290</f>
        <v>163.93299999999999</v>
      </c>
      <c r="O291" s="146">
        <f>'[2]Ukraine Sun Oil Exports'!GL$290</f>
        <v>192.965</v>
      </c>
      <c r="P291" s="146">
        <f>'[2]Ukraine Sun Oil Exports'!GX$290</f>
        <v>115.15900000000001</v>
      </c>
      <c r="Q291" s="146">
        <f>'[2]Ukraine Sun Oil Exports'!HJ$290</f>
        <v>202.91</v>
      </c>
      <c r="R291" s="146">
        <f>'[2]Ukraine Sun Oil Exports'!HV$290</f>
        <v>198.571</v>
      </c>
      <c r="S291" s="146">
        <f>'[2]Ukraine Sun Oil Exports'!IH$290</f>
        <v>310.226</v>
      </c>
      <c r="T291" s="146">
        <f>'[2]Ukraine Sun Oil Exports'!IT$290</f>
        <v>283.44400000000002</v>
      </c>
      <c r="U291" s="146">
        <f>'[2]Ukraine Sun Oil Exports'!JF$290</f>
        <v>230.02099999999999</v>
      </c>
      <c r="V291" s="146">
        <f>'[2]Ukraine Sun Oil Exports'!JR$290</f>
        <v>377.97399999999999</v>
      </c>
      <c r="W291" s="146">
        <f>'[2]Ukraine Sun Oil Exports'!KD$290</f>
        <v>402.29</v>
      </c>
      <c r="X291" s="146">
        <f>'[2]Ukraine Sun Oil Exports'!KP$290</f>
        <v>429.41699999999997</v>
      </c>
      <c r="Y291" s="146">
        <f>'[2]Ukraine Sun Oil Exports'!LB$290</f>
        <v>683.72699999999998</v>
      </c>
      <c r="Z291" s="146">
        <f>'[2]Ukraine Sun Oil Exports'!LN$290</f>
        <v>561.99392799999998</v>
      </c>
      <c r="AA291" s="146">
        <f>'[2]Ukraine Sun Oil Exports'!LZ$290</f>
        <v>632.04292699999996</v>
      </c>
      <c r="AB291" s="146">
        <f>'[2]Ukraine Sun Oil Exports'!ML$290</f>
        <v>608.09788900000001</v>
      </c>
      <c r="AC291" s="146">
        <f>'[2]Ukraine Sun Oil Exports'!MX$290</f>
        <v>380.91899999999998</v>
      </c>
      <c r="AD291" s="146">
        <f>'[2]Ukraine Sun Oil Exports'!NJ$290</f>
        <v>117.768</v>
      </c>
      <c r="AE291" s="253">
        <f t="shared" si="135"/>
        <v>421.86433940825265</v>
      </c>
      <c r="AF291" s="146"/>
      <c r="AG291">
        <v>657.87344522734656</v>
      </c>
      <c r="AH291" s="226" t="s">
        <v>235</v>
      </c>
      <c r="AI291" s="226">
        <f t="shared" si="136"/>
        <v>325024</v>
      </c>
      <c r="AJ291" s="201">
        <f t="shared" si="136"/>
        <v>279443</v>
      </c>
      <c r="AL291" s="253"/>
      <c r="AM291" s="253"/>
      <c r="AN291" s="108">
        <f t="shared" ref="AN291:AN296" si="138">AG291-AD291</f>
        <v>540.10544522734654</v>
      </c>
    </row>
    <row r="292" spans="1:45">
      <c r="A292" s="240" t="s">
        <v>234</v>
      </c>
      <c r="B292" s="251">
        <f>'[2]Ukraine Sun Oil Exports'!AM$290</f>
        <v>24.3</v>
      </c>
      <c r="C292" s="251">
        <f>'[2]Ukraine Sun Oil Exports'!AY$290</f>
        <v>8</v>
      </c>
      <c r="D292" s="251">
        <f>'[2]Ukraine Sun Oil Exports'!BL$290</f>
        <v>20.7</v>
      </c>
      <c r="E292" s="146">
        <f>'[2]Ukraine Sun Oil Exports'!BW$290</f>
        <v>14.4</v>
      </c>
      <c r="F292" s="146">
        <f>'[2]Ukraine Sun Oil Exports'!CI$290</f>
        <v>2.2999999999999998</v>
      </c>
      <c r="G292" s="146">
        <f>'[2]Ukraine Sun Oil Exports'!CU$290</f>
        <v>15</v>
      </c>
      <c r="H292" s="146">
        <f>'[2]Ukraine Sun Oil Exports'!DG$290</f>
        <v>30.6</v>
      </c>
      <c r="I292" s="146">
        <f>'[2]Ukraine Sun Oil Exports'!DS$290</f>
        <v>28.1</v>
      </c>
      <c r="J292" s="146">
        <f>'[2]Ukraine Sun Oil Exports'!EE$290</f>
        <v>41.326000000000001</v>
      </c>
      <c r="K292" s="146">
        <f>'[2]Ukraine Sun Oil Exports'!EQ$290</f>
        <v>100.86</v>
      </c>
      <c r="L292" s="146">
        <f>'[2]Ukraine Sun Oil Exports'!FC$290</f>
        <v>102.76900000000001</v>
      </c>
      <c r="M292" s="146">
        <f>'[2]Ukraine Sun Oil Exports'!FO$290</f>
        <v>61.981999999999999</v>
      </c>
      <c r="N292" s="146">
        <f>'[2]Ukraine Sun Oil Exports'!GA$290</f>
        <v>139.684</v>
      </c>
      <c r="O292" s="146">
        <f>'[2]Ukraine Sun Oil Exports'!GM$290</f>
        <v>186.655</v>
      </c>
      <c r="P292" s="146">
        <f>'[2]Ukraine Sun Oil Exports'!GY$290</f>
        <v>14.031000000000001</v>
      </c>
      <c r="Q292" s="146">
        <f>'[2]Ukraine Sun Oil Exports'!HK$290</f>
        <v>178.48099999999999</v>
      </c>
      <c r="R292" s="146">
        <f>'[2]Ukraine Sun Oil Exports'!HW$290</f>
        <v>263.15199999999999</v>
      </c>
      <c r="S292" s="146">
        <f>'[2]Ukraine Sun Oil Exports'!II$290</f>
        <v>205.798</v>
      </c>
      <c r="T292" s="146">
        <f>'[2]Ukraine Sun Oil Exports'!IU$290</f>
        <v>342.995</v>
      </c>
      <c r="U292" s="146">
        <f>'[2]Ukraine Sun Oil Exports'!JG$290</f>
        <v>205.83199999999999</v>
      </c>
      <c r="V292" s="146">
        <f>'[2]Ukraine Sun Oil Exports'!JS$290</f>
        <v>483.06099999999998</v>
      </c>
      <c r="W292" s="146">
        <f>'[2]Ukraine Sun Oil Exports'!KE$290</f>
        <v>326.58499999999998</v>
      </c>
      <c r="X292" s="146">
        <f>'[2]Ukraine Sun Oil Exports'!KQ$290</f>
        <v>418.00700000000001</v>
      </c>
      <c r="Y292" s="146">
        <f>'[2]Ukraine Sun Oil Exports'!LC$290</f>
        <v>575.14599999999996</v>
      </c>
      <c r="Z292" s="146">
        <f>'[2]Ukraine Sun Oil Exports'!LO$290</f>
        <v>582.19029999999998</v>
      </c>
      <c r="AA292" s="146">
        <f>'[2]Ukraine Sun Oil Exports'!MA$290</f>
        <v>499.44492700000001</v>
      </c>
      <c r="AB292" s="146">
        <f>'[2]Ukraine Sun Oil Exports'!MM$290</f>
        <v>716.83196299999997</v>
      </c>
      <c r="AC292" s="146">
        <f>'[2]Ukraine Sun Oil Exports'!MY$290</f>
        <v>391.10899999999998</v>
      </c>
      <c r="AD292" s="146">
        <f>'[2]Ukraine Sun Oil Exports'!NK$290</f>
        <v>151.19900000000001</v>
      </c>
      <c r="AE292" s="253">
        <f t="shared" si="135"/>
        <v>406.84579829579314</v>
      </c>
      <c r="AF292" s="146"/>
      <c r="AG292">
        <v>629.96816202955836</v>
      </c>
      <c r="AH292" s="226" t="s">
        <v>236</v>
      </c>
      <c r="AI292" s="226">
        <f t="shared" si="136"/>
        <v>328004</v>
      </c>
      <c r="AJ292" s="201">
        <f t="shared" si="136"/>
        <v>277752</v>
      </c>
      <c r="AL292" s="253"/>
      <c r="AM292" s="253"/>
      <c r="AN292" s="108">
        <f t="shared" si="138"/>
        <v>478.76916202955834</v>
      </c>
    </row>
    <row r="293" spans="1:45">
      <c r="A293" s="240" t="s">
        <v>46</v>
      </c>
      <c r="B293" s="251">
        <f>'[2]Ukraine Sun Oil Exports'!AN$290</f>
        <v>18.600000000000001</v>
      </c>
      <c r="C293" s="251">
        <f>'[2]Ukraine Sun Oil Exports'!AZ$290</f>
        <v>15.1</v>
      </c>
      <c r="D293" s="251">
        <f>'[2]Ukraine Sun Oil Exports'!BM$290</f>
        <v>24.7</v>
      </c>
      <c r="E293" s="146">
        <f>'[2]Ukraine Sun Oil Exports'!BX$290</f>
        <v>10.7</v>
      </c>
      <c r="F293" s="146">
        <f>'[2]Ukraine Sun Oil Exports'!CJ$290</f>
        <v>2.9</v>
      </c>
      <c r="G293" s="146">
        <f>'[2]Ukraine Sun Oil Exports'!CV$290</f>
        <v>8</v>
      </c>
      <c r="H293" s="146">
        <f>'[2]Ukraine Sun Oil Exports'!DH$290</f>
        <v>28.5</v>
      </c>
      <c r="I293" s="146">
        <f>'[2]Ukraine Sun Oil Exports'!DT$290</f>
        <v>22.1</v>
      </c>
      <c r="J293" s="146">
        <f>'[2]Ukraine Sun Oil Exports'!EF$290</f>
        <v>33.131</v>
      </c>
      <c r="K293" s="146">
        <f>'[2]Ukraine Sun Oil Exports'!ER$290</f>
        <v>94.347999999999999</v>
      </c>
      <c r="L293" s="146">
        <f>'[2]Ukraine Sun Oil Exports'!FD$290</f>
        <v>69.835999999999999</v>
      </c>
      <c r="M293" s="146">
        <f>'[2]Ukraine Sun Oil Exports'!FP$290</f>
        <v>50.91</v>
      </c>
      <c r="N293" s="146">
        <f>'[2]Ukraine Sun Oil Exports'!GB$290</f>
        <v>166.666</v>
      </c>
      <c r="O293" s="146">
        <f>'[2]Ukraine Sun Oil Exports'!GN$290</f>
        <v>197.642</v>
      </c>
      <c r="P293" s="146">
        <f>'[2]Ukraine Sun Oil Exports'!GZ$290</f>
        <v>56.164999999999999</v>
      </c>
      <c r="Q293" s="146">
        <f>'[2]Ukraine Sun Oil Exports'!HL$290</f>
        <v>228.85300000000001</v>
      </c>
      <c r="R293" s="146">
        <f>'[2]Ukraine Sun Oil Exports'!HX$290</f>
        <v>235.53399999999999</v>
      </c>
      <c r="S293" s="146">
        <f>'[2]Ukraine Sun Oil Exports'!IJ$290</f>
        <v>273.73399999999998</v>
      </c>
      <c r="T293" s="146">
        <f>'[2]Ukraine Sun Oil Exports'!IV$290</f>
        <v>349.202</v>
      </c>
      <c r="U293" s="146">
        <f>'[2]Ukraine Sun Oil Exports'!JH$290</f>
        <v>298.98500000000001</v>
      </c>
      <c r="V293" s="146">
        <f>'[2]Ukraine Sun Oil Exports'!JT$290</f>
        <v>510.57</v>
      </c>
      <c r="W293" s="146">
        <f>'[2]Ukraine Sun Oil Exports'!KF$290</f>
        <v>265.036</v>
      </c>
      <c r="X293" s="146">
        <f>'[2]Ukraine Sun Oil Exports'!KR$290</f>
        <v>384.06900000000002</v>
      </c>
      <c r="Y293" s="146">
        <f>'[2]Ukraine Sun Oil Exports'!LD$290</f>
        <v>473.55099999999999</v>
      </c>
      <c r="Z293" s="146">
        <f>'[2]Ukraine Sun Oil Exports'!LP$290</f>
        <v>439.99590599999999</v>
      </c>
      <c r="AA293" s="146">
        <f>'[2]Ukraine Sun Oil Exports'!MB$290</f>
        <v>585.67283299999997</v>
      </c>
      <c r="AB293" s="146">
        <f>'[2]Ukraine Sun Oil Exports'!MN$290</f>
        <v>639.42643599999997</v>
      </c>
      <c r="AC293" s="146">
        <f>'[2]Ukraine Sun Oil Exports'!MZ$290</f>
        <v>502.38400000000001</v>
      </c>
      <c r="AD293" s="146">
        <f>'[2]Ukraine Sun Oil Exports'!NL$290</f>
        <v>190.191</v>
      </c>
      <c r="AE293" s="253">
        <f t="shared" si="135"/>
        <v>388.64376093829276</v>
      </c>
      <c r="AF293" s="146"/>
      <c r="AG293">
        <v>569.28598231653632</v>
      </c>
      <c r="AH293" s="226" t="s">
        <v>237</v>
      </c>
      <c r="AI293" s="226">
        <f t="shared" si="136"/>
        <v>201812</v>
      </c>
      <c r="AJ293" s="201">
        <f t="shared" si="136"/>
        <v>365476</v>
      </c>
      <c r="AL293" s="253"/>
      <c r="AM293" s="253"/>
      <c r="AN293" s="108">
        <f t="shared" si="138"/>
        <v>379.09498231653629</v>
      </c>
    </row>
    <row r="294" spans="1:45">
      <c r="A294" s="240" t="s">
        <v>235</v>
      </c>
      <c r="B294" s="251">
        <f>'[2]Ukraine Sun Oil Exports'!AO$290</f>
        <v>17.8</v>
      </c>
      <c r="C294" s="251">
        <f>'[2]Ukraine Sun Oil Exports'!BA$290</f>
        <v>12.9</v>
      </c>
      <c r="D294" s="251">
        <f>'[2]Ukraine Sun Oil Exports'!BN$290</f>
        <v>10.7</v>
      </c>
      <c r="E294" s="146">
        <f>'[2]Ukraine Sun Oil Exports'!BY$290</f>
        <v>5.9</v>
      </c>
      <c r="F294" s="146">
        <f>'[2]Ukraine Sun Oil Exports'!CK$290</f>
        <v>2.5</v>
      </c>
      <c r="G294" s="146">
        <f>'[2]Ukraine Sun Oil Exports'!CW$290</f>
        <v>15</v>
      </c>
      <c r="H294" s="146">
        <f>'[2]Ukraine Sun Oil Exports'!DI$290</f>
        <v>51.3</v>
      </c>
      <c r="I294" s="146">
        <f>'[2]Ukraine Sun Oil Exports'!DU$290</f>
        <v>37.799999999999997</v>
      </c>
      <c r="J294" s="146">
        <f>'[2]Ukraine Sun Oil Exports'!EG$290</f>
        <v>29.664999999999999</v>
      </c>
      <c r="K294" s="146">
        <f>'[2]Ukraine Sun Oil Exports'!ES$290</f>
        <v>76.277000000000001</v>
      </c>
      <c r="L294" s="146">
        <f>'[2]Ukraine Sun Oil Exports'!FE$290</f>
        <v>106.31</v>
      </c>
      <c r="M294" s="146">
        <f>'[2]Ukraine Sun Oil Exports'!FQ$290</f>
        <v>68.117000000000004</v>
      </c>
      <c r="N294" s="146">
        <f>'[2]Ukraine Sun Oil Exports'!GC$290</f>
        <v>163.964</v>
      </c>
      <c r="O294" s="146">
        <f>'[2]Ukraine Sun Oil Exports'!GO$290</f>
        <v>199.5</v>
      </c>
      <c r="P294" s="146">
        <f>'[2]Ukraine Sun Oil Exports'!HA$290</f>
        <v>95.971999999999994</v>
      </c>
      <c r="Q294" s="146">
        <f>'[2]Ukraine Sun Oil Exports'!HM$290</f>
        <v>208.54499999999999</v>
      </c>
      <c r="R294" s="146">
        <f>'[2]Ukraine Sun Oil Exports'!HY$290</f>
        <v>277.29300000000001</v>
      </c>
      <c r="S294" s="146">
        <f>'[2]Ukraine Sun Oil Exports'!IK$290</f>
        <v>216.61500000000001</v>
      </c>
      <c r="T294" s="146">
        <f>'[2]Ukraine Sun Oil Exports'!IW$290</f>
        <v>285.435</v>
      </c>
      <c r="U294" s="146">
        <f>'[2]Ukraine Sun Oil Exports'!JI$290</f>
        <v>284.55900000000003</v>
      </c>
      <c r="V294" s="146">
        <f>'[2]Ukraine Sun Oil Exports'!JU$290</f>
        <v>379.92399999999998</v>
      </c>
      <c r="W294" s="146">
        <f>'[2]Ukraine Sun Oil Exports'!KG$290</f>
        <v>348.43299999999999</v>
      </c>
      <c r="X294" s="146">
        <f>'[2]Ukraine Sun Oil Exports'!KS$290</f>
        <v>444.43900000000002</v>
      </c>
      <c r="Y294" s="146">
        <f>'[2]Ukraine Sun Oil Exports'!LE$290</f>
        <v>509.02368100000001</v>
      </c>
      <c r="Z294" s="146">
        <f>'[2]Ukraine Sun Oil Exports'!LQ$290</f>
        <v>435.64423399999998</v>
      </c>
      <c r="AA294" s="146">
        <f>'[2]Ukraine Sun Oil Exports'!MC$290</f>
        <v>466.907061</v>
      </c>
      <c r="AB294" s="146">
        <f>'[2]Ukraine Sun Oil Exports'!MO$290</f>
        <v>587.80798900000002</v>
      </c>
      <c r="AC294" s="146">
        <f>'[2]Ukraine Sun Oil Exports'!NA$290</f>
        <v>325.024</v>
      </c>
      <c r="AD294" s="146">
        <f>'[2]Ukraine Sun Oil Exports'!NM$290</f>
        <v>279.44299999999998</v>
      </c>
      <c r="AE294" s="253">
        <f t="shared" si="135"/>
        <v>342.05071694372538</v>
      </c>
      <c r="AF294" s="146"/>
      <c r="AG294">
        <v>551.48262544214992</v>
      </c>
      <c r="AH294" s="226" t="s">
        <v>238</v>
      </c>
      <c r="AI294" s="226">
        <f t="shared" si="136"/>
        <v>277054</v>
      </c>
      <c r="AJ294" s="201">
        <f t="shared" si="136"/>
        <v>226820.00000000061</v>
      </c>
      <c r="AL294" s="253"/>
      <c r="AM294" s="253"/>
      <c r="AN294" s="108">
        <f t="shared" si="138"/>
        <v>272.03962544214994</v>
      </c>
    </row>
    <row r="295" spans="1:45">
      <c r="A295" s="240" t="s">
        <v>236</v>
      </c>
      <c r="B295" s="251">
        <f>'[2]Ukraine Sun Oil Exports'!AP$290</f>
        <v>17.100000000000001</v>
      </c>
      <c r="C295" s="251">
        <f>'[2]Ukraine Sun Oil Exports'!BB$290</f>
        <v>13.5</v>
      </c>
      <c r="D295" s="251">
        <f>'[2]Ukraine Sun Oil Exports'!BO$290</f>
        <v>22.8</v>
      </c>
      <c r="E295" s="146">
        <f>'[2]Ukraine Sun Oil Exports'!BZ$290</f>
        <v>1.9</v>
      </c>
      <c r="F295" s="146">
        <f>'[2]Ukraine Sun Oil Exports'!CL$290</f>
        <v>6.4</v>
      </c>
      <c r="G295" s="146">
        <f>'[2]Ukraine Sun Oil Exports'!CX$290</f>
        <v>15</v>
      </c>
      <c r="H295" s="146">
        <f>'[2]Ukraine Sun Oil Exports'!DJ$290</f>
        <v>52.6</v>
      </c>
      <c r="I295" s="146">
        <f>'[2]Ukraine Sun Oil Exports'!DV$290</f>
        <v>35.299999999999997</v>
      </c>
      <c r="J295" s="146">
        <f>'[2]Ukraine Sun Oil Exports'!EH$290</f>
        <v>36.664000000000001</v>
      </c>
      <c r="K295" s="146">
        <f>'[2]Ukraine Sun Oil Exports'!ET$290</f>
        <v>64.959000000000003</v>
      </c>
      <c r="L295" s="146">
        <f>'[2]Ukraine Sun Oil Exports'!FF$290</f>
        <v>79.394999999999996</v>
      </c>
      <c r="M295" s="146">
        <f>'[2]Ukraine Sun Oil Exports'!FR$290</f>
        <v>44.56</v>
      </c>
      <c r="N295" s="146">
        <f>'[2]Ukraine Sun Oil Exports'!GD$290</f>
        <v>109.245</v>
      </c>
      <c r="O295" s="146">
        <f>'[2]Ukraine Sun Oil Exports'!GP$290</f>
        <v>153.71799999999999</v>
      </c>
      <c r="P295" s="146">
        <f>'[2]Ukraine Sun Oil Exports'!HB$290</f>
        <v>94.212000000000003</v>
      </c>
      <c r="Q295" s="146">
        <f>'[2]Ukraine Sun Oil Exports'!HN$290</f>
        <v>188.488</v>
      </c>
      <c r="R295" s="146">
        <f>'[2]Ukraine Sun Oil Exports'!HZ$290</f>
        <v>262.702</v>
      </c>
      <c r="S295" s="146">
        <f>'[2]Ukraine Sun Oil Exports'!IL$290</f>
        <v>146.33099999999999</v>
      </c>
      <c r="T295" s="146">
        <f>'[2]Ukraine Sun Oil Exports'!IX$290</f>
        <v>238.61</v>
      </c>
      <c r="U295" s="146">
        <f>'[2]Ukraine Sun Oil Exports'!JJ$290</f>
        <v>181.321</v>
      </c>
      <c r="V295" s="146">
        <f>'[2]Ukraine Sun Oil Exports'!JV$290</f>
        <v>333.709</v>
      </c>
      <c r="W295" s="146">
        <f>'[2]Ukraine Sun Oil Exports'!KH$290</f>
        <v>288.08800000000002</v>
      </c>
      <c r="X295" s="146">
        <f>'[2]Ukraine Sun Oil Exports'!KT$290</f>
        <v>366.56099999999998</v>
      </c>
      <c r="Y295" s="146">
        <f>'[2]Ukraine Sun Oil Exports'!LF$290</f>
        <v>509.740838</v>
      </c>
      <c r="Z295" s="146">
        <f>'[2]Ukraine Sun Oil Exports'!LR$290</f>
        <v>401.65140200000002</v>
      </c>
      <c r="AA295" s="146">
        <f>'[2]Ukraine Sun Oil Exports'!MD$290</f>
        <v>554.06293500000004</v>
      </c>
      <c r="AB295" s="146">
        <f>'[2]Ukraine Sun Oil Exports'!MP$290</f>
        <v>592.60404100000005</v>
      </c>
      <c r="AC295" s="146">
        <f>'[2]Ukraine Sun Oil Exports'!NB$290</f>
        <v>328.00400000000002</v>
      </c>
      <c r="AD295" s="146">
        <f>'[2]Ukraine Sun Oil Exports'!NN$290</f>
        <v>277.75200000000001</v>
      </c>
      <c r="AE295" s="253">
        <f t="shared" si="135"/>
        <v>351.12381179164606</v>
      </c>
      <c r="AF295" s="146"/>
      <c r="AG295">
        <v>547.14948206948986</v>
      </c>
      <c r="AH295" s="226" t="s">
        <v>239</v>
      </c>
      <c r="AI295" s="226">
        <f>AD286*1000</f>
        <v>433590</v>
      </c>
      <c r="AJ295" s="201">
        <f>AE286*1000</f>
        <v>382934.85195409541</v>
      </c>
      <c r="AL295" s="253"/>
      <c r="AM295" s="253"/>
      <c r="AN295" s="108">
        <f t="shared" si="138"/>
        <v>269.39748206948985</v>
      </c>
    </row>
    <row r="296" spans="1:45">
      <c r="A296" s="240" t="s">
        <v>237</v>
      </c>
      <c r="B296" s="251">
        <f>'[2]Ukraine Sun Oil Exports'!AQ$290</f>
        <v>22.8</v>
      </c>
      <c r="C296" s="251">
        <f>'[2]Ukraine Sun Oil Exports'!BC$290</f>
        <v>23.9</v>
      </c>
      <c r="D296" s="251">
        <f>'[2]Ukraine Sun Oil Exports'!BP$290</f>
        <v>15.7</v>
      </c>
      <c r="E296" s="146">
        <f>'[2]Ukraine Sun Oil Exports'!CA$290</f>
        <v>2.2000000000000002</v>
      </c>
      <c r="F296" s="146">
        <f>'[2]Ukraine Sun Oil Exports'!CM$290</f>
        <v>6.4</v>
      </c>
      <c r="G296" s="146">
        <f>'[2]Ukraine Sun Oil Exports'!CY$290</f>
        <v>15</v>
      </c>
      <c r="H296" s="146">
        <f>'[2]Ukraine Sun Oil Exports'!DK$290</f>
        <v>40.200000000000003</v>
      </c>
      <c r="I296" s="146">
        <f>'[2]Ukraine Sun Oil Exports'!DW$290</f>
        <v>24.1</v>
      </c>
      <c r="J296" s="146">
        <f>'[2]Ukraine Sun Oil Exports'!EI$290</f>
        <v>22.021999999999998</v>
      </c>
      <c r="K296" s="146">
        <f>'[2]Ukraine Sun Oil Exports'!EU$290</f>
        <v>40.981999999999999</v>
      </c>
      <c r="L296" s="146">
        <f>'[2]Ukraine Sun Oil Exports'!FG$290</f>
        <v>77.554000000000002</v>
      </c>
      <c r="M296" s="146">
        <f>'[2]Ukraine Sun Oil Exports'!FS$290</f>
        <v>40.557000000000002</v>
      </c>
      <c r="N296" s="146">
        <f>'[2]Ukraine Sun Oil Exports'!GE$290</f>
        <v>108.705</v>
      </c>
      <c r="O296" s="146">
        <f>'[2]Ukraine Sun Oil Exports'!GQ$290</f>
        <v>98.667000000000002</v>
      </c>
      <c r="P296" s="146">
        <f>'[2]Ukraine Sun Oil Exports'!HC$290</f>
        <v>81.866</v>
      </c>
      <c r="Q296" s="146">
        <f>'[2]Ukraine Sun Oil Exports'!HO$290</f>
        <v>148.876</v>
      </c>
      <c r="R296" s="146">
        <f>'[2]Ukraine Sun Oil Exports'!IA$290</f>
        <v>210.33199999999999</v>
      </c>
      <c r="S296" s="146">
        <f>'[2]Ukraine Sun Oil Exports'!IM$290</f>
        <v>153.001</v>
      </c>
      <c r="T296" s="146">
        <f>'[2]Ukraine Sun Oil Exports'!IY$290</f>
        <v>342.57799999999997</v>
      </c>
      <c r="U296" s="146">
        <f>'[2]Ukraine Sun Oil Exports'!JK$290</f>
        <v>222.24199999999999</v>
      </c>
      <c r="V296" s="146">
        <f>'[2]Ukraine Sun Oil Exports'!JW$290</f>
        <v>308.43099999999998</v>
      </c>
      <c r="W296" s="146">
        <f>'[2]Ukraine Sun Oil Exports'!KI$290</f>
        <v>223.21299999999999</v>
      </c>
      <c r="X296" s="146">
        <f>'[2]Ukraine Sun Oil Exports'!KU$290</f>
        <v>260.89299999999997</v>
      </c>
      <c r="Y296" s="146">
        <f>'[2]Ukraine Sun Oil Exports'!LG$290</f>
        <v>394.31798900000001</v>
      </c>
      <c r="Z296" s="146">
        <f>'[2]Ukraine Sun Oil Exports'!LS$290</f>
        <v>354.58790299999998</v>
      </c>
      <c r="AA296" s="146">
        <f>'[2]Ukraine Sun Oil Exports'!ME$290</f>
        <v>309.31541900000002</v>
      </c>
      <c r="AB296" s="146">
        <f>'[2]Ukraine Sun Oil Exports'!MQ$290</f>
        <v>329.16028599999999</v>
      </c>
      <c r="AC296" s="146">
        <f>'[2]Ukraine Sun Oil Exports'!NC$290</f>
        <v>201.81200000000001</v>
      </c>
      <c r="AD296" s="146">
        <f>'[2]Ukraine Sun Oil Exports'!NO$290</f>
        <v>365.476</v>
      </c>
      <c r="AE296" s="253">
        <f t="shared" si="135"/>
        <v>233.85956822592289</v>
      </c>
      <c r="AF296" s="146"/>
      <c r="AG296">
        <v>371.95622889949829</v>
      </c>
      <c r="AH296" s="226" t="s">
        <v>240</v>
      </c>
      <c r="AI296" s="226">
        <f t="shared" ref="AI296:AJ297" si="139">AD287*1000</f>
        <v>638763</v>
      </c>
      <c r="AJ296" s="201">
        <f t="shared" si="139"/>
        <v>433991.67915812519</v>
      </c>
      <c r="AL296" s="253"/>
      <c r="AM296" s="253"/>
      <c r="AN296" s="108">
        <f t="shared" si="138"/>
        <v>6.480228899498286</v>
      </c>
    </row>
    <row r="297" spans="1:45">
      <c r="A297" s="240" t="s">
        <v>238</v>
      </c>
      <c r="B297" s="251">
        <f>'[2]Ukraine Sun Oil Exports'!AR$290</f>
        <v>28.1</v>
      </c>
      <c r="C297" s="251">
        <f>'[2]Ukraine Sun Oil Exports'!BD$290</f>
        <v>12.3</v>
      </c>
      <c r="D297" s="251">
        <f>'[2]Ukraine Sun Oil Exports'!BQ$290</f>
        <v>17.600000000000001</v>
      </c>
      <c r="E297" s="146">
        <f>'[2]Ukraine Sun Oil Exports'!CB$290</f>
        <v>1.5</v>
      </c>
      <c r="F297" s="146">
        <f>'[2]Ukraine Sun Oil Exports'!CN$290</f>
        <v>6.4</v>
      </c>
      <c r="G297" s="146">
        <f>'[2]Ukraine Sun Oil Exports'!CZ$290</f>
        <v>21</v>
      </c>
      <c r="H297" s="146">
        <f>'[2]Ukraine Sun Oil Exports'!DL$290</f>
        <v>42.8</v>
      </c>
      <c r="I297" s="146">
        <f>'[2]Ukraine Sun Oil Exports'!DX$290</f>
        <v>16.399999999999999</v>
      </c>
      <c r="J297" s="146">
        <f>'[2]Ukraine Sun Oil Exports'!EJ$290</f>
        <v>37.023000000000003</v>
      </c>
      <c r="K297" s="146">
        <f>'[2]Ukraine Sun Oil Exports'!EV$290</f>
        <v>32.715000000000003</v>
      </c>
      <c r="L297" s="146">
        <f>'[2]Ukraine Sun Oil Exports'!FH$290</f>
        <v>26.024999999999999</v>
      </c>
      <c r="M297" s="146">
        <f>'[2]Ukraine Sun Oil Exports'!FT$290</f>
        <v>40.924999999999997</v>
      </c>
      <c r="N297" s="146">
        <f>'[2]Ukraine Sun Oil Exports'!GF$290</f>
        <v>112.93899999999999</v>
      </c>
      <c r="O297" s="146">
        <f>'[2]Ukraine Sun Oil Exports'!GR$290</f>
        <v>72.317999999999998</v>
      </c>
      <c r="P297" s="146">
        <f>'[2]Ukraine Sun Oil Exports'!HD$290</f>
        <v>83.444000000000003</v>
      </c>
      <c r="Q297" s="146">
        <f>'[2]Ukraine Sun Oil Exports'!HP$290</f>
        <v>180.28200000000001</v>
      </c>
      <c r="R297" s="146">
        <f>'[2]Ukraine Sun Oil Exports'!IB$290</f>
        <v>85.932000000000002</v>
      </c>
      <c r="S297" s="146">
        <f>'[2]Ukraine Sun Oil Exports'!IN$290</f>
        <v>85.07</v>
      </c>
      <c r="T297" s="146">
        <f>'[2]Ukraine Sun Oil Exports'!IZ$290</f>
        <v>282.05</v>
      </c>
      <c r="U297" s="146">
        <f>'[2]Ukraine Sun Oil Exports'!JL$290</f>
        <v>152.94800000000001</v>
      </c>
      <c r="V297" s="146">
        <f>'[2]Ukraine Sun Oil Exports'!JX$290</f>
        <v>294.52699999999999</v>
      </c>
      <c r="W297" s="146">
        <f>'[2]Ukraine Sun Oil Exports'!KJ$290</f>
        <v>163.363</v>
      </c>
      <c r="X297" s="146">
        <f>'[2]Ukraine Sun Oil Exports'!KV$290</f>
        <v>271.71600000000001</v>
      </c>
      <c r="Y297" s="146">
        <f>'[2]Ukraine Sun Oil Exports'!LH$290</f>
        <v>309.86417399999999</v>
      </c>
      <c r="Z297" s="146">
        <f>'[2]Ukraine Sun Oil Exports'!LT$290</f>
        <v>250.357708</v>
      </c>
      <c r="AA297" s="146">
        <f>'[2]Ukraine Sun Oil Exports'!MF$290</f>
        <v>228.07961299999999</v>
      </c>
      <c r="AB297" s="146">
        <f>'[2]Ukraine Sun Oil Exports'!MR$290</f>
        <v>303.88007299999998</v>
      </c>
      <c r="AC297" s="146">
        <f>'[2]Ukraine Sun Oil Exports'!ND$290</f>
        <v>277.05399999999997</v>
      </c>
      <c r="AD297" s="253">
        <f>AD298-SUM(AD286:AD296)</f>
        <v>226.82000000000062</v>
      </c>
      <c r="AE297" s="253">
        <f>AE298-SUM(AE286:AE296)</f>
        <v>201.49139748393827</v>
      </c>
      <c r="AF297" s="146"/>
      <c r="AH297" s="226" t="s">
        <v>241</v>
      </c>
      <c r="AI297" s="226">
        <f t="shared" si="139"/>
        <v>689886</v>
      </c>
      <c r="AJ297" s="201">
        <f t="shared" si="139"/>
        <v>402942.12616597884</v>
      </c>
    </row>
    <row r="298" spans="1:45" ht="15.75" thickBot="1">
      <c r="A298" s="240" t="s">
        <v>242</v>
      </c>
      <c r="B298" s="146">
        <f>SUM(B286:B297)</f>
        <v>218.8</v>
      </c>
      <c r="C298" s="146">
        <f>SUM(C286:C297)</f>
        <v>183.20000000000002</v>
      </c>
      <c r="D298" s="146">
        <f>SUM(D286:D297)</f>
        <v>270.2</v>
      </c>
      <c r="E298" s="146">
        <f t="shared" ref="E298:W298" si="140">SUM(E286:E297)</f>
        <v>164.1</v>
      </c>
      <c r="F298" s="146">
        <f t="shared" si="140"/>
        <v>179.20000000000005</v>
      </c>
      <c r="G298" s="146">
        <f t="shared" si="140"/>
        <v>210</v>
      </c>
      <c r="H298" s="146">
        <f t="shared" si="140"/>
        <v>449.70500700999997</v>
      </c>
      <c r="I298" s="146">
        <f t="shared" si="140"/>
        <v>561.30000000000007</v>
      </c>
      <c r="J298" s="146">
        <f t="shared" si="140"/>
        <v>446.00010185000008</v>
      </c>
      <c r="K298" s="146">
        <f t="shared" si="140"/>
        <v>907.17</v>
      </c>
      <c r="L298" s="146">
        <f t="shared" si="140"/>
        <v>971.88999999999987</v>
      </c>
      <c r="M298" s="146">
        <f t="shared" si="140"/>
        <v>656.66099999999983</v>
      </c>
      <c r="N298" s="146">
        <f t="shared" si="140"/>
        <v>1586.2259999999999</v>
      </c>
      <c r="O298" s="146">
        <f t="shared" si="140"/>
        <v>1826.402</v>
      </c>
      <c r="P298" s="146">
        <f t="shared" si="140"/>
        <v>1336.867</v>
      </c>
      <c r="Q298" s="146">
        <f t="shared" si="140"/>
        <v>2195.2200000000003</v>
      </c>
      <c r="R298" s="146">
        <f t="shared" si="140"/>
        <v>2550.4230000000002</v>
      </c>
      <c r="S298" s="146">
        <f t="shared" si="140"/>
        <v>2651.2130000000002</v>
      </c>
      <c r="T298" s="146">
        <f t="shared" si="140"/>
        <v>3459.9820000000004</v>
      </c>
      <c r="U298" s="146">
        <f t="shared" si="140"/>
        <v>3116.2980000000002</v>
      </c>
      <c r="V298" s="146">
        <f t="shared" si="140"/>
        <v>4322.5429999999997</v>
      </c>
      <c r="W298" s="146">
        <f t="shared" si="140"/>
        <v>3740.4730000000004</v>
      </c>
      <c r="X298" s="146">
        <f>SUM(X286:X297)</f>
        <v>4608.2340000000004</v>
      </c>
      <c r="Y298" s="146">
        <f>SUM(Y286:Y297)</f>
        <v>5888.733682</v>
      </c>
      <c r="Z298" s="146">
        <f t="shared" ref="Z298:AC298" si="141">SUM(Z286:Z297)</f>
        <v>5282.2556970000005</v>
      </c>
      <c r="AA298" s="146">
        <f t="shared" si="141"/>
        <v>6041.0950649999995</v>
      </c>
      <c r="AB298" s="146">
        <f t="shared" si="141"/>
        <v>6761.9993790000008</v>
      </c>
      <c r="AC298" s="146">
        <f t="shared" si="141"/>
        <v>5246.582746</v>
      </c>
      <c r="AD298" s="253">
        <f>AD40</f>
        <v>4400</v>
      </c>
      <c r="AE298" s="253">
        <f>AE40</f>
        <v>4300</v>
      </c>
      <c r="AF298" s="146"/>
      <c r="AH298" s="226" t="s">
        <v>50</v>
      </c>
      <c r="AI298" s="226">
        <f>SUM(AI286:AI297)</f>
        <v>5134436</v>
      </c>
      <c r="AJ298" s="226">
        <f>SUM(AJ286:AJ297)</f>
        <v>3857629.6572781997</v>
      </c>
    </row>
    <row r="299" spans="1:45">
      <c r="A299" s="248"/>
      <c r="B299" s="248"/>
      <c r="C299" s="248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  <c r="AA299" s="248"/>
      <c r="AB299" s="248"/>
      <c r="AC299" s="248"/>
      <c r="AD299" s="248"/>
      <c r="AE299" s="248"/>
    </row>
    <row r="300" spans="1:45" ht="15.75" thickBot="1">
      <c r="A300" s="235" t="s">
        <v>268</v>
      </c>
      <c r="D300" s="264">
        <v>99.860000000000014</v>
      </c>
      <c r="E300" s="264">
        <v>118.67699999999999</v>
      </c>
      <c r="F300" s="264">
        <v>160.22399999999999</v>
      </c>
      <c r="G300" s="264">
        <v>62.062999999999995</v>
      </c>
      <c r="H300" s="264">
        <v>94.578000000000003</v>
      </c>
      <c r="I300" s="264">
        <v>142.18700000000001</v>
      </c>
    </row>
    <row r="301" spans="1:45" ht="15.75" thickBot="1">
      <c r="A301" s="236"/>
      <c r="B301" s="237" t="str">
        <f>B$2</f>
        <v xml:space="preserve">93/94 </v>
      </c>
      <c r="C301" s="237" t="str">
        <f t="shared" ref="C301:AE301" si="142">C$2</f>
        <v xml:space="preserve">94/95 </v>
      </c>
      <c r="D301" s="237" t="str">
        <f t="shared" si="142"/>
        <v xml:space="preserve">95/96 </v>
      </c>
      <c r="E301" s="237" t="str">
        <f t="shared" si="142"/>
        <v xml:space="preserve">96/97 </v>
      </c>
      <c r="F301" s="237" t="str">
        <f t="shared" si="142"/>
        <v xml:space="preserve">97/98 </v>
      </c>
      <c r="G301" s="237" t="str">
        <f t="shared" si="142"/>
        <v xml:space="preserve">98/99 </v>
      </c>
      <c r="H301" s="237" t="str">
        <f t="shared" si="142"/>
        <v xml:space="preserve">99/00 </v>
      </c>
      <c r="I301" s="237" t="str">
        <f t="shared" si="142"/>
        <v xml:space="preserve">00/01 </v>
      </c>
      <c r="J301" s="237" t="str">
        <f t="shared" si="142"/>
        <v xml:space="preserve">01/02 </v>
      </c>
      <c r="K301" s="237" t="str">
        <f t="shared" si="142"/>
        <v xml:space="preserve">02/03 </v>
      </c>
      <c r="L301" s="237" t="str">
        <f t="shared" si="142"/>
        <v xml:space="preserve">03/04 </v>
      </c>
      <c r="M301" s="237" t="str">
        <f t="shared" si="142"/>
        <v xml:space="preserve">04/05 </v>
      </c>
      <c r="N301" s="237" t="str">
        <f t="shared" si="142"/>
        <v xml:space="preserve">05/06 </v>
      </c>
      <c r="O301" s="237" t="str">
        <f t="shared" si="142"/>
        <v xml:space="preserve">06/07 </v>
      </c>
      <c r="P301" s="237" t="str">
        <f t="shared" si="142"/>
        <v xml:space="preserve">07/08 </v>
      </c>
      <c r="Q301" s="237" t="str">
        <f t="shared" si="142"/>
        <v xml:space="preserve">08/09 </v>
      </c>
      <c r="R301" s="237" t="str">
        <f t="shared" si="142"/>
        <v xml:space="preserve">09/10 </v>
      </c>
      <c r="S301" s="237" t="str">
        <f t="shared" si="142"/>
        <v xml:space="preserve">10/11 </v>
      </c>
      <c r="T301" s="237" t="str">
        <f t="shared" si="142"/>
        <v xml:space="preserve">11/12 </v>
      </c>
      <c r="U301" s="237" t="str">
        <f t="shared" si="142"/>
        <v xml:space="preserve">12/13 </v>
      </c>
      <c r="V301" s="237" t="str">
        <f t="shared" si="142"/>
        <v xml:space="preserve">13/14 </v>
      </c>
      <c r="W301" s="237" t="str">
        <f t="shared" si="142"/>
        <v xml:space="preserve">14/15 </v>
      </c>
      <c r="X301" s="237" t="str">
        <f t="shared" si="142"/>
        <v xml:space="preserve">15/16 </v>
      </c>
      <c r="Y301" s="237" t="str">
        <f t="shared" si="142"/>
        <v xml:space="preserve">16/17 </v>
      </c>
      <c r="Z301" s="237" t="str">
        <f t="shared" si="142"/>
        <v xml:space="preserve">17/18 </v>
      </c>
      <c r="AA301" s="237" t="str">
        <f t="shared" si="142"/>
        <v xml:space="preserve">18/19 </v>
      </c>
      <c r="AB301" s="237" t="str">
        <f t="shared" si="142"/>
        <v xml:space="preserve">19/20 </v>
      </c>
      <c r="AC301" s="237" t="str">
        <f t="shared" si="142"/>
        <v xml:space="preserve">20/21 </v>
      </c>
      <c r="AD301" s="237" t="str">
        <f t="shared" si="142"/>
        <v>21/22</v>
      </c>
      <c r="AE301" s="237" t="str">
        <f t="shared" si="142"/>
        <v>22/23</v>
      </c>
      <c r="AF301" s="269"/>
      <c r="AG301" s="108"/>
    </row>
    <row r="302" spans="1:45">
      <c r="A302" s="240" t="s">
        <v>239</v>
      </c>
      <c r="B302" s="290">
        <f t="shared" ref="B302:Q313" si="143">B$314/12</f>
        <v>32</v>
      </c>
      <c r="C302" s="290">
        <f t="shared" si="143"/>
        <v>44.499999999999979</v>
      </c>
      <c r="D302" s="290">
        <f t="shared" si="143"/>
        <v>45</v>
      </c>
      <c r="E302" s="290">
        <f t="shared" si="143"/>
        <v>35.074999999999996</v>
      </c>
      <c r="F302" s="290">
        <f t="shared" si="143"/>
        <v>29.733333333333338</v>
      </c>
      <c r="G302" s="290">
        <f t="shared" si="143"/>
        <v>31.833333333333332</v>
      </c>
      <c r="H302" s="290">
        <f t="shared" si="143"/>
        <v>35.441249415833326</v>
      </c>
      <c r="I302" s="290">
        <f t="shared" si="143"/>
        <v>34.308333333333316</v>
      </c>
      <c r="J302" s="290">
        <f t="shared" si="143"/>
        <v>34.588908179166651</v>
      </c>
      <c r="K302" s="290">
        <f t="shared" si="143"/>
        <v>33.469500000000011</v>
      </c>
      <c r="L302" s="290">
        <f t="shared" si="143"/>
        <v>27.278416666666676</v>
      </c>
      <c r="M302" s="290">
        <f t="shared" si="143"/>
        <v>20.99600000000002</v>
      </c>
      <c r="N302" s="290">
        <f t="shared" si="143"/>
        <v>24.024249999999995</v>
      </c>
      <c r="O302" s="290">
        <f t="shared" si="143"/>
        <v>38.980333333333306</v>
      </c>
      <c r="P302" s="290">
        <f t="shared" si="143"/>
        <v>30.125500000000006</v>
      </c>
      <c r="Q302" s="290">
        <f t="shared" si="143"/>
        <v>18.581249999999955</v>
      </c>
      <c r="R302" s="290">
        <f t="shared" ref="R302:Z313" si="144">R$314/12</f>
        <v>37.58774999999995</v>
      </c>
      <c r="S302" s="290">
        <f t="shared" si="144"/>
        <v>17.819499999999987</v>
      </c>
      <c r="T302" s="290">
        <f t="shared" si="144"/>
        <v>0.14466666666661845</v>
      </c>
      <c r="U302" s="290">
        <f t="shared" si="144"/>
        <v>14.684333333333333</v>
      </c>
      <c r="V302" s="290">
        <f t="shared" si="144"/>
        <v>-9.8314166666665788</v>
      </c>
      <c r="W302" s="290">
        <f t="shared" si="144"/>
        <v>-11.038500000000036</v>
      </c>
      <c r="X302" s="290">
        <f t="shared" si="144"/>
        <v>-51.24683333333337</v>
      </c>
      <c r="Y302" s="290">
        <f t="shared" si="144"/>
        <v>35.213443166666671</v>
      </c>
      <c r="Z302" s="252">
        <f>Z$314/12</f>
        <v>50.618525249999948</v>
      </c>
      <c r="AA302" s="252">
        <f t="shared" ref="AA302:AE313" si="145">AA$314/12</f>
        <v>47.249244583333393</v>
      </c>
      <c r="AB302" s="252">
        <f t="shared" si="145"/>
        <v>39.509635083333251</v>
      </c>
      <c r="AC302" s="252">
        <f>(SUM(X302:AB302)/SUM(X$314:AB$314))*AC$314+100</f>
        <v>150.63477116666667</v>
      </c>
      <c r="AD302" s="252">
        <f t="shared" si="145"/>
        <v>17.654062087253958</v>
      </c>
      <c r="AE302" s="252">
        <f t="shared" si="145"/>
        <v>31.33025224066925</v>
      </c>
      <c r="AF302" s="146"/>
    </row>
    <row r="303" spans="1:45">
      <c r="A303" s="240" t="s">
        <v>240</v>
      </c>
      <c r="B303" s="290">
        <f t="shared" si="143"/>
        <v>32</v>
      </c>
      <c r="C303" s="290">
        <f t="shared" si="143"/>
        <v>44.499999999999979</v>
      </c>
      <c r="D303" s="290">
        <f t="shared" si="143"/>
        <v>45</v>
      </c>
      <c r="E303" s="290">
        <f t="shared" si="143"/>
        <v>35.074999999999996</v>
      </c>
      <c r="F303" s="290">
        <f t="shared" si="143"/>
        <v>29.733333333333338</v>
      </c>
      <c r="G303" s="290">
        <f t="shared" si="143"/>
        <v>31.833333333333332</v>
      </c>
      <c r="H303" s="290">
        <f t="shared" si="143"/>
        <v>35.441249415833326</v>
      </c>
      <c r="I303" s="290">
        <f t="shared" si="143"/>
        <v>34.308333333333316</v>
      </c>
      <c r="J303" s="290">
        <f t="shared" si="143"/>
        <v>34.588908179166651</v>
      </c>
      <c r="K303" s="290">
        <f t="shared" si="143"/>
        <v>33.469500000000011</v>
      </c>
      <c r="L303" s="290">
        <f t="shared" si="143"/>
        <v>27.278416666666676</v>
      </c>
      <c r="M303" s="290">
        <f t="shared" si="143"/>
        <v>20.99600000000002</v>
      </c>
      <c r="N303" s="290">
        <f t="shared" si="143"/>
        <v>24.024249999999995</v>
      </c>
      <c r="O303" s="290">
        <f t="shared" si="143"/>
        <v>38.980333333333306</v>
      </c>
      <c r="P303" s="290">
        <f t="shared" si="143"/>
        <v>30.125500000000006</v>
      </c>
      <c r="Q303" s="290">
        <f t="shared" si="143"/>
        <v>18.581249999999955</v>
      </c>
      <c r="R303" s="290">
        <f t="shared" si="144"/>
        <v>37.58774999999995</v>
      </c>
      <c r="S303" s="290">
        <f t="shared" si="144"/>
        <v>17.819499999999987</v>
      </c>
      <c r="T303" s="290">
        <f t="shared" si="144"/>
        <v>0.14466666666661845</v>
      </c>
      <c r="U303" s="290">
        <f t="shared" si="144"/>
        <v>14.684333333333333</v>
      </c>
      <c r="V303" s="290">
        <f t="shared" si="144"/>
        <v>-9.8314166666665788</v>
      </c>
      <c r="W303" s="290">
        <f t="shared" si="144"/>
        <v>-11.038500000000036</v>
      </c>
      <c r="X303" s="290">
        <f t="shared" si="144"/>
        <v>-51.24683333333337</v>
      </c>
      <c r="Y303" s="290">
        <f t="shared" si="144"/>
        <v>35.213443166666671</v>
      </c>
      <c r="Z303" s="252">
        <f>Z$314/12</f>
        <v>50.618525249999948</v>
      </c>
      <c r="AA303" s="252">
        <f>AA$314/12</f>
        <v>47.249244583333393</v>
      </c>
      <c r="AB303" s="252">
        <f>AB$314/12</f>
        <v>39.509635083333251</v>
      </c>
      <c r="AC303" s="252">
        <f>(SUM(X303:AB303)/SUM(X$314:AB$314))*AC$314+100</f>
        <v>150.63477116666667</v>
      </c>
      <c r="AD303" s="252">
        <f>AD$314/12</f>
        <v>17.654062087253958</v>
      </c>
      <c r="AE303" s="252">
        <f>AE$314/12</f>
        <v>31.33025224066925</v>
      </c>
      <c r="AF303" s="146"/>
    </row>
    <row r="304" spans="1:45">
      <c r="A304" s="240" t="s">
        <v>241</v>
      </c>
      <c r="B304" s="290">
        <f t="shared" si="143"/>
        <v>32</v>
      </c>
      <c r="C304" s="290">
        <f t="shared" si="143"/>
        <v>44.499999999999979</v>
      </c>
      <c r="D304" s="290">
        <f t="shared" si="143"/>
        <v>45</v>
      </c>
      <c r="E304" s="290">
        <f t="shared" si="143"/>
        <v>35.074999999999996</v>
      </c>
      <c r="F304" s="290">
        <f t="shared" si="143"/>
        <v>29.733333333333338</v>
      </c>
      <c r="G304" s="290">
        <f t="shared" si="143"/>
        <v>31.833333333333332</v>
      </c>
      <c r="H304" s="290">
        <f t="shared" si="143"/>
        <v>35.441249415833326</v>
      </c>
      <c r="I304" s="290">
        <f t="shared" si="143"/>
        <v>34.308333333333316</v>
      </c>
      <c r="J304" s="290">
        <f t="shared" si="143"/>
        <v>34.588908179166651</v>
      </c>
      <c r="K304" s="290">
        <f t="shared" si="143"/>
        <v>33.469500000000011</v>
      </c>
      <c r="L304" s="290">
        <f t="shared" si="143"/>
        <v>27.278416666666676</v>
      </c>
      <c r="M304" s="290">
        <f t="shared" si="143"/>
        <v>20.99600000000002</v>
      </c>
      <c r="N304" s="290">
        <f t="shared" si="143"/>
        <v>24.024249999999995</v>
      </c>
      <c r="O304" s="290">
        <f t="shared" si="143"/>
        <v>38.980333333333306</v>
      </c>
      <c r="P304" s="290">
        <f t="shared" si="143"/>
        <v>30.125500000000006</v>
      </c>
      <c r="Q304" s="290">
        <f t="shared" si="143"/>
        <v>18.581249999999955</v>
      </c>
      <c r="R304" s="290">
        <f t="shared" si="144"/>
        <v>37.58774999999995</v>
      </c>
      <c r="S304" s="290">
        <f t="shared" si="144"/>
        <v>17.819499999999987</v>
      </c>
      <c r="T304" s="290">
        <f t="shared" si="144"/>
        <v>0.14466666666661845</v>
      </c>
      <c r="U304" s="290">
        <f t="shared" si="144"/>
        <v>14.684333333333333</v>
      </c>
      <c r="V304" s="290">
        <f t="shared" si="144"/>
        <v>-9.8314166666665788</v>
      </c>
      <c r="W304" s="290">
        <f t="shared" si="144"/>
        <v>-11.038500000000036</v>
      </c>
      <c r="X304" s="290">
        <f t="shared" si="144"/>
        <v>-51.24683333333337</v>
      </c>
      <c r="Y304" s="290">
        <f t="shared" si="144"/>
        <v>35.213443166666671</v>
      </c>
      <c r="Z304" s="252">
        <f>Z$314/12</f>
        <v>50.618525249999948</v>
      </c>
      <c r="AA304" s="252">
        <f t="shared" si="145"/>
        <v>47.249244583333393</v>
      </c>
      <c r="AB304" s="252">
        <f t="shared" si="145"/>
        <v>39.509635083333251</v>
      </c>
      <c r="AC304" s="252">
        <f>(SUM(X304:AB304)/SUM(X$314:AB$314))*AC$314+100</f>
        <v>150.63477116666667</v>
      </c>
      <c r="AD304" s="252">
        <f t="shared" si="145"/>
        <v>17.654062087253958</v>
      </c>
      <c r="AE304" s="252">
        <f t="shared" si="145"/>
        <v>31.33025224066925</v>
      </c>
      <c r="AF304" s="146"/>
    </row>
    <row r="305" spans="1:32">
      <c r="A305" s="240" t="s">
        <v>231</v>
      </c>
      <c r="B305" s="290">
        <f t="shared" si="143"/>
        <v>32</v>
      </c>
      <c r="C305" s="290">
        <f t="shared" si="143"/>
        <v>44.499999999999979</v>
      </c>
      <c r="D305" s="290">
        <f t="shared" si="143"/>
        <v>45</v>
      </c>
      <c r="E305" s="290">
        <f t="shared" si="143"/>
        <v>35.074999999999996</v>
      </c>
      <c r="F305" s="290">
        <f t="shared" si="143"/>
        <v>29.733333333333338</v>
      </c>
      <c r="G305" s="290">
        <f t="shared" si="143"/>
        <v>31.833333333333332</v>
      </c>
      <c r="H305" s="290">
        <f t="shared" si="143"/>
        <v>35.441249415833326</v>
      </c>
      <c r="I305" s="290">
        <f t="shared" si="143"/>
        <v>34.308333333333316</v>
      </c>
      <c r="J305" s="290">
        <f t="shared" si="143"/>
        <v>34.588908179166651</v>
      </c>
      <c r="K305" s="290">
        <f t="shared" si="143"/>
        <v>33.469500000000011</v>
      </c>
      <c r="L305" s="290">
        <f t="shared" si="143"/>
        <v>27.278416666666676</v>
      </c>
      <c r="M305" s="290">
        <f t="shared" si="143"/>
        <v>20.99600000000002</v>
      </c>
      <c r="N305" s="290">
        <f t="shared" si="143"/>
        <v>24.024249999999995</v>
      </c>
      <c r="O305" s="290">
        <f t="shared" si="143"/>
        <v>38.980333333333306</v>
      </c>
      <c r="P305" s="290">
        <f t="shared" si="143"/>
        <v>30.125500000000006</v>
      </c>
      <c r="Q305" s="290">
        <f t="shared" si="143"/>
        <v>18.581249999999955</v>
      </c>
      <c r="R305" s="290">
        <f t="shared" si="144"/>
        <v>37.58774999999995</v>
      </c>
      <c r="S305" s="290">
        <f t="shared" si="144"/>
        <v>17.819499999999987</v>
      </c>
      <c r="T305" s="290">
        <f t="shared" si="144"/>
        <v>0.14466666666661845</v>
      </c>
      <c r="U305" s="290">
        <f t="shared" si="144"/>
        <v>14.684333333333333</v>
      </c>
      <c r="V305" s="290">
        <f t="shared" si="144"/>
        <v>-9.8314166666665788</v>
      </c>
      <c r="W305" s="290">
        <f t="shared" si="144"/>
        <v>-11.038500000000036</v>
      </c>
      <c r="X305" s="290">
        <f t="shared" si="144"/>
        <v>-51.24683333333337</v>
      </c>
      <c r="Y305" s="290">
        <f t="shared" si="144"/>
        <v>35.213443166666671</v>
      </c>
      <c r="Z305" s="251">
        <f>Z320+Z225+Z273-Z289-Z321</f>
        <v>1.7910639999999916</v>
      </c>
      <c r="AA305" s="252">
        <f t="shared" si="145"/>
        <v>47.249244583333393</v>
      </c>
      <c r="AB305" s="252">
        <f t="shared" si="145"/>
        <v>39.509635083333251</v>
      </c>
      <c r="AC305" s="251">
        <f>AC320+AC225+AC273-AC289-AC321</f>
        <v>90.249592307692367</v>
      </c>
      <c r="AD305" s="252">
        <f t="shared" si="145"/>
        <v>17.654062087253958</v>
      </c>
      <c r="AE305" s="252">
        <f t="shared" si="145"/>
        <v>31.33025224066925</v>
      </c>
      <c r="AF305" s="146"/>
    </row>
    <row r="306" spans="1:32">
      <c r="A306" s="240" t="s">
        <v>232</v>
      </c>
      <c r="B306" s="290">
        <f t="shared" si="143"/>
        <v>32</v>
      </c>
      <c r="C306" s="290">
        <f t="shared" si="143"/>
        <v>44.499999999999979</v>
      </c>
      <c r="D306" s="290">
        <f t="shared" si="143"/>
        <v>45</v>
      </c>
      <c r="E306" s="290">
        <f t="shared" si="143"/>
        <v>35.074999999999996</v>
      </c>
      <c r="F306" s="290">
        <f t="shared" si="143"/>
        <v>29.733333333333338</v>
      </c>
      <c r="G306" s="290">
        <f t="shared" si="143"/>
        <v>31.833333333333332</v>
      </c>
      <c r="H306" s="290">
        <f t="shared" si="143"/>
        <v>35.441249415833326</v>
      </c>
      <c r="I306" s="290">
        <f t="shared" si="143"/>
        <v>34.308333333333316</v>
      </c>
      <c r="J306" s="290">
        <f t="shared" si="143"/>
        <v>34.588908179166651</v>
      </c>
      <c r="K306" s="290">
        <f t="shared" si="143"/>
        <v>33.469500000000011</v>
      </c>
      <c r="L306" s="290">
        <f t="shared" si="143"/>
        <v>27.278416666666676</v>
      </c>
      <c r="M306" s="290">
        <f t="shared" si="143"/>
        <v>20.99600000000002</v>
      </c>
      <c r="N306" s="290">
        <f t="shared" si="143"/>
        <v>24.024249999999995</v>
      </c>
      <c r="O306" s="290">
        <f t="shared" si="143"/>
        <v>38.980333333333306</v>
      </c>
      <c r="P306" s="290">
        <f t="shared" si="143"/>
        <v>30.125500000000006</v>
      </c>
      <c r="Q306" s="290">
        <f t="shared" si="143"/>
        <v>18.581249999999955</v>
      </c>
      <c r="R306" s="290">
        <f t="shared" si="144"/>
        <v>37.58774999999995</v>
      </c>
      <c r="S306" s="290">
        <f t="shared" si="144"/>
        <v>17.819499999999987</v>
      </c>
      <c r="T306" s="290">
        <f t="shared" si="144"/>
        <v>0.14466666666661845</v>
      </c>
      <c r="U306" s="290">
        <f t="shared" si="144"/>
        <v>14.684333333333333</v>
      </c>
      <c r="V306" s="290">
        <f t="shared" si="144"/>
        <v>-9.8314166666665788</v>
      </c>
      <c r="W306" s="290">
        <f t="shared" si="144"/>
        <v>-11.038500000000036</v>
      </c>
      <c r="X306" s="290">
        <f t="shared" si="144"/>
        <v>-51.24683333333337</v>
      </c>
      <c r="Y306" s="290">
        <f t="shared" si="144"/>
        <v>35.213443166666671</v>
      </c>
      <c r="Z306" s="251">
        <f>Z321+Z226+Z274-Z290-Z322</f>
        <v>-11.089267999999976</v>
      </c>
      <c r="AA306" s="252">
        <f t="shared" si="145"/>
        <v>47.249244583333393</v>
      </c>
      <c r="AB306" s="252">
        <f t="shared" si="145"/>
        <v>39.509635083333251</v>
      </c>
      <c r="AC306" s="251">
        <f t="shared" ref="AC306:AC312" si="146">AC321+AC226+AC274-AC290-AC322</f>
        <v>-29.256400000000028</v>
      </c>
      <c r="AD306" s="252">
        <f t="shared" si="145"/>
        <v>17.654062087253958</v>
      </c>
      <c r="AE306" s="252">
        <f t="shared" si="145"/>
        <v>31.33025224066925</v>
      </c>
      <c r="AF306" s="146"/>
    </row>
    <row r="307" spans="1:32">
      <c r="A307" s="240" t="s">
        <v>233</v>
      </c>
      <c r="B307" s="290">
        <f t="shared" si="143"/>
        <v>32</v>
      </c>
      <c r="C307" s="290">
        <f t="shared" si="143"/>
        <v>44.499999999999979</v>
      </c>
      <c r="D307" s="290">
        <f t="shared" si="143"/>
        <v>45</v>
      </c>
      <c r="E307" s="290">
        <f t="shared" si="143"/>
        <v>35.074999999999996</v>
      </c>
      <c r="F307" s="290">
        <f t="shared" si="143"/>
        <v>29.733333333333338</v>
      </c>
      <c r="G307" s="290">
        <f t="shared" si="143"/>
        <v>31.833333333333332</v>
      </c>
      <c r="H307" s="290">
        <f t="shared" si="143"/>
        <v>35.441249415833326</v>
      </c>
      <c r="I307" s="290">
        <f t="shared" si="143"/>
        <v>34.308333333333316</v>
      </c>
      <c r="J307" s="290">
        <f t="shared" si="143"/>
        <v>34.588908179166651</v>
      </c>
      <c r="K307" s="290">
        <f t="shared" si="143"/>
        <v>33.469500000000011</v>
      </c>
      <c r="L307" s="290">
        <f t="shared" si="143"/>
        <v>27.278416666666676</v>
      </c>
      <c r="M307" s="290">
        <f t="shared" si="143"/>
        <v>20.99600000000002</v>
      </c>
      <c r="N307" s="290">
        <f t="shared" si="143"/>
        <v>24.024249999999995</v>
      </c>
      <c r="O307" s="290">
        <f t="shared" si="143"/>
        <v>38.980333333333306</v>
      </c>
      <c r="P307" s="290">
        <f t="shared" si="143"/>
        <v>30.125500000000006</v>
      </c>
      <c r="Q307" s="290">
        <f t="shared" si="143"/>
        <v>18.581249999999955</v>
      </c>
      <c r="R307" s="290">
        <f t="shared" si="144"/>
        <v>37.58774999999995</v>
      </c>
      <c r="S307" s="290">
        <f t="shared" si="144"/>
        <v>17.819499999999987</v>
      </c>
      <c r="T307" s="290">
        <f t="shared" si="144"/>
        <v>0.14466666666661845</v>
      </c>
      <c r="U307" s="290">
        <f t="shared" si="144"/>
        <v>14.684333333333333</v>
      </c>
      <c r="V307" s="290">
        <f t="shared" si="144"/>
        <v>-9.8314166666665788</v>
      </c>
      <c r="W307" s="290">
        <f t="shared" si="144"/>
        <v>-11.038500000000036</v>
      </c>
      <c r="X307" s="290">
        <f t="shared" si="144"/>
        <v>-51.24683333333337</v>
      </c>
      <c r="Y307" s="290">
        <f t="shared" si="144"/>
        <v>35.213443166666671</v>
      </c>
      <c r="Z307" s="251">
        <f>Z322+Z227+Z275-Z291-Z323</f>
        <v>-118.27159800000004</v>
      </c>
      <c r="AA307" s="252">
        <f t="shared" si="145"/>
        <v>47.249244583333393</v>
      </c>
      <c r="AB307" s="252">
        <f t="shared" si="145"/>
        <v>39.509635083333251</v>
      </c>
      <c r="AC307" s="251">
        <f t="shared" si="146"/>
        <v>95.746599999999944</v>
      </c>
      <c r="AD307" s="252">
        <f t="shared" si="145"/>
        <v>17.654062087253958</v>
      </c>
      <c r="AE307" s="252">
        <f t="shared" si="145"/>
        <v>31.33025224066925</v>
      </c>
      <c r="AF307" s="146"/>
    </row>
    <row r="308" spans="1:32">
      <c r="A308" s="240" t="s">
        <v>234</v>
      </c>
      <c r="B308" s="290">
        <f t="shared" si="143"/>
        <v>32</v>
      </c>
      <c r="C308" s="290">
        <f t="shared" si="143"/>
        <v>44.499999999999979</v>
      </c>
      <c r="D308" s="290">
        <f t="shared" si="143"/>
        <v>45</v>
      </c>
      <c r="E308" s="290">
        <f t="shared" si="143"/>
        <v>35.074999999999996</v>
      </c>
      <c r="F308" s="290">
        <f t="shared" si="143"/>
        <v>29.733333333333338</v>
      </c>
      <c r="G308" s="290">
        <f t="shared" si="143"/>
        <v>31.833333333333332</v>
      </c>
      <c r="H308" s="290">
        <f t="shared" si="143"/>
        <v>35.441249415833326</v>
      </c>
      <c r="I308" s="290">
        <f t="shared" si="143"/>
        <v>34.308333333333316</v>
      </c>
      <c r="J308" s="290">
        <f t="shared" si="143"/>
        <v>34.588908179166651</v>
      </c>
      <c r="K308" s="290">
        <f t="shared" si="143"/>
        <v>33.469500000000011</v>
      </c>
      <c r="L308" s="290">
        <f t="shared" si="143"/>
        <v>27.278416666666676</v>
      </c>
      <c r="M308" s="290">
        <f t="shared" si="143"/>
        <v>20.99600000000002</v>
      </c>
      <c r="N308" s="290">
        <f t="shared" si="143"/>
        <v>24.024249999999995</v>
      </c>
      <c r="O308" s="290">
        <f t="shared" si="143"/>
        <v>38.980333333333306</v>
      </c>
      <c r="P308" s="290">
        <f t="shared" si="143"/>
        <v>30.125500000000006</v>
      </c>
      <c r="Q308" s="290">
        <f t="shared" si="143"/>
        <v>18.581249999999955</v>
      </c>
      <c r="R308" s="290">
        <f t="shared" si="144"/>
        <v>37.58774999999995</v>
      </c>
      <c r="S308" s="290">
        <f t="shared" si="144"/>
        <v>17.819499999999987</v>
      </c>
      <c r="T308" s="290">
        <f t="shared" si="144"/>
        <v>0.14466666666661845</v>
      </c>
      <c r="U308" s="290">
        <f t="shared" si="144"/>
        <v>14.684333333333333</v>
      </c>
      <c r="V308" s="290">
        <f t="shared" si="144"/>
        <v>-9.8314166666665788</v>
      </c>
      <c r="W308" s="290">
        <f t="shared" si="144"/>
        <v>-11.038500000000036</v>
      </c>
      <c r="X308" s="290">
        <f t="shared" si="144"/>
        <v>-51.24683333333337</v>
      </c>
      <c r="Y308" s="290">
        <f t="shared" si="144"/>
        <v>35.213443166666671</v>
      </c>
      <c r="Z308" s="252">
        <f t="shared" si="144"/>
        <v>50.618525249999948</v>
      </c>
      <c r="AA308" s="252">
        <f t="shared" si="145"/>
        <v>47.249244583333393</v>
      </c>
      <c r="AB308" s="252">
        <f t="shared" si="145"/>
        <v>39.509635083333251</v>
      </c>
      <c r="AC308" s="251">
        <f t="shared" si="146"/>
        <v>-14.356199999999944</v>
      </c>
      <c r="AD308" s="252">
        <f t="shared" si="145"/>
        <v>17.654062087253958</v>
      </c>
      <c r="AE308" s="252">
        <f t="shared" si="145"/>
        <v>31.33025224066925</v>
      </c>
      <c r="AF308" s="146"/>
    </row>
    <row r="309" spans="1:32">
      <c r="A309" s="240" t="s">
        <v>46</v>
      </c>
      <c r="B309" s="290">
        <f t="shared" si="143"/>
        <v>32</v>
      </c>
      <c r="C309" s="290">
        <f t="shared" si="143"/>
        <v>44.499999999999979</v>
      </c>
      <c r="D309" s="290">
        <f t="shared" si="143"/>
        <v>45</v>
      </c>
      <c r="E309" s="290">
        <f t="shared" si="143"/>
        <v>35.074999999999996</v>
      </c>
      <c r="F309" s="290">
        <f t="shared" si="143"/>
        <v>29.733333333333338</v>
      </c>
      <c r="G309" s="290">
        <f t="shared" si="143"/>
        <v>31.833333333333332</v>
      </c>
      <c r="H309" s="290">
        <f t="shared" si="143"/>
        <v>35.441249415833326</v>
      </c>
      <c r="I309" s="290">
        <f t="shared" si="143"/>
        <v>34.308333333333316</v>
      </c>
      <c r="J309" s="290">
        <f t="shared" si="143"/>
        <v>34.588908179166651</v>
      </c>
      <c r="K309" s="290">
        <f t="shared" si="143"/>
        <v>33.469500000000011</v>
      </c>
      <c r="L309" s="290">
        <f t="shared" si="143"/>
        <v>27.278416666666676</v>
      </c>
      <c r="M309" s="290">
        <f t="shared" si="143"/>
        <v>20.99600000000002</v>
      </c>
      <c r="N309" s="290">
        <f t="shared" si="143"/>
        <v>24.024249999999995</v>
      </c>
      <c r="O309" s="290">
        <f t="shared" si="143"/>
        <v>38.980333333333306</v>
      </c>
      <c r="P309" s="290">
        <f t="shared" si="143"/>
        <v>30.125500000000006</v>
      </c>
      <c r="Q309" s="290">
        <f t="shared" si="143"/>
        <v>18.581249999999955</v>
      </c>
      <c r="R309" s="290">
        <f t="shared" si="144"/>
        <v>37.58774999999995</v>
      </c>
      <c r="S309" s="290">
        <f t="shared" si="144"/>
        <v>17.819499999999987</v>
      </c>
      <c r="T309" s="290">
        <f t="shared" si="144"/>
        <v>0.14466666666661845</v>
      </c>
      <c r="U309" s="290">
        <f t="shared" si="144"/>
        <v>14.684333333333333</v>
      </c>
      <c r="V309" s="290">
        <f t="shared" si="144"/>
        <v>-9.8314166666665788</v>
      </c>
      <c r="W309" s="290">
        <f t="shared" si="144"/>
        <v>-11.038500000000036</v>
      </c>
      <c r="X309" s="290">
        <f t="shared" si="144"/>
        <v>-51.24683333333337</v>
      </c>
      <c r="Y309" s="290">
        <f t="shared" si="144"/>
        <v>35.213443166666671</v>
      </c>
      <c r="Z309" s="252">
        <f t="shared" si="144"/>
        <v>50.618525249999948</v>
      </c>
      <c r="AA309" s="252">
        <f t="shared" si="145"/>
        <v>47.249244583333393</v>
      </c>
      <c r="AB309" s="252">
        <f t="shared" si="145"/>
        <v>39.509635083333251</v>
      </c>
      <c r="AC309" s="251">
        <f t="shared" si="146"/>
        <v>-203.28209999999999</v>
      </c>
      <c r="AD309" s="252">
        <f t="shared" si="145"/>
        <v>17.654062087253958</v>
      </c>
      <c r="AE309" s="252">
        <f t="shared" si="145"/>
        <v>31.33025224066925</v>
      </c>
      <c r="AF309" s="146"/>
    </row>
    <row r="310" spans="1:32">
      <c r="A310" s="240" t="s">
        <v>235</v>
      </c>
      <c r="B310" s="290">
        <f t="shared" si="143"/>
        <v>32</v>
      </c>
      <c r="C310" s="290">
        <f t="shared" si="143"/>
        <v>44.499999999999979</v>
      </c>
      <c r="D310" s="290">
        <f t="shared" si="143"/>
        <v>45</v>
      </c>
      <c r="E310" s="290">
        <f t="shared" si="143"/>
        <v>35.074999999999996</v>
      </c>
      <c r="F310" s="290">
        <f t="shared" si="143"/>
        <v>29.733333333333338</v>
      </c>
      <c r="G310" s="290">
        <f t="shared" si="143"/>
        <v>31.833333333333332</v>
      </c>
      <c r="H310" s="290">
        <f t="shared" si="143"/>
        <v>35.441249415833326</v>
      </c>
      <c r="I310" s="290">
        <f t="shared" si="143"/>
        <v>34.308333333333316</v>
      </c>
      <c r="J310" s="290">
        <f t="shared" si="143"/>
        <v>34.588908179166651</v>
      </c>
      <c r="K310" s="290">
        <f t="shared" si="143"/>
        <v>33.469500000000011</v>
      </c>
      <c r="L310" s="290">
        <f t="shared" si="143"/>
        <v>27.278416666666676</v>
      </c>
      <c r="M310" s="290">
        <f t="shared" si="143"/>
        <v>20.99600000000002</v>
      </c>
      <c r="N310" s="290">
        <f t="shared" si="143"/>
        <v>24.024249999999995</v>
      </c>
      <c r="O310" s="290">
        <f t="shared" si="143"/>
        <v>38.980333333333306</v>
      </c>
      <c r="P310" s="290">
        <f t="shared" si="143"/>
        <v>30.125500000000006</v>
      </c>
      <c r="Q310" s="290">
        <f t="shared" si="143"/>
        <v>18.581249999999955</v>
      </c>
      <c r="R310" s="290">
        <f t="shared" si="144"/>
        <v>37.58774999999995</v>
      </c>
      <c r="S310" s="290">
        <f t="shared" si="144"/>
        <v>17.819499999999987</v>
      </c>
      <c r="T310" s="290">
        <f t="shared" si="144"/>
        <v>0.14466666666661845</v>
      </c>
      <c r="U310" s="290">
        <f t="shared" si="144"/>
        <v>14.684333333333333</v>
      </c>
      <c r="V310" s="290">
        <f t="shared" si="144"/>
        <v>-9.8314166666665788</v>
      </c>
      <c r="W310" s="290">
        <f t="shared" si="144"/>
        <v>-11.038500000000036</v>
      </c>
      <c r="X310" s="290">
        <f t="shared" si="144"/>
        <v>-51.24683333333337</v>
      </c>
      <c r="Y310" s="290">
        <f t="shared" si="144"/>
        <v>35.213443166666671</v>
      </c>
      <c r="Z310" s="252">
        <f t="shared" si="144"/>
        <v>50.618525249999948</v>
      </c>
      <c r="AA310" s="252">
        <f t="shared" si="145"/>
        <v>47.249244583333393</v>
      </c>
      <c r="AB310" s="252">
        <f t="shared" si="145"/>
        <v>39.509635083333251</v>
      </c>
      <c r="AC310" s="251">
        <f t="shared" si="146"/>
        <v>-60.811499999999995</v>
      </c>
      <c r="AD310" s="252">
        <f t="shared" si="145"/>
        <v>17.654062087253958</v>
      </c>
      <c r="AE310" s="252">
        <f t="shared" si="145"/>
        <v>31.33025224066925</v>
      </c>
      <c r="AF310" s="146"/>
    </row>
    <row r="311" spans="1:32">
      <c r="A311" s="240" t="s">
        <v>236</v>
      </c>
      <c r="B311" s="290">
        <f t="shared" si="143"/>
        <v>32</v>
      </c>
      <c r="C311" s="290">
        <f t="shared" si="143"/>
        <v>44.499999999999979</v>
      </c>
      <c r="D311" s="290">
        <f t="shared" si="143"/>
        <v>45</v>
      </c>
      <c r="E311" s="290">
        <f t="shared" si="143"/>
        <v>35.074999999999996</v>
      </c>
      <c r="F311" s="290">
        <f t="shared" si="143"/>
        <v>29.733333333333338</v>
      </c>
      <c r="G311" s="290">
        <f t="shared" si="143"/>
        <v>31.833333333333332</v>
      </c>
      <c r="H311" s="290">
        <f t="shared" si="143"/>
        <v>35.441249415833326</v>
      </c>
      <c r="I311" s="290">
        <f t="shared" si="143"/>
        <v>34.308333333333316</v>
      </c>
      <c r="J311" s="290">
        <f t="shared" si="143"/>
        <v>34.588908179166651</v>
      </c>
      <c r="K311" s="290">
        <f t="shared" si="143"/>
        <v>33.469500000000011</v>
      </c>
      <c r="L311" s="290">
        <f t="shared" si="143"/>
        <v>27.278416666666676</v>
      </c>
      <c r="M311" s="290">
        <f t="shared" si="143"/>
        <v>20.99600000000002</v>
      </c>
      <c r="N311" s="290">
        <f t="shared" si="143"/>
        <v>24.024249999999995</v>
      </c>
      <c r="O311" s="290">
        <f t="shared" si="143"/>
        <v>38.980333333333306</v>
      </c>
      <c r="P311" s="290">
        <f t="shared" si="143"/>
        <v>30.125500000000006</v>
      </c>
      <c r="Q311" s="290">
        <f t="shared" si="143"/>
        <v>18.581249999999955</v>
      </c>
      <c r="R311" s="290">
        <f t="shared" si="144"/>
        <v>37.58774999999995</v>
      </c>
      <c r="S311" s="290">
        <f t="shared" si="144"/>
        <v>17.819499999999987</v>
      </c>
      <c r="T311" s="290">
        <f t="shared" si="144"/>
        <v>0.14466666666661845</v>
      </c>
      <c r="U311" s="290">
        <f t="shared" si="144"/>
        <v>14.684333333333333</v>
      </c>
      <c r="V311" s="290">
        <f t="shared" si="144"/>
        <v>-9.8314166666665788</v>
      </c>
      <c r="W311" s="290">
        <f t="shared" si="144"/>
        <v>-11.038500000000036</v>
      </c>
      <c r="X311" s="290">
        <f t="shared" si="144"/>
        <v>-51.24683333333337</v>
      </c>
      <c r="Y311" s="290">
        <f t="shared" si="144"/>
        <v>35.213443166666671</v>
      </c>
      <c r="Z311" s="252">
        <f t="shared" si="144"/>
        <v>50.618525249999948</v>
      </c>
      <c r="AA311" s="252">
        <f t="shared" si="145"/>
        <v>47.249244583333393</v>
      </c>
      <c r="AB311" s="252">
        <f t="shared" si="145"/>
        <v>39.509635083333251</v>
      </c>
      <c r="AC311" s="251">
        <f t="shared" si="146"/>
        <v>-128.4385</v>
      </c>
      <c r="AD311" s="252">
        <f t="shared" si="145"/>
        <v>17.654062087253958</v>
      </c>
      <c r="AE311" s="252">
        <f t="shared" si="145"/>
        <v>31.33025224066925</v>
      </c>
      <c r="AF311" s="146"/>
    </row>
    <row r="312" spans="1:32">
      <c r="A312" s="240" t="s">
        <v>237</v>
      </c>
      <c r="B312" s="290">
        <f t="shared" si="143"/>
        <v>32</v>
      </c>
      <c r="C312" s="290">
        <f t="shared" si="143"/>
        <v>44.499999999999979</v>
      </c>
      <c r="D312" s="290">
        <f t="shared" si="143"/>
        <v>45</v>
      </c>
      <c r="E312" s="290">
        <f t="shared" si="143"/>
        <v>35.074999999999996</v>
      </c>
      <c r="F312" s="290">
        <f t="shared" si="143"/>
        <v>29.733333333333338</v>
      </c>
      <c r="G312" s="290">
        <f t="shared" si="143"/>
        <v>31.833333333333332</v>
      </c>
      <c r="H312" s="290">
        <f t="shared" si="143"/>
        <v>35.441249415833326</v>
      </c>
      <c r="I312" s="290">
        <f t="shared" si="143"/>
        <v>34.308333333333316</v>
      </c>
      <c r="J312" s="290">
        <f t="shared" si="143"/>
        <v>34.588908179166651</v>
      </c>
      <c r="K312" s="290">
        <f t="shared" si="143"/>
        <v>33.469500000000011</v>
      </c>
      <c r="L312" s="290">
        <f t="shared" si="143"/>
        <v>27.278416666666676</v>
      </c>
      <c r="M312" s="290">
        <f t="shared" si="143"/>
        <v>20.99600000000002</v>
      </c>
      <c r="N312" s="290">
        <f t="shared" si="143"/>
        <v>24.024249999999995</v>
      </c>
      <c r="O312" s="290">
        <f t="shared" si="143"/>
        <v>38.980333333333306</v>
      </c>
      <c r="P312" s="290">
        <f t="shared" si="143"/>
        <v>30.125500000000006</v>
      </c>
      <c r="Q312" s="290">
        <f t="shared" si="143"/>
        <v>18.581249999999955</v>
      </c>
      <c r="R312" s="290">
        <f t="shared" si="144"/>
        <v>37.58774999999995</v>
      </c>
      <c r="S312" s="290">
        <f t="shared" si="144"/>
        <v>17.819499999999987</v>
      </c>
      <c r="T312" s="290">
        <f t="shared" si="144"/>
        <v>0.14466666666661845</v>
      </c>
      <c r="U312" s="290">
        <f t="shared" si="144"/>
        <v>14.684333333333333</v>
      </c>
      <c r="V312" s="290">
        <f t="shared" si="144"/>
        <v>-9.8314166666665788</v>
      </c>
      <c r="W312" s="290">
        <f t="shared" si="144"/>
        <v>-11.038500000000036</v>
      </c>
      <c r="X312" s="290">
        <f t="shared" si="144"/>
        <v>-51.24683333333337</v>
      </c>
      <c r="Y312" s="290">
        <f t="shared" si="144"/>
        <v>35.213443166666671</v>
      </c>
      <c r="Z312" s="252">
        <f t="shared" si="144"/>
        <v>50.618525249999948</v>
      </c>
      <c r="AA312" s="252">
        <f t="shared" si="145"/>
        <v>47.249244583333393</v>
      </c>
      <c r="AB312" s="252">
        <f t="shared" si="145"/>
        <v>39.509635083333251</v>
      </c>
      <c r="AC312" s="251">
        <f t="shared" si="146"/>
        <v>-90.274600000000021</v>
      </c>
      <c r="AD312" s="252">
        <f t="shared" si="145"/>
        <v>17.654062087253958</v>
      </c>
      <c r="AE312" s="252">
        <f t="shared" si="145"/>
        <v>31.33025224066925</v>
      </c>
      <c r="AF312" s="146"/>
    </row>
    <row r="313" spans="1:32">
      <c r="A313" s="240" t="s">
        <v>238</v>
      </c>
      <c r="B313" s="290">
        <f t="shared" si="143"/>
        <v>32</v>
      </c>
      <c r="C313" s="290">
        <f t="shared" si="143"/>
        <v>44.499999999999979</v>
      </c>
      <c r="D313" s="290">
        <f t="shared" si="143"/>
        <v>45</v>
      </c>
      <c r="E313" s="290">
        <f t="shared" si="143"/>
        <v>35.074999999999996</v>
      </c>
      <c r="F313" s="290">
        <f t="shared" si="143"/>
        <v>29.733333333333338</v>
      </c>
      <c r="G313" s="290">
        <f t="shared" si="143"/>
        <v>31.833333333333332</v>
      </c>
      <c r="H313" s="290">
        <f t="shared" si="143"/>
        <v>35.441249415833326</v>
      </c>
      <c r="I313" s="290">
        <f t="shared" si="143"/>
        <v>34.308333333333316</v>
      </c>
      <c r="J313" s="290">
        <f t="shared" si="143"/>
        <v>34.588908179166651</v>
      </c>
      <c r="K313" s="290">
        <f t="shared" si="143"/>
        <v>33.469500000000011</v>
      </c>
      <c r="L313" s="290">
        <f t="shared" si="143"/>
        <v>27.278416666666676</v>
      </c>
      <c r="M313" s="290">
        <f t="shared" si="143"/>
        <v>20.99600000000002</v>
      </c>
      <c r="N313" s="290">
        <f t="shared" si="143"/>
        <v>24.024249999999995</v>
      </c>
      <c r="O313" s="290">
        <f t="shared" si="143"/>
        <v>38.980333333333306</v>
      </c>
      <c r="P313" s="290">
        <f t="shared" si="143"/>
        <v>30.125500000000006</v>
      </c>
      <c r="Q313" s="290">
        <f t="shared" si="143"/>
        <v>18.581249999999955</v>
      </c>
      <c r="R313" s="290">
        <f t="shared" si="144"/>
        <v>37.58774999999995</v>
      </c>
      <c r="S313" s="290">
        <f t="shared" si="144"/>
        <v>17.819499999999987</v>
      </c>
      <c r="T313" s="290">
        <f t="shared" si="144"/>
        <v>0.14466666666661845</v>
      </c>
      <c r="U313" s="290">
        <f t="shared" si="144"/>
        <v>14.684333333333333</v>
      </c>
      <c r="V313" s="290">
        <f t="shared" si="144"/>
        <v>-9.8314166666665788</v>
      </c>
      <c r="W313" s="290">
        <f t="shared" si="144"/>
        <v>-11.038500000000036</v>
      </c>
      <c r="X313" s="290">
        <f t="shared" si="144"/>
        <v>-51.24683333333337</v>
      </c>
      <c r="Y313" s="290">
        <f t="shared" si="144"/>
        <v>35.213443166666671</v>
      </c>
      <c r="Z313" s="252">
        <f t="shared" si="144"/>
        <v>50.618525249999948</v>
      </c>
      <c r="AA313" s="252">
        <f t="shared" si="145"/>
        <v>47.249244583333393</v>
      </c>
      <c r="AB313" s="252">
        <f t="shared" si="145"/>
        <v>39.509635083333251</v>
      </c>
      <c r="AC313" s="252">
        <f>AC314-SUM(AC302:AC312)</f>
        <v>496.1360481923075</v>
      </c>
      <c r="AD313" s="252">
        <f t="shared" si="145"/>
        <v>17.654062087253958</v>
      </c>
      <c r="AE313" s="252">
        <f t="shared" si="145"/>
        <v>31.33025224066925</v>
      </c>
      <c r="AF313" s="146"/>
    </row>
    <row r="314" spans="1:32" ht="15.75" thickBot="1">
      <c r="A314" s="240" t="s">
        <v>242</v>
      </c>
      <c r="B314" s="146">
        <f t="shared" ref="B314:AE314" si="147">B36</f>
        <v>384</v>
      </c>
      <c r="C314" s="146">
        <f t="shared" si="147"/>
        <v>533.99999999999977</v>
      </c>
      <c r="D314" s="146">
        <f t="shared" si="147"/>
        <v>540</v>
      </c>
      <c r="E314" s="146">
        <f t="shared" si="147"/>
        <v>420.9</v>
      </c>
      <c r="F314" s="146">
        <f t="shared" si="147"/>
        <v>356.80000000000007</v>
      </c>
      <c r="G314" s="146">
        <f t="shared" si="147"/>
        <v>382</v>
      </c>
      <c r="H314" s="146">
        <f t="shared" si="147"/>
        <v>425.29499298999991</v>
      </c>
      <c r="I314" s="146">
        <f t="shared" si="147"/>
        <v>411.69999999999982</v>
      </c>
      <c r="J314" s="146">
        <f t="shared" si="147"/>
        <v>415.06689814999982</v>
      </c>
      <c r="K314" s="146">
        <f t="shared" si="147"/>
        <v>401.63400000000013</v>
      </c>
      <c r="L314" s="146">
        <f t="shared" si="147"/>
        <v>327.34100000000012</v>
      </c>
      <c r="M314" s="146">
        <f t="shared" si="147"/>
        <v>251.95200000000023</v>
      </c>
      <c r="N314" s="146">
        <f t="shared" si="147"/>
        <v>288.29099999999994</v>
      </c>
      <c r="O314" s="146">
        <f t="shared" si="147"/>
        <v>467.76399999999967</v>
      </c>
      <c r="P314" s="146">
        <f t="shared" si="147"/>
        <v>361.50600000000009</v>
      </c>
      <c r="Q314" s="146">
        <f t="shared" si="147"/>
        <v>222.97499999999945</v>
      </c>
      <c r="R314" s="146">
        <f t="shared" si="147"/>
        <v>451.05299999999943</v>
      </c>
      <c r="S314" s="146">
        <f t="shared" si="147"/>
        <v>213.83399999999983</v>
      </c>
      <c r="T314" s="146">
        <f t="shared" si="147"/>
        <v>1.7359999999994216</v>
      </c>
      <c r="U314" s="146">
        <f t="shared" si="147"/>
        <v>176.21199999999999</v>
      </c>
      <c r="V314" s="146">
        <f t="shared" si="147"/>
        <v>-117.97699999999895</v>
      </c>
      <c r="W314" s="146">
        <f t="shared" si="147"/>
        <v>-132.46200000000044</v>
      </c>
      <c r="X314" s="146">
        <f t="shared" si="147"/>
        <v>-614.96200000000044</v>
      </c>
      <c r="Y314" s="146">
        <f t="shared" si="147"/>
        <v>422.56131800000003</v>
      </c>
      <c r="Z314" s="253">
        <f t="shared" si="147"/>
        <v>607.42230299999937</v>
      </c>
      <c r="AA314" s="253">
        <f t="shared" si="147"/>
        <v>566.99093500000072</v>
      </c>
      <c r="AB314" s="253">
        <f t="shared" si="147"/>
        <v>474.11562099999901</v>
      </c>
      <c r="AC314" s="253">
        <f t="shared" si="147"/>
        <v>607.61725399999978</v>
      </c>
      <c r="AD314" s="253">
        <f t="shared" si="147"/>
        <v>211.84874504704749</v>
      </c>
      <c r="AE314" s="253">
        <f t="shared" si="147"/>
        <v>375.96302688803098</v>
      </c>
      <c r="AF314" s="146"/>
    </row>
    <row r="315" spans="1:32">
      <c r="A315" s="248"/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4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  <c r="X315" s="254"/>
      <c r="Y315" s="254"/>
      <c r="Z315" s="254">
        <f t="shared" ref="Z315:AE315" si="148">Z36</f>
        <v>607.42230299999937</v>
      </c>
      <c r="AA315" s="254">
        <f t="shared" si="148"/>
        <v>566.99093500000072</v>
      </c>
      <c r="AB315" s="254">
        <f t="shared" si="148"/>
        <v>474.11562099999901</v>
      </c>
      <c r="AC315" s="254">
        <f t="shared" si="148"/>
        <v>607.61725399999978</v>
      </c>
      <c r="AD315" s="254">
        <f t="shared" si="148"/>
        <v>211.84874504704749</v>
      </c>
      <c r="AE315" s="254">
        <f t="shared" si="148"/>
        <v>375.96302688803098</v>
      </c>
    </row>
    <row r="316" spans="1:32" ht="15.75" thickBot="1">
      <c r="A316" s="235" t="s">
        <v>269</v>
      </c>
    </row>
    <row r="317" spans="1:32" ht="15.75" thickBot="1">
      <c r="A317" s="236"/>
      <c r="B317" s="237" t="str">
        <f>B$2</f>
        <v xml:space="preserve">93/94 </v>
      </c>
      <c r="C317" s="237" t="str">
        <f t="shared" ref="C317:AE317" si="149">C$2</f>
        <v xml:space="preserve">94/95 </v>
      </c>
      <c r="D317" s="237" t="str">
        <f t="shared" si="149"/>
        <v xml:space="preserve">95/96 </v>
      </c>
      <c r="E317" s="237" t="str">
        <f t="shared" si="149"/>
        <v xml:space="preserve">96/97 </v>
      </c>
      <c r="F317" s="237" t="str">
        <f t="shared" si="149"/>
        <v xml:space="preserve">97/98 </v>
      </c>
      <c r="G317" s="237" t="str">
        <f t="shared" si="149"/>
        <v xml:space="preserve">98/99 </v>
      </c>
      <c r="H317" s="237" t="str">
        <f t="shared" si="149"/>
        <v xml:space="preserve">99/00 </v>
      </c>
      <c r="I317" s="237" t="str">
        <f t="shared" si="149"/>
        <v xml:space="preserve">00/01 </v>
      </c>
      <c r="J317" s="237" t="str">
        <f t="shared" si="149"/>
        <v xml:space="preserve">01/02 </v>
      </c>
      <c r="K317" s="237" t="str">
        <f t="shared" si="149"/>
        <v xml:space="preserve">02/03 </v>
      </c>
      <c r="L317" s="237" t="str">
        <f t="shared" si="149"/>
        <v xml:space="preserve">03/04 </v>
      </c>
      <c r="M317" s="237" t="str">
        <f t="shared" si="149"/>
        <v xml:space="preserve">04/05 </v>
      </c>
      <c r="N317" s="237" t="str">
        <f t="shared" si="149"/>
        <v xml:space="preserve">05/06 </v>
      </c>
      <c r="O317" s="237" t="str">
        <f t="shared" si="149"/>
        <v xml:space="preserve">06/07 </v>
      </c>
      <c r="P317" s="237" t="str">
        <f t="shared" si="149"/>
        <v xml:space="preserve">07/08 </v>
      </c>
      <c r="Q317" s="237" t="str">
        <f t="shared" si="149"/>
        <v xml:space="preserve">08/09 </v>
      </c>
      <c r="R317" s="237" t="str">
        <f t="shared" si="149"/>
        <v xml:space="preserve">09/10 </v>
      </c>
      <c r="S317" s="237" t="str">
        <f t="shared" si="149"/>
        <v xml:space="preserve">10/11 </v>
      </c>
      <c r="T317" s="237" t="str">
        <f t="shared" si="149"/>
        <v xml:space="preserve">11/12 </v>
      </c>
      <c r="U317" s="237" t="str">
        <f t="shared" si="149"/>
        <v xml:space="preserve">12/13 </v>
      </c>
      <c r="V317" s="237" t="str">
        <f t="shared" si="149"/>
        <v xml:space="preserve">13/14 </v>
      </c>
      <c r="W317" s="237" t="str">
        <f t="shared" si="149"/>
        <v xml:space="preserve">14/15 </v>
      </c>
      <c r="X317" s="237" t="str">
        <f t="shared" si="149"/>
        <v xml:space="preserve">15/16 </v>
      </c>
      <c r="Y317" s="237" t="str">
        <f t="shared" si="149"/>
        <v xml:space="preserve">16/17 </v>
      </c>
      <c r="Z317" s="237" t="str">
        <f t="shared" si="149"/>
        <v xml:space="preserve">17/18 </v>
      </c>
      <c r="AA317" s="237" t="str">
        <f t="shared" si="149"/>
        <v xml:space="preserve">18/19 </v>
      </c>
      <c r="AB317" s="237" t="str">
        <f t="shared" si="149"/>
        <v xml:space="preserve">19/20 </v>
      </c>
      <c r="AC317" s="237" t="str">
        <f t="shared" si="149"/>
        <v xml:space="preserve">20/21 </v>
      </c>
      <c r="AD317" s="237" t="str">
        <f t="shared" si="149"/>
        <v>21/22</v>
      </c>
      <c r="AE317" s="237" t="str">
        <f t="shared" si="149"/>
        <v>22/23</v>
      </c>
      <c r="AF317" s="269"/>
    </row>
    <row r="318" spans="1:32">
      <c r="A318" s="240" t="s">
        <v>239</v>
      </c>
      <c r="B318" s="290">
        <f>(B$329-B$32)/13+B32</f>
        <v>205.23076923076923</v>
      </c>
      <c r="C318" s="290">
        <f>(C$329-B$329)/13+B329</f>
        <v>189.15384615384616</v>
      </c>
      <c r="D318" s="290">
        <f t="shared" ref="D318:Y318" si="150">(D$329-C$329)/13+C329</f>
        <v>110.30769230769231</v>
      </c>
      <c r="E318" s="290">
        <f t="shared" si="150"/>
        <v>140.38461538461539</v>
      </c>
      <c r="F318" s="290">
        <f t="shared" si="150"/>
        <v>23.76923076923077</v>
      </c>
      <c r="G318" s="290">
        <f t="shared" si="150"/>
        <v>8.8461538461538467</v>
      </c>
      <c r="H318" s="290">
        <f t="shared" si="150"/>
        <v>7.384615384615385</v>
      </c>
      <c r="I318" s="290">
        <f t="shared" si="150"/>
        <v>12.23076923076923</v>
      </c>
      <c r="J318" s="290">
        <f t="shared" si="150"/>
        <v>16.53846153846154</v>
      </c>
      <c r="K318" s="290">
        <f t="shared" si="150"/>
        <v>33</v>
      </c>
      <c r="L318" s="290">
        <f t="shared" si="150"/>
        <v>12</v>
      </c>
      <c r="M318" s="290">
        <f t="shared" si="150"/>
        <v>66.84615384615384</v>
      </c>
      <c r="N318" s="290">
        <f t="shared" si="150"/>
        <v>292.53846153846155</v>
      </c>
      <c r="O318" s="290">
        <f t="shared" si="150"/>
        <v>271.84615384615387</v>
      </c>
      <c r="P318" s="290">
        <f t="shared" si="150"/>
        <v>94.461538461538467</v>
      </c>
      <c r="Q318" s="290">
        <f t="shared" si="150"/>
        <v>157.07692307692307</v>
      </c>
      <c r="R318" s="290">
        <f t="shared" si="150"/>
        <v>256.61538461538464</v>
      </c>
      <c r="S318" s="290">
        <f t="shared" si="150"/>
        <v>155.84615384615384</v>
      </c>
      <c r="T318" s="290">
        <f t="shared" si="150"/>
        <v>310.61538461538464</v>
      </c>
      <c r="U318" s="290">
        <f t="shared" si="150"/>
        <v>450</v>
      </c>
      <c r="V318" s="290">
        <f t="shared" si="150"/>
        <v>308.23076923076923</v>
      </c>
      <c r="W318" s="290">
        <f t="shared" si="150"/>
        <v>331.84615384615387</v>
      </c>
      <c r="X318" s="290">
        <f t="shared" si="150"/>
        <v>287.92307692307691</v>
      </c>
      <c r="Y318" s="290">
        <f t="shared" si="150"/>
        <v>218.07692307692307</v>
      </c>
      <c r="Z318" s="252">
        <f t="shared" ref="Z318:AE318" si="151">(Z$329-Z$329)/13+Y329</f>
        <v>255</v>
      </c>
      <c r="AA318" s="252">
        <f t="shared" si="151"/>
        <v>279</v>
      </c>
      <c r="AB318" s="252">
        <f t="shared" si="151"/>
        <v>35</v>
      </c>
      <c r="AC318" s="252">
        <f t="shared" si="151"/>
        <v>189</v>
      </c>
      <c r="AD318" s="252">
        <f t="shared" si="151"/>
        <v>269</v>
      </c>
      <c r="AE318" s="252">
        <f t="shared" si="151"/>
        <v>450</v>
      </c>
    </row>
    <row r="319" spans="1:32">
      <c r="A319" s="240" t="s">
        <v>240</v>
      </c>
      <c r="B319" s="290">
        <f t="shared" ref="B319:B328" si="152">(B$329-B$32)/13+B318</f>
        <v>204.46153846153845</v>
      </c>
      <c r="C319" s="290">
        <f>(C$329-B$329)/13+C318</f>
        <v>182.30769230769232</v>
      </c>
      <c r="D319" s="290">
        <f t="shared" ref="D319:Y328" si="153">(D$329-C$329)/13+D318</f>
        <v>113.61538461538461</v>
      </c>
      <c r="E319" s="290">
        <f t="shared" si="153"/>
        <v>130.76923076923077</v>
      </c>
      <c r="F319" s="290">
        <f t="shared" si="153"/>
        <v>22.53846153846154</v>
      </c>
      <c r="G319" s="290">
        <f t="shared" si="153"/>
        <v>8.6923076923076934</v>
      </c>
      <c r="H319" s="290">
        <f t="shared" si="153"/>
        <v>7.7692307692307701</v>
      </c>
      <c r="I319" s="290">
        <f t="shared" si="153"/>
        <v>12.46153846153846</v>
      </c>
      <c r="J319" s="290">
        <f t="shared" si="153"/>
        <v>18.07692307692308</v>
      </c>
      <c r="K319" s="290">
        <f t="shared" si="153"/>
        <v>31</v>
      </c>
      <c r="L319" s="290">
        <f t="shared" si="153"/>
        <v>15</v>
      </c>
      <c r="M319" s="290">
        <f t="shared" si="153"/>
        <v>85.692307692307679</v>
      </c>
      <c r="N319" s="290">
        <f t="shared" si="153"/>
        <v>292.07692307692309</v>
      </c>
      <c r="O319" s="290">
        <f t="shared" si="153"/>
        <v>256.69230769230774</v>
      </c>
      <c r="P319" s="290">
        <f t="shared" si="153"/>
        <v>98.923076923076934</v>
      </c>
      <c r="Q319" s="290">
        <f t="shared" si="153"/>
        <v>166.15384615384613</v>
      </c>
      <c r="R319" s="290">
        <f t="shared" si="153"/>
        <v>247.23076923076925</v>
      </c>
      <c r="S319" s="290">
        <f t="shared" si="153"/>
        <v>167.69230769230768</v>
      </c>
      <c r="T319" s="290">
        <f t="shared" si="153"/>
        <v>323.23076923076928</v>
      </c>
      <c r="U319" s="290">
        <f t="shared" si="153"/>
        <v>438</v>
      </c>
      <c r="V319" s="290">
        <f t="shared" si="153"/>
        <v>310.46153846153845</v>
      </c>
      <c r="W319" s="290">
        <f t="shared" si="153"/>
        <v>328.69230769230774</v>
      </c>
      <c r="X319" s="290">
        <f t="shared" si="153"/>
        <v>281.84615384615381</v>
      </c>
      <c r="Y319" s="290">
        <f t="shared" si="153"/>
        <v>221.15384615384613</v>
      </c>
      <c r="Z319" s="252">
        <f t="shared" ref="Z319:AE319" si="154">(Z$329-Z$32)/13+Z318</f>
        <v>256.84615384615387</v>
      </c>
      <c r="AA319" s="252">
        <f t="shared" si="154"/>
        <v>260.23076923076923</v>
      </c>
      <c r="AB319" s="252">
        <f t="shared" si="154"/>
        <v>46.846153846153847</v>
      </c>
      <c r="AC319" s="252">
        <f t="shared" si="154"/>
        <v>195.15384615384616</v>
      </c>
      <c r="AD319" s="252">
        <f t="shared" si="154"/>
        <v>282.92307692307691</v>
      </c>
      <c r="AE319" s="252">
        <f t="shared" si="154"/>
        <v>444.23076923076923</v>
      </c>
    </row>
    <row r="320" spans="1:32">
      <c r="A320" s="240" t="s">
        <v>241</v>
      </c>
      <c r="B320" s="290">
        <f t="shared" si="152"/>
        <v>203.69230769230768</v>
      </c>
      <c r="C320" s="290">
        <f t="shared" ref="C320:C328" si="155">(C$329-B$329)/13+C319</f>
        <v>175.46153846153848</v>
      </c>
      <c r="D320" s="290">
        <f t="shared" si="153"/>
        <v>116.92307692307692</v>
      </c>
      <c r="E320" s="290">
        <f t="shared" si="153"/>
        <v>121.15384615384616</v>
      </c>
      <c r="F320" s="290">
        <f t="shared" si="153"/>
        <v>21.30769230769231</v>
      </c>
      <c r="G320" s="290">
        <f t="shared" si="153"/>
        <v>8.5384615384615401</v>
      </c>
      <c r="H320" s="290">
        <f t="shared" si="153"/>
        <v>8.1538461538461551</v>
      </c>
      <c r="I320" s="290">
        <f t="shared" si="153"/>
        <v>12.69230769230769</v>
      </c>
      <c r="J320" s="290">
        <f t="shared" si="153"/>
        <v>19.61538461538462</v>
      </c>
      <c r="K320" s="290">
        <f t="shared" si="153"/>
        <v>29</v>
      </c>
      <c r="L320" s="290">
        <f t="shared" si="153"/>
        <v>18</v>
      </c>
      <c r="M320" s="290">
        <f t="shared" si="153"/>
        <v>104.53846153846152</v>
      </c>
      <c r="N320" s="290">
        <f t="shared" si="153"/>
        <v>291.61538461538464</v>
      </c>
      <c r="O320" s="290">
        <f t="shared" si="153"/>
        <v>241.53846153846158</v>
      </c>
      <c r="P320" s="290">
        <f t="shared" si="153"/>
        <v>103.3846153846154</v>
      </c>
      <c r="Q320" s="290">
        <f t="shared" si="153"/>
        <v>175.2307692307692</v>
      </c>
      <c r="R320" s="290">
        <f t="shared" si="153"/>
        <v>237.84615384615387</v>
      </c>
      <c r="S320" s="290">
        <f t="shared" si="153"/>
        <v>179.53846153846152</v>
      </c>
      <c r="T320" s="290">
        <f t="shared" si="153"/>
        <v>335.84615384615392</v>
      </c>
      <c r="U320" s="290">
        <f t="shared" si="153"/>
        <v>426</v>
      </c>
      <c r="V320" s="290">
        <f t="shared" si="153"/>
        <v>312.69230769230768</v>
      </c>
      <c r="W320" s="290">
        <f t="shared" si="153"/>
        <v>325.5384615384616</v>
      </c>
      <c r="X320" s="290">
        <f t="shared" si="153"/>
        <v>275.76923076923072</v>
      </c>
      <c r="Y320" s="290">
        <f t="shared" si="153"/>
        <v>224.2307692307692</v>
      </c>
      <c r="Z320" s="251">
        <f>AO249</f>
        <v>111.01</v>
      </c>
      <c r="AA320" s="252">
        <f>(AA$329-AA$32)/13+AA319</f>
        <v>241.46153846153845</v>
      </c>
      <c r="AB320" s="252">
        <f>(AB$329-AB$32)/13+AB319</f>
        <v>58.692307692307693</v>
      </c>
      <c r="AC320" s="252">
        <f>(AC$329-AC$32)/13+AC319</f>
        <v>201.30769230769232</v>
      </c>
      <c r="AD320" s="252">
        <f>(AD$329-AD$32)/13+AD319</f>
        <v>296.84615384615381</v>
      </c>
      <c r="AE320" s="252">
        <f>(AE$329-AE$32)/13+AE319</f>
        <v>438.46153846153845</v>
      </c>
    </row>
    <row r="321" spans="1:36">
      <c r="A321" s="240" t="s">
        <v>231</v>
      </c>
      <c r="B321" s="290">
        <f t="shared" si="152"/>
        <v>202.92307692307691</v>
      </c>
      <c r="C321" s="290">
        <f t="shared" si="155"/>
        <v>168.61538461538464</v>
      </c>
      <c r="D321" s="290">
        <f t="shared" si="153"/>
        <v>120.23076923076923</v>
      </c>
      <c r="E321" s="290">
        <f t="shared" si="153"/>
        <v>111.53846153846155</v>
      </c>
      <c r="F321" s="290">
        <f t="shared" si="153"/>
        <v>20.07692307692308</v>
      </c>
      <c r="G321" s="290">
        <f t="shared" si="153"/>
        <v>8.3846153846153868</v>
      </c>
      <c r="H321" s="290">
        <f t="shared" si="153"/>
        <v>8.5384615384615401</v>
      </c>
      <c r="I321" s="290">
        <f t="shared" si="153"/>
        <v>12.92307692307692</v>
      </c>
      <c r="J321" s="290">
        <f t="shared" si="153"/>
        <v>21.15384615384616</v>
      </c>
      <c r="K321" s="290">
        <f t="shared" si="153"/>
        <v>27</v>
      </c>
      <c r="L321" s="290">
        <f t="shared" si="153"/>
        <v>21</v>
      </c>
      <c r="M321" s="290">
        <f t="shared" si="153"/>
        <v>123.38461538461536</v>
      </c>
      <c r="N321" s="290">
        <f t="shared" si="153"/>
        <v>291.15384615384619</v>
      </c>
      <c r="O321" s="290">
        <f t="shared" si="153"/>
        <v>226.38461538461542</v>
      </c>
      <c r="P321" s="290">
        <f t="shared" si="153"/>
        <v>107.84615384615387</v>
      </c>
      <c r="Q321" s="290">
        <f t="shared" si="153"/>
        <v>184.30769230769226</v>
      </c>
      <c r="R321" s="290">
        <f t="shared" si="153"/>
        <v>228.46153846153848</v>
      </c>
      <c r="S321" s="290">
        <f t="shared" si="153"/>
        <v>191.38461538461536</v>
      </c>
      <c r="T321" s="290">
        <f t="shared" si="153"/>
        <v>348.46153846153857</v>
      </c>
      <c r="U321" s="290">
        <f t="shared" si="153"/>
        <v>414</v>
      </c>
      <c r="V321" s="290">
        <f t="shared" si="153"/>
        <v>314.92307692307691</v>
      </c>
      <c r="W321" s="290">
        <f t="shared" si="153"/>
        <v>322.38461538461547</v>
      </c>
      <c r="X321" s="290">
        <f t="shared" si="153"/>
        <v>269.69230769230762</v>
      </c>
      <c r="Y321" s="290">
        <f t="shared" si="153"/>
        <v>227.30769230769226</v>
      </c>
      <c r="Z321" s="251">
        <f>AP238</f>
        <v>124.23399999999999</v>
      </c>
      <c r="AA321" s="252">
        <f t="shared" ref="AA321:AB328" si="156">(AA$329-AA$32)/13+AA320</f>
        <v>222.69230769230768</v>
      </c>
      <c r="AB321" s="252">
        <f t="shared" si="156"/>
        <v>70.538461538461547</v>
      </c>
      <c r="AC321" s="251">
        <f>AS238</f>
        <v>117.449</v>
      </c>
      <c r="AD321" s="252">
        <f t="shared" ref="AD321:AE328" si="157">(AD$329-AD$32)/13+AD320</f>
        <v>310.76923076923072</v>
      </c>
      <c r="AE321" s="252">
        <f t="shared" si="157"/>
        <v>432.69230769230768</v>
      </c>
    </row>
    <row r="322" spans="1:36">
      <c r="A322" s="240" t="s">
        <v>232</v>
      </c>
      <c r="B322" s="290">
        <f t="shared" si="152"/>
        <v>202.15384615384613</v>
      </c>
      <c r="C322" s="290">
        <f t="shared" si="155"/>
        <v>161.7692307692308</v>
      </c>
      <c r="D322" s="290">
        <f t="shared" si="153"/>
        <v>123.53846153846153</v>
      </c>
      <c r="E322" s="290">
        <f t="shared" si="153"/>
        <v>101.92307692307693</v>
      </c>
      <c r="F322" s="290">
        <f t="shared" si="153"/>
        <v>18.84615384615385</v>
      </c>
      <c r="G322" s="290">
        <f t="shared" si="153"/>
        <v>8.2307692307692335</v>
      </c>
      <c r="H322" s="290">
        <f t="shared" si="153"/>
        <v>8.9230769230769251</v>
      </c>
      <c r="I322" s="290">
        <f t="shared" si="153"/>
        <v>13.15384615384615</v>
      </c>
      <c r="J322" s="290">
        <f t="shared" si="153"/>
        <v>22.692307692307701</v>
      </c>
      <c r="K322" s="290">
        <f t="shared" si="153"/>
        <v>25</v>
      </c>
      <c r="L322" s="290">
        <f t="shared" si="153"/>
        <v>24</v>
      </c>
      <c r="M322" s="290">
        <f t="shared" si="153"/>
        <v>142.2307692307692</v>
      </c>
      <c r="N322" s="290">
        <f t="shared" si="153"/>
        <v>290.69230769230774</v>
      </c>
      <c r="O322" s="290">
        <f t="shared" si="153"/>
        <v>211.23076923076925</v>
      </c>
      <c r="P322" s="290">
        <f t="shared" si="153"/>
        <v>112.30769230769234</v>
      </c>
      <c r="Q322" s="290">
        <f t="shared" si="153"/>
        <v>193.38461538461533</v>
      </c>
      <c r="R322" s="290">
        <f t="shared" si="153"/>
        <v>219.07692307692309</v>
      </c>
      <c r="S322" s="290">
        <f t="shared" si="153"/>
        <v>203.2307692307692</v>
      </c>
      <c r="T322" s="290">
        <f t="shared" si="153"/>
        <v>361.07692307692321</v>
      </c>
      <c r="U322" s="290">
        <f t="shared" si="153"/>
        <v>402</v>
      </c>
      <c r="V322" s="290">
        <f t="shared" si="153"/>
        <v>317.15384615384613</v>
      </c>
      <c r="W322" s="290">
        <f t="shared" si="153"/>
        <v>319.23076923076934</v>
      </c>
      <c r="X322" s="290">
        <f t="shared" si="153"/>
        <v>263.61538461538453</v>
      </c>
      <c r="Y322" s="290">
        <f t="shared" si="153"/>
        <v>230.38461538461533</v>
      </c>
      <c r="Z322" s="251">
        <f>AP239</f>
        <v>130.94300000000001</v>
      </c>
      <c r="AA322" s="252">
        <f t="shared" si="156"/>
        <v>203.92307692307691</v>
      </c>
      <c r="AB322" s="252">
        <f t="shared" si="156"/>
        <v>82.384615384615387</v>
      </c>
      <c r="AC322" s="251">
        <f t="shared" ref="AC322:AC328" si="158">AS239</f>
        <v>101.2017</v>
      </c>
      <c r="AD322" s="252">
        <f t="shared" si="157"/>
        <v>324.69230769230762</v>
      </c>
      <c r="AE322" s="252">
        <f t="shared" si="157"/>
        <v>426.92307692307691</v>
      </c>
    </row>
    <row r="323" spans="1:36">
      <c r="A323" s="240" t="s">
        <v>233</v>
      </c>
      <c r="B323" s="290">
        <f t="shared" si="152"/>
        <v>201.38461538461536</v>
      </c>
      <c r="C323" s="290">
        <f t="shared" si="155"/>
        <v>154.92307692307696</v>
      </c>
      <c r="D323" s="290">
        <f t="shared" si="153"/>
        <v>126.84615384615384</v>
      </c>
      <c r="E323" s="290">
        <f t="shared" si="153"/>
        <v>92.307692307692321</v>
      </c>
      <c r="F323" s="290">
        <f t="shared" si="153"/>
        <v>17.61538461538462</v>
      </c>
      <c r="G323" s="290">
        <f t="shared" si="153"/>
        <v>8.0769230769230802</v>
      </c>
      <c r="H323" s="290">
        <f t="shared" si="153"/>
        <v>9.3076923076923102</v>
      </c>
      <c r="I323" s="290">
        <f t="shared" si="153"/>
        <v>13.38461538461538</v>
      </c>
      <c r="J323" s="290">
        <f t="shared" si="153"/>
        <v>24.230769230769241</v>
      </c>
      <c r="K323" s="290">
        <f t="shared" si="153"/>
        <v>23</v>
      </c>
      <c r="L323" s="290">
        <f t="shared" si="153"/>
        <v>27</v>
      </c>
      <c r="M323" s="290">
        <f t="shared" si="153"/>
        <v>161.07692307692304</v>
      </c>
      <c r="N323" s="290">
        <f t="shared" si="153"/>
        <v>290.23076923076928</v>
      </c>
      <c r="O323" s="290">
        <f t="shared" si="153"/>
        <v>196.07692307692309</v>
      </c>
      <c r="P323" s="290">
        <f t="shared" si="153"/>
        <v>116.7692307692308</v>
      </c>
      <c r="Q323" s="290">
        <f t="shared" si="153"/>
        <v>202.4615384615384</v>
      </c>
      <c r="R323" s="290">
        <f t="shared" si="153"/>
        <v>209.69230769230771</v>
      </c>
      <c r="S323" s="290">
        <f t="shared" si="153"/>
        <v>215.07692307692304</v>
      </c>
      <c r="T323" s="290">
        <f t="shared" si="153"/>
        <v>373.69230769230785</v>
      </c>
      <c r="U323" s="290">
        <f t="shared" si="153"/>
        <v>390</v>
      </c>
      <c r="V323" s="290">
        <f t="shared" si="153"/>
        <v>319.38461538461536</v>
      </c>
      <c r="W323" s="290">
        <f t="shared" si="153"/>
        <v>316.07692307692321</v>
      </c>
      <c r="X323" s="290">
        <f t="shared" si="153"/>
        <v>257.53846153846143</v>
      </c>
      <c r="Y323" s="290">
        <f t="shared" si="153"/>
        <v>233.4615384615384</v>
      </c>
      <c r="Z323" s="251">
        <f>AP240</f>
        <v>104.399</v>
      </c>
      <c r="AA323" s="252">
        <f t="shared" si="156"/>
        <v>185.15384615384613</v>
      </c>
      <c r="AB323" s="252">
        <f t="shared" si="156"/>
        <v>94.230769230769226</v>
      </c>
      <c r="AC323" s="251">
        <f t="shared" si="158"/>
        <v>111.2183</v>
      </c>
      <c r="AD323" s="252">
        <f t="shared" si="157"/>
        <v>338.61538461538453</v>
      </c>
      <c r="AE323" s="252">
        <f t="shared" si="157"/>
        <v>421.15384615384613</v>
      </c>
    </row>
    <row r="324" spans="1:36">
      <c r="A324" s="240" t="s">
        <v>234</v>
      </c>
      <c r="B324" s="290">
        <f t="shared" si="152"/>
        <v>200.61538461538458</v>
      </c>
      <c r="C324" s="290">
        <f t="shared" si="155"/>
        <v>148.07692307692312</v>
      </c>
      <c r="D324" s="290">
        <f t="shared" si="153"/>
        <v>130.15384615384616</v>
      </c>
      <c r="E324" s="290">
        <f t="shared" si="153"/>
        <v>82.692307692307708</v>
      </c>
      <c r="F324" s="290">
        <f t="shared" si="153"/>
        <v>16.38461538461539</v>
      </c>
      <c r="G324" s="290">
        <f t="shared" si="153"/>
        <v>7.923076923076926</v>
      </c>
      <c r="H324" s="290">
        <f t="shared" si="153"/>
        <v>9.6923076923076952</v>
      </c>
      <c r="I324" s="290">
        <f t="shared" si="153"/>
        <v>13.61538461538461</v>
      </c>
      <c r="J324" s="290">
        <f t="shared" si="153"/>
        <v>25.769230769230781</v>
      </c>
      <c r="K324" s="290">
        <f t="shared" si="153"/>
        <v>21</v>
      </c>
      <c r="L324" s="290">
        <f t="shared" si="153"/>
        <v>30</v>
      </c>
      <c r="M324" s="290">
        <f t="shared" si="153"/>
        <v>179.92307692307688</v>
      </c>
      <c r="N324" s="290">
        <f t="shared" si="153"/>
        <v>289.76923076923083</v>
      </c>
      <c r="O324" s="290">
        <f t="shared" si="153"/>
        <v>180.92307692307693</v>
      </c>
      <c r="P324" s="290">
        <f t="shared" si="153"/>
        <v>121.23076923076927</v>
      </c>
      <c r="Q324" s="290">
        <f t="shared" si="153"/>
        <v>211.53846153846146</v>
      </c>
      <c r="R324" s="290">
        <f t="shared" si="153"/>
        <v>200.30769230769232</v>
      </c>
      <c r="S324" s="290">
        <f t="shared" si="153"/>
        <v>226.92307692307688</v>
      </c>
      <c r="T324" s="290">
        <f t="shared" si="153"/>
        <v>386.30769230769249</v>
      </c>
      <c r="U324" s="290">
        <f t="shared" si="153"/>
        <v>378</v>
      </c>
      <c r="V324" s="290">
        <f t="shared" si="153"/>
        <v>321.61538461538458</v>
      </c>
      <c r="W324" s="290">
        <f t="shared" si="153"/>
        <v>312.92307692307708</v>
      </c>
      <c r="X324" s="290">
        <f t="shared" si="153"/>
        <v>251.46153846153837</v>
      </c>
      <c r="Y324" s="290">
        <f t="shared" si="153"/>
        <v>236.53846153846146</v>
      </c>
      <c r="Z324" s="252">
        <f>(Z$329-Z$32)/13+Z323</f>
        <v>106.24515384615384</v>
      </c>
      <c r="AA324" s="252">
        <f t="shared" si="156"/>
        <v>166.38461538461536</v>
      </c>
      <c r="AB324" s="252">
        <f t="shared" si="156"/>
        <v>106.07692307692307</v>
      </c>
      <c r="AC324" s="251">
        <f t="shared" si="158"/>
        <v>131.1925</v>
      </c>
      <c r="AD324" s="252">
        <f t="shared" si="157"/>
        <v>352.53846153846143</v>
      </c>
      <c r="AE324" s="252">
        <f t="shared" si="157"/>
        <v>415.38461538461536</v>
      </c>
    </row>
    <row r="325" spans="1:36">
      <c r="A325" s="240" t="s">
        <v>46</v>
      </c>
      <c r="B325" s="290">
        <f t="shared" si="152"/>
        <v>199.84615384615381</v>
      </c>
      <c r="C325" s="290">
        <f t="shared" si="155"/>
        <v>141.23076923076928</v>
      </c>
      <c r="D325" s="290">
        <f t="shared" si="153"/>
        <v>133.46153846153848</v>
      </c>
      <c r="E325" s="290">
        <f t="shared" si="153"/>
        <v>73.076923076923094</v>
      </c>
      <c r="F325" s="290">
        <f t="shared" si="153"/>
        <v>15.15384615384616</v>
      </c>
      <c r="G325" s="290">
        <f t="shared" si="153"/>
        <v>7.7692307692307718</v>
      </c>
      <c r="H325" s="290">
        <f t="shared" si="153"/>
        <v>10.07692307692308</v>
      </c>
      <c r="I325" s="290">
        <f t="shared" si="153"/>
        <v>13.84615384615384</v>
      </c>
      <c r="J325" s="290">
        <f t="shared" si="153"/>
        <v>27.307692307692321</v>
      </c>
      <c r="K325" s="290">
        <f t="shared" si="153"/>
        <v>19</v>
      </c>
      <c r="L325" s="290">
        <f t="shared" si="153"/>
        <v>33</v>
      </c>
      <c r="M325" s="290">
        <f t="shared" si="153"/>
        <v>198.76923076923072</v>
      </c>
      <c r="N325" s="290">
        <f t="shared" si="153"/>
        <v>289.30769230769238</v>
      </c>
      <c r="O325" s="290">
        <f t="shared" si="153"/>
        <v>165.76923076923077</v>
      </c>
      <c r="P325" s="290">
        <f t="shared" si="153"/>
        <v>125.69230769230774</v>
      </c>
      <c r="Q325" s="290">
        <f t="shared" si="153"/>
        <v>220.61538461538453</v>
      </c>
      <c r="R325" s="290">
        <f t="shared" si="153"/>
        <v>190.92307692307693</v>
      </c>
      <c r="S325" s="290">
        <f t="shared" si="153"/>
        <v>238.76923076923072</v>
      </c>
      <c r="T325" s="290">
        <f t="shared" si="153"/>
        <v>398.92307692307713</v>
      </c>
      <c r="U325" s="290">
        <f t="shared" si="153"/>
        <v>366</v>
      </c>
      <c r="V325" s="290">
        <f t="shared" si="153"/>
        <v>323.84615384615381</v>
      </c>
      <c r="W325" s="290">
        <f t="shared" si="153"/>
        <v>309.76923076923094</v>
      </c>
      <c r="X325" s="290">
        <f t="shared" si="153"/>
        <v>245.3846153846153</v>
      </c>
      <c r="Y325" s="290">
        <f t="shared" si="153"/>
        <v>239.61538461538453</v>
      </c>
      <c r="Z325" s="252">
        <f>(Z$329-Z$32)/13+Z324</f>
        <v>108.09130769230768</v>
      </c>
      <c r="AA325" s="252">
        <f t="shared" si="156"/>
        <v>147.61538461538458</v>
      </c>
      <c r="AB325" s="252">
        <f t="shared" si="156"/>
        <v>117.92307692307691</v>
      </c>
      <c r="AC325" s="251">
        <f t="shared" si="158"/>
        <v>136.96430000000001</v>
      </c>
      <c r="AD325" s="252">
        <f t="shared" si="157"/>
        <v>366.46153846153834</v>
      </c>
      <c r="AE325" s="252">
        <f t="shared" si="157"/>
        <v>409.61538461538458</v>
      </c>
    </row>
    <row r="326" spans="1:36">
      <c r="A326" s="240" t="s">
        <v>235</v>
      </c>
      <c r="B326" s="290">
        <f t="shared" si="152"/>
        <v>199.07692307692304</v>
      </c>
      <c r="C326" s="290">
        <f t="shared" si="155"/>
        <v>134.38461538461544</v>
      </c>
      <c r="D326" s="290">
        <f t="shared" si="153"/>
        <v>136.7692307692308</v>
      </c>
      <c r="E326" s="290">
        <f t="shared" si="153"/>
        <v>63.461538461538481</v>
      </c>
      <c r="F326" s="290">
        <f t="shared" si="153"/>
        <v>13.92307692307693</v>
      </c>
      <c r="G326" s="290">
        <f t="shared" si="153"/>
        <v>7.6153846153846176</v>
      </c>
      <c r="H326" s="290">
        <f t="shared" si="153"/>
        <v>10.461538461538465</v>
      </c>
      <c r="I326" s="290">
        <f t="shared" si="153"/>
        <v>14.07692307692307</v>
      </c>
      <c r="J326" s="290">
        <f t="shared" si="153"/>
        <v>28.846153846153861</v>
      </c>
      <c r="K326" s="290">
        <f t="shared" si="153"/>
        <v>17</v>
      </c>
      <c r="L326" s="290">
        <f t="shared" si="153"/>
        <v>36</v>
      </c>
      <c r="M326" s="290">
        <f t="shared" si="153"/>
        <v>217.61538461538456</v>
      </c>
      <c r="N326" s="290">
        <f t="shared" si="153"/>
        <v>288.84615384615392</v>
      </c>
      <c r="O326" s="290">
        <f t="shared" si="153"/>
        <v>150.61538461538461</v>
      </c>
      <c r="P326" s="290">
        <f t="shared" si="153"/>
        <v>130.15384615384619</v>
      </c>
      <c r="Q326" s="290">
        <f t="shared" si="153"/>
        <v>229.69230769230759</v>
      </c>
      <c r="R326" s="290">
        <f t="shared" si="153"/>
        <v>181.53846153846155</v>
      </c>
      <c r="S326" s="290">
        <f t="shared" si="153"/>
        <v>250.61538461538456</v>
      </c>
      <c r="T326" s="290">
        <f t="shared" si="153"/>
        <v>411.53846153846177</v>
      </c>
      <c r="U326" s="290">
        <f t="shared" si="153"/>
        <v>354</v>
      </c>
      <c r="V326" s="290">
        <f t="shared" si="153"/>
        <v>326.07692307692304</v>
      </c>
      <c r="W326" s="290">
        <f t="shared" si="153"/>
        <v>306.61538461538481</v>
      </c>
      <c r="X326" s="290">
        <f t="shared" si="153"/>
        <v>239.30769230769224</v>
      </c>
      <c r="Y326" s="290">
        <f t="shared" si="153"/>
        <v>242.69230769230759</v>
      </c>
      <c r="Z326" s="252">
        <f>(Z$329-Z$32)/13+Z325</f>
        <v>109.93746153846152</v>
      </c>
      <c r="AA326" s="252">
        <f t="shared" si="156"/>
        <v>128.84615384615381</v>
      </c>
      <c r="AB326" s="252">
        <f t="shared" si="156"/>
        <v>129.76923076923075</v>
      </c>
      <c r="AC326" s="251">
        <f t="shared" si="158"/>
        <v>126.3253</v>
      </c>
      <c r="AD326" s="252">
        <f t="shared" si="157"/>
        <v>380.38461538461524</v>
      </c>
      <c r="AE326" s="252">
        <f t="shared" si="157"/>
        <v>403.84615384615381</v>
      </c>
    </row>
    <row r="327" spans="1:36">
      <c r="A327" s="240" t="s">
        <v>236</v>
      </c>
      <c r="B327" s="290">
        <f t="shared" si="152"/>
        <v>198.30769230769226</v>
      </c>
      <c r="C327" s="290">
        <f t="shared" si="155"/>
        <v>127.5384615384616</v>
      </c>
      <c r="D327" s="290">
        <f t="shared" si="153"/>
        <v>140.07692307692312</v>
      </c>
      <c r="E327" s="290">
        <f t="shared" si="153"/>
        <v>53.846153846153868</v>
      </c>
      <c r="F327" s="290">
        <f t="shared" si="153"/>
        <v>12.692307692307701</v>
      </c>
      <c r="G327" s="290">
        <f t="shared" si="153"/>
        <v>7.4615384615384635</v>
      </c>
      <c r="H327" s="290">
        <f t="shared" si="153"/>
        <v>10.84615384615385</v>
      </c>
      <c r="I327" s="290">
        <f t="shared" si="153"/>
        <v>14.307692307692299</v>
      </c>
      <c r="J327" s="290">
        <f t="shared" si="153"/>
        <v>30.384615384615401</v>
      </c>
      <c r="K327" s="290">
        <f t="shared" si="153"/>
        <v>15</v>
      </c>
      <c r="L327" s="290">
        <f t="shared" si="153"/>
        <v>39</v>
      </c>
      <c r="M327" s="290">
        <f t="shared" si="153"/>
        <v>236.4615384615384</v>
      </c>
      <c r="N327" s="290">
        <f t="shared" si="153"/>
        <v>288.38461538461547</v>
      </c>
      <c r="O327" s="290">
        <f t="shared" si="153"/>
        <v>135.46153846153845</v>
      </c>
      <c r="P327" s="290">
        <f t="shared" si="153"/>
        <v>134.61538461538464</v>
      </c>
      <c r="Q327" s="290">
        <f t="shared" si="153"/>
        <v>238.76923076923066</v>
      </c>
      <c r="R327" s="290">
        <f t="shared" si="153"/>
        <v>172.15384615384616</v>
      </c>
      <c r="S327" s="290">
        <f t="shared" si="153"/>
        <v>262.4615384615384</v>
      </c>
      <c r="T327" s="290">
        <f t="shared" si="153"/>
        <v>424.15384615384642</v>
      </c>
      <c r="U327" s="290">
        <f t="shared" si="153"/>
        <v>342</v>
      </c>
      <c r="V327" s="290">
        <f t="shared" si="153"/>
        <v>328.30769230769226</v>
      </c>
      <c r="W327" s="290">
        <f t="shared" si="153"/>
        <v>303.46153846153868</v>
      </c>
      <c r="X327" s="290">
        <f t="shared" si="153"/>
        <v>233.23076923076917</v>
      </c>
      <c r="Y327" s="290">
        <f t="shared" si="153"/>
        <v>245.76923076923066</v>
      </c>
      <c r="Z327" s="252">
        <f>(Z$329-Z$32)/13+Z326</f>
        <v>111.78361538461536</v>
      </c>
      <c r="AA327" s="252">
        <f t="shared" si="156"/>
        <v>110.07692307692304</v>
      </c>
      <c r="AB327" s="252">
        <f t="shared" si="156"/>
        <v>141.61538461538458</v>
      </c>
      <c r="AC327" s="251">
        <f t="shared" si="158"/>
        <v>78.718400000000003</v>
      </c>
      <c r="AD327" s="252">
        <f t="shared" si="157"/>
        <v>394.30769230769215</v>
      </c>
      <c r="AE327" s="252">
        <f t="shared" si="157"/>
        <v>398.07692307692304</v>
      </c>
    </row>
    <row r="328" spans="1:36">
      <c r="A328" s="240" t="s">
        <v>237</v>
      </c>
      <c r="B328" s="290">
        <f t="shared" si="152"/>
        <v>197.53846153846149</v>
      </c>
      <c r="C328" s="290">
        <f t="shared" si="155"/>
        <v>120.69230769230776</v>
      </c>
      <c r="D328" s="290">
        <f t="shared" si="153"/>
        <v>143.38461538461544</v>
      </c>
      <c r="E328" s="290">
        <f t="shared" si="153"/>
        <v>44.230769230769255</v>
      </c>
      <c r="F328" s="290">
        <f t="shared" si="153"/>
        <v>11.461538461538471</v>
      </c>
      <c r="G328" s="290">
        <f t="shared" si="153"/>
        <v>7.3076923076923093</v>
      </c>
      <c r="H328" s="290">
        <f t="shared" si="153"/>
        <v>11.230769230769235</v>
      </c>
      <c r="I328" s="290">
        <f t="shared" si="153"/>
        <v>14.538461538461529</v>
      </c>
      <c r="J328" s="290">
        <f t="shared" si="153"/>
        <v>31.923076923076941</v>
      </c>
      <c r="K328" s="290">
        <f t="shared" si="153"/>
        <v>13</v>
      </c>
      <c r="L328" s="290">
        <f t="shared" si="153"/>
        <v>42</v>
      </c>
      <c r="M328" s="290">
        <f t="shared" si="153"/>
        <v>255.30769230769224</v>
      </c>
      <c r="N328" s="290">
        <f t="shared" si="153"/>
        <v>287.92307692307702</v>
      </c>
      <c r="O328" s="290">
        <f t="shared" si="153"/>
        <v>120.30769230769229</v>
      </c>
      <c r="P328" s="290">
        <f t="shared" si="153"/>
        <v>139.07692307692309</v>
      </c>
      <c r="Q328" s="290">
        <f t="shared" si="153"/>
        <v>247.84615384615373</v>
      </c>
      <c r="R328" s="290">
        <f t="shared" si="153"/>
        <v>162.76923076923077</v>
      </c>
      <c r="S328" s="290">
        <f t="shared" si="153"/>
        <v>274.30769230769226</v>
      </c>
      <c r="T328" s="290">
        <f t="shared" si="153"/>
        <v>436.76923076923106</v>
      </c>
      <c r="U328" s="290">
        <f t="shared" si="153"/>
        <v>330</v>
      </c>
      <c r="V328" s="290">
        <f t="shared" si="153"/>
        <v>330.53846153846149</v>
      </c>
      <c r="W328" s="290">
        <f t="shared" si="153"/>
        <v>300.30769230769255</v>
      </c>
      <c r="X328" s="290">
        <f t="shared" si="153"/>
        <v>227.1538461538461</v>
      </c>
      <c r="Y328" s="290">
        <f t="shared" si="153"/>
        <v>248.84615384615373</v>
      </c>
      <c r="Z328" s="252">
        <f>(Z$329-Z$32)/13+Z327</f>
        <v>113.6297692307692</v>
      </c>
      <c r="AA328" s="252">
        <f t="shared" si="156"/>
        <v>91.307692307692264</v>
      </c>
      <c r="AB328" s="252">
        <f t="shared" si="156"/>
        <v>153.46153846153842</v>
      </c>
      <c r="AC328" s="251">
        <f t="shared" si="158"/>
        <v>41.548999999999999</v>
      </c>
      <c r="AD328" s="252">
        <f t="shared" si="157"/>
        <v>408.23076923076906</v>
      </c>
      <c r="AE328" s="252">
        <f t="shared" si="157"/>
        <v>392.30769230769226</v>
      </c>
    </row>
    <row r="329" spans="1:36" ht="15.75" thickBot="1">
      <c r="A329" s="240" t="s">
        <v>238</v>
      </c>
      <c r="B329" s="146">
        <f>B42</f>
        <v>196</v>
      </c>
      <c r="C329" s="146">
        <f t="shared" ref="C329:AE329" si="159">C42</f>
        <v>107</v>
      </c>
      <c r="D329" s="146">
        <f t="shared" si="159"/>
        <v>150</v>
      </c>
      <c r="E329" s="146">
        <f t="shared" si="159"/>
        <v>25</v>
      </c>
      <c r="F329" s="146">
        <f t="shared" si="159"/>
        <v>9</v>
      </c>
      <c r="G329" s="146">
        <f t="shared" si="159"/>
        <v>7</v>
      </c>
      <c r="H329" s="146">
        <f t="shared" si="159"/>
        <v>12</v>
      </c>
      <c r="I329" s="146">
        <f t="shared" si="159"/>
        <v>15</v>
      </c>
      <c r="J329" s="146">
        <f t="shared" si="159"/>
        <v>35</v>
      </c>
      <c r="K329" s="146">
        <f t="shared" si="159"/>
        <v>9</v>
      </c>
      <c r="L329" s="146">
        <f t="shared" si="159"/>
        <v>48</v>
      </c>
      <c r="M329" s="146">
        <f t="shared" si="159"/>
        <v>293</v>
      </c>
      <c r="N329" s="146">
        <f t="shared" si="159"/>
        <v>287</v>
      </c>
      <c r="O329" s="146">
        <f t="shared" si="159"/>
        <v>90</v>
      </c>
      <c r="P329" s="146">
        <f t="shared" si="159"/>
        <v>148</v>
      </c>
      <c r="Q329" s="146">
        <f t="shared" si="159"/>
        <v>266</v>
      </c>
      <c r="R329" s="146">
        <f t="shared" si="159"/>
        <v>144</v>
      </c>
      <c r="S329" s="146">
        <f t="shared" si="159"/>
        <v>298</v>
      </c>
      <c r="T329" s="146">
        <f t="shared" si="159"/>
        <v>462</v>
      </c>
      <c r="U329" s="146">
        <f t="shared" si="159"/>
        <v>306</v>
      </c>
      <c r="V329" s="146">
        <f t="shared" si="159"/>
        <v>335</v>
      </c>
      <c r="W329" s="146">
        <f t="shared" si="159"/>
        <v>294</v>
      </c>
      <c r="X329" s="146">
        <f t="shared" si="159"/>
        <v>215</v>
      </c>
      <c r="Y329" s="146">
        <f t="shared" si="159"/>
        <v>255</v>
      </c>
      <c r="Z329" s="253">
        <f t="shared" si="159"/>
        <v>279</v>
      </c>
      <c r="AA329" s="253">
        <f t="shared" si="159"/>
        <v>35</v>
      </c>
      <c r="AB329" s="253">
        <f t="shared" si="159"/>
        <v>189</v>
      </c>
      <c r="AC329" s="253">
        <f t="shared" si="159"/>
        <v>269</v>
      </c>
      <c r="AD329" s="253">
        <f t="shared" si="159"/>
        <v>450</v>
      </c>
      <c r="AE329" s="253">
        <f t="shared" si="159"/>
        <v>375</v>
      </c>
    </row>
    <row r="330" spans="1:36">
      <c r="A330" s="248"/>
      <c r="B330" s="248"/>
      <c r="C330" s="248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  <c r="AB330" s="248"/>
      <c r="AC330" s="248"/>
      <c r="AD330" s="248"/>
      <c r="AE330" s="248"/>
      <c r="AG330" s="370" t="s">
        <v>364</v>
      </c>
      <c r="AH330" s="370"/>
      <c r="AI330" s="370"/>
      <c r="AJ330" s="370"/>
    </row>
    <row r="331" spans="1:36" ht="15.75" thickBot="1">
      <c r="A331" s="235" t="s">
        <v>270</v>
      </c>
      <c r="AG331" s="370"/>
      <c r="AH331" s="370"/>
      <c r="AI331" s="370"/>
      <c r="AJ331" s="370"/>
    </row>
    <row r="332" spans="1:36" ht="15.75" thickBot="1">
      <c r="A332" s="236"/>
      <c r="B332" s="237" t="str">
        <f>B$2</f>
        <v xml:space="preserve">93/94 </v>
      </c>
      <c r="C332" s="237" t="str">
        <f t="shared" ref="C332:AE332" si="160">C$2</f>
        <v xml:space="preserve">94/95 </v>
      </c>
      <c r="D332" s="237" t="str">
        <f t="shared" si="160"/>
        <v xml:space="preserve">95/96 </v>
      </c>
      <c r="E332" s="237" t="str">
        <f t="shared" si="160"/>
        <v xml:space="preserve">96/97 </v>
      </c>
      <c r="F332" s="237" t="str">
        <f t="shared" si="160"/>
        <v xml:space="preserve">97/98 </v>
      </c>
      <c r="G332" s="237" t="str">
        <f t="shared" si="160"/>
        <v xml:space="preserve">98/99 </v>
      </c>
      <c r="H332" s="237" t="str">
        <f t="shared" si="160"/>
        <v xml:space="preserve">99/00 </v>
      </c>
      <c r="I332" s="237" t="str">
        <f t="shared" si="160"/>
        <v xml:space="preserve">00/01 </v>
      </c>
      <c r="J332" s="237" t="str">
        <f t="shared" si="160"/>
        <v xml:space="preserve">01/02 </v>
      </c>
      <c r="K332" s="237" t="str">
        <f t="shared" si="160"/>
        <v xml:space="preserve">02/03 </v>
      </c>
      <c r="L332" s="237" t="str">
        <f t="shared" si="160"/>
        <v xml:space="preserve">03/04 </v>
      </c>
      <c r="M332" s="237" t="str">
        <f t="shared" si="160"/>
        <v xml:space="preserve">04/05 </v>
      </c>
      <c r="N332" s="237" t="str">
        <f t="shared" si="160"/>
        <v xml:space="preserve">05/06 </v>
      </c>
      <c r="O332" s="237" t="str">
        <f t="shared" si="160"/>
        <v xml:space="preserve">06/07 </v>
      </c>
      <c r="P332" s="237" t="str">
        <f t="shared" si="160"/>
        <v xml:space="preserve">07/08 </v>
      </c>
      <c r="Q332" s="237" t="str">
        <f t="shared" si="160"/>
        <v xml:space="preserve">08/09 </v>
      </c>
      <c r="R332" s="237" t="str">
        <f t="shared" si="160"/>
        <v xml:space="preserve">09/10 </v>
      </c>
      <c r="S332" s="237" t="str">
        <f t="shared" si="160"/>
        <v xml:space="preserve">10/11 </v>
      </c>
      <c r="T332" s="237" t="str">
        <f t="shared" si="160"/>
        <v xml:space="preserve">11/12 </v>
      </c>
      <c r="U332" s="237" t="str">
        <f t="shared" si="160"/>
        <v xml:space="preserve">12/13 </v>
      </c>
      <c r="V332" s="237" t="str">
        <f t="shared" si="160"/>
        <v xml:space="preserve">13/14 </v>
      </c>
      <c r="W332" s="237" t="str">
        <f t="shared" si="160"/>
        <v xml:space="preserve">14/15 </v>
      </c>
      <c r="X332" s="237" t="str">
        <f t="shared" si="160"/>
        <v xml:space="preserve">15/16 </v>
      </c>
      <c r="Y332" s="237" t="str">
        <f t="shared" si="160"/>
        <v xml:space="preserve">16/17 </v>
      </c>
      <c r="Z332" s="237" t="str">
        <f t="shared" si="160"/>
        <v xml:space="preserve">17/18 </v>
      </c>
      <c r="AA332" s="237" t="str">
        <f t="shared" si="160"/>
        <v xml:space="preserve">18/19 </v>
      </c>
      <c r="AB332" s="237" t="str">
        <f t="shared" si="160"/>
        <v xml:space="preserve">19/20 </v>
      </c>
      <c r="AC332" s="237" t="str">
        <f t="shared" si="160"/>
        <v xml:space="preserve">20/21 </v>
      </c>
      <c r="AD332" s="237" t="str">
        <f t="shared" si="160"/>
        <v>21/22</v>
      </c>
      <c r="AE332" s="237" t="str">
        <f t="shared" si="160"/>
        <v>22/23</v>
      </c>
      <c r="AF332" s="269"/>
      <c r="AG332" s="237" t="s">
        <v>365</v>
      </c>
      <c r="AH332" s="372" t="s">
        <v>366</v>
      </c>
      <c r="AI332" s="237" t="s">
        <v>300</v>
      </c>
      <c r="AJ332" s="372" t="s">
        <v>366</v>
      </c>
    </row>
    <row r="333" spans="1:36">
      <c r="A333" s="240" t="s">
        <v>239</v>
      </c>
      <c r="Z333" s="251"/>
      <c r="AA333" s="251">
        <v>667.26086956521738</v>
      </c>
      <c r="AB333" s="251">
        <v>682.08695652173913</v>
      </c>
      <c r="AC333" s="251">
        <v>964.36363636363637</v>
      </c>
      <c r="AD333" s="251">
        <v>1378.3421052631579</v>
      </c>
      <c r="AE333" s="252" t="e">
        <f>MROUND(('[4]Soy Complex-old'!BL482+AE349)*2204.622/100,10)</f>
        <v>#NUM!</v>
      </c>
      <c r="AI333" s="226">
        <v>1270.2068965517242</v>
      </c>
      <c r="AJ333" s="291">
        <f>AD333-AI333</f>
        <v>108.13520871143373</v>
      </c>
    </row>
    <row r="334" spans="1:36">
      <c r="A334" s="240" t="s">
        <v>240</v>
      </c>
      <c r="Z334" s="251"/>
      <c r="AA334" s="251">
        <v>637.22727272727275</v>
      </c>
      <c r="AB334" s="251">
        <v>712.09523809523807</v>
      </c>
      <c r="AC334" s="251">
        <v>1082.6428571428571</v>
      </c>
      <c r="AD334" s="251">
        <v>1390.159090909091</v>
      </c>
      <c r="AE334" s="252" t="e">
        <f>MROUND(('[4]Soy Complex-old'!BL483+AE350)*2204.622/100,10)</f>
        <v>#VALUE!</v>
      </c>
      <c r="AI334" s="226">
        <v>1366.2307692307693</v>
      </c>
      <c r="AJ334" s="291">
        <f t="shared" ref="AJ334:AJ344" si="161">AD334-AI334</f>
        <v>23.928321678321709</v>
      </c>
    </row>
    <row r="335" spans="1:36">
      <c r="A335" s="240" t="s">
        <v>241</v>
      </c>
      <c r="Z335" s="251"/>
      <c r="AA335" s="251">
        <v>639.05882352941171</v>
      </c>
      <c r="AB335" s="251">
        <v>762.4</v>
      </c>
      <c r="AC335" s="251">
        <v>1147.8571428571429</v>
      </c>
      <c r="AD335" s="251">
        <v>1339.6388888888889</v>
      </c>
      <c r="AE335" s="252">
        <f>MROUND(('[4]Soy Complex-old'!BL484+AE351)*2204.622/100,10)</f>
        <v>46000</v>
      </c>
      <c r="AI335" s="226">
        <v>1391.3333333333333</v>
      </c>
      <c r="AJ335" s="291">
        <f t="shared" si="161"/>
        <v>-51.694444444444343</v>
      </c>
    </row>
    <row r="336" spans="1:36">
      <c r="A336" s="240" t="s">
        <v>231</v>
      </c>
      <c r="Z336" s="251"/>
      <c r="AA336" s="251">
        <v>651.77272727272725</v>
      </c>
      <c r="AB336" s="251">
        <v>781.18181818181813</v>
      </c>
      <c r="AC336" s="251">
        <v>1270.95</v>
      </c>
      <c r="AD336" s="251">
        <v>1358.0263157894738</v>
      </c>
      <c r="AE336" s="252">
        <f>MROUND(('[4]Soy Complex-old'!BL485+AE352)*2204.622/100,10)</f>
        <v>46370</v>
      </c>
      <c r="AI336" s="226">
        <v>1499.2592592592594</v>
      </c>
      <c r="AJ336" s="291">
        <f t="shared" si="161"/>
        <v>-141.2329434697856</v>
      </c>
    </row>
    <row r="337" spans="1:40">
      <c r="A337" s="240" t="s">
        <v>232</v>
      </c>
      <c r="Z337" s="251"/>
      <c r="AA337" s="251">
        <v>671.35</v>
      </c>
      <c r="AB337" s="251">
        <v>712.75</v>
      </c>
      <c r="AC337" s="251">
        <v>1350.25</v>
      </c>
      <c r="AD337" s="251">
        <v>1540</v>
      </c>
      <c r="AE337" s="252">
        <f>MROUND(('[4]Soy Complex-old'!BL486+AE353)*2204.622/100,10)</f>
        <v>50800</v>
      </c>
      <c r="AI337" s="226">
        <v>1523.1666666666667</v>
      </c>
      <c r="AJ337" s="291">
        <f t="shared" si="161"/>
        <v>16.833333333333258</v>
      </c>
    </row>
    <row r="338" spans="1:40">
      <c r="A338" s="240" t="s">
        <v>233</v>
      </c>
      <c r="Z338" s="251"/>
      <c r="AA338" s="251">
        <v>661.26190476190482</v>
      </c>
      <c r="AB338" s="251">
        <v>659.81818181818187</v>
      </c>
      <c r="AC338" s="251">
        <v>1581.8695652173913</v>
      </c>
      <c r="AD338" s="356">
        <f>AI338-10</f>
        <v>1564</v>
      </c>
      <c r="AE338" s="252">
        <f>MROUND(('[4]Soy Complex-old'!BL487+AE354)*2204.622/100,10)</f>
        <v>51660</v>
      </c>
      <c r="AI338" s="226">
        <v>1574</v>
      </c>
      <c r="AJ338" s="291">
        <f t="shared" si="161"/>
        <v>-10</v>
      </c>
    </row>
    <row r="339" spans="1:40">
      <c r="A339" s="240" t="s">
        <v>234</v>
      </c>
      <c r="Z339" s="251">
        <v>769.83333333333337</v>
      </c>
      <c r="AA339" s="251">
        <v>662.35</v>
      </c>
      <c r="AB339" s="251">
        <v>692.4</v>
      </c>
      <c r="AC339" s="251">
        <v>1545.85</v>
      </c>
      <c r="AD339" s="356">
        <f t="shared" ref="AD339:AD344" si="162">AI339-10</f>
        <v>1465.9375</v>
      </c>
      <c r="AE339" s="252">
        <f>MROUND(('[4]Soy Complex-old'!BL488+AE355)*2204.622/100,10)</f>
        <v>51780</v>
      </c>
      <c r="AI339" s="226">
        <v>1475.9375</v>
      </c>
      <c r="AJ339" s="291">
        <f t="shared" si="161"/>
        <v>-10</v>
      </c>
    </row>
    <row r="340" spans="1:40">
      <c r="A340" s="240" t="s">
        <v>46</v>
      </c>
      <c r="Z340" s="251">
        <v>756.89473684210532</v>
      </c>
      <c r="AA340" s="251">
        <v>684.28571428571433</v>
      </c>
      <c r="AB340" s="251">
        <v>719.63157894736844</v>
      </c>
      <c r="AC340" s="251">
        <v>1536.3684210526317</v>
      </c>
      <c r="AD340" s="356">
        <f t="shared" si="162"/>
        <v>1572.6428571428571</v>
      </c>
      <c r="AE340" s="252">
        <f>MROUND(('[4]Soy Complex-old'!BL489+AE356)*2204.622/100,10)</f>
        <v>52300</v>
      </c>
      <c r="AI340" s="226">
        <v>1582.6428571428571</v>
      </c>
      <c r="AJ340" s="291">
        <f t="shared" si="161"/>
        <v>-10</v>
      </c>
    </row>
    <row r="341" spans="1:40">
      <c r="A341" s="240" t="s">
        <v>235</v>
      </c>
      <c r="Z341" s="251">
        <v>732.61904761904759</v>
      </c>
      <c r="AA341" s="251">
        <v>703.10526315789468</v>
      </c>
      <c r="AB341" s="251">
        <v>772.52380952380952</v>
      </c>
      <c r="AC341" s="251">
        <v>1217.5</v>
      </c>
      <c r="AD341" s="356">
        <f t="shared" si="162"/>
        <v>1632</v>
      </c>
      <c r="AE341" s="252">
        <f>MROUND(('[4]Soy Complex-old'!BL490+AE357)*2204.622/100,10)</f>
        <v>55680</v>
      </c>
      <c r="AI341" s="226">
        <v>1642</v>
      </c>
      <c r="AJ341" s="291">
        <f t="shared" si="161"/>
        <v>-10</v>
      </c>
    </row>
    <row r="342" spans="1:40">
      <c r="A342" s="240" t="s">
        <v>236</v>
      </c>
      <c r="Z342" s="251">
        <v>742.27272727272725</v>
      </c>
      <c r="AA342" s="251">
        <v>734.47826086956525</v>
      </c>
      <c r="AB342" s="251">
        <v>772.91304347826087</v>
      </c>
      <c r="AC342" s="251">
        <v>1195.1363636363637</v>
      </c>
      <c r="AD342" s="356">
        <f t="shared" si="162"/>
        <v>1521.5254237288136</v>
      </c>
      <c r="AE342" s="252">
        <f>MROUND(('[4]Soy Complex-old'!BL491+AE358)*2204.622/100,10)</f>
        <v>52540</v>
      </c>
      <c r="AI342" s="226">
        <v>1531.5254237288136</v>
      </c>
      <c r="AJ342" s="291">
        <f t="shared" si="161"/>
        <v>-10</v>
      </c>
    </row>
    <row r="343" spans="1:40">
      <c r="A343" s="240" t="s">
        <v>237</v>
      </c>
      <c r="Z343" s="251">
        <v>714.09090909090912</v>
      </c>
      <c r="AA343" s="251">
        <v>732.80952380952385</v>
      </c>
      <c r="AB343" s="251">
        <v>820.19047619047615</v>
      </c>
      <c r="AC343" s="251">
        <v>1263.6190476190477</v>
      </c>
      <c r="AD343" s="356">
        <f t="shared" si="162"/>
        <v>1522.3333333333333</v>
      </c>
      <c r="AE343" s="252">
        <f>MROUND(('[4]Soy Complex-old'!BL492+AE359)*2204.622/100,10)</f>
        <v>48390</v>
      </c>
      <c r="AI343" s="226">
        <v>1532.3333333333333</v>
      </c>
      <c r="AJ343" s="291">
        <f t="shared" si="161"/>
        <v>-10</v>
      </c>
    </row>
    <row r="344" spans="1:40">
      <c r="A344" s="240" t="s">
        <v>238</v>
      </c>
      <c r="Z344" s="251">
        <v>693.9</v>
      </c>
      <c r="AA344" s="251">
        <v>702.80952380952385</v>
      </c>
      <c r="AB344" s="251">
        <v>927.81818181818187</v>
      </c>
      <c r="AC344" s="251">
        <v>1267.6818181818182</v>
      </c>
      <c r="AD344" s="356">
        <f t="shared" si="162"/>
        <v>1369.6829268292684</v>
      </c>
      <c r="AE344" s="252">
        <f>MROUND(('[4]Soy Complex-old'!BL493+AE360)*2204.622/100,10)</f>
        <v>46830</v>
      </c>
      <c r="AG344">
        <v>1297.6666666666667</v>
      </c>
      <c r="AH344" s="291">
        <f>AC344-AG344</f>
        <v>-29.984848484848499</v>
      </c>
      <c r="AI344" s="226">
        <v>1379.6829268292684</v>
      </c>
      <c r="AJ344" s="291">
        <f t="shared" si="161"/>
        <v>-10</v>
      </c>
    </row>
    <row r="345" spans="1:40" ht="15.75" thickBot="1">
      <c r="A345" s="240" t="s">
        <v>255</v>
      </c>
      <c r="Z345" s="108"/>
      <c r="AA345" s="251">
        <f>AVERAGE(AA333:AA344)</f>
        <v>678.98082364906304</v>
      </c>
      <c r="AB345" s="251">
        <f>AVERAGE(AB333:AB344)</f>
        <v>751.31744038125601</v>
      </c>
      <c r="AC345" s="251">
        <f>AVERAGE(AC333:AC344)</f>
        <v>1285.3407376725741</v>
      </c>
      <c r="AD345" s="356">
        <f>AVERAGE(AD333:AD344)</f>
        <v>1471.190703490407</v>
      </c>
      <c r="AE345" s="252" t="e">
        <f>AVERAGE(AE333:AE344)</f>
        <v>#NUM!</v>
      </c>
      <c r="AI345" s="226">
        <f>AVERAGE(AI333:AI344)</f>
        <v>1480.6932471730022</v>
      </c>
    </row>
    <row r="346" spans="1:40">
      <c r="A346" s="248"/>
      <c r="B346" s="248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8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  <c r="AA346" s="248"/>
      <c r="AB346" s="248"/>
      <c r="AC346" s="248"/>
      <c r="AD346" s="248"/>
      <c r="AE346" s="248"/>
    </row>
    <row r="347" spans="1:40" ht="15.75" thickBot="1">
      <c r="A347" s="235" t="s">
        <v>367</v>
      </c>
    </row>
    <row r="348" spans="1:40" ht="15.75" thickBot="1">
      <c r="A348" s="236"/>
      <c r="B348" s="237" t="str">
        <f t="shared" ref="B348:AD348" si="163">B2</f>
        <v xml:space="preserve">93/94 </v>
      </c>
      <c r="C348" s="237" t="str">
        <f t="shared" si="163"/>
        <v xml:space="preserve">94/95 </v>
      </c>
      <c r="D348" s="237" t="str">
        <f t="shared" si="163"/>
        <v xml:space="preserve">95/96 </v>
      </c>
      <c r="E348" s="237" t="str">
        <f t="shared" si="163"/>
        <v xml:space="preserve">96/97 </v>
      </c>
      <c r="F348" s="237" t="str">
        <f t="shared" si="163"/>
        <v xml:space="preserve">97/98 </v>
      </c>
      <c r="G348" s="237" t="str">
        <f t="shared" si="163"/>
        <v xml:space="preserve">98/99 </v>
      </c>
      <c r="H348" s="237" t="str">
        <f t="shared" si="163"/>
        <v xml:space="preserve">99/00 </v>
      </c>
      <c r="I348" s="237" t="str">
        <f t="shared" si="163"/>
        <v xml:space="preserve">00/01 </v>
      </c>
      <c r="J348" s="237" t="str">
        <f t="shared" si="163"/>
        <v xml:space="preserve">01/02 </v>
      </c>
      <c r="K348" s="237" t="str">
        <f t="shared" si="163"/>
        <v xml:space="preserve">02/03 </v>
      </c>
      <c r="L348" s="237" t="str">
        <f t="shared" si="163"/>
        <v xml:space="preserve">03/04 </v>
      </c>
      <c r="M348" s="237" t="str">
        <f t="shared" si="163"/>
        <v xml:space="preserve">04/05 </v>
      </c>
      <c r="N348" s="237" t="str">
        <f t="shared" si="163"/>
        <v xml:space="preserve">05/06 </v>
      </c>
      <c r="O348" s="237" t="str">
        <f t="shared" si="163"/>
        <v xml:space="preserve">06/07 </v>
      </c>
      <c r="P348" s="237" t="str">
        <f t="shared" si="163"/>
        <v xml:space="preserve">07/08 </v>
      </c>
      <c r="Q348" s="237" t="str">
        <f t="shared" si="163"/>
        <v xml:space="preserve">08/09 </v>
      </c>
      <c r="R348" s="237" t="str">
        <f t="shared" si="163"/>
        <v xml:space="preserve">09/10 </v>
      </c>
      <c r="S348" s="237" t="str">
        <f t="shared" si="163"/>
        <v xml:space="preserve">10/11 </v>
      </c>
      <c r="T348" s="237" t="str">
        <f t="shared" si="163"/>
        <v xml:space="preserve">11/12 </v>
      </c>
      <c r="U348" s="237" t="str">
        <f t="shared" si="163"/>
        <v xml:space="preserve">12/13 </v>
      </c>
      <c r="V348" s="237" t="str">
        <f t="shared" si="163"/>
        <v xml:space="preserve">13/14 </v>
      </c>
      <c r="W348" s="237" t="str">
        <f t="shared" si="163"/>
        <v xml:space="preserve">14/15 </v>
      </c>
      <c r="X348" s="237" t="str">
        <f t="shared" si="163"/>
        <v xml:space="preserve">15/16 </v>
      </c>
      <c r="Y348" s="237" t="str">
        <f t="shared" si="163"/>
        <v xml:space="preserve">16/17 </v>
      </c>
      <c r="Z348" s="237" t="str">
        <f t="shared" si="163"/>
        <v xml:space="preserve">17/18 </v>
      </c>
      <c r="AA348" s="237" t="str">
        <f t="shared" si="163"/>
        <v xml:space="preserve">18/19 </v>
      </c>
      <c r="AB348" s="237" t="str">
        <f t="shared" si="163"/>
        <v xml:space="preserve">19/20 </v>
      </c>
      <c r="AC348" s="237" t="str">
        <f t="shared" si="163"/>
        <v xml:space="preserve">20/21 </v>
      </c>
      <c r="AD348" s="237" t="str">
        <f t="shared" si="163"/>
        <v>21/22</v>
      </c>
      <c r="AE348" s="237" t="str">
        <f>AE2</f>
        <v>22/23</v>
      </c>
    </row>
    <row r="349" spans="1:40">
      <c r="A349" s="240" t="s">
        <v>239</v>
      </c>
      <c r="AA349" s="366">
        <f>(AA333/2204.622*100)-'[4]Soy Complex-old'!BH482</f>
        <v>30.266452460567727</v>
      </c>
      <c r="AB349" s="366">
        <f>(AB333/2204.622*100)-'[4]Soy Complex-old'!BI482</f>
        <v>30.938952642300549</v>
      </c>
      <c r="AC349" s="366">
        <f>(AC333/2204.622*100)-'[4]Soy Complex-old'!BJ482</f>
        <v>43.742811074353625</v>
      </c>
      <c r="AD349" s="366">
        <f>(AD333/2204.622*100)-'[4]Soy Complex-old'!BK482</f>
        <v>62.520563854627142</v>
      </c>
      <c r="AE349" s="366">
        <v>-18</v>
      </c>
      <c r="AG349" s="366">
        <f>AVERAGE(AA349:AC349)</f>
        <v>34.982738725740631</v>
      </c>
      <c r="AH349" s="226" t="e">
        <f>AG349/AG$361</f>
        <v>#VALUE!</v>
      </c>
      <c r="AI349" s="226" t="e">
        <f>15*AH349*-1</f>
        <v>#VALUE!</v>
      </c>
      <c r="AJ349" s="226" t="e">
        <f>ABS(AA349)/ABS(AA$361)</f>
        <v>#VALUE!</v>
      </c>
      <c r="AK349" s="226" t="e">
        <f t="shared" ref="AK349:AM360" si="164">ABS(AB349)/ABS(AB$361)</f>
        <v>#VALUE!</v>
      </c>
      <c r="AL349" s="226" t="e">
        <f t="shared" si="164"/>
        <v>#VALUE!</v>
      </c>
      <c r="AM349" s="226" t="e">
        <f>ABS(AD349)/ABS(AD$361)</f>
        <v>#VALUE!</v>
      </c>
      <c r="AN349" s="226" t="e">
        <f>MROUND(15*AM349,1)*-1</f>
        <v>#VALUE!</v>
      </c>
    </row>
    <row r="350" spans="1:40">
      <c r="A350" s="240" t="s">
        <v>240</v>
      </c>
      <c r="AA350" s="366" t="e">
        <f>(AA334/2204.622*100)-'[4]Soy Complex-old'!BH483</f>
        <v>#VALUE!</v>
      </c>
      <c r="AB350" s="366" t="e">
        <f>(AB334/2204.622*100)-'[4]Soy Complex-old'!BI483</f>
        <v>#VALUE!</v>
      </c>
      <c r="AC350" s="366" t="e">
        <f>(AC334/2204.622*100)-'[4]Soy Complex-old'!BJ483</f>
        <v>#VALUE!</v>
      </c>
      <c r="AD350" s="366" t="e">
        <f>(AD334/2204.622*100)-'[4]Soy Complex-old'!BK483</f>
        <v>#VALUE!</v>
      </c>
      <c r="AE350" s="366">
        <v>-8</v>
      </c>
      <c r="AG350" s="366" t="e">
        <f t="shared" ref="AG350:AG361" si="165">AVERAGE(AA350:AC350)</f>
        <v>#VALUE!</v>
      </c>
      <c r="AH350" s="226" t="e">
        <f t="shared" ref="AH350:AH359" si="166">AG350/AG$361</f>
        <v>#VALUE!</v>
      </c>
      <c r="AI350" s="226" t="e">
        <f t="shared" ref="AI350:AI360" si="167">15*AH350*-1</f>
        <v>#VALUE!</v>
      </c>
      <c r="AJ350" s="226" t="e">
        <f t="shared" ref="AJ350:AJ360" si="168">ABS(AA350)/ABS(AA$361)</f>
        <v>#VALUE!</v>
      </c>
      <c r="AK350" s="226" t="e">
        <f t="shared" si="164"/>
        <v>#VALUE!</v>
      </c>
      <c r="AL350" s="226" t="e">
        <f t="shared" si="164"/>
        <v>#VALUE!</v>
      </c>
      <c r="AM350" s="226" t="e">
        <f t="shared" si="164"/>
        <v>#VALUE!</v>
      </c>
      <c r="AN350" s="226" t="e">
        <f t="shared" ref="AN350:AN360" si="169">MROUND(15*AM350,1)*-1</f>
        <v>#VALUE!</v>
      </c>
    </row>
    <row r="351" spans="1:40">
      <c r="A351" s="240" t="s">
        <v>241</v>
      </c>
      <c r="AA351" s="366">
        <f>(AA335/2204.622*100)-'[4]Soy Complex-old'!BH484</f>
        <v>-2018.5637711902805</v>
      </c>
      <c r="AB351" s="366">
        <f>(AB335/2204.622*100)-'[4]Soy Complex-old'!BI484</f>
        <v>-1786.3761079568289</v>
      </c>
      <c r="AC351" s="366">
        <f>(AC335/2204.622*100)-'[4]Soy Complex-old'!BJ484</f>
        <v>-1819.4100611289764</v>
      </c>
      <c r="AD351" s="366">
        <f>(AD335/2204.622*100)-'[4]Soy Complex-old'!BK484</f>
        <v>-2325.5719850047358</v>
      </c>
      <c r="AE351" s="366">
        <v>-7</v>
      </c>
      <c r="AG351" s="366">
        <f t="shared" si="165"/>
        <v>-1874.7833134253622</v>
      </c>
      <c r="AH351" s="226" t="e">
        <f t="shared" si="166"/>
        <v>#VALUE!</v>
      </c>
      <c r="AI351" s="226" t="e">
        <f t="shared" si="167"/>
        <v>#VALUE!</v>
      </c>
      <c r="AJ351" s="226" t="e">
        <f t="shared" si="168"/>
        <v>#VALUE!</v>
      </c>
      <c r="AK351" s="226" t="e">
        <f t="shared" si="164"/>
        <v>#VALUE!</v>
      </c>
      <c r="AL351" s="226" t="e">
        <f t="shared" si="164"/>
        <v>#VALUE!</v>
      </c>
      <c r="AM351" s="226" t="e">
        <f t="shared" si="164"/>
        <v>#VALUE!</v>
      </c>
      <c r="AN351" s="226" t="e">
        <f t="shared" si="169"/>
        <v>#VALUE!</v>
      </c>
    </row>
    <row r="352" spans="1:40">
      <c r="A352" s="240" t="s">
        <v>231</v>
      </c>
      <c r="AA352" s="366">
        <f>(AA336/2204.622*100)-'[4]Soy Complex-old'!BH485</f>
        <v>-1870.709078054527</v>
      </c>
      <c r="AB352" s="366">
        <f>(AB336/2204.622*100)-'[4]Soy Complex-old'!BI485</f>
        <v>-1844.9241787743288</v>
      </c>
      <c r="AC352" s="366">
        <f>(AC336/2204.622*100)-'[4]Soy Complex-old'!BJ485</f>
        <v>-1897.8356614739398</v>
      </c>
      <c r="AD352" s="366">
        <f>(AD336/2204.622*100)-'[4]Soy Complex-old'!BK485</f>
        <v>-2344.3639451148779</v>
      </c>
      <c r="AE352" s="366">
        <v>-9</v>
      </c>
      <c r="AG352" s="366">
        <f t="shared" si="165"/>
        <v>-1871.1563061009319</v>
      </c>
      <c r="AH352" s="226" t="e">
        <f t="shared" si="166"/>
        <v>#VALUE!</v>
      </c>
      <c r="AI352" s="226" t="e">
        <f t="shared" si="167"/>
        <v>#VALUE!</v>
      </c>
      <c r="AJ352" s="226" t="e">
        <f t="shared" si="168"/>
        <v>#VALUE!</v>
      </c>
      <c r="AK352" s="226" t="e">
        <f t="shared" si="164"/>
        <v>#VALUE!</v>
      </c>
      <c r="AL352" s="226" t="e">
        <f t="shared" si="164"/>
        <v>#VALUE!</v>
      </c>
      <c r="AM352" s="226" t="e">
        <f t="shared" si="164"/>
        <v>#VALUE!</v>
      </c>
      <c r="AN352" s="226" t="e">
        <f t="shared" si="169"/>
        <v>#VALUE!</v>
      </c>
    </row>
    <row r="353" spans="1:40">
      <c r="A353" s="240" t="s">
        <v>232</v>
      </c>
      <c r="AA353" s="366">
        <f>(AA337/2204.622*100)-'[4]Soy Complex-old'!BH486</f>
        <v>-1915.3960676505994</v>
      </c>
      <c r="AB353" s="366">
        <f>(AB337/2204.622*100)-'[4]Soy Complex-old'!BI486</f>
        <v>-2101.7341947091154</v>
      </c>
      <c r="AC353" s="366">
        <f>(AC337/2204.622*100)-'[4]Soy Complex-old'!BJ486</f>
        <v>-2081.657672965252</v>
      </c>
      <c r="AD353" s="366">
        <f>(AD337/2204.622*100)-'[4]Soy Complex-old'!BK486</f>
        <v>-2396.0377553167846</v>
      </c>
      <c r="AE353" s="366">
        <v>-2</v>
      </c>
      <c r="AG353" s="366">
        <f t="shared" si="165"/>
        <v>-2032.9293117749887</v>
      </c>
      <c r="AH353" s="226" t="e">
        <f t="shared" si="166"/>
        <v>#VALUE!</v>
      </c>
      <c r="AI353" s="226" t="e">
        <f t="shared" si="167"/>
        <v>#VALUE!</v>
      </c>
      <c r="AJ353" s="226" t="e">
        <f t="shared" si="168"/>
        <v>#VALUE!</v>
      </c>
      <c r="AK353" s="226" t="e">
        <f t="shared" si="164"/>
        <v>#VALUE!</v>
      </c>
      <c r="AL353" s="226" t="e">
        <f t="shared" si="164"/>
        <v>#VALUE!</v>
      </c>
      <c r="AM353" s="226" t="e">
        <f t="shared" si="164"/>
        <v>#VALUE!</v>
      </c>
      <c r="AN353" s="226" t="e">
        <f t="shared" si="169"/>
        <v>#VALUE!</v>
      </c>
    </row>
    <row r="354" spans="1:40">
      <c r="A354" s="240" t="s">
        <v>233</v>
      </c>
      <c r="AA354" s="366">
        <f>(AA338/2204.622*100)-'[4]Soy Complex-old'!BH487</f>
        <v>-1974.7336560824531</v>
      </c>
      <c r="AB354" s="366">
        <f>(AB338/2204.622*100)-'[4]Soy Complex-old'!BI487</f>
        <v>-2325.968142272091</v>
      </c>
      <c r="AC354" s="366">
        <f>(AC338/2204.622*100)-'[4]Soy Complex-old'!BJ487</f>
        <v>-2341.3335832493103</v>
      </c>
      <c r="AD354" s="366">
        <f>(AD338/2204.622*100)-'[4]Soy Complex-old'!BK487</f>
        <v>-2428.9821333217214</v>
      </c>
      <c r="AE354" s="366">
        <v>-13</v>
      </c>
      <c r="AG354" s="366">
        <f t="shared" si="165"/>
        <v>-2214.0117938679514</v>
      </c>
      <c r="AH354" s="226" t="e">
        <f t="shared" si="166"/>
        <v>#VALUE!</v>
      </c>
      <c r="AI354" s="226" t="e">
        <f t="shared" si="167"/>
        <v>#VALUE!</v>
      </c>
      <c r="AJ354" s="226" t="e">
        <f t="shared" si="168"/>
        <v>#VALUE!</v>
      </c>
      <c r="AK354" s="226" t="e">
        <f t="shared" si="164"/>
        <v>#VALUE!</v>
      </c>
      <c r="AL354" s="226" t="e">
        <f t="shared" si="164"/>
        <v>#VALUE!</v>
      </c>
      <c r="AM354" s="226" t="e">
        <f t="shared" si="164"/>
        <v>#VALUE!</v>
      </c>
      <c r="AN354" s="226" t="e">
        <f t="shared" si="169"/>
        <v>#VALUE!</v>
      </c>
    </row>
    <row r="355" spans="1:40">
      <c r="A355" s="240" t="s">
        <v>234</v>
      </c>
      <c r="Z355" s="366">
        <f>(Z339/2204.622*100)-'[4]Soy Complex-old'!BG488</f>
        <v>-2390.4629375333575</v>
      </c>
      <c r="AA355" s="366">
        <f>(AA339/2204.622*100)-'[4]Soy Complex-old'!BH488</f>
        <v>-2119.0863008987485</v>
      </c>
      <c r="AB355" s="366">
        <f>(AB339/2204.622*100)-'[4]Soy Complex-old'!BI488</f>
        <v>-2345.3912554424296</v>
      </c>
      <c r="AC355" s="366">
        <f>(AC339/2204.622*100)-'[4]Soy Complex-old'!BJ488</f>
        <v>-2361.7914037054875</v>
      </c>
      <c r="AD355" s="366">
        <f>(AD339/2204.622*100)-'[4]Soy Complex-old'!BK488</f>
        <v>-2499.6131747546747</v>
      </c>
      <c r="AE355" s="366">
        <v>-15</v>
      </c>
      <c r="AG355" s="366">
        <f t="shared" si="165"/>
        <v>-2275.422986682222</v>
      </c>
      <c r="AH355" s="226" t="e">
        <f t="shared" si="166"/>
        <v>#VALUE!</v>
      </c>
      <c r="AI355" s="226" t="e">
        <f t="shared" si="167"/>
        <v>#VALUE!</v>
      </c>
      <c r="AJ355" s="226" t="e">
        <f t="shared" si="168"/>
        <v>#VALUE!</v>
      </c>
      <c r="AK355" s="226" t="e">
        <f t="shared" si="164"/>
        <v>#VALUE!</v>
      </c>
      <c r="AL355" s="226" t="e">
        <f t="shared" si="164"/>
        <v>#VALUE!</v>
      </c>
      <c r="AM355" s="226" t="e">
        <f t="shared" si="164"/>
        <v>#VALUE!</v>
      </c>
      <c r="AN355" s="226" t="e">
        <f t="shared" si="169"/>
        <v>#VALUE!</v>
      </c>
    </row>
    <row r="356" spans="1:40">
      <c r="A356" s="240" t="s">
        <v>46</v>
      </c>
      <c r="Z356" s="366">
        <f>(Z340/2204.622*100)-'[4]Soy Complex-old'!BG489</f>
        <v>-2410.149822563591</v>
      </c>
      <c r="AA356" s="366">
        <f>(AA340/2204.622*100)-'[4]Soy Complex-old'!BH489</f>
        <v>-2201.8903133550461</v>
      </c>
      <c r="AB356" s="366">
        <f>(AB340/2204.622*100)-'[4]Soy Complex-old'!BI489</f>
        <v>-2293.952051450663</v>
      </c>
      <c r="AC356" s="366">
        <f>(AC340/2204.622*100)-'[4]Soy Complex-old'!BJ489</f>
        <v>-2245.1374810134057</v>
      </c>
      <c r="AD356" s="366">
        <f>(AD340/2204.622*100)-'[4]Soy Complex-old'!BK489</f>
        <v>-2362.3840998056426</v>
      </c>
      <c r="AE356" s="366">
        <v>-15</v>
      </c>
      <c r="AG356" s="366">
        <f t="shared" si="165"/>
        <v>-2246.993281939705</v>
      </c>
      <c r="AH356" s="226" t="e">
        <f t="shared" si="166"/>
        <v>#VALUE!</v>
      </c>
      <c r="AI356" s="226" t="e">
        <f t="shared" si="167"/>
        <v>#VALUE!</v>
      </c>
      <c r="AJ356" s="226" t="e">
        <f t="shared" si="168"/>
        <v>#VALUE!</v>
      </c>
      <c r="AK356" s="226" t="e">
        <f t="shared" si="164"/>
        <v>#VALUE!</v>
      </c>
      <c r="AL356" s="226" t="e">
        <f t="shared" si="164"/>
        <v>#VALUE!</v>
      </c>
      <c r="AM356" s="226" t="e">
        <f t="shared" si="164"/>
        <v>#VALUE!</v>
      </c>
      <c r="AN356" s="226" t="e">
        <f t="shared" si="169"/>
        <v>#VALUE!</v>
      </c>
    </row>
    <row r="357" spans="1:40">
      <c r="A357" s="240" t="s">
        <v>235</v>
      </c>
      <c r="Z357" s="366">
        <f>(Z341/2204.622*100)-'[4]Soy Complex-old'!BG490</f>
        <v>-2655.5449496149886</v>
      </c>
      <c r="AA357" s="366">
        <f>(AA341/2204.622*100)-'[4]Soy Complex-old'!BH490</f>
        <v>-2225.7136727367374</v>
      </c>
      <c r="AB357" s="366">
        <f>(AB341/2204.622*100)-'[4]Soy Complex-old'!BI490</f>
        <v>-2565.5598995517685</v>
      </c>
      <c r="AC357" s="366">
        <f>(AC341/2204.622*100)-'[4]Soy Complex-old'!BJ490</f>
        <v>-2531.0131133754448</v>
      </c>
      <c r="AD357" s="366">
        <f>(AD341/2204.622*100)-'[4]Soy Complex-old'!BK490</f>
        <v>-2350.1657043357091</v>
      </c>
      <c r="AE357" s="366">
        <v>-14</v>
      </c>
      <c r="AG357" s="366">
        <f t="shared" si="165"/>
        <v>-2440.7622285546504</v>
      </c>
      <c r="AH357" s="226" t="e">
        <f t="shared" si="166"/>
        <v>#VALUE!</v>
      </c>
      <c r="AI357" s="226" t="e">
        <f>15*AH357</f>
        <v>#VALUE!</v>
      </c>
      <c r="AJ357" s="226" t="e">
        <f t="shared" si="168"/>
        <v>#VALUE!</v>
      </c>
      <c r="AK357" s="226" t="e">
        <f t="shared" si="164"/>
        <v>#VALUE!</v>
      </c>
      <c r="AL357" s="226" t="e">
        <f t="shared" si="164"/>
        <v>#VALUE!</v>
      </c>
      <c r="AM357" s="226" t="e">
        <f t="shared" si="164"/>
        <v>#VALUE!</v>
      </c>
      <c r="AN357" s="226" t="e">
        <f t="shared" si="169"/>
        <v>#VALUE!</v>
      </c>
    </row>
    <row r="358" spans="1:40">
      <c r="A358" s="240" t="s">
        <v>236</v>
      </c>
      <c r="Z358" s="366">
        <f>(Z342/2204.622*100)-'[4]Soy Complex-old'!BG491</f>
        <v>-2340.3920659481432</v>
      </c>
      <c r="AA358" s="366">
        <f>(AA342/2204.622*100)-'[4]Soy Complex-old'!BH491</f>
        <v>-1985.5516170967373</v>
      </c>
      <c r="AB358" s="366">
        <f>(AB342/2204.622*100)-'[4]Soy Complex-old'!BI491</f>
        <v>-2410.3562441916001</v>
      </c>
      <c r="AC358" s="366">
        <f>(AC342/2204.622*100)-'[4]Soy Complex-old'!BJ491</f>
        <v>-2420.4925111435718</v>
      </c>
      <c r="AD358" s="366">
        <f>(AD342/2204.622*100)-'[4]Soy Complex-old'!BK491</f>
        <v>-2315.3577482367132</v>
      </c>
      <c r="AE358" s="366">
        <v>-3</v>
      </c>
      <c r="AG358" s="366">
        <f t="shared" si="165"/>
        <v>-2272.1334574773032</v>
      </c>
      <c r="AH358" s="226" t="e">
        <f t="shared" si="166"/>
        <v>#VALUE!</v>
      </c>
      <c r="AI358" s="226" t="e">
        <f t="shared" ref="AI358:AI359" si="170">15*AH358</f>
        <v>#VALUE!</v>
      </c>
      <c r="AJ358" s="226" t="e">
        <f t="shared" si="168"/>
        <v>#VALUE!</v>
      </c>
      <c r="AK358" s="226" t="e">
        <f t="shared" si="164"/>
        <v>#VALUE!</v>
      </c>
      <c r="AL358" s="226" t="e">
        <f t="shared" si="164"/>
        <v>#VALUE!</v>
      </c>
      <c r="AM358" s="226" t="e">
        <f t="shared" si="164"/>
        <v>#VALUE!</v>
      </c>
      <c r="AN358" s="226" t="e">
        <f t="shared" si="169"/>
        <v>#VALUE!</v>
      </c>
    </row>
    <row r="359" spans="1:40">
      <c r="A359" s="240" t="s">
        <v>237</v>
      </c>
      <c r="Z359" s="366">
        <f>(Z343/2204.622*100)-'[4]Soy Complex-old'!BG492</f>
        <v>-2272.4173720787098</v>
      </c>
      <c r="AA359" s="366">
        <f>(AA343/2204.622*100)-'[4]Soy Complex-old'!BH492</f>
        <v>-1981.1803097578847</v>
      </c>
      <c r="AB359" s="366">
        <f>(AB343/2204.622*100)-'[4]Soy Complex-old'!BI492</f>
        <v>-2233.6077753115737</v>
      </c>
      <c r="AC359" s="366">
        <f>(AC343/2204.622*100)-'[4]Soy Complex-old'!BJ492</f>
        <v>-2286.5441879742175</v>
      </c>
      <c r="AD359" s="366">
        <f>(AD343/2204.622*100)-'[4]Soy Complex-old'!BK492</f>
        <v>-2246.4521020631501</v>
      </c>
      <c r="AE359" s="366">
        <v>-8</v>
      </c>
      <c r="AG359" s="366">
        <f t="shared" si="165"/>
        <v>-2167.1107576812251</v>
      </c>
      <c r="AH359" s="226" t="e">
        <f t="shared" si="166"/>
        <v>#VALUE!</v>
      </c>
      <c r="AI359" s="226" t="e">
        <f t="shared" si="170"/>
        <v>#VALUE!</v>
      </c>
      <c r="AJ359" s="226" t="e">
        <f t="shared" si="168"/>
        <v>#VALUE!</v>
      </c>
      <c r="AK359" s="226" t="e">
        <f t="shared" si="164"/>
        <v>#VALUE!</v>
      </c>
      <c r="AL359" s="226" t="e">
        <f t="shared" si="164"/>
        <v>#VALUE!</v>
      </c>
      <c r="AM359" s="226" t="e">
        <f t="shared" si="164"/>
        <v>#VALUE!</v>
      </c>
      <c r="AN359" s="226" t="e">
        <f t="shared" si="169"/>
        <v>#VALUE!</v>
      </c>
    </row>
    <row r="360" spans="1:40">
      <c r="A360" s="240" t="s">
        <v>238</v>
      </c>
      <c r="Z360" s="366">
        <f>(Z344/2204.622*100)-'[4]Soy Complex-old'!BG493</f>
        <v>-2352.1712165677377</v>
      </c>
      <c r="AA360" s="366">
        <f>(AA344/2204.622*100)-'[4]Soy Complex-old'!BH493</f>
        <v>-2007.6220872517138</v>
      </c>
      <c r="AB360" s="366">
        <f>(AB344/2204.622*100)-'[4]Soy Complex-old'!BI493</f>
        <v>-2081.13886332722</v>
      </c>
      <c r="AC360" s="366">
        <f>(AC344/2204.622*100)-'[4]Soy Complex-old'!BJ493</f>
        <v>-2117.711903749404</v>
      </c>
      <c r="AD360" s="366">
        <f>(AD344/2204.622*100)-'[4]Soy Complex-old'!BK493</f>
        <v>-2204.6662099829691</v>
      </c>
      <c r="AE360" s="366">
        <v>-12</v>
      </c>
      <c r="AG360" s="366">
        <f t="shared" si="165"/>
        <v>-2068.8242847761126</v>
      </c>
      <c r="AH360" s="226" t="e">
        <f>AG360/AG$361</f>
        <v>#VALUE!</v>
      </c>
      <c r="AI360" s="226" t="e">
        <f t="shared" si="167"/>
        <v>#VALUE!</v>
      </c>
      <c r="AJ360" s="226" t="e">
        <f t="shared" si="168"/>
        <v>#VALUE!</v>
      </c>
      <c r="AK360" s="226" t="e">
        <f t="shared" si="164"/>
        <v>#VALUE!</v>
      </c>
      <c r="AL360" s="226" t="e">
        <f t="shared" si="164"/>
        <v>#VALUE!</v>
      </c>
      <c r="AM360" s="226" t="e">
        <f t="shared" si="164"/>
        <v>#VALUE!</v>
      </c>
      <c r="AN360" s="226" t="e">
        <f t="shared" si="169"/>
        <v>#VALUE!</v>
      </c>
    </row>
    <row r="361" spans="1:40" ht="15.75" thickBot="1">
      <c r="A361" s="240" t="s">
        <v>255</v>
      </c>
      <c r="AA361" s="366" t="e">
        <f>AVERAGE(AA349:AA360)</f>
        <v>#VALUE!</v>
      </c>
      <c r="AB361" s="366" t="e">
        <f>AVERAGE(AB349:AB360)</f>
        <v>#VALUE!</v>
      </c>
      <c r="AC361" s="366" t="e">
        <f>AVERAGE(AC349:AC360)</f>
        <v>#VALUE!</v>
      </c>
      <c r="AD361" s="373" t="e">
        <f>AVERAGE(AD349:AD360)</f>
        <v>#VALUE!</v>
      </c>
      <c r="AE361" s="373">
        <f>AVERAGE(AE349:AE360)</f>
        <v>-10.333333333333334</v>
      </c>
      <c r="AG361" s="366" t="e">
        <f t="shared" si="165"/>
        <v>#VALUE!</v>
      </c>
    </row>
    <row r="362" spans="1:40">
      <c r="A362" s="248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  <c r="AA362" s="248"/>
      <c r="AB362" s="248"/>
      <c r="AC362" s="248"/>
      <c r="AD362" s="248"/>
      <c r="AE362" s="248"/>
    </row>
  </sheetData>
  <mergeCells count="6">
    <mergeCell ref="AH141:AO141"/>
    <mergeCell ref="AH142:AL142"/>
    <mergeCell ref="AN142:AO142"/>
    <mergeCell ref="AH284:AJ284"/>
    <mergeCell ref="AP284:AS284"/>
    <mergeCell ref="AG330:AJ331"/>
  </mergeCells>
  <hyperlinks>
    <hyperlink ref="AO1" r:id="rId1" xr:uid="{51EE8219-657A-4D6E-A7FF-FB15F0752F39}"/>
    <hyperlink ref="AO198" r:id="rId2" xr:uid="{947E54A4-28AB-4C1C-A69C-498198701089}"/>
  </hyperlinks>
  <pageMargins left="0.25" right="0.25" top="0.75" bottom="0.75" header="0.3" footer="0.3"/>
  <pageSetup scale="98" orientation="portrait" r:id="rId3"/>
  <headerFooter>
    <oddHeader>&amp;L&amp;G</oddHeader>
    <oddFooter>&amp;L&amp;D&amp;C&amp;P</oddFooter>
  </headerFooter>
  <drawing r:id="rId4"/>
  <legacyDrawingHF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19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34" baseType="lpstr">
      <vt:lpstr>World Sun Bal</vt:lpstr>
      <vt:lpstr>World Sun Meal Bal</vt:lpstr>
      <vt:lpstr>World Sun Oil Bal</vt:lpstr>
      <vt:lpstr>Major Sunflower Exports</vt:lpstr>
      <vt:lpstr>Major Sun Oil Exports</vt:lpstr>
      <vt:lpstr>Sun Matrix</vt:lpstr>
      <vt:lpstr>Sun Meal Matrix</vt:lpstr>
      <vt:lpstr>Sun Oil Matrix</vt:lpstr>
      <vt:lpstr>Argentina Sun Complex</vt:lpstr>
      <vt:lpstr>EU Sun Complex</vt:lpstr>
      <vt:lpstr>Ukraine Sun Complex</vt:lpstr>
      <vt:lpstr>Russia Sun Complex</vt:lpstr>
      <vt:lpstr>India Sun Complex</vt:lpstr>
      <vt:lpstr>China Sun Complex</vt:lpstr>
      <vt:lpstr>Canada Sun Complex</vt:lpstr>
      <vt:lpstr>Mexico Sun Complex</vt:lpstr>
      <vt:lpstr>Turkey Sun Complex</vt:lpstr>
      <vt:lpstr>Template</vt:lpstr>
      <vt:lpstr>Ukraine Sun Complex (2)</vt:lpstr>
      <vt:lpstr>Ukraine Exports by Region</vt:lpstr>
      <vt:lpstr>'China Sun Complex'!Print_Area</vt:lpstr>
      <vt:lpstr>'EU Sun Complex'!Print_Area</vt:lpstr>
      <vt:lpstr>'India Sun Complex'!Print_Area</vt:lpstr>
      <vt:lpstr>'Major Sun Oil Exports'!Print_Area</vt:lpstr>
      <vt:lpstr>'Major Sunflower Exports'!Print_Area</vt:lpstr>
      <vt:lpstr>'Russia Sun Complex'!Print_Area</vt:lpstr>
      <vt:lpstr>'Sun Matrix'!Print_Area</vt:lpstr>
      <vt:lpstr>'Sun Meal Matrix'!Print_Area</vt:lpstr>
      <vt:lpstr>'Sun Oil Matrix'!Print_Area</vt:lpstr>
      <vt:lpstr>'Ukraine Sun Complex'!Print_Area</vt:lpstr>
      <vt:lpstr>'Ukraine Sun Complex (2)'!Print_Area</vt:lpstr>
      <vt:lpstr>'World Sun Bal'!Print_Area</vt:lpstr>
      <vt:lpstr>'World Sun Meal Bal'!Print_Area</vt:lpstr>
      <vt:lpstr>'World Sun Oil Bal'!Print_Area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2025-07-17T10:21:17Z</dcterms:created>
  <dcterms:modified xsi:type="dcterms:W3CDTF">2025-07-17T10:21:38Z</dcterms:modified>
</cp:coreProperties>
</file>